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a.braga\Documents\"/>
    </mc:Choice>
  </mc:AlternateContent>
  <xr:revisionPtr revIDLastSave="0" documentId="13_ncr:1_{615B5E77-420E-4F1A-AACC-DD6DDC978FCD}" xr6:coauthVersionLast="47" xr6:coauthVersionMax="47" xr10:uidLastSave="{00000000-0000-0000-0000-000000000000}"/>
  <bookViews>
    <workbookView xWindow="-23148" yWindow="-108" windowWidth="23256" windowHeight="12576" xr2:uid="{7554C6E8-9E91-4019-AF7C-9D6E9539A4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52" i="1" l="1"/>
  <c r="F12952" i="1"/>
  <c r="E12952" i="1"/>
  <c r="D12952" i="1"/>
  <c r="C12952" i="1"/>
  <c r="B12952" i="1"/>
  <c r="G12951" i="1"/>
  <c r="F12951" i="1"/>
  <c r="E12951" i="1"/>
  <c r="D12951" i="1"/>
  <c r="C12951" i="1"/>
  <c r="B12951" i="1"/>
  <c r="G12950" i="1"/>
  <c r="F12950" i="1"/>
  <c r="E12950" i="1"/>
  <c r="D12950" i="1"/>
  <c r="C12950" i="1"/>
  <c r="B12950" i="1"/>
  <c r="G12949" i="1"/>
  <c r="F12949" i="1"/>
  <c r="E12949" i="1"/>
  <c r="D12949" i="1"/>
  <c r="C12949" i="1"/>
  <c r="B12949" i="1"/>
  <c r="G12948" i="1"/>
  <c r="F12948" i="1"/>
  <c r="E12948" i="1"/>
  <c r="D12948" i="1"/>
  <c r="C12948" i="1"/>
  <c r="B12948" i="1"/>
  <c r="G12947" i="1"/>
  <c r="F12947" i="1"/>
  <c r="E12947" i="1"/>
  <c r="D12947" i="1"/>
  <c r="C12947" i="1"/>
  <c r="B12947" i="1"/>
  <c r="G12946" i="1"/>
  <c r="F12946" i="1"/>
  <c r="E12946" i="1"/>
  <c r="D12946" i="1"/>
  <c r="C12946" i="1"/>
  <c r="B12946" i="1"/>
  <c r="G12945" i="1"/>
  <c r="F12945" i="1"/>
  <c r="E12945" i="1"/>
  <c r="D12945" i="1"/>
  <c r="C12945" i="1"/>
  <c r="B12945" i="1"/>
  <c r="G12944" i="1"/>
  <c r="F12944" i="1"/>
  <c r="E12944" i="1"/>
  <c r="D12944" i="1"/>
  <c r="C12944" i="1"/>
  <c r="B12944" i="1"/>
  <c r="G12943" i="1"/>
  <c r="F12943" i="1"/>
  <c r="E12943" i="1"/>
  <c r="D12943" i="1"/>
  <c r="C12943" i="1"/>
  <c r="B12943" i="1"/>
  <c r="G12942" i="1"/>
  <c r="F12942" i="1"/>
  <c r="E12942" i="1"/>
  <c r="D12942" i="1"/>
  <c r="C12942" i="1"/>
  <c r="B12942" i="1"/>
  <c r="G12941" i="1"/>
  <c r="F12941" i="1"/>
  <c r="E12941" i="1"/>
  <c r="D12941" i="1"/>
  <c r="C12941" i="1"/>
  <c r="B12941" i="1"/>
  <c r="G12940" i="1"/>
  <c r="F12940" i="1"/>
  <c r="E12940" i="1"/>
  <c r="D12940" i="1"/>
  <c r="C12940" i="1"/>
  <c r="B12940" i="1"/>
  <c r="G12939" i="1"/>
  <c r="F12939" i="1"/>
  <c r="E12939" i="1"/>
  <c r="D12939" i="1"/>
  <c r="C12939" i="1"/>
  <c r="B12939" i="1"/>
  <c r="G12938" i="1"/>
  <c r="F12938" i="1"/>
  <c r="E12938" i="1"/>
  <c r="D12938" i="1"/>
  <c r="C12938" i="1"/>
  <c r="B12938" i="1"/>
  <c r="G12937" i="1"/>
  <c r="F12937" i="1"/>
  <c r="E12937" i="1"/>
  <c r="D12937" i="1"/>
  <c r="C12937" i="1"/>
  <c r="B12937" i="1"/>
  <c r="G12936" i="1"/>
  <c r="F12936" i="1"/>
  <c r="E12936" i="1"/>
  <c r="D12936" i="1"/>
  <c r="C12936" i="1"/>
  <c r="B12936" i="1"/>
  <c r="G12935" i="1"/>
  <c r="F12935" i="1"/>
  <c r="E12935" i="1"/>
  <c r="D12935" i="1"/>
  <c r="C12935" i="1"/>
  <c r="B12935" i="1"/>
  <c r="G12934" i="1"/>
  <c r="F12934" i="1"/>
  <c r="E12934" i="1"/>
  <c r="D12934" i="1"/>
  <c r="C12934" i="1"/>
  <c r="B12934" i="1"/>
  <c r="G12933" i="1"/>
  <c r="F12933" i="1"/>
  <c r="E12933" i="1"/>
  <c r="D12933" i="1"/>
  <c r="C12933" i="1"/>
  <c r="B12933" i="1"/>
  <c r="G12932" i="1"/>
  <c r="F12932" i="1"/>
  <c r="E12932" i="1"/>
  <c r="D12932" i="1"/>
  <c r="C12932" i="1"/>
  <c r="B12932" i="1"/>
  <c r="G12931" i="1"/>
  <c r="F12931" i="1"/>
  <c r="E12931" i="1"/>
  <c r="D12931" i="1"/>
  <c r="C12931" i="1"/>
  <c r="B12931" i="1"/>
  <c r="G12930" i="1"/>
  <c r="F12930" i="1"/>
  <c r="E12930" i="1"/>
  <c r="D12930" i="1"/>
  <c r="C12930" i="1"/>
  <c r="B12930" i="1"/>
  <c r="G12929" i="1"/>
  <c r="F12929" i="1"/>
  <c r="E12929" i="1"/>
  <c r="D12929" i="1"/>
  <c r="C12929" i="1"/>
  <c r="B12929" i="1"/>
  <c r="G12928" i="1"/>
  <c r="F12928" i="1"/>
  <c r="E12928" i="1"/>
  <c r="D12928" i="1"/>
  <c r="C12928" i="1"/>
  <c r="B12928" i="1"/>
  <c r="G12927" i="1"/>
  <c r="F12927" i="1"/>
  <c r="E12927" i="1"/>
  <c r="D12927" i="1"/>
  <c r="C12927" i="1"/>
  <c r="B12927" i="1"/>
  <c r="G12926" i="1"/>
  <c r="F12926" i="1"/>
  <c r="E12926" i="1"/>
  <c r="D12926" i="1"/>
  <c r="C12926" i="1"/>
  <c r="B12926" i="1"/>
  <c r="G12925" i="1"/>
  <c r="F12925" i="1"/>
  <c r="E12925" i="1"/>
  <c r="D12925" i="1"/>
  <c r="C12925" i="1"/>
  <c r="B12925" i="1"/>
  <c r="G12924" i="1"/>
  <c r="F12924" i="1"/>
  <c r="E12924" i="1"/>
  <c r="D12924" i="1"/>
  <c r="C12924" i="1"/>
  <c r="B12924" i="1"/>
  <c r="G12923" i="1"/>
  <c r="F12923" i="1"/>
  <c r="E12923" i="1"/>
  <c r="D12923" i="1"/>
  <c r="C12923" i="1"/>
  <c r="B12923" i="1"/>
  <c r="G12922" i="1"/>
  <c r="F12922" i="1"/>
  <c r="E12922" i="1"/>
  <c r="D12922" i="1"/>
  <c r="C12922" i="1"/>
  <c r="B12922" i="1"/>
  <c r="G12921" i="1"/>
  <c r="F12921" i="1"/>
  <c r="E12921" i="1"/>
  <c r="D12921" i="1"/>
  <c r="C12921" i="1"/>
  <c r="B12921" i="1"/>
  <c r="G12920" i="1"/>
  <c r="F12920" i="1"/>
  <c r="E12920" i="1"/>
  <c r="D12920" i="1"/>
  <c r="C12920" i="1"/>
  <c r="B12920" i="1"/>
  <c r="G12919" i="1"/>
  <c r="F12919" i="1"/>
  <c r="E12919" i="1"/>
  <c r="D12919" i="1"/>
  <c r="C12919" i="1"/>
  <c r="B12919" i="1"/>
  <c r="G12918" i="1"/>
  <c r="F12918" i="1"/>
  <c r="E12918" i="1"/>
  <c r="D12918" i="1"/>
  <c r="C12918" i="1"/>
  <c r="B12918" i="1"/>
  <c r="G12917" i="1"/>
  <c r="F12917" i="1"/>
  <c r="E12917" i="1"/>
  <c r="D12917" i="1"/>
  <c r="C12917" i="1"/>
  <c r="B12917" i="1"/>
  <c r="G12916" i="1"/>
  <c r="F12916" i="1"/>
  <c r="E12916" i="1"/>
  <c r="D12916" i="1"/>
  <c r="C12916" i="1"/>
  <c r="B12916" i="1"/>
  <c r="G12915" i="1"/>
  <c r="F12915" i="1"/>
  <c r="E12915" i="1"/>
  <c r="D12915" i="1"/>
  <c r="C12915" i="1"/>
  <c r="B12915" i="1"/>
  <c r="G12914" i="1"/>
  <c r="F12914" i="1"/>
  <c r="E12914" i="1"/>
  <c r="D12914" i="1"/>
  <c r="C12914" i="1"/>
  <c r="B12914" i="1"/>
  <c r="G12913" i="1"/>
  <c r="F12913" i="1"/>
  <c r="E12913" i="1"/>
  <c r="D12913" i="1"/>
  <c r="C12913" i="1"/>
  <c r="B12913" i="1"/>
  <c r="G12912" i="1"/>
  <c r="F12912" i="1"/>
  <c r="E12912" i="1"/>
  <c r="D12912" i="1"/>
  <c r="C12912" i="1"/>
  <c r="B12912" i="1"/>
  <c r="G12911" i="1"/>
  <c r="F12911" i="1"/>
  <c r="E12911" i="1"/>
  <c r="D12911" i="1"/>
  <c r="C12911" i="1"/>
  <c r="B12911" i="1"/>
  <c r="G12910" i="1"/>
  <c r="F12910" i="1"/>
  <c r="E12910" i="1"/>
  <c r="D12910" i="1"/>
  <c r="C12910" i="1"/>
  <c r="B12910" i="1"/>
  <c r="G12909" i="1"/>
  <c r="F12909" i="1"/>
  <c r="E12909" i="1"/>
  <c r="D12909" i="1"/>
  <c r="C12909" i="1"/>
  <c r="B12909" i="1"/>
  <c r="G12908" i="1"/>
  <c r="F12908" i="1"/>
  <c r="E12908" i="1"/>
  <c r="D12908" i="1"/>
  <c r="C12908" i="1"/>
  <c r="B12908" i="1"/>
  <c r="G12907" i="1"/>
  <c r="F12907" i="1"/>
  <c r="E12907" i="1"/>
  <c r="D12907" i="1"/>
  <c r="C12907" i="1"/>
  <c r="B12907" i="1"/>
  <c r="G12906" i="1"/>
  <c r="F12906" i="1"/>
  <c r="E12906" i="1"/>
  <c r="D12906" i="1"/>
  <c r="C12906" i="1"/>
  <c r="B12906" i="1"/>
  <c r="G12905" i="1"/>
  <c r="F12905" i="1"/>
  <c r="E12905" i="1"/>
  <c r="D12905" i="1"/>
  <c r="C12905" i="1"/>
  <c r="B12905" i="1"/>
  <c r="G12904" i="1"/>
  <c r="F12904" i="1"/>
  <c r="E12904" i="1"/>
  <c r="D12904" i="1"/>
  <c r="C12904" i="1"/>
  <c r="B12904" i="1"/>
  <c r="G12903" i="1"/>
  <c r="F12903" i="1"/>
  <c r="E12903" i="1"/>
  <c r="D12903" i="1"/>
  <c r="C12903" i="1"/>
  <c r="B12903" i="1"/>
  <c r="G12902" i="1"/>
  <c r="F12902" i="1"/>
  <c r="E12902" i="1"/>
  <c r="D12902" i="1"/>
  <c r="C12902" i="1"/>
  <c r="B12902" i="1"/>
  <c r="G12901" i="1"/>
  <c r="F12901" i="1"/>
  <c r="E12901" i="1"/>
  <c r="D12901" i="1"/>
  <c r="C12901" i="1"/>
  <c r="B12901" i="1"/>
  <c r="G12900" i="1"/>
  <c r="F12900" i="1"/>
  <c r="E12900" i="1"/>
  <c r="D12900" i="1"/>
  <c r="C12900" i="1"/>
  <c r="B12900" i="1"/>
  <c r="G12899" i="1"/>
  <c r="F12899" i="1"/>
  <c r="E12899" i="1"/>
  <c r="D12899" i="1"/>
  <c r="C12899" i="1"/>
  <c r="B12899" i="1"/>
  <c r="G12898" i="1"/>
  <c r="F12898" i="1"/>
  <c r="E12898" i="1"/>
  <c r="D12898" i="1"/>
  <c r="C12898" i="1"/>
  <c r="B12898" i="1"/>
  <c r="G12897" i="1"/>
  <c r="F12897" i="1"/>
  <c r="E12897" i="1"/>
  <c r="D12897" i="1"/>
  <c r="C12897" i="1"/>
  <c r="B12897" i="1"/>
  <c r="G12896" i="1"/>
  <c r="F12896" i="1"/>
  <c r="E12896" i="1"/>
  <c r="D12896" i="1"/>
  <c r="C12896" i="1"/>
  <c r="B12896" i="1"/>
  <c r="G12895" i="1"/>
  <c r="F12895" i="1"/>
  <c r="E12895" i="1"/>
  <c r="D12895" i="1"/>
  <c r="C12895" i="1"/>
  <c r="B12895" i="1"/>
  <c r="G12894" i="1"/>
  <c r="F12894" i="1"/>
  <c r="E12894" i="1"/>
  <c r="D12894" i="1"/>
  <c r="C12894" i="1"/>
  <c r="B12894" i="1"/>
  <c r="G12893" i="1"/>
  <c r="F12893" i="1"/>
  <c r="E12893" i="1"/>
  <c r="D12893" i="1"/>
  <c r="C12893" i="1"/>
  <c r="B12893" i="1"/>
  <c r="G12892" i="1"/>
  <c r="F12892" i="1"/>
  <c r="E12892" i="1"/>
  <c r="D12892" i="1"/>
  <c r="C12892" i="1"/>
  <c r="B12892" i="1"/>
  <c r="G12891" i="1"/>
  <c r="F12891" i="1"/>
  <c r="E12891" i="1"/>
  <c r="D12891" i="1"/>
  <c r="C12891" i="1"/>
  <c r="B12891" i="1"/>
  <c r="G12890" i="1"/>
  <c r="F12890" i="1"/>
  <c r="E12890" i="1"/>
  <c r="D12890" i="1"/>
  <c r="C12890" i="1"/>
  <c r="B12890" i="1"/>
  <c r="G12889" i="1"/>
  <c r="F12889" i="1"/>
  <c r="E12889" i="1"/>
  <c r="D12889" i="1"/>
  <c r="C12889" i="1"/>
  <c r="B12889" i="1"/>
  <c r="G12888" i="1"/>
  <c r="F12888" i="1"/>
  <c r="E12888" i="1"/>
  <c r="D12888" i="1"/>
  <c r="C12888" i="1"/>
  <c r="B12888" i="1"/>
  <c r="G12887" i="1"/>
  <c r="F12887" i="1"/>
  <c r="E12887" i="1"/>
  <c r="D12887" i="1"/>
  <c r="C12887" i="1"/>
  <c r="B12887" i="1"/>
  <c r="G12886" i="1"/>
  <c r="F12886" i="1"/>
  <c r="E12886" i="1"/>
  <c r="D12886" i="1"/>
  <c r="C12886" i="1"/>
  <c r="B12886" i="1"/>
  <c r="G12885" i="1"/>
  <c r="F12885" i="1"/>
  <c r="E12885" i="1"/>
  <c r="D12885" i="1"/>
  <c r="C12885" i="1"/>
  <c r="B12885" i="1"/>
  <c r="G12884" i="1"/>
  <c r="F12884" i="1"/>
  <c r="E12884" i="1"/>
  <c r="D12884" i="1"/>
  <c r="C12884" i="1"/>
  <c r="B12884" i="1"/>
  <c r="G12883" i="1"/>
  <c r="F12883" i="1"/>
  <c r="E12883" i="1"/>
  <c r="D12883" i="1"/>
  <c r="C12883" i="1"/>
  <c r="B12883" i="1"/>
  <c r="G12882" i="1"/>
  <c r="F12882" i="1"/>
  <c r="E12882" i="1"/>
  <c r="D12882" i="1"/>
  <c r="C12882" i="1"/>
  <c r="B12882" i="1"/>
  <c r="G12881" i="1"/>
  <c r="F12881" i="1"/>
  <c r="E12881" i="1"/>
  <c r="D12881" i="1"/>
  <c r="C12881" i="1"/>
  <c r="B12881" i="1"/>
  <c r="G12880" i="1"/>
  <c r="F12880" i="1"/>
  <c r="E12880" i="1"/>
  <c r="D12880" i="1"/>
  <c r="C12880" i="1"/>
  <c r="B12880" i="1"/>
  <c r="G12879" i="1"/>
  <c r="F12879" i="1"/>
  <c r="E12879" i="1"/>
  <c r="D12879" i="1"/>
  <c r="C12879" i="1"/>
  <c r="B12879" i="1"/>
  <c r="G12878" i="1"/>
  <c r="F12878" i="1"/>
  <c r="E12878" i="1"/>
  <c r="D12878" i="1"/>
  <c r="C12878" i="1"/>
  <c r="B12878" i="1"/>
  <c r="G12877" i="1"/>
  <c r="F12877" i="1"/>
  <c r="E12877" i="1"/>
  <c r="D12877" i="1"/>
  <c r="C12877" i="1"/>
  <c r="B12877" i="1"/>
  <c r="G12876" i="1"/>
  <c r="F12876" i="1"/>
  <c r="E12876" i="1"/>
  <c r="D12876" i="1"/>
  <c r="C12876" i="1"/>
  <c r="B12876" i="1"/>
  <c r="G12875" i="1"/>
  <c r="F12875" i="1"/>
  <c r="E12875" i="1"/>
  <c r="D12875" i="1"/>
  <c r="C12875" i="1"/>
  <c r="B12875" i="1"/>
  <c r="G12874" i="1"/>
  <c r="F12874" i="1"/>
  <c r="E12874" i="1"/>
  <c r="D12874" i="1"/>
  <c r="C12874" i="1"/>
  <c r="B12874" i="1"/>
  <c r="G12873" i="1"/>
  <c r="F12873" i="1"/>
  <c r="E12873" i="1"/>
  <c r="D12873" i="1"/>
  <c r="C12873" i="1"/>
  <c r="B12873" i="1"/>
  <c r="G12872" i="1"/>
  <c r="F12872" i="1"/>
  <c r="E12872" i="1"/>
  <c r="D12872" i="1"/>
  <c r="C12872" i="1"/>
  <c r="B12872" i="1"/>
  <c r="G12871" i="1"/>
  <c r="F12871" i="1"/>
  <c r="E12871" i="1"/>
  <c r="D12871" i="1"/>
  <c r="C12871" i="1"/>
  <c r="B12871" i="1"/>
  <c r="G12870" i="1"/>
  <c r="F12870" i="1"/>
  <c r="E12870" i="1"/>
  <c r="D12870" i="1"/>
  <c r="C12870" i="1"/>
  <c r="B12870" i="1"/>
  <c r="G12869" i="1"/>
  <c r="F12869" i="1"/>
  <c r="E12869" i="1"/>
  <c r="D12869" i="1"/>
  <c r="C12869" i="1"/>
  <c r="B12869" i="1"/>
  <c r="G12868" i="1"/>
  <c r="F12868" i="1"/>
  <c r="E12868" i="1"/>
  <c r="D12868" i="1"/>
  <c r="C12868" i="1"/>
  <c r="B12868" i="1"/>
  <c r="G12867" i="1"/>
  <c r="F12867" i="1"/>
  <c r="E12867" i="1"/>
  <c r="D12867" i="1"/>
  <c r="C12867" i="1"/>
  <c r="B12867" i="1"/>
  <c r="G12866" i="1"/>
  <c r="F12866" i="1"/>
  <c r="E12866" i="1"/>
  <c r="D12866" i="1"/>
  <c r="C12866" i="1"/>
  <c r="B12866" i="1"/>
  <c r="G12865" i="1"/>
  <c r="F12865" i="1"/>
  <c r="E12865" i="1"/>
  <c r="D12865" i="1"/>
  <c r="C12865" i="1"/>
  <c r="B12865" i="1"/>
  <c r="G12864" i="1"/>
  <c r="F12864" i="1"/>
  <c r="E12864" i="1"/>
  <c r="D12864" i="1"/>
  <c r="C12864" i="1"/>
  <c r="B12864" i="1"/>
  <c r="G12863" i="1"/>
  <c r="F12863" i="1"/>
  <c r="E12863" i="1"/>
  <c r="D12863" i="1"/>
  <c r="C12863" i="1"/>
  <c r="B12863" i="1"/>
  <c r="G12862" i="1"/>
  <c r="F12862" i="1"/>
  <c r="E12862" i="1"/>
  <c r="D12862" i="1"/>
  <c r="C12862" i="1"/>
  <c r="B12862" i="1"/>
  <c r="G12861" i="1"/>
  <c r="F12861" i="1"/>
  <c r="E12861" i="1"/>
  <c r="D12861" i="1"/>
  <c r="C12861" i="1"/>
  <c r="B12861" i="1"/>
  <c r="G12860" i="1"/>
  <c r="F12860" i="1"/>
  <c r="E12860" i="1"/>
  <c r="D12860" i="1"/>
  <c r="C12860" i="1"/>
  <c r="B12860" i="1"/>
  <c r="G12859" i="1"/>
  <c r="F12859" i="1"/>
  <c r="E12859" i="1"/>
  <c r="D12859" i="1"/>
  <c r="C12859" i="1"/>
  <c r="B12859" i="1"/>
  <c r="G12858" i="1"/>
  <c r="F12858" i="1"/>
  <c r="E12858" i="1"/>
  <c r="D12858" i="1"/>
  <c r="C12858" i="1"/>
  <c r="B12858" i="1"/>
  <c r="G12857" i="1"/>
  <c r="F12857" i="1"/>
  <c r="E12857" i="1"/>
  <c r="D12857" i="1"/>
  <c r="C12857" i="1"/>
  <c r="B12857" i="1"/>
  <c r="G12856" i="1"/>
  <c r="F12856" i="1"/>
  <c r="E12856" i="1"/>
  <c r="D12856" i="1"/>
  <c r="C12856" i="1"/>
  <c r="B12856" i="1"/>
  <c r="G12855" i="1"/>
  <c r="F12855" i="1"/>
  <c r="E12855" i="1"/>
  <c r="D12855" i="1"/>
  <c r="C12855" i="1"/>
  <c r="B12855" i="1"/>
  <c r="G12854" i="1"/>
  <c r="F12854" i="1"/>
  <c r="E12854" i="1"/>
  <c r="D12854" i="1"/>
  <c r="C12854" i="1"/>
  <c r="B12854" i="1"/>
  <c r="G12853" i="1"/>
  <c r="F12853" i="1"/>
  <c r="E12853" i="1"/>
  <c r="D12853" i="1"/>
  <c r="C12853" i="1"/>
  <c r="B12853" i="1"/>
  <c r="G12852" i="1"/>
  <c r="F12852" i="1"/>
  <c r="E12852" i="1"/>
  <c r="D12852" i="1"/>
  <c r="C12852" i="1"/>
  <c r="B12852" i="1"/>
  <c r="G12851" i="1"/>
  <c r="F12851" i="1"/>
  <c r="E12851" i="1"/>
  <c r="D12851" i="1"/>
  <c r="C12851" i="1"/>
  <c r="B12851" i="1"/>
  <c r="G12850" i="1"/>
  <c r="F12850" i="1"/>
  <c r="E12850" i="1"/>
  <c r="D12850" i="1"/>
  <c r="C12850" i="1"/>
  <c r="B12850" i="1"/>
  <c r="G12849" i="1"/>
  <c r="F12849" i="1"/>
  <c r="E12849" i="1"/>
  <c r="D12849" i="1"/>
  <c r="C12849" i="1"/>
  <c r="B12849" i="1"/>
  <c r="G12848" i="1"/>
  <c r="F12848" i="1"/>
  <c r="E12848" i="1"/>
  <c r="D12848" i="1"/>
  <c r="C12848" i="1"/>
  <c r="B12848" i="1"/>
  <c r="G12847" i="1"/>
  <c r="F12847" i="1"/>
  <c r="E12847" i="1"/>
  <c r="D12847" i="1"/>
  <c r="C12847" i="1"/>
  <c r="B12847" i="1"/>
  <c r="G12846" i="1"/>
  <c r="F12846" i="1"/>
  <c r="E12846" i="1"/>
  <c r="D12846" i="1"/>
  <c r="C12846" i="1"/>
  <c r="B12846" i="1"/>
  <c r="G12845" i="1"/>
  <c r="F12845" i="1"/>
  <c r="E12845" i="1"/>
  <c r="D12845" i="1"/>
  <c r="C12845" i="1"/>
  <c r="B12845" i="1"/>
  <c r="G12844" i="1"/>
  <c r="F12844" i="1"/>
  <c r="E12844" i="1"/>
  <c r="D12844" i="1"/>
  <c r="C12844" i="1"/>
  <c r="B12844" i="1"/>
  <c r="G12843" i="1"/>
  <c r="F12843" i="1"/>
  <c r="E12843" i="1"/>
  <c r="D12843" i="1"/>
  <c r="C12843" i="1"/>
  <c r="B12843" i="1"/>
  <c r="G12842" i="1"/>
  <c r="F12842" i="1"/>
  <c r="E12842" i="1"/>
  <c r="D12842" i="1"/>
  <c r="C12842" i="1"/>
  <c r="B12842" i="1"/>
  <c r="G12841" i="1"/>
  <c r="F12841" i="1"/>
  <c r="E12841" i="1"/>
  <c r="D12841" i="1"/>
  <c r="C12841" i="1"/>
  <c r="B12841" i="1"/>
  <c r="G12840" i="1"/>
  <c r="F12840" i="1"/>
  <c r="E12840" i="1"/>
  <c r="D12840" i="1"/>
  <c r="C12840" i="1"/>
  <c r="B12840" i="1"/>
  <c r="G12839" i="1"/>
  <c r="F12839" i="1"/>
  <c r="E12839" i="1"/>
  <c r="D12839" i="1"/>
  <c r="C12839" i="1"/>
  <c r="B12839" i="1"/>
  <c r="G12838" i="1"/>
  <c r="F12838" i="1"/>
  <c r="E12838" i="1"/>
  <c r="D12838" i="1"/>
  <c r="C12838" i="1"/>
  <c r="B12838" i="1"/>
  <c r="G12837" i="1"/>
  <c r="F12837" i="1"/>
  <c r="E12837" i="1"/>
  <c r="D12837" i="1"/>
  <c r="C12837" i="1"/>
  <c r="B12837" i="1"/>
  <c r="G12836" i="1"/>
  <c r="F12836" i="1"/>
  <c r="E12836" i="1"/>
  <c r="D12836" i="1"/>
  <c r="C12836" i="1"/>
  <c r="B12836" i="1"/>
  <c r="G12835" i="1"/>
  <c r="F12835" i="1"/>
  <c r="E12835" i="1"/>
  <c r="D12835" i="1"/>
  <c r="C12835" i="1"/>
  <c r="B12835" i="1"/>
  <c r="G12834" i="1"/>
  <c r="F12834" i="1"/>
  <c r="E12834" i="1"/>
  <c r="D12834" i="1"/>
  <c r="C12834" i="1"/>
  <c r="B12834" i="1"/>
  <c r="G12833" i="1"/>
  <c r="F12833" i="1"/>
  <c r="E12833" i="1"/>
  <c r="D12833" i="1"/>
  <c r="C12833" i="1"/>
  <c r="B12833" i="1"/>
  <c r="G12832" i="1"/>
  <c r="F12832" i="1"/>
  <c r="E12832" i="1"/>
  <c r="D12832" i="1"/>
  <c r="C12832" i="1"/>
  <c r="B12832" i="1"/>
  <c r="F12831" i="1"/>
  <c r="E12831" i="1"/>
  <c r="D12831" i="1"/>
  <c r="C12831" i="1"/>
  <c r="B12831" i="1"/>
  <c r="F12830" i="1"/>
  <c r="E12830" i="1"/>
  <c r="D12830" i="1"/>
  <c r="C12830" i="1"/>
  <c r="B12830" i="1"/>
  <c r="F12829" i="1"/>
  <c r="E12829" i="1"/>
  <c r="D12829" i="1"/>
  <c r="C12829" i="1"/>
  <c r="B12829" i="1"/>
  <c r="F12828" i="1"/>
  <c r="E12828" i="1"/>
  <c r="D12828" i="1"/>
  <c r="C12828" i="1"/>
  <c r="B12828" i="1"/>
  <c r="F12827" i="1"/>
  <c r="E12827" i="1"/>
  <c r="D12827" i="1"/>
  <c r="C12827" i="1"/>
  <c r="B12827" i="1"/>
  <c r="F12826" i="1"/>
  <c r="E12826" i="1"/>
  <c r="D12826" i="1"/>
  <c r="C12826" i="1"/>
  <c r="B12826" i="1"/>
  <c r="F12825" i="1"/>
  <c r="E12825" i="1"/>
  <c r="D12825" i="1"/>
  <c r="C12825" i="1"/>
  <c r="B12825" i="1"/>
  <c r="F12824" i="1"/>
  <c r="E12824" i="1"/>
  <c r="D12824" i="1"/>
  <c r="C12824" i="1"/>
  <c r="B12824" i="1"/>
  <c r="F12823" i="1"/>
  <c r="E12823" i="1"/>
  <c r="D12823" i="1"/>
  <c r="C12823" i="1"/>
  <c r="B12823" i="1"/>
  <c r="F12822" i="1"/>
  <c r="E12822" i="1"/>
  <c r="D12822" i="1"/>
  <c r="C12822" i="1"/>
  <c r="B12822" i="1"/>
  <c r="F12821" i="1"/>
  <c r="E12821" i="1"/>
  <c r="D12821" i="1"/>
  <c r="C12821" i="1"/>
  <c r="B12821" i="1"/>
  <c r="F12820" i="1"/>
  <c r="E12820" i="1"/>
  <c r="D12820" i="1"/>
  <c r="C12820" i="1"/>
  <c r="B12820" i="1"/>
  <c r="F12819" i="1"/>
  <c r="E12819" i="1"/>
  <c r="D12819" i="1"/>
  <c r="C12819" i="1"/>
  <c r="B12819" i="1"/>
  <c r="F12818" i="1"/>
  <c r="E12818" i="1"/>
  <c r="D12818" i="1"/>
  <c r="C12818" i="1"/>
  <c r="B12818" i="1"/>
  <c r="F12817" i="1"/>
  <c r="E12817" i="1"/>
  <c r="D12817" i="1"/>
  <c r="C12817" i="1"/>
  <c r="B12817" i="1"/>
  <c r="F12816" i="1"/>
  <c r="E12816" i="1"/>
  <c r="D12816" i="1"/>
  <c r="C12816" i="1"/>
  <c r="B12816" i="1"/>
  <c r="F12815" i="1"/>
  <c r="E12815" i="1"/>
  <c r="D12815" i="1"/>
  <c r="C12815" i="1"/>
  <c r="B12815" i="1"/>
  <c r="F12814" i="1"/>
  <c r="E12814" i="1"/>
  <c r="D12814" i="1"/>
  <c r="C12814" i="1"/>
  <c r="B12814" i="1"/>
  <c r="F12813" i="1"/>
  <c r="E12813" i="1"/>
  <c r="D12813" i="1"/>
  <c r="C12813" i="1"/>
  <c r="B12813" i="1"/>
  <c r="F12812" i="1"/>
  <c r="E12812" i="1"/>
  <c r="D12812" i="1"/>
  <c r="C12812" i="1"/>
  <c r="B12812" i="1"/>
  <c r="F12811" i="1"/>
  <c r="E12811" i="1"/>
  <c r="D12811" i="1"/>
  <c r="C12811" i="1"/>
  <c r="B12811" i="1"/>
  <c r="F12810" i="1"/>
  <c r="E12810" i="1"/>
  <c r="D12810" i="1"/>
  <c r="C12810" i="1"/>
  <c r="B12810" i="1"/>
  <c r="F12809" i="1"/>
  <c r="E12809" i="1"/>
  <c r="D12809" i="1"/>
  <c r="C12809" i="1"/>
  <c r="B12809" i="1"/>
  <c r="F12808" i="1"/>
  <c r="E12808" i="1"/>
  <c r="D12808" i="1"/>
  <c r="C12808" i="1"/>
  <c r="B12808" i="1"/>
  <c r="F12807" i="1"/>
  <c r="E12807" i="1"/>
  <c r="D12807" i="1"/>
  <c r="C12807" i="1"/>
  <c r="B12807" i="1"/>
  <c r="F12806" i="1"/>
  <c r="E12806" i="1"/>
  <c r="D12806" i="1"/>
  <c r="C12806" i="1"/>
  <c r="B12806" i="1"/>
  <c r="F12805" i="1"/>
  <c r="E12805" i="1"/>
  <c r="D12805" i="1"/>
  <c r="C12805" i="1"/>
  <c r="B12805" i="1"/>
  <c r="F12804" i="1"/>
  <c r="E12804" i="1"/>
  <c r="D12804" i="1"/>
  <c r="C12804" i="1"/>
  <c r="B12804" i="1"/>
  <c r="F12803" i="1"/>
  <c r="E12803" i="1"/>
  <c r="D12803" i="1"/>
  <c r="C12803" i="1"/>
  <c r="B12803" i="1"/>
  <c r="F12802" i="1"/>
  <c r="E12802" i="1"/>
  <c r="D12802" i="1"/>
  <c r="C12802" i="1"/>
  <c r="B12802" i="1"/>
  <c r="F12801" i="1"/>
  <c r="E12801" i="1"/>
  <c r="D12801" i="1"/>
  <c r="C12801" i="1"/>
  <c r="B12801" i="1"/>
  <c r="F12800" i="1"/>
  <c r="E12800" i="1"/>
  <c r="D12800" i="1"/>
  <c r="C12800" i="1"/>
  <c r="B12800" i="1"/>
  <c r="F12799" i="1"/>
  <c r="E12799" i="1"/>
  <c r="D12799" i="1"/>
  <c r="C12799" i="1"/>
  <c r="B12799" i="1"/>
  <c r="F12798" i="1"/>
  <c r="E12798" i="1"/>
  <c r="D12798" i="1"/>
  <c r="C12798" i="1"/>
  <c r="B12798" i="1"/>
  <c r="F12797" i="1"/>
  <c r="E12797" i="1"/>
  <c r="D12797" i="1"/>
  <c r="C12797" i="1"/>
  <c r="B12797" i="1"/>
  <c r="G12796" i="1"/>
  <c r="F12796" i="1"/>
  <c r="E12796" i="1"/>
  <c r="D12796" i="1"/>
  <c r="C12796" i="1"/>
  <c r="B12796" i="1"/>
  <c r="G12795" i="1"/>
  <c r="F12795" i="1"/>
  <c r="E12795" i="1"/>
  <c r="D12795" i="1"/>
  <c r="C12795" i="1"/>
  <c r="B12795" i="1"/>
  <c r="G12794" i="1"/>
  <c r="F12794" i="1"/>
  <c r="E12794" i="1"/>
  <c r="D12794" i="1"/>
  <c r="C12794" i="1"/>
  <c r="B12794" i="1"/>
  <c r="G12793" i="1"/>
  <c r="F12793" i="1"/>
  <c r="E12793" i="1"/>
  <c r="D12793" i="1"/>
  <c r="C12793" i="1"/>
  <c r="B12793" i="1"/>
  <c r="G12792" i="1"/>
  <c r="F12792" i="1"/>
  <c r="E12792" i="1"/>
  <c r="D12792" i="1"/>
  <c r="C12792" i="1"/>
  <c r="B12792" i="1"/>
  <c r="G12791" i="1"/>
  <c r="F12791" i="1"/>
  <c r="E12791" i="1"/>
  <c r="D12791" i="1"/>
  <c r="C12791" i="1"/>
  <c r="B12791" i="1"/>
  <c r="G12790" i="1"/>
  <c r="F12790" i="1"/>
  <c r="E12790" i="1"/>
  <c r="D12790" i="1"/>
  <c r="C12790" i="1"/>
  <c r="B12790" i="1"/>
  <c r="G12789" i="1"/>
  <c r="F12789" i="1"/>
  <c r="E12789" i="1"/>
  <c r="D12789" i="1"/>
  <c r="C12789" i="1"/>
  <c r="B12789" i="1"/>
  <c r="G12788" i="1"/>
  <c r="F12788" i="1"/>
  <c r="E12788" i="1"/>
  <c r="D12788" i="1"/>
  <c r="C12788" i="1"/>
  <c r="B12788" i="1"/>
  <c r="G12787" i="1"/>
  <c r="F12787" i="1"/>
  <c r="E12787" i="1"/>
  <c r="D12787" i="1"/>
  <c r="C12787" i="1"/>
  <c r="B12787" i="1"/>
  <c r="G12786" i="1"/>
  <c r="F12786" i="1"/>
  <c r="E12786" i="1"/>
  <c r="D12786" i="1"/>
  <c r="C12786" i="1"/>
  <c r="B12786" i="1"/>
  <c r="G12785" i="1"/>
  <c r="F12785" i="1"/>
  <c r="E12785" i="1"/>
  <c r="D12785" i="1"/>
  <c r="C12785" i="1"/>
  <c r="B12785" i="1"/>
  <c r="G12784" i="1"/>
  <c r="F12784" i="1"/>
  <c r="E12784" i="1"/>
  <c r="D12784" i="1"/>
  <c r="C12784" i="1"/>
  <c r="B12784" i="1"/>
  <c r="G12783" i="1"/>
  <c r="F12783" i="1"/>
  <c r="E12783" i="1"/>
  <c r="D12783" i="1"/>
  <c r="C12783" i="1"/>
  <c r="B12783" i="1"/>
  <c r="G12782" i="1"/>
  <c r="F12782" i="1"/>
  <c r="E12782" i="1"/>
  <c r="D12782" i="1"/>
  <c r="C12782" i="1"/>
  <c r="B12782" i="1"/>
  <c r="G12781" i="1"/>
  <c r="F12781" i="1"/>
  <c r="E12781" i="1"/>
  <c r="D12781" i="1"/>
  <c r="C12781" i="1"/>
  <c r="B12781" i="1"/>
  <c r="G12780" i="1"/>
  <c r="F12780" i="1"/>
  <c r="E12780" i="1"/>
  <c r="D12780" i="1"/>
  <c r="C12780" i="1"/>
  <c r="B12780" i="1"/>
  <c r="G12779" i="1"/>
  <c r="F12779" i="1"/>
  <c r="E12779" i="1"/>
  <c r="D12779" i="1"/>
  <c r="C12779" i="1"/>
  <c r="B12779" i="1"/>
  <c r="G12778" i="1"/>
  <c r="F12778" i="1"/>
  <c r="E12778" i="1"/>
  <c r="D12778" i="1"/>
  <c r="C12778" i="1"/>
  <c r="B12778" i="1"/>
  <c r="G12777" i="1"/>
  <c r="F12777" i="1"/>
  <c r="E12777" i="1"/>
  <c r="D12777" i="1"/>
  <c r="C12777" i="1"/>
  <c r="B12777" i="1"/>
  <c r="G12776" i="1"/>
  <c r="F12776" i="1"/>
  <c r="E12776" i="1"/>
  <c r="D12776" i="1"/>
  <c r="C12776" i="1"/>
  <c r="B12776" i="1"/>
  <c r="G12775" i="1"/>
  <c r="F12775" i="1"/>
  <c r="E12775" i="1"/>
  <c r="D12775" i="1"/>
  <c r="C12775" i="1"/>
  <c r="B12775" i="1"/>
  <c r="G12774" i="1"/>
  <c r="F12774" i="1"/>
  <c r="E12774" i="1"/>
  <c r="D12774" i="1"/>
  <c r="C12774" i="1"/>
  <c r="B12774" i="1"/>
  <c r="G12773" i="1"/>
  <c r="F12773" i="1"/>
  <c r="E12773" i="1"/>
  <c r="D12773" i="1"/>
  <c r="C12773" i="1"/>
  <c r="B12773" i="1"/>
  <c r="G12772" i="1"/>
  <c r="F12772" i="1"/>
  <c r="E12772" i="1"/>
  <c r="D12772" i="1"/>
  <c r="C12772" i="1"/>
  <c r="B12772" i="1"/>
  <c r="G12771" i="1"/>
  <c r="F12771" i="1"/>
  <c r="E12771" i="1"/>
  <c r="D12771" i="1"/>
  <c r="C12771" i="1"/>
  <c r="B12771" i="1"/>
  <c r="G12770" i="1"/>
  <c r="F12770" i="1"/>
  <c r="E12770" i="1"/>
  <c r="D12770" i="1"/>
  <c r="C12770" i="1"/>
  <c r="B12770" i="1"/>
  <c r="G12769" i="1"/>
  <c r="F12769" i="1"/>
  <c r="E12769" i="1"/>
  <c r="D12769" i="1"/>
  <c r="C12769" i="1"/>
  <c r="B12769" i="1"/>
  <c r="G12768" i="1"/>
  <c r="F12768" i="1"/>
  <c r="E12768" i="1"/>
  <c r="D12768" i="1"/>
  <c r="C12768" i="1"/>
  <c r="B12768" i="1"/>
  <c r="G12767" i="1"/>
  <c r="F12767" i="1"/>
  <c r="E12767" i="1"/>
  <c r="D12767" i="1"/>
  <c r="C12767" i="1"/>
  <c r="B12767" i="1"/>
  <c r="G12766" i="1"/>
  <c r="F12766" i="1"/>
  <c r="E12766" i="1"/>
  <c r="D12766" i="1"/>
  <c r="C12766" i="1"/>
  <c r="B12766" i="1"/>
  <c r="G12765" i="1"/>
  <c r="F12765" i="1"/>
  <c r="E12765" i="1"/>
  <c r="D12765" i="1"/>
  <c r="C12765" i="1"/>
  <c r="B12765" i="1"/>
  <c r="G12764" i="1"/>
  <c r="F12764" i="1"/>
  <c r="E12764" i="1"/>
  <c r="D12764" i="1"/>
  <c r="C12764" i="1"/>
  <c r="B12764" i="1"/>
  <c r="G12763" i="1"/>
  <c r="F12763" i="1"/>
  <c r="E12763" i="1"/>
  <c r="D12763" i="1"/>
  <c r="C12763" i="1"/>
  <c r="B12763" i="1"/>
  <c r="G12762" i="1"/>
  <c r="F12762" i="1"/>
  <c r="E12762" i="1"/>
  <c r="D12762" i="1"/>
  <c r="C12762" i="1"/>
  <c r="B12762" i="1"/>
  <c r="G12761" i="1"/>
  <c r="F12761" i="1"/>
  <c r="E12761" i="1"/>
  <c r="D12761" i="1"/>
  <c r="C12761" i="1"/>
  <c r="B12761" i="1"/>
  <c r="G12760" i="1"/>
  <c r="F12760" i="1"/>
  <c r="E12760" i="1"/>
  <c r="D12760" i="1"/>
  <c r="C12760" i="1"/>
  <c r="B12760" i="1"/>
  <c r="G12759" i="1"/>
  <c r="F12759" i="1"/>
  <c r="E12759" i="1"/>
  <c r="D12759" i="1"/>
  <c r="C12759" i="1"/>
  <c r="B12759" i="1"/>
  <c r="G12758" i="1"/>
  <c r="F12758" i="1"/>
  <c r="E12758" i="1"/>
  <c r="D12758" i="1"/>
  <c r="C12758" i="1"/>
  <c r="B12758" i="1"/>
  <c r="G12757" i="1"/>
  <c r="F12757" i="1"/>
  <c r="E12757" i="1"/>
  <c r="D12757" i="1"/>
  <c r="C12757" i="1"/>
  <c r="B12757" i="1"/>
  <c r="G12756" i="1"/>
  <c r="F12756" i="1"/>
  <c r="E12756" i="1"/>
  <c r="D12756" i="1"/>
  <c r="C12756" i="1"/>
  <c r="B12756" i="1"/>
  <c r="G12755" i="1"/>
  <c r="F12755" i="1"/>
  <c r="E12755" i="1"/>
  <c r="D12755" i="1"/>
  <c r="C12755" i="1"/>
  <c r="B12755" i="1"/>
  <c r="G12754" i="1"/>
  <c r="F12754" i="1"/>
  <c r="E12754" i="1"/>
  <c r="D12754" i="1"/>
  <c r="C12754" i="1"/>
  <c r="B12754" i="1"/>
  <c r="G12753" i="1"/>
  <c r="F12753" i="1"/>
  <c r="E12753" i="1"/>
  <c r="D12753" i="1"/>
  <c r="C12753" i="1"/>
  <c r="B12753" i="1"/>
  <c r="G12752" i="1"/>
  <c r="F12752" i="1"/>
  <c r="E12752" i="1"/>
  <c r="D12752" i="1"/>
  <c r="C12752" i="1"/>
  <c r="B12752" i="1"/>
  <c r="F12751" i="1"/>
  <c r="E12751" i="1"/>
  <c r="D12751" i="1"/>
  <c r="C12751" i="1"/>
  <c r="B12751" i="1"/>
  <c r="F12750" i="1"/>
  <c r="E12750" i="1"/>
  <c r="D12750" i="1"/>
  <c r="C12750" i="1"/>
  <c r="B12750" i="1"/>
  <c r="F12749" i="1"/>
  <c r="E12749" i="1"/>
  <c r="D12749" i="1"/>
  <c r="C12749" i="1"/>
  <c r="B12749" i="1"/>
  <c r="F12748" i="1"/>
  <c r="E12748" i="1"/>
  <c r="D12748" i="1"/>
  <c r="C12748" i="1"/>
  <c r="B12748" i="1"/>
  <c r="F12747" i="1"/>
  <c r="E12747" i="1"/>
  <c r="D12747" i="1"/>
  <c r="C12747" i="1"/>
  <c r="B12747" i="1"/>
  <c r="F12746" i="1"/>
  <c r="E12746" i="1"/>
  <c r="D12746" i="1"/>
  <c r="C12746" i="1"/>
  <c r="B12746" i="1"/>
  <c r="F12745" i="1"/>
  <c r="E12745" i="1"/>
  <c r="D12745" i="1"/>
  <c r="C12745" i="1"/>
  <c r="B12745" i="1"/>
  <c r="G12744" i="1"/>
  <c r="F12744" i="1"/>
  <c r="E12744" i="1"/>
  <c r="D12744" i="1"/>
  <c r="C12744" i="1"/>
  <c r="B12744" i="1"/>
  <c r="G12743" i="1"/>
  <c r="F12743" i="1"/>
  <c r="E12743" i="1"/>
  <c r="D12743" i="1"/>
  <c r="C12743" i="1"/>
  <c r="B12743" i="1"/>
  <c r="G12742" i="1"/>
  <c r="F12742" i="1"/>
  <c r="E12742" i="1"/>
  <c r="D12742" i="1"/>
  <c r="C12742" i="1"/>
  <c r="B12742" i="1"/>
  <c r="G12741" i="1"/>
  <c r="F12741" i="1"/>
  <c r="E12741" i="1"/>
  <c r="D12741" i="1"/>
  <c r="C12741" i="1"/>
  <c r="B12741" i="1"/>
  <c r="G12740" i="1"/>
  <c r="F12740" i="1"/>
  <c r="E12740" i="1"/>
  <c r="D12740" i="1"/>
  <c r="C12740" i="1"/>
  <c r="B12740" i="1"/>
  <c r="G12739" i="1"/>
  <c r="F12739" i="1"/>
  <c r="E12739" i="1"/>
  <c r="D12739" i="1"/>
  <c r="C12739" i="1"/>
  <c r="B12739" i="1"/>
  <c r="G12738" i="1"/>
  <c r="F12738" i="1"/>
  <c r="E12738" i="1"/>
  <c r="D12738" i="1"/>
  <c r="C12738" i="1"/>
  <c r="B12738" i="1"/>
  <c r="G12737" i="1"/>
  <c r="F12737" i="1"/>
  <c r="E12737" i="1"/>
  <c r="D12737" i="1"/>
  <c r="C12737" i="1"/>
  <c r="B12737" i="1"/>
  <c r="G12736" i="1"/>
  <c r="F12736" i="1"/>
  <c r="E12736" i="1"/>
  <c r="D12736" i="1"/>
  <c r="C12736" i="1"/>
  <c r="B12736" i="1"/>
  <c r="G12735" i="1"/>
  <c r="F12735" i="1"/>
  <c r="E12735" i="1"/>
  <c r="D12735" i="1"/>
  <c r="C12735" i="1"/>
  <c r="B12735" i="1"/>
  <c r="G12734" i="1"/>
  <c r="F12734" i="1"/>
  <c r="E12734" i="1"/>
  <c r="D12734" i="1"/>
  <c r="C12734" i="1"/>
  <c r="B12734" i="1"/>
  <c r="G12733" i="1"/>
  <c r="F12733" i="1"/>
  <c r="E12733" i="1"/>
  <c r="D12733" i="1"/>
  <c r="C12733" i="1"/>
  <c r="B12733" i="1"/>
  <c r="G12732" i="1"/>
  <c r="F12732" i="1"/>
  <c r="E12732" i="1"/>
  <c r="D12732" i="1"/>
  <c r="C12732" i="1"/>
  <c r="B12732" i="1"/>
  <c r="G12731" i="1"/>
  <c r="F12731" i="1"/>
  <c r="E12731" i="1"/>
  <c r="D12731" i="1"/>
  <c r="C12731" i="1"/>
  <c r="B12731" i="1"/>
  <c r="G12730" i="1"/>
  <c r="F12730" i="1"/>
  <c r="E12730" i="1"/>
  <c r="D12730" i="1"/>
  <c r="C12730" i="1"/>
  <c r="B12730" i="1"/>
  <c r="G12729" i="1"/>
  <c r="F12729" i="1"/>
  <c r="E12729" i="1"/>
  <c r="D12729" i="1"/>
  <c r="C12729" i="1"/>
  <c r="B12729" i="1"/>
  <c r="G12728" i="1"/>
  <c r="F12728" i="1"/>
  <c r="E12728" i="1"/>
  <c r="D12728" i="1"/>
  <c r="C12728" i="1"/>
  <c r="B12728" i="1"/>
  <c r="G12727" i="1"/>
  <c r="F12727" i="1"/>
  <c r="E12727" i="1"/>
  <c r="D12727" i="1"/>
  <c r="C12727" i="1"/>
  <c r="B12727" i="1"/>
  <c r="G12726" i="1"/>
  <c r="F12726" i="1"/>
  <c r="E12726" i="1"/>
  <c r="D12726" i="1"/>
  <c r="C12726" i="1"/>
  <c r="B12726" i="1"/>
  <c r="G12725" i="1"/>
  <c r="F12725" i="1"/>
  <c r="E12725" i="1"/>
  <c r="D12725" i="1"/>
  <c r="C12725" i="1"/>
  <c r="B12725" i="1"/>
  <c r="G12724" i="1"/>
  <c r="F12724" i="1"/>
  <c r="E12724" i="1"/>
  <c r="D12724" i="1"/>
  <c r="C12724" i="1"/>
  <c r="B12724" i="1"/>
  <c r="G12723" i="1"/>
  <c r="F12723" i="1"/>
  <c r="E12723" i="1"/>
  <c r="D12723" i="1"/>
  <c r="C12723" i="1"/>
  <c r="B12723" i="1"/>
  <c r="G12722" i="1"/>
  <c r="F12722" i="1"/>
  <c r="E12722" i="1"/>
  <c r="D12722" i="1"/>
  <c r="C12722" i="1"/>
  <c r="B12722" i="1"/>
  <c r="G12721" i="1"/>
  <c r="F12721" i="1"/>
  <c r="E12721" i="1"/>
  <c r="D12721" i="1"/>
  <c r="C12721" i="1"/>
  <c r="B12721" i="1"/>
  <c r="G12720" i="1"/>
  <c r="F12720" i="1"/>
  <c r="E12720" i="1"/>
  <c r="D12720" i="1"/>
  <c r="C12720" i="1"/>
  <c r="B12720" i="1"/>
  <c r="G12719" i="1"/>
  <c r="F12719" i="1"/>
  <c r="E12719" i="1"/>
  <c r="D12719" i="1"/>
  <c r="C12719" i="1"/>
  <c r="B12719" i="1"/>
  <c r="G12718" i="1"/>
  <c r="F12718" i="1"/>
  <c r="E12718" i="1"/>
  <c r="D12718" i="1"/>
  <c r="C12718" i="1"/>
  <c r="B12718" i="1"/>
  <c r="G12717" i="1"/>
  <c r="F12717" i="1"/>
  <c r="E12717" i="1"/>
  <c r="D12717" i="1"/>
  <c r="C12717" i="1"/>
  <c r="B12717" i="1"/>
  <c r="G12716" i="1"/>
  <c r="F12716" i="1"/>
  <c r="E12716" i="1"/>
  <c r="D12716" i="1"/>
  <c r="C12716" i="1"/>
  <c r="B12716" i="1"/>
  <c r="G12715" i="1"/>
  <c r="F12715" i="1"/>
  <c r="E12715" i="1"/>
  <c r="D12715" i="1"/>
  <c r="C12715" i="1"/>
  <c r="B12715" i="1"/>
  <c r="G12714" i="1"/>
  <c r="F12714" i="1"/>
  <c r="E12714" i="1"/>
  <c r="D12714" i="1"/>
  <c r="C12714" i="1"/>
  <c r="B12714" i="1"/>
  <c r="G12713" i="1"/>
  <c r="F12713" i="1"/>
  <c r="E12713" i="1"/>
  <c r="D12713" i="1"/>
  <c r="C12713" i="1"/>
  <c r="B12713" i="1"/>
  <c r="G12712" i="1"/>
  <c r="F12712" i="1"/>
  <c r="E12712" i="1"/>
  <c r="D12712" i="1"/>
  <c r="C12712" i="1"/>
  <c r="B12712" i="1"/>
  <c r="G12711" i="1"/>
  <c r="F12711" i="1"/>
  <c r="E12711" i="1"/>
  <c r="D12711" i="1"/>
  <c r="C12711" i="1"/>
  <c r="B12711" i="1"/>
  <c r="G12710" i="1"/>
  <c r="F12710" i="1"/>
  <c r="E12710" i="1"/>
  <c r="D12710" i="1"/>
  <c r="C12710" i="1"/>
  <c r="B12710" i="1"/>
  <c r="G12709" i="1"/>
  <c r="F12709" i="1"/>
  <c r="E12709" i="1"/>
  <c r="D12709" i="1"/>
  <c r="C12709" i="1"/>
  <c r="B12709" i="1"/>
  <c r="G12708" i="1"/>
  <c r="F12708" i="1"/>
  <c r="E12708" i="1"/>
  <c r="D12708" i="1"/>
  <c r="C12708" i="1"/>
  <c r="B12708" i="1"/>
  <c r="G12707" i="1"/>
  <c r="F12707" i="1"/>
  <c r="E12707" i="1"/>
  <c r="D12707" i="1"/>
  <c r="C12707" i="1"/>
  <c r="B12707" i="1"/>
  <c r="G12706" i="1"/>
  <c r="F12706" i="1"/>
  <c r="E12706" i="1"/>
  <c r="D12706" i="1"/>
  <c r="C12706" i="1"/>
  <c r="B12706" i="1"/>
  <c r="G12705" i="1"/>
  <c r="F12705" i="1"/>
  <c r="E12705" i="1"/>
  <c r="D12705" i="1"/>
  <c r="C12705" i="1"/>
  <c r="B12705" i="1"/>
  <c r="G12704" i="1"/>
  <c r="F12704" i="1"/>
  <c r="E12704" i="1"/>
  <c r="D12704" i="1"/>
  <c r="C12704" i="1"/>
  <c r="B12704" i="1"/>
  <c r="G12703" i="1"/>
  <c r="F12703" i="1"/>
  <c r="E12703" i="1"/>
  <c r="D12703" i="1"/>
  <c r="C12703" i="1"/>
  <c r="B12703" i="1"/>
  <c r="G12702" i="1"/>
  <c r="F12702" i="1"/>
  <c r="E12702" i="1"/>
  <c r="D12702" i="1"/>
  <c r="C12702" i="1"/>
  <c r="B12702" i="1"/>
  <c r="G12701" i="1"/>
  <c r="F12701" i="1"/>
  <c r="E12701" i="1"/>
  <c r="D12701" i="1"/>
  <c r="C12701" i="1"/>
  <c r="B12701" i="1"/>
  <c r="G12700" i="1"/>
  <c r="F12700" i="1"/>
  <c r="E12700" i="1"/>
  <c r="D12700" i="1"/>
  <c r="C12700" i="1"/>
  <c r="B12700" i="1"/>
  <c r="G12699" i="1"/>
  <c r="F12699" i="1"/>
  <c r="E12699" i="1"/>
  <c r="D12699" i="1"/>
  <c r="C12699" i="1"/>
  <c r="B12699" i="1"/>
  <c r="G12698" i="1"/>
  <c r="F12698" i="1"/>
  <c r="E12698" i="1"/>
  <c r="D12698" i="1"/>
  <c r="C12698" i="1"/>
  <c r="B12698" i="1"/>
  <c r="G12697" i="1"/>
  <c r="F12697" i="1"/>
  <c r="E12697" i="1"/>
  <c r="D12697" i="1"/>
  <c r="C12697" i="1"/>
  <c r="B12697" i="1"/>
  <c r="G12696" i="1"/>
  <c r="F12696" i="1"/>
  <c r="E12696" i="1"/>
  <c r="D12696" i="1"/>
  <c r="C12696" i="1"/>
  <c r="B12696" i="1"/>
  <c r="G12695" i="1"/>
  <c r="F12695" i="1"/>
  <c r="E12695" i="1"/>
  <c r="D12695" i="1"/>
  <c r="C12695" i="1"/>
  <c r="B12695" i="1"/>
  <c r="G12694" i="1"/>
  <c r="F12694" i="1"/>
  <c r="E12694" i="1"/>
  <c r="D12694" i="1"/>
  <c r="C12694" i="1"/>
  <c r="B12694" i="1"/>
  <c r="G12693" i="1"/>
  <c r="F12693" i="1"/>
  <c r="E12693" i="1"/>
  <c r="D12693" i="1"/>
  <c r="C12693" i="1"/>
  <c r="B12693" i="1"/>
  <c r="G12692" i="1"/>
  <c r="F12692" i="1"/>
  <c r="E12692" i="1"/>
  <c r="D12692" i="1"/>
  <c r="C12692" i="1"/>
  <c r="B12692" i="1"/>
  <c r="G12691" i="1"/>
  <c r="F12691" i="1"/>
  <c r="E12691" i="1"/>
  <c r="D12691" i="1"/>
  <c r="C12691" i="1"/>
  <c r="B12691" i="1"/>
  <c r="G12690" i="1"/>
  <c r="F12690" i="1"/>
  <c r="E12690" i="1"/>
  <c r="D12690" i="1"/>
  <c r="C12690" i="1"/>
  <c r="B12690" i="1"/>
  <c r="G12689" i="1"/>
  <c r="F12689" i="1"/>
  <c r="E12689" i="1"/>
  <c r="D12689" i="1"/>
  <c r="C12689" i="1"/>
  <c r="B12689" i="1"/>
  <c r="G12688" i="1"/>
  <c r="F12688" i="1"/>
  <c r="E12688" i="1"/>
  <c r="D12688" i="1"/>
  <c r="C12688" i="1"/>
  <c r="B12688" i="1"/>
  <c r="G12687" i="1"/>
  <c r="F12687" i="1"/>
  <c r="E12687" i="1"/>
  <c r="D12687" i="1"/>
  <c r="C12687" i="1"/>
  <c r="B12687" i="1"/>
  <c r="G12686" i="1"/>
  <c r="F12686" i="1"/>
  <c r="E12686" i="1"/>
  <c r="D12686" i="1"/>
  <c r="C12686" i="1"/>
  <c r="B12686" i="1"/>
  <c r="G12685" i="1"/>
  <c r="F12685" i="1"/>
  <c r="E12685" i="1"/>
  <c r="D12685" i="1"/>
  <c r="C12685" i="1"/>
  <c r="B12685" i="1"/>
  <c r="G12684" i="1"/>
  <c r="F12684" i="1"/>
  <c r="E12684" i="1"/>
  <c r="D12684" i="1"/>
  <c r="C12684" i="1"/>
  <c r="B12684" i="1"/>
  <c r="G12683" i="1"/>
  <c r="F12683" i="1"/>
  <c r="E12683" i="1"/>
  <c r="D12683" i="1"/>
  <c r="C12683" i="1"/>
  <c r="B12683" i="1"/>
  <c r="G12682" i="1"/>
  <c r="F12682" i="1"/>
  <c r="E12682" i="1"/>
  <c r="D12682" i="1"/>
  <c r="C12682" i="1"/>
  <c r="B12682" i="1"/>
  <c r="G12681" i="1"/>
  <c r="F12681" i="1"/>
  <c r="E12681" i="1"/>
  <c r="D12681" i="1"/>
  <c r="C12681" i="1"/>
  <c r="B12681" i="1"/>
  <c r="G12680" i="1"/>
  <c r="F12680" i="1"/>
  <c r="E12680" i="1"/>
  <c r="D12680" i="1"/>
  <c r="C12680" i="1"/>
  <c r="B12680" i="1"/>
  <c r="G12679" i="1"/>
  <c r="F12679" i="1"/>
  <c r="E12679" i="1"/>
  <c r="D12679" i="1"/>
  <c r="C12679" i="1"/>
  <c r="B12679" i="1"/>
  <c r="G12678" i="1"/>
  <c r="F12678" i="1"/>
  <c r="E12678" i="1"/>
  <c r="D12678" i="1"/>
  <c r="C12678" i="1"/>
  <c r="B12678" i="1"/>
  <c r="G12677" i="1"/>
  <c r="F12677" i="1"/>
  <c r="E12677" i="1"/>
  <c r="D12677" i="1"/>
  <c r="C12677" i="1"/>
  <c r="B12677" i="1"/>
  <c r="G12676" i="1"/>
  <c r="F12676" i="1"/>
  <c r="E12676" i="1"/>
  <c r="D12676" i="1"/>
  <c r="C12676" i="1"/>
  <c r="B12676" i="1"/>
  <c r="G12675" i="1"/>
  <c r="F12675" i="1"/>
  <c r="E12675" i="1"/>
  <c r="D12675" i="1"/>
  <c r="C12675" i="1"/>
  <c r="B12675" i="1"/>
  <c r="G12674" i="1"/>
  <c r="F12674" i="1"/>
  <c r="E12674" i="1"/>
  <c r="D12674" i="1"/>
  <c r="C12674" i="1"/>
  <c r="B12674" i="1"/>
  <c r="G12673" i="1"/>
  <c r="F12673" i="1"/>
  <c r="E12673" i="1"/>
  <c r="D12673" i="1"/>
  <c r="C12673" i="1"/>
  <c r="B12673" i="1"/>
  <c r="G12672" i="1"/>
  <c r="F12672" i="1"/>
  <c r="E12672" i="1"/>
  <c r="D12672" i="1"/>
  <c r="C12672" i="1"/>
  <c r="B12672" i="1"/>
  <c r="G12671" i="1"/>
  <c r="F12671" i="1"/>
  <c r="E12671" i="1"/>
  <c r="D12671" i="1"/>
  <c r="C12671" i="1"/>
  <c r="B12671" i="1"/>
  <c r="G12670" i="1"/>
  <c r="F12670" i="1"/>
  <c r="E12670" i="1"/>
  <c r="D12670" i="1"/>
  <c r="C12670" i="1"/>
  <c r="B12670" i="1"/>
  <c r="F12669" i="1"/>
  <c r="E12669" i="1"/>
  <c r="D12669" i="1"/>
  <c r="C12669" i="1"/>
  <c r="B12669" i="1"/>
  <c r="G12668" i="1"/>
  <c r="F12668" i="1"/>
  <c r="E12668" i="1"/>
  <c r="D12668" i="1"/>
  <c r="C12668" i="1"/>
  <c r="B12668" i="1"/>
  <c r="G12667" i="1"/>
  <c r="F12667" i="1"/>
  <c r="E12667" i="1"/>
  <c r="D12667" i="1"/>
  <c r="C12667" i="1"/>
  <c r="B12667" i="1"/>
  <c r="G12666" i="1"/>
  <c r="F12666" i="1"/>
  <c r="E12666" i="1"/>
  <c r="D12666" i="1"/>
  <c r="C12666" i="1"/>
  <c r="B12666" i="1"/>
  <c r="G12665" i="1"/>
  <c r="F12665" i="1"/>
  <c r="E12665" i="1"/>
  <c r="D12665" i="1"/>
  <c r="C12665" i="1"/>
  <c r="B12665" i="1"/>
  <c r="G12664" i="1"/>
  <c r="F12664" i="1"/>
  <c r="E12664" i="1"/>
  <c r="D12664" i="1"/>
  <c r="C12664" i="1"/>
  <c r="B12664" i="1"/>
  <c r="G12663" i="1"/>
  <c r="F12663" i="1"/>
  <c r="E12663" i="1"/>
  <c r="D12663" i="1"/>
  <c r="C12663" i="1"/>
  <c r="B12663" i="1"/>
  <c r="G12662" i="1"/>
  <c r="F12662" i="1"/>
  <c r="E12662" i="1"/>
  <c r="D12662" i="1"/>
  <c r="C12662" i="1"/>
  <c r="B12662" i="1"/>
  <c r="G12661" i="1"/>
  <c r="F12661" i="1"/>
  <c r="E12661" i="1"/>
  <c r="D12661" i="1"/>
  <c r="C12661" i="1"/>
  <c r="B12661" i="1"/>
  <c r="G12660" i="1"/>
  <c r="F12660" i="1"/>
  <c r="E12660" i="1"/>
  <c r="D12660" i="1"/>
  <c r="C12660" i="1"/>
  <c r="B12660" i="1"/>
  <c r="G12659" i="1"/>
  <c r="F12659" i="1"/>
  <c r="E12659" i="1"/>
  <c r="D12659" i="1"/>
  <c r="C12659" i="1"/>
  <c r="B12659" i="1"/>
  <c r="G12658" i="1"/>
  <c r="F12658" i="1"/>
  <c r="E12658" i="1"/>
  <c r="D12658" i="1"/>
  <c r="C12658" i="1"/>
  <c r="B12658" i="1"/>
  <c r="G12657" i="1"/>
  <c r="F12657" i="1"/>
  <c r="E12657" i="1"/>
  <c r="D12657" i="1"/>
  <c r="C12657" i="1"/>
  <c r="B12657" i="1"/>
  <c r="G12656" i="1"/>
  <c r="F12656" i="1"/>
  <c r="E12656" i="1"/>
  <c r="D12656" i="1"/>
  <c r="C12656" i="1"/>
  <c r="B12656" i="1"/>
  <c r="G12655" i="1"/>
  <c r="F12655" i="1"/>
  <c r="E12655" i="1"/>
  <c r="D12655" i="1"/>
  <c r="C12655" i="1"/>
  <c r="B12655" i="1"/>
  <c r="G12654" i="1"/>
  <c r="F12654" i="1"/>
  <c r="E12654" i="1"/>
  <c r="D12654" i="1"/>
  <c r="C12654" i="1"/>
  <c r="B12654" i="1"/>
  <c r="G12653" i="1"/>
  <c r="F12653" i="1"/>
  <c r="E12653" i="1"/>
  <c r="D12653" i="1"/>
  <c r="C12653" i="1"/>
  <c r="B12653" i="1"/>
  <c r="G12652" i="1"/>
  <c r="F12652" i="1"/>
  <c r="E12652" i="1"/>
  <c r="D12652" i="1"/>
  <c r="C12652" i="1"/>
  <c r="B12652" i="1"/>
  <c r="G12651" i="1"/>
  <c r="F12651" i="1"/>
  <c r="E12651" i="1"/>
  <c r="D12651" i="1"/>
  <c r="C12651" i="1"/>
  <c r="B12651" i="1"/>
  <c r="G12650" i="1"/>
  <c r="F12650" i="1"/>
  <c r="E12650" i="1"/>
  <c r="D12650" i="1"/>
  <c r="C12650" i="1"/>
  <c r="B12650" i="1"/>
  <c r="G12649" i="1"/>
  <c r="F12649" i="1"/>
  <c r="E12649" i="1"/>
  <c r="D12649" i="1"/>
  <c r="C12649" i="1"/>
  <c r="B12649" i="1"/>
  <c r="G12648" i="1"/>
  <c r="F12648" i="1"/>
  <c r="E12648" i="1"/>
  <c r="D12648" i="1"/>
  <c r="C12648" i="1"/>
  <c r="B12648" i="1"/>
  <c r="G12647" i="1"/>
  <c r="F12647" i="1"/>
  <c r="E12647" i="1"/>
  <c r="D12647" i="1"/>
  <c r="C12647" i="1"/>
  <c r="B12647" i="1"/>
  <c r="G12646" i="1"/>
  <c r="F12646" i="1"/>
  <c r="E12646" i="1"/>
  <c r="D12646" i="1"/>
  <c r="C12646" i="1"/>
  <c r="B12646" i="1"/>
  <c r="G12645" i="1"/>
  <c r="F12645" i="1"/>
  <c r="E12645" i="1"/>
  <c r="D12645" i="1"/>
  <c r="C12645" i="1"/>
  <c r="B12645" i="1"/>
  <c r="G12644" i="1"/>
  <c r="F12644" i="1"/>
  <c r="E12644" i="1"/>
  <c r="D12644" i="1"/>
  <c r="C12644" i="1"/>
  <c r="B12644" i="1"/>
  <c r="G12643" i="1"/>
  <c r="F12643" i="1"/>
  <c r="E12643" i="1"/>
  <c r="D12643" i="1"/>
  <c r="C12643" i="1"/>
  <c r="B12643" i="1"/>
  <c r="G12642" i="1"/>
  <c r="F12642" i="1"/>
  <c r="E12642" i="1"/>
  <c r="D12642" i="1"/>
  <c r="C12642" i="1"/>
  <c r="B12642" i="1"/>
  <c r="G12641" i="1"/>
  <c r="F12641" i="1"/>
  <c r="E12641" i="1"/>
  <c r="D12641" i="1"/>
  <c r="C12641" i="1"/>
  <c r="B12641" i="1"/>
  <c r="G12640" i="1"/>
  <c r="F12640" i="1"/>
  <c r="E12640" i="1"/>
  <c r="D12640" i="1"/>
  <c r="C12640" i="1"/>
  <c r="B12640" i="1"/>
  <c r="G12639" i="1"/>
  <c r="F12639" i="1"/>
  <c r="E12639" i="1"/>
  <c r="D12639" i="1"/>
  <c r="C12639" i="1"/>
  <c r="B12639" i="1"/>
  <c r="G12638" i="1"/>
  <c r="F12638" i="1"/>
  <c r="E12638" i="1"/>
  <c r="D12638" i="1"/>
  <c r="C12638" i="1"/>
  <c r="B12638" i="1"/>
  <c r="G12637" i="1"/>
  <c r="F12637" i="1"/>
  <c r="E12637" i="1"/>
  <c r="D12637" i="1"/>
  <c r="C12637" i="1"/>
  <c r="B12637" i="1"/>
  <c r="G12636" i="1"/>
  <c r="F12636" i="1"/>
  <c r="E12636" i="1"/>
  <c r="D12636" i="1"/>
  <c r="C12636" i="1"/>
  <c r="B12636" i="1"/>
  <c r="G12635" i="1"/>
  <c r="F12635" i="1"/>
  <c r="E12635" i="1"/>
  <c r="D12635" i="1"/>
  <c r="C12635" i="1"/>
  <c r="B12635" i="1"/>
  <c r="G12634" i="1"/>
  <c r="F12634" i="1"/>
  <c r="E12634" i="1"/>
  <c r="D12634" i="1"/>
  <c r="C12634" i="1"/>
  <c r="B12634" i="1"/>
  <c r="G12633" i="1"/>
  <c r="F12633" i="1"/>
  <c r="E12633" i="1"/>
  <c r="D12633" i="1"/>
  <c r="C12633" i="1"/>
  <c r="B12633" i="1"/>
  <c r="G12632" i="1"/>
  <c r="F12632" i="1"/>
  <c r="E12632" i="1"/>
  <c r="D12632" i="1"/>
  <c r="C12632" i="1"/>
  <c r="B12632" i="1"/>
  <c r="G12631" i="1"/>
  <c r="F12631" i="1"/>
  <c r="E12631" i="1"/>
  <c r="D12631" i="1"/>
  <c r="C12631" i="1"/>
  <c r="B12631" i="1"/>
  <c r="G12630" i="1"/>
  <c r="F12630" i="1"/>
  <c r="E12630" i="1"/>
  <c r="D12630" i="1"/>
  <c r="C12630" i="1"/>
  <c r="B12630" i="1"/>
  <c r="G12629" i="1"/>
  <c r="F12629" i="1"/>
  <c r="E12629" i="1"/>
  <c r="D12629" i="1"/>
  <c r="C12629" i="1"/>
  <c r="B12629" i="1"/>
  <c r="G12628" i="1"/>
  <c r="F12628" i="1"/>
  <c r="E12628" i="1"/>
  <c r="D12628" i="1"/>
  <c r="C12628" i="1"/>
  <c r="B12628" i="1"/>
  <c r="G12627" i="1"/>
  <c r="F12627" i="1"/>
  <c r="E12627" i="1"/>
  <c r="D12627" i="1"/>
  <c r="C12627" i="1"/>
  <c r="B12627" i="1"/>
  <c r="G12626" i="1"/>
  <c r="F12626" i="1"/>
  <c r="E12626" i="1"/>
  <c r="D12626" i="1"/>
  <c r="C12626" i="1"/>
  <c r="B12626" i="1"/>
  <c r="G12625" i="1"/>
  <c r="F12625" i="1"/>
  <c r="E12625" i="1"/>
  <c r="D12625" i="1"/>
  <c r="C12625" i="1"/>
  <c r="B12625" i="1"/>
  <c r="G12624" i="1"/>
  <c r="F12624" i="1"/>
  <c r="E12624" i="1"/>
  <c r="D12624" i="1"/>
  <c r="C12624" i="1"/>
  <c r="B12624" i="1"/>
  <c r="G12623" i="1"/>
  <c r="F12623" i="1"/>
  <c r="E12623" i="1"/>
  <c r="D12623" i="1"/>
  <c r="C12623" i="1"/>
  <c r="B12623" i="1"/>
  <c r="G12622" i="1"/>
  <c r="F12622" i="1"/>
  <c r="E12622" i="1"/>
  <c r="D12622" i="1"/>
  <c r="C12622" i="1"/>
  <c r="B12622" i="1"/>
  <c r="G12621" i="1"/>
  <c r="F12621" i="1"/>
  <c r="E12621" i="1"/>
  <c r="D12621" i="1"/>
  <c r="C12621" i="1"/>
  <c r="B12621" i="1"/>
  <c r="G12620" i="1"/>
  <c r="F12620" i="1"/>
  <c r="E12620" i="1"/>
  <c r="D12620" i="1"/>
  <c r="C12620" i="1"/>
  <c r="B12620" i="1"/>
  <c r="G12619" i="1"/>
  <c r="F12619" i="1"/>
  <c r="E12619" i="1"/>
  <c r="D12619" i="1"/>
  <c r="C12619" i="1"/>
  <c r="B12619" i="1"/>
  <c r="G12618" i="1"/>
  <c r="F12618" i="1"/>
  <c r="E12618" i="1"/>
  <c r="D12618" i="1"/>
  <c r="C12618" i="1"/>
  <c r="B12618" i="1"/>
  <c r="G12617" i="1"/>
  <c r="F12617" i="1"/>
  <c r="E12617" i="1"/>
  <c r="D12617" i="1"/>
  <c r="C12617" i="1"/>
  <c r="B12617" i="1"/>
  <c r="G12616" i="1"/>
  <c r="F12616" i="1"/>
  <c r="E12616" i="1"/>
  <c r="D12616" i="1"/>
  <c r="C12616" i="1"/>
  <c r="B12616" i="1"/>
  <c r="G12615" i="1"/>
  <c r="F12615" i="1"/>
  <c r="E12615" i="1"/>
  <c r="D12615" i="1"/>
  <c r="C12615" i="1"/>
  <c r="B12615" i="1"/>
  <c r="G12614" i="1"/>
  <c r="F12614" i="1"/>
  <c r="E12614" i="1"/>
  <c r="D12614" i="1"/>
  <c r="C12614" i="1"/>
  <c r="B12614" i="1"/>
  <c r="G12613" i="1"/>
  <c r="F12613" i="1"/>
  <c r="E12613" i="1"/>
  <c r="D12613" i="1"/>
  <c r="C12613" i="1"/>
  <c r="B12613" i="1"/>
  <c r="G12612" i="1"/>
  <c r="F12612" i="1"/>
  <c r="E12612" i="1"/>
  <c r="D12612" i="1"/>
  <c r="C12612" i="1"/>
  <c r="B12612" i="1"/>
  <c r="G12611" i="1"/>
  <c r="F12611" i="1"/>
  <c r="E12611" i="1"/>
  <c r="D12611" i="1"/>
  <c r="C12611" i="1"/>
  <c r="B12611" i="1"/>
  <c r="G12610" i="1"/>
  <c r="F12610" i="1"/>
  <c r="E12610" i="1"/>
  <c r="D12610" i="1"/>
  <c r="C12610" i="1"/>
  <c r="B12610" i="1"/>
  <c r="G12609" i="1"/>
  <c r="F12609" i="1"/>
  <c r="E12609" i="1"/>
  <c r="D12609" i="1"/>
  <c r="C12609" i="1"/>
  <c r="B12609" i="1"/>
  <c r="G12608" i="1"/>
  <c r="F12608" i="1"/>
  <c r="E12608" i="1"/>
  <c r="D12608" i="1"/>
  <c r="C12608" i="1"/>
  <c r="B12608" i="1"/>
  <c r="G12607" i="1"/>
  <c r="F12607" i="1"/>
  <c r="E12607" i="1"/>
  <c r="D12607" i="1"/>
  <c r="C12607" i="1"/>
  <c r="B12607" i="1"/>
  <c r="G12606" i="1"/>
  <c r="F12606" i="1"/>
  <c r="E12606" i="1"/>
  <c r="D12606" i="1"/>
  <c r="C12606" i="1"/>
  <c r="B12606" i="1"/>
  <c r="G12605" i="1"/>
  <c r="F12605" i="1"/>
  <c r="E12605" i="1"/>
  <c r="D12605" i="1"/>
  <c r="C12605" i="1"/>
  <c r="B12605" i="1"/>
  <c r="G12604" i="1"/>
  <c r="F12604" i="1"/>
  <c r="E12604" i="1"/>
  <c r="D12604" i="1"/>
  <c r="C12604" i="1"/>
  <c r="B12604" i="1"/>
  <c r="G12603" i="1"/>
  <c r="F12603" i="1"/>
  <c r="E12603" i="1"/>
  <c r="D12603" i="1"/>
  <c r="C12603" i="1"/>
  <c r="B12603" i="1"/>
  <c r="G12602" i="1"/>
  <c r="F12602" i="1"/>
  <c r="E12602" i="1"/>
  <c r="D12602" i="1"/>
  <c r="C12602" i="1"/>
  <c r="B12602" i="1"/>
  <c r="G12601" i="1"/>
  <c r="F12601" i="1"/>
  <c r="E12601" i="1"/>
  <c r="D12601" i="1"/>
  <c r="C12601" i="1"/>
  <c r="B12601" i="1"/>
  <c r="G12600" i="1"/>
  <c r="F12600" i="1"/>
  <c r="E12600" i="1"/>
  <c r="D12600" i="1"/>
  <c r="C12600" i="1"/>
  <c r="B12600" i="1"/>
  <c r="G12599" i="1"/>
  <c r="F12599" i="1"/>
  <c r="E12599" i="1"/>
  <c r="D12599" i="1"/>
  <c r="C12599" i="1"/>
  <c r="B12599" i="1"/>
  <c r="G12598" i="1"/>
  <c r="F12598" i="1"/>
  <c r="E12598" i="1"/>
  <c r="D12598" i="1"/>
  <c r="C12598" i="1"/>
  <c r="B12598" i="1"/>
  <c r="G12597" i="1"/>
  <c r="F12597" i="1"/>
  <c r="E12597" i="1"/>
  <c r="D12597" i="1"/>
  <c r="C12597" i="1"/>
  <c r="B12597" i="1"/>
  <c r="G12596" i="1"/>
  <c r="F12596" i="1"/>
  <c r="E12596" i="1"/>
  <c r="D12596" i="1"/>
  <c r="C12596" i="1"/>
  <c r="B12596" i="1"/>
  <c r="G12595" i="1"/>
  <c r="F12595" i="1"/>
  <c r="E12595" i="1"/>
  <c r="D12595" i="1"/>
  <c r="C12595" i="1"/>
  <c r="B12595" i="1"/>
  <c r="G12594" i="1"/>
  <c r="F12594" i="1"/>
  <c r="E12594" i="1"/>
  <c r="D12594" i="1"/>
  <c r="C12594" i="1"/>
  <c r="B12594" i="1"/>
  <c r="G12593" i="1"/>
  <c r="F12593" i="1"/>
  <c r="E12593" i="1"/>
  <c r="D12593" i="1"/>
  <c r="C12593" i="1"/>
  <c r="B12593" i="1"/>
  <c r="G12592" i="1"/>
  <c r="F12592" i="1"/>
  <c r="E12592" i="1"/>
  <c r="D12592" i="1"/>
  <c r="C12592" i="1"/>
  <c r="B12592" i="1"/>
  <c r="G12591" i="1"/>
  <c r="F12591" i="1"/>
  <c r="E12591" i="1"/>
  <c r="D12591" i="1"/>
  <c r="C12591" i="1"/>
  <c r="B12591" i="1"/>
  <c r="G12590" i="1"/>
  <c r="F12590" i="1"/>
  <c r="E12590" i="1"/>
  <c r="D12590" i="1"/>
  <c r="C12590" i="1"/>
  <c r="B12590" i="1"/>
  <c r="G12589" i="1"/>
  <c r="F12589" i="1"/>
  <c r="E12589" i="1"/>
  <c r="D12589" i="1"/>
  <c r="C12589" i="1"/>
  <c r="B12589" i="1"/>
  <c r="G12588" i="1"/>
  <c r="F12588" i="1"/>
  <c r="E12588" i="1"/>
  <c r="D12588" i="1"/>
  <c r="C12588" i="1"/>
  <c r="B12588" i="1"/>
  <c r="G12587" i="1"/>
  <c r="F12587" i="1"/>
  <c r="E12587" i="1"/>
  <c r="D12587" i="1"/>
  <c r="C12587" i="1"/>
  <c r="B12587" i="1"/>
  <c r="G12586" i="1"/>
  <c r="F12586" i="1"/>
  <c r="E12586" i="1"/>
  <c r="D12586" i="1"/>
  <c r="C12586" i="1"/>
  <c r="B12586" i="1"/>
  <c r="G12585" i="1"/>
  <c r="F12585" i="1"/>
  <c r="E12585" i="1"/>
  <c r="D12585" i="1"/>
  <c r="C12585" i="1"/>
  <c r="B12585" i="1"/>
  <c r="G12584" i="1"/>
  <c r="F12584" i="1"/>
  <c r="E12584" i="1"/>
  <c r="D12584" i="1"/>
  <c r="C12584" i="1"/>
  <c r="B12584" i="1"/>
  <c r="G12583" i="1"/>
  <c r="F12583" i="1"/>
  <c r="E12583" i="1"/>
  <c r="D12583" i="1"/>
  <c r="C12583" i="1"/>
  <c r="B12583" i="1"/>
  <c r="G12582" i="1"/>
  <c r="F12582" i="1"/>
  <c r="E12582" i="1"/>
  <c r="D12582" i="1"/>
  <c r="C12582" i="1"/>
  <c r="B12582" i="1"/>
  <c r="G12581" i="1"/>
  <c r="F12581" i="1"/>
  <c r="E12581" i="1"/>
  <c r="D12581" i="1"/>
  <c r="C12581" i="1"/>
  <c r="B12581" i="1"/>
  <c r="G12580" i="1"/>
  <c r="F12580" i="1"/>
  <c r="E12580" i="1"/>
  <c r="D12580" i="1"/>
  <c r="C12580" i="1"/>
  <c r="B12580" i="1"/>
  <c r="G12579" i="1"/>
  <c r="F12579" i="1"/>
  <c r="E12579" i="1"/>
  <c r="D12579" i="1"/>
  <c r="C12579" i="1"/>
  <c r="B12579" i="1"/>
  <c r="G12578" i="1"/>
  <c r="F12578" i="1"/>
  <c r="E12578" i="1"/>
  <c r="D12578" i="1"/>
  <c r="C12578" i="1"/>
  <c r="B12578" i="1"/>
  <c r="G12577" i="1"/>
  <c r="F12577" i="1"/>
  <c r="E12577" i="1"/>
  <c r="D12577" i="1"/>
  <c r="C12577" i="1"/>
  <c r="B12577" i="1"/>
  <c r="G12576" i="1"/>
  <c r="F12576" i="1"/>
  <c r="E12576" i="1"/>
  <c r="D12576" i="1"/>
  <c r="C12576" i="1"/>
  <c r="B12576" i="1"/>
  <c r="G12575" i="1"/>
  <c r="F12575" i="1"/>
  <c r="E12575" i="1"/>
  <c r="D12575" i="1"/>
  <c r="C12575" i="1"/>
  <c r="B12575" i="1"/>
  <c r="G12574" i="1"/>
  <c r="F12574" i="1"/>
  <c r="E12574" i="1"/>
  <c r="D12574" i="1"/>
  <c r="C12574" i="1"/>
  <c r="B12574" i="1"/>
  <c r="G12573" i="1"/>
  <c r="F12573" i="1"/>
  <c r="E12573" i="1"/>
  <c r="D12573" i="1"/>
  <c r="C12573" i="1"/>
  <c r="B12573" i="1"/>
  <c r="G12572" i="1"/>
  <c r="F12572" i="1"/>
  <c r="E12572" i="1"/>
  <c r="D12572" i="1"/>
  <c r="C12572" i="1"/>
  <c r="B12572" i="1"/>
  <c r="G12571" i="1"/>
  <c r="F12571" i="1"/>
  <c r="E12571" i="1"/>
  <c r="D12571" i="1"/>
  <c r="C12571" i="1"/>
  <c r="B12571" i="1"/>
  <c r="G12570" i="1"/>
  <c r="F12570" i="1"/>
  <c r="E12570" i="1"/>
  <c r="D12570" i="1"/>
  <c r="C12570" i="1"/>
  <c r="B12570" i="1"/>
  <c r="G12569" i="1"/>
  <c r="F12569" i="1"/>
  <c r="E12569" i="1"/>
  <c r="D12569" i="1"/>
  <c r="C12569" i="1"/>
  <c r="B12569" i="1"/>
  <c r="G12568" i="1"/>
  <c r="F12568" i="1"/>
  <c r="E12568" i="1"/>
  <c r="D12568" i="1"/>
  <c r="C12568" i="1"/>
  <c r="B12568" i="1"/>
  <c r="G12567" i="1"/>
  <c r="F12567" i="1"/>
  <c r="E12567" i="1"/>
  <c r="D12567" i="1"/>
  <c r="C12567" i="1"/>
  <c r="B12567" i="1"/>
  <c r="G12566" i="1"/>
  <c r="F12566" i="1"/>
  <c r="E12566" i="1"/>
  <c r="D12566" i="1"/>
  <c r="C12566" i="1"/>
  <c r="B12566" i="1"/>
  <c r="G12565" i="1"/>
  <c r="F12565" i="1"/>
  <c r="E12565" i="1"/>
  <c r="D12565" i="1"/>
  <c r="C12565" i="1"/>
  <c r="B12565" i="1"/>
  <c r="G12564" i="1"/>
  <c r="F12564" i="1"/>
  <c r="E12564" i="1"/>
  <c r="D12564" i="1"/>
  <c r="C12564" i="1"/>
  <c r="B12564" i="1"/>
  <c r="G12563" i="1"/>
  <c r="F12563" i="1"/>
  <c r="E12563" i="1"/>
  <c r="D12563" i="1"/>
  <c r="C12563" i="1"/>
  <c r="B12563" i="1"/>
  <c r="G12562" i="1"/>
  <c r="F12562" i="1"/>
  <c r="E12562" i="1"/>
  <c r="D12562" i="1"/>
  <c r="C12562" i="1"/>
  <c r="B12562" i="1"/>
  <c r="G12561" i="1"/>
  <c r="F12561" i="1"/>
  <c r="E12561" i="1"/>
  <c r="D12561" i="1"/>
  <c r="C12561" i="1"/>
  <c r="B12561" i="1"/>
  <c r="G12560" i="1"/>
  <c r="F12560" i="1"/>
  <c r="E12560" i="1"/>
  <c r="D12560" i="1"/>
  <c r="C12560" i="1"/>
  <c r="B12560" i="1"/>
  <c r="G12559" i="1"/>
  <c r="F12559" i="1"/>
  <c r="E12559" i="1"/>
  <c r="D12559" i="1"/>
  <c r="C12559" i="1"/>
  <c r="B12559" i="1"/>
  <c r="G12558" i="1"/>
  <c r="F12558" i="1"/>
  <c r="E12558" i="1"/>
  <c r="D12558" i="1"/>
  <c r="C12558" i="1"/>
  <c r="B12558" i="1"/>
  <c r="G12557" i="1"/>
  <c r="F12557" i="1"/>
  <c r="E12557" i="1"/>
  <c r="D12557" i="1"/>
  <c r="C12557" i="1"/>
  <c r="B12557" i="1"/>
  <c r="G12556" i="1"/>
  <c r="F12556" i="1"/>
  <c r="E12556" i="1"/>
  <c r="D12556" i="1"/>
  <c r="C12556" i="1"/>
  <c r="B12556" i="1"/>
  <c r="G12555" i="1"/>
  <c r="F12555" i="1"/>
  <c r="E12555" i="1"/>
  <c r="D12555" i="1"/>
  <c r="C12555" i="1"/>
  <c r="B12555" i="1"/>
  <c r="G12554" i="1"/>
  <c r="F12554" i="1"/>
  <c r="E12554" i="1"/>
  <c r="D12554" i="1"/>
  <c r="C12554" i="1"/>
  <c r="B12554" i="1"/>
  <c r="G12553" i="1"/>
  <c r="F12553" i="1"/>
  <c r="E12553" i="1"/>
  <c r="D12553" i="1"/>
  <c r="C12553" i="1"/>
  <c r="B12553" i="1"/>
  <c r="G12552" i="1"/>
  <c r="F12552" i="1"/>
  <c r="E12552" i="1"/>
  <c r="D12552" i="1"/>
  <c r="C12552" i="1"/>
  <c r="B12552" i="1"/>
  <c r="G12551" i="1"/>
  <c r="F12551" i="1"/>
  <c r="E12551" i="1"/>
  <c r="D12551" i="1"/>
  <c r="C12551" i="1"/>
  <c r="B12551" i="1"/>
  <c r="G12550" i="1"/>
  <c r="F12550" i="1"/>
  <c r="E12550" i="1"/>
  <c r="D12550" i="1"/>
  <c r="C12550" i="1"/>
  <c r="B12550" i="1"/>
  <c r="G12549" i="1"/>
  <c r="F12549" i="1"/>
  <c r="E12549" i="1"/>
  <c r="D12549" i="1"/>
  <c r="C12549" i="1"/>
  <c r="B12549" i="1"/>
  <c r="G12548" i="1"/>
  <c r="F12548" i="1"/>
  <c r="E12548" i="1"/>
  <c r="D12548" i="1"/>
  <c r="C12548" i="1"/>
  <c r="B12548" i="1"/>
  <c r="G12547" i="1"/>
  <c r="F12547" i="1"/>
  <c r="E12547" i="1"/>
  <c r="D12547" i="1"/>
  <c r="C12547" i="1"/>
  <c r="B12547" i="1"/>
  <c r="G12546" i="1"/>
  <c r="F12546" i="1"/>
  <c r="E12546" i="1"/>
  <c r="D12546" i="1"/>
  <c r="C12546" i="1"/>
  <c r="B12546" i="1"/>
  <c r="G12545" i="1"/>
  <c r="F12545" i="1"/>
  <c r="E12545" i="1"/>
  <c r="D12545" i="1"/>
  <c r="C12545" i="1"/>
  <c r="B12545" i="1"/>
  <c r="G12544" i="1"/>
  <c r="F12544" i="1"/>
  <c r="E12544" i="1"/>
  <c r="D12544" i="1"/>
  <c r="C12544" i="1"/>
  <c r="B12544" i="1"/>
  <c r="G12543" i="1"/>
  <c r="F12543" i="1"/>
  <c r="E12543" i="1"/>
  <c r="D12543" i="1"/>
  <c r="C12543" i="1"/>
  <c r="B12543" i="1"/>
  <c r="G12542" i="1"/>
  <c r="F12542" i="1"/>
  <c r="E12542" i="1"/>
  <c r="D12542" i="1"/>
  <c r="C12542" i="1"/>
  <c r="B12542" i="1"/>
  <c r="G12541" i="1"/>
  <c r="F12541" i="1"/>
  <c r="E12541" i="1"/>
  <c r="D12541" i="1"/>
  <c r="C12541" i="1"/>
  <c r="B12541" i="1"/>
  <c r="G12540" i="1"/>
  <c r="F12540" i="1"/>
  <c r="E12540" i="1"/>
  <c r="D12540" i="1"/>
  <c r="C12540" i="1"/>
  <c r="B12540" i="1"/>
  <c r="G12539" i="1"/>
  <c r="F12539" i="1"/>
  <c r="E12539" i="1"/>
  <c r="D12539" i="1"/>
  <c r="C12539" i="1"/>
  <c r="B12539" i="1"/>
  <c r="G12538" i="1"/>
  <c r="F12538" i="1"/>
  <c r="E12538" i="1"/>
  <c r="D12538" i="1"/>
  <c r="C12538" i="1"/>
  <c r="B12538" i="1"/>
  <c r="G12537" i="1"/>
  <c r="F12537" i="1"/>
  <c r="E12537" i="1"/>
  <c r="D12537" i="1"/>
  <c r="C12537" i="1"/>
  <c r="B12537" i="1"/>
  <c r="G12536" i="1"/>
  <c r="F12536" i="1"/>
  <c r="E12536" i="1"/>
  <c r="D12536" i="1"/>
  <c r="C12536" i="1"/>
  <c r="B12536" i="1"/>
  <c r="G12535" i="1"/>
  <c r="F12535" i="1"/>
  <c r="E12535" i="1"/>
  <c r="D12535" i="1"/>
  <c r="C12535" i="1"/>
  <c r="B12535" i="1"/>
  <c r="G12534" i="1"/>
  <c r="F12534" i="1"/>
  <c r="E12534" i="1"/>
  <c r="D12534" i="1"/>
  <c r="C12534" i="1"/>
  <c r="B12534" i="1"/>
  <c r="G12533" i="1"/>
  <c r="F12533" i="1"/>
  <c r="E12533" i="1"/>
  <c r="D12533" i="1"/>
  <c r="C12533" i="1"/>
  <c r="B12533" i="1"/>
  <c r="G12532" i="1"/>
  <c r="F12532" i="1"/>
  <c r="E12532" i="1"/>
  <c r="D12532" i="1"/>
  <c r="C12532" i="1"/>
  <c r="B12532" i="1"/>
  <c r="G12531" i="1"/>
  <c r="F12531" i="1"/>
  <c r="E12531" i="1"/>
  <c r="D12531" i="1"/>
  <c r="C12531" i="1"/>
  <c r="B12531" i="1"/>
  <c r="G12530" i="1"/>
  <c r="F12530" i="1"/>
  <c r="E12530" i="1"/>
  <c r="D12530" i="1"/>
  <c r="C12530" i="1"/>
  <c r="B12530" i="1"/>
  <c r="G12529" i="1"/>
  <c r="F12529" i="1"/>
  <c r="E12529" i="1"/>
  <c r="D12529" i="1"/>
  <c r="C12529" i="1"/>
  <c r="B12529" i="1"/>
  <c r="G12528" i="1"/>
  <c r="F12528" i="1"/>
  <c r="E12528" i="1"/>
  <c r="D12528" i="1"/>
  <c r="C12528" i="1"/>
  <c r="B12528" i="1"/>
  <c r="G12527" i="1"/>
  <c r="F12527" i="1"/>
  <c r="E12527" i="1"/>
  <c r="D12527" i="1"/>
  <c r="C12527" i="1"/>
  <c r="B12527" i="1"/>
  <c r="G12526" i="1"/>
  <c r="F12526" i="1"/>
  <c r="E12526" i="1"/>
  <c r="D12526" i="1"/>
  <c r="C12526" i="1"/>
  <c r="B12526" i="1"/>
  <c r="G12525" i="1"/>
  <c r="F12525" i="1"/>
  <c r="E12525" i="1"/>
  <c r="D12525" i="1"/>
  <c r="C12525" i="1"/>
  <c r="B12525" i="1"/>
  <c r="G12524" i="1"/>
  <c r="F12524" i="1"/>
  <c r="E12524" i="1"/>
  <c r="D12524" i="1"/>
  <c r="C12524" i="1"/>
  <c r="B12524" i="1"/>
  <c r="G12523" i="1"/>
  <c r="F12523" i="1"/>
  <c r="E12523" i="1"/>
  <c r="D12523" i="1"/>
  <c r="C12523" i="1"/>
  <c r="B12523" i="1"/>
  <c r="G12522" i="1"/>
  <c r="F12522" i="1"/>
  <c r="E12522" i="1"/>
  <c r="D12522" i="1"/>
  <c r="C12522" i="1"/>
  <c r="B12522" i="1"/>
  <c r="G12521" i="1"/>
  <c r="F12521" i="1"/>
  <c r="E12521" i="1"/>
  <c r="D12521" i="1"/>
  <c r="C12521" i="1"/>
  <c r="B12521" i="1"/>
  <c r="G12520" i="1"/>
  <c r="F12520" i="1"/>
  <c r="E12520" i="1"/>
  <c r="D12520" i="1"/>
  <c r="C12520" i="1"/>
  <c r="B12520" i="1"/>
  <c r="G12519" i="1"/>
  <c r="F12519" i="1"/>
  <c r="E12519" i="1"/>
  <c r="D12519" i="1"/>
  <c r="C12519" i="1"/>
  <c r="B12519" i="1"/>
  <c r="G12518" i="1"/>
  <c r="F12518" i="1"/>
  <c r="E12518" i="1"/>
  <c r="D12518" i="1"/>
  <c r="C12518" i="1"/>
  <c r="B12518" i="1"/>
  <c r="G12517" i="1"/>
  <c r="F12517" i="1"/>
  <c r="E12517" i="1"/>
  <c r="D12517" i="1"/>
  <c r="C12517" i="1"/>
  <c r="B12517" i="1"/>
  <c r="G12516" i="1"/>
  <c r="F12516" i="1"/>
  <c r="E12516" i="1"/>
  <c r="D12516" i="1"/>
  <c r="C12516" i="1"/>
  <c r="B12516" i="1"/>
  <c r="G12515" i="1"/>
  <c r="F12515" i="1"/>
  <c r="E12515" i="1"/>
  <c r="D12515" i="1"/>
  <c r="C12515" i="1"/>
  <c r="B12515" i="1"/>
  <c r="G12514" i="1"/>
  <c r="F12514" i="1"/>
  <c r="E12514" i="1"/>
  <c r="D12514" i="1"/>
  <c r="C12514" i="1"/>
  <c r="B12514" i="1"/>
  <c r="G12513" i="1"/>
  <c r="F12513" i="1"/>
  <c r="E12513" i="1"/>
  <c r="D12513" i="1"/>
  <c r="C12513" i="1"/>
  <c r="B12513" i="1"/>
  <c r="G12512" i="1"/>
  <c r="F12512" i="1"/>
  <c r="E12512" i="1"/>
  <c r="D12512" i="1"/>
  <c r="C12512" i="1"/>
  <c r="B12512" i="1"/>
  <c r="G12511" i="1"/>
  <c r="F12511" i="1"/>
  <c r="E12511" i="1"/>
  <c r="D12511" i="1"/>
  <c r="C12511" i="1"/>
  <c r="B12511" i="1"/>
  <c r="G12510" i="1"/>
  <c r="F12510" i="1"/>
  <c r="E12510" i="1"/>
  <c r="D12510" i="1"/>
  <c r="C12510" i="1"/>
  <c r="B12510" i="1"/>
  <c r="G12509" i="1"/>
  <c r="F12509" i="1"/>
  <c r="E12509" i="1"/>
  <c r="D12509" i="1"/>
  <c r="C12509" i="1"/>
  <c r="B12509" i="1"/>
  <c r="G12508" i="1"/>
  <c r="F12508" i="1"/>
  <c r="E12508" i="1"/>
  <c r="D12508" i="1"/>
  <c r="C12508" i="1"/>
  <c r="B12508" i="1"/>
  <c r="G12507" i="1"/>
  <c r="F12507" i="1"/>
  <c r="E12507" i="1"/>
  <c r="D12507" i="1"/>
  <c r="C12507" i="1"/>
  <c r="B12507" i="1"/>
  <c r="G12506" i="1"/>
  <c r="F12506" i="1"/>
  <c r="E12506" i="1"/>
  <c r="D12506" i="1"/>
  <c r="C12506" i="1"/>
  <c r="B12506" i="1"/>
  <c r="G12505" i="1"/>
  <c r="F12505" i="1"/>
  <c r="E12505" i="1"/>
  <c r="D12505" i="1"/>
  <c r="C12505" i="1"/>
  <c r="B12505" i="1"/>
  <c r="G12504" i="1"/>
  <c r="F12504" i="1"/>
  <c r="E12504" i="1"/>
  <c r="D12504" i="1"/>
  <c r="C12504" i="1"/>
  <c r="B12504" i="1"/>
  <c r="G12503" i="1"/>
  <c r="F12503" i="1"/>
  <c r="E12503" i="1"/>
  <c r="D12503" i="1"/>
  <c r="C12503" i="1"/>
  <c r="B12503" i="1"/>
  <c r="G12502" i="1"/>
  <c r="F12502" i="1"/>
  <c r="E12502" i="1"/>
  <c r="D12502" i="1"/>
  <c r="C12502" i="1"/>
  <c r="B12502" i="1"/>
  <c r="G12501" i="1"/>
  <c r="F12501" i="1"/>
  <c r="E12501" i="1"/>
  <c r="D12501" i="1"/>
  <c r="C12501" i="1"/>
  <c r="B12501" i="1"/>
  <c r="G12500" i="1"/>
  <c r="F12500" i="1"/>
  <c r="E12500" i="1"/>
  <c r="D12500" i="1"/>
  <c r="C12500" i="1"/>
  <c r="B12500" i="1"/>
  <c r="G12499" i="1"/>
  <c r="F12499" i="1"/>
  <c r="E12499" i="1"/>
  <c r="D12499" i="1"/>
  <c r="C12499" i="1"/>
  <c r="B12499" i="1"/>
  <c r="G12498" i="1"/>
  <c r="F12498" i="1"/>
  <c r="E12498" i="1"/>
  <c r="D12498" i="1"/>
  <c r="C12498" i="1"/>
  <c r="B12498" i="1"/>
  <c r="G12497" i="1"/>
  <c r="F12497" i="1"/>
  <c r="E12497" i="1"/>
  <c r="D12497" i="1"/>
  <c r="C12497" i="1"/>
  <c r="B12497" i="1"/>
  <c r="G12496" i="1"/>
  <c r="F12496" i="1"/>
  <c r="E12496" i="1"/>
  <c r="D12496" i="1"/>
  <c r="C12496" i="1"/>
  <c r="B12496" i="1"/>
  <c r="G12495" i="1"/>
  <c r="F12495" i="1"/>
  <c r="E12495" i="1"/>
  <c r="D12495" i="1"/>
  <c r="C12495" i="1"/>
  <c r="B12495" i="1"/>
  <c r="G12494" i="1"/>
  <c r="F12494" i="1"/>
  <c r="E12494" i="1"/>
  <c r="D12494" i="1"/>
  <c r="C12494" i="1"/>
  <c r="B12494" i="1"/>
  <c r="G12493" i="1"/>
  <c r="F12493" i="1"/>
  <c r="E12493" i="1"/>
  <c r="D12493" i="1"/>
  <c r="C12493" i="1"/>
  <c r="B12493" i="1"/>
  <c r="G12492" i="1"/>
  <c r="F12492" i="1"/>
  <c r="E12492" i="1"/>
  <c r="D12492" i="1"/>
  <c r="C12492" i="1"/>
  <c r="B12492" i="1"/>
  <c r="G12491" i="1"/>
  <c r="F12491" i="1"/>
  <c r="E12491" i="1"/>
  <c r="D12491" i="1"/>
  <c r="C12491" i="1"/>
  <c r="B12491" i="1"/>
  <c r="G12490" i="1"/>
  <c r="F12490" i="1"/>
  <c r="E12490" i="1"/>
  <c r="D12490" i="1"/>
  <c r="C12490" i="1"/>
  <c r="B12490" i="1"/>
  <c r="G12489" i="1"/>
  <c r="F12489" i="1"/>
  <c r="E12489" i="1"/>
  <c r="D12489" i="1"/>
  <c r="C12489" i="1"/>
  <c r="B12489" i="1"/>
  <c r="G12488" i="1"/>
  <c r="F12488" i="1"/>
  <c r="E12488" i="1"/>
  <c r="D12488" i="1"/>
  <c r="C12488" i="1"/>
  <c r="B12488" i="1"/>
  <c r="G12487" i="1"/>
  <c r="F12487" i="1"/>
  <c r="E12487" i="1"/>
  <c r="D12487" i="1"/>
  <c r="C12487" i="1"/>
  <c r="B12487" i="1"/>
  <c r="G12486" i="1"/>
  <c r="F12486" i="1"/>
  <c r="E12486" i="1"/>
  <c r="D12486" i="1"/>
  <c r="C12486" i="1"/>
  <c r="B12486" i="1"/>
  <c r="G12485" i="1"/>
  <c r="F12485" i="1"/>
  <c r="E12485" i="1"/>
  <c r="D12485" i="1"/>
  <c r="C12485" i="1"/>
  <c r="B12485" i="1"/>
  <c r="G12484" i="1"/>
  <c r="F12484" i="1"/>
  <c r="E12484" i="1"/>
  <c r="D12484" i="1"/>
  <c r="C12484" i="1"/>
  <c r="B12484" i="1"/>
  <c r="G12483" i="1"/>
  <c r="F12483" i="1"/>
  <c r="E12483" i="1"/>
  <c r="D12483" i="1"/>
  <c r="C12483" i="1"/>
  <c r="B12483" i="1"/>
  <c r="G12482" i="1"/>
  <c r="F12482" i="1"/>
  <c r="E12482" i="1"/>
  <c r="D12482" i="1"/>
  <c r="C12482" i="1"/>
  <c r="B12482" i="1"/>
  <c r="G12481" i="1"/>
  <c r="F12481" i="1"/>
  <c r="E12481" i="1"/>
  <c r="D12481" i="1"/>
  <c r="C12481" i="1"/>
  <c r="B12481" i="1"/>
  <c r="G12480" i="1"/>
  <c r="F12480" i="1"/>
  <c r="E12480" i="1"/>
  <c r="D12480" i="1"/>
  <c r="C12480" i="1"/>
  <c r="B12480" i="1"/>
  <c r="G12479" i="1"/>
  <c r="F12479" i="1"/>
  <c r="E12479" i="1"/>
  <c r="D12479" i="1"/>
  <c r="C12479" i="1"/>
  <c r="B12479" i="1"/>
  <c r="G12478" i="1"/>
  <c r="F12478" i="1"/>
  <c r="E12478" i="1"/>
  <c r="D12478" i="1"/>
  <c r="C12478" i="1"/>
  <c r="B12478" i="1"/>
  <c r="G12477" i="1"/>
  <c r="F12477" i="1"/>
  <c r="E12477" i="1"/>
  <c r="D12477" i="1"/>
  <c r="C12477" i="1"/>
  <c r="B12477" i="1"/>
  <c r="G12476" i="1"/>
  <c r="F12476" i="1"/>
  <c r="E12476" i="1"/>
  <c r="D12476" i="1"/>
  <c r="C12476" i="1"/>
  <c r="B12476" i="1"/>
  <c r="G12475" i="1"/>
  <c r="F12475" i="1"/>
  <c r="E12475" i="1"/>
  <c r="D12475" i="1"/>
  <c r="C12475" i="1"/>
  <c r="B12475" i="1"/>
  <c r="G12474" i="1"/>
  <c r="F12474" i="1"/>
  <c r="E12474" i="1"/>
  <c r="D12474" i="1"/>
  <c r="C12474" i="1"/>
  <c r="B12474" i="1"/>
  <c r="G12473" i="1"/>
  <c r="F12473" i="1"/>
  <c r="E12473" i="1"/>
  <c r="D12473" i="1"/>
  <c r="C12473" i="1"/>
  <c r="B12473" i="1"/>
  <c r="G12472" i="1"/>
  <c r="F12472" i="1"/>
  <c r="E12472" i="1"/>
  <c r="D12472" i="1"/>
  <c r="C12472" i="1"/>
  <c r="B12472" i="1"/>
  <c r="G12471" i="1"/>
  <c r="F12471" i="1"/>
  <c r="E12471" i="1"/>
  <c r="D12471" i="1"/>
  <c r="C12471" i="1"/>
  <c r="B12471" i="1"/>
  <c r="G12470" i="1"/>
  <c r="F12470" i="1"/>
  <c r="E12470" i="1"/>
  <c r="D12470" i="1"/>
  <c r="C12470" i="1"/>
  <c r="B12470" i="1"/>
  <c r="G12469" i="1"/>
  <c r="F12469" i="1"/>
  <c r="E12469" i="1"/>
  <c r="D12469" i="1"/>
  <c r="C12469" i="1"/>
  <c r="B12469" i="1"/>
  <c r="G12468" i="1"/>
  <c r="F12468" i="1"/>
  <c r="E12468" i="1"/>
  <c r="D12468" i="1"/>
  <c r="C12468" i="1"/>
  <c r="B12468" i="1"/>
  <c r="G12467" i="1"/>
  <c r="F12467" i="1"/>
  <c r="E12467" i="1"/>
  <c r="D12467" i="1"/>
  <c r="C12467" i="1"/>
  <c r="B12467" i="1"/>
  <c r="G12466" i="1"/>
  <c r="F12466" i="1"/>
  <c r="E12466" i="1"/>
  <c r="D12466" i="1"/>
  <c r="C12466" i="1"/>
  <c r="B12466" i="1"/>
  <c r="G12465" i="1"/>
  <c r="F12465" i="1"/>
  <c r="E12465" i="1"/>
  <c r="D12465" i="1"/>
  <c r="C12465" i="1"/>
  <c r="B12465" i="1"/>
  <c r="G12464" i="1"/>
  <c r="F12464" i="1"/>
  <c r="E12464" i="1"/>
  <c r="D12464" i="1"/>
  <c r="C12464" i="1"/>
  <c r="B12464" i="1"/>
  <c r="G12463" i="1"/>
  <c r="F12463" i="1"/>
  <c r="E12463" i="1"/>
  <c r="D12463" i="1"/>
  <c r="C12463" i="1"/>
  <c r="B12463" i="1"/>
  <c r="G12462" i="1"/>
  <c r="F12462" i="1"/>
  <c r="E12462" i="1"/>
  <c r="D12462" i="1"/>
  <c r="C12462" i="1"/>
  <c r="B12462" i="1"/>
  <c r="G12461" i="1"/>
  <c r="F12461" i="1"/>
  <c r="E12461" i="1"/>
  <c r="D12461" i="1"/>
  <c r="C12461" i="1"/>
  <c r="B12461" i="1"/>
  <c r="G12460" i="1"/>
  <c r="F12460" i="1"/>
  <c r="E12460" i="1"/>
  <c r="D12460" i="1"/>
  <c r="C12460" i="1"/>
  <c r="B12460" i="1"/>
  <c r="G12459" i="1"/>
  <c r="F12459" i="1"/>
  <c r="E12459" i="1"/>
  <c r="D12459" i="1"/>
  <c r="C12459" i="1"/>
  <c r="B12459" i="1"/>
  <c r="G12458" i="1"/>
  <c r="F12458" i="1"/>
  <c r="E12458" i="1"/>
  <c r="D12458" i="1"/>
  <c r="C12458" i="1"/>
  <c r="B12458" i="1"/>
  <c r="G12457" i="1"/>
  <c r="F12457" i="1"/>
  <c r="E12457" i="1"/>
  <c r="D12457" i="1"/>
  <c r="C12457" i="1"/>
  <c r="B12457" i="1"/>
  <c r="G12456" i="1"/>
  <c r="F12456" i="1"/>
  <c r="E12456" i="1"/>
  <c r="D12456" i="1"/>
  <c r="C12456" i="1"/>
  <c r="B12456" i="1"/>
  <c r="F12455" i="1"/>
  <c r="E12455" i="1"/>
  <c r="D12455" i="1"/>
  <c r="C12455" i="1"/>
  <c r="B12455" i="1"/>
  <c r="G12454" i="1"/>
  <c r="F12454" i="1"/>
  <c r="E12454" i="1"/>
  <c r="D12454" i="1"/>
  <c r="C12454" i="1"/>
  <c r="B12454" i="1"/>
  <c r="G12453" i="1"/>
  <c r="F12453" i="1"/>
  <c r="E12453" i="1"/>
  <c r="D12453" i="1"/>
  <c r="C12453" i="1"/>
  <c r="B12453" i="1"/>
  <c r="G12452" i="1"/>
  <c r="F12452" i="1"/>
  <c r="E12452" i="1"/>
  <c r="D12452" i="1"/>
  <c r="C12452" i="1"/>
  <c r="B12452" i="1"/>
  <c r="G12451" i="1"/>
  <c r="F12451" i="1"/>
  <c r="E12451" i="1"/>
  <c r="D12451" i="1"/>
  <c r="C12451" i="1"/>
  <c r="B12451" i="1"/>
  <c r="G12450" i="1"/>
  <c r="F12450" i="1"/>
  <c r="E12450" i="1"/>
  <c r="D12450" i="1"/>
  <c r="C12450" i="1"/>
  <c r="B12450" i="1"/>
  <c r="G12449" i="1"/>
  <c r="F12449" i="1"/>
  <c r="E12449" i="1"/>
  <c r="D12449" i="1"/>
  <c r="C12449" i="1"/>
  <c r="B12449" i="1"/>
  <c r="G12448" i="1"/>
  <c r="F12448" i="1"/>
  <c r="E12448" i="1"/>
  <c r="D12448" i="1"/>
  <c r="C12448" i="1"/>
  <c r="B12448" i="1"/>
  <c r="G12447" i="1"/>
  <c r="F12447" i="1"/>
  <c r="E12447" i="1"/>
  <c r="D12447" i="1"/>
  <c r="C12447" i="1"/>
  <c r="B12447" i="1"/>
  <c r="G12446" i="1"/>
  <c r="F12446" i="1"/>
  <c r="E12446" i="1"/>
  <c r="D12446" i="1"/>
  <c r="C12446" i="1"/>
  <c r="B12446" i="1"/>
  <c r="G12445" i="1"/>
  <c r="F12445" i="1"/>
  <c r="E12445" i="1"/>
  <c r="D12445" i="1"/>
  <c r="C12445" i="1"/>
  <c r="B12445" i="1"/>
  <c r="G12444" i="1"/>
  <c r="F12444" i="1"/>
  <c r="E12444" i="1"/>
  <c r="D12444" i="1"/>
  <c r="C12444" i="1"/>
  <c r="B12444" i="1"/>
  <c r="G12443" i="1"/>
  <c r="F12443" i="1"/>
  <c r="E12443" i="1"/>
  <c r="D12443" i="1"/>
  <c r="C12443" i="1"/>
  <c r="B12443" i="1"/>
  <c r="G12442" i="1"/>
  <c r="F12442" i="1"/>
  <c r="E12442" i="1"/>
  <c r="D12442" i="1"/>
  <c r="C12442" i="1"/>
  <c r="B12442" i="1"/>
  <c r="G12441" i="1"/>
  <c r="F12441" i="1"/>
  <c r="E12441" i="1"/>
  <c r="D12441" i="1"/>
  <c r="C12441" i="1"/>
  <c r="B12441" i="1"/>
  <c r="G12440" i="1"/>
  <c r="F12440" i="1"/>
  <c r="E12440" i="1"/>
  <c r="D12440" i="1"/>
  <c r="C12440" i="1"/>
  <c r="B12440" i="1"/>
  <c r="G12439" i="1"/>
  <c r="F12439" i="1"/>
  <c r="E12439" i="1"/>
  <c r="D12439" i="1"/>
  <c r="C12439" i="1"/>
  <c r="B12439" i="1"/>
  <c r="G12438" i="1"/>
  <c r="F12438" i="1"/>
  <c r="E12438" i="1"/>
  <c r="D12438" i="1"/>
  <c r="C12438" i="1"/>
  <c r="B12438" i="1"/>
  <c r="G12437" i="1"/>
  <c r="F12437" i="1"/>
  <c r="E12437" i="1"/>
  <c r="D12437" i="1"/>
  <c r="C12437" i="1"/>
  <c r="B12437" i="1"/>
  <c r="G12436" i="1"/>
  <c r="F12436" i="1"/>
  <c r="E12436" i="1"/>
  <c r="D12436" i="1"/>
  <c r="C12436" i="1"/>
  <c r="B12436" i="1"/>
  <c r="G12435" i="1"/>
  <c r="F12435" i="1"/>
  <c r="E12435" i="1"/>
  <c r="D12435" i="1"/>
  <c r="C12435" i="1"/>
  <c r="B12435" i="1"/>
  <c r="G12434" i="1"/>
  <c r="F12434" i="1"/>
  <c r="E12434" i="1"/>
  <c r="D12434" i="1"/>
  <c r="C12434" i="1"/>
  <c r="B12434" i="1"/>
  <c r="G12433" i="1"/>
  <c r="F12433" i="1"/>
  <c r="E12433" i="1"/>
  <c r="D12433" i="1"/>
  <c r="C12433" i="1"/>
  <c r="B12433" i="1"/>
  <c r="G12432" i="1"/>
  <c r="F12432" i="1"/>
  <c r="E12432" i="1"/>
  <c r="D12432" i="1"/>
  <c r="C12432" i="1"/>
  <c r="B12432" i="1"/>
  <c r="G12431" i="1"/>
  <c r="F12431" i="1"/>
  <c r="E12431" i="1"/>
  <c r="D12431" i="1"/>
  <c r="C12431" i="1"/>
  <c r="B12431" i="1"/>
  <c r="G12430" i="1"/>
  <c r="F12430" i="1"/>
  <c r="E12430" i="1"/>
  <c r="D12430" i="1"/>
  <c r="C12430" i="1"/>
  <c r="B12430" i="1"/>
  <c r="G12429" i="1"/>
  <c r="F12429" i="1"/>
  <c r="E12429" i="1"/>
  <c r="D12429" i="1"/>
  <c r="C12429" i="1"/>
  <c r="B12429" i="1"/>
  <c r="G12428" i="1"/>
  <c r="F12428" i="1"/>
  <c r="E12428" i="1"/>
  <c r="D12428" i="1"/>
  <c r="C12428" i="1"/>
  <c r="B12428" i="1"/>
  <c r="G12427" i="1"/>
  <c r="F12427" i="1"/>
  <c r="E12427" i="1"/>
  <c r="D12427" i="1"/>
  <c r="C12427" i="1"/>
  <c r="B12427" i="1"/>
  <c r="G12426" i="1"/>
  <c r="F12426" i="1"/>
  <c r="E12426" i="1"/>
  <c r="D12426" i="1"/>
  <c r="C12426" i="1"/>
  <c r="B12426" i="1"/>
  <c r="G12425" i="1"/>
  <c r="F12425" i="1"/>
  <c r="E12425" i="1"/>
  <c r="D12425" i="1"/>
  <c r="C12425" i="1"/>
  <c r="B12425" i="1"/>
  <c r="G12424" i="1"/>
  <c r="F12424" i="1"/>
  <c r="E12424" i="1"/>
  <c r="D12424" i="1"/>
  <c r="C12424" i="1"/>
  <c r="B12424" i="1"/>
  <c r="G12423" i="1"/>
  <c r="F12423" i="1"/>
  <c r="E12423" i="1"/>
  <c r="D12423" i="1"/>
  <c r="C12423" i="1"/>
  <c r="B12423" i="1"/>
  <c r="G12422" i="1"/>
  <c r="F12422" i="1"/>
  <c r="E12422" i="1"/>
  <c r="D12422" i="1"/>
  <c r="C12422" i="1"/>
  <c r="B12422" i="1"/>
  <c r="G12421" i="1"/>
  <c r="F12421" i="1"/>
  <c r="E12421" i="1"/>
  <c r="D12421" i="1"/>
  <c r="C12421" i="1"/>
  <c r="B12421" i="1"/>
  <c r="G12420" i="1"/>
  <c r="F12420" i="1"/>
  <c r="E12420" i="1"/>
  <c r="D12420" i="1"/>
  <c r="C12420" i="1"/>
  <c r="B12420" i="1"/>
  <c r="G12419" i="1"/>
  <c r="F12419" i="1"/>
  <c r="E12419" i="1"/>
  <c r="D12419" i="1"/>
  <c r="C12419" i="1"/>
  <c r="B12419" i="1"/>
  <c r="G12418" i="1"/>
  <c r="F12418" i="1"/>
  <c r="E12418" i="1"/>
  <c r="D12418" i="1"/>
  <c r="C12418" i="1"/>
  <c r="B12418" i="1"/>
  <c r="G12417" i="1"/>
  <c r="F12417" i="1"/>
  <c r="E12417" i="1"/>
  <c r="D12417" i="1"/>
  <c r="C12417" i="1"/>
  <c r="B12417" i="1"/>
  <c r="G12416" i="1"/>
  <c r="F12416" i="1"/>
  <c r="E12416" i="1"/>
  <c r="D12416" i="1"/>
  <c r="C12416" i="1"/>
  <c r="B12416" i="1"/>
  <c r="G12415" i="1"/>
  <c r="F12415" i="1"/>
  <c r="E12415" i="1"/>
  <c r="D12415" i="1"/>
  <c r="C12415" i="1"/>
  <c r="B12415" i="1"/>
  <c r="F12414" i="1"/>
  <c r="E12414" i="1"/>
  <c r="D12414" i="1"/>
  <c r="C12414" i="1"/>
  <c r="B12414" i="1"/>
  <c r="G12413" i="1"/>
  <c r="F12413" i="1"/>
  <c r="E12413" i="1"/>
  <c r="D12413" i="1"/>
  <c r="C12413" i="1"/>
  <c r="B12413" i="1"/>
  <c r="G12412" i="1"/>
  <c r="F12412" i="1"/>
  <c r="E12412" i="1"/>
  <c r="D12412" i="1"/>
  <c r="C12412" i="1"/>
  <c r="B12412" i="1"/>
  <c r="G12411" i="1"/>
  <c r="F12411" i="1"/>
  <c r="E12411" i="1"/>
  <c r="D12411" i="1"/>
  <c r="C12411" i="1"/>
  <c r="B12411" i="1"/>
  <c r="G12410" i="1"/>
  <c r="F12410" i="1"/>
  <c r="E12410" i="1"/>
  <c r="D12410" i="1"/>
  <c r="C12410" i="1"/>
  <c r="B12410" i="1"/>
  <c r="G12409" i="1"/>
  <c r="F12409" i="1"/>
  <c r="E12409" i="1"/>
  <c r="D12409" i="1"/>
  <c r="C12409" i="1"/>
  <c r="B12409" i="1"/>
  <c r="G12408" i="1"/>
  <c r="F12408" i="1"/>
  <c r="E12408" i="1"/>
  <c r="D12408" i="1"/>
  <c r="C12408" i="1"/>
  <c r="B12408" i="1"/>
  <c r="G12407" i="1"/>
  <c r="F12407" i="1"/>
  <c r="E12407" i="1"/>
  <c r="D12407" i="1"/>
  <c r="C12407" i="1"/>
  <c r="B12407" i="1"/>
  <c r="G12406" i="1"/>
  <c r="F12406" i="1"/>
  <c r="E12406" i="1"/>
  <c r="D12406" i="1"/>
  <c r="C12406" i="1"/>
  <c r="B12406" i="1"/>
  <c r="G12405" i="1"/>
  <c r="F12405" i="1"/>
  <c r="E12405" i="1"/>
  <c r="D12405" i="1"/>
  <c r="C12405" i="1"/>
  <c r="B12405" i="1"/>
  <c r="G12404" i="1"/>
  <c r="F12404" i="1"/>
  <c r="E12404" i="1"/>
  <c r="D12404" i="1"/>
  <c r="C12404" i="1"/>
  <c r="B12404" i="1"/>
  <c r="G12403" i="1"/>
  <c r="F12403" i="1"/>
  <c r="E12403" i="1"/>
  <c r="D12403" i="1"/>
  <c r="C12403" i="1"/>
  <c r="B12403" i="1"/>
  <c r="G12402" i="1"/>
  <c r="F12402" i="1"/>
  <c r="E12402" i="1"/>
  <c r="D12402" i="1"/>
  <c r="C12402" i="1"/>
  <c r="B12402" i="1"/>
  <c r="G12401" i="1"/>
  <c r="F12401" i="1"/>
  <c r="E12401" i="1"/>
  <c r="D12401" i="1"/>
  <c r="C12401" i="1"/>
  <c r="B12401" i="1"/>
  <c r="G12400" i="1"/>
  <c r="F12400" i="1"/>
  <c r="E12400" i="1"/>
  <c r="D12400" i="1"/>
  <c r="C12400" i="1"/>
  <c r="B12400" i="1"/>
  <c r="G12399" i="1"/>
  <c r="F12399" i="1"/>
  <c r="E12399" i="1"/>
  <c r="D12399" i="1"/>
  <c r="C12399" i="1"/>
  <c r="B12399" i="1"/>
  <c r="G12398" i="1"/>
  <c r="F12398" i="1"/>
  <c r="E12398" i="1"/>
  <c r="D12398" i="1"/>
  <c r="C12398" i="1"/>
  <c r="B12398" i="1"/>
  <c r="G12397" i="1"/>
  <c r="F12397" i="1"/>
  <c r="E12397" i="1"/>
  <c r="D12397" i="1"/>
  <c r="C12397" i="1"/>
  <c r="B12397" i="1"/>
  <c r="G12396" i="1"/>
  <c r="F12396" i="1"/>
  <c r="E12396" i="1"/>
  <c r="D12396" i="1"/>
  <c r="C12396" i="1"/>
  <c r="B12396" i="1"/>
  <c r="G12395" i="1"/>
  <c r="F12395" i="1"/>
  <c r="E12395" i="1"/>
  <c r="D12395" i="1"/>
  <c r="C12395" i="1"/>
  <c r="B12395" i="1"/>
  <c r="G12394" i="1"/>
  <c r="F12394" i="1"/>
  <c r="E12394" i="1"/>
  <c r="D12394" i="1"/>
  <c r="C12394" i="1"/>
  <c r="B12394" i="1"/>
  <c r="G12393" i="1"/>
  <c r="F12393" i="1"/>
  <c r="E12393" i="1"/>
  <c r="D12393" i="1"/>
  <c r="C12393" i="1"/>
  <c r="B12393" i="1"/>
  <c r="G12392" i="1"/>
  <c r="F12392" i="1"/>
  <c r="E12392" i="1"/>
  <c r="D12392" i="1"/>
  <c r="C12392" i="1"/>
  <c r="B12392" i="1"/>
  <c r="G12391" i="1"/>
  <c r="F12391" i="1"/>
  <c r="E12391" i="1"/>
  <c r="D12391" i="1"/>
  <c r="C12391" i="1"/>
  <c r="B12391" i="1"/>
  <c r="G12390" i="1"/>
  <c r="F12390" i="1"/>
  <c r="E12390" i="1"/>
  <c r="D12390" i="1"/>
  <c r="C12390" i="1"/>
  <c r="B12390" i="1"/>
  <c r="G12389" i="1"/>
  <c r="F12389" i="1"/>
  <c r="E12389" i="1"/>
  <c r="D12389" i="1"/>
  <c r="C12389" i="1"/>
  <c r="B12389" i="1"/>
  <c r="G12388" i="1"/>
  <c r="F12388" i="1"/>
  <c r="E12388" i="1"/>
  <c r="D12388" i="1"/>
  <c r="C12388" i="1"/>
  <c r="B12388" i="1"/>
  <c r="G12387" i="1"/>
  <c r="F12387" i="1"/>
  <c r="E12387" i="1"/>
  <c r="D12387" i="1"/>
  <c r="C12387" i="1"/>
  <c r="B12387" i="1"/>
  <c r="G12386" i="1"/>
  <c r="F12386" i="1"/>
  <c r="E12386" i="1"/>
  <c r="D12386" i="1"/>
  <c r="C12386" i="1"/>
  <c r="B12386" i="1"/>
  <c r="G12385" i="1"/>
  <c r="F12385" i="1"/>
  <c r="E12385" i="1"/>
  <c r="D12385" i="1"/>
  <c r="C12385" i="1"/>
  <c r="B12385" i="1"/>
  <c r="G12384" i="1"/>
  <c r="F12384" i="1"/>
  <c r="E12384" i="1"/>
  <c r="D12384" i="1"/>
  <c r="C12384" i="1"/>
  <c r="B12384" i="1"/>
  <c r="G12383" i="1"/>
  <c r="F12383" i="1"/>
  <c r="E12383" i="1"/>
  <c r="D12383" i="1"/>
  <c r="C12383" i="1"/>
  <c r="B12383" i="1"/>
  <c r="G12382" i="1"/>
  <c r="F12382" i="1"/>
  <c r="E12382" i="1"/>
  <c r="D12382" i="1"/>
  <c r="C12382" i="1"/>
  <c r="B12382" i="1"/>
  <c r="G12381" i="1"/>
  <c r="F12381" i="1"/>
  <c r="E12381" i="1"/>
  <c r="D12381" i="1"/>
  <c r="C12381" i="1"/>
  <c r="B12381" i="1"/>
  <c r="G12380" i="1"/>
  <c r="F12380" i="1"/>
  <c r="E12380" i="1"/>
  <c r="D12380" i="1"/>
  <c r="C12380" i="1"/>
  <c r="B12380" i="1"/>
  <c r="G12379" i="1"/>
  <c r="F12379" i="1"/>
  <c r="E12379" i="1"/>
  <c r="D12379" i="1"/>
  <c r="C12379" i="1"/>
  <c r="B12379" i="1"/>
  <c r="G12378" i="1"/>
  <c r="F12378" i="1"/>
  <c r="E12378" i="1"/>
  <c r="D12378" i="1"/>
  <c r="C12378" i="1"/>
  <c r="B12378" i="1"/>
  <c r="G12377" i="1"/>
  <c r="F12377" i="1"/>
  <c r="E12377" i="1"/>
  <c r="D12377" i="1"/>
  <c r="C12377" i="1"/>
  <c r="B12377" i="1"/>
  <c r="G12376" i="1"/>
  <c r="F12376" i="1"/>
  <c r="E12376" i="1"/>
  <c r="D12376" i="1"/>
  <c r="C12376" i="1"/>
  <c r="B12376" i="1"/>
  <c r="G12375" i="1"/>
  <c r="F12375" i="1"/>
  <c r="E12375" i="1"/>
  <c r="D12375" i="1"/>
  <c r="C12375" i="1"/>
  <c r="B12375" i="1"/>
  <c r="G12374" i="1"/>
  <c r="F12374" i="1"/>
  <c r="E12374" i="1"/>
  <c r="D12374" i="1"/>
  <c r="C12374" i="1"/>
  <c r="B12374" i="1"/>
  <c r="G12373" i="1"/>
  <c r="F12373" i="1"/>
  <c r="E12373" i="1"/>
  <c r="D12373" i="1"/>
  <c r="C12373" i="1"/>
  <c r="B12373" i="1"/>
  <c r="G12372" i="1"/>
  <c r="F12372" i="1"/>
  <c r="E12372" i="1"/>
  <c r="D12372" i="1"/>
  <c r="C12372" i="1"/>
  <c r="B12372" i="1"/>
  <c r="G12371" i="1"/>
  <c r="F12371" i="1"/>
  <c r="E12371" i="1"/>
  <c r="D12371" i="1"/>
  <c r="C12371" i="1"/>
  <c r="B12371" i="1"/>
  <c r="G12370" i="1"/>
  <c r="F12370" i="1"/>
  <c r="E12370" i="1"/>
  <c r="D12370" i="1"/>
  <c r="C12370" i="1"/>
  <c r="B12370" i="1"/>
  <c r="G12369" i="1"/>
  <c r="F12369" i="1"/>
  <c r="E12369" i="1"/>
  <c r="D12369" i="1"/>
  <c r="C12369" i="1"/>
  <c r="B12369" i="1"/>
  <c r="G12368" i="1"/>
  <c r="F12368" i="1"/>
  <c r="E12368" i="1"/>
  <c r="D12368" i="1"/>
  <c r="C12368" i="1"/>
  <c r="B12368" i="1"/>
  <c r="G12367" i="1"/>
  <c r="F12367" i="1"/>
  <c r="E12367" i="1"/>
  <c r="D12367" i="1"/>
  <c r="C12367" i="1"/>
  <c r="B12367" i="1"/>
  <c r="G12366" i="1"/>
  <c r="F12366" i="1"/>
  <c r="E12366" i="1"/>
  <c r="D12366" i="1"/>
  <c r="C12366" i="1"/>
  <c r="B12366" i="1"/>
  <c r="G12365" i="1"/>
  <c r="F12365" i="1"/>
  <c r="E12365" i="1"/>
  <c r="D12365" i="1"/>
  <c r="C12365" i="1"/>
  <c r="B12365" i="1"/>
  <c r="G12364" i="1"/>
  <c r="F12364" i="1"/>
  <c r="E12364" i="1"/>
  <c r="D12364" i="1"/>
  <c r="C12364" i="1"/>
  <c r="B12364" i="1"/>
  <c r="G12363" i="1"/>
  <c r="F12363" i="1"/>
  <c r="E12363" i="1"/>
  <c r="D12363" i="1"/>
  <c r="C12363" i="1"/>
  <c r="B12363" i="1"/>
  <c r="G12362" i="1"/>
  <c r="F12362" i="1"/>
  <c r="E12362" i="1"/>
  <c r="D12362" i="1"/>
  <c r="C12362" i="1"/>
  <c r="B12362" i="1"/>
  <c r="G12361" i="1"/>
  <c r="F12361" i="1"/>
  <c r="E12361" i="1"/>
  <c r="D12361" i="1"/>
  <c r="C12361" i="1"/>
  <c r="B12361" i="1"/>
  <c r="G12360" i="1"/>
  <c r="F12360" i="1"/>
  <c r="E12360" i="1"/>
  <c r="D12360" i="1"/>
  <c r="C12360" i="1"/>
  <c r="B12360" i="1"/>
  <c r="G12359" i="1"/>
  <c r="F12359" i="1"/>
  <c r="E12359" i="1"/>
  <c r="D12359" i="1"/>
  <c r="C12359" i="1"/>
  <c r="B12359" i="1"/>
  <c r="G12358" i="1"/>
  <c r="F12358" i="1"/>
  <c r="E12358" i="1"/>
  <c r="D12358" i="1"/>
  <c r="C12358" i="1"/>
  <c r="B12358" i="1"/>
  <c r="G12357" i="1"/>
  <c r="F12357" i="1"/>
  <c r="E12357" i="1"/>
  <c r="D12357" i="1"/>
  <c r="C12357" i="1"/>
  <c r="B12357" i="1"/>
  <c r="G12356" i="1"/>
  <c r="F12356" i="1"/>
  <c r="E12356" i="1"/>
  <c r="D12356" i="1"/>
  <c r="C12356" i="1"/>
  <c r="B12356" i="1"/>
  <c r="G12355" i="1"/>
  <c r="F12355" i="1"/>
  <c r="E12355" i="1"/>
  <c r="D12355" i="1"/>
  <c r="C12355" i="1"/>
  <c r="B12355" i="1"/>
  <c r="G12354" i="1"/>
  <c r="F12354" i="1"/>
  <c r="E12354" i="1"/>
  <c r="D12354" i="1"/>
  <c r="C12354" i="1"/>
  <c r="B12354" i="1"/>
  <c r="G12353" i="1"/>
  <c r="F12353" i="1"/>
  <c r="E12353" i="1"/>
  <c r="D12353" i="1"/>
  <c r="C12353" i="1"/>
  <c r="B12353" i="1"/>
  <c r="G12352" i="1"/>
  <c r="F12352" i="1"/>
  <c r="E12352" i="1"/>
  <c r="D12352" i="1"/>
  <c r="C12352" i="1"/>
  <c r="B12352" i="1"/>
  <c r="G12351" i="1"/>
  <c r="F12351" i="1"/>
  <c r="E12351" i="1"/>
  <c r="D12351" i="1"/>
  <c r="C12351" i="1"/>
  <c r="B12351" i="1"/>
  <c r="G12350" i="1"/>
  <c r="F12350" i="1"/>
  <c r="E12350" i="1"/>
  <c r="D12350" i="1"/>
  <c r="C12350" i="1"/>
  <c r="B12350" i="1"/>
  <c r="G12349" i="1"/>
  <c r="F12349" i="1"/>
  <c r="E12349" i="1"/>
  <c r="D12349" i="1"/>
  <c r="C12349" i="1"/>
  <c r="B12349" i="1"/>
  <c r="G12348" i="1"/>
  <c r="F12348" i="1"/>
  <c r="E12348" i="1"/>
  <c r="D12348" i="1"/>
  <c r="C12348" i="1"/>
  <c r="B12348" i="1"/>
  <c r="G12347" i="1"/>
  <c r="F12347" i="1"/>
  <c r="E12347" i="1"/>
  <c r="D12347" i="1"/>
  <c r="C12347" i="1"/>
  <c r="B12347" i="1"/>
  <c r="G12346" i="1"/>
  <c r="F12346" i="1"/>
  <c r="E12346" i="1"/>
  <c r="D12346" i="1"/>
  <c r="C12346" i="1"/>
  <c r="B12346" i="1"/>
  <c r="G12345" i="1"/>
  <c r="F12345" i="1"/>
  <c r="E12345" i="1"/>
  <c r="D12345" i="1"/>
  <c r="C12345" i="1"/>
  <c r="B12345" i="1"/>
  <c r="G12344" i="1"/>
  <c r="F12344" i="1"/>
  <c r="E12344" i="1"/>
  <c r="D12344" i="1"/>
  <c r="C12344" i="1"/>
  <c r="B12344" i="1"/>
  <c r="G12343" i="1"/>
  <c r="F12343" i="1"/>
  <c r="E12343" i="1"/>
  <c r="D12343" i="1"/>
  <c r="C12343" i="1"/>
  <c r="B12343" i="1"/>
  <c r="G12342" i="1"/>
  <c r="F12342" i="1"/>
  <c r="E12342" i="1"/>
  <c r="D12342" i="1"/>
  <c r="C12342" i="1"/>
  <c r="B12342" i="1"/>
  <c r="G12341" i="1"/>
  <c r="F12341" i="1"/>
  <c r="E12341" i="1"/>
  <c r="D12341" i="1"/>
  <c r="C12341" i="1"/>
  <c r="B12341" i="1"/>
  <c r="G12340" i="1"/>
  <c r="F12340" i="1"/>
  <c r="E12340" i="1"/>
  <c r="D12340" i="1"/>
  <c r="C12340" i="1"/>
  <c r="B12340" i="1"/>
  <c r="G12339" i="1"/>
  <c r="F12339" i="1"/>
  <c r="E12339" i="1"/>
  <c r="D12339" i="1"/>
  <c r="C12339" i="1"/>
  <c r="B12339" i="1"/>
  <c r="G12338" i="1"/>
  <c r="F12338" i="1"/>
  <c r="E12338" i="1"/>
  <c r="D12338" i="1"/>
  <c r="C12338" i="1"/>
  <c r="B12338" i="1"/>
  <c r="G12337" i="1"/>
  <c r="F12337" i="1"/>
  <c r="E12337" i="1"/>
  <c r="D12337" i="1"/>
  <c r="C12337" i="1"/>
  <c r="B12337" i="1"/>
  <c r="G12336" i="1"/>
  <c r="F12336" i="1"/>
  <c r="E12336" i="1"/>
  <c r="D12336" i="1"/>
  <c r="C12336" i="1"/>
  <c r="B12336" i="1"/>
  <c r="F12335" i="1"/>
  <c r="E12335" i="1"/>
  <c r="D12335" i="1"/>
  <c r="C12335" i="1"/>
  <c r="B12335" i="1"/>
  <c r="G12334" i="1"/>
  <c r="F12334" i="1"/>
  <c r="E12334" i="1"/>
  <c r="D12334" i="1"/>
  <c r="C12334" i="1"/>
  <c r="B12334" i="1"/>
  <c r="G12333" i="1"/>
  <c r="F12333" i="1"/>
  <c r="E12333" i="1"/>
  <c r="D12333" i="1"/>
  <c r="C12333" i="1"/>
  <c r="B12333" i="1"/>
  <c r="G12332" i="1"/>
  <c r="F12332" i="1"/>
  <c r="E12332" i="1"/>
  <c r="D12332" i="1"/>
  <c r="C12332" i="1"/>
  <c r="B12332" i="1"/>
  <c r="G12331" i="1"/>
  <c r="F12331" i="1"/>
  <c r="E12331" i="1"/>
  <c r="D12331" i="1"/>
  <c r="C12331" i="1"/>
  <c r="B12331" i="1"/>
  <c r="G12330" i="1"/>
  <c r="F12330" i="1"/>
  <c r="E12330" i="1"/>
  <c r="D12330" i="1"/>
  <c r="C12330" i="1"/>
  <c r="B12330" i="1"/>
  <c r="G12329" i="1"/>
  <c r="F12329" i="1"/>
  <c r="E12329" i="1"/>
  <c r="D12329" i="1"/>
  <c r="C12329" i="1"/>
  <c r="B12329" i="1"/>
  <c r="G12328" i="1"/>
  <c r="F12328" i="1"/>
  <c r="E12328" i="1"/>
  <c r="D12328" i="1"/>
  <c r="C12328" i="1"/>
  <c r="B12328" i="1"/>
  <c r="G12327" i="1"/>
  <c r="F12327" i="1"/>
  <c r="E12327" i="1"/>
  <c r="D12327" i="1"/>
  <c r="C12327" i="1"/>
  <c r="B12327" i="1"/>
  <c r="G12326" i="1"/>
  <c r="F12326" i="1"/>
  <c r="E12326" i="1"/>
  <c r="D12326" i="1"/>
  <c r="C12326" i="1"/>
  <c r="B12326" i="1"/>
  <c r="G12325" i="1"/>
  <c r="F12325" i="1"/>
  <c r="E12325" i="1"/>
  <c r="D12325" i="1"/>
  <c r="C12325" i="1"/>
  <c r="B12325" i="1"/>
  <c r="G12324" i="1"/>
  <c r="F12324" i="1"/>
  <c r="E12324" i="1"/>
  <c r="D12324" i="1"/>
  <c r="C12324" i="1"/>
  <c r="B12324" i="1"/>
  <c r="G12323" i="1"/>
  <c r="F12323" i="1"/>
  <c r="E12323" i="1"/>
  <c r="D12323" i="1"/>
  <c r="C12323" i="1"/>
  <c r="B12323" i="1"/>
  <c r="G12322" i="1"/>
  <c r="F12322" i="1"/>
  <c r="E12322" i="1"/>
  <c r="D12322" i="1"/>
  <c r="C12322" i="1"/>
  <c r="B12322" i="1"/>
  <c r="G12321" i="1"/>
  <c r="F12321" i="1"/>
  <c r="E12321" i="1"/>
  <c r="D12321" i="1"/>
  <c r="C12321" i="1"/>
  <c r="B12321" i="1"/>
  <c r="G12320" i="1"/>
  <c r="F12320" i="1"/>
  <c r="E12320" i="1"/>
  <c r="D12320" i="1"/>
  <c r="C12320" i="1"/>
  <c r="B12320" i="1"/>
  <c r="G12319" i="1"/>
  <c r="F12319" i="1"/>
  <c r="E12319" i="1"/>
  <c r="D12319" i="1"/>
  <c r="C12319" i="1"/>
  <c r="B12319" i="1"/>
  <c r="G12318" i="1"/>
  <c r="F12318" i="1"/>
  <c r="E12318" i="1"/>
  <c r="D12318" i="1"/>
  <c r="C12318" i="1"/>
  <c r="B12318" i="1"/>
  <c r="G12317" i="1"/>
  <c r="F12317" i="1"/>
  <c r="E12317" i="1"/>
  <c r="D12317" i="1"/>
  <c r="C12317" i="1"/>
  <c r="B12317" i="1"/>
  <c r="G12316" i="1"/>
  <c r="F12316" i="1"/>
  <c r="E12316" i="1"/>
  <c r="D12316" i="1"/>
  <c r="C12316" i="1"/>
  <c r="B12316" i="1"/>
  <c r="G12315" i="1"/>
  <c r="F12315" i="1"/>
  <c r="E12315" i="1"/>
  <c r="D12315" i="1"/>
  <c r="C12315" i="1"/>
  <c r="B12315" i="1"/>
  <c r="G12314" i="1"/>
  <c r="F12314" i="1"/>
  <c r="E12314" i="1"/>
  <c r="D12314" i="1"/>
  <c r="C12314" i="1"/>
  <c r="B12314" i="1"/>
  <c r="G12313" i="1"/>
  <c r="F12313" i="1"/>
  <c r="E12313" i="1"/>
  <c r="D12313" i="1"/>
  <c r="C12313" i="1"/>
  <c r="B12313" i="1"/>
  <c r="G12312" i="1"/>
  <c r="F12312" i="1"/>
  <c r="E12312" i="1"/>
  <c r="D12312" i="1"/>
  <c r="C12312" i="1"/>
  <c r="B12312" i="1"/>
  <c r="G12311" i="1"/>
  <c r="F12311" i="1"/>
  <c r="E12311" i="1"/>
  <c r="D12311" i="1"/>
  <c r="C12311" i="1"/>
  <c r="B12311" i="1"/>
  <c r="G12310" i="1"/>
  <c r="F12310" i="1"/>
  <c r="E12310" i="1"/>
  <c r="D12310" i="1"/>
  <c r="C12310" i="1"/>
  <c r="B12310" i="1"/>
  <c r="G12309" i="1"/>
  <c r="F12309" i="1"/>
  <c r="E12309" i="1"/>
  <c r="D12309" i="1"/>
  <c r="C12309" i="1"/>
  <c r="B12309" i="1"/>
  <c r="G12308" i="1"/>
  <c r="F12308" i="1"/>
  <c r="E12308" i="1"/>
  <c r="D12308" i="1"/>
  <c r="C12308" i="1"/>
  <c r="B12308" i="1"/>
  <c r="G12307" i="1"/>
  <c r="F12307" i="1"/>
  <c r="E12307" i="1"/>
  <c r="D12307" i="1"/>
  <c r="C12307" i="1"/>
  <c r="B12307" i="1"/>
  <c r="G12306" i="1"/>
  <c r="F12306" i="1"/>
  <c r="E12306" i="1"/>
  <c r="D12306" i="1"/>
  <c r="C12306" i="1"/>
  <c r="B12306" i="1"/>
  <c r="G12305" i="1"/>
  <c r="F12305" i="1"/>
  <c r="E12305" i="1"/>
  <c r="D12305" i="1"/>
  <c r="C12305" i="1"/>
  <c r="B12305" i="1"/>
  <c r="G12304" i="1"/>
  <c r="F12304" i="1"/>
  <c r="E12304" i="1"/>
  <c r="D12304" i="1"/>
  <c r="C12304" i="1"/>
  <c r="B12304" i="1"/>
  <c r="G12303" i="1"/>
  <c r="F12303" i="1"/>
  <c r="E12303" i="1"/>
  <c r="D12303" i="1"/>
  <c r="C12303" i="1"/>
  <c r="B12303" i="1"/>
  <c r="G12302" i="1"/>
  <c r="F12302" i="1"/>
  <c r="E12302" i="1"/>
  <c r="D12302" i="1"/>
  <c r="C12302" i="1"/>
  <c r="B12302" i="1"/>
  <c r="G12301" i="1"/>
  <c r="F12301" i="1"/>
  <c r="E12301" i="1"/>
  <c r="D12301" i="1"/>
  <c r="C12301" i="1"/>
  <c r="B12301" i="1"/>
  <c r="G12300" i="1"/>
  <c r="F12300" i="1"/>
  <c r="E12300" i="1"/>
  <c r="D12300" i="1"/>
  <c r="C12300" i="1"/>
  <c r="B12300" i="1"/>
  <c r="G12299" i="1"/>
  <c r="F12299" i="1"/>
  <c r="E12299" i="1"/>
  <c r="D12299" i="1"/>
  <c r="C12299" i="1"/>
  <c r="B12299" i="1"/>
  <c r="G12298" i="1"/>
  <c r="F12298" i="1"/>
  <c r="E12298" i="1"/>
  <c r="D12298" i="1"/>
  <c r="C12298" i="1"/>
  <c r="B12298" i="1"/>
  <c r="G12297" i="1"/>
  <c r="F12297" i="1"/>
  <c r="E12297" i="1"/>
  <c r="D12297" i="1"/>
  <c r="C12297" i="1"/>
  <c r="B12297" i="1"/>
  <c r="G12296" i="1"/>
  <c r="F12296" i="1"/>
  <c r="E12296" i="1"/>
  <c r="D12296" i="1"/>
  <c r="C12296" i="1"/>
  <c r="B12296" i="1"/>
  <c r="G12295" i="1"/>
  <c r="F12295" i="1"/>
  <c r="E12295" i="1"/>
  <c r="D12295" i="1"/>
  <c r="C12295" i="1"/>
  <c r="B12295" i="1"/>
  <c r="G12294" i="1"/>
  <c r="F12294" i="1"/>
  <c r="E12294" i="1"/>
  <c r="D12294" i="1"/>
  <c r="C12294" i="1"/>
  <c r="B12294" i="1"/>
  <c r="G12293" i="1"/>
  <c r="F12293" i="1"/>
  <c r="E12293" i="1"/>
  <c r="D12293" i="1"/>
  <c r="C12293" i="1"/>
  <c r="B12293" i="1"/>
  <c r="G12292" i="1"/>
  <c r="F12292" i="1"/>
  <c r="E12292" i="1"/>
  <c r="D12292" i="1"/>
  <c r="C12292" i="1"/>
  <c r="B12292" i="1"/>
  <c r="G12291" i="1"/>
  <c r="F12291" i="1"/>
  <c r="E12291" i="1"/>
  <c r="D12291" i="1"/>
  <c r="C12291" i="1"/>
  <c r="B12291" i="1"/>
  <c r="G12290" i="1"/>
  <c r="F12290" i="1"/>
  <c r="E12290" i="1"/>
  <c r="D12290" i="1"/>
  <c r="C12290" i="1"/>
  <c r="B12290" i="1"/>
  <c r="G12289" i="1"/>
  <c r="F12289" i="1"/>
  <c r="E12289" i="1"/>
  <c r="D12289" i="1"/>
  <c r="C12289" i="1"/>
  <c r="B12289" i="1"/>
  <c r="G12288" i="1"/>
  <c r="F12288" i="1"/>
  <c r="E12288" i="1"/>
  <c r="D12288" i="1"/>
  <c r="C12288" i="1"/>
  <c r="B12288" i="1"/>
  <c r="G12287" i="1"/>
  <c r="F12287" i="1"/>
  <c r="E12287" i="1"/>
  <c r="D12287" i="1"/>
  <c r="C12287" i="1"/>
  <c r="B12287" i="1"/>
  <c r="G12286" i="1"/>
  <c r="F12286" i="1"/>
  <c r="E12286" i="1"/>
  <c r="D12286" i="1"/>
  <c r="C12286" i="1"/>
  <c r="B12286" i="1"/>
  <c r="G12285" i="1"/>
  <c r="F12285" i="1"/>
  <c r="E12285" i="1"/>
  <c r="D12285" i="1"/>
  <c r="C12285" i="1"/>
  <c r="B12285" i="1"/>
  <c r="G12284" i="1"/>
  <c r="F12284" i="1"/>
  <c r="E12284" i="1"/>
  <c r="D12284" i="1"/>
  <c r="C12284" i="1"/>
  <c r="B12284" i="1"/>
  <c r="G12283" i="1"/>
  <c r="F12283" i="1"/>
  <c r="E12283" i="1"/>
  <c r="D12283" i="1"/>
  <c r="C12283" i="1"/>
  <c r="B12283" i="1"/>
  <c r="G12282" i="1"/>
  <c r="F12282" i="1"/>
  <c r="E12282" i="1"/>
  <c r="D12282" i="1"/>
  <c r="C12282" i="1"/>
  <c r="B12282" i="1"/>
  <c r="G12281" i="1"/>
  <c r="F12281" i="1"/>
  <c r="E12281" i="1"/>
  <c r="D12281" i="1"/>
  <c r="C12281" i="1"/>
  <c r="B12281" i="1"/>
  <c r="G12280" i="1"/>
  <c r="F12280" i="1"/>
  <c r="E12280" i="1"/>
  <c r="D12280" i="1"/>
  <c r="C12280" i="1"/>
  <c r="B12280" i="1"/>
  <c r="G12279" i="1"/>
  <c r="F12279" i="1"/>
  <c r="E12279" i="1"/>
  <c r="D12279" i="1"/>
  <c r="C12279" i="1"/>
  <c r="B12279" i="1"/>
  <c r="G12278" i="1"/>
  <c r="F12278" i="1"/>
  <c r="E12278" i="1"/>
  <c r="D12278" i="1"/>
  <c r="C12278" i="1"/>
  <c r="B12278" i="1"/>
  <c r="G12277" i="1"/>
  <c r="F12277" i="1"/>
  <c r="E12277" i="1"/>
  <c r="D12277" i="1"/>
  <c r="C12277" i="1"/>
  <c r="B12277" i="1"/>
  <c r="G12276" i="1"/>
  <c r="F12276" i="1"/>
  <c r="E12276" i="1"/>
  <c r="D12276" i="1"/>
  <c r="C12276" i="1"/>
  <c r="B12276" i="1"/>
  <c r="G12275" i="1"/>
  <c r="F12275" i="1"/>
  <c r="E12275" i="1"/>
  <c r="D12275" i="1"/>
  <c r="C12275" i="1"/>
  <c r="B12275" i="1"/>
  <c r="G12274" i="1"/>
  <c r="F12274" i="1"/>
  <c r="E12274" i="1"/>
  <c r="D12274" i="1"/>
  <c r="C12274" i="1"/>
  <c r="B12274" i="1"/>
  <c r="G12273" i="1"/>
  <c r="F12273" i="1"/>
  <c r="E12273" i="1"/>
  <c r="D12273" i="1"/>
  <c r="C12273" i="1"/>
  <c r="B12273" i="1"/>
  <c r="G12272" i="1"/>
  <c r="F12272" i="1"/>
  <c r="E12272" i="1"/>
  <c r="D12272" i="1"/>
  <c r="C12272" i="1"/>
  <c r="B12272" i="1"/>
  <c r="G12271" i="1"/>
  <c r="F12271" i="1"/>
  <c r="E12271" i="1"/>
  <c r="D12271" i="1"/>
  <c r="C12271" i="1"/>
  <c r="B12271" i="1"/>
  <c r="G12270" i="1"/>
  <c r="F12270" i="1"/>
  <c r="E12270" i="1"/>
  <c r="D12270" i="1"/>
  <c r="C12270" i="1"/>
  <c r="B12270" i="1"/>
  <c r="G12269" i="1"/>
  <c r="F12269" i="1"/>
  <c r="E12269" i="1"/>
  <c r="D12269" i="1"/>
  <c r="C12269" i="1"/>
  <c r="B12269" i="1"/>
  <c r="G12268" i="1"/>
  <c r="F12268" i="1"/>
  <c r="E12268" i="1"/>
  <c r="D12268" i="1"/>
  <c r="C12268" i="1"/>
  <c r="B12268" i="1"/>
  <c r="G12267" i="1"/>
  <c r="F12267" i="1"/>
  <c r="E12267" i="1"/>
  <c r="D12267" i="1"/>
  <c r="C12267" i="1"/>
  <c r="B12267" i="1"/>
  <c r="G12266" i="1"/>
  <c r="F12266" i="1"/>
  <c r="E12266" i="1"/>
  <c r="D12266" i="1"/>
  <c r="C12266" i="1"/>
  <c r="B12266" i="1"/>
  <c r="G12265" i="1"/>
  <c r="F12265" i="1"/>
  <c r="E12265" i="1"/>
  <c r="D12265" i="1"/>
  <c r="C12265" i="1"/>
  <c r="B12265" i="1"/>
  <c r="G12264" i="1"/>
  <c r="F12264" i="1"/>
  <c r="E12264" i="1"/>
  <c r="D12264" i="1"/>
  <c r="C12264" i="1"/>
  <c r="B12264" i="1"/>
  <c r="G12263" i="1"/>
  <c r="F12263" i="1"/>
  <c r="E12263" i="1"/>
  <c r="D12263" i="1"/>
  <c r="C12263" i="1"/>
  <c r="B12263" i="1"/>
  <c r="G12262" i="1"/>
  <c r="F12262" i="1"/>
  <c r="E12262" i="1"/>
  <c r="D12262" i="1"/>
  <c r="C12262" i="1"/>
  <c r="B12262" i="1"/>
  <c r="G12261" i="1"/>
  <c r="F12261" i="1"/>
  <c r="E12261" i="1"/>
  <c r="D12261" i="1"/>
  <c r="C12261" i="1"/>
  <c r="B12261" i="1"/>
  <c r="G12260" i="1"/>
  <c r="F12260" i="1"/>
  <c r="E12260" i="1"/>
  <c r="D12260" i="1"/>
  <c r="C12260" i="1"/>
  <c r="B12260" i="1"/>
  <c r="G12259" i="1"/>
  <c r="F12259" i="1"/>
  <c r="E12259" i="1"/>
  <c r="D12259" i="1"/>
  <c r="C12259" i="1"/>
  <c r="B12259" i="1"/>
  <c r="G12258" i="1"/>
  <c r="F12258" i="1"/>
  <c r="E12258" i="1"/>
  <c r="D12258" i="1"/>
  <c r="C12258" i="1"/>
  <c r="B12258" i="1"/>
  <c r="G12257" i="1"/>
  <c r="F12257" i="1"/>
  <c r="E12257" i="1"/>
  <c r="D12257" i="1"/>
  <c r="C12257" i="1"/>
  <c r="B12257" i="1"/>
  <c r="G12256" i="1"/>
  <c r="F12256" i="1"/>
  <c r="E12256" i="1"/>
  <c r="D12256" i="1"/>
  <c r="C12256" i="1"/>
  <c r="B12256" i="1"/>
  <c r="G12255" i="1"/>
  <c r="F12255" i="1"/>
  <c r="E12255" i="1"/>
  <c r="D12255" i="1"/>
  <c r="C12255" i="1"/>
  <c r="B12255" i="1"/>
  <c r="G12254" i="1"/>
  <c r="F12254" i="1"/>
  <c r="E12254" i="1"/>
  <c r="D12254" i="1"/>
  <c r="C12254" i="1"/>
  <c r="B12254" i="1"/>
  <c r="G12253" i="1"/>
  <c r="F12253" i="1"/>
  <c r="E12253" i="1"/>
  <c r="D12253" i="1"/>
  <c r="C12253" i="1"/>
  <c r="B12253" i="1"/>
  <c r="G12252" i="1"/>
  <c r="F12252" i="1"/>
  <c r="E12252" i="1"/>
  <c r="D12252" i="1"/>
  <c r="C12252" i="1"/>
  <c r="B12252" i="1"/>
  <c r="G12251" i="1"/>
  <c r="F12251" i="1"/>
  <c r="E12251" i="1"/>
  <c r="D12251" i="1"/>
  <c r="C12251" i="1"/>
  <c r="B12251" i="1"/>
  <c r="G12250" i="1"/>
  <c r="F12250" i="1"/>
  <c r="E12250" i="1"/>
  <c r="D12250" i="1"/>
  <c r="C12250" i="1"/>
  <c r="B12250" i="1"/>
  <c r="G12249" i="1"/>
  <c r="F12249" i="1"/>
  <c r="E12249" i="1"/>
  <c r="D12249" i="1"/>
  <c r="C12249" i="1"/>
  <c r="B12249" i="1"/>
  <c r="G12248" i="1"/>
  <c r="F12248" i="1"/>
  <c r="E12248" i="1"/>
  <c r="D12248" i="1"/>
  <c r="C12248" i="1"/>
  <c r="B12248" i="1"/>
  <c r="G12247" i="1"/>
  <c r="F12247" i="1"/>
  <c r="E12247" i="1"/>
  <c r="D12247" i="1"/>
  <c r="C12247" i="1"/>
  <c r="B12247" i="1"/>
  <c r="G12246" i="1"/>
  <c r="F12246" i="1"/>
  <c r="E12246" i="1"/>
  <c r="D12246" i="1"/>
  <c r="C12246" i="1"/>
  <c r="B12246" i="1"/>
  <c r="G12245" i="1"/>
  <c r="F12245" i="1"/>
  <c r="E12245" i="1"/>
  <c r="D12245" i="1"/>
  <c r="C12245" i="1"/>
  <c r="B12245" i="1"/>
  <c r="G12244" i="1"/>
  <c r="F12244" i="1"/>
  <c r="E12244" i="1"/>
  <c r="D12244" i="1"/>
  <c r="C12244" i="1"/>
  <c r="B12244" i="1"/>
  <c r="G12243" i="1"/>
  <c r="F12243" i="1"/>
  <c r="E12243" i="1"/>
  <c r="D12243" i="1"/>
  <c r="C12243" i="1"/>
  <c r="B12243" i="1"/>
  <c r="G12242" i="1"/>
  <c r="F12242" i="1"/>
  <c r="E12242" i="1"/>
  <c r="D12242" i="1"/>
  <c r="C12242" i="1"/>
  <c r="B12242" i="1"/>
  <c r="G12241" i="1"/>
  <c r="F12241" i="1"/>
  <c r="E12241" i="1"/>
  <c r="D12241" i="1"/>
  <c r="C12241" i="1"/>
  <c r="B12241" i="1"/>
  <c r="G12240" i="1"/>
  <c r="F12240" i="1"/>
  <c r="E12240" i="1"/>
  <c r="D12240" i="1"/>
  <c r="C12240" i="1"/>
  <c r="B12240" i="1"/>
  <c r="G12239" i="1"/>
  <c r="F12239" i="1"/>
  <c r="E12239" i="1"/>
  <c r="D12239" i="1"/>
  <c r="C12239" i="1"/>
  <c r="B12239" i="1"/>
  <c r="G12238" i="1"/>
  <c r="F12238" i="1"/>
  <c r="E12238" i="1"/>
  <c r="D12238" i="1"/>
  <c r="C12238" i="1"/>
  <c r="B12238" i="1"/>
  <c r="G12237" i="1"/>
  <c r="F12237" i="1"/>
  <c r="E12237" i="1"/>
  <c r="D12237" i="1"/>
  <c r="C12237" i="1"/>
  <c r="B12237" i="1"/>
  <c r="G12236" i="1"/>
  <c r="F12236" i="1"/>
  <c r="E12236" i="1"/>
  <c r="D12236" i="1"/>
  <c r="C12236" i="1"/>
  <c r="B12236" i="1"/>
  <c r="G12235" i="1"/>
  <c r="F12235" i="1"/>
  <c r="E12235" i="1"/>
  <c r="D12235" i="1"/>
  <c r="C12235" i="1"/>
  <c r="B12235" i="1"/>
  <c r="G12234" i="1"/>
  <c r="F12234" i="1"/>
  <c r="E12234" i="1"/>
  <c r="D12234" i="1"/>
  <c r="C12234" i="1"/>
  <c r="B12234" i="1"/>
  <c r="G12233" i="1"/>
  <c r="F12233" i="1"/>
  <c r="E12233" i="1"/>
  <c r="D12233" i="1"/>
  <c r="C12233" i="1"/>
  <c r="B12233" i="1"/>
  <c r="G12232" i="1"/>
  <c r="F12232" i="1"/>
  <c r="E12232" i="1"/>
  <c r="D12232" i="1"/>
  <c r="C12232" i="1"/>
  <c r="B12232" i="1"/>
  <c r="G12231" i="1"/>
  <c r="F12231" i="1"/>
  <c r="E12231" i="1"/>
  <c r="D12231" i="1"/>
  <c r="C12231" i="1"/>
  <c r="B12231" i="1"/>
  <c r="G12230" i="1"/>
  <c r="F12230" i="1"/>
  <c r="E12230" i="1"/>
  <c r="D12230" i="1"/>
  <c r="C12230" i="1"/>
  <c r="B12230" i="1"/>
  <c r="G12229" i="1"/>
  <c r="F12229" i="1"/>
  <c r="E12229" i="1"/>
  <c r="D12229" i="1"/>
  <c r="C12229" i="1"/>
  <c r="B12229" i="1"/>
  <c r="G12228" i="1"/>
  <c r="F12228" i="1"/>
  <c r="E12228" i="1"/>
  <c r="D12228" i="1"/>
  <c r="C12228" i="1"/>
  <c r="B12228" i="1"/>
  <c r="G12227" i="1"/>
  <c r="F12227" i="1"/>
  <c r="E12227" i="1"/>
  <c r="D12227" i="1"/>
  <c r="C12227" i="1"/>
  <c r="B12227" i="1"/>
  <c r="G12226" i="1"/>
  <c r="F12226" i="1"/>
  <c r="E12226" i="1"/>
  <c r="D12226" i="1"/>
  <c r="C12226" i="1"/>
  <c r="B12226" i="1"/>
  <c r="G12225" i="1"/>
  <c r="F12225" i="1"/>
  <c r="E12225" i="1"/>
  <c r="D12225" i="1"/>
  <c r="C12225" i="1"/>
  <c r="B12225" i="1"/>
  <c r="G12224" i="1"/>
  <c r="F12224" i="1"/>
  <c r="E12224" i="1"/>
  <c r="D12224" i="1"/>
  <c r="C12224" i="1"/>
  <c r="B12224" i="1"/>
  <c r="G12223" i="1"/>
  <c r="F12223" i="1"/>
  <c r="E12223" i="1"/>
  <c r="D12223" i="1"/>
  <c r="C12223" i="1"/>
  <c r="B12223" i="1"/>
  <c r="G12222" i="1"/>
  <c r="F12222" i="1"/>
  <c r="E12222" i="1"/>
  <c r="D12222" i="1"/>
  <c r="C12222" i="1"/>
  <c r="B12222" i="1"/>
  <c r="G12221" i="1"/>
  <c r="F12221" i="1"/>
  <c r="E12221" i="1"/>
  <c r="D12221" i="1"/>
  <c r="C12221" i="1"/>
  <c r="B12221" i="1"/>
  <c r="G12220" i="1"/>
  <c r="F12220" i="1"/>
  <c r="E12220" i="1"/>
  <c r="D12220" i="1"/>
  <c r="C12220" i="1"/>
  <c r="B12220" i="1"/>
  <c r="G12219" i="1"/>
  <c r="F12219" i="1"/>
  <c r="E12219" i="1"/>
  <c r="D12219" i="1"/>
  <c r="C12219" i="1"/>
  <c r="B12219" i="1"/>
  <c r="G12218" i="1"/>
  <c r="F12218" i="1"/>
  <c r="E12218" i="1"/>
  <c r="D12218" i="1"/>
  <c r="C12218" i="1"/>
  <c r="B12218" i="1"/>
  <c r="G12217" i="1"/>
  <c r="F12217" i="1"/>
  <c r="E12217" i="1"/>
  <c r="D12217" i="1"/>
  <c r="C12217" i="1"/>
  <c r="B12217" i="1"/>
  <c r="G12216" i="1"/>
  <c r="F12216" i="1"/>
  <c r="E12216" i="1"/>
  <c r="D12216" i="1"/>
  <c r="C12216" i="1"/>
  <c r="B12216" i="1"/>
  <c r="G12215" i="1"/>
  <c r="F12215" i="1"/>
  <c r="E12215" i="1"/>
  <c r="D12215" i="1"/>
  <c r="C12215" i="1"/>
  <c r="B12215" i="1"/>
  <c r="G12214" i="1"/>
  <c r="F12214" i="1"/>
  <c r="E12214" i="1"/>
  <c r="D12214" i="1"/>
  <c r="C12214" i="1"/>
  <c r="B12214" i="1"/>
  <c r="G12213" i="1"/>
  <c r="F12213" i="1"/>
  <c r="E12213" i="1"/>
  <c r="D12213" i="1"/>
  <c r="C12213" i="1"/>
  <c r="B12213" i="1"/>
  <c r="G12212" i="1"/>
  <c r="F12212" i="1"/>
  <c r="E12212" i="1"/>
  <c r="D12212" i="1"/>
  <c r="C12212" i="1"/>
  <c r="B12212" i="1"/>
  <c r="G12211" i="1"/>
  <c r="F12211" i="1"/>
  <c r="E12211" i="1"/>
  <c r="D12211" i="1"/>
  <c r="C12211" i="1"/>
  <c r="B12211" i="1"/>
  <c r="G12210" i="1"/>
  <c r="F12210" i="1"/>
  <c r="E12210" i="1"/>
  <c r="D12210" i="1"/>
  <c r="C12210" i="1"/>
  <c r="B12210" i="1"/>
  <c r="G12209" i="1"/>
  <c r="F12209" i="1"/>
  <c r="E12209" i="1"/>
  <c r="D12209" i="1"/>
  <c r="C12209" i="1"/>
  <c r="B12209" i="1"/>
  <c r="G12208" i="1"/>
  <c r="F12208" i="1"/>
  <c r="E12208" i="1"/>
  <c r="D12208" i="1"/>
  <c r="C12208" i="1"/>
  <c r="B12208" i="1"/>
  <c r="G12207" i="1"/>
  <c r="F12207" i="1"/>
  <c r="E12207" i="1"/>
  <c r="D12207" i="1"/>
  <c r="C12207" i="1"/>
  <c r="B12207" i="1"/>
  <c r="G12206" i="1"/>
  <c r="F12206" i="1"/>
  <c r="E12206" i="1"/>
  <c r="D12206" i="1"/>
  <c r="C12206" i="1"/>
  <c r="B12206" i="1"/>
  <c r="G12205" i="1"/>
  <c r="F12205" i="1"/>
  <c r="E12205" i="1"/>
  <c r="D12205" i="1"/>
  <c r="C12205" i="1"/>
  <c r="B12205" i="1"/>
  <c r="G12204" i="1"/>
  <c r="F12204" i="1"/>
  <c r="E12204" i="1"/>
  <c r="D12204" i="1"/>
  <c r="C12204" i="1"/>
  <c r="B12204" i="1"/>
  <c r="G12203" i="1"/>
  <c r="F12203" i="1"/>
  <c r="E12203" i="1"/>
  <c r="D12203" i="1"/>
  <c r="C12203" i="1"/>
  <c r="B12203" i="1"/>
  <c r="G12202" i="1"/>
  <c r="F12202" i="1"/>
  <c r="E12202" i="1"/>
  <c r="D12202" i="1"/>
  <c r="C12202" i="1"/>
  <c r="B12202" i="1"/>
  <c r="G12201" i="1"/>
  <c r="F12201" i="1"/>
  <c r="E12201" i="1"/>
  <c r="D12201" i="1"/>
  <c r="C12201" i="1"/>
  <c r="B12201" i="1"/>
  <c r="G12200" i="1"/>
  <c r="F12200" i="1"/>
  <c r="E12200" i="1"/>
  <c r="D12200" i="1"/>
  <c r="C12200" i="1"/>
  <c r="B12200" i="1"/>
  <c r="G12199" i="1"/>
  <c r="F12199" i="1"/>
  <c r="E12199" i="1"/>
  <c r="D12199" i="1"/>
  <c r="C12199" i="1"/>
  <c r="B12199" i="1"/>
  <c r="G12198" i="1"/>
  <c r="F12198" i="1"/>
  <c r="E12198" i="1"/>
  <c r="D12198" i="1"/>
  <c r="C12198" i="1"/>
  <c r="B12198" i="1"/>
  <c r="G12197" i="1"/>
  <c r="F12197" i="1"/>
  <c r="E12197" i="1"/>
  <c r="D12197" i="1"/>
  <c r="C12197" i="1"/>
  <c r="B12197" i="1"/>
  <c r="G12196" i="1"/>
  <c r="F12196" i="1"/>
  <c r="E12196" i="1"/>
  <c r="D12196" i="1"/>
  <c r="C12196" i="1"/>
  <c r="B12196" i="1"/>
  <c r="G12195" i="1"/>
  <c r="F12195" i="1"/>
  <c r="E12195" i="1"/>
  <c r="D12195" i="1"/>
  <c r="C12195" i="1"/>
  <c r="B12195" i="1"/>
  <c r="G12194" i="1"/>
  <c r="F12194" i="1"/>
  <c r="E12194" i="1"/>
  <c r="D12194" i="1"/>
  <c r="C12194" i="1"/>
  <c r="B12194" i="1"/>
  <c r="G12193" i="1"/>
  <c r="F12193" i="1"/>
  <c r="E12193" i="1"/>
  <c r="D12193" i="1"/>
  <c r="C12193" i="1"/>
  <c r="B12193" i="1"/>
  <c r="G12192" i="1"/>
  <c r="F12192" i="1"/>
  <c r="E12192" i="1"/>
  <c r="D12192" i="1"/>
  <c r="C12192" i="1"/>
  <c r="B12192" i="1"/>
  <c r="G12191" i="1"/>
  <c r="F12191" i="1"/>
  <c r="E12191" i="1"/>
  <c r="D12191" i="1"/>
  <c r="C12191" i="1"/>
  <c r="B12191" i="1"/>
  <c r="G12190" i="1"/>
  <c r="F12190" i="1"/>
  <c r="E12190" i="1"/>
  <c r="D12190" i="1"/>
  <c r="C12190" i="1"/>
  <c r="B12190" i="1"/>
  <c r="G12189" i="1"/>
  <c r="F12189" i="1"/>
  <c r="E12189" i="1"/>
  <c r="D12189" i="1"/>
  <c r="C12189" i="1"/>
  <c r="B12189" i="1"/>
  <c r="G12188" i="1"/>
  <c r="F12188" i="1"/>
  <c r="E12188" i="1"/>
  <c r="D12188" i="1"/>
  <c r="C12188" i="1"/>
  <c r="B12188" i="1"/>
  <c r="G12187" i="1"/>
  <c r="F12187" i="1"/>
  <c r="E12187" i="1"/>
  <c r="D12187" i="1"/>
  <c r="C12187" i="1"/>
  <c r="B12187" i="1"/>
  <c r="G12186" i="1"/>
  <c r="F12186" i="1"/>
  <c r="E12186" i="1"/>
  <c r="D12186" i="1"/>
  <c r="C12186" i="1"/>
  <c r="B12186" i="1"/>
  <c r="G12185" i="1"/>
  <c r="F12185" i="1"/>
  <c r="E12185" i="1"/>
  <c r="D12185" i="1"/>
  <c r="C12185" i="1"/>
  <c r="B12185" i="1"/>
  <c r="G12184" i="1"/>
  <c r="F12184" i="1"/>
  <c r="E12184" i="1"/>
  <c r="D12184" i="1"/>
  <c r="C12184" i="1"/>
  <c r="B12184" i="1"/>
  <c r="G12183" i="1"/>
  <c r="F12183" i="1"/>
  <c r="E12183" i="1"/>
  <c r="D12183" i="1"/>
  <c r="C12183" i="1"/>
  <c r="B12183" i="1"/>
  <c r="G12182" i="1"/>
  <c r="F12182" i="1"/>
  <c r="E12182" i="1"/>
  <c r="D12182" i="1"/>
  <c r="C12182" i="1"/>
  <c r="B12182" i="1"/>
  <c r="G12181" i="1"/>
  <c r="F12181" i="1"/>
  <c r="E12181" i="1"/>
  <c r="D12181" i="1"/>
  <c r="C12181" i="1"/>
  <c r="B12181" i="1"/>
  <c r="G12180" i="1"/>
  <c r="F12180" i="1"/>
  <c r="E12180" i="1"/>
  <c r="D12180" i="1"/>
  <c r="C12180" i="1"/>
  <c r="B12180" i="1"/>
  <c r="G12179" i="1"/>
  <c r="F12179" i="1"/>
  <c r="E12179" i="1"/>
  <c r="D12179" i="1"/>
  <c r="C12179" i="1"/>
  <c r="B12179" i="1"/>
  <c r="G12178" i="1"/>
  <c r="F12178" i="1"/>
  <c r="E12178" i="1"/>
  <c r="D12178" i="1"/>
  <c r="C12178" i="1"/>
  <c r="B12178" i="1"/>
  <c r="G12177" i="1"/>
  <c r="F12177" i="1"/>
  <c r="E12177" i="1"/>
  <c r="D12177" i="1"/>
  <c r="C12177" i="1"/>
  <c r="B12177" i="1"/>
  <c r="G12176" i="1"/>
  <c r="F12176" i="1"/>
  <c r="E12176" i="1"/>
  <c r="D12176" i="1"/>
  <c r="C12176" i="1"/>
  <c r="B12176" i="1"/>
  <c r="G12175" i="1"/>
  <c r="F12175" i="1"/>
  <c r="E12175" i="1"/>
  <c r="D12175" i="1"/>
  <c r="C12175" i="1"/>
  <c r="B12175" i="1"/>
  <c r="G12174" i="1"/>
  <c r="F12174" i="1"/>
  <c r="E12174" i="1"/>
  <c r="D12174" i="1"/>
  <c r="C12174" i="1"/>
  <c r="B12174" i="1"/>
  <c r="G12173" i="1"/>
  <c r="F12173" i="1"/>
  <c r="E12173" i="1"/>
  <c r="D12173" i="1"/>
  <c r="C12173" i="1"/>
  <c r="B12173" i="1"/>
  <c r="G12172" i="1"/>
  <c r="F12172" i="1"/>
  <c r="E12172" i="1"/>
  <c r="D12172" i="1"/>
  <c r="C12172" i="1"/>
  <c r="B12172" i="1"/>
  <c r="G12171" i="1"/>
  <c r="F12171" i="1"/>
  <c r="E12171" i="1"/>
  <c r="D12171" i="1"/>
  <c r="C12171" i="1"/>
  <c r="B12171" i="1"/>
  <c r="G12170" i="1"/>
  <c r="F12170" i="1"/>
  <c r="E12170" i="1"/>
  <c r="D12170" i="1"/>
  <c r="C12170" i="1"/>
  <c r="B12170" i="1"/>
  <c r="G12169" i="1"/>
  <c r="F12169" i="1"/>
  <c r="E12169" i="1"/>
  <c r="D12169" i="1"/>
  <c r="C12169" i="1"/>
  <c r="B12169" i="1"/>
  <c r="G12168" i="1"/>
  <c r="F12168" i="1"/>
  <c r="E12168" i="1"/>
  <c r="D12168" i="1"/>
  <c r="C12168" i="1"/>
  <c r="B12168" i="1"/>
  <c r="G12167" i="1"/>
  <c r="F12167" i="1"/>
  <c r="E12167" i="1"/>
  <c r="D12167" i="1"/>
  <c r="C12167" i="1"/>
  <c r="B12167" i="1"/>
  <c r="G12166" i="1"/>
  <c r="F12166" i="1"/>
  <c r="E12166" i="1"/>
  <c r="D12166" i="1"/>
  <c r="C12166" i="1"/>
  <c r="B12166" i="1"/>
  <c r="G12165" i="1"/>
  <c r="F12165" i="1"/>
  <c r="E12165" i="1"/>
  <c r="D12165" i="1"/>
  <c r="C12165" i="1"/>
  <c r="B12165" i="1"/>
  <c r="G12164" i="1"/>
  <c r="F12164" i="1"/>
  <c r="E12164" i="1"/>
  <c r="D12164" i="1"/>
  <c r="C12164" i="1"/>
  <c r="B12164" i="1"/>
  <c r="G12163" i="1"/>
  <c r="F12163" i="1"/>
  <c r="E12163" i="1"/>
  <c r="D12163" i="1"/>
  <c r="C12163" i="1"/>
  <c r="B12163" i="1"/>
  <c r="G12162" i="1"/>
  <c r="F12162" i="1"/>
  <c r="E12162" i="1"/>
  <c r="D12162" i="1"/>
  <c r="C12162" i="1"/>
  <c r="B12162" i="1"/>
  <c r="G12161" i="1"/>
  <c r="F12161" i="1"/>
  <c r="E12161" i="1"/>
  <c r="D12161" i="1"/>
  <c r="C12161" i="1"/>
  <c r="B12161" i="1"/>
  <c r="G12160" i="1"/>
  <c r="F12160" i="1"/>
  <c r="E12160" i="1"/>
  <c r="D12160" i="1"/>
  <c r="C12160" i="1"/>
  <c r="B12160" i="1"/>
  <c r="G12159" i="1"/>
  <c r="F12159" i="1"/>
  <c r="E12159" i="1"/>
  <c r="D12159" i="1"/>
  <c r="C12159" i="1"/>
  <c r="B12159" i="1"/>
  <c r="G12158" i="1"/>
  <c r="F12158" i="1"/>
  <c r="E12158" i="1"/>
  <c r="D12158" i="1"/>
  <c r="C12158" i="1"/>
  <c r="B12158" i="1"/>
  <c r="G12157" i="1"/>
  <c r="F12157" i="1"/>
  <c r="E12157" i="1"/>
  <c r="D12157" i="1"/>
  <c r="C12157" i="1"/>
  <c r="B12157" i="1"/>
  <c r="G12156" i="1"/>
  <c r="F12156" i="1"/>
  <c r="E12156" i="1"/>
  <c r="D12156" i="1"/>
  <c r="C12156" i="1"/>
  <c r="B12156" i="1"/>
  <c r="G12155" i="1"/>
  <c r="F12155" i="1"/>
  <c r="E12155" i="1"/>
  <c r="D12155" i="1"/>
  <c r="C12155" i="1"/>
  <c r="B12155" i="1"/>
  <c r="G12154" i="1"/>
  <c r="F12154" i="1"/>
  <c r="E12154" i="1"/>
  <c r="D12154" i="1"/>
  <c r="C12154" i="1"/>
  <c r="B12154" i="1"/>
  <c r="G12153" i="1"/>
  <c r="F12153" i="1"/>
  <c r="E12153" i="1"/>
  <c r="D12153" i="1"/>
  <c r="C12153" i="1"/>
  <c r="B12153" i="1"/>
  <c r="G12152" i="1"/>
  <c r="F12152" i="1"/>
  <c r="E12152" i="1"/>
  <c r="D12152" i="1"/>
  <c r="C12152" i="1"/>
  <c r="B12152" i="1"/>
  <c r="G12151" i="1"/>
  <c r="F12151" i="1"/>
  <c r="E12151" i="1"/>
  <c r="D12151" i="1"/>
  <c r="C12151" i="1"/>
  <c r="B12151" i="1"/>
  <c r="G12150" i="1"/>
  <c r="F12150" i="1"/>
  <c r="E12150" i="1"/>
  <c r="D12150" i="1"/>
  <c r="C12150" i="1"/>
  <c r="B12150" i="1"/>
  <c r="G12149" i="1"/>
  <c r="F12149" i="1"/>
  <c r="E12149" i="1"/>
  <c r="D12149" i="1"/>
  <c r="C12149" i="1"/>
  <c r="B12149" i="1"/>
  <c r="G12148" i="1"/>
  <c r="F12148" i="1"/>
  <c r="E12148" i="1"/>
  <c r="D12148" i="1"/>
  <c r="C12148" i="1"/>
  <c r="B12148" i="1"/>
  <c r="G12147" i="1"/>
  <c r="F12147" i="1"/>
  <c r="E12147" i="1"/>
  <c r="D12147" i="1"/>
  <c r="C12147" i="1"/>
  <c r="B12147" i="1"/>
  <c r="G12146" i="1"/>
  <c r="F12146" i="1"/>
  <c r="E12146" i="1"/>
  <c r="D12146" i="1"/>
  <c r="C12146" i="1"/>
  <c r="B12146" i="1"/>
  <c r="G12145" i="1"/>
  <c r="F12145" i="1"/>
  <c r="E12145" i="1"/>
  <c r="D12145" i="1"/>
  <c r="C12145" i="1"/>
  <c r="B12145" i="1"/>
  <c r="G12144" i="1"/>
  <c r="F12144" i="1"/>
  <c r="E12144" i="1"/>
  <c r="D12144" i="1"/>
  <c r="C12144" i="1"/>
  <c r="B12144" i="1"/>
  <c r="G12143" i="1"/>
  <c r="F12143" i="1"/>
  <c r="E12143" i="1"/>
  <c r="D12143" i="1"/>
  <c r="C12143" i="1"/>
  <c r="B12143" i="1"/>
  <c r="G12142" i="1"/>
  <c r="F12142" i="1"/>
  <c r="E12142" i="1"/>
  <c r="D12142" i="1"/>
  <c r="C12142" i="1"/>
  <c r="B12142" i="1"/>
  <c r="G12141" i="1"/>
  <c r="F12141" i="1"/>
  <c r="E12141" i="1"/>
  <c r="D12141" i="1"/>
  <c r="C12141" i="1"/>
  <c r="B12141" i="1"/>
  <c r="G12140" i="1"/>
  <c r="F12140" i="1"/>
  <c r="E12140" i="1"/>
  <c r="D12140" i="1"/>
  <c r="C12140" i="1"/>
  <c r="B12140" i="1"/>
  <c r="G12139" i="1"/>
  <c r="F12139" i="1"/>
  <c r="E12139" i="1"/>
  <c r="D12139" i="1"/>
  <c r="C12139" i="1"/>
  <c r="B12139" i="1"/>
  <c r="G12138" i="1"/>
  <c r="F12138" i="1"/>
  <c r="E12138" i="1"/>
  <c r="D12138" i="1"/>
  <c r="C12138" i="1"/>
  <c r="B12138" i="1"/>
  <c r="G12137" i="1"/>
  <c r="F12137" i="1"/>
  <c r="E12137" i="1"/>
  <c r="D12137" i="1"/>
  <c r="C12137" i="1"/>
  <c r="B12137" i="1"/>
  <c r="G12136" i="1"/>
  <c r="F12136" i="1"/>
  <c r="E12136" i="1"/>
  <c r="D12136" i="1"/>
  <c r="C12136" i="1"/>
  <c r="B12136" i="1"/>
  <c r="G12135" i="1"/>
  <c r="F12135" i="1"/>
  <c r="E12135" i="1"/>
  <c r="D12135" i="1"/>
  <c r="C12135" i="1"/>
  <c r="B12135" i="1"/>
  <c r="G12134" i="1"/>
  <c r="F12134" i="1"/>
  <c r="E12134" i="1"/>
  <c r="D12134" i="1"/>
  <c r="C12134" i="1"/>
  <c r="B12134" i="1"/>
  <c r="G12133" i="1"/>
  <c r="F12133" i="1"/>
  <c r="E12133" i="1"/>
  <c r="D12133" i="1"/>
  <c r="C12133" i="1"/>
  <c r="B12133" i="1"/>
  <c r="G12132" i="1"/>
  <c r="F12132" i="1"/>
  <c r="E12132" i="1"/>
  <c r="D12132" i="1"/>
  <c r="C12132" i="1"/>
  <c r="B12132" i="1"/>
  <c r="G12131" i="1"/>
  <c r="F12131" i="1"/>
  <c r="E12131" i="1"/>
  <c r="D12131" i="1"/>
  <c r="C12131" i="1"/>
  <c r="B12131" i="1"/>
  <c r="G12130" i="1"/>
  <c r="F12130" i="1"/>
  <c r="E12130" i="1"/>
  <c r="D12130" i="1"/>
  <c r="C12130" i="1"/>
  <c r="B12130" i="1"/>
  <c r="G12129" i="1"/>
  <c r="F12129" i="1"/>
  <c r="E12129" i="1"/>
  <c r="D12129" i="1"/>
  <c r="C12129" i="1"/>
  <c r="B12129" i="1"/>
  <c r="G12128" i="1"/>
  <c r="F12128" i="1"/>
  <c r="E12128" i="1"/>
  <c r="D12128" i="1"/>
  <c r="C12128" i="1"/>
  <c r="B12128" i="1"/>
  <c r="G12127" i="1"/>
  <c r="F12127" i="1"/>
  <c r="E12127" i="1"/>
  <c r="D12127" i="1"/>
  <c r="C12127" i="1"/>
  <c r="B12127" i="1"/>
  <c r="G12126" i="1"/>
  <c r="F12126" i="1"/>
  <c r="E12126" i="1"/>
  <c r="D12126" i="1"/>
  <c r="C12126" i="1"/>
  <c r="B12126" i="1"/>
  <c r="G12125" i="1"/>
  <c r="F12125" i="1"/>
  <c r="E12125" i="1"/>
  <c r="D12125" i="1"/>
  <c r="C12125" i="1"/>
  <c r="B12125" i="1"/>
  <c r="G12124" i="1"/>
  <c r="F12124" i="1"/>
  <c r="E12124" i="1"/>
  <c r="D12124" i="1"/>
  <c r="C12124" i="1"/>
  <c r="B12124" i="1"/>
  <c r="G12123" i="1"/>
  <c r="F12123" i="1"/>
  <c r="E12123" i="1"/>
  <c r="D12123" i="1"/>
  <c r="C12123" i="1"/>
  <c r="B12123" i="1"/>
  <c r="G12122" i="1"/>
  <c r="F12122" i="1"/>
  <c r="E12122" i="1"/>
  <c r="D12122" i="1"/>
  <c r="C12122" i="1"/>
  <c r="B12122" i="1"/>
  <c r="G12121" i="1"/>
  <c r="F12121" i="1"/>
  <c r="E12121" i="1"/>
  <c r="D12121" i="1"/>
  <c r="C12121" i="1"/>
  <c r="B12121" i="1"/>
  <c r="G12120" i="1"/>
  <c r="F12120" i="1"/>
  <c r="E12120" i="1"/>
  <c r="D12120" i="1"/>
  <c r="C12120" i="1"/>
  <c r="B12120" i="1"/>
  <c r="G12119" i="1"/>
  <c r="F12119" i="1"/>
  <c r="E12119" i="1"/>
  <c r="D12119" i="1"/>
  <c r="C12119" i="1"/>
  <c r="B12119" i="1"/>
  <c r="G12118" i="1"/>
  <c r="F12118" i="1"/>
  <c r="E12118" i="1"/>
  <c r="D12118" i="1"/>
  <c r="C12118" i="1"/>
  <c r="B12118" i="1"/>
  <c r="G12117" i="1"/>
  <c r="F12117" i="1"/>
  <c r="E12117" i="1"/>
  <c r="D12117" i="1"/>
  <c r="C12117" i="1"/>
  <c r="B12117" i="1"/>
  <c r="G12116" i="1"/>
  <c r="F12116" i="1"/>
  <c r="E12116" i="1"/>
  <c r="D12116" i="1"/>
  <c r="C12116" i="1"/>
  <c r="B12116" i="1"/>
  <c r="G12115" i="1"/>
  <c r="F12115" i="1"/>
  <c r="E12115" i="1"/>
  <c r="D12115" i="1"/>
  <c r="C12115" i="1"/>
  <c r="B12115" i="1"/>
  <c r="G12114" i="1"/>
  <c r="F12114" i="1"/>
  <c r="E12114" i="1"/>
  <c r="D12114" i="1"/>
  <c r="C12114" i="1"/>
  <c r="B12114" i="1"/>
  <c r="G12113" i="1"/>
  <c r="F12113" i="1"/>
  <c r="E12113" i="1"/>
  <c r="D12113" i="1"/>
  <c r="C12113" i="1"/>
  <c r="B12113" i="1"/>
  <c r="G12112" i="1"/>
  <c r="F12112" i="1"/>
  <c r="E12112" i="1"/>
  <c r="D12112" i="1"/>
  <c r="C12112" i="1"/>
  <c r="B12112" i="1"/>
  <c r="G12111" i="1"/>
  <c r="F12111" i="1"/>
  <c r="E12111" i="1"/>
  <c r="D12111" i="1"/>
  <c r="C12111" i="1"/>
  <c r="B12111" i="1"/>
  <c r="G12110" i="1"/>
  <c r="F12110" i="1"/>
  <c r="E12110" i="1"/>
  <c r="D12110" i="1"/>
  <c r="C12110" i="1"/>
  <c r="B12110" i="1"/>
  <c r="G12109" i="1"/>
  <c r="F12109" i="1"/>
  <c r="E12109" i="1"/>
  <c r="D12109" i="1"/>
  <c r="C12109" i="1"/>
  <c r="B12109" i="1"/>
  <c r="G12108" i="1"/>
  <c r="F12108" i="1"/>
  <c r="E12108" i="1"/>
  <c r="D12108" i="1"/>
  <c r="C12108" i="1"/>
  <c r="B12108" i="1"/>
  <c r="G12107" i="1"/>
  <c r="F12107" i="1"/>
  <c r="E12107" i="1"/>
  <c r="D12107" i="1"/>
  <c r="C12107" i="1"/>
  <c r="B12107" i="1"/>
  <c r="G12106" i="1"/>
  <c r="F12106" i="1"/>
  <c r="E12106" i="1"/>
  <c r="D12106" i="1"/>
  <c r="C12106" i="1"/>
  <c r="B12106" i="1"/>
  <c r="G12105" i="1"/>
  <c r="F12105" i="1"/>
  <c r="E12105" i="1"/>
  <c r="D12105" i="1"/>
  <c r="C12105" i="1"/>
  <c r="B12105" i="1"/>
  <c r="G12104" i="1"/>
  <c r="F12104" i="1"/>
  <c r="E12104" i="1"/>
  <c r="D12104" i="1"/>
  <c r="C12104" i="1"/>
  <c r="B12104" i="1"/>
  <c r="G12103" i="1"/>
  <c r="F12103" i="1"/>
  <c r="E12103" i="1"/>
  <c r="D12103" i="1"/>
  <c r="C12103" i="1"/>
  <c r="B12103" i="1"/>
  <c r="G12102" i="1"/>
  <c r="F12102" i="1"/>
  <c r="E12102" i="1"/>
  <c r="D12102" i="1"/>
  <c r="C12102" i="1"/>
  <c r="B12102" i="1"/>
  <c r="G12101" i="1"/>
  <c r="F12101" i="1"/>
  <c r="E12101" i="1"/>
  <c r="D12101" i="1"/>
  <c r="C12101" i="1"/>
  <c r="B12101" i="1"/>
  <c r="G12100" i="1"/>
  <c r="F12100" i="1"/>
  <c r="E12100" i="1"/>
  <c r="D12100" i="1"/>
  <c r="C12100" i="1"/>
  <c r="B12100" i="1"/>
  <c r="G12099" i="1"/>
  <c r="F12099" i="1"/>
  <c r="E12099" i="1"/>
  <c r="D12099" i="1"/>
  <c r="C12099" i="1"/>
  <c r="B12099" i="1"/>
  <c r="G12098" i="1"/>
  <c r="F12098" i="1"/>
  <c r="E12098" i="1"/>
  <c r="D12098" i="1"/>
  <c r="C12098" i="1"/>
  <c r="B12098" i="1"/>
  <c r="G12097" i="1"/>
  <c r="F12097" i="1"/>
  <c r="E12097" i="1"/>
  <c r="D12097" i="1"/>
  <c r="C12097" i="1"/>
  <c r="B12097" i="1"/>
  <c r="G12096" i="1"/>
  <c r="F12096" i="1"/>
  <c r="E12096" i="1"/>
  <c r="D12096" i="1"/>
  <c r="C12096" i="1"/>
  <c r="B12096" i="1"/>
  <c r="G12095" i="1"/>
  <c r="F12095" i="1"/>
  <c r="E12095" i="1"/>
  <c r="D12095" i="1"/>
  <c r="C12095" i="1"/>
  <c r="B12095" i="1"/>
  <c r="G12094" i="1"/>
  <c r="F12094" i="1"/>
  <c r="E12094" i="1"/>
  <c r="D12094" i="1"/>
  <c r="C12094" i="1"/>
  <c r="B12094" i="1"/>
  <c r="G12093" i="1"/>
  <c r="F12093" i="1"/>
  <c r="E12093" i="1"/>
  <c r="D12093" i="1"/>
  <c r="C12093" i="1"/>
  <c r="B12093" i="1"/>
  <c r="G12092" i="1"/>
  <c r="F12092" i="1"/>
  <c r="E12092" i="1"/>
  <c r="D12092" i="1"/>
  <c r="C12092" i="1"/>
  <c r="B12092" i="1"/>
  <c r="G12091" i="1"/>
  <c r="F12091" i="1"/>
  <c r="E12091" i="1"/>
  <c r="D12091" i="1"/>
  <c r="C12091" i="1"/>
  <c r="B12091" i="1"/>
  <c r="G12090" i="1"/>
  <c r="F12090" i="1"/>
  <c r="E12090" i="1"/>
  <c r="D12090" i="1"/>
  <c r="C12090" i="1"/>
  <c r="B12090" i="1"/>
  <c r="G12089" i="1"/>
  <c r="F12089" i="1"/>
  <c r="E12089" i="1"/>
  <c r="D12089" i="1"/>
  <c r="C12089" i="1"/>
  <c r="B12089" i="1"/>
  <c r="G12088" i="1"/>
  <c r="F12088" i="1"/>
  <c r="E12088" i="1"/>
  <c r="D12088" i="1"/>
  <c r="C12088" i="1"/>
  <c r="B12088" i="1"/>
  <c r="G12087" i="1"/>
  <c r="F12087" i="1"/>
  <c r="E12087" i="1"/>
  <c r="D12087" i="1"/>
  <c r="C12087" i="1"/>
  <c r="B12087" i="1"/>
  <c r="G12086" i="1"/>
  <c r="F12086" i="1"/>
  <c r="E12086" i="1"/>
  <c r="D12086" i="1"/>
  <c r="C12086" i="1"/>
  <c r="B12086" i="1"/>
  <c r="G12085" i="1"/>
  <c r="F12085" i="1"/>
  <c r="E12085" i="1"/>
  <c r="D12085" i="1"/>
  <c r="C12085" i="1"/>
  <c r="B12085" i="1"/>
  <c r="G12084" i="1"/>
  <c r="F12084" i="1"/>
  <c r="E12084" i="1"/>
  <c r="D12084" i="1"/>
  <c r="C12084" i="1"/>
  <c r="B12084" i="1"/>
  <c r="G12083" i="1"/>
  <c r="F12083" i="1"/>
  <c r="E12083" i="1"/>
  <c r="D12083" i="1"/>
  <c r="C12083" i="1"/>
  <c r="B12083" i="1"/>
  <c r="G12082" i="1"/>
  <c r="F12082" i="1"/>
  <c r="E12082" i="1"/>
  <c r="D12082" i="1"/>
  <c r="C12082" i="1"/>
  <c r="B12082" i="1"/>
  <c r="G12081" i="1"/>
  <c r="F12081" i="1"/>
  <c r="E12081" i="1"/>
  <c r="D12081" i="1"/>
  <c r="C12081" i="1"/>
  <c r="B12081" i="1"/>
  <c r="G12080" i="1"/>
  <c r="F12080" i="1"/>
  <c r="E12080" i="1"/>
  <c r="D12080" i="1"/>
  <c r="C12080" i="1"/>
  <c r="B12080" i="1"/>
  <c r="G12079" i="1"/>
  <c r="F12079" i="1"/>
  <c r="E12079" i="1"/>
  <c r="D12079" i="1"/>
  <c r="C12079" i="1"/>
  <c r="B12079" i="1"/>
  <c r="G12078" i="1"/>
  <c r="F12078" i="1"/>
  <c r="E12078" i="1"/>
  <c r="D12078" i="1"/>
  <c r="C12078" i="1"/>
  <c r="B12078" i="1"/>
  <c r="G12077" i="1"/>
  <c r="F12077" i="1"/>
  <c r="E12077" i="1"/>
  <c r="D12077" i="1"/>
  <c r="C12077" i="1"/>
  <c r="B12077" i="1"/>
  <c r="G12076" i="1"/>
  <c r="F12076" i="1"/>
  <c r="E12076" i="1"/>
  <c r="D12076" i="1"/>
  <c r="C12076" i="1"/>
  <c r="B12076" i="1"/>
  <c r="G12075" i="1"/>
  <c r="F12075" i="1"/>
  <c r="E12075" i="1"/>
  <c r="D12075" i="1"/>
  <c r="C12075" i="1"/>
  <c r="B12075" i="1"/>
  <c r="G12074" i="1"/>
  <c r="F12074" i="1"/>
  <c r="E12074" i="1"/>
  <c r="D12074" i="1"/>
  <c r="C12074" i="1"/>
  <c r="B12074" i="1"/>
  <c r="G12073" i="1"/>
  <c r="F12073" i="1"/>
  <c r="E12073" i="1"/>
  <c r="D12073" i="1"/>
  <c r="C12073" i="1"/>
  <c r="B12073" i="1"/>
  <c r="G12072" i="1"/>
  <c r="F12072" i="1"/>
  <c r="E12072" i="1"/>
  <c r="D12072" i="1"/>
  <c r="C12072" i="1"/>
  <c r="B12072" i="1"/>
  <c r="G12071" i="1"/>
  <c r="F12071" i="1"/>
  <c r="E12071" i="1"/>
  <c r="D12071" i="1"/>
  <c r="C12071" i="1"/>
  <c r="B12071" i="1"/>
  <c r="G12070" i="1"/>
  <c r="F12070" i="1"/>
  <c r="E12070" i="1"/>
  <c r="D12070" i="1"/>
  <c r="C12070" i="1"/>
  <c r="B12070" i="1"/>
  <c r="G12069" i="1"/>
  <c r="F12069" i="1"/>
  <c r="E12069" i="1"/>
  <c r="D12069" i="1"/>
  <c r="C12069" i="1"/>
  <c r="B12069" i="1"/>
  <c r="G12068" i="1"/>
  <c r="F12068" i="1"/>
  <c r="E12068" i="1"/>
  <c r="D12068" i="1"/>
  <c r="C12068" i="1"/>
  <c r="B12068" i="1"/>
  <c r="G12067" i="1"/>
  <c r="F12067" i="1"/>
  <c r="E12067" i="1"/>
  <c r="D12067" i="1"/>
  <c r="C12067" i="1"/>
  <c r="B12067" i="1"/>
  <c r="G12066" i="1"/>
  <c r="F12066" i="1"/>
  <c r="E12066" i="1"/>
  <c r="D12066" i="1"/>
  <c r="C12066" i="1"/>
  <c r="B12066" i="1"/>
  <c r="G12065" i="1"/>
  <c r="F12065" i="1"/>
  <c r="E12065" i="1"/>
  <c r="D12065" i="1"/>
  <c r="C12065" i="1"/>
  <c r="B12065" i="1"/>
  <c r="G12064" i="1"/>
  <c r="F12064" i="1"/>
  <c r="E12064" i="1"/>
  <c r="D12064" i="1"/>
  <c r="C12064" i="1"/>
  <c r="B12064" i="1"/>
  <c r="G12063" i="1"/>
  <c r="F12063" i="1"/>
  <c r="E12063" i="1"/>
  <c r="D12063" i="1"/>
  <c r="C12063" i="1"/>
  <c r="B12063" i="1"/>
  <c r="G12062" i="1"/>
  <c r="F12062" i="1"/>
  <c r="E12062" i="1"/>
  <c r="D12062" i="1"/>
  <c r="C12062" i="1"/>
  <c r="B12062" i="1"/>
  <c r="G12061" i="1"/>
  <c r="F12061" i="1"/>
  <c r="E12061" i="1"/>
  <c r="D12061" i="1"/>
  <c r="C12061" i="1"/>
  <c r="B12061" i="1"/>
  <c r="G12060" i="1"/>
  <c r="F12060" i="1"/>
  <c r="E12060" i="1"/>
  <c r="D12060" i="1"/>
  <c r="C12060" i="1"/>
  <c r="B12060" i="1"/>
  <c r="G12059" i="1"/>
  <c r="F12059" i="1"/>
  <c r="E12059" i="1"/>
  <c r="D12059" i="1"/>
  <c r="C12059" i="1"/>
  <c r="B12059" i="1"/>
  <c r="G12058" i="1"/>
  <c r="F12058" i="1"/>
  <c r="E12058" i="1"/>
  <c r="D12058" i="1"/>
  <c r="C12058" i="1"/>
  <c r="B12058" i="1"/>
  <c r="G12057" i="1"/>
  <c r="F12057" i="1"/>
  <c r="E12057" i="1"/>
  <c r="D12057" i="1"/>
  <c r="C12057" i="1"/>
  <c r="B12057" i="1"/>
  <c r="G12056" i="1"/>
  <c r="F12056" i="1"/>
  <c r="E12056" i="1"/>
  <c r="D12056" i="1"/>
  <c r="C12056" i="1"/>
  <c r="B12056" i="1"/>
  <c r="G12055" i="1"/>
  <c r="F12055" i="1"/>
  <c r="E12055" i="1"/>
  <c r="D12055" i="1"/>
  <c r="C12055" i="1"/>
  <c r="B12055" i="1"/>
  <c r="G12054" i="1"/>
  <c r="F12054" i="1"/>
  <c r="E12054" i="1"/>
  <c r="D12054" i="1"/>
  <c r="C12054" i="1"/>
  <c r="B12054" i="1"/>
  <c r="G12053" i="1"/>
  <c r="F12053" i="1"/>
  <c r="E12053" i="1"/>
  <c r="D12053" i="1"/>
  <c r="C12053" i="1"/>
  <c r="B12053" i="1"/>
  <c r="G12052" i="1"/>
  <c r="F12052" i="1"/>
  <c r="E12052" i="1"/>
  <c r="D12052" i="1"/>
  <c r="C12052" i="1"/>
  <c r="B12052" i="1"/>
  <c r="G12051" i="1"/>
  <c r="F12051" i="1"/>
  <c r="E12051" i="1"/>
  <c r="D12051" i="1"/>
  <c r="C12051" i="1"/>
  <c r="B12051" i="1"/>
  <c r="G12050" i="1"/>
  <c r="F12050" i="1"/>
  <c r="E12050" i="1"/>
  <c r="D12050" i="1"/>
  <c r="C12050" i="1"/>
  <c r="B12050" i="1"/>
  <c r="G12049" i="1"/>
  <c r="F12049" i="1"/>
  <c r="E12049" i="1"/>
  <c r="D12049" i="1"/>
  <c r="C12049" i="1"/>
  <c r="B12049" i="1"/>
  <c r="G12048" i="1"/>
  <c r="F12048" i="1"/>
  <c r="E12048" i="1"/>
  <c r="D12048" i="1"/>
  <c r="C12048" i="1"/>
  <c r="B12048" i="1"/>
  <c r="G12047" i="1"/>
  <c r="F12047" i="1"/>
  <c r="E12047" i="1"/>
  <c r="D12047" i="1"/>
  <c r="C12047" i="1"/>
  <c r="B12047" i="1"/>
  <c r="G12046" i="1"/>
  <c r="F12046" i="1"/>
  <c r="E12046" i="1"/>
  <c r="D12046" i="1"/>
  <c r="C12046" i="1"/>
  <c r="B12046" i="1"/>
  <c r="G12045" i="1"/>
  <c r="F12045" i="1"/>
  <c r="E12045" i="1"/>
  <c r="D12045" i="1"/>
  <c r="C12045" i="1"/>
  <c r="B12045" i="1"/>
  <c r="G12044" i="1"/>
  <c r="F12044" i="1"/>
  <c r="E12044" i="1"/>
  <c r="D12044" i="1"/>
  <c r="C12044" i="1"/>
  <c r="B12044" i="1"/>
  <c r="G12043" i="1"/>
  <c r="F12043" i="1"/>
  <c r="E12043" i="1"/>
  <c r="D12043" i="1"/>
  <c r="C12043" i="1"/>
  <c r="B12043" i="1"/>
  <c r="G12042" i="1"/>
  <c r="F12042" i="1"/>
  <c r="E12042" i="1"/>
  <c r="D12042" i="1"/>
  <c r="C12042" i="1"/>
  <c r="B12042" i="1"/>
  <c r="G12041" i="1"/>
  <c r="F12041" i="1"/>
  <c r="E12041" i="1"/>
  <c r="D12041" i="1"/>
  <c r="C12041" i="1"/>
  <c r="B12041" i="1"/>
  <c r="G12040" i="1"/>
  <c r="F12040" i="1"/>
  <c r="E12040" i="1"/>
  <c r="D12040" i="1"/>
  <c r="C12040" i="1"/>
  <c r="B12040" i="1"/>
  <c r="G12039" i="1"/>
  <c r="F12039" i="1"/>
  <c r="E12039" i="1"/>
  <c r="D12039" i="1"/>
  <c r="C12039" i="1"/>
  <c r="B12039" i="1"/>
  <c r="G12038" i="1"/>
  <c r="F12038" i="1"/>
  <c r="E12038" i="1"/>
  <c r="D12038" i="1"/>
  <c r="C12038" i="1"/>
  <c r="B12038" i="1"/>
  <c r="F12037" i="1"/>
  <c r="E12037" i="1"/>
  <c r="D12037" i="1"/>
  <c r="C12037" i="1"/>
  <c r="B12037" i="1"/>
  <c r="F12036" i="1"/>
  <c r="E12036" i="1"/>
  <c r="D12036" i="1"/>
  <c r="C12036" i="1"/>
  <c r="B12036" i="1"/>
  <c r="F12035" i="1"/>
  <c r="E12035" i="1"/>
  <c r="D12035" i="1"/>
  <c r="C12035" i="1"/>
  <c r="B12035" i="1"/>
  <c r="F12034" i="1"/>
  <c r="E12034" i="1"/>
  <c r="D12034" i="1"/>
  <c r="C12034" i="1"/>
  <c r="B12034" i="1"/>
  <c r="F12033" i="1"/>
  <c r="E12033" i="1"/>
  <c r="D12033" i="1"/>
  <c r="C12033" i="1"/>
  <c r="B12033" i="1"/>
  <c r="F12032" i="1"/>
  <c r="E12032" i="1"/>
  <c r="D12032" i="1"/>
  <c r="C12032" i="1"/>
  <c r="B12032" i="1"/>
  <c r="G12031" i="1"/>
  <c r="F12031" i="1"/>
  <c r="E12031" i="1"/>
  <c r="D12031" i="1"/>
  <c r="C12031" i="1"/>
  <c r="B12031" i="1"/>
  <c r="G12030" i="1"/>
  <c r="F12030" i="1"/>
  <c r="E12030" i="1"/>
  <c r="D12030" i="1"/>
  <c r="C12030" i="1"/>
  <c r="B12030" i="1"/>
  <c r="G12029" i="1"/>
  <c r="F12029" i="1"/>
  <c r="E12029" i="1"/>
  <c r="D12029" i="1"/>
  <c r="C12029" i="1"/>
  <c r="B12029" i="1"/>
  <c r="G12028" i="1"/>
  <c r="F12028" i="1"/>
  <c r="E12028" i="1"/>
  <c r="D12028" i="1"/>
  <c r="C12028" i="1"/>
  <c r="B12028" i="1"/>
  <c r="G12027" i="1"/>
  <c r="F12027" i="1"/>
  <c r="E12027" i="1"/>
  <c r="D12027" i="1"/>
  <c r="C12027" i="1"/>
  <c r="B12027" i="1"/>
  <c r="G12026" i="1"/>
  <c r="F12026" i="1"/>
  <c r="E12026" i="1"/>
  <c r="D12026" i="1"/>
  <c r="C12026" i="1"/>
  <c r="B12026" i="1"/>
  <c r="G12025" i="1"/>
  <c r="F12025" i="1"/>
  <c r="E12025" i="1"/>
  <c r="D12025" i="1"/>
  <c r="C12025" i="1"/>
  <c r="B12025" i="1"/>
  <c r="G12024" i="1"/>
  <c r="F12024" i="1"/>
  <c r="E12024" i="1"/>
  <c r="D12024" i="1"/>
  <c r="C12024" i="1"/>
  <c r="B12024" i="1"/>
  <c r="G12023" i="1"/>
  <c r="F12023" i="1"/>
  <c r="E12023" i="1"/>
  <c r="D12023" i="1"/>
  <c r="C12023" i="1"/>
  <c r="B12023" i="1"/>
  <c r="G12022" i="1"/>
  <c r="F12022" i="1"/>
  <c r="E12022" i="1"/>
  <c r="D12022" i="1"/>
  <c r="C12022" i="1"/>
  <c r="B12022" i="1"/>
  <c r="G12021" i="1"/>
  <c r="F12021" i="1"/>
  <c r="E12021" i="1"/>
  <c r="D12021" i="1"/>
  <c r="C12021" i="1"/>
  <c r="B12021" i="1"/>
  <c r="G12020" i="1"/>
  <c r="F12020" i="1"/>
  <c r="E12020" i="1"/>
  <c r="D12020" i="1"/>
  <c r="C12020" i="1"/>
  <c r="B12020" i="1"/>
  <c r="G12019" i="1"/>
  <c r="F12019" i="1"/>
  <c r="E12019" i="1"/>
  <c r="D12019" i="1"/>
  <c r="C12019" i="1"/>
  <c r="B12019" i="1"/>
  <c r="G12018" i="1"/>
  <c r="F12018" i="1"/>
  <c r="E12018" i="1"/>
  <c r="D12018" i="1"/>
  <c r="C12018" i="1"/>
  <c r="B12018" i="1"/>
  <c r="G12017" i="1"/>
  <c r="F12017" i="1"/>
  <c r="E12017" i="1"/>
  <c r="D12017" i="1"/>
  <c r="C12017" i="1"/>
  <c r="B12017" i="1"/>
  <c r="G12016" i="1"/>
  <c r="F12016" i="1"/>
  <c r="E12016" i="1"/>
  <c r="D12016" i="1"/>
  <c r="C12016" i="1"/>
  <c r="B12016" i="1"/>
  <c r="G12015" i="1"/>
  <c r="F12015" i="1"/>
  <c r="E12015" i="1"/>
  <c r="D12015" i="1"/>
  <c r="C12015" i="1"/>
  <c r="B12015" i="1"/>
  <c r="G12014" i="1"/>
  <c r="F12014" i="1"/>
  <c r="E12014" i="1"/>
  <c r="D12014" i="1"/>
  <c r="C12014" i="1"/>
  <c r="B12014" i="1"/>
  <c r="G12013" i="1"/>
  <c r="F12013" i="1"/>
  <c r="E12013" i="1"/>
  <c r="D12013" i="1"/>
  <c r="C12013" i="1"/>
  <c r="B12013" i="1"/>
  <c r="G12012" i="1"/>
  <c r="F12012" i="1"/>
  <c r="E12012" i="1"/>
  <c r="D12012" i="1"/>
  <c r="C12012" i="1"/>
  <c r="B12012" i="1"/>
  <c r="G12011" i="1"/>
  <c r="F12011" i="1"/>
  <c r="E12011" i="1"/>
  <c r="D12011" i="1"/>
  <c r="C12011" i="1"/>
  <c r="B12011" i="1"/>
  <c r="G12010" i="1"/>
  <c r="F12010" i="1"/>
  <c r="E12010" i="1"/>
  <c r="D12010" i="1"/>
  <c r="C12010" i="1"/>
  <c r="B12010" i="1"/>
  <c r="G12009" i="1"/>
  <c r="F12009" i="1"/>
  <c r="E12009" i="1"/>
  <c r="D12009" i="1"/>
  <c r="C12009" i="1"/>
  <c r="B12009" i="1"/>
  <c r="G12008" i="1"/>
  <c r="F12008" i="1"/>
  <c r="E12008" i="1"/>
  <c r="D12008" i="1"/>
  <c r="C12008" i="1"/>
  <c r="B12008" i="1"/>
  <c r="G12007" i="1"/>
  <c r="F12007" i="1"/>
  <c r="E12007" i="1"/>
  <c r="D12007" i="1"/>
  <c r="C12007" i="1"/>
  <c r="B12007" i="1"/>
  <c r="G12006" i="1"/>
  <c r="F12006" i="1"/>
  <c r="E12006" i="1"/>
  <c r="D12006" i="1"/>
  <c r="C12006" i="1"/>
  <c r="B12006" i="1"/>
  <c r="G12005" i="1"/>
  <c r="F12005" i="1"/>
  <c r="E12005" i="1"/>
  <c r="D12005" i="1"/>
  <c r="C12005" i="1"/>
  <c r="B12005" i="1"/>
  <c r="G12004" i="1"/>
  <c r="F12004" i="1"/>
  <c r="E12004" i="1"/>
  <c r="D12004" i="1"/>
  <c r="C12004" i="1"/>
  <c r="B12004" i="1"/>
  <c r="G12003" i="1"/>
  <c r="F12003" i="1"/>
  <c r="E12003" i="1"/>
  <c r="D12003" i="1"/>
  <c r="C12003" i="1"/>
  <c r="B12003" i="1"/>
  <c r="G12002" i="1"/>
  <c r="F12002" i="1"/>
  <c r="E12002" i="1"/>
  <c r="D12002" i="1"/>
  <c r="C12002" i="1"/>
  <c r="B12002" i="1"/>
  <c r="G12001" i="1"/>
  <c r="F12001" i="1"/>
  <c r="E12001" i="1"/>
  <c r="D12001" i="1"/>
  <c r="C12001" i="1"/>
  <c r="B12001" i="1"/>
  <c r="G12000" i="1"/>
  <c r="F12000" i="1"/>
  <c r="E12000" i="1"/>
  <c r="D12000" i="1"/>
  <c r="C12000" i="1"/>
  <c r="B12000" i="1"/>
  <c r="G11999" i="1"/>
  <c r="F11999" i="1"/>
  <c r="E11999" i="1"/>
  <c r="D11999" i="1"/>
  <c r="C11999" i="1"/>
  <c r="B11999" i="1"/>
  <c r="G11998" i="1"/>
  <c r="F11998" i="1"/>
  <c r="E11998" i="1"/>
  <c r="D11998" i="1"/>
  <c r="C11998" i="1"/>
  <c r="B11998" i="1"/>
  <c r="G11997" i="1"/>
  <c r="F11997" i="1"/>
  <c r="E11997" i="1"/>
  <c r="D11997" i="1"/>
  <c r="C11997" i="1"/>
  <c r="B11997" i="1"/>
  <c r="G11996" i="1"/>
  <c r="F11996" i="1"/>
  <c r="E11996" i="1"/>
  <c r="D11996" i="1"/>
  <c r="C11996" i="1"/>
  <c r="B11996" i="1"/>
  <c r="G11995" i="1"/>
  <c r="F11995" i="1"/>
  <c r="E11995" i="1"/>
  <c r="D11995" i="1"/>
  <c r="C11995" i="1"/>
  <c r="B11995" i="1"/>
  <c r="G11994" i="1"/>
  <c r="F11994" i="1"/>
  <c r="E11994" i="1"/>
  <c r="D11994" i="1"/>
  <c r="C11994" i="1"/>
  <c r="B11994" i="1"/>
  <c r="G11993" i="1"/>
  <c r="F11993" i="1"/>
  <c r="E11993" i="1"/>
  <c r="D11993" i="1"/>
  <c r="C11993" i="1"/>
  <c r="B11993" i="1"/>
  <c r="G11992" i="1"/>
  <c r="F11992" i="1"/>
  <c r="E11992" i="1"/>
  <c r="D11992" i="1"/>
  <c r="C11992" i="1"/>
  <c r="B11992" i="1"/>
  <c r="G11991" i="1"/>
  <c r="F11991" i="1"/>
  <c r="E11991" i="1"/>
  <c r="D11991" i="1"/>
  <c r="C11991" i="1"/>
  <c r="B11991" i="1"/>
  <c r="G11990" i="1"/>
  <c r="F11990" i="1"/>
  <c r="E11990" i="1"/>
  <c r="D11990" i="1"/>
  <c r="C11990" i="1"/>
  <c r="B11990" i="1"/>
  <c r="G11989" i="1"/>
  <c r="F11989" i="1"/>
  <c r="E11989" i="1"/>
  <c r="D11989" i="1"/>
  <c r="C11989" i="1"/>
  <c r="B11989" i="1"/>
  <c r="G11988" i="1"/>
  <c r="F11988" i="1"/>
  <c r="E11988" i="1"/>
  <c r="D11988" i="1"/>
  <c r="C11988" i="1"/>
  <c r="B11988" i="1"/>
  <c r="G11987" i="1"/>
  <c r="F11987" i="1"/>
  <c r="E11987" i="1"/>
  <c r="D11987" i="1"/>
  <c r="C11987" i="1"/>
  <c r="B11987" i="1"/>
  <c r="G11986" i="1"/>
  <c r="F11986" i="1"/>
  <c r="E11986" i="1"/>
  <c r="D11986" i="1"/>
  <c r="C11986" i="1"/>
  <c r="B11986" i="1"/>
  <c r="G11985" i="1"/>
  <c r="F11985" i="1"/>
  <c r="E11985" i="1"/>
  <c r="D11985" i="1"/>
  <c r="C11985" i="1"/>
  <c r="B11985" i="1"/>
  <c r="G11984" i="1"/>
  <c r="F11984" i="1"/>
  <c r="E11984" i="1"/>
  <c r="D11984" i="1"/>
  <c r="C11984" i="1"/>
  <c r="B11984" i="1"/>
  <c r="G11983" i="1"/>
  <c r="F11983" i="1"/>
  <c r="E11983" i="1"/>
  <c r="D11983" i="1"/>
  <c r="C11983" i="1"/>
  <c r="B11983" i="1"/>
  <c r="G11982" i="1"/>
  <c r="F11982" i="1"/>
  <c r="E11982" i="1"/>
  <c r="D11982" i="1"/>
  <c r="C11982" i="1"/>
  <c r="B11982" i="1"/>
  <c r="G11981" i="1"/>
  <c r="F11981" i="1"/>
  <c r="E11981" i="1"/>
  <c r="D11981" i="1"/>
  <c r="C11981" i="1"/>
  <c r="B11981" i="1"/>
  <c r="G11980" i="1"/>
  <c r="F11980" i="1"/>
  <c r="E11980" i="1"/>
  <c r="D11980" i="1"/>
  <c r="C11980" i="1"/>
  <c r="B11980" i="1"/>
  <c r="G11979" i="1"/>
  <c r="F11979" i="1"/>
  <c r="E11979" i="1"/>
  <c r="D11979" i="1"/>
  <c r="C11979" i="1"/>
  <c r="B11979" i="1"/>
  <c r="G11978" i="1"/>
  <c r="F11978" i="1"/>
  <c r="E11978" i="1"/>
  <c r="D11978" i="1"/>
  <c r="C11978" i="1"/>
  <c r="B11978" i="1"/>
  <c r="G11977" i="1"/>
  <c r="F11977" i="1"/>
  <c r="E11977" i="1"/>
  <c r="D11977" i="1"/>
  <c r="C11977" i="1"/>
  <c r="B11977" i="1"/>
  <c r="G11976" i="1"/>
  <c r="F11976" i="1"/>
  <c r="E11976" i="1"/>
  <c r="D11976" i="1"/>
  <c r="C11976" i="1"/>
  <c r="B11976" i="1"/>
  <c r="G11975" i="1"/>
  <c r="F11975" i="1"/>
  <c r="E11975" i="1"/>
  <c r="D11975" i="1"/>
  <c r="C11975" i="1"/>
  <c r="B11975" i="1"/>
  <c r="G11974" i="1"/>
  <c r="F11974" i="1"/>
  <c r="E11974" i="1"/>
  <c r="D11974" i="1"/>
  <c r="C11974" i="1"/>
  <c r="B11974" i="1"/>
  <c r="G11973" i="1"/>
  <c r="F11973" i="1"/>
  <c r="E11973" i="1"/>
  <c r="D11973" i="1"/>
  <c r="C11973" i="1"/>
  <c r="B11973" i="1"/>
  <c r="G11972" i="1"/>
  <c r="F11972" i="1"/>
  <c r="E11972" i="1"/>
  <c r="D11972" i="1"/>
  <c r="C11972" i="1"/>
  <c r="B11972" i="1"/>
  <c r="G11971" i="1"/>
  <c r="F11971" i="1"/>
  <c r="E11971" i="1"/>
  <c r="D11971" i="1"/>
  <c r="C11971" i="1"/>
  <c r="B11971" i="1"/>
  <c r="G11970" i="1"/>
  <c r="F11970" i="1"/>
  <c r="E11970" i="1"/>
  <c r="D11970" i="1"/>
  <c r="C11970" i="1"/>
  <c r="B11970" i="1"/>
  <c r="G11969" i="1"/>
  <c r="F11969" i="1"/>
  <c r="E11969" i="1"/>
  <c r="D11969" i="1"/>
  <c r="C11969" i="1"/>
  <c r="B11969" i="1"/>
  <c r="G11968" i="1"/>
  <c r="F11968" i="1"/>
  <c r="E11968" i="1"/>
  <c r="D11968" i="1"/>
  <c r="C11968" i="1"/>
  <c r="B11968" i="1"/>
  <c r="G11967" i="1"/>
  <c r="F11967" i="1"/>
  <c r="E11967" i="1"/>
  <c r="D11967" i="1"/>
  <c r="C11967" i="1"/>
  <c r="B11967" i="1"/>
  <c r="G11966" i="1"/>
  <c r="F11966" i="1"/>
  <c r="E11966" i="1"/>
  <c r="D11966" i="1"/>
  <c r="C11966" i="1"/>
  <c r="B11966" i="1"/>
  <c r="G11965" i="1"/>
  <c r="F11965" i="1"/>
  <c r="E11965" i="1"/>
  <c r="D11965" i="1"/>
  <c r="C11965" i="1"/>
  <c r="B11965" i="1"/>
  <c r="G11964" i="1"/>
  <c r="F11964" i="1"/>
  <c r="E11964" i="1"/>
  <c r="D11964" i="1"/>
  <c r="C11964" i="1"/>
  <c r="B11964" i="1"/>
  <c r="G11963" i="1"/>
  <c r="F11963" i="1"/>
  <c r="E11963" i="1"/>
  <c r="D11963" i="1"/>
  <c r="C11963" i="1"/>
  <c r="B11963" i="1"/>
  <c r="G11962" i="1"/>
  <c r="F11962" i="1"/>
  <c r="E11962" i="1"/>
  <c r="D11962" i="1"/>
  <c r="C11962" i="1"/>
  <c r="B11962" i="1"/>
  <c r="G11961" i="1"/>
  <c r="F11961" i="1"/>
  <c r="E11961" i="1"/>
  <c r="D11961" i="1"/>
  <c r="C11961" i="1"/>
  <c r="B11961" i="1"/>
  <c r="G11960" i="1"/>
  <c r="F11960" i="1"/>
  <c r="E11960" i="1"/>
  <c r="D11960" i="1"/>
  <c r="C11960" i="1"/>
  <c r="B11960" i="1"/>
  <c r="G11959" i="1"/>
  <c r="F11959" i="1"/>
  <c r="E11959" i="1"/>
  <c r="D11959" i="1"/>
  <c r="C11959" i="1"/>
  <c r="B11959" i="1"/>
  <c r="G11958" i="1"/>
  <c r="F11958" i="1"/>
  <c r="E11958" i="1"/>
  <c r="D11958" i="1"/>
  <c r="C11958" i="1"/>
  <c r="B11958" i="1"/>
  <c r="G11957" i="1"/>
  <c r="F11957" i="1"/>
  <c r="E11957" i="1"/>
  <c r="D11957" i="1"/>
  <c r="C11957" i="1"/>
  <c r="B11957" i="1"/>
  <c r="G11956" i="1"/>
  <c r="F11956" i="1"/>
  <c r="E11956" i="1"/>
  <c r="D11956" i="1"/>
  <c r="C11956" i="1"/>
  <c r="B11956" i="1"/>
  <c r="G11955" i="1"/>
  <c r="F11955" i="1"/>
  <c r="E11955" i="1"/>
  <c r="D11955" i="1"/>
  <c r="C11955" i="1"/>
  <c r="B11955" i="1"/>
  <c r="G11954" i="1"/>
  <c r="F11954" i="1"/>
  <c r="E11954" i="1"/>
  <c r="D11954" i="1"/>
  <c r="C11954" i="1"/>
  <c r="B11954" i="1"/>
  <c r="G11953" i="1"/>
  <c r="F11953" i="1"/>
  <c r="E11953" i="1"/>
  <c r="D11953" i="1"/>
  <c r="C11953" i="1"/>
  <c r="B11953" i="1"/>
  <c r="G11952" i="1"/>
  <c r="F11952" i="1"/>
  <c r="E11952" i="1"/>
  <c r="D11952" i="1"/>
  <c r="C11952" i="1"/>
  <c r="B11952" i="1"/>
  <c r="G11951" i="1"/>
  <c r="F11951" i="1"/>
  <c r="E11951" i="1"/>
  <c r="D11951" i="1"/>
  <c r="C11951" i="1"/>
  <c r="B11951" i="1"/>
  <c r="G11950" i="1"/>
  <c r="F11950" i="1"/>
  <c r="E11950" i="1"/>
  <c r="D11950" i="1"/>
  <c r="C11950" i="1"/>
  <c r="B11950" i="1"/>
  <c r="G11949" i="1"/>
  <c r="F11949" i="1"/>
  <c r="E11949" i="1"/>
  <c r="D11949" i="1"/>
  <c r="C11949" i="1"/>
  <c r="B11949" i="1"/>
  <c r="G11948" i="1"/>
  <c r="F11948" i="1"/>
  <c r="E11948" i="1"/>
  <c r="D11948" i="1"/>
  <c r="C11948" i="1"/>
  <c r="B11948" i="1"/>
  <c r="G11947" i="1"/>
  <c r="F11947" i="1"/>
  <c r="E11947" i="1"/>
  <c r="D11947" i="1"/>
  <c r="C11947" i="1"/>
  <c r="B11947" i="1"/>
  <c r="G11946" i="1"/>
  <c r="F11946" i="1"/>
  <c r="E11946" i="1"/>
  <c r="D11946" i="1"/>
  <c r="C11946" i="1"/>
  <c r="B11946" i="1"/>
  <c r="G11945" i="1"/>
  <c r="F11945" i="1"/>
  <c r="E11945" i="1"/>
  <c r="D11945" i="1"/>
  <c r="C11945" i="1"/>
  <c r="B11945" i="1"/>
  <c r="G11944" i="1"/>
  <c r="F11944" i="1"/>
  <c r="E11944" i="1"/>
  <c r="D11944" i="1"/>
  <c r="C11944" i="1"/>
  <c r="B11944" i="1"/>
  <c r="G11943" i="1"/>
  <c r="F11943" i="1"/>
  <c r="E11943" i="1"/>
  <c r="D11943" i="1"/>
  <c r="C11943" i="1"/>
  <c r="B11943" i="1"/>
  <c r="G11942" i="1"/>
  <c r="F11942" i="1"/>
  <c r="E11942" i="1"/>
  <c r="D11942" i="1"/>
  <c r="C11942" i="1"/>
  <c r="B11942" i="1"/>
  <c r="G11941" i="1"/>
  <c r="F11941" i="1"/>
  <c r="E11941" i="1"/>
  <c r="D11941" i="1"/>
  <c r="C11941" i="1"/>
  <c r="B11941" i="1"/>
  <c r="G11940" i="1"/>
  <c r="F11940" i="1"/>
  <c r="E11940" i="1"/>
  <c r="D11940" i="1"/>
  <c r="C11940" i="1"/>
  <c r="B11940" i="1"/>
  <c r="G11939" i="1"/>
  <c r="F11939" i="1"/>
  <c r="E11939" i="1"/>
  <c r="D11939" i="1"/>
  <c r="C11939" i="1"/>
  <c r="B11939" i="1"/>
  <c r="G11938" i="1"/>
  <c r="F11938" i="1"/>
  <c r="E11938" i="1"/>
  <c r="D11938" i="1"/>
  <c r="C11938" i="1"/>
  <c r="B11938" i="1"/>
  <c r="G11937" i="1"/>
  <c r="F11937" i="1"/>
  <c r="E11937" i="1"/>
  <c r="D11937" i="1"/>
  <c r="C11937" i="1"/>
  <c r="B11937" i="1"/>
  <c r="G11936" i="1"/>
  <c r="F11936" i="1"/>
  <c r="E11936" i="1"/>
  <c r="D11936" i="1"/>
  <c r="C11936" i="1"/>
  <c r="B11936" i="1"/>
  <c r="G11935" i="1"/>
  <c r="F11935" i="1"/>
  <c r="E11935" i="1"/>
  <c r="D11935" i="1"/>
  <c r="C11935" i="1"/>
  <c r="B11935" i="1"/>
  <c r="G11934" i="1"/>
  <c r="F11934" i="1"/>
  <c r="E11934" i="1"/>
  <c r="D11934" i="1"/>
  <c r="C11934" i="1"/>
  <c r="B11934" i="1"/>
  <c r="G11933" i="1"/>
  <c r="F11933" i="1"/>
  <c r="E11933" i="1"/>
  <c r="D11933" i="1"/>
  <c r="C11933" i="1"/>
  <c r="B11933" i="1"/>
  <c r="G11932" i="1"/>
  <c r="F11932" i="1"/>
  <c r="E11932" i="1"/>
  <c r="D11932" i="1"/>
  <c r="C11932" i="1"/>
  <c r="B11932" i="1"/>
  <c r="G11931" i="1"/>
  <c r="F11931" i="1"/>
  <c r="E11931" i="1"/>
  <c r="D11931" i="1"/>
  <c r="C11931" i="1"/>
  <c r="B11931" i="1"/>
  <c r="G11930" i="1"/>
  <c r="F11930" i="1"/>
  <c r="E11930" i="1"/>
  <c r="D11930" i="1"/>
  <c r="C11930" i="1"/>
  <c r="B11930" i="1"/>
  <c r="G11929" i="1"/>
  <c r="F11929" i="1"/>
  <c r="E11929" i="1"/>
  <c r="D11929" i="1"/>
  <c r="C11929" i="1"/>
  <c r="B11929" i="1"/>
  <c r="G11928" i="1"/>
  <c r="F11928" i="1"/>
  <c r="E11928" i="1"/>
  <c r="D11928" i="1"/>
  <c r="C11928" i="1"/>
  <c r="B11928" i="1"/>
  <c r="G11927" i="1"/>
  <c r="F11927" i="1"/>
  <c r="E11927" i="1"/>
  <c r="D11927" i="1"/>
  <c r="C11927" i="1"/>
  <c r="B11927" i="1"/>
  <c r="G11926" i="1"/>
  <c r="F11926" i="1"/>
  <c r="E11926" i="1"/>
  <c r="D11926" i="1"/>
  <c r="C11926" i="1"/>
  <c r="B11926" i="1"/>
  <c r="G11925" i="1"/>
  <c r="F11925" i="1"/>
  <c r="E11925" i="1"/>
  <c r="D11925" i="1"/>
  <c r="C11925" i="1"/>
  <c r="B11925" i="1"/>
  <c r="G11924" i="1"/>
  <c r="F11924" i="1"/>
  <c r="E11924" i="1"/>
  <c r="D11924" i="1"/>
  <c r="C11924" i="1"/>
  <c r="B11924" i="1"/>
  <c r="G11923" i="1"/>
  <c r="F11923" i="1"/>
  <c r="E11923" i="1"/>
  <c r="D11923" i="1"/>
  <c r="C11923" i="1"/>
  <c r="B11923" i="1"/>
  <c r="G11922" i="1"/>
  <c r="F11922" i="1"/>
  <c r="E11922" i="1"/>
  <c r="D11922" i="1"/>
  <c r="C11922" i="1"/>
  <c r="B11922" i="1"/>
  <c r="G11921" i="1"/>
  <c r="F11921" i="1"/>
  <c r="E11921" i="1"/>
  <c r="D11921" i="1"/>
  <c r="C11921" i="1"/>
  <c r="B11921" i="1"/>
  <c r="G11920" i="1"/>
  <c r="F11920" i="1"/>
  <c r="E11920" i="1"/>
  <c r="D11920" i="1"/>
  <c r="C11920" i="1"/>
  <c r="B11920" i="1"/>
  <c r="G11919" i="1"/>
  <c r="F11919" i="1"/>
  <c r="E11919" i="1"/>
  <c r="D11919" i="1"/>
  <c r="C11919" i="1"/>
  <c r="B11919" i="1"/>
  <c r="G11918" i="1"/>
  <c r="F11918" i="1"/>
  <c r="E11918" i="1"/>
  <c r="D11918" i="1"/>
  <c r="C11918" i="1"/>
  <c r="B11918" i="1"/>
  <c r="G11917" i="1"/>
  <c r="F11917" i="1"/>
  <c r="E11917" i="1"/>
  <c r="D11917" i="1"/>
  <c r="C11917" i="1"/>
  <c r="B11917" i="1"/>
  <c r="G11916" i="1"/>
  <c r="F11916" i="1"/>
  <c r="E11916" i="1"/>
  <c r="D11916" i="1"/>
  <c r="C11916" i="1"/>
  <c r="B11916" i="1"/>
  <c r="G11915" i="1"/>
  <c r="F11915" i="1"/>
  <c r="E11915" i="1"/>
  <c r="D11915" i="1"/>
  <c r="C11915" i="1"/>
  <c r="B11915" i="1"/>
  <c r="G11914" i="1"/>
  <c r="F11914" i="1"/>
  <c r="E11914" i="1"/>
  <c r="D11914" i="1"/>
  <c r="C11914" i="1"/>
  <c r="B11914" i="1"/>
  <c r="G11913" i="1"/>
  <c r="F11913" i="1"/>
  <c r="E11913" i="1"/>
  <c r="D11913" i="1"/>
  <c r="C11913" i="1"/>
  <c r="B11913" i="1"/>
  <c r="G11912" i="1"/>
  <c r="F11912" i="1"/>
  <c r="E11912" i="1"/>
  <c r="D11912" i="1"/>
  <c r="C11912" i="1"/>
  <c r="B11912" i="1"/>
  <c r="G11911" i="1"/>
  <c r="F11911" i="1"/>
  <c r="E11911" i="1"/>
  <c r="D11911" i="1"/>
  <c r="C11911" i="1"/>
  <c r="B11911" i="1"/>
  <c r="G11910" i="1"/>
  <c r="F11910" i="1"/>
  <c r="E11910" i="1"/>
  <c r="D11910" i="1"/>
  <c r="C11910" i="1"/>
  <c r="B11910" i="1"/>
  <c r="G11909" i="1"/>
  <c r="F11909" i="1"/>
  <c r="E11909" i="1"/>
  <c r="D11909" i="1"/>
  <c r="C11909" i="1"/>
  <c r="B11909" i="1"/>
  <c r="G11908" i="1"/>
  <c r="F11908" i="1"/>
  <c r="E11908" i="1"/>
  <c r="D11908" i="1"/>
  <c r="C11908" i="1"/>
  <c r="B11908" i="1"/>
  <c r="F11907" i="1"/>
  <c r="E11907" i="1"/>
  <c r="D11907" i="1"/>
  <c r="C11907" i="1"/>
  <c r="B11907" i="1"/>
  <c r="F11906" i="1"/>
  <c r="E11906" i="1"/>
  <c r="D11906" i="1"/>
  <c r="C11906" i="1"/>
  <c r="B11906" i="1"/>
  <c r="F11905" i="1"/>
  <c r="E11905" i="1"/>
  <c r="D11905" i="1"/>
  <c r="C11905" i="1"/>
  <c r="B11905" i="1"/>
  <c r="F11904" i="1"/>
  <c r="E11904" i="1"/>
  <c r="D11904" i="1"/>
  <c r="C11904" i="1"/>
  <c r="B11904" i="1"/>
  <c r="F11903" i="1"/>
  <c r="E11903" i="1"/>
  <c r="D11903" i="1"/>
  <c r="C11903" i="1"/>
  <c r="B11903" i="1"/>
  <c r="F11902" i="1"/>
  <c r="E11902" i="1"/>
  <c r="D11902" i="1"/>
  <c r="C11902" i="1"/>
  <c r="B11902" i="1"/>
  <c r="F11901" i="1"/>
  <c r="E11901" i="1"/>
  <c r="D11901" i="1"/>
  <c r="C11901" i="1"/>
  <c r="B11901" i="1"/>
  <c r="F11900" i="1"/>
  <c r="E11900" i="1"/>
  <c r="D11900" i="1"/>
  <c r="C11900" i="1"/>
  <c r="B11900" i="1"/>
  <c r="F11899" i="1"/>
  <c r="E11899" i="1"/>
  <c r="D11899" i="1"/>
  <c r="C11899" i="1"/>
  <c r="B11899" i="1"/>
  <c r="G11898" i="1"/>
  <c r="F11898" i="1"/>
  <c r="E11898" i="1"/>
  <c r="D11898" i="1"/>
  <c r="C11898" i="1"/>
  <c r="B11898" i="1"/>
  <c r="G11897" i="1"/>
  <c r="F11897" i="1"/>
  <c r="E11897" i="1"/>
  <c r="D11897" i="1"/>
  <c r="C11897" i="1"/>
  <c r="B11897" i="1"/>
  <c r="G11896" i="1"/>
  <c r="F11896" i="1"/>
  <c r="E11896" i="1"/>
  <c r="D11896" i="1"/>
  <c r="C11896" i="1"/>
  <c r="B11896" i="1"/>
  <c r="G11895" i="1"/>
  <c r="F11895" i="1"/>
  <c r="E11895" i="1"/>
  <c r="D11895" i="1"/>
  <c r="C11895" i="1"/>
  <c r="B11895" i="1"/>
  <c r="G11894" i="1"/>
  <c r="F11894" i="1"/>
  <c r="E11894" i="1"/>
  <c r="D11894" i="1"/>
  <c r="C11894" i="1"/>
  <c r="B11894" i="1"/>
  <c r="G11893" i="1"/>
  <c r="F11893" i="1"/>
  <c r="E11893" i="1"/>
  <c r="D11893" i="1"/>
  <c r="C11893" i="1"/>
  <c r="B11893" i="1"/>
  <c r="G11892" i="1"/>
  <c r="F11892" i="1"/>
  <c r="E11892" i="1"/>
  <c r="D11892" i="1"/>
  <c r="C11892" i="1"/>
  <c r="B11892" i="1"/>
  <c r="G11891" i="1"/>
  <c r="F11891" i="1"/>
  <c r="E11891" i="1"/>
  <c r="D11891" i="1"/>
  <c r="C11891" i="1"/>
  <c r="B11891" i="1"/>
  <c r="G11890" i="1"/>
  <c r="F11890" i="1"/>
  <c r="E11890" i="1"/>
  <c r="D11890" i="1"/>
  <c r="C11890" i="1"/>
  <c r="B11890" i="1"/>
  <c r="G11889" i="1"/>
  <c r="F11889" i="1"/>
  <c r="E11889" i="1"/>
  <c r="D11889" i="1"/>
  <c r="C11889" i="1"/>
  <c r="B11889" i="1"/>
  <c r="G11888" i="1"/>
  <c r="F11888" i="1"/>
  <c r="E11888" i="1"/>
  <c r="D11888" i="1"/>
  <c r="C11888" i="1"/>
  <c r="B11888" i="1"/>
  <c r="G11887" i="1"/>
  <c r="F11887" i="1"/>
  <c r="E11887" i="1"/>
  <c r="D11887" i="1"/>
  <c r="C11887" i="1"/>
  <c r="B11887" i="1"/>
  <c r="G11886" i="1"/>
  <c r="F11886" i="1"/>
  <c r="E11886" i="1"/>
  <c r="D11886" i="1"/>
  <c r="C11886" i="1"/>
  <c r="B11886" i="1"/>
  <c r="G11885" i="1"/>
  <c r="F11885" i="1"/>
  <c r="E11885" i="1"/>
  <c r="D11885" i="1"/>
  <c r="C11885" i="1"/>
  <c r="B11885" i="1"/>
  <c r="G11884" i="1"/>
  <c r="F11884" i="1"/>
  <c r="E11884" i="1"/>
  <c r="D11884" i="1"/>
  <c r="C11884" i="1"/>
  <c r="B11884" i="1"/>
  <c r="G11883" i="1"/>
  <c r="F11883" i="1"/>
  <c r="E11883" i="1"/>
  <c r="D11883" i="1"/>
  <c r="C11883" i="1"/>
  <c r="B11883" i="1"/>
  <c r="G11882" i="1"/>
  <c r="F11882" i="1"/>
  <c r="E11882" i="1"/>
  <c r="D11882" i="1"/>
  <c r="C11882" i="1"/>
  <c r="B11882" i="1"/>
  <c r="G11881" i="1"/>
  <c r="F11881" i="1"/>
  <c r="E11881" i="1"/>
  <c r="D11881" i="1"/>
  <c r="C11881" i="1"/>
  <c r="B11881" i="1"/>
  <c r="G11880" i="1"/>
  <c r="F11880" i="1"/>
  <c r="E11880" i="1"/>
  <c r="D11880" i="1"/>
  <c r="C11880" i="1"/>
  <c r="B11880" i="1"/>
  <c r="G11879" i="1"/>
  <c r="F11879" i="1"/>
  <c r="E11879" i="1"/>
  <c r="D11879" i="1"/>
  <c r="C11879" i="1"/>
  <c r="B11879" i="1"/>
  <c r="G11878" i="1"/>
  <c r="F11878" i="1"/>
  <c r="E11878" i="1"/>
  <c r="D11878" i="1"/>
  <c r="C11878" i="1"/>
  <c r="B11878" i="1"/>
  <c r="G11877" i="1"/>
  <c r="F11877" i="1"/>
  <c r="E11877" i="1"/>
  <c r="D11877" i="1"/>
  <c r="C11877" i="1"/>
  <c r="B11877" i="1"/>
  <c r="G11876" i="1"/>
  <c r="F11876" i="1"/>
  <c r="E11876" i="1"/>
  <c r="D11876" i="1"/>
  <c r="C11876" i="1"/>
  <c r="B11876" i="1"/>
  <c r="G11875" i="1"/>
  <c r="F11875" i="1"/>
  <c r="E11875" i="1"/>
  <c r="D11875" i="1"/>
  <c r="C11875" i="1"/>
  <c r="B11875" i="1"/>
  <c r="G11874" i="1"/>
  <c r="F11874" i="1"/>
  <c r="E11874" i="1"/>
  <c r="D11874" i="1"/>
  <c r="C11874" i="1"/>
  <c r="B11874" i="1"/>
  <c r="G11873" i="1"/>
  <c r="F11873" i="1"/>
  <c r="E11873" i="1"/>
  <c r="D11873" i="1"/>
  <c r="C11873" i="1"/>
  <c r="B11873" i="1"/>
  <c r="G11872" i="1"/>
  <c r="F11872" i="1"/>
  <c r="E11872" i="1"/>
  <c r="D11872" i="1"/>
  <c r="C11872" i="1"/>
  <c r="B11872" i="1"/>
  <c r="G11871" i="1"/>
  <c r="F11871" i="1"/>
  <c r="E11871" i="1"/>
  <c r="D11871" i="1"/>
  <c r="C11871" i="1"/>
  <c r="B11871" i="1"/>
  <c r="G11870" i="1"/>
  <c r="F11870" i="1"/>
  <c r="E11870" i="1"/>
  <c r="D11870" i="1"/>
  <c r="C11870" i="1"/>
  <c r="B11870" i="1"/>
  <c r="G11869" i="1"/>
  <c r="F11869" i="1"/>
  <c r="E11869" i="1"/>
  <c r="D11869" i="1"/>
  <c r="C11869" i="1"/>
  <c r="B11869" i="1"/>
  <c r="G11868" i="1"/>
  <c r="F11868" i="1"/>
  <c r="E11868" i="1"/>
  <c r="D11868" i="1"/>
  <c r="C11868" i="1"/>
  <c r="B11868" i="1"/>
  <c r="G11867" i="1"/>
  <c r="F11867" i="1"/>
  <c r="E11867" i="1"/>
  <c r="D11867" i="1"/>
  <c r="C11867" i="1"/>
  <c r="B11867" i="1"/>
  <c r="G11866" i="1"/>
  <c r="F11866" i="1"/>
  <c r="E11866" i="1"/>
  <c r="D11866" i="1"/>
  <c r="C11866" i="1"/>
  <c r="B11866" i="1"/>
  <c r="G11865" i="1"/>
  <c r="F11865" i="1"/>
  <c r="E11865" i="1"/>
  <c r="D11865" i="1"/>
  <c r="C11865" i="1"/>
  <c r="B11865" i="1"/>
  <c r="G11864" i="1"/>
  <c r="F11864" i="1"/>
  <c r="E11864" i="1"/>
  <c r="D11864" i="1"/>
  <c r="C11864" i="1"/>
  <c r="B11864" i="1"/>
  <c r="G11863" i="1"/>
  <c r="F11863" i="1"/>
  <c r="E11863" i="1"/>
  <c r="D11863" i="1"/>
  <c r="C11863" i="1"/>
  <c r="B11863" i="1"/>
  <c r="G11862" i="1"/>
  <c r="F11862" i="1"/>
  <c r="E11862" i="1"/>
  <c r="D11862" i="1"/>
  <c r="C11862" i="1"/>
  <c r="B11862" i="1"/>
  <c r="G11861" i="1"/>
  <c r="F11861" i="1"/>
  <c r="E11861" i="1"/>
  <c r="D11861" i="1"/>
  <c r="C11861" i="1"/>
  <c r="B11861" i="1"/>
  <c r="G11860" i="1"/>
  <c r="F11860" i="1"/>
  <c r="E11860" i="1"/>
  <c r="D11860" i="1"/>
  <c r="C11860" i="1"/>
  <c r="B11860" i="1"/>
  <c r="G11859" i="1"/>
  <c r="F11859" i="1"/>
  <c r="E11859" i="1"/>
  <c r="D11859" i="1"/>
  <c r="C11859" i="1"/>
  <c r="B11859" i="1"/>
  <c r="G11858" i="1"/>
  <c r="F11858" i="1"/>
  <c r="E11858" i="1"/>
  <c r="D11858" i="1"/>
  <c r="C11858" i="1"/>
  <c r="B11858" i="1"/>
  <c r="G11857" i="1"/>
  <c r="F11857" i="1"/>
  <c r="E11857" i="1"/>
  <c r="D11857" i="1"/>
  <c r="C11857" i="1"/>
  <c r="B11857" i="1"/>
  <c r="G11856" i="1"/>
  <c r="F11856" i="1"/>
  <c r="E11856" i="1"/>
  <c r="D11856" i="1"/>
  <c r="C11856" i="1"/>
  <c r="B11856" i="1"/>
  <c r="G11855" i="1"/>
  <c r="F11855" i="1"/>
  <c r="E11855" i="1"/>
  <c r="D11855" i="1"/>
  <c r="C11855" i="1"/>
  <c r="B11855" i="1"/>
  <c r="G11854" i="1"/>
  <c r="F11854" i="1"/>
  <c r="E11854" i="1"/>
  <c r="D11854" i="1"/>
  <c r="C11854" i="1"/>
  <c r="B11854" i="1"/>
  <c r="G11853" i="1"/>
  <c r="F11853" i="1"/>
  <c r="E11853" i="1"/>
  <c r="D11853" i="1"/>
  <c r="C11853" i="1"/>
  <c r="B11853" i="1"/>
  <c r="G11852" i="1"/>
  <c r="F11852" i="1"/>
  <c r="E11852" i="1"/>
  <c r="D11852" i="1"/>
  <c r="C11852" i="1"/>
  <c r="B11852" i="1"/>
  <c r="G11851" i="1"/>
  <c r="F11851" i="1"/>
  <c r="E11851" i="1"/>
  <c r="D11851" i="1"/>
  <c r="C11851" i="1"/>
  <c r="B11851" i="1"/>
  <c r="G11850" i="1"/>
  <c r="F11850" i="1"/>
  <c r="E11850" i="1"/>
  <c r="D11850" i="1"/>
  <c r="C11850" i="1"/>
  <c r="B11850" i="1"/>
  <c r="G11849" i="1"/>
  <c r="F11849" i="1"/>
  <c r="E11849" i="1"/>
  <c r="D11849" i="1"/>
  <c r="C11849" i="1"/>
  <c r="B11849" i="1"/>
  <c r="G11848" i="1"/>
  <c r="F11848" i="1"/>
  <c r="E11848" i="1"/>
  <c r="D11848" i="1"/>
  <c r="C11848" i="1"/>
  <c r="B11848" i="1"/>
  <c r="G11847" i="1"/>
  <c r="F11847" i="1"/>
  <c r="E11847" i="1"/>
  <c r="D11847" i="1"/>
  <c r="C11847" i="1"/>
  <c r="B11847" i="1"/>
  <c r="G11846" i="1"/>
  <c r="F11846" i="1"/>
  <c r="E11846" i="1"/>
  <c r="D11846" i="1"/>
  <c r="C11846" i="1"/>
  <c r="B11846" i="1"/>
  <c r="F11845" i="1"/>
  <c r="E11845" i="1"/>
  <c r="D11845" i="1"/>
  <c r="C11845" i="1"/>
  <c r="B11845" i="1"/>
  <c r="G11844" i="1"/>
  <c r="F11844" i="1"/>
  <c r="E11844" i="1"/>
  <c r="D11844" i="1"/>
  <c r="C11844" i="1"/>
  <c r="B11844" i="1"/>
  <c r="G11843" i="1"/>
  <c r="F11843" i="1"/>
  <c r="E11843" i="1"/>
  <c r="D11843" i="1"/>
  <c r="C11843" i="1"/>
  <c r="B11843" i="1"/>
  <c r="G11842" i="1"/>
  <c r="F11842" i="1"/>
  <c r="E11842" i="1"/>
  <c r="D11842" i="1"/>
  <c r="C11842" i="1"/>
  <c r="B11842" i="1"/>
  <c r="G11841" i="1"/>
  <c r="F11841" i="1"/>
  <c r="E11841" i="1"/>
  <c r="D11841" i="1"/>
  <c r="C11841" i="1"/>
  <c r="B11841" i="1"/>
  <c r="G11840" i="1"/>
  <c r="F11840" i="1"/>
  <c r="E11840" i="1"/>
  <c r="D11840" i="1"/>
  <c r="C11840" i="1"/>
  <c r="B11840" i="1"/>
  <c r="G11839" i="1"/>
  <c r="F11839" i="1"/>
  <c r="E11839" i="1"/>
  <c r="D11839" i="1"/>
  <c r="C11839" i="1"/>
  <c r="B11839" i="1"/>
  <c r="G11838" i="1"/>
  <c r="F11838" i="1"/>
  <c r="E11838" i="1"/>
  <c r="D11838" i="1"/>
  <c r="C11838" i="1"/>
  <c r="B11838" i="1"/>
  <c r="G11837" i="1"/>
  <c r="F11837" i="1"/>
  <c r="E11837" i="1"/>
  <c r="D11837" i="1"/>
  <c r="C11837" i="1"/>
  <c r="B11837" i="1"/>
  <c r="G11836" i="1"/>
  <c r="F11836" i="1"/>
  <c r="E11836" i="1"/>
  <c r="D11836" i="1"/>
  <c r="C11836" i="1"/>
  <c r="B11836" i="1"/>
  <c r="G11835" i="1"/>
  <c r="F11835" i="1"/>
  <c r="E11835" i="1"/>
  <c r="D11835" i="1"/>
  <c r="C11835" i="1"/>
  <c r="B11835" i="1"/>
  <c r="G11834" i="1"/>
  <c r="F11834" i="1"/>
  <c r="E11834" i="1"/>
  <c r="D11834" i="1"/>
  <c r="C11834" i="1"/>
  <c r="B11834" i="1"/>
  <c r="G11833" i="1"/>
  <c r="F11833" i="1"/>
  <c r="E11833" i="1"/>
  <c r="D11833" i="1"/>
  <c r="C11833" i="1"/>
  <c r="B11833" i="1"/>
  <c r="G11832" i="1"/>
  <c r="F11832" i="1"/>
  <c r="E11832" i="1"/>
  <c r="D11832" i="1"/>
  <c r="C11832" i="1"/>
  <c r="B11832" i="1"/>
  <c r="G11831" i="1"/>
  <c r="F11831" i="1"/>
  <c r="E11831" i="1"/>
  <c r="D11831" i="1"/>
  <c r="C11831" i="1"/>
  <c r="B11831" i="1"/>
  <c r="G11830" i="1"/>
  <c r="F11830" i="1"/>
  <c r="E11830" i="1"/>
  <c r="D11830" i="1"/>
  <c r="C11830" i="1"/>
  <c r="B11830" i="1"/>
  <c r="G11829" i="1"/>
  <c r="F11829" i="1"/>
  <c r="E11829" i="1"/>
  <c r="D11829" i="1"/>
  <c r="C11829" i="1"/>
  <c r="B11829" i="1"/>
  <c r="G11828" i="1"/>
  <c r="F11828" i="1"/>
  <c r="E11828" i="1"/>
  <c r="D11828" i="1"/>
  <c r="C11828" i="1"/>
  <c r="B11828" i="1"/>
  <c r="G11827" i="1"/>
  <c r="F11827" i="1"/>
  <c r="E11827" i="1"/>
  <c r="D11827" i="1"/>
  <c r="C11827" i="1"/>
  <c r="B11827" i="1"/>
  <c r="G11826" i="1"/>
  <c r="F11826" i="1"/>
  <c r="E11826" i="1"/>
  <c r="D11826" i="1"/>
  <c r="C11826" i="1"/>
  <c r="B11826" i="1"/>
  <c r="G11825" i="1"/>
  <c r="F11825" i="1"/>
  <c r="E11825" i="1"/>
  <c r="D11825" i="1"/>
  <c r="C11825" i="1"/>
  <c r="B11825" i="1"/>
  <c r="G11824" i="1"/>
  <c r="F11824" i="1"/>
  <c r="E11824" i="1"/>
  <c r="D11824" i="1"/>
  <c r="C11824" i="1"/>
  <c r="B11824" i="1"/>
  <c r="G11823" i="1"/>
  <c r="F11823" i="1"/>
  <c r="E11823" i="1"/>
  <c r="D11823" i="1"/>
  <c r="C11823" i="1"/>
  <c r="B11823" i="1"/>
  <c r="G11822" i="1"/>
  <c r="F11822" i="1"/>
  <c r="E11822" i="1"/>
  <c r="D11822" i="1"/>
  <c r="C11822" i="1"/>
  <c r="B11822" i="1"/>
  <c r="G11821" i="1"/>
  <c r="F11821" i="1"/>
  <c r="E11821" i="1"/>
  <c r="D11821" i="1"/>
  <c r="C11821" i="1"/>
  <c r="B11821" i="1"/>
  <c r="G11820" i="1"/>
  <c r="F11820" i="1"/>
  <c r="E11820" i="1"/>
  <c r="D11820" i="1"/>
  <c r="C11820" i="1"/>
  <c r="B11820" i="1"/>
  <c r="G11819" i="1"/>
  <c r="F11819" i="1"/>
  <c r="E11819" i="1"/>
  <c r="D11819" i="1"/>
  <c r="C11819" i="1"/>
  <c r="B11819" i="1"/>
  <c r="G11818" i="1"/>
  <c r="F11818" i="1"/>
  <c r="E11818" i="1"/>
  <c r="D11818" i="1"/>
  <c r="C11818" i="1"/>
  <c r="B11818" i="1"/>
  <c r="G11817" i="1"/>
  <c r="F11817" i="1"/>
  <c r="E11817" i="1"/>
  <c r="D11817" i="1"/>
  <c r="C11817" i="1"/>
  <c r="B11817" i="1"/>
  <c r="G11816" i="1"/>
  <c r="F11816" i="1"/>
  <c r="E11816" i="1"/>
  <c r="D11816" i="1"/>
  <c r="C11816" i="1"/>
  <c r="B11816" i="1"/>
  <c r="G11815" i="1"/>
  <c r="F11815" i="1"/>
  <c r="E11815" i="1"/>
  <c r="D11815" i="1"/>
  <c r="C11815" i="1"/>
  <c r="B11815" i="1"/>
  <c r="G11814" i="1"/>
  <c r="F11814" i="1"/>
  <c r="E11814" i="1"/>
  <c r="D11814" i="1"/>
  <c r="C11814" i="1"/>
  <c r="B11814" i="1"/>
  <c r="G11813" i="1"/>
  <c r="F11813" i="1"/>
  <c r="E11813" i="1"/>
  <c r="D11813" i="1"/>
  <c r="C11813" i="1"/>
  <c r="B11813" i="1"/>
  <c r="G11812" i="1"/>
  <c r="F11812" i="1"/>
  <c r="E11812" i="1"/>
  <c r="D11812" i="1"/>
  <c r="C11812" i="1"/>
  <c r="B11812" i="1"/>
  <c r="G11811" i="1"/>
  <c r="F11811" i="1"/>
  <c r="E11811" i="1"/>
  <c r="D11811" i="1"/>
  <c r="C11811" i="1"/>
  <c r="B11811" i="1"/>
  <c r="G11810" i="1"/>
  <c r="F11810" i="1"/>
  <c r="E11810" i="1"/>
  <c r="D11810" i="1"/>
  <c r="C11810" i="1"/>
  <c r="B11810" i="1"/>
  <c r="G11809" i="1"/>
  <c r="F11809" i="1"/>
  <c r="E11809" i="1"/>
  <c r="D11809" i="1"/>
  <c r="C11809" i="1"/>
  <c r="B11809" i="1"/>
  <c r="G11808" i="1"/>
  <c r="F11808" i="1"/>
  <c r="E11808" i="1"/>
  <c r="D11808" i="1"/>
  <c r="C11808" i="1"/>
  <c r="B11808" i="1"/>
  <c r="G11807" i="1"/>
  <c r="F11807" i="1"/>
  <c r="E11807" i="1"/>
  <c r="D11807" i="1"/>
  <c r="C11807" i="1"/>
  <c r="B11807" i="1"/>
  <c r="G11806" i="1"/>
  <c r="F11806" i="1"/>
  <c r="E11806" i="1"/>
  <c r="D11806" i="1"/>
  <c r="C11806" i="1"/>
  <c r="B11806" i="1"/>
  <c r="G11805" i="1"/>
  <c r="F11805" i="1"/>
  <c r="E11805" i="1"/>
  <c r="D11805" i="1"/>
  <c r="C11805" i="1"/>
  <c r="B11805" i="1"/>
  <c r="G11804" i="1"/>
  <c r="F11804" i="1"/>
  <c r="E11804" i="1"/>
  <c r="D11804" i="1"/>
  <c r="C11804" i="1"/>
  <c r="B11804" i="1"/>
  <c r="G11803" i="1"/>
  <c r="F11803" i="1"/>
  <c r="E11803" i="1"/>
  <c r="D11803" i="1"/>
  <c r="C11803" i="1"/>
  <c r="B11803" i="1"/>
  <c r="G11802" i="1"/>
  <c r="F11802" i="1"/>
  <c r="E11802" i="1"/>
  <c r="D11802" i="1"/>
  <c r="C11802" i="1"/>
  <c r="B11802" i="1"/>
  <c r="G11801" i="1"/>
  <c r="F11801" i="1"/>
  <c r="E11801" i="1"/>
  <c r="D11801" i="1"/>
  <c r="C11801" i="1"/>
  <c r="B11801" i="1"/>
  <c r="G11800" i="1"/>
  <c r="F11800" i="1"/>
  <c r="E11800" i="1"/>
  <c r="D11800" i="1"/>
  <c r="C11800" i="1"/>
  <c r="B11800" i="1"/>
  <c r="G11799" i="1"/>
  <c r="F11799" i="1"/>
  <c r="E11799" i="1"/>
  <c r="D11799" i="1"/>
  <c r="C11799" i="1"/>
  <c r="B11799" i="1"/>
  <c r="G11798" i="1"/>
  <c r="F11798" i="1"/>
  <c r="E11798" i="1"/>
  <c r="D11798" i="1"/>
  <c r="C11798" i="1"/>
  <c r="B11798" i="1"/>
  <c r="G11797" i="1"/>
  <c r="F11797" i="1"/>
  <c r="E11797" i="1"/>
  <c r="D11797" i="1"/>
  <c r="C11797" i="1"/>
  <c r="B11797" i="1"/>
  <c r="G11796" i="1"/>
  <c r="F11796" i="1"/>
  <c r="E11796" i="1"/>
  <c r="D11796" i="1"/>
  <c r="C11796" i="1"/>
  <c r="B11796" i="1"/>
  <c r="G11795" i="1"/>
  <c r="F11795" i="1"/>
  <c r="E11795" i="1"/>
  <c r="D11795" i="1"/>
  <c r="C11795" i="1"/>
  <c r="B11795" i="1"/>
  <c r="G11794" i="1"/>
  <c r="F11794" i="1"/>
  <c r="E11794" i="1"/>
  <c r="D11794" i="1"/>
  <c r="C11794" i="1"/>
  <c r="B11794" i="1"/>
  <c r="G11793" i="1"/>
  <c r="F11793" i="1"/>
  <c r="E11793" i="1"/>
  <c r="D11793" i="1"/>
  <c r="C11793" i="1"/>
  <c r="B11793" i="1"/>
  <c r="G11792" i="1"/>
  <c r="F11792" i="1"/>
  <c r="E11792" i="1"/>
  <c r="D11792" i="1"/>
  <c r="C11792" i="1"/>
  <c r="B11792" i="1"/>
  <c r="G11791" i="1"/>
  <c r="F11791" i="1"/>
  <c r="E11791" i="1"/>
  <c r="D11791" i="1"/>
  <c r="C11791" i="1"/>
  <c r="B11791" i="1"/>
  <c r="G11790" i="1"/>
  <c r="F11790" i="1"/>
  <c r="E11790" i="1"/>
  <c r="D11790" i="1"/>
  <c r="C11790" i="1"/>
  <c r="B11790" i="1"/>
  <c r="G11789" i="1"/>
  <c r="F11789" i="1"/>
  <c r="E11789" i="1"/>
  <c r="D11789" i="1"/>
  <c r="C11789" i="1"/>
  <c r="B11789" i="1"/>
  <c r="G11788" i="1"/>
  <c r="F11788" i="1"/>
  <c r="E11788" i="1"/>
  <c r="D11788" i="1"/>
  <c r="C11788" i="1"/>
  <c r="B11788" i="1"/>
  <c r="G11787" i="1"/>
  <c r="F11787" i="1"/>
  <c r="E11787" i="1"/>
  <c r="D11787" i="1"/>
  <c r="C11787" i="1"/>
  <c r="B11787" i="1"/>
  <c r="G11786" i="1"/>
  <c r="F11786" i="1"/>
  <c r="E11786" i="1"/>
  <c r="D11786" i="1"/>
  <c r="C11786" i="1"/>
  <c r="B11786" i="1"/>
  <c r="G11785" i="1"/>
  <c r="F11785" i="1"/>
  <c r="E11785" i="1"/>
  <c r="D11785" i="1"/>
  <c r="C11785" i="1"/>
  <c r="B11785" i="1"/>
  <c r="G11784" i="1"/>
  <c r="F11784" i="1"/>
  <c r="E11784" i="1"/>
  <c r="D11784" i="1"/>
  <c r="C11784" i="1"/>
  <c r="B11784" i="1"/>
  <c r="G11783" i="1"/>
  <c r="F11783" i="1"/>
  <c r="E11783" i="1"/>
  <c r="D11783" i="1"/>
  <c r="C11783" i="1"/>
  <c r="B11783" i="1"/>
  <c r="G11782" i="1"/>
  <c r="F11782" i="1"/>
  <c r="E11782" i="1"/>
  <c r="D11782" i="1"/>
  <c r="C11782" i="1"/>
  <c r="B11782" i="1"/>
  <c r="G11781" i="1"/>
  <c r="F11781" i="1"/>
  <c r="E11781" i="1"/>
  <c r="D11781" i="1"/>
  <c r="C11781" i="1"/>
  <c r="B11781" i="1"/>
  <c r="G11780" i="1"/>
  <c r="F11780" i="1"/>
  <c r="E11780" i="1"/>
  <c r="D11780" i="1"/>
  <c r="C11780" i="1"/>
  <c r="B11780" i="1"/>
  <c r="G11779" i="1"/>
  <c r="F11779" i="1"/>
  <c r="E11779" i="1"/>
  <c r="D11779" i="1"/>
  <c r="C11779" i="1"/>
  <c r="B11779" i="1"/>
  <c r="G11778" i="1"/>
  <c r="F11778" i="1"/>
  <c r="E11778" i="1"/>
  <c r="D11778" i="1"/>
  <c r="C11778" i="1"/>
  <c r="B11778" i="1"/>
  <c r="G11777" i="1"/>
  <c r="F11777" i="1"/>
  <c r="E11777" i="1"/>
  <c r="D11777" i="1"/>
  <c r="C11777" i="1"/>
  <c r="B11777" i="1"/>
  <c r="G11776" i="1"/>
  <c r="F11776" i="1"/>
  <c r="E11776" i="1"/>
  <c r="D11776" i="1"/>
  <c r="C11776" i="1"/>
  <c r="B11776" i="1"/>
  <c r="G11775" i="1"/>
  <c r="F11775" i="1"/>
  <c r="E11775" i="1"/>
  <c r="D11775" i="1"/>
  <c r="C11775" i="1"/>
  <c r="B11775" i="1"/>
  <c r="G11774" i="1"/>
  <c r="F11774" i="1"/>
  <c r="E11774" i="1"/>
  <c r="D11774" i="1"/>
  <c r="C11774" i="1"/>
  <c r="B11774" i="1"/>
  <c r="G11773" i="1"/>
  <c r="F11773" i="1"/>
  <c r="E11773" i="1"/>
  <c r="D11773" i="1"/>
  <c r="C11773" i="1"/>
  <c r="B11773" i="1"/>
  <c r="G11772" i="1"/>
  <c r="F11772" i="1"/>
  <c r="E11772" i="1"/>
  <c r="D11772" i="1"/>
  <c r="C11772" i="1"/>
  <c r="B11772" i="1"/>
  <c r="G11771" i="1"/>
  <c r="F11771" i="1"/>
  <c r="E11771" i="1"/>
  <c r="D11771" i="1"/>
  <c r="C11771" i="1"/>
  <c r="B11771" i="1"/>
  <c r="G11770" i="1"/>
  <c r="F11770" i="1"/>
  <c r="E11770" i="1"/>
  <c r="D11770" i="1"/>
  <c r="C11770" i="1"/>
  <c r="B11770" i="1"/>
  <c r="G11769" i="1"/>
  <c r="F11769" i="1"/>
  <c r="E11769" i="1"/>
  <c r="D11769" i="1"/>
  <c r="C11769" i="1"/>
  <c r="B11769" i="1"/>
  <c r="G11768" i="1"/>
  <c r="F11768" i="1"/>
  <c r="E11768" i="1"/>
  <c r="D11768" i="1"/>
  <c r="C11768" i="1"/>
  <c r="B11768" i="1"/>
  <c r="G11767" i="1"/>
  <c r="F11767" i="1"/>
  <c r="E11767" i="1"/>
  <c r="D11767" i="1"/>
  <c r="C11767" i="1"/>
  <c r="B11767" i="1"/>
  <c r="G11766" i="1"/>
  <c r="F11766" i="1"/>
  <c r="E11766" i="1"/>
  <c r="D11766" i="1"/>
  <c r="C11766" i="1"/>
  <c r="B11766" i="1"/>
  <c r="G11765" i="1"/>
  <c r="F11765" i="1"/>
  <c r="E11765" i="1"/>
  <c r="D11765" i="1"/>
  <c r="C11765" i="1"/>
  <c r="B11765" i="1"/>
  <c r="G11764" i="1"/>
  <c r="F11764" i="1"/>
  <c r="E11764" i="1"/>
  <c r="D11764" i="1"/>
  <c r="C11764" i="1"/>
  <c r="B11764" i="1"/>
  <c r="G11763" i="1"/>
  <c r="F11763" i="1"/>
  <c r="E11763" i="1"/>
  <c r="D11763" i="1"/>
  <c r="C11763" i="1"/>
  <c r="B11763" i="1"/>
  <c r="G11762" i="1"/>
  <c r="F11762" i="1"/>
  <c r="E11762" i="1"/>
  <c r="D11762" i="1"/>
  <c r="C11762" i="1"/>
  <c r="B11762" i="1"/>
  <c r="G11761" i="1"/>
  <c r="F11761" i="1"/>
  <c r="E11761" i="1"/>
  <c r="D11761" i="1"/>
  <c r="C11761" i="1"/>
  <c r="B11761" i="1"/>
  <c r="G11760" i="1"/>
  <c r="F11760" i="1"/>
  <c r="E11760" i="1"/>
  <c r="D11760" i="1"/>
  <c r="C11760" i="1"/>
  <c r="B11760" i="1"/>
  <c r="G11759" i="1"/>
  <c r="F11759" i="1"/>
  <c r="E11759" i="1"/>
  <c r="D11759" i="1"/>
  <c r="C11759" i="1"/>
  <c r="B11759" i="1"/>
  <c r="G11758" i="1"/>
  <c r="F11758" i="1"/>
  <c r="E11758" i="1"/>
  <c r="D11758" i="1"/>
  <c r="C11758" i="1"/>
  <c r="B11758" i="1"/>
  <c r="G11757" i="1"/>
  <c r="F11757" i="1"/>
  <c r="E11757" i="1"/>
  <c r="D11757" i="1"/>
  <c r="C11757" i="1"/>
  <c r="B11757" i="1"/>
  <c r="G11756" i="1"/>
  <c r="F11756" i="1"/>
  <c r="E11756" i="1"/>
  <c r="D11756" i="1"/>
  <c r="C11756" i="1"/>
  <c r="B11756" i="1"/>
  <c r="G11755" i="1"/>
  <c r="F11755" i="1"/>
  <c r="E11755" i="1"/>
  <c r="D11755" i="1"/>
  <c r="C11755" i="1"/>
  <c r="B11755" i="1"/>
  <c r="G11754" i="1"/>
  <c r="F11754" i="1"/>
  <c r="E11754" i="1"/>
  <c r="D11754" i="1"/>
  <c r="C11754" i="1"/>
  <c r="B11754" i="1"/>
  <c r="G11753" i="1"/>
  <c r="F11753" i="1"/>
  <c r="E11753" i="1"/>
  <c r="D11753" i="1"/>
  <c r="C11753" i="1"/>
  <c r="B11753" i="1"/>
  <c r="G11752" i="1"/>
  <c r="F11752" i="1"/>
  <c r="E11752" i="1"/>
  <c r="D11752" i="1"/>
  <c r="C11752" i="1"/>
  <c r="B11752" i="1"/>
  <c r="G11751" i="1"/>
  <c r="F11751" i="1"/>
  <c r="E11751" i="1"/>
  <c r="D11751" i="1"/>
  <c r="C11751" i="1"/>
  <c r="B11751" i="1"/>
  <c r="G11750" i="1"/>
  <c r="F11750" i="1"/>
  <c r="E11750" i="1"/>
  <c r="D11750" i="1"/>
  <c r="C11750" i="1"/>
  <c r="B11750" i="1"/>
  <c r="G11749" i="1"/>
  <c r="F11749" i="1"/>
  <c r="E11749" i="1"/>
  <c r="D11749" i="1"/>
  <c r="C11749" i="1"/>
  <c r="B11749" i="1"/>
  <c r="G11748" i="1"/>
  <c r="F11748" i="1"/>
  <c r="E11748" i="1"/>
  <c r="D11748" i="1"/>
  <c r="C11748" i="1"/>
  <c r="B11748" i="1"/>
  <c r="G11747" i="1"/>
  <c r="F11747" i="1"/>
  <c r="E11747" i="1"/>
  <c r="D11747" i="1"/>
  <c r="C11747" i="1"/>
  <c r="B11747" i="1"/>
  <c r="G11746" i="1"/>
  <c r="F11746" i="1"/>
  <c r="E11746" i="1"/>
  <c r="D11746" i="1"/>
  <c r="C11746" i="1"/>
  <c r="B11746" i="1"/>
  <c r="G11745" i="1"/>
  <c r="F11745" i="1"/>
  <c r="E11745" i="1"/>
  <c r="D11745" i="1"/>
  <c r="C11745" i="1"/>
  <c r="B11745" i="1"/>
  <c r="G11744" i="1"/>
  <c r="F11744" i="1"/>
  <c r="E11744" i="1"/>
  <c r="D11744" i="1"/>
  <c r="C11744" i="1"/>
  <c r="B11744" i="1"/>
  <c r="G11743" i="1"/>
  <c r="F11743" i="1"/>
  <c r="E11743" i="1"/>
  <c r="D11743" i="1"/>
  <c r="C11743" i="1"/>
  <c r="B11743" i="1"/>
  <c r="G11742" i="1"/>
  <c r="F11742" i="1"/>
  <c r="E11742" i="1"/>
  <c r="D11742" i="1"/>
  <c r="C11742" i="1"/>
  <c r="B11742" i="1"/>
  <c r="G11741" i="1"/>
  <c r="F11741" i="1"/>
  <c r="E11741" i="1"/>
  <c r="D11741" i="1"/>
  <c r="C11741" i="1"/>
  <c r="B11741" i="1"/>
  <c r="G11740" i="1"/>
  <c r="F11740" i="1"/>
  <c r="E11740" i="1"/>
  <c r="D11740" i="1"/>
  <c r="C11740" i="1"/>
  <c r="B11740" i="1"/>
  <c r="G11739" i="1"/>
  <c r="F11739" i="1"/>
  <c r="E11739" i="1"/>
  <c r="D11739" i="1"/>
  <c r="C11739" i="1"/>
  <c r="B11739" i="1"/>
  <c r="G11738" i="1"/>
  <c r="F11738" i="1"/>
  <c r="E11738" i="1"/>
  <c r="D11738" i="1"/>
  <c r="C11738" i="1"/>
  <c r="B11738" i="1"/>
  <c r="G11737" i="1"/>
  <c r="F11737" i="1"/>
  <c r="E11737" i="1"/>
  <c r="D11737" i="1"/>
  <c r="C11737" i="1"/>
  <c r="B11737" i="1"/>
  <c r="G11736" i="1"/>
  <c r="F11736" i="1"/>
  <c r="E11736" i="1"/>
  <c r="D11736" i="1"/>
  <c r="C11736" i="1"/>
  <c r="B11736" i="1"/>
  <c r="G11735" i="1"/>
  <c r="F11735" i="1"/>
  <c r="E11735" i="1"/>
  <c r="D11735" i="1"/>
  <c r="C11735" i="1"/>
  <c r="B11735" i="1"/>
  <c r="G11734" i="1"/>
  <c r="F11734" i="1"/>
  <c r="E11734" i="1"/>
  <c r="D11734" i="1"/>
  <c r="C11734" i="1"/>
  <c r="B11734" i="1"/>
  <c r="G11733" i="1"/>
  <c r="F11733" i="1"/>
  <c r="E11733" i="1"/>
  <c r="D11733" i="1"/>
  <c r="C11733" i="1"/>
  <c r="B11733" i="1"/>
  <c r="G11732" i="1"/>
  <c r="F11732" i="1"/>
  <c r="E11732" i="1"/>
  <c r="D11732" i="1"/>
  <c r="C11732" i="1"/>
  <c r="B11732" i="1"/>
  <c r="G11731" i="1"/>
  <c r="F11731" i="1"/>
  <c r="E11731" i="1"/>
  <c r="D11731" i="1"/>
  <c r="C11731" i="1"/>
  <c r="B11731" i="1"/>
  <c r="G11730" i="1"/>
  <c r="F11730" i="1"/>
  <c r="E11730" i="1"/>
  <c r="D11730" i="1"/>
  <c r="C11730" i="1"/>
  <c r="B11730" i="1"/>
  <c r="G11729" i="1"/>
  <c r="F11729" i="1"/>
  <c r="E11729" i="1"/>
  <c r="D11729" i="1"/>
  <c r="C11729" i="1"/>
  <c r="B11729" i="1"/>
  <c r="G11728" i="1"/>
  <c r="F11728" i="1"/>
  <c r="E11728" i="1"/>
  <c r="D11728" i="1"/>
  <c r="C11728" i="1"/>
  <c r="B11728" i="1"/>
  <c r="G11727" i="1"/>
  <c r="F11727" i="1"/>
  <c r="E11727" i="1"/>
  <c r="D11727" i="1"/>
  <c r="C11727" i="1"/>
  <c r="B11727" i="1"/>
  <c r="G11726" i="1"/>
  <c r="F11726" i="1"/>
  <c r="E11726" i="1"/>
  <c r="D11726" i="1"/>
  <c r="C11726" i="1"/>
  <c r="B11726" i="1"/>
  <c r="G11725" i="1"/>
  <c r="F11725" i="1"/>
  <c r="E11725" i="1"/>
  <c r="D11725" i="1"/>
  <c r="C11725" i="1"/>
  <c r="B11725" i="1"/>
  <c r="G11724" i="1"/>
  <c r="F11724" i="1"/>
  <c r="E11724" i="1"/>
  <c r="D11724" i="1"/>
  <c r="C11724" i="1"/>
  <c r="B11724" i="1"/>
  <c r="G11723" i="1"/>
  <c r="F11723" i="1"/>
  <c r="E11723" i="1"/>
  <c r="D11723" i="1"/>
  <c r="C11723" i="1"/>
  <c r="B11723" i="1"/>
  <c r="G11722" i="1"/>
  <c r="F11722" i="1"/>
  <c r="E11722" i="1"/>
  <c r="D11722" i="1"/>
  <c r="C11722" i="1"/>
  <c r="B11722" i="1"/>
  <c r="G11721" i="1"/>
  <c r="F11721" i="1"/>
  <c r="E11721" i="1"/>
  <c r="D11721" i="1"/>
  <c r="C11721" i="1"/>
  <c r="B11721" i="1"/>
  <c r="G11720" i="1"/>
  <c r="F11720" i="1"/>
  <c r="E11720" i="1"/>
  <c r="D11720" i="1"/>
  <c r="C11720" i="1"/>
  <c r="B11720" i="1"/>
  <c r="G11719" i="1"/>
  <c r="F11719" i="1"/>
  <c r="E11719" i="1"/>
  <c r="D11719" i="1"/>
  <c r="C11719" i="1"/>
  <c r="B11719" i="1"/>
  <c r="G11718" i="1"/>
  <c r="F11718" i="1"/>
  <c r="E11718" i="1"/>
  <c r="D11718" i="1"/>
  <c r="C11718" i="1"/>
  <c r="B11718" i="1"/>
  <c r="G11717" i="1"/>
  <c r="F11717" i="1"/>
  <c r="E11717" i="1"/>
  <c r="D11717" i="1"/>
  <c r="C11717" i="1"/>
  <c r="B11717" i="1"/>
  <c r="G11716" i="1"/>
  <c r="F11716" i="1"/>
  <c r="E11716" i="1"/>
  <c r="D11716" i="1"/>
  <c r="C11716" i="1"/>
  <c r="B11716" i="1"/>
  <c r="G11715" i="1"/>
  <c r="F11715" i="1"/>
  <c r="E11715" i="1"/>
  <c r="D11715" i="1"/>
  <c r="C11715" i="1"/>
  <c r="B11715" i="1"/>
  <c r="G11714" i="1"/>
  <c r="F11714" i="1"/>
  <c r="E11714" i="1"/>
  <c r="D11714" i="1"/>
  <c r="C11714" i="1"/>
  <c r="B11714" i="1"/>
  <c r="G11713" i="1"/>
  <c r="F11713" i="1"/>
  <c r="E11713" i="1"/>
  <c r="D11713" i="1"/>
  <c r="C11713" i="1"/>
  <c r="B11713" i="1"/>
  <c r="G11712" i="1"/>
  <c r="F11712" i="1"/>
  <c r="E11712" i="1"/>
  <c r="D11712" i="1"/>
  <c r="C11712" i="1"/>
  <c r="B11712" i="1"/>
  <c r="G11711" i="1"/>
  <c r="F11711" i="1"/>
  <c r="E11711" i="1"/>
  <c r="D11711" i="1"/>
  <c r="C11711" i="1"/>
  <c r="B11711" i="1"/>
  <c r="G11710" i="1"/>
  <c r="F11710" i="1"/>
  <c r="E11710" i="1"/>
  <c r="D11710" i="1"/>
  <c r="C11710" i="1"/>
  <c r="B11710" i="1"/>
  <c r="G11709" i="1"/>
  <c r="F11709" i="1"/>
  <c r="E11709" i="1"/>
  <c r="D11709" i="1"/>
  <c r="C11709" i="1"/>
  <c r="B11709" i="1"/>
  <c r="G11708" i="1"/>
  <c r="F11708" i="1"/>
  <c r="E11708" i="1"/>
  <c r="D11708" i="1"/>
  <c r="C11708" i="1"/>
  <c r="B11708" i="1"/>
  <c r="G11707" i="1"/>
  <c r="F11707" i="1"/>
  <c r="E11707" i="1"/>
  <c r="D11707" i="1"/>
  <c r="C11707" i="1"/>
  <c r="B11707" i="1"/>
  <c r="G11706" i="1"/>
  <c r="F11706" i="1"/>
  <c r="E11706" i="1"/>
  <c r="D11706" i="1"/>
  <c r="C11706" i="1"/>
  <c r="B11706" i="1"/>
  <c r="G11705" i="1"/>
  <c r="F11705" i="1"/>
  <c r="E11705" i="1"/>
  <c r="D11705" i="1"/>
  <c r="C11705" i="1"/>
  <c r="B11705" i="1"/>
  <c r="G11704" i="1"/>
  <c r="F11704" i="1"/>
  <c r="E11704" i="1"/>
  <c r="D11704" i="1"/>
  <c r="C11704" i="1"/>
  <c r="B11704" i="1"/>
  <c r="G11703" i="1"/>
  <c r="F11703" i="1"/>
  <c r="E11703" i="1"/>
  <c r="D11703" i="1"/>
  <c r="C11703" i="1"/>
  <c r="B11703" i="1"/>
  <c r="G11702" i="1"/>
  <c r="F11702" i="1"/>
  <c r="E11702" i="1"/>
  <c r="D11702" i="1"/>
  <c r="C11702" i="1"/>
  <c r="B11702" i="1"/>
  <c r="G11701" i="1"/>
  <c r="F11701" i="1"/>
  <c r="E11701" i="1"/>
  <c r="D11701" i="1"/>
  <c r="C11701" i="1"/>
  <c r="B11701" i="1"/>
  <c r="G11700" i="1"/>
  <c r="F11700" i="1"/>
  <c r="E11700" i="1"/>
  <c r="D11700" i="1"/>
  <c r="C11700" i="1"/>
  <c r="B11700" i="1"/>
  <c r="G11699" i="1"/>
  <c r="F11699" i="1"/>
  <c r="E11699" i="1"/>
  <c r="D11699" i="1"/>
  <c r="C11699" i="1"/>
  <c r="B11699" i="1"/>
  <c r="G11698" i="1"/>
  <c r="F11698" i="1"/>
  <c r="E11698" i="1"/>
  <c r="D11698" i="1"/>
  <c r="C11698" i="1"/>
  <c r="B11698" i="1"/>
  <c r="G11697" i="1"/>
  <c r="F11697" i="1"/>
  <c r="E11697" i="1"/>
  <c r="D11697" i="1"/>
  <c r="C11697" i="1"/>
  <c r="B11697" i="1"/>
  <c r="G11696" i="1"/>
  <c r="F11696" i="1"/>
  <c r="E11696" i="1"/>
  <c r="D11696" i="1"/>
  <c r="C11696" i="1"/>
  <c r="B11696" i="1"/>
  <c r="G11695" i="1"/>
  <c r="F11695" i="1"/>
  <c r="E11695" i="1"/>
  <c r="D11695" i="1"/>
  <c r="C11695" i="1"/>
  <c r="B11695" i="1"/>
  <c r="G11694" i="1"/>
  <c r="F11694" i="1"/>
  <c r="E11694" i="1"/>
  <c r="D11694" i="1"/>
  <c r="C11694" i="1"/>
  <c r="B11694" i="1"/>
  <c r="G11693" i="1"/>
  <c r="F11693" i="1"/>
  <c r="E11693" i="1"/>
  <c r="D11693" i="1"/>
  <c r="C11693" i="1"/>
  <c r="B11693" i="1"/>
  <c r="G11692" i="1"/>
  <c r="F11692" i="1"/>
  <c r="E11692" i="1"/>
  <c r="D11692" i="1"/>
  <c r="C11692" i="1"/>
  <c r="B11692" i="1"/>
  <c r="G11691" i="1"/>
  <c r="F11691" i="1"/>
  <c r="E11691" i="1"/>
  <c r="D11691" i="1"/>
  <c r="C11691" i="1"/>
  <c r="B11691" i="1"/>
  <c r="G11690" i="1"/>
  <c r="F11690" i="1"/>
  <c r="E11690" i="1"/>
  <c r="D11690" i="1"/>
  <c r="C11690" i="1"/>
  <c r="B11690" i="1"/>
  <c r="G11689" i="1"/>
  <c r="F11689" i="1"/>
  <c r="E11689" i="1"/>
  <c r="D11689" i="1"/>
  <c r="C11689" i="1"/>
  <c r="B11689" i="1"/>
  <c r="G11688" i="1"/>
  <c r="F11688" i="1"/>
  <c r="E11688" i="1"/>
  <c r="D11688" i="1"/>
  <c r="C11688" i="1"/>
  <c r="B11688" i="1"/>
  <c r="G11687" i="1"/>
  <c r="F11687" i="1"/>
  <c r="E11687" i="1"/>
  <c r="D11687" i="1"/>
  <c r="C11687" i="1"/>
  <c r="B11687" i="1"/>
  <c r="G11686" i="1"/>
  <c r="F11686" i="1"/>
  <c r="E11686" i="1"/>
  <c r="D11686" i="1"/>
  <c r="C11686" i="1"/>
  <c r="B11686" i="1"/>
  <c r="G11685" i="1"/>
  <c r="F11685" i="1"/>
  <c r="E11685" i="1"/>
  <c r="D11685" i="1"/>
  <c r="C11685" i="1"/>
  <c r="B11685" i="1"/>
  <c r="G11684" i="1"/>
  <c r="F11684" i="1"/>
  <c r="E11684" i="1"/>
  <c r="D11684" i="1"/>
  <c r="C11684" i="1"/>
  <c r="B11684" i="1"/>
  <c r="G11683" i="1"/>
  <c r="F11683" i="1"/>
  <c r="E11683" i="1"/>
  <c r="D11683" i="1"/>
  <c r="C11683" i="1"/>
  <c r="B11683" i="1"/>
  <c r="G11682" i="1"/>
  <c r="F11682" i="1"/>
  <c r="E11682" i="1"/>
  <c r="D11682" i="1"/>
  <c r="C11682" i="1"/>
  <c r="B11682" i="1"/>
  <c r="G11681" i="1"/>
  <c r="F11681" i="1"/>
  <c r="E11681" i="1"/>
  <c r="D11681" i="1"/>
  <c r="C11681" i="1"/>
  <c r="B11681" i="1"/>
  <c r="G11680" i="1"/>
  <c r="F11680" i="1"/>
  <c r="E11680" i="1"/>
  <c r="D11680" i="1"/>
  <c r="C11680" i="1"/>
  <c r="B11680" i="1"/>
  <c r="G11679" i="1"/>
  <c r="F11679" i="1"/>
  <c r="E11679" i="1"/>
  <c r="D11679" i="1"/>
  <c r="C11679" i="1"/>
  <c r="B11679" i="1"/>
  <c r="G11678" i="1"/>
  <c r="F11678" i="1"/>
  <c r="E11678" i="1"/>
  <c r="D11678" i="1"/>
  <c r="C11678" i="1"/>
  <c r="B11678" i="1"/>
  <c r="G11677" i="1"/>
  <c r="F11677" i="1"/>
  <c r="E11677" i="1"/>
  <c r="D11677" i="1"/>
  <c r="C11677" i="1"/>
  <c r="B11677" i="1"/>
  <c r="G11676" i="1"/>
  <c r="F11676" i="1"/>
  <c r="E11676" i="1"/>
  <c r="D11676" i="1"/>
  <c r="C11676" i="1"/>
  <c r="B11676" i="1"/>
  <c r="G11675" i="1"/>
  <c r="F11675" i="1"/>
  <c r="E11675" i="1"/>
  <c r="D11675" i="1"/>
  <c r="C11675" i="1"/>
  <c r="B11675" i="1"/>
  <c r="G11674" i="1"/>
  <c r="F11674" i="1"/>
  <c r="E11674" i="1"/>
  <c r="D11674" i="1"/>
  <c r="C11674" i="1"/>
  <c r="B11674" i="1"/>
  <c r="G11673" i="1"/>
  <c r="F11673" i="1"/>
  <c r="E11673" i="1"/>
  <c r="D11673" i="1"/>
  <c r="C11673" i="1"/>
  <c r="B11673" i="1"/>
  <c r="G11672" i="1"/>
  <c r="F11672" i="1"/>
  <c r="E11672" i="1"/>
  <c r="D11672" i="1"/>
  <c r="C11672" i="1"/>
  <c r="B11672" i="1"/>
  <c r="G11671" i="1"/>
  <c r="F11671" i="1"/>
  <c r="E11671" i="1"/>
  <c r="D11671" i="1"/>
  <c r="C11671" i="1"/>
  <c r="B11671" i="1"/>
  <c r="G11670" i="1"/>
  <c r="F11670" i="1"/>
  <c r="E11670" i="1"/>
  <c r="D11670" i="1"/>
  <c r="C11670" i="1"/>
  <c r="B11670" i="1"/>
  <c r="G11669" i="1"/>
  <c r="F11669" i="1"/>
  <c r="E11669" i="1"/>
  <c r="D11669" i="1"/>
  <c r="C11669" i="1"/>
  <c r="B11669" i="1"/>
  <c r="G11668" i="1"/>
  <c r="F11668" i="1"/>
  <c r="E11668" i="1"/>
  <c r="D11668" i="1"/>
  <c r="C11668" i="1"/>
  <c r="B11668" i="1"/>
  <c r="G11667" i="1"/>
  <c r="F11667" i="1"/>
  <c r="E11667" i="1"/>
  <c r="D11667" i="1"/>
  <c r="C11667" i="1"/>
  <c r="B11667" i="1"/>
  <c r="G11666" i="1"/>
  <c r="F11666" i="1"/>
  <c r="E11666" i="1"/>
  <c r="D11666" i="1"/>
  <c r="C11666" i="1"/>
  <c r="B11666" i="1"/>
  <c r="G11665" i="1"/>
  <c r="F11665" i="1"/>
  <c r="E11665" i="1"/>
  <c r="D11665" i="1"/>
  <c r="C11665" i="1"/>
  <c r="B11665" i="1"/>
  <c r="G11664" i="1"/>
  <c r="F11664" i="1"/>
  <c r="E11664" i="1"/>
  <c r="D11664" i="1"/>
  <c r="C11664" i="1"/>
  <c r="B11664" i="1"/>
  <c r="G11663" i="1"/>
  <c r="F11663" i="1"/>
  <c r="E11663" i="1"/>
  <c r="D11663" i="1"/>
  <c r="C11663" i="1"/>
  <c r="B11663" i="1"/>
  <c r="G11662" i="1"/>
  <c r="F11662" i="1"/>
  <c r="E11662" i="1"/>
  <c r="D11662" i="1"/>
  <c r="C11662" i="1"/>
  <c r="B11662" i="1"/>
  <c r="G11661" i="1"/>
  <c r="F11661" i="1"/>
  <c r="E11661" i="1"/>
  <c r="D11661" i="1"/>
  <c r="C11661" i="1"/>
  <c r="B11661" i="1"/>
  <c r="G11660" i="1"/>
  <c r="F11660" i="1"/>
  <c r="E11660" i="1"/>
  <c r="D11660" i="1"/>
  <c r="C11660" i="1"/>
  <c r="B11660" i="1"/>
  <c r="G11659" i="1"/>
  <c r="F11659" i="1"/>
  <c r="E11659" i="1"/>
  <c r="D11659" i="1"/>
  <c r="C11659" i="1"/>
  <c r="B11659" i="1"/>
  <c r="G11658" i="1"/>
  <c r="F11658" i="1"/>
  <c r="E11658" i="1"/>
  <c r="D11658" i="1"/>
  <c r="C11658" i="1"/>
  <c r="B11658" i="1"/>
  <c r="G11657" i="1"/>
  <c r="F11657" i="1"/>
  <c r="E11657" i="1"/>
  <c r="D11657" i="1"/>
  <c r="C11657" i="1"/>
  <c r="B11657" i="1"/>
  <c r="G11656" i="1"/>
  <c r="F11656" i="1"/>
  <c r="E11656" i="1"/>
  <c r="D11656" i="1"/>
  <c r="C11656" i="1"/>
  <c r="B11656" i="1"/>
  <c r="G11655" i="1"/>
  <c r="F11655" i="1"/>
  <c r="E11655" i="1"/>
  <c r="D11655" i="1"/>
  <c r="C11655" i="1"/>
  <c r="B11655" i="1"/>
  <c r="G11654" i="1"/>
  <c r="F11654" i="1"/>
  <c r="E11654" i="1"/>
  <c r="D11654" i="1"/>
  <c r="C11654" i="1"/>
  <c r="B11654" i="1"/>
  <c r="G11653" i="1"/>
  <c r="F11653" i="1"/>
  <c r="E11653" i="1"/>
  <c r="D11653" i="1"/>
  <c r="C11653" i="1"/>
  <c r="B11653" i="1"/>
  <c r="G11652" i="1"/>
  <c r="F11652" i="1"/>
  <c r="E11652" i="1"/>
  <c r="D11652" i="1"/>
  <c r="C11652" i="1"/>
  <c r="B11652" i="1"/>
  <c r="G11651" i="1"/>
  <c r="F11651" i="1"/>
  <c r="E11651" i="1"/>
  <c r="D11651" i="1"/>
  <c r="C11651" i="1"/>
  <c r="B11651" i="1"/>
  <c r="G11650" i="1"/>
  <c r="F11650" i="1"/>
  <c r="E11650" i="1"/>
  <c r="D11650" i="1"/>
  <c r="C11650" i="1"/>
  <c r="B11650" i="1"/>
  <c r="G11649" i="1"/>
  <c r="F11649" i="1"/>
  <c r="E11649" i="1"/>
  <c r="D11649" i="1"/>
  <c r="C11649" i="1"/>
  <c r="B11649" i="1"/>
  <c r="G11648" i="1"/>
  <c r="F11648" i="1"/>
  <c r="E11648" i="1"/>
  <c r="D11648" i="1"/>
  <c r="C11648" i="1"/>
  <c r="B11648" i="1"/>
  <c r="G11647" i="1"/>
  <c r="F11647" i="1"/>
  <c r="E11647" i="1"/>
  <c r="D11647" i="1"/>
  <c r="C11647" i="1"/>
  <c r="B11647" i="1"/>
  <c r="G11646" i="1"/>
  <c r="F11646" i="1"/>
  <c r="E11646" i="1"/>
  <c r="D11646" i="1"/>
  <c r="C11646" i="1"/>
  <c r="B11646" i="1"/>
  <c r="G11645" i="1"/>
  <c r="F11645" i="1"/>
  <c r="E11645" i="1"/>
  <c r="D11645" i="1"/>
  <c r="C11645" i="1"/>
  <c r="B11645" i="1"/>
  <c r="G11644" i="1"/>
  <c r="F11644" i="1"/>
  <c r="E11644" i="1"/>
  <c r="D11644" i="1"/>
  <c r="C11644" i="1"/>
  <c r="B11644" i="1"/>
  <c r="G11643" i="1"/>
  <c r="F11643" i="1"/>
  <c r="E11643" i="1"/>
  <c r="D11643" i="1"/>
  <c r="C11643" i="1"/>
  <c r="B11643" i="1"/>
  <c r="G11642" i="1"/>
  <c r="F11642" i="1"/>
  <c r="E11642" i="1"/>
  <c r="D11642" i="1"/>
  <c r="C11642" i="1"/>
  <c r="B11642" i="1"/>
  <c r="G11641" i="1"/>
  <c r="F11641" i="1"/>
  <c r="E11641" i="1"/>
  <c r="D11641" i="1"/>
  <c r="C11641" i="1"/>
  <c r="B11641" i="1"/>
  <c r="G11640" i="1"/>
  <c r="F11640" i="1"/>
  <c r="E11640" i="1"/>
  <c r="D11640" i="1"/>
  <c r="C11640" i="1"/>
  <c r="B11640" i="1"/>
  <c r="G11639" i="1"/>
  <c r="F11639" i="1"/>
  <c r="E11639" i="1"/>
  <c r="D11639" i="1"/>
  <c r="C11639" i="1"/>
  <c r="B11639" i="1"/>
  <c r="G11638" i="1"/>
  <c r="F11638" i="1"/>
  <c r="E11638" i="1"/>
  <c r="D11638" i="1"/>
  <c r="C11638" i="1"/>
  <c r="B11638" i="1"/>
  <c r="G11637" i="1"/>
  <c r="F11637" i="1"/>
  <c r="E11637" i="1"/>
  <c r="D11637" i="1"/>
  <c r="C11637" i="1"/>
  <c r="B11637" i="1"/>
  <c r="G11636" i="1"/>
  <c r="F11636" i="1"/>
  <c r="E11636" i="1"/>
  <c r="D11636" i="1"/>
  <c r="C11636" i="1"/>
  <c r="B11636" i="1"/>
  <c r="G11635" i="1"/>
  <c r="F11635" i="1"/>
  <c r="E11635" i="1"/>
  <c r="D11635" i="1"/>
  <c r="C11635" i="1"/>
  <c r="B11635" i="1"/>
  <c r="G11634" i="1"/>
  <c r="F11634" i="1"/>
  <c r="E11634" i="1"/>
  <c r="D11634" i="1"/>
  <c r="C11634" i="1"/>
  <c r="B11634" i="1"/>
  <c r="G11633" i="1"/>
  <c r="F11633" i="1"/>
  <c r="E11633" i="1"/>
  <c r="D11633" i="1"/>
  <c r="C11633" i="1"/>
  <c r="B11633" i="1"/>
  <c r="G11632" i="1"/>
  <c r="F11632" i="1"/>
  <c r="E11632" i="1"/>
  <c r="D11632" i="1"/>
  <c r="C11632" i="1"/>
  <c r="B11632" i="1"/>
  <c r="G11631" i="1"/>
  <c r="F11631" i="1"/>
  <c r="E11631" i="1"/>
  <c r="D11631" i="1"/>
  <c r="C11631" i="1"/>
  <c r="B11631" i="1"/>
  <c r="G11630" i="1"/>
  <c r="F11630" i="1"/>
  <c r="E11630" i="1"/>
  <c r="D11630" i="1"/>
  <c r="C11630" i="1"/>
  <c r="B11630" i="1"/>
  <c r="G11629" i="1"/>
  <c r="F11629" i="1"/>
  <c r="E11629" i="1"/>
  <c r="D11629" i="1"/>
  <c r="C11629" i="1"/>
  <c r="B11629" i="1"/>
  <c r="G11628" i="1"/>
  <c r="F11628" i="1"/>
  <c r="E11628" i="1"/>
  <c r="D11628" i="1"/>
  <c r="C11628" i="1"/>
  <c r="B11628" i="1"/>
  <c r="G11627" i="1"/>
  <c r="F11627" i="1"/>
  <c r="E11627" i="1"/>
  <c r="D11627" i="1"/>
  <c r="C11627" i="1"/>
  <c r="B11627" i="1"/>
  <c r="G11626" i="1"/>
  <c r="F11626" i="1"/>
  <c r="E11626" i="1"/>
  <c r="D11626" i="1"/>
  <c r="C11626" i="1"/>
  <c r="B11626" i="1"/>
  <c r="G11625" i="1"/>
  <c r="F11625" i="1"/>
  <c r="E11625" i="1"/>
  <c r="D11625" i="1"/>
  <c r="C11625" i="1"/>
  <c r="B11625" i="1"/>
  <c r="G11624" i="1"/>
  <c r="F11624" i="1"/>
  <c r="E11624" i="1"/>
  <c r="D11624" i="1"/>
  <c r="C11624" i="1"/>
  <c r="B11624" i="1"/>
  <c r="G11623" i="1"/>
  <c r="F11623" i="1"/>
  <c r="E11623" i="1"/>
  <c r="D11623" i="1"/>
  <c r="C11623" i="1"/>
  <c r="B11623" i="1"/>
  <c r="G11622" i="1"/>
  <c r="F11622" i="1"/>
  <c r="E11622" i="1"/>
  <c r="D11622" i="1"/>
  <c r="C11622" i="1"/>
  <c r="B11622" i="1"/>
  <c r="G11621" i="1"/>
  <c r="F11621" i="1"/>
  <c r="E11621" i="1"/>
  <c r="D11621" i="1"/>
  <c r="C11621" i="1"/>
  <c r="B11621" i="1"/>
  <c r="G11620" i="1"/>
  <c r="F11620" i="1"/>
  <c r="E11620" i="1"/>
  <c r="D11620" i="1"/>
  <c r="C11620" i="1"/>
  <c r="B11620" i="1"/>
  <c r="G11619" i="1"/>
  <c r="F11619" i="1"/>
  <c r="E11619" i="1"/>
  <c r="D11619" i="1"/>
  <c r="C11619" i="1"/>
  <c r="B11619" i="1"/>
  <c r="G11618" i="1"/>
  <c r="F11618" i="1"/>
  <c r="E11618" i="1"/>
  <c r="D11618" i="1"/>
  <c r="C11618" i="1"/>
  <c r="B11618" i="1"/>
  <c r="G11617" i="1"/>
  <c r="F11617" i="1"/>
  <c r="E11617" i="1"/>
  <c r="D11617" i="1"/>
  <c r="C11617" i="1"/>
  <c r="B11617" i="1"/>
  <c r="G11616" i="1"/>
  <c r="F11616" i="1"/>
  <c r="E11616" i="1"/>
  <c r="D11616" i="1"/>
  <c r="C11616" i="1"/>
  <c r="B11616" i="1"/>
  <c r="G11615" i="1"/>
  <c r="F11615" i="1"/>
  <c r="E11615" i="1"/>
  <c r="D11615" i="1"/>
  <c r="C11615" i="1"/>
  <c r="B11615" i="1"/>
  <c r="G11614" i="1"/>
  <c r="F11614" i="1"/>
  <c r="E11614" i="1"/>
  <c r="D11614" i="1"/>
  <c r="C11614" i="1"/>
  <c r="B11614" i="1"/>
  <c r="G11613" i="1"/>
  <c r="F11613" i="1"/>
  <c r="E11613" i="1"/>
  <c r="D11613" i="1"/>
  <c r="C11613" i="1"/>
  <c r="B11613" i="1"/>
  <c r="G11612" i="1"/>
  <c r="F11612" i="1"/>
  <c r="E11612" i="1"/>
  <c r="D11612" i="1"/>
  <c r="C11612" i="1"/>
  <c r="B11612" i="1"/>
  <c r="G11611" i="1"/>
  <c r="F11611" i="1"/>
  <c r="E11611" i="1"/>
  <c r="D11611" i="1"/>
  <c r="C11611" i="1"/>
  <c r="B11611" i="1"/>
  <c r="G11610" i="1"/>
  <c r="F11610" i="1"/>
  <c r="E11610" i="1"/>
  <c r="D11610" i="1"/>
  <c r="C11610" i="1"/>
  <c r="B11610" i="1"/>
  <c r="G11609" i="1"/>
  <c r="F11609" i="1"/>
  <c r="E11609" i="1"/>
  <c r="D11609" i="1"/>
  <c r="C11609" i="1"/>
  <c r="B11609" i="1"/>
  <c r="G11608" i="1"/>
  <c r="F11608" i="1"/>
  <c r="E11608" i="1"/>
  <c r="D11608" i="1"/>
  <c r="C11608" i="1"/>
  <c r="B11608" i="1"/>
  <c r="G11607" i="1"/>
  <c r="F11607" i="1"/>
  <c r="E11607" i="1"/>
  <c r="D11607" i="1"/>
  <c r="C11607" i="1"/>
  <c r="B11607" i="1"/>
  <c r="G11606" i="1"/>
  <c r="F11606" i="1"/>
  <c r="E11606" i="1"/>
  <c r="D11606" i="1"/>
  <c r="C11606" i="1"/>
  <c r="B11606" i="1"/>
  <c r="G11605" i="1"/>
  <c r="F11605" i="1"/>
  <c r="E11605" i="1"/>
  <c r="D11605" i="1"/>
  <c r="C11605" i="1"/>
  <c r="B11605" i="1"/>
  <c r="G11604" i="1"/>
  <c r="F11604" i="1"/>
  <c r="E11604" i="1"/>
  <c r="D11604" i="1"/>
  <c r="C11604" i="1"/>
  <c r="B11604" i="1"/>
  <c r="G11603" i="1"/>
  <c r="F11603" i="1"/>
  <c r="E11603" i="1"/>
  <c r="D11603" i="1"/>
  <c r="C11603" i="1"/>
  <c r="B11603" i="1"/>
  <c r="G11602" i="1"/>
  <c r="F11602" i="1"/>
  <c r="E11602" i="1"/>
  <c r="D11602" i="1"/>
  <c r="C11602" i="1"/>
  <c r="B11602" i="1"/>
  <c r="G11601" i="1"/>
  <c r="F11601" i="1"/>
  <c r="E11601" i="1"/>
  <c r="D11601" i="1"/>
  <c r="C11601" i="1"/>
  <c r="B11601" i="1"/>
  <c r="G11600" i="1"/>
  <c r="F11600" i="1"/>
  <c r="E11600" i="1"/>
  <c r="D11600" i="1"/>
  <c r="C11600" i="1"/>
  <c r="B11600" i="1"/>
  <c r="G11599" i="1"/>
  <c r="F11599" i="1"/>
  <c r="E11599" i="1"/>
  <c r="D11599" i="1"/>
  <c r="C11599" i="1"/>
  <c r="B11599" i="1"/>
  <c r="G11598" i="1"/>
  <c r="F11598" i="1"/>
  <c r="E11598" i="1"/>
  <c r="D11598" i="1"/>
  <c r="C11598" i="1"/>
  <c r="B11598" i="1"/>
  <c r="G11597" i="1"/>
  <c r="F11597" i="1"/>
  <c r="E11597" i="1"/>
  <c r="D11597" i="1"/>
  <c r="C11597" i="1"/>
  <c r="B11597" i="1"/>
  <c r="G11596" i="1"/>
  <c r="F11596" i="1"/>
  <c r="E11596" i="1"/>
  <c r="D11596" i="1"/>
  <c r="C11596" i="1"/>
  <c r="B11596" i="1"/>
  <c r="G11595" i="1"/>
  <c r="F11595" i="1"/>
  <c r="E11595" i="1"/>
  <c r="D11595" i="1"/>
  <c r="C11595" i="1"/>
  <c r="B11595" i="1"/>
  <c r="G11594" i="1"/>
  <c r="F11594" i="1"/>
  <c r="E11594" i="1"/>
  <c r="D11594" i="1"/>
  <c r="C11594" i="1"/>
  <c r="B11594" i="1"/>
  <c r="G11593" i="1"/>
  <c r="F11593" i="1"/>
  <c r="E11593" i="1"/>
  <c r="D11593" i="1"/>
  <c r="C11593" i="1"/>
  <c r="B11593" i="1"/>
  <c r="G11592" i="1"/>
  <c r="F11592" i="1"/>
  <c r="E11592" i="1"/>
  <c r="D11592" i="1"/>
  <c r="C11592" i="1"/>
  <c r="B11592" i="1"/>
  <c r="G11591" i="1"/>
  <c r="F11591" i="1"/>
  <c r="E11591" i="1"/>
  <c r="D11591" i="1"/>
  <c r="C11591" i="1"/>
  <c r="B11591" i="1"/>
  <c r="G11590" i="1"/>
  <c r="F11590" i="1"/>
  <c r="E11590" i="1"/>
  <c r="D11590" i="1"/>
  <c r="C11590" i="1"/>
  <c r="B11590" i="1"/>
  <c r="G11589" i="1"/>
  <c r="F11589" i="1"/>
  <c r="E11589" i="1"/>
  <c r="D11589" i="1"/>
  <c r="C11589" i="1"/>
  <c r="B11589" i="1"/>
  <c r="G11588" i="1"/>
  <c r="F11588" i="1"/>
  <c r="E11588" i="1"/>
  <c r="D11588" i="1"/>
  <c r="C11588" i="1"/>
  <c r="B11588" i="1"/>
  <c r="G11587" i="1"/>
  <c r="F11587" i="1"/>
  <c r="E11587" i="1"/>
  <c r="D11587" i="1"/>
  <c r="C11587" i="1"/>
  <c r="B11587" i="1"/>
  <c r="G11586" i="1"/>
  <c r="F11586" i="1"/>
  <c r="E11586" i="1"/>
  <c r="D11586" i="1"/>
  <c r="C11586" i="1"/>
  <c r="B11586" i="1"/>
  <c r="G11585" i="1"/>
  <c r="F11585" i="1"/>
  <c r="E11585" i="1"/>
  <c r="D11585" i="1"/>
  <c r="C11585" i="1"/>
  <c r="B11585" i="1"/>
  <c r="G11584" i="1"/>
  <c r="F11584" i="1"/>
  <c r="E11584" i="1"/>
  <c r="D11584" i="1"/>
  <c r="C11584" i="1"/>
  <c r="B11584" i="1"/>
  <c r="G11583" i="1"/>
  <c r="F11583" i="1"/>
  <c r="E11583" i="1"/>
  <c r="D11583" i="1"/>
  <c r="C11583" i="1"/>
  <c r="B11583" i="1"/>
  <c r="G11582" i="1"/>
  <c r="F11582" i="1"/>
  <c r="E11582" i="1"/>
  <c r="D11582" i="1"/>
  <c r="C11582" i="1"/>
  <c r="B11582" i="1"/>
  <c r="G11581" i="1"/>
  <c r="F11581" i="1"/>
  <c r="E11581" i="1"/>
  <c r="D11581" i="1"/>
  <c r="C11581" i="1"/>
  <c r="B11581" i="1"/>
  <c r="G11580" i="1"/>
  <c r="F11580" i="1"/>
  <c r="E11580" i="1"/>
  <c r="D11580" i="1"/>
  <c r="C11580" i="1"/>
  <c r="B11580" i="1"/>
  <c r="G11579" i="1"/>
  <c r="F11579" i="1"/>
  <c r="E11579" i="1"/>
  <c r="D11579" i="1"/>
  <c r="C11579" i="1"/>
  <c r="B11579" i="1"/>
  <c r="G11578" i="1"/>
  <c r="F11578" i="1"/>
  <c r="E11578" i="1"/>
  <c r="D11578" i="1"/>
  <c r="C11578" i="1"/>
  <c r="B11578" i="1"/>
  <c r="G11577" i="1"/>
  <c r="F11577" i="1"/>
  <c r="E11577" i="1"/>
  <c r="D11577" i="1"/>
  <c r="C11577" i="1"/>
  <c r="B11577" i="1"/>
  <c r="G11576" i="1"/>
  <c r="F11576" i="1"/>
  <c r="E11576" i="1"/>
  <c r="D11576" i="1"/>
  <c r="C11576" i="1"/>
  <c r="B11576" i="1"/>
  <c r="G11575" i="1"/>
  <c r="F11575" i="1"/>
  <c r="E11575" i="1"/>
  <c r="D11575" i="1"/>
  <c r="C11575" i="1"/>
  <c r="B11575" i="1"/>
  <c r="G11574" i="1"/>
  <c r="F11574" i="1"/>
  <c r="E11574" i="1"/>
  <c r="D11574" i="1"/>
  <c r="C11574" i="1"/>
  <c r="B11574" i="1"/>
  <c r="G11573" i="1"/>
  <c r="F11573" i="1"/>
  <c r="E11573" i="1"/>
  <c r="D11573" i="1"/>
  <c r="C11573" i="1"/>
  <c r="B11573" i="1"/>
  <c r="G11572" i="1"/>
  <c r="F11572" i="1"/>
  <c r="E11572" i="1"/>
  <c r="D11572" i="1"/>
  <c r="C11572" i="1"/>
  <c r="B11572" i="1"/>
  <c r="G11571" i="1"/>
  <c r="F11571" i="1"/>
  <c r="E11571" i="1"/>
  <c r="D11571" i="1"/>
  <c r="C11571" i="1"/>
  <c r="B11571" i="1"/>
  <c r="G11570" i="1"/>
  <c r="F11570" i="1"/>
  <c r="E11570" i="1"/>
  <c r="D11570" i="1"/>
  <c r="C11570" i="1"/>
  <c r="B11570" i="1"/>
  <c r="G11569" i="1"/>
  <c r="F11569" i="1"/>
  <c r="E11569" i="1"/>
  <c r="D11569" i="1"/>
  <c r="C11569" i="1"/>
  <c r="B11569" i="1"/>
  <c r="G11568" i="1"/>
  <c r="F11568" i="1"/>
  <c r="E11568" i="1"/>
  <c r="D11568" i="1"/>
  <c r="C11568" i="1"/>
  <c r="B11568" i="1"/>
  <c r="G11567" i="1"/>
  <c r="F11567" i="1"/>
  <c r="E11567" i="1"/>
  <c r="D11567" i="1"/>
  <c r="C11567" i="1"/>
  <c r="B11567" i="1"/>
  <c r="G11566" i="1"/>
  <c r="F11566" i="1"/>
  <c r="E11566" i="1"/>
  <c r="D11566" i="1"/>
  <c r="C11566" i="1"/>
  <c r="B11566" i="1"/>
  <c r="G11565" i="1"/>
  <c r="F11565" i="1"/>
  <c r="E11565" i="1"/>
  <c r="D11565" i="1"/>
  <c r="C11565" i="1"/>
  <c r="B11565" i="1"/>
  <c r="G11564" i="1"/>
  <c r="F11564" i="1"/>
  <c r="E11564" i="1"/>
  <c r="D11564" i="1"/>
  <c r="C11564" i="1"/>
  <c r="B11564" i="1"/>
  <c r="G11563" i="1"/>
  <c r="F11563" i="1"/>
  <c r="E11563" i="1"/>
  <c r="D11563" i="1"/>
  <c r="C11563" i="1"/>
  <c r="B11563" i="1"/>
  <c r="G11562" i="1"/>
  <c r="F11562" i="1"/>
  <c r="E11562" i="1"/>
  <c r="D11562" i="1"/>
  <c r="C11562" i="1"/>
  <c r="B11562" i="1"/>
  <c r="G11561" i="1"/>
  <c r="F11561" i="1"/>
  <c r="E11561" i="1"/>
  <c r="D11561" i="1"/>
  <c r="C11561" i="1"/>
  <c r="B11561" i="1"/>
  <c r="G11560" i="1"/>
  <c r="F11560" i="1"/>
  <c r="E11560" i="1"/>
  <c r="D11560" i="1"/>
  <c r="C11560" i="1"/>
  <c r="B11560" i="1"/>
  <c r="G11559" i="1"/>
  <c r="F11559" i="1"/>
  <c r="E11559" i="1"/>
  <c r="D11559" i="1"/>
  <c r="C11559" i="1"/>
  <c r="B11559" i="1"/>
  <c r="G11558" i="1"/>
  <c r="F11558" i="1"/>
  <c r="E11558" i="1"/>
  <c r="D11558" i="1"/>
  <c r="C11558" i="1"/>
  <c r="B11558" i="1"/>
  <c r="G11557" i="1"/>
  <c r="F11557" i="1"/>
  <c r="E11557" i="1"/>
  <c r="D11557" i="1"/>
  <c r="C11557" i="1"/>
  <c r="B11557" i="1"/>
  <c r="G11556" i="1"/>
  <c r="F11556" i="1"/>
  <c r="E11556" i="1"/>
  <c r="D11556" i="1"/>
  <c r="C11556" i="1"/>
  <c r="B11556" i="1"/>
  <c r="G11555" i="1"/>
  <c r="F11555" i="1"/>
  <c r="E11555" i="1"/>
  <c r="D11555" i="1"/>
  <c r="C11555" i="1"/>
  <c r="B11555" i="1"/>
  <c r="G11554" i="1"/>
  <c r="F11554" i="1"/>
  <c r="E11554" i="1"/>
  <c r="D11554" i="1"/>
  <c r="C11554" i="1"/>
  <c r="B11554" i="1"/>
  <c r="G11553" i="1"/>
  <c r="F11553" i="1"/>
  <c r="E11553" i="1"/>
  <c r="D11553" i="1"/>
  <c r="C11553" i="1"/>
  <c r="B11553" i="1"/>
  <c r="G11552" i="1"/>
  <c r="F11552" i="1"/>
  <c r="E11552" i="1"/>
  <c r="D11552" i="1"/>
  <c r="C11552" i="1"/>
  <c r="B11552" i="1"/>
  <c r="G11551" i="1"/>
  <c r="F11551" i="1"/>
  <c r="E11551" i="1"/>
  <c r="D11551" i="1"/>
  <c r="C11551" i="1"/>
  <c r="B11551" i="1"/>
  <c r="G11550" i="1"/>
  <c r="F11550" i="1"/>
  <c r="E11550" i="1"/>
  <c r="D11550" i="1"/>
  <c r="C11550" i="1"/>
  <c r="B11550" i="1"/>
  <c r="G11549" i="1"/>
  <c r="F11549" i="1"/>
  <c r="E11549" i="1"/>
  <c r="D11549" i="1"/>
  <c r="C11549" i="1"/>
  <c r="B11549" i="1"/>
  <c r="G11548" i="1"/>
  <c r="F11548" i="1"/>
  <c r="E11548" i="1"/>
  <c r="D11548" i="1"/>
  <c r="C11548" i="1"/>
  <c r="B11548" i="1"/>
  <c r="G11547" i="1"/>
  <c r="F11547" i="1"/>
  <c r="E11547" i="1"/>
  <c r="D11547" i="1"/>
  <c r="C11547" i="1"/>
  <c r="B11547" i="1"/>
  <c r="G11546" i="1"/>
  <c r="F11546" i="1"/>
  <c r="E11546" i="1"/>
  <c r="D11546" i="1"/>
  <c r="C11546" i="1"/>
  <c r="B11546" i="1"/>
  <c r="G11545" i="1"/>
  <c r="F11545" i="1"/>
  <c r="E11545" i="1"/>
  <c r="D11545" i="1"/>
  <c r="C11545" i="1"/>
  <c r="B11545" i="1"/>
  <c r="G11544" i="1"/>
  <c r="F11544" i="1"/>
  <c r="E11544" i="1"/>
  <c r="D11544" i="1"/>
  <c r="C11544" i="1"/>
  <c r="B11544" i="1"/>
  <c r="G11543" i="1"/>
  <c r="F11543" i="1"/>
  <c r="E11543" i="1"/>
  <c r="D11543" i="1"/>
  <c r="C11543" i="1"/>
  <c r="B11543" i="1"/>
  <c r="G11542" i="1"/>
  <c r="F11542" i="1"/>
  <c r="E11542" i="1"/>
  <c r="D11542" i="1"/>
  <c r="C11542" i="1"/>
  <c r="B11542" i="1"/>
  <c r="G11541" i="1"/>
  <c r="F11541" i="1"/>
  <c r="E11541" i="1"/>
  <c r="D11541" i="1"/>
  <c r="C11541" i="1"/>
  <c r="B11541" i="1"/>
  <c r="G11540" i="1"/>
  <c r="F11540" i="1"/>
  <c r="E11540" i="1"/>
  <c r="D11540" i="1"/>
  <c r="C11540" i="1"/>
  <c r="B11540" i="1"/>
  <c r="G11539" i="1"/>
  <c r="F11539" i="1"/>
  <c r="E11539" i="1"/>
  <c r="D11539" i="1"/>
  <c r="C11539" i="1"/>
  <c r="B11539" i="1"/>
  <c r="G11538" i="1"/>
  <c r="F11538" i="1"/>
  <c r="E11538" i="1"/>
  <c r="D11538" i="1"/>
  <c r="C11538" i="1"/>
  <c r="B11538" i="1"/>
  <c r="G11537" i="1"/>
  <c r="F11537" i="1"/>
  <c r="E11537" i="1"/>
  <c r="D11537" i="1"/>
  <c r="C11537" i="1"/>
  <c r="B11537" i="1"/>
  <c r="G11536" i="1"/>
  <c r="F11536" i="1"/>
  <c r="E11536" i="1"/>
  <c r="D11536" i="1"/>
  <c r="C11536" i="1"/>
  <c r="B11536" i="1"/>
  <c r="G11535" i="1"/>
  <c r="F11535" i="1"/>
  <c r="E11535" i="1"/>
  <c r="D11535" i="1"/>
  <c r="C11535" i="1"/>
  <c r="B11535" i="1"/>
  <c r="G11534" i="1"/>
  <c r="F11534" i="1"/>
  <c r="E11534" i="1"/>
  <c r="D11534" i="1"/>
  <c r="C11534" i="1"/>
  <c r="B11534" i="1"/>
  <c r="G11533" i="1"/>
  <c r="F11533" i="1"/>
  <c r="E11533" i="1"/>
  <c r="D11533" i="1"/>
  <c r="C11533" i="1"/>
  <c r="B11533" i="1"/>
  <c r="G11532" i="1"/>
  <c r="F11532" i="1"/>
  <c r="E11532" i="1"/>
  <c r="D11532" i="1"/>
  <c r="C11532" i="1"/>
  <c r="B11532" i="1"/>
  <c r="G11531" i="1"/>
  <c r="F11531" i="1"/>
  <c r="E11531" i="1"/>
  <c r="D11531" i="1"/>
  <c r="C11531" i="1"/>
  <c r="B11531" i="1"/>
  <c r="G11530" i="1"/>
  <c r="F11530" i="1"/>
  <c r="E11530" i="1"/>
  <c r="D11530" i="1"/>
  <c r="C11530" i="1"/>
  <c r="B11530" i="1"/>
  <c r="G11529" i="1"/>
  <c r="F11529" i="1"/>
  <c r="E11529" i="1"/>
  <c r="D11529" i="1"/>
  <c r="C11529" i="1"/>
  <c r="B11529" i="1"/>
  <c r="G11528" i="1"/>
  <c r="F11528" i="1"/>
  <c r="E11528" i="1"/>
  <c r="D11528" i="1"/>
  <c r="C11528" i="1"/>
  <c r="B11528" i="1"/>
  <c r="G11527" i="1"/>
  <c r="F11527" i="1"/>
  <c r="E11527" i="1"/>
  <c r="D11527" i="1"/>
  <c r="C11527" i="1"/>
  <c r="B11527" i="1"/>
  <c r="G11526" i="1"/>
  <c r="F11526" i="1"/>
  <c r="E11526" i="1"/>
  <c r="D11526" i="1"/>
  <c r="C11526" i="1"/>
  <c r="B11526" i="1"/>
  <c r="G11525" i="1"/>
  <c r="F11525" i="1"/>
  <c r="E11525" i="1"/>
  <c r="D11525" i="1"/>
  <c r="C11525" i="1"/>
  <c r="B11525" i="1"/>
  <c r="G11524" i="1"/>
  <c r="F11524" i="1"/>
  <c r="E11524" i="1"/>
  <c r="D11524" i="1"/>
  <c r="C11524" i="1"/>
  <c r="B11524" i="1"/>
  <c r="G11523" i="1"/>
  <c r="F11523" i="1"/>
  <c r="E11523" i="1"/>
  <c r="D11523" i="1"/>
  <c r="C11523" i="1"/>
  <c r="B11523" i="1"/>
  <c r="G11522" i="1"/>
  <c r="F11522" i="1"/>
  <c r="E11522" i="1"/>
  <c r="D11522" i="1"/>
  <c r="C11522" i="1"/>
  <c r="B11522" i="1"/>
  <c r="G11521" i="1"/>
  <c r="F11521" i="1"/>
  <c r="E11521" i="1"/>
  <c r="D11521" i="1"/>
  <c r="C11521" i="1"/>
  <c r="B11521" i="1"/>
  <c r="G11520" i="1"/>
  <c r="F11520" i="1"/>
  <c r="E11520" i="1"/>
  <c r="D11520" i="1"/>
  <c r="C11520" i="1"/>
  <c r="B11520" i="1"/>
  <c r="G11519" i="1"/>
  <c r="F11519" i="1"/>
  <c r="E11519" i="1"/>
  <c r="D11519" i="1"/>
  <c r="C11519" i="1"/>
  <c r="B11519" i="1"/>
  <c r="G11518" i="1"/>
  <c r="F11518" i="1"/>
  <c r="E11518" i="1"/>
  <c r="D11518" i="1"/>
  <c r="C11518" i="1"/>
  <c r="B11518" i="1"/>
  <c r="G11517" i="1"/>
  <c r="F11517" i="1"/>
  <c r="E11517" i="1"/>
  <c r="D11517" i="1"/>
  <c r="C11517" i="1"/>
  <c r="B11517" i="1"/>
  <c r="G11516" i="1"/>
  <c r="F11516" i="1"/>
  <c r="E11516" i="1"/>
  <c r="D11516" i="1"/>
  <c r="C11516" i="1"/>
  <c r="B11516" i="1"/>
  <c r="G11515" i="1"/>
  <c r="F11515" i="1"/>
  <c r="E11515" i="1"/>
  <c r="D11515" i="1"/>
  <c r="C11515" i="1"/>
  <c r="B11515" i="1"/>
  <c r="G11514" i="1"/>
  <c r="F11514" i="1"/>
  <c r="E11514" i="1"/>
  <c r="D11514" i="1"/>
  <c r="C11514" i="1"/>
  <c r="B11514" i="1"/>
  <c r="G11513" i="1"/>
  <c r="F11513" i="1"/>
  <c r="E11513" i="1"/>
  <c r="D11513" i="1"/>
  <c r="C11513" i="1"/>
  <c r="B11513" i="1"/>
  <c r="G11512" i="1"/>
  <c r="F11512" i="1"/>
  <c r="E11512" i="1"/>
  <c r="D11512" i="1"/>
  <c r="C11512" i="1"/>
  <c r="B11512" i="1"/>
  <c r="G11511" i="1"/>
  <c r="F11511" i="1"/>
  <c r="E11511" i="1"/>
  <c r="D11511" i="1"/>
  <c r="C11511" i="1"/>
  <c r="B11511" i="1"/>
  <c r="G11510" i="1"/>
  <c r="F11510" i="1"/>
  <c r="E11510" i="1"/>
  <c r="D11510" i="1"/>
  <c r="C11510" i="1"/>
  <c r="B11510" i="1"/>
  <c r="G11509" i="1"/>
  <c r="F11509" i="1"/>
  <c r="E11509" i="1"/>
  <c r="D11509" i="1"/>
  <c r="C11509" i="1"/>
  <c r="B11509" i="1"/>
  <c r="G11508" i="1"/>
  <c r="F11508" i="1"/>
  <c r="E11508" i="1"/>
  <c r="D11508" i="1"/>
  <c r="C11508" i="1"/>
  <c r="B11508" i="1"/>
  <c r="G11507" i="1"/>
  <c r="F11507" i="1"/>
  <c r="E11507" i="1"/>
  <c r="D11507" i="1"/>
  <c r="C11507" i="1"/>
  <c r="B11507" i="1"/>
  <c r="G11506" i="1"/>
  <c r="F11506" i="1"/>
  <c r="E11506" i="1"/>
  <c r="D11506" i="1"/>
  <c r="C11506" i="1"/>
  <c r="B11506" i="1"/>
  <c r="G11505" i="1"/>
  <c r="F11505" i="1"/>
  <c r="E11505" i="1"/>
  <c r="D11505" i="1"/>
  <c r="C11505" i="1"/>
  <c r="B11505" i="1"/>
  <c r="G11504" i="1"/>
  <c r="F11504" i="1"/>
  <c r="E11504" i="1"/>
  <c r="D11504" i="1"/>
  <c r="C11504" i="1"/>
  <c r="B11504" i="1"/>
  <c r="G11503" i="1"/>
  <c r="F11503" i="1"/>
  <c r="E11503" i="1"/>
  <c r="D11503" i="1"/>
  <c r="C11503" i="1"/>
  <c r="B11503" i="1"/>
  <c r="G11502" i="1"/>
  <c r="F11502" i="1"/>
  <c r="E11502" i="1"/>
  <c r="D11502" i="1"/>
  <c r="C11502" i="1"/>
  <c r="B11502" i="1"/>
  <c r="G11501" i="1"/>
  <c r="F11501" i="1"/>
  <c r="E11501" i="1"/>
  <c r="D11501" i="1"/>
  <c r="C11501" i="1"/>
  <c r="B11501" i="1"/>
  <c r="G11500" i="1"/>
  <c r="F11500" i="1"/>
  <c r="E11500" i="1"/>
  <c r="D11500" i="1"/>
  <c r="C11500" i="1"/>
  <c r="B11500" i="1"/>
  <c r="G11499" i="1"/>
  <c r="F11499" i="1"/>
  <c r="E11499" i="1"/>
  <c r="D11499" i="1"/>
  <c r="C11499" i="1"/>
  <c r="B11499" i="1"/>
  <c r="G11498" i="1"/>
  <c r="F11498" i="1"/>
  <c r="E11498" i="1"/>
  <c r="D11498" i="1"/>
  <c r="C11498" i="1"/>
  <c r="B11498" i="1"/>
  <c r="G11497" i="1"/>
  <c r="F11497" i="1"/>
  <c r="E11497" i="1"/>
  <c r="D11497" i="1"/>
  <c r="C11497" i="1"/>
  <c r="B11497" i="1"/>
  <c r="G11496" i="1"/>
  <c r="F11496" i="1"/>
  <c r="E11496" i="1"/>
  <c r="D11496" i="1"/>
  <c r="C11496" i="1"/>
  <c r="B11496" i="1"/>
  <c r="G11495" i="1"/>
  <c r="F11495" i="1"/>
  <c r="E11495" i="1"/>
  <c r="D11495" i="1"/>
  <c r="C11495" i="1"/>
  <c r="B11495" i="1"/>
  <c r="G11494" i="1"/>
  <c r="F11494" i="1"/>
  <c r="E11494" i="1"/>
  <c r="D11494" i="1"/>
  <c r="C11494" i="1"/>
  <c r="B11494" i="1"/>
  <c r="G11493" i="1"/>
  <c r="F11493" i="1"/>
  <c r="E11493" i="1"/>
  <c r="D11493" i="1"/>
  <c r="C11493" i="1"/>
  <c r="B11493" i="1"/>
  <c r="G11492" i="1"/>
  <c r="F11492" i="1"/>
  <c r="E11492" i="1"/>
  <c r="D11492" i="1"/>
  <c r="C11492" i="1"/>
  <c r="B11492" i="1"/>
  <c r="G11491" i="1"/>
  <c r="F11491" i="1"/>
  <c r="E11491" i="1"/>
  <c r="D11491" i="1"/>
  <c r="C11491" i="1"/>
  <c r="B11491" i="1"/>
  <c r="G11490" i="1"/>
  <c r="F11490" i="1"/>
  <c r="E11490" i="1"/>
  <c r="D11490" i="1"/>
  <c r="C11490" i="1"/>
  <c r="B11490" i="1"/>
  <c r="G11489" i="1"/>
  <c r="F11489" i="1"/>
  <c r="E11489" i="1"/>
  <c r="D11489" i="1"/>
  <c r="C11489" i="1"/>
  <c r="B11489" i="1"/>
  <c r="G11488" i="1"/>
  <c r="F11488" i="1"/>
  <c r="E11488" i="1"/>
  <c r="D11488" i="1"/>
  <c r="C11488" i="1"/>
  <c r="B11488" i="1"/>
  <c r="G11487" i="1"/>
  <c r="F11487" i="1"/>
  <c r="E11487" i="1"/>
  <c r="D11487" i="1"/>
  <c r="C11487" i="1"/>
  <c r="B11487" i="1"/>
  <c r="G11486" i="1"/>
  <c r="F11486" i="1"/>
  <c r="E11486" i="1"/>
  <c r="D11486" i="1"/>
  <c r="C11486" i="1"/>
  <c r="B11486" i="1"/>
  <c r="G11485" i="1"/>
  <c r="F11485" i="1"/>
  <c r="E11485" i="1"/>
  <c r="D11485" i="1"/>
  <c r="C11485" i="1"/>
  <c r="B11485" i="1"/>
  <c r="G11484" i="1"/>
  <c r="F11484" i="1"/>
  <c r="E11484" i="1"/>
  <c r="D11484" i="1"/>
  <c r="C11484" i="1"/>
  <c r="B11484" i="1"/>
  <c r="G11483" i="1"/>
  <c r="F11483" i="1"/>
  <c r="E11483" i="1"/>
  <c r="D11483" i="1"/>
  <c r="C11483" i="1"/>
  <c r="B11483" i="1"/>
  <c r="G11482" i="1"/>
  <c r="F11482" i="1"/>
  <c r="E11482" i="1"/>
  <c r="D11482" i="1"/>
  <c r="C11482" i="1"/>
  <c r="B11482" i="1"/>
  <c r="G11481" i="1"/>
  <c r="F11481" i="1"/>
  <c r="E11481" i="1"/>
  <c r="D11481" i="1"/>
  <c r="C11481" i="1"/>
  <c r="B11481" i="1"/>
  <c r="G11480" i="1"/>
  <c r="F11480" i="1"/>
  <c r="E11480" i="1"/>
  <c r="D11480" i="1"/>
  <c r="C11480" i="1"/>
  <c r="B11480" i="1"/>
  <c r="G11479" i="1"/>
  <c r="F11479" i="1"/>
  <c r="E11479" i="1"/>
  <c r="D11479" i="1"/>
  <c r="C11479" i="1"/>
  <c r="B11479" i="1"/>
  <c r="G11478" i="1"/>
  <c r="F11478" i="1"/>
  <c r="E11478" i="1"/>
  <c r="D11478" i="1"/>
  <c r="C11478" i="1"/>
  <c r="B11478" i="1"/>
  <c r="G11477" i="1"/>
  <c r="F11477" i="1"/>
  <c r="E11477" i="1"/>
  <c r="D11477" i="1"/>
  <c r="C11477" i="1"/>
  <c r="B11477" i="1"/>
  <c r="G11476" i="1"/>
  <c r="F11476" i="1"/>
  <c r="E11476" i="1"/>
  <c r="D11476" i="1"/>
  <c r="C11476" i="1"/>
  <c r="B11476" i="1"/>
  <c r="G11475" i="1"/>
  <c r="F11475" i="1"/>
  <c r="E11475" i="1"/>
  <c r="D11475" i="1"/>
  <c r="C11475" i="1"/>
  <c r="B11475" i="1"/>
  <c r="G11474" i="1"/>
  <c r="F11474" i="1"/>
  <c r="E11474" i="1"/>
  <c r="D11474" i="1"/>
  <c r="C11474" i="1"/>
  <c r="B11474" i="1"/>
  <c r="G11473" i="1"/>
  <c r="F11473" i="1"/>
  <c r="E11473" i="1"/>
  <c r="D11473" i="1"/>
  <c r="C11473" i="1"/>
  <c r="B11473" i="1"/>
  <c r="G11472" i="1"/>
  <c r="F11472" i="1"/>
  <c r="E11472" i="1"/>
  <c r="D11472" i="1"/>
  <c r="C11472" i="1"/>
  <c r="B11472" i="1"/>
  <c r="G11471" i="1"/>
  <c r="F11471" i="1"/>
  <c r="E11471" i="1"/>
  <c r="D11471" i="1"/>
  <c r="C11471" i="1"/>
  <c r="B11471" i="1"/>
  <c r="G11470" i="1"/>
  <c r="F11470" i="1"/>
  <c r="E11470" i="1"/>
  <c r="D11470" i="1"/>
  <c r="C11470" i="1"/>
  <c r="B11470" i="1"/>
  <c r="G11469" i="1"/>
  <c r="F11469" i="1"/>
  <c r="E11469" i="1"/>
  <c r="D11469" i="1"/>
  <c r="C11469" i="1"/>
  <c r="B11469" i="1"/>
  <c r="G11468" i="1"/>
  <c r="F11468" i="1"/>
  <c r="E11468" i="1"/>
  <c r="D11468" i="1"/>
  <c r="C11468" i="1"/>
  <c r="B11468" i="1"/>
  <c r="G11467" i="1"/>
  <c r="F11467" i="1"/>
  <c r="E11467" i="1"/>
  <c r="D11467" i="1"/>
  <c r="C11467" i="1"/>
  <c r="B11467" i="1"/>
  <c r="G11466" i="1"/>
  <c r="F11466" i="1"/>
  <c r="E11466" i="1"/>
  <c r="D11466" i="1"/>
  <c r="C11466" i="1"/>
  <c r="B11466" i="1"/>
  <c r="G11465" i="1"/>
  <c r="F11465" i="1"/>
  <c r="E11465" i="1"/>
  <c r="D11465" i="1"/>
  <c r="C11465" i="1"/>
  <c r="B11465" i="1"/>
  <c r="G11464" i="1"/>
  <c r="F11464" i="1"/>
  <c r="E11464" i="1"/>
  <c r="D11464" i="1"/>
  <c r="C11464" i="1"/>
  <c r="B11464" i="1"/>
  <c r="G11463" i="1"/>
  <c r="F11463" i="1"/>
  <c r="E11463" i="1"/>
  <c r="D11463" i="1"/>
  <c r="C11463" i="1"/>
  <c r="B11463" i="1"/>
  <c r="G11462" i="1"/>
  <c r="F11462" i="1"/>
  <c r="E11462" i="1"/>
  <c r="D11462" i="1"/>
  <c r="C11462" i="1"/>
  <c r="B11462" i="1"/>
  <c r="G11461" i="1"/>
  <c r="F11461" i="1"/>
  <c r="E11461" i="1"/>
  <c r="D11461" i="1"/>
  <c r="C11461" i="1"/>
  <c r="B11461" i="1"/>
  <c r="G11460" i="1"/>
  <c r="F11460" i="1"/>
  <c r="E11460" i="1"/>
  <c r="D11460" i="1"/>
  <c r="C11460" i="1"/>
  <c r="B11460" i="1"/>
  <c r="G11459" i="1"/>
  <c r="F11459" i="1"/>
  <c r="E11459" i="1"/>
  <c r="D11459" i="1"/>
  <c r="C11459" i="1"/>
  <c r="B11459" i="1"/>
  <c r="G11458" i="1"/>
  <c r="F11458" i="1"/>
  <c r="E11458" i="1"/>
  <c r="D11458" i="1"/>
  <c r="C11458" i="1"/>
  <c r="B11458" i="1"/>
  <c r="G11457" i="1"/>
  <c r="F11457" i="1"/>
  <c r="E11457" i="1"/>
  <c r="D11457" i="1"/>
  <c r="C11457" i="1"/>
  <c r="B11457" i="1"/>
  <c r="G11456" i="1"/>
  <c r="F11456" i="1"/>
  <c r="E11456" i="1"/>
  <c r="D11456" i="1"/>
  <c r="C11456" i="1"/>
  <c r="B11456" i="1"/>
  <c r="G11455" i="1"/>
  <c r="F11455" i="1"/>
  <c r="E11455" i="1"/>
  <c r="D11455" i="1"/>
  <c r="C11455" i="1"/>
  <c r="B11455" i="1"/>
  <c r="G11454" i="1"/>
  <c r="F11454" i="1"/>
  <c r="E11454" i="1"/>
  <c r="D11454" i="1"/>
  <c r="C11454" i="1"/>
  <c r="B11454" i="1"/>
  <c r="G11453" i="1"/>
  <c r="F11453" i="1"/>
  <c r="E11453" i="1"/>
  <c r="D11453" i="1"/>
  <c r="C11453" i="1"/>
  <c r="B11453" i="1"/>
  <c r="G11452" i="1"/>
  <c r="F11452" i="1"/>
  <c r="E11452" i="1"/>
  <c r="D11452" i="1"/>
  <c r="C11452" i="1"/>
  <c r="B11452" i="1"/>
  <c r="G11451" i="1"/>
  <c r="F11451" i="1"/>
  <c r="E11451" i="1"/>
  <c r="D11451" i="1"/>
  <c r="C11451" i="1"/>
  <c r="B11451" i="1"/>
  <c r="G11450" i="1"/>
  <c r="F11450" i="1"/>
  <c r="E11450" i="1"/>
  <c r="D11450" i="1"/>
  <c r="C11450" i="1"/>
  <c r="B11450" i="1"/>
  <c r="G11449" i="1"/>
  <c r="F11449" i="1"/>
  <c r="E11449" i="1"/>
  <c r="D11449" i="1"/>
  <c r="C11449" i="1"/>
  <c r="B11449" i="1"/>
  <c r="G11448" i="1"/>
  <c r="F11448" i="1"/>
  <c r="E11448" i="1"/>
  <c r="D11448" i="1"/>
  <c r="C11448" i="1"/>
  <c r="B11448" i="1"/>
  <c r="G11447" i="1"/>
  <c r="F11447" i="1"/>
  <c r="E11447" i="1"/>
  <c r="D11447" i="1"/>
  <c r="C11447" i="1"/>
  <c r="B11447" i="1"/>
  <c r="G11446" i="1"/>
  <c r="F11446" i="1"/>
  <c r="E11446" i="1"/>
  <c r="D11446" i="1"/>
  <c r="C11446" i="1"/>
  <c r="B11446" i="1"/>
  <c r="G11445" i="1"/>
  <c r="F11445" i="1"/>
  <c r="E11445" i="1"/>
  <c r="D11445" i="1"/>
  <c r="C11445" i="1"/>
  <c r="B11445" i="1"/>
  <c r="G11444" i="1"/>
  <c r="F11444" i="1"/>
  <c r="E11444" i="1"/>
  <c r="D11444" i="1"/>
  <c r="C11444" i="1"/>
  <c r="B11444" i="1"/>
  <c r="G11443" i="1"/>
  <c r="F11443" i="1"/>
  <c r="E11443" i="1"/>
  <c r="D11443" i="1"/>
  <c r="C11443" i="1"/>
  <c r="B11443" i="1"/>
  <c r="G11442" i="1"/>
  <c r="F11442" i="1"/>
  <c r="E11442" i="1"/>
  <c r="D11442" i="1"/>
  <c r="C11442" i="1"/>
  <c r="B11442" i="1"/>
  <c r="G11441" i="1"/>
  <c r="F11441" i="1"/>
  <c r="E11441" i="1"/>
  <c r="D11441" i="1"/>
  <c r="C11441" i="1"/>
  <c r="B11441" i="1"/>
  <c r="G11440" i="1"/>
  <c r="F11440" i="1"/>
  <c r="E11440" i="1"/>
  <c r="D11440" i="1"/>
  <c r="C11440" i="1"/>
  <c r="B11440" i="1"/>
  <c r="G11439" i="1"/>
  <c r="F11439" i="1"/>
  <c r="E11439" i="1"/>
  <c r="D11439" i="1"/>
  <c r="C11439" i="1"/>
  <c r="B11439" i="1"/>
  <c r="G11438" i="1"/>
  <c r="F11438" i="1"/>
  <c r="E11438" i="1"/>
  <c r="D11438" i="1"/>
  <c r="C11438" i="1"/>
  <c r="B11438" i="1"/>
  <c r="G11437" i="1"/>
  <c r="F11437" i="1"/>
  <c r="E11437" i="1"/>
  <c r="D11437" i="1"/>
  <c r="C11437" i="1"/>
  <c r="B11437" i="1"/>
  <c r="G11436" i="1"/>
  <c r="F11436" i="1"/>
  <c r="E11436" i="1"/>
  <c r="D11436" i="1"/>
  <c r="C11436" i="1"/>
  <c r="B11436" i="1"/>
  <c r="G11435" i="1"/>
  <c r="F11435" i="1"/>
  <c r="E11435" i="1"/>
  <c r="D11435" i="1"/>
  <c r="C11435" i="1"/>
  <c r="B11435" i="1"/>
  <c r="G11434" i="1"/>
  <c r="F11434" i="1"/>
  <c r="E11434" i="1"/>
  <c r="D11434" i="1"/>
  <c r="C11434" i="1"/>
  <c r="B11434" i="1"/>
  <c r="G11433" i="1"/>
  <c r="F11433" i="1"/>
  <c r="E11433" i="1"/>
  <c r="D11433" i="1"/>
  <c r="C11433" i="1"/>
  <c r="B11433" i="1"/>
  <c r="G11432" i="1"/>
  <c r="F11432" i="1"/>
  <c r="E11432" i="1"/>
  <c r="D11432" i="1"/>
  <c r="C11432" i="1"/>
  <c r="B11432" i="1"/>
  <c r="G11431" i="1"/>
  <c r="F11431" i="1"/>
  <c r="E11431" i="1"/>
  <c r="D11431" i="1"/>
  <c r="C11431" i="1"/>
  <c r="B11431" i="1"/>
  <c r="G11430" i="1"/>
  <c r="F11430" i="1"/>
  <c r="E11430" i="1"/>
  <c r="D11430" i="1"/>
  <c r="C11430" i="1"/>
  <c r="B11430" i="1"/>
  <c r="G11429" i="1"/>
  <c r="F11429" i="1"/>
  <c r="E11429" i="1"/>
  <c r="D11429" i="1"/>
  <c r="C11429" i="1"/>
  <c r="B11429" i="1"/>
  <c r="G11428" i="1"/>
  <c r="F11428" i="1"/>
  <c r="E11428" i="1"/>
  <c r="D11428" i="1"/>
  <c r="C11428" i="1"/>
  <c r="B11428" i="1"/>
  <c r="G11427" i="1"/>
  <c r="F11427" i="1"/>
  <c r="E11427" i="1"/>
  <c r="D11427" i="1"/>
  <c r="C11427" i="1"/>
  <c r="B11427" i="1"/>
  <c r="G11426" i="1"/>
  <c r="F11426" i="1"/>
  <c r="E11426" i="1"/>
  <c r="D11426" i="1"/>
  <c r="C11426" i="1"/>
  <c r="B11426" i="1"/>
  <c r="G11425" i="1"/>
  <c r="F11425" i="1"/>
  <c r="E11425" i="1"/>
  <c r="D11425" i="1"/>
  <c r="C11425" i="1"/>
  <c r="B11425" i="1"/>
  <c r="G11424" i="1"/>
  <c r="F11424" i="1"/>
  <c r="E11424" i="1"/>
  <c r="D11424" i="1"/>
  <c r="C11424" i="1"/>
  <c r="B11424" i="1"/>
  <c r="G11423" i="1"/>
  <c r="F11423" i="1"/>
  <c r="E11423" i="1"/>
  <c r="D11423" i="1"/>
  <c r="C11423" i="1"/>
  <c r="B11423" i="1"/>
  <c r="G11422" i="1"/>
  <c r="F11422" i="1"/>
  <c r="E11422" i="1"/>
  <c r="D11422" i="1"/>
  <c r="C11422" i="1"/>
  <c r="B11422" i="1"/>
  <c r="G11421" i="1"/>
  <c r="F11421" i="1"/>
  <c r="E11421" i="1"/>
  <c r="D11421" i="1"/>
  <c r="C11421" i="1"/>
  <c r="B11421" i="1"/>
  <c r="G11420" i="1"/>
  <c r="F11420" i="1"/>
  <c r="E11420" i="1"/>
  <c r="D11420" i="1"/>
  <c r="C11420" i="1"/>
  <c r="B11420" i="1"/>
  <c r="G11419" i="1"/>
  <c r="F11419" i="1"/>
  <c r="E11419" i="1"/>
  <c r="D11419" i="1"/>
  <c r="C11419" i="1"/>
  <c r="B11419" i="1"/>
  <c r="G11418" i="1"/>
  <c r="F11418" i="1"/>
  <c r="E11418" i="1"/>
  <c r="D11418" i="1"/>
  <c r="C11418" i="1"/>
  <c r="B11418" i="1"/>
  <c r="G11417" i="1"/>
  <c r="F11417" i="1"/>
  <c r="E11417" i="1"/>
  <c r="D11417" i="1"/>
  <c r="C11417" i="1"/>
  <c r="B11417" i="1"/>
  <c r="G11416" i="1"/>
  <c r="F11416" i="1"/>
  <c r="E11416" i="1"/>
  <c r="D11416" i="1"/>
  <c r="C11416" i="1"/>
  <c r="B11416" i="1"/>
  <c r="G11415" i="1"/>
  <c r="F11415" i="1"/>
  <c r="E11415" i="1"/>
  <c r="D11415" i="1"/>
  <c r="C11415" i="1"/>
  <c r="B11415" i="1"/>
  <c r="G11414" i="1"/>
  <c r="F11414" i="1"/>
  <c r="E11414" i="1"/>
  <c r="D11414" i="1"/>
  <c r="C11414" i="1"/>
  <c r="B11414" i="1"/>
  <c r="G11413" i="1"/>
  <c r="F11413" i="1"/>
  <c r="E11413" i="1"/>
  <c r="D11413" i="1"/>
  <c r="C11413" i="1"/>
  <c r="B11413" i="1"/>
  <c r="G11412" i="1"/>
  <c r="F11412" i="1"/>
  <c r="E11412" i="1"/>
  <c r="D11412" i="1"/>
  <c r="C11412" i="1"/>
  <c r="B11412" i="1"/>
  <c r="G11411" i="1"/>
  <c r="F11411" i="1"/>
  <c r="E11411" i="1"/>
  <c r="D11411" i="1"/>
  <c r="C11411" i="1"/>
  <c r="B11411" i="1"/>
  <c r="G11410" i="1"/>
  <c r="F11410" i="1"/>
  <c r="E11410" i="1"/>
  <c r="D11410" i="1"/>
  <c r="C11410" i="1"/>
  <c r="B11410" i="1"/>
  <c r="G11409" i="1"/>
  <c r="F11409" i="1"/>
  <c r="E11409" i="1"/>
  <c r="D11409" i="1"/>
  <c r="C11409" i="1"/>
  <c r="B11409" i="1"/>
  <c r="G11408" i="1"/>
  <c r="F11408" i="1"/>
  <c r="E11408" i="1"/>
  <c r="D11408" i="1"/>
  <c r="C11408" i="1"/>
  <c r="B11408" i="1"/>
  <c r="G11407" i="1"/>
  <c r="F11407" i="1"/>
  <c r="E11407" i="1"/>
  <c r="D11407" i="1"/>
  <c r="C11407" i="1"/>
  <c r="B11407" i="1"/>
  <c r="G11406" i="1"/>
  <c r="F11406" i="1"/>
  <c r="E11406" i="1"/>
  <c r="D11406" i="1"/>
  <c r="C11406" i="1"/>
  <c r="B11406" i="1"/>
  <c r="G11405" i="1"/>
  <c r="F11405" i="1"/>
  <c r="E11405" i="1"/>
  <c r="D11405" i="1"/>
  <c r="C11405" i="1"/>
  <c r="B11405" i="1"/>
  <c r="G11404" i="1"/>
  <c r="F11404" i="1"/>
  <c r="E11404" i="1"/>
  <c r="D11404" i="1"/>
  <c r="C11404" i="1"/>
  <c r="B11404" i="1"/>
  <c r="G11403" i="1"/>
  <c r="F11403" i="1"/>
  <c r="E11403" i="1"/>
  <c r="D11403" i="1"/>
  <c r="C11403" i="1"/>
  <c r="B11403" i="1"/>
  <c r="G11402" i="1"/>
  <c r="F11402" i="1"/>
  <c r="E11402" i="1"/>
  <c r="D11402" i="1"/>
  <c r="C11402" i="1"/>
  <c r="B11402" i="1"/>
  <c r="G11401" i="1"/>
  <c r="F11401" i="1"/>
  <c r="E11401" i="1"/>
  <c r="D11401" i="1"/>
  <c r="C11401" i="1"/>
  <c r="B11401" i="1"/>
  <c r="G11400" i="1"/>
  <c r="F11400" i="1"/>
  <c r="E11400" i="1"/>
  <c r="D11400" i="1"/>
  <c r="C11400" i="1"/>
  <c r="B11400" i="1"/>
  <c r="G11399" i="1"/>
  <c r="F11399" i="1"/>
  <c r="E11399" i="1"/>
  <c r="D11399" i="1"/>
  <c r="C11399" i="1"/>
  <c r="B11399" i="1"/>
  <c r="G11398" i="1"/>
  <c r="F11398" i="1"/>
  <c r="E11398" i="1"/>
  <c r="D11398" i="1"/>
  <c r="C11398" i="1"/>
  <c r="B11398" i="1"/>
  <c r="G11397" i="1"/>
  <c r="F11397" i="1"/>
  <c r="E11397" i="1"/>
  <c r="D11397" i="1"/>
  <c r="C11397" i="1"/>
  <c r="B11397" i="1"/>
  <c r="G11396" i="1"/>
  <c r="F11396" i="1"/>
  <c r="E11396" i="1"/>
  <c r="D11396" i="1"/>
  <c r="C11396" i="1"/>
  <c r="B11396" i="1"/>
  <c r="G11395" i="1"/>
  <c r="F11395" i="1"/>
  <c r="E11395" i="1"/>
  <c r="D11395" i="1"/>
  <c r="C11395" i="1"/>
  <c r="B11395" i="1"/>
  <c r="G11394" i="1"/>
  <c r="F11394" i="1"/>
  <c r="E11394" i="1"/>
  <c r="D11394" i="1"/>
  <c r="C11394" i="1"/>
  <c r="B11394" i="1"/>
  <c r="G11393" i="1"/>
  <c r="F11393" i="1"/>
  <c r="E11393" i="1"/>
  <c r="D11393" i="1"/>
  <c r="C11393" i="1"/>
  <c r="B11393" i="1"/>
  <c r="G11392" i="1"/>
  <c r="F11392" i="1"/>
  <c r="E11392" i="1"/>
  <c r="D11392" i="1"/>
  <c r="C11392" i="1"/>
  <c r="B11392" i="1"/>
  <c r="G11391" i="1"/>
  <c r="F11391" i="1"/>
  <c r="E11391" i="1"/>
  <c r="D11391" i="1"/>
  <c r="C11391" i="1"/>
  <c r="B11391" i="1"/>
  <c r="G11390" i="1"/>
  <c r="F11390" i="1"/>
  <c r="E11390" i="1"/>
  <c r="D11390" i="1"/>
  <c r="C11390" i="1"/>
  <c r="B11390" i="1"/>
  <c r="G11389" i="1"/>
  <c r="F11389" i="1"/>
  <c r="E11389" i="1"/>
  <c r="D11389" i="1"/>
  <c r="C11389" i="1"/>
  <c r="B11389" i="1"/>
  <c r="G11388" i="1"/>
  <c r="F11388" i="1"/>
  <c r="E11388" i="1"/>
  <c r="D11388" i="1"/>
  <c r="C11388" i="1"/>
  <c r="B11388" i="1"/>
  <c r="G11387" i="1"/>
  <c r="F11387" i="1"/>
  <c r="E11387" i="1"/>
  <c r="D11387" i="1"/>
  <c r="C11387" i="1"/>
  <c r="B11387" i="1"/>
  <c r="G11386" i="1"/>
  <c r="F11386" i="1"/>
  <c r="E11386" i="1"/>
  <c r="D11386" i="1"/>
  <c r="C11386" i="1"/>
  <c r="B11386" i="1"/>
  <c r="G11385" i="1"/>
  <c r="F11385" i="1"/>
  <c r="E11385" i="1"/>
  <c r="D11385" i="1"/>
  <c r="C11385" i="1"/>
  <c r="B11385" i="1"/>
  <c r="G11384" i="1"/>
  <c r="F11384" i="1"/>
  <c r="E11384" i="1"/>
  <c r="D11384" i="1"/>
  <c r="C11384" i="1"/>
  <c r="B11384" i="1"/>
  <c r="G11383" i="1"/>
  <c r="F11383" i="1"/>
  <c r="E11383" i="1"/>
  <c r="D11383" i="1"/>
  <c r="C11383" i="1"/>
  <c r="B11383" i="1"/>
  <c r="G11382" i="1"/>
  <c r="F11382" i="1"/>
  <c r="E11382" i="1"/>
  <c r="D11382" i="1"/>
  <c r="C11382" i="1"/>
  <c r="B11382" i="1"/>
  <c r="G11381" i="1"/>
  <c r="F11381" i="1"/>
  <c r="E11381" i="1"/>
  <c r="D11381" i="1"/>
  <c r="C11381" i="1"/>
  <c r="B11381" i="1"/>
  <c r="G11380" i="1"/>
  <c r="F11380" i="1"/>
  <c r="E11380" i="1"/>
  <c r="D11380" i="1"/>
  <c r="C11380" i="1"/>
  <c r="B11380" i="1"/>
  <c r="G11379" i="1"/>
  <c r="F11379" i="1"/>
  <c r="E11379" i="1"/>
  <c r="D11379" i="1"/>
  <c r="C11379" i="1"/>
  <c r="B11379" i="1"/>
  <c r="G11378" i="1"/>
  <c r="F11378" i="1"/>
  <c r="E11378" i="1"/>
  <c r="D11378" i="1"/>
  <c r="C11378" i="1"/>
  <c r="B11378" i="1"/>
  <c r="G11377" i="1"/>
  <c r="F11377" i="1"/>
  <c r="E11377" i="1"/>
  <c r="D11377" i="1"/>
  <c r="C11377" i="1"/>
  <c r="B11377" i="1"/>
  <c r="G11376" i="1"/>
  <c r="F11376" i="1"/>
  <c r="E11376" i="1"/>
  <c r="D11376" i="1"/>
  <c r="C11376" i="1"/>
  <c r="B11376" i="1"/>
  <c r="G11375" i="1"/>
  <c r="F11375" i="1"/>
  <c r="E11375" i="1"/>
  <c r="D11375" i="1"/>
  <c r="C11375" i="1"/>
  <c r="B11375" i="1"/>
  <c r="G11374" i="1"/>
  <c r="F11374" i="1"/>
  <c r="E11374" i="1"/>
  <c r="D11374" i="1"/>
  <c r="C11374" i="1"/>
  <c r="B11374" i="1"/>
  <c r="G11373" i="1"/>
  <c r="F11373" i="1"/>
  <c r="E11373" i="1"/>
  <c r="D11373" i="1"/>
  <c r="C11373" i="1"/>
  <c r="B11373" i="1"/>
  <c r="G11372" i="1"/>
  <c r="F11372" i="1"/>
  <c r="E11372" i="1"/>
  <c r="D11372" i="1"/>
  <c r="C11372" i="1"/>
  <c r="B11372" i="1"/>
  <c r="G11371" i="1"/>
  <c r="F11371" i="1"/>
  <c r="E11371" i="1"/>
  <c r="D11371" i="1"/>
  <c r="C11371" i="1"/>
  <c r="B11371" i="1"/>
  <c r="G11370" i="1"/>
  <c r="F11370" i="1"/>
  <c r="E11370" i="1"/>
  <c r="D11370" i="1"/>
  <c r="C11370" i="1"/>
  <c r="B11370" i="1"/>
  <c r="G11369" i="1"/>
  <c r="F11369" i="1"/>
  <c r="E11369" i="1"/>
  <c r="D11369" i="1"/>
  <c r="C11369" i="1"/>
  <c r="B11369" i="1"/>
  <c r="G11368" i="1"/>
  <c r="F11368" i="1"/>
  <c r="E11368" i="1"/>
  <c r="D11368" i="1"/>
  <c r="C11368" i="1"/>
  <c r="B11368" i="1"/>
  <c r="G11367" i="1"/>
  <c r="F11367" i="1"/>
  <c r="E11367" i="1"/>
  <c r="D11367" i="1"/>
  <c r="C11367" i="1"/>
  <c r="B11367" i="1"/>
  <c r="G11366" i="1"/>
  <c r="F11366" i="1"/>
  <c r="E11366" i="1"/>
  <c r="D11366" i="1"/>
  <c r="C11366" i="1"/>
  <c r="B11366" i="1"/>
  <c r="G11365" i="1"/>
  <c r="F11365" i="1"/>
  <c r="E11365" i="1"/>
  <c r="D11365" i="1"/>
  <c r="C11365" i="1"/>
  <c r="B11365" i="1"/>
  <c r="G11364" i="1"/>
  <c r="F11364" i="1"/>
  <c r="E11364" i="1"/>
  <c r="D11364" i="1"/>
  <c r="C11364" i="1"/>
  <c r="B11364" i="1"/>
  <c r="G11363" i="1"/>
  <c r="F11363" i="1"/>
  <c r="E11363" i="1"/>
  <c r="D11363" i="1"/>
  <c r="C11363" i="1"/>
  <c r="B11363" i="1"/>
  <c r="G11362" i="1"/>
  <c r="F11362" i="1"/>
  <c r="E11362" i="1"/>
  <c r="D11362" i="1"/>
  <c r="C11362" i="1"/>
  <c r="B11362" i="1"/>
  <c r="G11361" i="1"/>
  <c r="F11361" i="1"/>
  <c r="E11361" i="1"/>
  <c r="D11361" i="1"/>
  <c r="C11361" i="1"/>
  <c r="B11361" i="1"/>
  <c r="G11360" i="1"/>
  <c r="F11360" i="1"/>
  <c r="E11360" i="1"/>
  <c r="D11360" i="1"/>
  <c r="C11360" i="1"/>
  <c r="B11360" i="1"/>
  <c r="G11359" i="1"/>
  <c r="F11359" i="1"/>
  <c r="E11359" i="1"/>
  <c r="D11359" i="1"/>
  <c r="C11359" i="1"/>
  <c r="B11359" i="1"/>
  <c r="G11358" i="1"/>
  <c r="F11358" i="1"/>
  <c r="E11358" i="1"/>
  <c r="D11358" i="1"/>
  <c r="C11358" i="1"/>
  <c r="B11358" i="1"/>
  <c r="G11357" i="1"/>
  <c r="F11357" i="1"/>
  <c r="E11357" i="1"/>
  <c r="D11357" i="1"/>
  <c r="C11357" i="1"/>
  <c r="B11357" i="1"/>
  <c r="G11356" i="1"/>
  <c r="F11356" i="1"/>
  <c r="E11356" i="1"/>
  <c r="D11356" i="1"/>
  <c r="C11356" i="1"/>
  <c r="B11356" i="1"/>
  <c r="G11355" i="1"/>
  <c r="F11355" i="1"/>
  <c r="E11355" i="1"/>
  <c r="D11355" i="1"/>
  <c r="C11355" i="1"/>
  <c r="B11355" i="1"/>
  <c r="G11354" i="1"/>
  <c r="F11354" i="1"/>
  <c r="E11354" i="1"/>
  <c r="D11354" i="1"/>
  <c r="C11354" i="1"/>
  <c r="B11354" i="1"/>
  <c r="G11353" i="1"/>
  <c r="F11353" i="1"/>
  <c r="E11353" i="1"/>
  <c r="D11353" i="1"/>
  <c r="C11353" i="1"/>
  <c r="B11353" i="1"/>
  <c r="G11352" i="1"/>
  <c r="F11352" i="1"/>
  <c r="E11352" i="1"/>
  <c r="D11352" i="1"/>
  <c r="C11352" i="1"/>
  <c r="B11352" i="1"/>
  <c r="G11351" i="1"/>
  <c r="F11351" i="1"/>
  <c r="E11351" i="1"/>
  <c r="D11351" i="1"/>
  <c r="C11351" i="1"/>
  <c r="B11351" i="1"/>
  <c r="G11350" i="1"/>
  <c r="F11350" i="1"/>
  <c r="E11350" i="1"/>
  <c r="D11350" i="1"/>
  <c r="C11350" i="1"/>
  <c r="B11350" i="1"/>
  <c r="G11349" i="1"/>
  <c r="F11349" i="1"/>
  <c r="E11349" i="1"/>
  <c r="D11349" i="1"/>
  <c r="C11349" i="1"/>
  <c r="B11349" i="1"/>
  <c r="G11348" i="1"/>
  <c r="F11348" i="1"/>
  <c r="E11348" i="1"/>
  <c r="D11348" i="1"/>
  <c r="C11348" i="1"/>
  <c r="B11348" i="1"/>
  <c r="G11347" i="1"/>
  <c r="F11347" i="1"/>
  <c r="E11347" i="1"/>
  <c r="D11347" i="1"/>
  <c r="C11347" i="1"/>
  <c r="B11347" i="1"/>
  <c r="G11346" i="1"/>
  <c r="F11346" i="1"/>
  <c r="E11346" i="1"/>
  <c r="D11346" i="1"/>
  <c r="C11346" i="1"/>
  <c r="B11346" i="1"/>
  <c r="G11345" i="1"/>
  <c r="F11345" i="1"/>
  <c r="E11345" i="1"/>
  <c r="D11345" i="1"/>
  <c r="C11345" i="1"/>
  <c r="B11345" i="1"/>
  <c r="G11344" i="1"/>
  <c r="F11344" i="1"/>
  <c r="E11344" i="1"/>
  <c r="D11344" i="1"/>
  <c r="C11344" i="1"/>
  <c r="B11344" i="1"/>
  <c r="G11343" i="1"/>
  <c r="F11343" i="1"/>
  <c r="E11343" i="1"/>
  <c r="D11343" i="1"/>
  <c r="C11343" i="1"/>
  <c r="B11343" i="1"/>
  <c r="G11342" i="1"/>
  <c r="F11342" i="1"/>
  <c r="E11342" i="1"/>
  <c r="D11342" i="1"/>
  <c r="C11342" i="1"/>
  <c r="B11342" i="1"/>
  <c r="G11341" i="1"/>
  <c r="F11341" i="1"/>
  <c r="E11341" i="1"/>
  <c r="D11341" i="1"/>
  <c r="C11341" i="1"/>
  <c r="B11341" i="1"/>
  <c r="G11340" i="1"/>
  <c r="F11340" i="1"/>
  <c r="E11340" i="1"/>
  <c r="D11340" i="1"/>
  <c r="C11340" i="1"/>
  <c r="B11340" i="1"/>
  <c r="G11339" i="1"/>
  <c r="F11339" i="1"/>
  <c r="E11339" i="1"/>
  <c r="D11339" i="1"/>
  <c r="C11339" i="1"/>
  <c r="B11339" i="1"/>
  <c r="G11338" i="1"/>
  <c r="F11338" i="1"/>
  <c r="E11338" i="1"/>
  <c r="D11338" i="1"/>
  <c r="C11338" i="1"/>
  <c r="B11338" i="1"/>
  <c r="G11337" i="1"/>
  <c r="F11337" i="1"/>
  <c r="E11337" i="1"/>
  <c r="D11337" i="1"/>
  <c r="C11337" i="1"/>
  <c r="B11337" i="1"/>
  <c r="G11336" i="1"/>
  <c r="F11336" i="1"/>
  <c r="E11336" i="1"/>
  <c r="D11336" i="1"/>
  <c r="C11336" i="1"/>
  <c r="B11336" i="1"/>
  <c r="G11335" i="1"/>
  <c r="F11335" i="1"/>
  <c r="E11335" i="1"/>
  <c r="D11335" i="1"/>
  <c r="C11335" i="1"/>
  <c r="B11335" i="1"/>
  <c r="G11334" i="1"/>
  <c r="F11334" i="1"/>
  <c r="E11334" i="1"/>
  <c r="D11334" i="1"/>
  <c r="C11334" i="1"/>
  <c r="B11334" i="1"/>
  <c r="G11333" i="1"/>
  <c r="F11333" i="1"/>
  <c r="E11333" i="1"/>
  <c r="D11333" i="1"/>
  <c r="C11333" i="1"/>
  <c r="B11333" i="1"/>
  <c r="G11332" i="1"/>
  <c r="F11332" i="1"/>
  <c r="E11332" i="1"/>
  <c r="D11332" i="1"/>
  <c r="C11332" i="1"/>
  <c r="B11332" i="1"/>
  <c r="G11331" i="1"/>
  <c r="F11331" i="1"/>
  <c r="E11331" i="1"/>
  <c r="D11331" i="1"/>
  <c r="C11331" i="1"/>
  <c r="B11331" i="1"/>
  <c r="G11330" i="1"/>
  <c r="F11330" i="1"/>
  <c r="E11330" i="1"/>
  <c r="D11330" i="1"/>
  <c r="C11330" i="1"/>
  <c r="B11330" i="1"/>
  <c r="G11329" i="1"/>
  <c r="F11329" i="1"/>
  <c r="E11329" i="1"/>
  <c r="D11329" i="1"/>
  <c r="C11329" i="1"/>
  <c r="B11329" i="1"/>
  <c r="G11328" i="1"/>
  <c r="F11328" i="1"/>
  <c r="E11328" i="1"/>
  <c r="D11328" i="1"/>
  <c r="C11328" i="1"/>
  <c r="B11328" i="1"/>
  <c r="G11327" i="1"/>
  <c r="F11327" i="1"/>
  <c r="E11327" i="1"/>
  <c r="D11327" i="1"/>
  <c r="C11327" i="1"/>
  <c r="B11327" i="1"/>
  <c r="G11326" i="1"/>
  <c r="F11326" i="1"/>
  <c r="E11326" i="1"/>
  <c r="D11326" i="1"/>
  <c r="C11326" i="1"/>
  <c r="B11326" i="1"/>
  <c r="G11325" i="1"/>
  <c r="F11325" i="1"/>
  <c r="E11325" i="1"/>
  <c r="D11325" i="1"/>
  <c r="C11325" i="1"/>
  <c r="B11325" i="1"/>
  <c r="G11324" i="1"/>
  <c r="F11324" i="1"/>
  <c r="E11324" i="1"/>
  <c r="D11324" i="1"/>
  <c r="C11324" i="1"/>
  <c r="B11324" i="1"/>
  <c r="G11323" i="1"/>
  <c r="F11323" i="1"/>
  <c r="E11323" i="1"/>
  <c r="D11323" i="1"/>
  <c r="C11323" i="1"/>
  <c r="B11323" i="1"/>
  <c r="G11322" i="1"/>
  <c r="F11322" i="1"/>
  <c r="E11322" i="1"/>
  <c r="D11322" i="1"/>
  <c r="C11322" i="1"/>
  <c r="B11322" i="1"/>
  <c r="G11321" i="1"/>
  <c r="F11321" i="1"/>
  <c r="E11321" i="1"/>
  <c r="D11321" i="1"/>
  <c r="C11321" i="1"/>
  <c r="B11321" i="1"/>
  <c r="G11320" i="1"/>
  <c r="F11320" i="1"/>
  <c r="E11320" i="1"/>
  <c r="D11320" i="1"/>
  <c r="C11320" i="1"/>
  <c r="B11320" i="1"/>
  <c r="G11319" i="1"/>
  <c r="F11319" i="1"/>
  <c r="E11319" i="1"/>
  <c r="D11319" i="1"/>
  <c r="C11319" i="1"/>
  <c r="B11319" i="1"/>
  <c r="G11318" i="1"/>
  <c r="F11318" i="1"/>
  <c r="E11318" i="1"/>
  <c r="D11318" i="1"/>
  <c r="C11318" i="1"/>
  <c r="B11318" i="1"/>
  <c r="G11317" i="1"/>
  <c r="F11317" i="1"/>
  <c r="E11317" i="1"/>
  <c r="D11317" i="1"/>
  <c r="C11317" i="1"/>
  <c r="B11317" i="1"/>
  <c r="G11316" i="1"/>
  <c r="F11316" i="1"/>
  <c r="E11316" i="1"/>
  <c r="D11316" i="1"/>
  <c r="C11316" i="1"/>
  <c r="B11316" i="1"/>
  <c r="G11315" i="1"/>
  <c r="F11315" i="1"/>
  <c r="E11315" i="1"/>
  <c r="D11315" i="1"/>
  <c r="C11315" i="1"/>
  <c r="B11315" i="1"/>
  <c r="G11314" i="1"/>
  <c r="F11314" i="1"/>
  <c r="E11314" i="1"/>
  <c r="D11314" i="1"/>
  <c r="C11314" i="1"/>
  <c r="B11314" i="1"/>
  <c r="G11313" i="1"/>
  <c r="F11313" i="1"/>
  <c r="E11313" i="1"/>
  <c r="D11313" i="1"/>
  <c r="C11313" i="1"/>
  <c r="B11313" i="1"/>
  <c r="G11312" i="1"/>
  <c r="F11312" i="1"/>
  <c r="E11312" i="1"/>
  <c r="D11312" i="1"/>
  <c r="C11312" i="1"/>
  <c r="B11312" i="1"/>
  <c r="G11311" i="1"/>
  <c r="F11311" i="1"/>
  <c r="E11311" i="1"/>
  <c r="D11311" i="1"/>
  <c r="C11311" i="1"/>
  <c r="B11311" i="1"/>
  <c r="G11310" i="1"/>
  <c r="F11310" i="1"/>
  <c r="E11310" i="1"/>
  <c r="D11310" i="1"/>
  <c r="C11310" i="1"/>
  <c r="B11310" i="1"/>
  <c r="G11309" i="1"/>
  <c r="F11309" i="1"/>
  <c r="E11309" i="1"/>
  <c r="D11309" i="1"/>
  <c r="C11309" i="1"/>
  <c r="B11309" i="1"/>
  <c r="G11308" i="1"/>
  <c r="F11308" i="1"/>
  <c r="E11308" i="1"/>
  <c r="D11308" i="1"/>
  <c r="C11308" i="1"/>
  <c r="B11308" i="1"/>
  <c r="G11307" i="1"/>
  <c r="F11307" i="1"/>
  <c r="E11307" i="1"/>
  <c r="D11307" i="1"/>
  <c r="C11307" i="1"/>
  <c r="B11307" i="1"/>
  <c r="G11306" i="1"/>
  <c r="F11306" i="1"/>
  <c r="E11306" i="1"/>
  <c r="D11306" i="1"/>
  <c r="C11306" i="1"/>
  <c r="B11306" i="1"/>
  <c r="G11305" i="1"/>
  <c r="F11305" i="1"/>
  <c r="E11305" i="1"/>
  <c r="D11305" i="1"/>
  <c r="C11305" i="1"/>
  <c r="B11305" i="1"/>
  <c r="G11304" i="1"/>
  <c r="F11304" i="1"/>
  <c r="E11304" i="1"/>
  <c r="D11304" i="1"/>
  <c r="C11304" i="1"/>
  <c r="B11304" i="1"/>
  <c r="G11303" i="1"/>
  <c r="F11303" i="1"/>
  <c r="E11303" i="1"/>
  <c r="D11303" i="1"/>
  <c r="C11303" i="1"/>
  <c r="B11303" i="1"/>
  <c r="G11302" i="1"/>
  <c r="F11302" i="1"/>
  <c r="E11302" i="1"/>
  <c r="D11302" i="1"/>
  <c r="C11302" i="1"/>
  <c r="B11302" i="1"/>
  <c r="G11301" i="1"/>
  <c r="F11301" i="1"/>
  <c r="E11301" i="1"/>
  <c r="D11301" i="1"/>
  <c r="C11301" i="1"/>
  <c r="B11301" i="1"/>
  <c r="G11300" i="1"/>
  <c r="F11300" i="1"/>
  <c r="E11300" i="1"/>
  <c r="D11300" i="1"/>
  <c r="C11300" i="1"/>
  <c r="B11300" i="1"/>
  <c r="G11299" i="1"/>
  <c r="F11299" i="1"/>
  <c r="E11299" i="1"/>
  <c r="D11299" i="1"/>
  <c r="C11299" i="1"/>
  <c r="B11299" i="1"/>
  <c r="G11298" i="1"/>
  <c r="F11298" i="1"/>
  <c r="E11298" i="1"/>
  <c r="D11298" i="1"/>
  <c r="C11298" i="1"/>
  <c r="B11298" i="1"/>
  <c r="G11297" i="1"/>
  <c r="F11297" i="1"/>
  <c r="E11297" i="1"/>
  <c r="D11297" i="1"/>
  <c r="C11297" i="1"/>
  <c r="B11297" i="1"/>
  <c r="G11296" i="1"/>
  <c r="F11296" i="1"/>
  <c r="E11296" i="1"/>
  <c r="D11296" i="1"/>
  <c r="C11296" i="1"/>
  <c r="B11296" i="1"/>
  <c r="G11295" i="1"/>
  <c r="F11295" i="1"/>
  <c r="E11295" i="1"/>
  <c r="D11295" i="1"/>
  <c r="C11295" i="1"/>
  <c r="B11295" i="1"/>
  <c r="G11294" i="1"/>
  <c r="F11294" i="1"/>
  <c r="E11294" i="1"/>
  <c r="D11294" i="1"/>
  <c r="C11294" i="1"/>
  <c r="B11294" i="1"/>
  <c r="G11293" i="1"/>
  <c r="F11293" i="1"/>
  <c r="E11293" i="1"/>
  <c r="D11293" i="1"/>
  <c r="C11293" i="1"/>
  <c r="B11293" i="1"/>
  <c r="G11292" i="1"/>
  <c r="F11292" i="1"/>
  <c r="E11292" i="1"/>
  <c r="D11292" i="1"/>
  <c r="C11292" i="1"/>
  <c r="B11292" i="1"/>
  <c r="G11291" i="1"/>
  <c r="F11291" i="1"/>
  <c r="E11291" i="1"/>
  <c r="D11291" i="1"/>
  <c r="C11291" i="1"/>
  <c r="B11291" i="1"/>
  <c r="G11290" i="1"/>
  <c r="F11290" i="1"/>
  <c r="E11290" i="1"/>
  <c r="D11290" i="1"/>
  <c r="C11290" i="1"/>
  <c r="B11290" i="1"/>
  <c r="G11289" i="1"/>
  <c r="F11289" i="1"/>
  <c r="E11289" i="1"/>
  <c r="D11289" i="1"/>
  <c r="C11289" i="1"/>
  <c r="B11289" i="1"/>
  <c r="G11288" i="1"/>
  <c r="F11288" i="1"/>
  <c r="E11288" i="1"/>
  <c r="D11288" i="1"/>
  <c r="C11288" i="1"/>
  <c r="B11288" i="1"/>
  <c r="G11287" i="1"/>
  <c r="F11287" i="1"/>
  <c r="E11287" i="1"/>
  <c r="D11287" i="1"/>
  <c r="C11287" i="1"/>
  <c r="B11287" i="1"/>
  <c r="G11286" i="1"/>
  <c r="F11286" i="1"/>
  <c r="E11286" i="1"/>
  <c r="D11286" i="1"/>
  <c r="C11286" i="1"/>
  <c r="B11286" i="1"/>
  <c r="G11285" i="1"/>
  <c r="F11285" i="1"/>
  <c r="E11285" i="1"/>
  <c r="D11285" i="1"/>
  <c r="C11285" i="1"/>
  <c r="B11285" i="1"/>
  <c r="G11284" i="1"/>
  <c r="F11284" i="1"/>
  <c r="E11284" i="1"/>
  <c r="D11284" i="1"/>
  <c r="C11284" i="1"/>
  <c r="B11284" i="1"/>
  <c r="G11283" i="1"/>
  <c r="F11283" i="1"/>
  <c r="E11283" i="1"/>
  <c r="D11283" i="1"/>
  <c r="C11283" i="1"/>
  <c r="B11283" i="1"/>
  <c r="G11282" i="1"/>
  <c r="F11282" i="1"/>
  <c r="E11282" i="1"/>
  <c r="D11282" i="1"/>
  <c r="C11282" i="1"/>
  <c r="B11282" i="1"/>
  <c r="G11281" i="1"/>
  <c r="F11281" i="1"/>
  <c r="E11281" i="1"/>
  <c r="D11281" i="1"/>
  <c r="C11281" i="1"/>
  <c r="B11281" i="1"/>
  <c r="G11280" i="1"/>
  <c r="F11280" i="1"/>
  <c r="E11280" i="1"/>
  <c r="D11280" i="1"/>
  <c r="C11280" i="1"/>
  <c r="B11280" i="1"/>
  <c r="G11279" i="1"/>
  <c r="F11279" i="1"/>
  <c r="E11279" i="1"/>
  <c r="D11279" i="1"/>
  <c r="C11279" i="1"/>
  <c r="B11279" i="1"/>
  <c r="G11278" i="1"/>
  <c r="F11278" i="1"/>
  <c r="E11278" i="1"/>
  <c r="D11278" i="1"/>
  <c r="C11278" i="1"/>
  <c r="B11278" i="1"/>
  <c r="G11277" i="1"/>
  <c r="F11277" i="1"/>
  <c r="E11277" i="1"/>
  <c r="D11277" i="1"/>
  <c r="C11277" i="1"/>
  <c r="B11277" i="1"/>
  <c r="G11276" i="1"/>
  <c r="F11276" i="1"/>
  <c r="E11276" i="1"/>
  <c r="D11276" i="1"/>
  <c r="C11276" i="1"/>
  <c r="B11276" i="1"/>
  <c r="G11275" i="1"/>
  <c r="F11275" i="1"/>
  <c r="E11275" i="1"/>
  <c r="D11275" i="1"/>
  <c r="C11275" i="1"/>
  <c r="B11275" i="1"/>
  <c r="G11274" i="1"/>
  <c r="F11274" i="1"/>
  <c r="E11274" i="1"/>
  <c r="D11274" i="1"/>
  <c r="C11274" i="1"/>
  <c r="B11274" i="1"/>
  <c r="G11273" i="1"/>
  <c r="F11273" i="1"/>
  <c r="E11273" i="1"/>
  <c r="D11273" i="1"/>
  <c r="C11273" i="1"/>
  <c r="B11273" i="1"/>
  <c r="G11272" i="1"/>
  <c r="F11272" i="1"/>
  <c r="E11272" i="1"/>
  <c r="D11272" i="1"/>
  <c r="C11272" i="1"/>
  <c r="B11272" i="1"/>
  <c r="G11271" i="1"/>
  <c r="F11271" i="1"/>
  <c r="E11271" i="1"/>
  <c r="D11271" i="1"/>
  <c r="C11271" i="1"/>
  <c r="B11271" i="1"/>
  <c r="G11270" i="1"/>
  <c r="F11270" i="1"/>
  <c r="E11270" i="1"/>
  <c r="D11270" i="1"/>
  <c r="C11270" i="1"/>
  <c r="B11270" i="1"/>
  <c r="G11269" i="1"/>
  <c r="F11269" i="1"/>
  <c r="E11269" i="1"/>
  <c r="D11269" i="1"/>
  <c r="C11269" i="1"/>
  <c r="B11269" i="1"/>
  <c r="G11268" i="1"/>
  <c r="F11268" i="1"/>
  <c r="E11268" i="1"/>
  <c r="D11268" i="1"/>
  <c r="C11268" i="1"/>
  <c r="B11268" i="1"/>
  <c r="G11267" i="1"/>
  <c r="F11267" i="1"/>
  <c r="E11267" i="1"/>
  <c r="D11267" i="1"/>
  <c r="C11267" i="1"/>
  <c r="B11267" i="1"/>
  <c r="G11266" i="1"/>
  <c r="F11266" i="1"/>
  <c r="E11266" i="1"/>
  <c r="D11266" i="1"/>
  <c r="C11266" i="1"/>
  <c r="B11266" i="1"/>
  <c r="G11265" i="1"/>
  <c r="F11265" i="1"/>
  <c r="E11265" i="1"/>
  <c r="D11265" i="1"/>
  <c r="C11265" i="1"/>
  <c r="B11265" i="1"/>
  <c r="G11264" i="1"/>
  <c r="F11264" i="1"/>
  <c r="E11264" i="1"/>
  <c r="D11264" i="1"/>
  <c r="C11264" i="1"/>
  <c r="B11264" i="1"/>
  <c r="G11263" i="1"/>
  <c r="F11263" i="1"/>
  <c r="E11263" i="1"/>
  <c r="D11263" i="1"/>
  <c r="C11263" i="1"/>
  <c r="B11263" i="1"/>
  <c r="G11262" i="1"/>
  <c r="F11262" i="1"/>
  <c r="E11262" i="1"/>
  <c r="D11262" i="1"/>
  <c r="C11262" i="1"/>
  <c r="B11262" i="1"/>
  <c r="G11261" i="1"/>
  <c r="F11261" i="1"/>
  <c r="E11261" i="1"/>
  <c r="D11261" i="1"/>
  <c r="C11261" i="1"/>
  <c r="B11261" i="1"/>
  <c r="G11260" i="1"/>
  <c r="F11260" i="1"/>
  <c r="E11260" i="1"/>
  <c r="D11260" i="1"/>
  <c r="C11260" i="1"/>
  <c r="B11260" i="1"/>
  <c r="G11259" i="1"/>
  <c r="F11259" i="1"/>
  <c r="E11259" i="1"/>
  <c r="D11259" i="1"/>
  <c r="C11259" i="1"/>
  <c r="B11259" i="1"/>
  <c r="G11258" i="1"/>
  <c r="F11258" i="1"/>
  <c r="E11258" i="1"/>
  <c r="D11258" i="1"/>
  <c r="C11258" i="1"/>
  <c r="B11258" i="1"/>
  <c r="G11257" i="1"/>
  <c r="F11257" i="1"/>
  <c r="E11257" i="1"/>
  <c r="D11257" i="1"/>
  <c r="C11257" i="1"/>
  <c r="B11257" i="1"/>
  <c r="G11256" i="1"/>
  <c r="F11256" i="1"/>
  <c r="E11256" i="1"/>
  <c r="D11256" i="1"/>
  <c r="C11256" i="1"/>
  <c r="B11256" i="1"/>
  <c r="G11255" i="1"/>
  <c r="F11255" i="1"/>
  <c r="E11255" i="1"/>
  <c r="D11255" i="1"/>
  <c r="C11255" i="1"/>
  <c r="B11255" i="1"/>
  <c r="G11254" i="1"/>
  <c r="F11254" i="1"/>
  <c r="E11254" i="1"/>
  <c r="D11254" i="1"/>
  <c r="C11254" i="1"/>
  <c r="B11254" i="1"/>
  <c r="G11253" i="1"/>
  <c r="F11253" i="1"/>
  <c r="E11253" i="1"/>
  <c r="D11253" i="1"/>
  <c r="C11253" i="1"/>
  <c r="B11253" i="1"/>
  <c r="G11252" i="1"/>
  <c r="F11252" i="1"/>
  <c r="E11252" i="1"/>
  <c r="D11252" i="1"/>
  <c r="C11252" i="1"/>
  <c r="B11252" i="1"/>
  <c r="G11251" i="1"/>
  <c r="F11251" i="1"/>
  <c r="E11251" i="1"/>
  <c r="D11251" i="1"/>
  <c r="C11251" i="1"/>
  <c r="B11251" i="1"/>
  <c r="G11250" i="1"/>
  <c r="F11250" i="1"/>
  <c r="E11250" i="1"/>
  <c r="D11250" i="1"/>
  <c r="C11250" i="1"/>
  <c r="B11250" i="1"/>
  <c r="G11249" i="1"/>
  <c r="F11249" i="1"/>
  <c r="E11249" i="1"/>
  <c r="D11249" i="1"/>
  <c r="C11249" i="1"/>
  <c r="B11249" i="1"/>
  <c r="G11248" i="1"/>
  <c r="F11248" i="1"/>
  <c r="E11248" i="1"/>
  <c r="D11248" i="1"/>
  <c r="C11248" i="1"/>
  <c r="B11248" i="1"/>
  <c r="G11247" i="1"/>
  <c r="F11247" i="1"/>
  <c r="E11247" i="1"/>
  <c r="D11247" i="1"/>
  <c r="C11247" i="1"/>
  <c r="B11247" i="1"/>
  <c r="G11246" i="1"/>
  <c r="F11246" i="1"/>
  <c r="E11246" i="1"/>
  <c r="D11246" i="1"/>
  <c r="C11246" i="1"/>
  <c r="B11246" i="1"/>
  <c r="G11245" i="1"/>
  <c r="F11245" i="1"/>
  <c r="E11245" i="1"/>
  <c r="D11245" i="1"/>
  <c r="C11245" i="1"/>
  <c r="B11245" i="1"/>
  <c r="G11244" i="1"/>
  <c r="F11244" i="1"/>
  <c r="E11244" i="1"/>
  <c r="D11244" i="1"/>
  <c r="C11244" i="1"/>
  <c r="B11244" i="1"/>
  <c r="G11243" i="1"/>
  <c r="F11243" i="1"/>
  <c r="E11243" i="1"/>
  <c r="D11243" i="1"/>
  <c r="C11243" i="1"/>
  <c r="B11243" i="1"/>
  <c r="G11242" i="1"/>
  <c r="F11242" i="1"/>
  <c r="E11242" i="1"/>
  <c r="D11242" i="1"/>
  <c r="C11242" i="1"/>
  <c r="B11242" i="1"/>
  <c r="G11241" i="1"/>
  <c r="F11241" i="1"/>
  <c r="E11241" i="1"/>
  <c r="D11241" i="1"/>
  <c r="C11241" i="1"/>
  <c r="B11241" i="1"/>
  <c r="G11240" i="1"/>
  <c r="F11240" i="1"/>
  <c r="E11240" i="1"/>
  <c r="D11240" i="1"/>
  <c r="C11240" i="1"/>
  <c r="B11240" i="1"/>
  <c r="G11239" i="1"/>
  <c r="F11239" i="1"/>
  <c r="E11239" i="1"/>
  <c r="D11239" i="1"/>
  <c r="C11239" i="1"/>
  <c r="B11239" i="1"/>
  <c r="G11238" i="1"/>
  <c r="F11238" i="1"/>
  <c r="E11238" i="1"/>
  <c r="D11238" i="1"/>
  <c r="C11238" i="1"/>
  <c r="B11238" i="1"/>
  <c r="G11237" i="1"/>
  <c r="F11237" i="1"/>
  <c r="E11237" i="1"/>
  <c r="D11237" i="1"/>
  <c r="C11237" i="1"/>
  <c r="B11237" i="1"/>
  <c r="G11236" i="1"/>
  <c r="F11236" i="1"/>
  <c r="E11236" i="1"/>
  <c r="D11236" i="1"/>
  <c r="C11236" i="1"/>
  <c r="B11236" i="1"/>
  <c r="G11235" i="1"/>
  <c r="F11235" i="1"/>
  <c r="E11235" i="1"/>
  <c r="D11235" i="1"/>
  <c r="C11235" i="1"/>
  <c r="B11235" i="1"/>
  <c r="G11234" i="1"/>
  <c r="F11234" i="1"/>
  <c r="E11234" i="1"/>
  <c r="D11234" i="1"/>
  <c r="C11234" i="1"/>
  <c r="B11234" i="1"/>
  <c r="G11233" i="1"/>
  <c r="F11233" i="1"/>
  <c r="E11233" i="1"/>
  <c r="D11233" i="1"/>
  <c r="C11233" i="1"/>
  <c r="B11233" i="1"/>
  <c r="G11232" i="1"/>
  <c r="F11232" i="1"/>
  <c r="E11232" i="1"/>
  <c r="D11232" i="1"/>
  <c r="C11232" i="1"/>
  <c r="B11232" i="1"/>
  <c r="G11231" i="1"/>
  <c r="F11231" i="1"/>
  <c r="E11231" i="1"/>
  <c r="D11231" i="1"/>
  <c r="C11231" i="1"/>
  <c r="B11231" i="1"/>
  <c r="G11230" i="1"/>
  <c r="F11230" i="1"/>
  <c r="E11230" i="1"/>
  <c r="D11230" i="1"/>
  <c r="C11230" i="1"/>
  <c r="B11230" i="1"/>
  <c r="G11229" i="1"/>
  <c r="F11229" i="1"/>
  <c r="E11229" i="1"/>
  <c r="D11229" i="1"/>
  <c r="C11229" i="1"/>
  <c r="B11229" i="1"/>
  <c r="G11228" i="1"/>
  <c r="F11228" i="1"/>
  <c r="E11228" i="1"/>
  <c r="D11228" i="1"/>
  <c r="C11228" i="1"/>
  <c r="B11228" i="1"/>
  <c r="G11227" i="1"/>
  <c r="F11227" i="1"/>
  <c r="E11227" i="1"/>
  <c r="D11227" i="1"/>
  <c r="C11227" i="1"/>
  <c r="B11227" i="1"/>
  <c r="G11226" i="1"/>
  <c r="F11226" i="1"/>
  <c r="E11226" i="1"/>
  <c r="D11226" i="1"/>
  <c r="C11226" i="1"/>
  <c r="B11226" i="1"/>
  <c r="G11225" i="1"/>
  <c r="F11225" i="1"/>
  <c r="E11225" i="1"/>
  <c r="D11225" i="1"/>
  <c r="C11225" i="1"/>
  <c r="B11225" i="1"/>
  <c r="G11224" i="1"/>
  <c r="D11224" i="1"/>
  <c r="C11224" i="1"/>
  <c r="B11224" i="1"/>
  <c r="G11223" i="1"/>
  <c r="F11223" i="1"/>
  <c r="E11223" i="1"/>
  <c r="D11223" i="1"/>
  <c r="C11223" i="1"/>
  <c r="B11223" i="1"/>
  <c r="G11222" i="1"/>
  <c r="F11222" i="1"/>
  <c r="E11222" i="1"/>
  <c r="D11222" i="1"/>
  <c r="C11222" i="1"/>
  <c r="B11222" i="1"/>
  <c r="G11221" i="1"/>
  <c r="F11221" i="1"/>
  <c r="E11221" i="1"/>
  <c r="D11221" i="1"/>
  <c r="C11221" i="1"/>
  <c r="B11221" i="1"/>
  <c r="G11220" i="1"/>
  <c r="F11220" i="1"/>
  <c r="E11220" i="1"/>
  <c r="D11220" i="1"/>
  <c r="C11220" i="1"/>
  <c r="B11220" i="1"/>
  <c r="G11219" i="1"/>
  <c r="F11219" i="1"/>
  <c r="E11219" i="1"/>
  <c r="D11219" i="1"/>
  <c r="C11219" i="1"/>
  <c r="B11219" i="1"/>
  <c r="G11218" i="1"/>
  <c r="F11218" i="1"/>
  <c r="E11218" i="1"/>
  <c r="D11218" i="1"/>
  <c r="C11218" i="1"/>
  <c r="B11218" i="1"/>
  <c r="G11217" i="1"/>
  <c r="F11217" i="1"/>
  <c r="E11217" i="1"/>
  <c r="D11217" i="1"/>
  <c r="C11217" i="1"/>
  <c r="B11217" i="1"/>
  <c r="G11216" i="1"/>
  <c r="F11216" i="1"/>
  <c r="E11216" i="1"/>
  <c r="D11216" i="1"/>
  <c r="C11216" i="1"/>
  <c r="B11216" i="1"/>
  <c r="G11215" i="1"/>
  <c r="F11215" i="1"/>
  <c r="E11215" i="1"/>
  <c r="D11215" i="1"/>
  <c r="C11215" i="1"/>
  <c r="B11215" i="1"/>
  <c r="G11214" i="1"/>
  <c r="F11214" i="1"/>
  <c r="E11214" i="1"/>
  <c r="D11214" i="1"/>
  <c r="C11214" i="1"/>
  <c r="B11214" i="1"/>
  <c r="G11213" i="1"/>
  <c r="F11213" i="1"/>
  <c r="E11213" i="1"/>
  <c r="D11213" i="1"/>
  <c r="C11213" i="1"/>
  <c r="B11213" i="1"/>
  <c r="G11212" i="1"/>
  <c r="F11212" i="1"/>
  <c r="E11212" i="1"/>
  <c r="D11212" i="1"/>
  <c r="C11212" i="1"/>
  <c r="B11212" i="1"/>
  <c r="G11211" i="1"/>
  <c r="F11211" i="1"/>
  <c r="E11211" i="1"/>
  <c r="D11211" i="1"/>
  <c r="C11211" i="1"/>
  <c r="B11211" i="1"/>
  <c r="G11210" i="1"/>
  <c r="F11210" i="1"/>
  <c r="E11210" i="1"/>
  <c r="D11210" i="1"/>
  <c r="C11210" i="1"/>
  <c r="B11210" i="1"/>
  <c r="G11209" i="1"/>
  <c r="F11209" i="1"/>
  <c r="E11209" i="1"/>
  <c r="D11209" i="1"/>
  <c r="C11209" i="1"/>
  <c r="B11209" i="1"/>
  <c r="G11208" i="1"/>
  <c r="F11208" i="1"/>
  <c r="E11208" i="1"/>
  <c r="D11208" i="1"/>
  <c r="C11208" i="1"/>
  <c r="B11208" i="1"/>
  <c r="G11207" i="1"/>
  <c r="F11207" i="1"/>
  <c r="E11207" i="1"/>
  <c r="D11207" i="1"/>
  <c r="C11207" i="1"/>
  <c r="B11207" i="1"/>
  <c r="G11206" i="1"/>
  <c r="F11206" i="1"/>
  <c r="E11206" i="1"/>
  <c r="D11206" i="1"/>
  <c r="C11206" i="1"/>
  <c r="B11206" i="1"/>
  <c r="G11205" i="1"/>
  <c r="F11205" i="1"/>
  <c r="E11205" i="1"/>
  <c r="D11205" i="1"/>
  <c r="C11205" i="1"/>
  <c r="B11205" i="1"/>
  <c r="G11204" i="1"/>
  <c r="F11204" i="1"/>
  <c r="E11204" i="1"/>
  <c r="D11204" i="1"/>
  <c r="C11204" i="1"/>
  <c r="B11204" i="1"/>
  <c r="G11203" i="1"/>
  <c r="F11203" i="1"/>
  <c r="E11203" i="1"/>
  <c r="D11203" i="1"/>
  <c r="C11203" i="1"/>
  <c r="B11203" i="1"/>
  <c r="G11202" i="1"/>
  <c r="F11202" i="1"/>
  <c r="E11202" i="1"/>
  <c r="D11202" i="1"/>
  <c r="C11202" i="1"/>
  <c r="B11202" i="1"/>
  <c r="G11201" i="1"/>
  <c r="F11201" i="1"/>
  <c r="E11201" i="1"/>
  <c r="D11201" i="1"/>
  <c r="C11201" i="1"/>
  <c r="B11201" i="1"/>
  <c r="G11200" i="1"/>
  <c r="F11200" i="1"/>
  <c r="E11200" i="1"/>
  <c r="D11200" i="1"/>
  <c r="C11200" i="1"/>
  <c r="B11200" i="1"/>
  <c r="G11199" i="1"/>
  <c r="F11199" i="1"/>
  <c r="E11199" i="1"/>
  <c r="D11199" i="1"/>
  <c r="C11199" i="1"/>
  <c r="B11199" i="1"/>
  <c r="G11198" i="1"/>
  <c r="F11198" i="1"/>
  <c r="E11198" i="1"/>
  <c r="D11198" i="1"/>
  <c r="C11198" i="1"/>
  <c r="B11198" i="1"/>
  <c r="G11197" i="1"/>
  <c r="F11197" i="1"/>
  <c r="E11197" i="1"/>
  <c r="D11197" i="1"/>
  <c r="C11197" i="1"/>
  <c r="B11197" i="1"/>
  <c r="G11196" i="1"/>
  <c r="F11196" i="1"/>
  <c r="E11196" i="1"/>
  <c r="D11196" i="1"/>
  <c r="C11196" i="1"/>
  <c r="B11196" i="1"/>
  <c r="G11195" i="1"/>
  <c r="F11195" i="1"/>
  <c r="E11195" i="1"/>
  <c r="D11195" i="1"/>
  <c r="C11195" i="1"/>
  <c r="B11195" i="1"/>
  <c r="G11194" i="1"/>
  <c r="F11194" i="1"/>
  <c r="E11194" i="1"/>
  <c r="D11194" i="1"/>
  <c r="C11194" i="1"/>
  <c r="B11194" i="1"/>
  <c r="G11193" i="1"/>
  <c r="F11193" i="1"/>
  <c r="E11193" i="1"/>
  <c r="D11193" i="1"/>
  <c r="C11193" i="1"/>
  <c r="B11193" i="1"/>
  <c r="G11192" i="1"/>
  <c r="F11192" i="1"/>
  <c r="E11192" i="1"/>
  <c r="D11192" i="1"/>
  <c r="C11192" i="1"/>
  <c r="B11192" i="1"/>
  <c r="G11191" i="1"/>
  <c r="F11191" i="1"/>
  <c r="E11191" i="1"/>
  <c r="D11191" i="1"/>
  <c r="C11191" i="1"/>
  <c r="B11191" i="1"/>
  <c r="G11190" i="1"/>
  <c r="F11190" i="1"/>
  <c r="E11190" i="1"/>
  <c r="D11190" i="1"/>
  <c r="C11190" i="1"/>
  <c r="B11190" i="1"/>
  <c r="G11189" i="1"/>
  <c r="F11189" i="1"/>
  <c r="E11189" i="1"/>
  <c r="D11189" i="1"/>
  <c r="C11189" i="1"/>
  <c r="B11189" i="1"/>
  <c r="G11188" i="1"/>
  <c r="F11188" i="1"/>
  <c r="E11188" i="1"/>
  <c r="D11188" i="1"/>
  <c r="C11188" i="1"/>
  <c r="B11188" i="1"/>
  <c r="G11187" i="1"/>
  <c r="F11187" i="1"/>
  <c r="E11187" i="1"/>
  <c r="D11187" i="1"/>
  <c r="C11187" i="1"/>
  <c r="B11187" i="1"/>
  <c r="G11186" i="1"/>
  <c r="F11186" i="1"/>
  <c r="E11186" i="1"/>
  <c r="D11186" i="1"/>
  <c r="C11186" i="1"/>
  <c r="B11186" i="1"/>
  <c r="G11185" i="1"/>
  <c r="F11185" i="1"/>
  <c r="E11185" i="1"/>
  <c r="D11185" i="1"/>
  <c r="C11185" i="1"/>
  <c r="B11185" i="1"/>
  <c r="G11184" i="1"/>
  <c r="F11184" i="1"/>
  <c r="E11184" i="1"/>
  <c r="D11184" i="1"/>
  <c r="C11184" i="1"/>
  <c r="B11184" i="1"/>
  <c r="G11183" i="1"/>
  <c r="F11183" i="1"/>
  <c r="E11183" i="1"/>
  <c r="D11183" i="1"/>
  <c r="C11183" i="1"/>
  <c r="B11183" i="1"/>
  <c r="G11182" i="1"/>
  <c r="F11182" i="1"/>
  <c r="E11182" i="1"/>
  <c r="D11182" i="1"/>
  <c r="C11182" i="1"/>
  <c r="B11182" i="1"/>
  <c r="G11181" i="1"/>
  <c r="F11181" i="1"/>
  <c r="E11181" i="1"/>
  <c r="D11181" i="1"/>
  <c r="C11181" i="1"/>
  <c r="B11181" i="1"/>
  <c r="G11180" i="1"/>
  <c r="F11180" i="1"/>
  <c r="E11180" i="1"/>
  <c r="D11180" i="1"/>
  <c r="C11180" i="1"/>
  <c r="B11180" i="1"/>
  <c r="G11179" i="1"/>
  <c r="F11179" i="1"/>
  <c r="E11179" i="1"/>
  <c r="D11179" i="1"/>
  <c r="C11179" i="1"/>
  <c r="B11179" i="1"/>
  <c r="G11178" i="1"/>
  <c r="F11178" i="1"/>
  <c r="E11178" i="1"/>
  <c r="D11178" i="1"/>
  <c r="C11178" i="1"/>
  <c r="B11178" i="1"/>
  <c r="G11177" i="1"/>
  <c r="F11177" i="1"/>
  <c r="E11177" i="1"/>
  <c r="D11177" i="1"/>
  <c r="C11177" i="1"/>
  <c r="B11177" i="1"/>
  <c r="G11176" i="1"/>
  <c r="F11176" i="1"/>
  <c r="E11176" i="1"/>
  <c r="D11176" i="1"/>
  <c r="C11176" i="1"/>
  <c r="B11176" i="1"/>
  <c r="G11175" i="1"/>
  <c r="D11175" i="1"/>
  <c r="C11175" i="1"/>
  <c r="B11175" i="1"/>
  <c r="G11174" i="1"/>
  <c r="F11174" i="1"/>
  <c r="E11174" i="1"/>
  <c r="D11174" i="1"/>
  <c r="C11174" i="1"/>
  <c r="B11174" i="1"/>
  <c r="G11173" i="1"/>
  <c r="F11173" i="1"/>
  <c r="E11173" i="1"/>
  <c r="D11173" i="1"/>
  <c r="C11173" i="1"/>
  <c r="B11173" i="1"/>
  <c r="G11172" i="1"/>
  <c r="F11172" i="1"/>
  <c r="E11172" i="1"/>
  <c r="D11172" i="1"/>
  <c r="C11172" i="1"/>
  <c r="B11172" i="1"/>
  <c r="G11171" i="1"/>
  <c r="F11171" i="1"/>
  <c r="E11171" i="1"/>
  <c r="D11171" i="1"/>
  <c r="C11171" i="1"/>
  <c r="B11171" i="1"/>
  <c r="G11170" i="1"/>
  <c r="F11170" i="1"/>
  <c r="E11170" i="1"/>
  <c r="D11170" i="1"/>
  <c r="C11170" i="1"/>
  <c r="B11170" i="1"/>
  <c r="G11169" i="1"/>
  <c r="F11169" i="1"/>
  <c r="E11169" i="1"/>
  <c r="D11169" i="1"/>
  <c r="C11169" i="1"/>
  <c r="B11169" i="1"/>
  <c r="G11168" i="1"/>
  <c r="F11168" i="1"/>
  <c r="E11168" i="1"/>
  <c r="D11168" i="1"/>
  <c r="C11168" i="1"/>
  <c r="B11168" i="1"/>
  <c r="G11167" i="1"/>
  <c r="F11167" i="1"/>
  <c r="E11167" i="1"/>
  <c r="D11167" i="1"/>
  <c r="C11167" i="1"/>
  <c r="B11167" i="1"/>
  <c r="G11166" i="1"/>
  <c r="F11166" i="1"/>
  <c r="E11166" i="1"/>
  <c r="D11166" i="1"/>
  <c r="C11166" i="1"/>
  <c r="B11166" i="1"/>
  <c r="G11165" i="1"/>
  <c r="F11165" i="1"/>
  <c r="E11165" i="1"/>
  <c r="D11165" i="1"/>
  <c r="C11165" i="1"/>
  <c r="B11165" i="1"/>
  <c r="G11164" i="1"/>
  <c r="F11164" i="1"/>
  <c r="E11164" i="1"/>
  <c r="D11164" i="1"/>
  <c r="C11164" i="1"/>
  <c r="B11164" i="1"/>
  <c r="G11163" i="1"/>
  <c r="F11163" i="1"/>
  <c r="E11163" i="1"/>
  <c r="D11163" i="1"/>
  <c r="C11163" i="1"/>
  <c r="B11163" i="1"/>
  <c r="G11162" i="1"/>
  <c r="F11162" i="1"/>
  <c r="E11162" i="1"/>
  <c r="D11162" i="1"/>
  <c r="C11162" i="1"/>
  <c r="B11162" i="1"/>
  <c r="G11161" i="1"/>
  <c r="F11161" i="1"/>
  <c r="E11161" i="1"/>
  <c r="D11161" i="1"/>
  <c r="C11161" i="1"/>
  <c r="B11161" i="1"/>
  <c r="G11160" i="1"/>
  <c r="D11160" i="1"/>
  <c r="C11160" i="1"/>
  <c r="B11160" i="1"/>
  <c r="G11159" i="1"/>
  <c r="F11159" i="1"/>
  <c r="E11159" i="1"/>
  <c r="D11159" i="1"/>
  <c r="C11159" i="1"/>
  <c r="B11159" i="1"/>
  <c r="G11158" i="1"/>
  <c r="F11158" i="1"/>
  <c r="E11158" i="1"/>
  <c r="D11158" i="1"/>
  <c r="C11158" i="1"/>
  <c r="B11158" i="1"/>
  <c r="G11157" i="1"/>
  <c r="F11157" i="1"/>
  <c r="E11157" i="1"/>
  <c r="D11157" i="1"/>
  <c r="C11157" i="1"/>
  <c r="B11157" i="1"/>
  <c r="G11156" i="1"/>
  <c r="F11156" i="1"/>
  <c r="E11156" i="1"/>
  <c r="D11156" i="1"/>
  <c r="C11156" i="1"/>
  <c r="B11156" i="1"/>
  <c r="G11155" i="1"/>
  <c r="F11155" i="1"/>
  <c r="E11155" i="1"/>
  <c r="D11155" i="1"/>
  <c r="C11155" i="1"/>
  <c r="B11155" i="1"/>
  <c r="G11154" i="1"/>
  <c r="F11154" i="1"/>
  <c r="E11154" i="1"/>
  <c r="D11154" i="1"/>
  <c r="C11154" i="1"/>
  <c r="B11154" i="1"/>
  <c r="G11153" i="1"/>
  <c r="F11153" i="1"/>
  <c r="E11153" i="1"/>
  <c r="D11153" i="1"/>
  <c r="C11153" i="1"/>
  <c r="B11153" i="1"/>
  <c r="G11152" i="1"/>
  <c r="F11152" i="1"/>
  <c r="E11152" i="1"/>
  <c r="D11152" i="1"/>
  <c r="C11152" i="1"/>
  <c r="B11152" i="1"/>
  <c r="G11151" i="1"/>
  <c r="F11151" i="1"/>
  <c r="E11151" i="1"/>
  <c r="D11151" i="1"/>
  <c r="C11151" i="1"/>
  <c r="B11151" i="1"/>
  <c r="G11150" i="1"/>
  <c r="F11150" i="1"/>
  <c r="E11150" i="1"/>
  <c r="D11150" i="1"/>
  <c r="C11150" i="1"/>
  <c r="B11150" i="1"/>
  <c r="G11149" i="1"/>
  <c r="F11149" i="1"/>
  <c r="E11149" i="1"/>
  <c r="D11149" i="1"/>
  <c r="C11149" i="1"/>
  <c r="B11149" i="1"/>
  <c r="G11148" i="1"/>
  <c r="F11148" i="1"/>
  <c r="E11148" i="1"/>
  <c r="D11148" i="1"/>
  <c r="C11148" i="1"/>
  <c r="B11148" i="1"/>
  <c r="G11147" i="1"/>
  <c r="F11147" i="1"/>
  <c r="E11147" i="1"/>
  <c r="D11147" i="1"/>
  <c r="C11147" i="1"/>
  <c r="B11147" i="1"/>
  <c r="G11146" i="1"/>
  <c r="F11146" i="1"/>
  <c r="E11146" i="1"/>
  <c r="D11146" i="1"/>
  <c r="C11146" i="1"/>
  <c r="B11146" i="1"/>
  <c r="G11145" i="1"/>
  <c r="F11145" i="1"/>
  <c r="E11145" i="1"/>
  <c r="D11145" i="1"/>
  <c r="C11145" i="1"/>
  <c r="B11145" i="1"/>
  <c r="G11144" i="1"/>
  <c r="F11144" i="1"/>
  <c r="E11144" i="1"/>
  <c r="D11144" i="1"/>
  <c r="C11144" i="1"/>
  <c r="B11144" i="1"/>
  <c r="G11143" i="1"/>
  <c r="F11143" i="1"/>
  <c r="E11143" i="1"/>
  <c r="D11143" i="1"/>
  <c r="C11143" i="1"/>
  <c r="B11143" i="1"/>
  <c r="G11142" i="1"/>
  <c r="F11142" i="1"/>
  <c r="E11142" i="1"/>
  <c r="D11142" i="1"/>
  <c r="C11142" i="1"/>
  <c r="B11142" i="1"/>
  <c r="G11141" i="1"/>
  <c r="F11141" i="1"/>
  <c r="E11141" i="1"/>
  <c r="D11141" i="1"/>
  <c r="C11141" i="1"/>
  <c r="B11141" i="1"/>
  <c r="G11140" i="1"/>
  <c r="F11140" i="1"/>
  <c r="E11140" i="1"/>
  <c r="D11140" i="1"/>
  <c r="C11140" i="1"/>
  <c r="B11140" i="1"/>
  <c r="G11139" i="1"/>
  <c r="F11139" i="1"/>
  <c r="E11139" i="1"/>
  <c r="D11139" i="1"/>
  <c r="C11139" i="1"/>
  <c r="B11139" i="1"/>
  <c r="G11138" i="1"/>
  <c r="F11138" i="1"/>
  <c r="E11138" i="1"/>
  <c r="D11138" i="1"/>
  <c r="C11138" i="1"/>
  <c r="B11138" i="1"/>
  <c r="G11137" i="1"/>
  <c r="F11137" i="1"/>
  <c r="E11137" i="1"/>
  <c r="D11137" i="1"/>
  <c r="C11137" i="1"/>
  <c r="B11137" i="1"/>
  <c r="G11136" i="1"/>
  <c r="F11136" i="1"/>
  <c r="E11136" i="1"/>
  <c r="D11136" i="1"/>
  <c r="C11136" i="1"/>
  <c r="B11136" i="1"/>
  <c r="G11135" i="1"/>
  <c r="F11135" i="1"/>
  <c r="E11135" i="1"/>
  <c r="D11135" i="1"/>
  <c r="C11135" i="1"/>
  <c r="B11135" i="1"/>
  <c r="G11134" i="1"/>
  <c r="F11134" i="1"/>
  <c r="E11134" i="1"/>
  <c r="D11134" i="1"/>
  <c r="C11134" i="1"/>
  <c r="B11134" i="1"/>
  <c r="G11133" i="1"/>
  <c r="F11133" i="1"/>
  <c r="E11133" i="1"/>
  <c r="D11133" i="1"/>
  <c r="C11133" i="1"/>
  <c r="B11133" i="1"/>
  <c r="G11132" i="1"/>
  <c r="F11132" i="1"/>
  <c r="E11132" i="1"/>
  <c r="D11132" i="1"/>
  <c r="C11132" i="1"/>
  <c r="B11132" i="1"/>
  <c r="G11131" i="1"/>
  <c r="F11131" i="1"/>
  <c r="E11131" i="1"/>
  <c r="D11131" i="1"/>
  <c r="C11131" i="1"/>
  <c r="B11131" i="1"/>
  <c r="G11130" i="1"/>
  <c r="F11130" i="1"/>
  <c r="E11130" i="1"/>
  <c r="D11130" i="1"/>
  <c r="C11130" i="1"/>
  <c r="B11130" i="1"/>
  <c r="G11129" i="1"/>
  <c r="F11129" i="1"/>
  <c r="E11129" i="1"/>
  <c r="D11129" i="1"/>
  <c r="C11129" i="1"/>
  <c r="B11129" i="1"/>
  <c r="G11128" i="1"/>
  <c r="F11128" i="1"/>
  <c r="E11128" i="1"/>
  <c r="D11128" i="1"/>
  <c r="C11128" i="1"/>
  <c r="B11128" i="1"/>
  <c r="G11127" i="1"/>
  <c r="F11127" i="1"/>
  <c r="E11127" i="1"/>
  <c r="D11127" i="1"/>
  <c r="C11127" i="1"/>
  <c r="B11127" i="1"/>
  <c r="G11126" i="1"/>
  <c r="F11126" i="1"/>
  <c r="E11126" i="1"/>
  <c r="D11126" i="1"/>
  <c r="C11126" i="1"/>
  <c r="B11126" i="1"/>
  <c r="G11125" i="1"/>
  <c r="F11125" i="1"/>
  <c r="E11125" i="1"/>
  <c r="D11125" i="1"/>
  <c r="C11125" i="1"/>
  <c r="B11125" i="1"/>
  <c r="G11124" i="1"/>
  <c r="F11124" i="1"/>
  <c r="E11124" i="1"/>
  <c r="D11124" i="1"/>
  <c r="C11124" i="1"/>
  <c r="B11124" i="1"/>
  <c r="G11123" i="1"/>
  <c r="F11123" i="1"/>
  <c r="E11123" i="1"/>
  <c r="D11123" i="1"/>
  <c r="C11123" i="1"/>
  <c r="B11123" i="1"/>
  <c r="G11122" i="1"/>
  <c r="F11122" i="1"/>
  <c r="E11122" i="1"/>
  <c r="D11122" i="1"/>
  <c r="C11122" i="1"/>
  <c r="B11122" i="1"/>
  <c r="G11121" i="1"/>
  <c r="F11121" i="1"/>
  <c r="E11121" i="1"/>
  <c r="D11121" i="1"/>
  <c r="C11121" i="1"/>
  <c r="B11121" i="1"/>
  <c r="G11120" i="1"/>
  <c r="F11120" i="1"/>
  <c r="E11120" i="1"/>
  <c r="D11120" i="1"/>
  <c r="C11120" i="1"/>
  <c r="B11120" i="1"/>
  <c r="G11119" i="1"/>
  <c r="F11119" i="1"/>
  <c r="E11119" i="1"/>
  <c r="D11119" i="1"/>
  <c r="C11119" i="1"/>
  <c r="B11119" i="1"/>
  <c r="G11118" i="1"/>
  <c r="F11118" i="1"/>
  <c r="E11118" i="1"/>
  <c r="D11118" i="1"/>
  <c r="C11118" i="1"/>
  <c r="B11118" i="1"/>
  <c r="G11117" i="1"/>
  <c r="F11117" i="1"/>
  <c r="E11117" i="1"/>
  <c r="D11117" i="1"/>
  <c r="C11117" i="1"/>
  <c r="B11117" i="1"/>
  <c r="G11116" i="1"/>
  <c r="F11116" i="1"/>
  <c r="E11116" i="1"/>
  <c r="D11116" i="1"/>
  <c r="C11116" i="1"/>
  <c r="B11116" i="1"/>
  <c r="G11115" i="1"/>
  <c r="F11115" i="1"/>
  <c r="E11115" i="1"/>
  <c r="D11115" i="1"/>
  <c r="C11115" i="1"/>
  <c r="B11115" i="1"/>
  <c r="G11114" i="1"/>
  <c r="F11114" i="1"/>
  <c r="E11114" i="1"/>
  <c r="D11114" i="1"/>
  <c r="C11114" i="1"/>
  <c r="B11114" i="1"/>
  <c r="G11113" i="1"/>
  <c r="F11113" i="1"/>
  <c r="E11113" i="1"/>
  <c r="D11113" i="1"/>
  <c r="C11113" i="1"/>
  <c r="B11113" i="1"/>
  <c r="G11112" i="1"/>
  <c r="F11112" i="1"/>
  <c r="E11112" i="1"/>
  <c r="D11112" i="1"/>
  <c r="C11112" i="1"/>
  <c r="B11112" i="1"/>
  <c r="G11111" i="1"/>
  <c r="F11111" i="1"/>
  <c r="E11111" i="1"/>
  <c r="D11111" i="1"/>
  <c r="C11111" i="1"/>
  <c r="B11111" i="1"/>
  <c r="G11110" i="1"/>
  <c r="F11110" i="1"/>
  <c r="E11110" i="1"/>
  <c r="D11110" i="1"/>
  <c r="C11110" i="1"/>
  <c r="B11110" i="1"/>
  <c r="G11109" i="1"/>
  <c r="F11109" i="1"/>
  <c r="E11109" i="1"/>
  <c r="D11109" i="1"/>
  <c r="C11109" i="1"/>
  <c r="B11109" i="1"/>
  <c r="G11108" i="1"/>
  <c r="F11108" i="1"/>
  <c r="E11108" i="1"/>
  <c r="D11108" i="1"/>
  <c r="C11108" i="1"/>
  <c r="B11108" i="1"/>
  <c r="G11107" i="1"/>
  <c r="F11107" i="1"/>
  <c r="E11107" i="1"/>
  <c r="D11107" i="1"/>
  <c r="C11107" i="1"/>
  <c r="B11107" i="1"/>
  <c r="G11106" i="1"/>
  <c r="F11106" i="1"/>
  <c r="E11106" i="1"/>
  <c r="D11106" i="1"/>
  <c r="C11106" i="1"/>
  <c r="B11106" i="1"/>
  <c r="G11105" i="1"/>
  <c r="F11105" i="1"/>
  <c r="E11105" i="1"/>
  <c r="D11105" i="1"/>
  <c r="C11105" i="1"/>
  <c r="B11105" i="1"/>
  <c r="G11104" i="1"/>
  <c r="F11104" i="1"/>
  <c r="E11104" i="1"/>
  <c r="D11104" i="1"/>
  <c r="C11104" i="1"/>
  <c r="B11104" i="1"/>
  <c r="G11103" i="1"/>
  <c r="F11103" i="1"/>
  <c r="E11103" i="1"/>
  <c r="D11103" i="1"/>
  <c r="C11103" i="1"/>
  <c r="B11103" i="1"/>
  <c r="G11102" i="1"/>
  <c r="F11102" i="1"/>
  <c r="E11102" i="1"/>
  <c r="D11102" i="1"/>
  <c r="C11102" i="1"/>
  <c r="B11102" i="1"/>
  <c r="G11101" i="1"/>
  <c r="F11101" i="1"/>
  <c r="E11101" i="1"/>
  <c r="D11101" i="1"/>
  <c r="C11101" i="1"/>
  <c r="B11101" i="1"/>
  <c r="G11100" i="1"/>
  <c r="F11100" i="1"/>
  <c r="E11100" i="1"/>
  <c r="D11100" i="1"/>
  <c r="C11100" i="1"/>
  <c r="B11100" i="1"/>
  <c r="G11099" i="1"/>
  <c r="F11099" i="1"/>
  <c r="E11099" i="1"/>
  <c r="D11099" i="1"/>
  <c r="C11099" i="1"/>
  <c r="B11099" i="1"/>
  <c r="G11098" i="1"/>
  <c r="F11098" i="1"/>
  <c r="E11098" i="1"/>
  <c r="D11098" i="1"/>
  <c r="C11098" i="1"/>
  <c r="B11098" i="1"/>
  <c r="G11097" i="1"/>
  <c r="F11097" i="1"/>
  <c r="E11097" i="1"/>
  <c r="D11097" i="1"/>
  <c r="C11097" i="1"/>
  <c r="B11097" i="1"/>
  <c r="G11096" i="1"/>
  <c r="F11096" i="1"/>
  <c r="E11096" i="1"/>
  <c r="D11096" i="1"/>
  <c r="C11096" i="1"/>
  <c r="B11096" i="1"/>
  <c r="G11095" i="1"/>
  <c r="F11095" i="1"/>
  <c r="E11095" i="1"/>
  <c r="D11095" i="1"/>
  <c r="C11095" i="1"/>
  <c r="B11095" i="1"/>
  <c r="G11094" i="1"/>
  <c r="F11094" i="1"/>
  <c r="E11094" i="1"/>
  <c r="D11094" i="1"/>
  <c r="C11094" i="1"/>
  <c r="B11094" i="1"/>
  <c r="G11093" i="1"/>
  <c r="F11093" i="1"/>
  <c r="E11093" i="1"/>
  <c r="D11093" i="1"/>
  <c r="C11093" i="1"/>
  <c r="B11093" i="1"/>
  <c r="G11092" i="1"/>
  <c r="F11092" i="1"/>
  <c r="E11092" i="1"/>
  <c r="D11092" i="1"/>
  <c r="C11092" i="1"/>
  <c r="B11092" i="1"/>
  <c r="G11091" i="1"/>
  <c r="F11091" i="1"/>
  <c r="E11091" i="1"/>
  <c r="D11091" i="1"/>
  <c r="C11091" i="1"/>
  <c r="B11091" i="1"/>
  <c r="G11090" i="1"/>
  <c r="F11090" i="1"/>
  <c r="E11090" i="1"/>
  <c r="D11090" i="1"/>
  <c r="C11090" i="1"/>
  <c r="B11090" i="1"/>
  <c r="G11089" i="1"/>
  <c r="F11089" i="1"/>
  <c r="E11089" i="1"/>
  <c r="D11089" i="1"/>
  <c r="C11089" i="1"/>
  <c r="B11089" i="1"/>
  <c r="G11088" i="1"/>
  <c r="F11088" i="1"/>
  <c r="E11088" i="1"/>
  <c r="D11088" i="1"/>
  <c r="C11088" i="1"/>
  <c r="B11088" i="1"/>
  <c r="G11087" i="1"/>
  <c r="F11087" i="1"/>
  <c r="E11087" i="1"/>
  <c r="D11087" i="1"/>
  <c r="C11087" i="1"/>
  <c r="B11087" i="1"/>
  <c r="G11086" i="1"/>
  <c r="F11086" i="1"/>
  <c r="E11086" i="1"/>
  <c r="D11086" i="1"/>
  <c r="C11086" i="1"/>
  <c r="B11086" i="1"/>
  <c r="G11085" i="1"/>
  <c r="F11085" i="1"/>
  <c r="E11085" i="1"/>
  <c r="D11085" i="1"/>
  <c r="C11085" i="1"/>
  <c r="B11085" i="1"/>
  <c r="G11084" i="1"/>
  <c r="F11084" i="1"/>
  <c r="E11084" i="1"/>
  <c r="D11084" i="1"/>
  <c r="C11084" i="1"/>
  <c r="B11084" i="1"/>
  <c r="G11083" i="1"/>
  <c r="F11083" i="1"/>
  <c r="E11083" i="1"/>
  <c r="D11083" i="1"/>
  <c r="C11083" i="1"/>
  <c r="B11083" i="1"/>
  <c r="G11082" i="1"/>
  <c r="F11082" i="1"/>
  <c r="E11082" i="1"/>
  <c r="D11082" i="1"/>
  <c r="C11082" i="1"/>
  <c r="B11082" i="1"/>
  <c r="G11081" i="1"/>
  <c r="F11081" i="1"/>
  <c r="E11081" i="1"/>
  <c r="D11081" i="1"/>
  <c r="C11081" i="1"/>
  <c r="B11081" i="1"/>
  <c r="G11080" i="1"/>
  <c r="F11080" i="1"/>
  <c r="E11080" i="1"/>
  <c r="D11080" i="1"/>
  <c r="C11080" i="1"/>
  <c r="B11080" i="1"/>
  <c r="G11079" i="1"/>
  <c r="F11079" i="1"/>
  <c r="E11079" i="1"/>
  <c r="D11079" i="1"/>
  <c r="C11079" i="1"/>
  <c r="B11079" i="1"/>
  <c r="G11078" i="1"/>
  <c r="F11078" i="1"/>
  <c r="E11078" i="1"/>
  <c r="D11078" i="1"/>
  <c r="C11078" i="1"/>
  <c r="B11078" i="1"/>
  <c r="G11077" i="1"/>
  <c r="F11077" i="1"/>
  <c r="E11077" i="1"/>
  <c r="D11077" i="1"/>
  <c r="C11077" i="1"/>
  <c r="B11077" i="1"/>
  <c r="G11076" i="1"/>
  <c r="F11076" i="1"/>
  <c r="E11076" i="1"/>
  <c r="D11076" i="1"/>
  <c r="C11076" i="1"/>
  <c r="B11076" i="1"/>
  <c r="G11075" i="1"/>
  <c r="F11075" i="1"/>
  <c r="E11075" i="1"/>
  <c r="D11075" i="1"/>
  <c r="C11075" i="1"/>
  <c r="B11075" i="1"/>
  <c r="G11074" i="1"/>
  <c r="F11074" i="1"/>
  <c r="E11074" i="1"/>
  <c r="D11074" i="1"/>
  <c r="C11074" i="1"/>
  <c r="B11074" i="1"/>
  <c r="G11073" i="1"/>
  <c r="F11073" i="1"/>
  <c r="E11073" i="1"/>
  <c r="D11073" i="1"/>
  <c r="C11073" i="1"/>
  <c r="B11073" i="1"/>
  <c r="G11072" i="1"/>
  <c r="F11072" i="1"/>
  <c r="E11072" i="1"/>
  <c r="D11072" i="1"/>
  <c r="C11072" i="1"/>
  <c r="B11072" i="1"/>
  <c r="G11071" i="1"/>
  <c r="F11071" i="1"/>
  <c r="E11071" i="1"/>
  <c r="D11071" i="1"/>
  <c r="C11071" i="1"/>
  <c r="B11071" i="1"/>
  <c r="G11070" i="1"/>
  <c r="F11070" i="1"/>
  <c r="E11070" i="1"/>
  <c r="D11070" i="1"/>
  <c r="C11070" i="1"/>
  <c r="B11070" i="1"/>
  <c r="G11069" i="1"/>
  <c r="F11069" i="1"/>
  <c r="E11069" i="1"/>
  <c r="D11069" i="1"/>
  <c r="C11069" i="1"/>
  <c r="B11069" i="1"/>
  <c r="G11068" i="1"/>
  <c r="F11068" i="1"/>
  <c r="E11068" i="1"/>
  <c r="D11068" i="1"/>
  <c r="C11068" i="1"/>
  <c r="B11068" i="1"/>
  <c r="G11067" i="1"/>
  <c r="F11067" i="1"/>
  <c r="E11067" i="1"/>
  <c r="D11067" i="1"/>
  <c r="C11067" i="1"/>
  <c r="B11067" i="1"/>
  <c r="G11066" i="1"/>
  <c r="F11066" i="1"/>
  <c r="E11066" i="1"/>
  <c r="D11066" i="1"/>
  <c r="C11066" i="1"/>
  <c r="B11066" i="1"/>
  <c r="G11065" i="1"/>
  <c r="F11065" i="1"/>
  <c r="E11065" i="1"/>
  <c r="D11065" i="1"/>
  <c r="C11065" i="1"/>
  <c r="B11065" i="1"/>
  <c r="G11064" i="1"/>
  <c r="F11064" i="1"/>
  <c r="E11064" i="1"/>
  <c r="D11064" i="1"/>
  <c r="C11064" i="1"/>
  <c r="B11064" i="1"/>
  <c r="G11063" i="1"/>
  <c r="F11063" i="1"/>
  <c r="E11063" i="1"/>
  <c r="D11063" i="1"/>
  <c r="C11063" i="1"/>
  <c r="B11063" i="1"/>
  <c r="G11062" i="1"/>
  <c r="F11062" i="1"/>
  <c r="E11062" i="1"/>
  <c r="D11062" i="1"/>
  <c r="C11062" i="1"/>
  <c r="B11062" i="1"/>
  <c r="G11061" i="1"/>
  <c r="F11061" i="1"/>
  <c r="E11061" i="1"/>
  <c r="D11061" i="1"/>
  <c r="C11061" i="1"/>
  <c r="B11061" i="1"/>
  <c r="G11060" i="1"/>
  <c r="F11060" i="1"/>
  <c r="E11060" i="1"/>
  <c r="D11060" i="1"/>
  <c r="C11060" i="1"/>
  <c r="B11060" i="1"/>
  <c r="G11059" i="1"/>
  <c r="F11059" i="1"/>
  <c r="E11059" i="1"/>
  <c r="D11059" i="1"/>
  <c r="C11059" i="1"/>
  <c r="B11059" i="1"/>
  <c r="G11058" i="1"/>
  <c r="F11058" i="1"/>
  <c r="E11058" i="1"/>
  <c r="D11058" i="1"/>
  <c r="C11058" i="1"/>
  <c r="B11058" i="1"/>
  <c r="G11057" i="1"/>
  <c r="F11057" i="1"/>
  <c r="E11057" i="1"/>
  <c r="D11057" i="1"/>
  <c r="C11057" i="1"/>
  <c r="B11057" i="1"/>
  <c r="G11056" i="1"/>
  <c r="F11056" i="1"/>
  <c r="E11056" i="1"/>
  <c r="D11056" i="1"/>
  <c r="C11056" i="1"/>
  <c r="B11056" i="1"/>
  <c r="G11055" i="1"/>
  <c r="F11055" i="1"/>
  <c r="E11055" i="1"/>
  <c r="D11055" i="1"/>
  <c r="C11055" i="1"/>
  <c r="B11055" i="1"/>
  <c r="G11054" i="1"/>
  <c r="F11054" i="1"/>
  <c r="E11054" i="1"/>
  <c r="D11054" i="1"/>
  <c r="C11054" i="1"/>
  <c r="B11054" i="1"/>
  <c r="G11053" i="1"/>
  <c r="F11053" i="1"/>
  <c r="E11053" i="1"/>
  <c r="D11053" i="1"/>
  <c r="C11053" i="1"/>
  <c r="B11053" i="1"/>
  <c r="G11052" i="1"/>
  <c r="F11052" i="1"/>
  <c r="E11052" i="1"/>
  <c r="D11052" i="1"/>
  <c r="C11052" i="1"/>
  <c r="B11052" i="1"/>
  <c r="G11051" i="1"/>
  <c r="F11051" i="1"/>
  <c r="E11051" i="1"/>
  <c r="D11051" i="1"/>
  <c r="C11051" i="1"/>
  <c r="B11051" i="1"/>
  <c r="G11050" i="1"/>
  <c r="F11050" i="1"/>
  <c r="E11050" i="1"/>
  <c r="D11050" i="1"/>
  <c r="C11050" i="1"/>
  <c r="B11050" i="1"/>
  <c r="G11049" i="1"/>
  <c r="F11049" i="1"/>
  <c r="E11049" i="1"/>
  <c r="D11049" i="1"/>
  <c r="C11049" i="1"/>
  <c r="B11049" i="1"/>
  <c r="G11048" i="1"/>
  <c r="F11048" i="1"/>
  <c r="E11048" i="1"/>
  <c r="D11048" i="1"/>
  <c r="C11048" i="1"/>
  <c r="B11048" i="1"/>
  <c r="G11047" i="1"/>
  <c r="F11047" i="1"/>
  <c r="E11047" i="1"/>
  <c r="D11047" i="1"/>
  <c r="C11047" i="1"/>
  <c r="B11047" i="1"/>
  <c r="G11046" i="1"/>
  <c r="F11046" i="1"/>
  <c r="E11046" i="1"/>
  <c r="D11046" i="1"/>
  <c r="C11046" i="1"/>
  <c r="B11046" i="1"/>
  <c r="G11045" i="1"/>
  <c r="F11045" i="1"/>
  <c r="E11045" i="1"/>
  <c r="D11045" i="1"/>
  <c r="C11045" i="1"/>
  <c r="B11045" i="1"/>
  <c r="G11044" i="1"/>
  <c r="F11044" i="1"/>
  <c r="E11044" i="1"/>
  <c r="D11044" i="1"/>
  <c r="C11044" i="1"/>
  <c r="B11044" i="1"/>
  <c r="G11043" i="1"/>
  <c r="F11043" i="1"/>
  <c r="E11043" i="1"/>
  <c r="D11043" i="1"/>
  <c r="C11043" i="1"/>
  <c r="B11043" i="1"/>
  <c r="G11042" i="1"/>
  <c r="F11042" i="1"/>
  <c r="E11042" i="1"/>
  <c r="D11042" i="1"/>
  <c r="C11042" i="1"/>
  <c r="B11042" i="1"/>
  <c r="G11041" i="1"/>
  <c r="F11041" i="1"/>
  <c r="E11041" i="1"/>
  <c r="D11041" i="1"/>
  <c r="C11041" i="1"/>
  <c r="B11041" i="1"/>
  <c r="G11040" i="1"/>
  <c r="F11040" i="1"/>
  <c r="E11040" i="1"/>
  <c r="D11040" i="1"/>
  <c r="C11040" i="1"/>
  <c r="B11040" i="1"/>
  <c r="G11039" i="1"/>
  <c r="F11039" i="1"/>
  <c r="E11039" i="1"/>
  <c r="D11039" i="1"/>
  <c r="C11039" i="1"/>
  <c r="B11039" i="1"/>
  <c r="G11038" i="1"/>
  <c r="F11038" i="1"/>
  <c r="E11038" i="1"/>
  <c r="D11038" i="1"/>
  <c r="C11038" i="1"/>
  <c r="B11038" i="1"/>
  <c r="G11037" i="1"/>
  <c r="F11037" i="1"/>
  <c r="E11037" i="1"/>
  <c r="D11037" i="1"/>
  <c r="C11037" i="1"/>
  <c r="B11037" i="1"/>
  <c r="G11036" i="1"/>
  <c r="F11036" i="1"/>
  <c r="E11036" i="1"/>
  <c r="D11036" i="1"/>
  <c r="C11036" i="1"/>
  <c r="B11036" i="1"/>
  <c r="G11035" i="1"/>
  <c r="F11035" i="1"/>
  <c r="E11035" i="1"/>
  <c r="D11035" i="1"/>
  <c r="C11035" i="1"/>
  <c r="B11035" i="1"/>
  <c r="G11034" i="1"/>
  <c r="F11034" i="1"/>
  <c r="E11034" i="1"/>
  <c r="D11034" i="1"/>
  <c r="C11034" i="1"/>
  <c r="B11034" i="1"/>
  <c r="G11033" i="1"/>
  <c r="F11033" i="1"/>
  <c r="E11033" i="1"/>
  <c r="D11033" i="1"/>
  <c r="C11033" i="1"/>
  <c r="B11033" i="1"/>
  <c r="G11032" i="1"/>
  <c r="F11032" i="1"/>
  <c r="E11032" i="1"/>
  <c r="D11032" i="1"/>
  <c r="C11032" i="1"/>
  <c r="B11032" i="1"/>
  <c r="G11031" i="1"/>
  <c r="F11031" i="1"/>
  <c r="E11031" i="1"/>
  <c r="D11031" i="1"/>
  <c r="C11031" i="1"/>
  <c r="B11031" i="1"/>
  <c r="G11030" i="1"/>
  <c r="F11030" i="1"/>
  <c r="E11030" i="1"/>
  <c r="D11030" i="1"/>
  <c r="C11030" i="1"/>
  <c r="B11030" i="1"/>
  <c r="G11029" i="1"/>
  <c r="F11029" i="1"/>
  <c r="E11029" i="1"/>
  <c r="D11029" i="1"/>
  <c r="C11029" i="1"/>
  <c r="B11029" i="1"/>
  <c r="G11028" i="1"/>
  <c r="F11028" i="1"/>
  <c r="E11028" i="1"/>
  <c r="D11028" i="1"/>
  <c r="C11028" i="1"/>
  <c r="B11028" i="1"/>
  <c r="G11027" i="1"/>
  <c r="F11027" i="1"/>
  <c r="E11027" i="1"/>
  <c r="D11027" i="1"/>
  <c r="C11027" i="1"/>
  <c r="B11027" i="1"/>
  <c r="G11026" i="1"/>
  <c r="F11026" i="1"/>
  <c r="E11026" i="1"/>
  <c r="D11026" i="1"/>
  <c r="C11026" i="1"/>
  <c r="B11026" i="1"/>
  <c r="G11025" i="1"/>
  <c r="F11025" i="1"/>
  <c r="E11025" i="1"/>
  <c r="D11025" i="1"/>
  <c r="C11025" i="1"/>
  <c r="B11025" i="1"/>
  <c r="G11024" i="1"/>
  <c r="F11024" i="1"/>
  <c r="E11024" i="1"/>
  <c r="D11024" i="1"/>
  <c r="C11024" i="1"/>
  <c r="B11024" i="1"/>
  <c r="G11023" i="1"/>
  <c r="F11023" i="1"/>
  <c r="E11023" i="1"/>
  <c r="D11023" i="1"/>
  <c r="C11023" i="1"/>
  <c r="B11023" i="1"/>
  <c r="G11022" i="1"/>
  <c r="F11022" i="1"/>
  <c r="E11022" i="1"/>
  <c r="D11022" i="1"/>
  <c r="C11022" i="1"/>
  <c r="B11022" i="1"/>
  <c r="G11021" i="1"/>
  <c r="F11021" i="1"/>
  <c r="E11021" i="1"/>
  <c r="D11021" i="1"/>
  <c r="C11021" i="1"/>
  <c r="B11021" i="1"/>
  <c r="G11020" i="1"/>
  <c r="F11020" i="1"/>
  <c r="E11020" i="1"/>
  <c r="D11020" i="1"/>
  <c r="C11020" i="1"/>
  <c r="B11020" i="1"/>
  <c r="G11019" i="1"/>
  <c r="F11019" i="1"/>
  <c r="E11019" i="1"/>
  <c r="D11019" i="1"/>
  <c r="C11019" i="1"/>
  <c r="B11019" i="1"/>
  <c r="G11018" i="1"/>
  <c r="F11018" i="1"/>
  <c r="E11018" i="1"/>
  <c r="D11018" i="1"/>
  <c r="C11018" i="1"/>
  <c r="B11018" i="1"/>
  <c r="G11017" i="1"/>
  <c r="F11017" i="1"/>
  <c r="E11017" i="1"/>
  <c r="D11017" i="1"/>
  <c r="C11017" i="1"/>
  <c r="B11017" i="1"/>
  <c r="G11016" i="1"/>
  <c r="F11016" i="1"/>
  <c r="E11016" i="1"/>
  <c r="D11016" i="1"/>
  <c r="C11016" i="1"/>
  <c r="B11016" i="1"/>
  <c r="G11015" i="1"/>
  <c r="F11015" i="1"/>
  <c r="E11015" i="1"/>
  <c r="D11015" i="1"/>
  <c r="C11015" i="1"/>
  <c r="B11015" i="1"/>
  <c r="G11014" i="1"/>
  <c r="F11014" i="1"/>
  <c r="E11014" i="1"/>
  <c r="D11014" i="1"/>
  <c r="C11014" i="1"/>
  <c r="B11014" i="1"/>
  <c r="G11013" i="1"/>
  <c r="F11013" i="1"/>
  <c r="E11013" i="1"/>
  <c r="D11013" i="1"/>
  <c r="C11013" i="1"/>
  <c r="B11013" i="1"/>
  <c r="G11012" i="1"/>
  <c r="F11012" i="1"/>
  <c r="E11012" i="1"/>
  <c r="D11012" i="1"/>
  <c r="C11012" i="1"/>
  <c r="B11012" i="1"/>
  <c r="G11011" i="1"/>
  <c r="F11011" i="1"/>
  <c r="E11011" i="1"/>
  <c r="D11011" i="1"/>
  <c r="C11011" i="1"/>
  <c r="B11011" i="1"/>
  <c r="G11010" i="1"/>
  <c r="F11010" i="1"/>
  <c r="E11010" i="1"/>
  <c r="D11010" i="1"/>
  <c r="C11010" i="1"/>
  <c r="B11010" i="1"/>
  <c r="G11009" i="1"/>
  <c r="F11009" i="1"/>
  <c r="E11009" i="1"/>
  <c r="D11009" i="1"/>
  <c r="C11009" i="1"/>
  <c r="B11009" i="1"/>
  <c r="G11008" i="1"/>
  <c r="F11008" i="1"/>
  <c r="E11008" i="1"/>
  <c r="D11008" i="1"/>
  <c r="C11008" i="1"/>
  <c r="B11008" i="1"/>
  <c r="G11007" i="1"/>
  <c r="F11007" i="1"/>
  <c r="E11007" i="1"/>
  <c r="D11007" i="1"/>
  <c r="C11007" i="1"/>
  <c r="B11007" i="1"/>
  <c r="G11006" i="1"/>
  <c r="F11006" i="1"/>
  <c r="E11006" i="1"/>
  <c r="D11006" i="1"/>
  <c r="C11006" i="1"/>
  <c r="B11006" i="1"/>
  <c r="G11005" i="1"/>
  <c r="F11005" i="1"/>
  <c r="E11005" i="1"/>
  <c r="D11005" i="1"/>
  <c r="C11005" i="1"/>
  <c r="B11005" i="1"/>
  <c r="G11004" i="1"/>
  <c r="F11004" i="1"/>
  <c r="E11004" i="1"/>
  <c r="D11004" i="1"/>
  <c r="C11004" i="1"/>
  <c r="B11004" i="1"/>
  <c r="G11003" i="1"/>
  <c r="F11003" i="1"/>
  <c r="E11003" i="1"/>
  <c r="D11003" i="1"/>
  <c r="C11003" i="1"/>
  <c r="B11003" i="1"/>
  <c r="G11002" i="1"/>
  <c r="F11002" i="1"/>
  <c r="E11002" i="1"/>
  <c r="D11002" i="1"/>
  <c r="C11002" i="1"/>
  <c r="B11002" i="1"/>
  <c r="G11001" i="1"/>
  <c r="F11001" i="1"/>
  <c r="E11001" i="1"/>
  <c r="D11001" i="1"/>
  <c r="C11001" i="1"/>
  <c r="B11001" i="1"/>
  <c r="G11000" i="1"/>
  <c r="F11000" i="1"/>
  <c r="E11000" i="1"/>
  <c r="D11000" i="1"/>
  <c r="C11000" i="1"/>
  <c r="B11000" i="1"/>
  <c r="G10999" i="1"/>
  <c r="F10999" i="1"/>
  <c r="E10999" i="1"/>
  <c r="D10999" i="1"/>
  <c r="C10999" i="1"/>
  <c r="B10999" i="1"/>
  <c r="G10998" i="1"/>
  <c r="F10998" i="1"/>
  <c r="E10998" i="1"/>
  <c r="D10998" i="1"/>
  <c r="C10998" i="1"/>
  <c r="B10998" i="1"/>
  <c r="G10997" i="1"/>
  <c r="F10997" i="1"/>
  <c r="E10997" i="1"/>
  <c r="D10997" i="1"/>
  <c r="C10997" i="1"/>
  <c r="B10997" i="1"/>
  <c r="G10996" i="1"/>
  <c r="F10996" i="1"/>
  <c r="E10996" i="1"/>
  <c r="D10996" i="1"/>
  <c r="C10996" i="1"/>
  <c r="B10996" i="1"/>
  <c r="G10995" i="1"/>
  <c r="F10995" i="1"/>
  <c r="E10995" i="1"/>
  <c r="D10995" i="1"/>
  <c r="C10995" i="1"/>
  <c r="B10995" i="1"/>
  <c r="G10994" i="1"/>
  <c r="F10994" i="1"/>
  <c r="E10994" i="1"/>
  <c r="D10994" i="1"/>
  <c r="C10994" i="1"/>
  <c r="B10994" i="1"/>
  <c r="G10993" i="1"/>
  <c r="F10993" i="1"/>
  <c r="E10993" i="1"/>
  <c r="D10993" i="1"/>
  <c r="C10993" i="1"/>
  <c r="B10993" i="1"/>
  <c r="G10992" i="1"/>
  <c r="F10992" i="1"/>
  <c r="E10992" i="1"/>
  <c r="D10992" i="1"/>
  <c r="C10992" i="1"/>
  <c r="B10992" i="1"/>
  <c r="G10991" i="1"/>
  <c r="F10991" i="1"/>
  <c r="E10991" i="1"/>
  <c r="D10991" i="1"/>
  <c r="C10991" i="1"/>
  <c r="B10991" i="1"/>
  <c r="G10990" i="1"/>
  <c r="F10990" i="1"/>
  <c r="E10990" i="1"/>
  <c r="D10990" i="1"/>
  <c r="C10990" i="1"/>
  <c r="B10990" i="1"/>
  <c r="G10989" i="1"/>
  <c r="F10989" i="1"/>
  <c r="E10989" i="1"/>
  <c r="D10989" i="1"/>
  <c r="C10989" i="1"/>
  <c r="B10989" i="1"/>
  <c r="G10988" i="1"/>
  <c r="F10988" i="1"/>
  <c r="E10988" i="1"/>
  <c r="D10988" i="1"/>
  <c r="C10988" i="1"/>
  <c r="B10988" i="1"/>
  <c r="G10987" i="1"/>
  <c r="F10987" i="1"/>
  <c r="E10987" i="1"/>
  <c r="D10987" i="1"/>
  <c r="C10987" i="1"/>
  <c r="B10987" i="1"/>
  <c r="G10986" i="1"/>
  <c r="F10986" i="1"/>
  <c r="E10986" i="1"/>
  <c r="D10986" i="1"/>
  <c r="C10986" i="1"/>
  <c r="B10986" i="1"/>
  <c r="G10985" i="1"/>
  <c r="F10985" i="1"/>
  <c r="E10985" i="1"/>
  <c r="D10985" i="1"/>
  <c r="C10985" i="1"/>
  <c r="B10985" i="1"/>
  <c r="G10984" i="1"/>
  <c r="F10984" i="1"/>
  <c r="E10984" i="1"/>
  <c r="D10984" i="1"/>
  <c r="C10984" i="1"/>
  <c r="B10984" i="1"/>
  <c r="G10983" i="1"/>
  <c r="F10983" i="1"/>
  <c r="E10983" i="1"/>
  <c r="D10983" i="1"/>
  <c r="C10983" i="1"/>
  <c r="B10983" i="1"/>
  <c r="G10982" i="1"/>
  <c r="F10982" i="1"/>
  <c r="E10982" i="1"/>
  <c r="D10982" i="1"/>
  <c r="C10982" i="1"/>
  <c r="B10982" i="1"/>
  <c r="G10981" i="1"/>
  <c r="F10981" i="1"/>
  <c r="E10981" i="1"/>
  <c r="D10981" i="1"/>
  <c r="C10981" i="1"/>
  <c r="B10981" i="1"/>
  <c r="G10980" i="1"/>
  <c r="F10980" i="1"/>
  <c r="E10980" i="1"/>
  <c r="D10980" i="1"/>
  <c r="C10980" i="1"/>
  <c r="B10980" i="1"/>
  <c r="G10979" i="1"/>
  <c r="F10979" i="1"/>
  <c r="E10979" i="1"/>
  <c r="D10979" i="1"/>
  <c r="C10979" i="1"/>
  <c r="B10979" i="1"/>
  <c r="G10978" i="1"/>
  <c r="F10978" i="1"/>
  <c r="E10978" i="1"/>
  <c r="D10978" i="1"/>
  <c r="C10978" i="1"/>
  <c r="B10978" i="1"/>
  <c r="G10977" i="1"/>
  <c r="F10977" i="1"/>
  <c r="E10977" i="1"/>
  <c r="D10977" i="1"/>
  <c r="C10977" i="1"/>
  <c r="B10977" i="1"/>
  <c r="G10976" i="1"/>
  <c r="F10976" i="1"/>
  <c r="E10976" i="1"/>
  <c r="D10976" i="1"/>
  <c r="C10976" i="1"/>
  <c r="B10976" i="1"/>
  <c r="G10975" i="1"/>
  <c r="F10975" i="1"/>
  <c r="E10975" i="1"/>
  <c r="D10975" i="1"/>
  <c r="C10975" i="1"/>
  <c r="B10975" i="1"/>
  <c r="G10974" i="1"/>
  <c r="F10974" i="1"/>
  <c r="E10974" i="1"/>
  <c r="D10974" i="1"/>
  <c r="C10974" i="1"/>
  <c r="B10974" i="1"/>
  <c r="G10973" i="1"/>
  <c r="F10973" i="1"/>
  <c r="E10973" i="1"/>
  <c r="D10973" i="1"/>
  <c r="C10973" i="1"/>
  <c r="B10973" i="1"/>
  <c r="G10972" i="1"/>
  <c r="F10972" i="1"/>
  <c r="E10972" i="1"/>
  <c r="D10972" i="1"/>
  <c r="C10972" i="1"/>
  <c r="B10972" i="1"/>
  <c r="G10971" i="1"/>
  <c r="F10971" i="1"/>
  <c r="E10971" i="1"/>
  <c r="D10971" i="1"/>
  <c r="C10971" i="1"/>
  <c r="B10971" i="1"/>
  <c r="G10970" i="1"/>
  <c r="F10970" i="1"/>
  <c r="E10970" i="1"/>
  <c r="D10970" i="1"/>
  <c r="C10970" i="1"/>
  <c r="B10970" i="1"/>
  <c r="G10969" i="1"/>
  <c r="F10969" i="1"/>
  <c r="E10969" i="1"/>
  <c r="D10969" i="1"/>
  <c r="C10969" i="1"/>
  <c r="B10969" i="1"/>
  <c r="G10968" i="1"/>
  <c r="F10968" i="1"/>
  <c r="E10968" i="1"/>
  <c r="D10968" i="1"/>
  <c r="C10968" i="1"/>
  <c r="B10968" i="1"/>
  <c r="G10967" i="1"/>
  <c r="F10967" i="1"/>
  <c r="E10967" i="1"/>
  <c r="D10967" i="1"/>
  <c r="C10967" i="1"/>
  <c r="B10967" i="1"/>
  <c r="G10966" i="1"/>
  <c r="F10966" i="1"/>
  <c r="E10966" i="1"/>
  <c r="D10966" i="1"/>
  <c r="C10966" i="1"/>
  <c r="B10966" i="1"/>
  <c r="G10965" i="1"/>
  <c r="F10965" i="1"/>
  <c r="E10965" i="1"/>
  <c r="D10965" i="1"/>
  <c r="C10965" i="1"/>
  <c r="B10965" i="1"/>
  <c r="G10964" i="1"/>
  <c r="F10964" i="1"/>
  <c r="E10964" i="1"/>
  <c r="D10964" i="1"/>
  <c r="C10964" i="1"/>
  <c r="B10964" i="1"/>
  <c r="G10963" i="1"/>
  <c r="F10963" i="1"/>
  <c r="E10963" i="1"/>
  <c r="D10963" i="1"/>
  <c r="C10963" i="1"/>
  <c r="B10963" i="1"/>
  <c r="G10962" i="1"/>
  <c r="F10962" i="1"/>
  <c r="E10962" i="1"/>
  <c r="D10962" i="1"/>
  <c r="C10962" i="1"/>
  <c r="B10962" i="1"/>
  <c r="G10961" i="1"/>
  <c r="F10961" i="1"/>
  <c r="E10961" i="1"/>
  <c r="D10961" i="1"/>
  <c r="C10961" i="1"/>
  <c r="B10961" i="1"/>
  <c r="G10960" i="1"/>
  <c r="F10960" i="1"/>
  <c r="E10960" i="1"/>
  <c r="D10960" i="1"/>
  <c r="C10960" i="1"/>
  <c r="B10960" i="1"/>
  <c r="G10959" i="1"/>
  <c r="F10959" i="1"/>
  <c r="E10959" i="1"/>
  <c r="D10959" i="1"/>
  <c r="C10959" i="1"/>
  <c r="B10959" i="1"/>
  <c r="G10958" i="1"/>
  <c r="F10958" i="1"/>
  <c r="E10958" i="1"/>
  <c r="D10958" i="1"/>
  <c r="C10958" i="1"/>
  <c r="B10958" i="1"/>
  <c r="G10957" i="1"/>
  <c r="F10957" i="1"/>
  <c r="E10957" i="1"/>
  <c r="D10957" i="1"/>
  <c r="C10957" i="1"/>
  <c r="B10957" i="1"/>
  <c r="G10956" i="1"/>
  <c r="F10956" i="1"/>
  <c r="E10956" i="1"/>
  <c r="D10956" i="1"/>
  <c r="C10956" i="1"/>
  <c r="B10956" i="1"/>
  <c r="G10955" i="1"/>
  <c r="F10955" i="1"/>
  <c r="E10955" i="1"/>
  <c r="D10955" i="1"/>
  <c r="C10955" i="1"/>
  <c r="B10955" i="1"/>
  <c r="G10954" i="1"/>
  <c r="F10954" i="1"/>
  <c r="E10954" i="1"/>
  <c r="D10954" i="1"/>
  <c r="C10954" i="1"/>
  <c r="B10954" i="1"/>
  <c r="G10953" i="1"/>
  <c r="F10953" i="1"/>
  <c r="E10953" i="1"/>
  <c r="D10953" i="1"/>
  <c r="C10953" i="1"/>
  <c r="B10953" i="1"/>
  <c r="G10952" i="1"/>
  <c r="F10952" i="1"/>
  <c r="E10952" i="1"/>
  <c r="D10952" i="1"/>
  <c r="C10952" i="1"/>
  <c r="B10952" i="1"/>
  <c r="G10951" i="1"/>
  <c r="F10951" i="1"/>
  <c r="E10951" i="1"/>
  <c r="D10951" i="1"/>
  <c r="C10951" i="1"/>
  <c r="B10951" i="1"/>
  <c r="G10950" i="1"/>
  <c r="F10950" i="1"/>
  <c r="E10950" i="1"/>
  <c r="D10950" i="1"/>
  <c r="C10950" i="1"/>
  <c r="B10950" i="1"/>
  <c r="G10949" i="1"/>
  <c r="F10949" i="1"/>
  <c r="E10949" i="1"/>
  <c r="D10949" i="1"/>
  <c r="C10949" i="1"/>
  <c r="B10949" i="1"/>
  <c r="G10948" i="1"/>
  <c r="F10948" i="1"/>
  <c r="E10948" i="1"/>
  <c r="D10948" i="1"/>
  <c r="C10948" i="1"/>
  <c r="B10948" i="1"/>
  <c r="G10947" i="1"/>
  <c r="F10947" i="1"/>
  <c r="E10947" i="1"/>
  <c r="D10947" i="1"/>
  <c r="C10947" i="1"/>
  <c r="B10947" i="1"/>
  <c r="G10946" i="1"/>
  <c r="F10946" i="1"/>
  <c r="E10946" i="1"/>
  <c r="D10946" i="1"/>
  <c r="C10946" i="1"/>
  <c r="B10946" i="1"/>
  <c r="G10945" i="1"/>
  <c r="F10945" i="1"/>
  <c r="E10945" i="1"/>
  <c r="D10945" i="1"/>
  <c r="C10945" i="1"/>
  <c r="B10945" i="1"/>
  <c r="G10944" i="1"/>
  <c r="F10944" i="1"/>
  <c r="E10944" i="1"/>
  <c r="D10944" i="1"/>
  <c r="C10944" i="1"/>
  <c r="B10944" i="1"/>
  <c r="G10943" i="1"/>
  <c r="F10943" i="1"/>
  <c r="E10943" i="1"/>
  <c r="D10943" i="1"/>
  <c r="C10943" i="1"/>
  <c r="B10943" i="1"/>
  <c r="G10942" i="1"/>
  <c r="F10942" i="1"/>
  <c r="E10942" i="1"/>
  <c r="D10942" i="1"/>
  <c r="C10942" i="1"/>
  <c r="B10942" i="1"/>
  <c r="G10941" i="1"/>
  <c r="F10941" i="1"/>
  <c r="E10941" i="1"/>
  <c r="D10941" i="1"/>
  <c r="C10941" i="1"/>
  <c r="B10941" i="1"/>
  <c r="G10940" i="1"/>
  <c r="F10940" i="1"/>
  <c r="E10940" i="1"/>
  <c r="D10940" i="1"/>
  <c r="C10940" i="1"/>
  <c r="B10940" i="1"/>
  <c r="G10939" i="1"/>
  <c r="F10939" i="1"/>
  <c r="E10939" i="1"/>
  <c r="D10939" i="1"/>
  <c r="C10939" i="1"/>
  <c r="B10939" i="1"/>
  <c r="G10938" i="1"/>
  <c r="F10938" i="1"/>
  <c r="E10938" i="1"/>
  <c r="D10938" i="1"/>
  <c r="C10938" i="1"/>
  <c r="B10938" i="1"/>
  <c r="G10937" i="1"/>
  <c r="F10937" i="1"/>
  <c r="E10937" i="1"/>
  <c r="D10937" i="1"/>
  <c r="C10937" i="1"/>
  <c r="B10937" i="1"/>
  <c r="G10936" i="1"/>
  <c r="F10936" i="1"/>
  <c r="E10936" i="1"/>
  <c r="D10936" i="1"/>
  <c r="C10936" i="1"/>
  <c r="B10936" i="1"/>
  <c r="G10935" i="1"/>
  <c r="F10935" i="1"/>
  <c r="E10935" i="1"/>
  <c r="D10935" i="1"/>
  <c r="C10935" i="1"/>
  <c r="B10935" i="1"/>
  <c r="G10934" i="1"/>
  <c r="F10934" i="1"/>
  <c r="E10934" i="1"/>
  <c r="D10934" i="1"/>
  <c r="C10934" i="1"/>
  <c r="B10934" i="1"/>
  <c r="G10933" i="1"/>
  <c r="F10933" i="1"/>
  <c r="E10933" i="1"/>
  <c r="D10933" i="1"/>
  <c r="C10933" i="1"/>
  <c r="B10933" i="1"/>
  <c r="G10932" i="1"/>
  <c r="F10932" i="1"/>
  <c r="E10932" i="1"/>
  <c r="D10932" i="1"/>
  <c r="C10932" i="1"/>
  <c r="B10932" i="1"/>
  <c r="G10931" i="1"/>
  <c r="F10931" i="1"/>
  <c r="E10931" i="1"/>
  <c r="D10931" i="1"/>
  <c r="C10931" i="1"/>
  <c r="B10931" i="1"/>
  <c r="G10930" i="1"/>
  <c r="F10930" i="1"/>
  <c r="E10930" i="1"/>
  <c r="D10930" i="1"/>
  <c r="C10930" i="1"/>
  <c r="B10930" i="1"/>
  <c r="G10929" i="1"/>
  <c r="F10929" i="1"/>
  <c r="E10929" i="1"/>
  <c r="D10929" i="1"/>
  <c r="C10929" i="1"/>
  <c r="B10929" i="1"/>
  <c r="G10928" i="1"/>
  <c r="F10928" i="1"/>
  <c r="E10928" i="1"/>
  <c r="D10928" i="1"/>
  <c r="C10928" i="1"/>
  <c r="B10928" i="1"/>
  <c r="G10927" i="1"/>
  <c r="F10927" i="1"/>
  <c r="E10927" i="1"/>
  <c r="D10927" i="1"/>
  <c r="C10927" i="1"/>
  <c r="B10927" i="1"/>
  <c r="G10926" i="1"/>
  <c r="F10926" i="1"/>
  <c r="E10926" i="1"/>
  <c r="D10926" i="1"/>
  <c r="C10926" i="1"/>
  <c r="B10926" i="1"/>
  <c r="G10925" i="1"/>
  <c r="F10925" i="1"/>
  <c r="E10925" i="1"/>
  <c r="D10925" i="1"/>
  <c r="C10925" i="1"/>
  <c r="B10925" i="1"/>
  <c r="G10924" i="1"/>
  <c r="F10924" i="1"/>
  <c r="E10924" i="1"/>
  <c r="D10924" i="1"/>
  <c r="C10924" i="1"/>
  <c r="B10924" i="1"/>
  <c r="G10923" i="1"/>
  <c r="F10923" i="1"/>
  <c r="E10923" i="1"/>
  <c r="D10923" i="1"/>
  <c r="C10923" i="1"/>
  <c r="B10923" i="1"/>
  <c r="G10922" i="1"/>
  <c r="F10922" i="1"/>
  <c r="E10922" i="1"/>
  <c r="D10922" i="1"/>
  <c r="C10922" i="1"/>
  <c r="B10922" i="1"/>
  <c r="G10921" i="1"/>
  <c r="F10921" i="1"/>
  <c r="E10921" i="1"/>
  <c r="D10921" i="1"/>
  <c r="C10921" i="1"/>
  <c r="B10921" i="1"/>
  <c r="G10920" i="1"/>
  <c r="F10920" i="1"/>
  <c r="E10920" i="1"/>
  <c r="D10920" i="1"/>
  <c r="C10920" i="1"/>
  <c r="B10920" i="1"/>
  <c r="G10919" i="1"/>
  <c r="F10919" i="1"/>
  <c r="E10919" i="1"/>
  <c r="D10919" i="1"/>
  <c r="C10919" i="1"/>
  <c r="B10919" i="1"/>
  <c r="G10918" i="1"/>
  <c r="F10918" i="1"/>
  <c r="E10918" i="1"/>
  <c r="D10918" i="1"/>
  <c r="C10918" i="1"/>
  <c r="B10918" i="1"/>
  <c r="G10917" i="1"/>
  <c r="F10917" i="1"/>
  <c r="E10917" i="1"/>
  <c r="D10917" i="1"/>
  <c r="C10917" i="1"/>
  <c r="B10917" i="1"/>
  <c r="G10916" i="1"/>
  <c r="F10916" i="1"/>
  <c r="E10916" i="1"/>
  <c r="D10916" i="1"/>
  <c r="C10916" i="1"/>
  <c r="B10916" i="1"/>
  <c r="G10915" i="1"/>
  <c r="F10915" i="1"/>
  <c r="E10915" i="1"/>
  <c r="D10915" i="1"/>
  <c r="C10915" i="1"/>
  <c r="B10915" i="1"/>
  <c r="G10914" i="1"/>
  <c r="F10914" i="1"/>
  <c r="E10914" i="1"/>
  <c r="D10914" i="1"/>
  <c r="C10914" i="1"/>
  <c r="B10914" i="1"/>
  <c r="G10913" i="1"/>
  <c r="F10913" i="1"/>
  <c r="E10913" i="1"/>
  <c r="D10913" i="1"/>
  <c r="C10913" i="1"/>
  <c r="B10913" i="1"/>
  <c r="G10912" i="1"/>
  <c r="F10912" i="1"/>
  <c r="E10912" i="1"/>
  <c r="D10912" i="1"/>
  <c r="C10912" i="1"/>
  <c r="B10912" i="1"/>
  <c r="G10911" i="1"/>
  <c r="F10911" i="1"/>
  <c r="E10911" i="1"/>
  <c r="D10911" i="1"/>
  <c r="C10911" i="1"/>
  <c r="B10911" i="1"/>
  <c r="G10910" i="1"/>
  <c r="F10910" i="1"/>
  <c r="E10910" i="1"/>
  <c r="D10910" i="1"/>
  <c r="C10910" i="1"/>
  <c r="B10910" i="1"/>
  <c r="G10909" i="1"/>
  <c r="F10909" i="1"/>
  <c r="E10909" i="1"/>
  <c r="D10909" i="1"/>
  <c r="C10909" i="1"/>
  <c r="B10909" i="1"/>
  <c r="G10908" i="1"/>
  <c r="F10908" i="1"/>
  <c r="E10908" i="1"/>
  <c r="D10908" i="1"/>
  <c r="C10908" i="1"/>
  <c r="B10908" i="1"/>
  <c r="G10907" i="1"/>
  <c r="F10907" i="1"/>
  <c r="E10907" i="1"/>
  <c r="D10907" i="1"/>
  <c r="C10907" i="1"/>
  <c r="B10907" i="1"/>
  <c r="G10906" i="1"/>
  <c r="F10906" i="1"/>
  <c r="E10906" i="1"/>
  <c r="D10906" i="1"/>
  <c r="C10906" i="1"/>
  <c r="B10906" i="1"/>
  <c r="G10905" i="1"/>
  <c r="F10905" i="1"/>
  <c r="E10905" i="1"/>
  <c r="D10905" i="1"/>
  <c r="C10905" i="1"/>
  <c r="B10905" i="1"/>
  <c r="G10904" i="1"/>
  <c r="F10904" i="1"/>
  <c r="E10904" i="1"/>
  <c r="D10904" i="1"/>
  <c r="C10904" i="1"/>
  <c r="B10904" i="1"/>
  <c r="G10903" i="1"/>
  <c r="F10903" i="1"/>
  <c r="E10903" i="1"/>
  <c r="D10903" i="1"/>
  <c r="C10903" i="1"/>
  <c r="B10903" i="1"/>
  <c r="G10902" i="1"/>
  <c r="F10902" i="1"/>
  <c r="E10902" i="1"/>
  <c r="D10902" i="1"/>
  <c r="C10902" i="1"/>
  <c r="B10902" i="1"/>
  <c r="G10901" i="1"/>
  <c r="F10901" i="1"/>
  <c r="E10901" i="1"/>
  <c r="D10901" i="1"/>
  <c r="C10901" i="1"/>
  <c r="B10901" i="1"/>
  <c r="G10900" i="1"/>
  <c r="F10900" i="1"/>
  <c r="E10900" i="1"/>
  <c r="D10900" i="1"/>
  <c r="C10900" i="1"/>
  <c r="B10900" i="1"/>
  <c r="G10899" i="1"/>
  <c r="F10899" i="1"/>
  <c r="E10899" i="1"/>
  <c r="D10899" i="1"/>
  <c r="C10899" i="1"/>
  <c r="B10899" i="1"/>
  <c r="G10898" i="1"/>
  <c r="F10898" i="1"/>
  <c r="E10898" i="1"/>
  <c r="D10898" i="1"/>
  <c r="C10898" i="1"/>
  <c r="B10898" i="1"/>
  <c r="G10897" i="1"/>
  <c r="F10897" i="1"/>
  <c r="E10897" i="1"/>
  <c r="D10897" i="1"/>
  <c r="C10897" i="1"/>
  <c r="B10897" i="1"/>
  <c r="G10896" i="1"/>
  <c r="F10896" i="1"/>
  <c r="E10896" i="1"/>
  <c r="D10896" i="1"/>
  <c r="C10896" i="1"/>
  <c r="B10896" i="1"/>
  <c r="G10895" i="1"/>
  <c r="F10895" i="1"/>
  <c r="E10895" i="1"/>
  <c r="D10895" i="1"/>
  <c r="C10895" i="1"/>
  <c r="B10895" i="1"/>
  <c r="G10894" i="1"/>
  <c r="F10894" i="1"/>
  <c r="E10894" i="1"/>
  <c r="D10894" i="1"/>
  <c r="C10894" i="1"/>
  <c r="B10894" i="1"/>
  <c r="G10893" i="1"/>
  <c r="F10893" i="1"/>
  <c r="E10893" i="1"/>
  <c r="D10893" i="1"/>
  <c r="C10893" i="1"/>
  <c r="B10893" i="1"/>
  <c r="G10892" i="1"/>
  <c r="F10892" i="1"/>
  <c r="E10892" i="1"/>
  <c r="D10892" i="1"/>
  <c r="C10892" i="1"/>
  <c r="B10892" i="1"/>
  <c r="G10891" i="1"/>
  <c r="F10891" i="1"/>
  <c r="E10891" i="1"/>
  <c r="D10891" i="1"/>
  <c r="C10891" i="1"/>
  <c r="B10891" i="1"/>
  <c r="G10890" i="1"/>
  <c r="F10890" i="1"/>
  <c r="E10890" i="1"/>
  <c r="D10890" i="1"/>
  <c r="C10890" i="1"/>
  <c r="B10890" i="1"/>
  <c r="G10889" i="1"/>
  <c r="F10889" i="1"/>
  <c r="E10889" i="1"/>
  <c r="D10889" i="1"/>
  <c r="C10889" i="1"/>
  <c r="B10889" i="1"/>
  <c r="G10888" i="1"/>
  <c r="F10888" i="1"/>
  <c r="E10888" i="1"/>
  <c r="D10888" i="1"/>
  <c r="C10888" i="1"/>
  <c r="B10888" i="1"/>
  <c r="G10887" i="1"/>
  <c r="F10887" i="1"/>
  <c r="E10887" i="1"/>
  <c r="D10887" i="1"/>
  <c r="C10887" i="1"/>
  <c r="B10887" i="1"/>
  <c r="G10886" i="1"/>
  <c r="F10886" i="1"/>
  <c r="E10886" i="1"/>
  <c r="D10886" i="1"/>
  <c r="C10886" i="1"/>
  <c r="B10886" i="1"/>
  <c r="G10885" i="1"/>
  <c r="F10885" i="1"/>
  <c r="E10885" i="1"/>
  <c r="D10885" i="1"/>
  <c r="C10885" i="1"/>
  <c r="B10885" i="1"/>
  <c r="G10884" i="1"/>
  <c r="F10884" i="1"/>
  <c r="E10884" i="1"/>
  <c r="D10884" i="1"/>
  <c r="C10884" i="1"/>
  <c r="B10884" i="1"/>
  <c r="G10883" i="1"/>
  <c r="F10883" i="1"/>
  <c r="E10883" i="1"/>
  <c r="D10883" i="1"/>
  <c r="C10883" i="1"/>
  <c r="B10883" i="1"/>
  <c r="G10882" i="1"/>
  <c r="F10882" i="1"/>
  <c r="E10882" i="1"/>
  <c r="D10882" i="1"/>
  <c r="C10882" i="1"/>
  <c r="B10882" i="1"/>
  <c r="G10881" i="1"/>
  <c r="F10881" i="1"/>
  <c r="E10881" i="1"/>
  <c r="D10881" i="1"/>
  <c r="C10881" i="1"/>
  <c r="B10881" i="1"/>
  <c r="G10880" i="1"/>
  <c r="F10880" i="1"/>
  <c r="E10880" i="1"/>
  <c r="D10880" i="1"/>
  <c r="C10880" i="1"/>
  <c r="B10880" i="1"/>
  <c r="G10879" i="1"/>
  <c r="F10879" i="1"/>
  <c r="E10879" i="1"/>
  <c r="D10879" i="1"/>
  <c r="C10879" i="1"/>
  <c r="B10879" i="1"/>
  <c r="G10878" i="1"/>
  <c r="F10878" i="1"/>
  <c r="E10878" i="1"/>
  <c r="D10878" i="1"/>
  <c r="C10878" i="1"/>
  <c r="B10878" i="1"/>
  <c r="G10877" i="1"/>
  <c r="F10877" i="1"/>
  <c r="E10877" i="1"/>
  <c r="D10877" i="1"/>
  <c r="C10877" i="1"/>
  <c r="B10877" i="1"/>
  <c r="G10876" i="1"/>
  <c r="F10876" i="1"/>
  <c r="E10876" i="1"/>
  <c r="D10876" i="1"/>
  <c r="C10876" i="1"/>
  <c r="B10876" i="1"/>
  <c r="G10875" i="1"/>
  <c r="F10875" i="1"/>
  <c r="E10875" i="1"/>
  <c r="D10875" i="1"/>
  <c r="C10875" i="1"/>
  <c r="B10875" i="1"/>
  <c r="G10874" i="1"/>
  <c r="F10874" i="1"/>
  <c r="E10874" i="1"/>
  <c r="D10874" i="1"/>
  <c r="C10874" i="1"/>
  <c r="B10874" i="1"/>
  <c r="G10873" i="1"/>
  <c r="F10873" i="1"/>
  <c r="E10873" i="1"/>
  <c r="D10873" i="1"/>
  <c r="C10873" i="1"/>
  <c r="B10873" i="1"/>
  <c r="G10872" i="1"/>
  <c r="F10872" i="1"/>
  <c r="E10872" i="1"/>
  <c r="D10872" i="1"/>
  <c r="C10872" i="1"/>
  <c r="B10872" i="1"/>
  <c r="G10871" i="1"/>
  <c r="F10871" i="1"/>
  <c r="E10871" i="1"/>
  <c r="D10871" i="1"/>
  <c r="C10871" i="1"/>
  <c r="B10871" i="1"/>
  <c r="G10870" i="1"/>
  <c r="F10870" i="1"/>
  <c r="E10870" i="1"/>
  <c r="D10870" i="1"/>
  <c r="C10870" i="1"/>
  <c r="B10870" i="1"/>
  <c r="G10869" i="1"/>
  <c r="F10869" i="1"/>
  <c r="E10869" i="1"/>
  <c r="D10869" i="1"/>
  <c r="C10869" i="1"/>
  <c r="B10869" i="1"/>
  <c r="G10868" i="1"/>
  <c r="F10868" i="1"/>
  <c r="E10868" i="1"/>
  <c r="D10868" i="1"/>
  <c r="C10868" i="1"/>
  <c r="B10868" i="1"/>
  <c r="G10867" i="1"/>
  <c r="F10867" i="1"/>
  <c r="E10867" i="1"/>
  <c r="D10867" i="1"/>
  <c r="C10867" i="1"/>
  <c r="B10867" i="1"/>
  <c r="G10866" i="1"/>
  <c r="F10866" i="1"/>
  <c r="E10866" i="1"/>
  <c r="D10866" i="1"/>
  <c r="C10866" i="1"/>
  <c r="B10866" i="1"/>
  <c r="G10865" i="1"/>
  <c r="F10865" i="1"/>
  <c r="E10865" i="1"/>
  <c r="D10865" i="1"/>
  <c r="C10865" i="1"/>
  <c r="B10865" i="1"/>
  <c r="G10864" i="1"/>
  <c r="F10864" i="1"/>
  <c r="E10864" i="1"/>
  <c r="D10864" i="1"/>
  <c r="C10864" i="1"/>
  <c r="B10864" i="1"/>
  <c r="G10863" i="1"/>
  <c r="F10863" i="1"/>
  <c r="E10863" i="1"/>
  <c r="D10863" i="1"/>
  <c r="C10863" i="1"/>
  <c r="B10863" i="1"/>
  <c r="G10862" i="1"/>
  <c r="F10862" i="1"/>
  <c r="E10862" i="1"/>
  <c r="D10862" i="1"/>
  <c r="C10862" i="1"/>
  <c r="B10862" i="1"/>
  <c r="G10861" i="1"/>
  <c r="F10861" i="1"/>
  <c r="E10861" i="1"/>
  <c r="D10861" i="1"/>
  <c r="C10861" i="1"/>
  <c r="B10861" i="1"/>
  <c r="G10860" i="1"/>
  <c r="F10860" i="1"/>
  <c r="E10860" i="1"/>
  <c r="D10860" i="1"/>
  <c r="C10860" i="1"/>
  <c r="B10860" i="1"/>
  <c r="G10859" i="1"/>
  <c r="F10859" i="1"/>
  <c r="E10859" i="1"/>
  <c r="D10859" i="1"/>
  <c r="C10859" i="1"/>
  <c r="B10859" i="1"/>
  <c r="G10858" i="1"/>
  <c r="F10858" i="1"/>
  <c r="E10858" i="1"/>
  <c r="D10858" i="1"/>
  <c r="C10858" i="1"/>
  <c r="B10858" i="1"/>
  <c r="G10857" i="1"/>
  <c r="F10857" i="1"/>
  <c r="E10857" i="1"/>
  <c r="D10857" i="1"/>
  <c r="C10857" i="1"/>
  <c r="B10857" i="1"/>
  <c r="G10856" i="1"/>
  <c r="F10856" i="1"/>
  <c r="E10856" i="1"/>
  <c r="D10856" i="1"/>
  <c r="C10856" i="1"/>
  <c r="B10856" i="1"/>
  <c r="G10855" i="1"/>
  <c r="F10855" i="1"/>
  <c r="E10855" i="1"/>
  <c r="D10855" i="1"/>
  <c r="C10855" i="1"/>
  <c r="B10855" i="1"/>
  <c r="G10854" i="1"/>
  <c r="F10854" i="1"/>
  <c r="E10854" i="1"/>
  <c r="D10854" i="1"/>
  <c r="C10854" i="1"/>
  <c r="B10854" i="1"/>
  <c r="G10853" i="1"/>
  <c r="F10853" i="1"/>
  <c r="E10853" i="1"/>
  <c r="D10853" i="1"/>
  <c r="C10853" i="1"/>
  <c r="B10853" i="1"/>
  <c r="G10852" i="1"/>
  <c r="F10852" i="1"/>
  <c r="E10852" i="1"/>
  <c r="D10852" i="1"/>
  <c r="C10852" i="1"/>
  <c r="B10852" i="1"/>
  <c r="G10851" i="1"/>
  <c r="F10851" i="1"/>
  <c r="E10851" i="1"/>
  <c r="D10851" i="1"/>
  <c r="C10851" i="1"/>
  <c r="B10851" i="1"/>
  <c r="G10850" i="1"/>
  <c r="F10850" i="1"/>
  <c r="E10850" i="1"/>
  <c r="D10850" i="1"/>
  <c r="C10850" i="1"/>
  <c r="B10850" i="1"/>
  <c r="G10849" i="1"/>
  <c r="F10849" i="1"/>
  <c r="E10849" i="1"/>
  <c r="D10849" i="1"/>
  <c r="C10849" i="1"/>
  <c r="B10849" i="1"/>
  <c r="G10848" i="1"/>
  <c r="F10848" i="1"/>
  <c r="E10848" i="1"/>
  <c r="D10848" i="1"/>
  <c r="C10848" i="1"/>
  <c r="B10848" i="1"/>
  <c r="G10847" i="1"/>
  <c r="F10847" i="1"/>
  <c r="E10847" i="1"/>
  <c r="D10847" i="1"/>
  <c r="C10847" i="1"/>
  <c r="B10847" i="1"/>
  <c r="G10846" i="1"/>
  <c r="F10846" i="1"/>
  <c r="E10846" i="1"/>
  <c r="D10846" i="1"/>
  <c r="C10846" i="1"/>
  <c r="B10846" i="1"/>
  <c r="G10845" i="1"/>
  <c r="F10845" i="1"/>
  <c r="E10845" i="1"/>
  <c r="D10845" i="1"/>
  <c r="C10845" i="1"/>
  <c r="B10845" i="1"/>
  <c r="G10844" i="1"/>
  <c r="F10844" i="1"/>
  <c r="E10844" i="1"/>
  <c r="D10844" i="1"/>
  <c r="C10844" i="1"/>
  <c r="B10844" i="1"/>
  <c r="G10843" i="1"/>
  <c r="F10843" i="1"/>
  <c r="E10843" i="1"/>
  <c r="D10843" i="1"/>
  <c r="C10843" i="1"/>
  <c r="B10843" i="1"/>
  <c r="G10842" i="1"/>
  <c r="F10842" i="1"/>
  <c r="E10842" i="1"/>
  <c r="D10842" i="1"/>
  <c r="C10842" i="1"/>
  <c r="B10842" i="1"/>
  <c r="G10841" i="1"/>
  <c r="F10841" i="1"/>
  <c r="E10841" i="1"/>
  <c r="D10841" i="1"/>
  <c r="C10841" i="1"/>
  <c r="B10841" i="1"/>
  <c r="G10840" i="1"/>
  <c r="F10840" i="1"/>
  <c r="E10840" i="1"/>
  <c r="D10840" i="1"/>
  <c r="C10840" i="1"/>
  <c r="B10840" i="1"/>
  <c r="G10839" i="1"/>
  <c r="F10839" i="1"/>
  <c r="E10839" i="1"/>
  <c r="D10839" i="1"/>
  <c r="C10839" i="1"/>
  <c r="B10839" i="1"/>
  <c r="G10838" i="1"/>
  <c r="F10838" i="1"/>
  <c r="E10838" i="1"/>
  <c r="D10838" i="1"/>
  <c r="C10838" i="1"/>
  <c r="B10838" i="1"/>
  <c r="G10837" i="1"/>
  <c r="F10837" i="1"/>
  <c r="E10837" i="1"/>
  <c r="D10837" i="1"/>
  <c r="C10837" i="1"/>
  <c r="B10837" i="1"/>
  <c r="G10836" i="1"/>
  <c r="F10836" i="1"/>
  <c r="E10836" i="1"/>
  <c r="D10836" i="1"/>
  <c r="C10836" i="1"/>
  <c r="B10836" i="1"/>
  <c r="G10835" i="1"/>
  <c r="F10835" i="1"/>
  <c r="E10835" i="1"/>
  <c r="D10835" i="1"/>
  <c r="C10835" i="1"/>
  <c r="B10835" i="1"/>
  <c r="G10834" i="1"/>
  <c r="F10834" i="1"/>
  <c r="E10834" i="1"/>
  <c r="D10834" i="1"/>
  <c r="C10834" i="1"/>
  <c r="B10834" i="1"/>
  <c r="G10833" i="1"/>
  <c r="F10833" i="1"/>
  <c r="E10833" i="1"/>
  <c r="D10833" i="1"/>
  <c r="C10833" i="1"/>
  <c r="B10833" i="1"/>
  <c r="G10832" i="1"/>
  <c r="F10832" i="1"/>
  <c r="E10832" i="1"/>
  <c r="D10832" i="1"/>
  <c r="C10832" i="1"/>
  <c r="B10832" i="1"/>
  <c r="G10831" i="1"/>
  <c r="F10831" i="1"/>
  <c r="E10831" i="1"/>
  <c r="D10831" i="1"/>
  <c r="C10831" i="1"/>
  <c r="B10831" i="1"/>
  <c r="G10830" i="1"/>
  <c r="F10830" i="1"/>
  <c r="E10830" i="1"/>
  <c r="D10830" i="1"/>
  <c r="C10830" i="1"/>
  <c r="B10830" i="1"/>
  <c r="G10829" i="1"/>
  <c r="F10829" i="1"/>
  <c r="E10829" i="1"/>
  <c r="D10829" i="1"/>
  <c r="C10829" i="1"/>
  <c r="B10829" i="1"/>
  <c r="G10828" i="1"/>
  <c r="F10828" i="1"/>
  <c r="E10828" i="1"/>
  <c r="D10828" i="1"/>
  <c r="C10828" i="1"/>
  <c r="B10828" i="1"/>
  <c r="G10827" i="1"/>
  <c r="F10827" i="1"/>
  <c r="E10827" i="1"/>
  <c r="D10827" i="1"/>
  <c r="C10827" i="1"/>
  <c r="B10827" i="1"/>
  <c r="G10826" i="1"/>
  <c r="F10826" i="1"/>
  <c r="E10826" i="1"/>
  <c r="D10826" i="1"/>
  <c r="C10826" i="1"/>
  <c r="B10826" i="1"/>
  <c r="G10825" i="1"/>
  <c r="F10825" i="1"/>
  <c r="E10825" i="1"/>
  <c r="D10825" i="1"/>
  <c r="C10825" i="1"/>
  <c r="B10825" i="1"/>
  <c r="G10824" i="1"/>
  <c r="F10824" i="1"/>
  <c r="E10824" i="1"/>
  <c r="D10824" i="1"/>
  <c r="C10824" i="1"/>
  <c r="B10824" i="1"/>
  <c r="G10823" i="1"/>
  <c r="F10823" i="1"/>
  <c r="E10823" i="1"/>
  <c r="D10823" i="1"/>
  <c r="C10823" i="1"/>
  <c r="B10823" i="1"/>
  <c r="G10822" i="1"/>
  <c r="F10822" i="1"/>
  <c r="E10822" i="1"/>
  <c r="D10822" i="1"/>
  <c r="C10822" i="1"/>
  <c r="B10822" i="1"/>
  <c r="G10821" i="1"/>
  <c r="F10821" i="1"/>
  <c r="E10821" i="1"/>
  <c r="D10821" i="1"/>
  <c r="C10821" i="1"/>
  <c r="B10821" i="1"/>
  <c r="G10820" i="1"/>
  <c r="F10820" i="1"/>
  <c r="E10820" i="1"/>
  <c r="D10820" i="1"/>
  <c r="C10820" i="1"/>
  <c r="B10820" i="1"/>
  <c r="G10819" i="1"/>
  <c r="F10819" i="1"/>
  <c r="E10819" i="1"/>
  <c r="D10819" i="1"/>
  <c r="C10819" i="1"/>
  <c r="B10819" i="1"/>
  <c r="G10818" i="1"/>
  <c r="F10818" i="1"/>
  <c r="E10818" i="1"/>
  <c r="D10818" i="1"/>
  <c r="C10818" i="1"/>
  <c r="B10818" i="1"/>
  <c r="G10817" i="1"/>
  <c r="F10817" i="1"/>
  <c r="E10817" i="1"/>
  <c r="D10817" i="1"/>
  <c r="C10817" i="1"/>
  <c r="B10817" i="1"/>
  <c r="G10816" i="1"/>
  <c r="F10816" i="1"/>
  <c r="E10816" i="1"/>
  <c r="D10816" i="1"/>
  <c r="C10816" i="1"/>
  <c r="B10816" i="1"/>
  <c r="G10815" i="1"/>
  <c r="F10815" i="1"/>
  <c r="E10815" i="1"/>
  <c r="D10815" i="1"/>
  <c r="C10815" i="1"/>
  <c r="B10815" i="1"/>
  <c r="G10814" i="1"/>
  <c r="F10814" i="1"/>
  <c r="E10814" i="1"/>
  <c r="D10814" i="1"/>
  <c r="C10814" i="1"/>
  <c r="B10814" i="1"/>
  <c r="G10813" i="1"/>
  <c r="F10813" i="1"/>
  <c r="E10813" i="1"/>
  <c r="D10813" i="1"/>
  <c r="C10813" i="1"/>
  <c r="B10813" i="1"/>
  <c r="G10812" i="1"/>
  <c r="F10812" i="1"/>
  <c r="E10812" i="1"/>
  <c r="D10812" i="1"/>
  <c r="C10812" i="1"/>
  <c r="B10812" i="1"/>
  <c r="G10811" i="1"/>
  <c r="F10811" i="1"/>
  <c r="E10811" i="1"/>
  <c r="D10811" i="1"/>
  <c r="C10811" i="1"/>
  <c r="B10811" i="1"/>
  <c r="G10810" i="1"/>
  <c r="F10810" i="1"/>
  <c r="E10810" i="1"/>
  <c r="D10810" i="1"/>
  <c r="C10810" i="1"/>
  <c r="B10810" i="1"/>
  <c r="G10809" i="1"/>
  <c r="F10809" i="1"/>
  <c r="E10809" i="1"/>
  <c r="D10809" i="1"/>
  <c r="C10809" i="1"/>
  <c r="B10809" i="1"/>
  <c r="G10808" i="1"/>
  <c r="F10808" i="1"/>
  <c r="E10808" i="1"/>
  <c r="D10808" i="1"/>
  <c r="C10808" i="1"/>
  <c r="B10808" i="1"/>
  <c r="G10807" i="1"/>
  <c r="F10807" i="1"/>
  <c r="E10807" i="1"/>
  <c r="D10807" i="1"/>
  <c r="C10807" i="1"/>
  <c r="B10807" i="1"/>
  <c r="G10806" i="1"/>
  <c r="F10806" i="1"/>
  <c r="E10806" i="1"/>
  <c r="D10806" i="1"/>
  <c r="C10806" i="1"/>
  <c r="B10806" i="1"/>
  <c r="G10805" i="1"/>
  <c r="F10805" i="1"/>
  <c r="E10805" i="1"/>
  <c r="D10805" i="1"/>
  <c r="C10805" i="1"/>
  <c r="B10805" i="1"/>
  <c r="G10804" i="1"/>
  <c r="F10804" i="1"/>
  <c r="E10804" i="1"/>
  <c r="D10804" i="1"/>
  <c r="C10804" i="1"/>
  <c r="B10804" i="1"/>
  <c r="G10803" i="1"/>
  <c r="F10803" i="1"/>
  <c r="E10803" i="1"/>
  <c r="D10803" i="1"/>
  <c r="C10803" i="1"/>
  <c r="B10803" i="1"/>
  <c r="G10802" i="1"/>
  <c r="F10802" i="1"/>
  <c r="E10802" i="1"/>
  <c r="D10802" i="1"/>
  <c r="C10802" i="1"/>
  <c r="B10802" i="1"/>
  <c r="G10801" i="1"/>
  <c r="F10801" i="1"/>
  <c r="E10801" i="1"/>
  <c r="D10801" i="1"/>
  <c r="C10801" i="1"/>
  <c r="B10801" i="1"/>
  <c r="G10800" i="1"/>
  <c r="F10800" i="1"/>
  <c r="E10800" i="1"/>
  <c r="D10800" i="1"/>
  <c r="C10800" i="1"/>
  <c r="B10800" i="1"/>
  <c r="G10799" i="1"/>
  <c r="F10799" i="1"/>
  <c r="E10799" i="1"/>
  <c r="D10799" i="1"/>
  <c r="C10799" i="1"/>
  <c r="B10799" i="1"/>
  <c r="G10798" i="1"/>
  <c r="F10798" i="1"/>
  <c r="E10798" i="1"/>
  <c r="D10798" i="1"/>
  <c r="C10798" i="1"/>
  <c r="B10798" i="1"/>
  <c r="G10797" i="1"/>
  <c r="F10797" i="1"/>
  <c r="E10797" i="1"/>
  <c r="D10797" i="1"/>
  <c r="C10797" i="1"/>
  <c r="B10797" i="1"/>
  <c r="G10796" i="1"/>
  <c r="F10796" i="1"/>
  <c r="E10796" i="1"/>
  <c r="D10796" i="1"/>
  <c r="C10796" i="1"/>
  <c r="B10796" i="1"/>
  <c r="G10795" i="1"/>
  <c r="F10795" i="1"/>
  <c r="E10795" i="1"/>
  <c r="D10795" i="1"/>
  <c r="C10795" i="1"/>
  <c r="B10795" i="1"/>
  <c r="G10794" i="1"/>
  <c r="F10794" i="1"/>
  <c r="E10794" i="1"/>
  <c r="D10794" i="1"/>
  <c r="C10794" i="1"/>
  <c r="B10794" i="1"/>
  <c r="G10793" i="1"/>
  <c r="F10793" i="1"/>
  <c r="E10793" i="1"/>
  <c r="D10793" i="1"/>
  <c r="C10793" i="1"/>
  <c r="B10793" i="1"/>
  <c r="G10792" i="1"/>
  <c r="F10792" i="1"/>
  <c r="E10792" i="1"/>
  <c r="D10792" i="1"/>
  <c r="C10792" i="1"/>
  <c r="B10792" i="1"/>
  <c r="G10791" i="1"/>
  <c r="F10791" i="1"/>
  <c r="E10791" i="1"/>
  <c r="D10791" i="1"/>
  <c r="C10791" i="1"/>
  <c r="B10791" i="1"/>
  <c r="G10790" i="1"/>
  <c r="F10790" i="1"/>
  <c r="E10790" i="1"/>
  <c r="D10790" i="1"/>
  <c r="C10790" i="1"/>
  <c r="B10790" i="1"/>
  <c r="G10789" i="1"/>
  <c r="F10789" i="1"/>
  <c r="E10789" i="1"/>
  <c r="D10789" i="1"/>
  <c r="C10789" i="1"/>
  <c r="B10789" i="1"/>
  <c r="G10788" i="1"/>
  <c r="F10788" i="1"/>
  <c r="E10788" i="1"/>
  <c r="D10788" i="1"/>
  <c r="C10788" i="1"/>
  <c r="B10788" i="1"/>
  <c r="G10787" i="1"/>
  <c r="F10787" i="1"/>
  <c r="E10787" i="1"/>
  <c r="D10787" i="1"/>
  <c r="C10787" i="1"/>
  <c r="B10787" i="1"/>
  <c r="G10786" i="1"/>
  <c r="F10786" i="1"/>
  <c r="E10786" i="1"/>
  <c r="D10786" i="1"/>
  <c r="C10786" i="1"/>
  <c r="B10786" i="1"/>
  <c r="G10785" i="1"/>
  <c r="F10785" i="1"/>
  <c r="E10785" i="1"/>
  <c r="D10785" i="1"/>
  <c r="C10785" i="1"/>
  <c r="B10785" i="1"/>
  <c r="G10784" i="1"/>
  <c r="F10784" i="1"/>
  <c r="E10784" i="1"/>
  <c r="D10784" i="1"/>
  <c r="C10784" i="1"/>
  <c r="B10784" i="1"/>
  <c r="G10783" i="1"/>
  <c r="F10783" i="1"/>
  <c r="E10783" i="1"/>
  <c r="D10783" i="1"/>
  <c r="C10783" i="1"/>
  <c r="B10783" i="1"/>
  <c r="G10782" i="1"/>
  <c r="F10782" i="1"/>
  <c r="E10782" i="1"/>
  <c r="D10782" i="1"/>
  <c r="C10782" i="1"/>
  <c r="B10782" i="1"/>
  <c r="G10781" i="1"/>
  <c r="F10781" i="1"/>
  <c r="E10781" i="1"/>
  <c r="D10781" i="1"/>
  <c r="C10781" i="1"/>
  <c r="B10781" i="1"/>
  <c r="G10780" i="1"/>
  <c r="F10780" i="1"/>
  <c r="E10780" i="1"/>
  <c r="D10780" i="1"/>
  <c r="C10780" i="1"/>
  <c r="B10780" i="1"/>
  <c r="G10779" i="1"/>
  <c r="F10779" i="1"/>
  <c r="E10779" i="1"/>
  <c r="D10779" i="1"/>
  <c r="C10779" i="1"/>
  <c r="B10779" i="1"/>
  <c r="G10778" i="1"/>
  <c r="F10778" i="1"/>
  <c r="E10778" i="1"/>
  <c r="D10778" i="1"/>
  <c r="C10778" i="1"/>
  <c r="B10778" i="1"/>
  <c r="G10777" i="1"/>
  <c r="F10777" i="1"/>
  <c r="E10777" i="1"/>
  <c r="D10777" i="1"/>
  <c r="C10777" i="1"/>
  <c r="B10777" i="1"/>
  <c r="G10776" i="1"/>
  <c r="F10776" i="1"/>
  <c r="E10776" i="1"/>
  <c r="D10776" i="1"/>
  <c r="C10776" i="1"/>
  <c r="B10776" i="1"/>
  <c r="G10775" i="1"/>
  <c r="F10775" i="1"/>
  <c r="E10775" i="1"/>
  <c r="D10775" i="1"/>
  <c r="C10775" i="1"/>
  <c r="B10775" i="1"/>
  <c r="G10774" i="1"/>
  <c r="F10774" i="1"/>
  <c r="E10774" i="1"/>
  <c r="D10774" i="1"/>
  <c r="C10774" i="1"/>
  <c r="B10774" i="1"/>
  <c r="G10773" i="1"/>
  <c r="F10773" i="1"/>
  <c r="E10773" i="1"/>
  <c r="D10773" i="1"/>
  <c r="C10773" i="1"/>
  <c r="B10773" i="1"/>
  <c r="G10772" i="1"/>
  <c r="F10772" i="1"/>
  <c r="E10772" i="1"/>
  <c r="D10772" i="1"/>
  <c r="C10772" i="1"/>
  <c r="B10772" i="1"/>
  <c r="G10771" i="1"/>
  <c r="F10771" i="1"/>
  <c r="E10771" i="1"/>
  <c r="D10771" i="1"/>
  <c r="C10771" i="1"/>
  <c r="B10771" i="1"/>
  <c r="G10770" i="1"/>
  <c r="F10770" i="1"/>
  <c r="E10770" i="1"/>
  <c r="D10770" i="1"/>
  <c r="C10770" i="1"/>
  <c r="B10770" i="1"/>
  <c r="G10769" i="1"/>
  <c r="F10769" i="1"/>
  <c r="E10769" i="1"/>
  <c r="D10769" i="1"/>
  <c r="C10769" i="1"/>
  <c r="B10769" i="1"/>
  <c r="G10768" i="1"/>
  <c r="F10768" i="1"/>
  <c r="E10768" i="1"/>
  <c r="D10768" i="1"/>
  <c r="C10768" i="1"/>
  <c r="B10768" i="1"/>
  <c r="G10767" i="1"/>
  <c r="F10767" i="1"/>
  <c r="E10767" i="1"/>
  <c r="D10767" i="1"/>
  <c r="C10767" i="1"/>
  <c r="B10767" i="1"/>
  <c r="G10766" i="1"/>
  <c r="F10766" i="1"/>
  <c r="E10766" i="1"/>
  <c r="D10766" i="1"/>
  <c r="C10766" i="1"/>
  <c r="B10766" i="1"/>
  <c r="G10765" i="1"/>
  <c r="F10765" i="1"/>
  <c r="E10765" i="1"/>
  <c r="D10765" i="1"/>
  <c r="C10765" i="1"/>
  <c r="B10765" i="1"/>
  <c r="G10764" i="1"/>
  <c r="F10764" i="1"/>
  <c r="E10764" i="1"/>
  <c r="D10764" i="1"/>
  <c r="C10764" i="1"/>
  <c r="B10764" i="1"/>
  <c r="G10763" i="1"/>
  <c r="F10763" i="1"/>
  <c r="E10763" i="1"/>
  <c r="D10763" i="1"/>
  <c r="C10763" i="1"/>
  <c r="B10763" i="1"/>
  <c r="G10762" i="1"/>
  <c r="F10762" i="1"/>
  <c r="E10762" i="1"/>
  <c r="D10762" i="1"/>
  <c r="C10762" i="1"/>
  <c r="B10762" i="1"/>
  <c r="G10761" i="1"/>
  <c r="F10761" i="1"/>
  <c r="E10761" i="1"/>
  <c r="D10761" i="1"/>
  <c r="C10761" i="1"/>
  <c r="B10761" i="1"/>
  <c r="G10760" i="1"/>
  <c r="F10760" i="1"/>
  <c r="E10760" i="1"/>
  <c r="D10760" i="1"/>
  <c r="C10760" i="1"/>
  <c r="B10760" i="1"/>
  <c r="G10759" i="1"/>
  <c r="F10759" i="1"/>
  <c r="E10759" i="1"/>
  <c r="D10759" i="1"/>
  <c r="C10759" i="1"/>
  <c r="B10759" i="1"/>
  <c r="G10758" i="1"/>
  <c r="F10758" i="1"/>
  <c r="E10758" i="1"/>
  <c r="D10758" i="1"/>
  <c r="C10758" i="1"/>
  <c r="B10758" i="1"/>
  <c r="G10757" i="1"/>
  <c r="F10757" i="1"/>
  <c r="E10757" i="1"/>
  <c r="D10757" i="1"/>
  <c r="C10757" i="1"/>
  <c r="B10757" i="1"/>
  <c r="G10756" i="1"/>
  <c r="F10756" i="1"/>
  <c r="E10756" i="1"/>
  <c r="D10756" i="1"/>
  <c r="C10756" i="1"/>
  <c r="B10756" i="1"/>
  <c r="G10755" i="1"/>
  <c r="F10755" i="1"/>
  <c r="E10755" i="1"/>
  <c r="D10755" i="1"/>
  <c r="C10755" i="1"/>
  <c r="B10755" i="1"/>
  <c r="G10754" i="1"/>
  <c r="F10754" i="1"/>
  <c r="E10754" i="1"/>
  <c r="D10754" i="1"/>
  <c r="C10754" i="1"/>
  <c r="B10754" i="1"/>
  <c r="G10753" i="1"/>
  <c r="F10753" i="1"/>
  <c r="E10753" i="1"/>
  <c r="D10753" i="1"/>
  <c r="C10753" i="1"/>
  <c r="B10753" i="1"/>
  <c r="G10752" i="1"/>
  <c r="F10752" i="1"/>
  <c r="E10752" i="1"/>
  <c r="D10752" i="1"/>
  <c r="C10752" i="1"/>
  <c r="B10752" i="1"/>
  <c r="G10751" i="1"/>
  <c r="F10751" i="1"/>
  <c r="E10751" i="1"/>
  <c r="D10751" i="1"/>
  <c r="C10751" i="1"/>
  <c r="B10751" i="1"/>
  <c r="G10750" i="1"/>
  <c r="F10750" i="1"/>
  <c r="E10750" i="1"/>
  <c r="D10750" i="1"/>
  <c r="C10750" i="1"/>
  <c r="B10750" i="1"/>
  <c r="G10749" i="1"/>
  <c r="F10749" i="1"/>
  <c r="E10749" i="1"/>
  <c r="D10749" i="1"/>
  <c r="C10749" i="1"/>
  <c r="B10749" i="1"/>
  <c r="G10748" i="1"/>
  <c r="F10748" i="1"/>
  <c r="E10748" i="1"/>
  <c r="D10748" i="1"/>
  <c r="C10748" i="1"/>
  <c r="B10748" i="1"/>
  <c r="G10747" i="1"/>
  <c r="F10747" i="1"/>
  <c r="E10747" i="1"/>
  <c r="D10747" i="1"/>
  <c r="C10747" i="1"/>
  <c r="B10747" i="1"/>
  <c r="G10746" i="1"/>
  <c r="F10746" i="1"/>
  <c r="E10746" i="1"/>
  <c r="D10746" i="1"/>
  <c r="C10746" i="1"/>
  <c r="B10746" i="1"/>
  <c r="G10745" i="1"/>
  <c r="F10745" i="1"/>
  <c r="E10745" i="1"/>
  <c r="D10745" i="1"/>
  <c r="C10745" i="1"/>
  <c r="B10745" i="1"/>
  <c r="G10744" i="1"/>
  <c r="F10744" i="1"/>
  <c r="E10744" i="1"/>
  <c r="D10744" i="1"/>
  <c r="C10744" i="1"/>
  <c r="B10744" i="1"/>
  <c r="G10743" i="1"/>
  <c r="F10743" i="1"/>
  <c r="E10743" i="1"/>
  <c r="D10743" i="1"/>
  <c r="C10743" i="1"/>
  <c r="B10743" i="1"/>
  <c r="G10742" i="1"/>
  <c r="F10742" i="1"/>
  <c r="E10742" i="1"/>
  <c r="D10742" i="1"/>
  <c r="C10742" i="1"/>
  <c r="B10742" i="1"/>
  <c r="G10741" i="1"/>
  <c r="F10741" i="1"/>
  <c r="E10741" i="1"/>
  <c r="D10741" i="1"/>
  <c r="C10741" i="1"/>
  <c r="B10741" i="1"/>
  <c r="G10740" i="1"/>
  <c r="F10740" i="1"/>
  <c r="E10740" i="1"/>
  <c r="D10740" i="1"/>
  <c r="C10740" i="1"/>
  <c r="B10740" i="1"/>
  <c r="G10739" i="1"/>
  <c r="F10739" i="1"/>
  <c r="E10739" i="1"/>
  <c r="D10739" i="1"/>
  <c r="C10739" i="1"/>
  <c r="B10739" i="1"/>
  <c r="G10738" i="1"/>
  <c r="F10738" i="1"/>
  <c r="E10738" i="1"/>
  <c r="D10738" i="1"/>
  <c r="C10738" i="1"/>
  <c r="B10738" i="1"/>
  <c r="G10737" i="1"/>
  <c r="F10737" i="1"/>
  <c r="E10737" i="1"/>
  <c r="D10737" i="1"/>
  <c r="C10737" i="1"/>
  <c r="B10737" i="1"/>
  <c r="G10736" i="1"/>
  <c r="F10736" i="1"/>
  <c r="E10736" i="1"/>
  <c r="D10736" i="1"/>
  <c r="C10736" i="1"/>
  <c r="B10736" i="1"/>
  <c r="G10735" i="1"/>
  <c r="F10735" i="1"/>
  <c r="E10735" i="1"/>
  <c r="D10735" i="1"/>
  <c r="C10735" i="1"/>
  <c r="B10735" i="1"/>
  <c r="G10734" i="1"/>
  <c r="F10734" i="1"/>
  <c r="E10734" i="1"/>
  <c r="D10734" i="1"/>
  <c r="C10734" i="1"/>
  <c r="B10734" i="1"/>
  <c r="G10733" i="1"/>
  <c r="F10733" i="1"/>
  <c r="E10733" i="1"/>
  <c r="D10733" i="1"/>
  <c r="C10733" i="1"/>
  <c r="B10733" i="1"/>
  <c r="G10732" i="1"/>
  <c r="F10732" i="1"/>
  <c r="E10732" i="1"/>
  <c r="D10732" i="1"/>
  <c r="C10732" i="1"/>
  <c r="B10732" i="1"/>
  <c r="G10731" i="1"/>
  <c r="F10731" i="1"/>
  <c r="E10731" i="1"/>
  <c r="D10731" i="1"/>
  <c r="C10731" i="1"/>
  <c r="B10731" i="1"/>
  <c r="G10730" i="1"/>
  <c r="F10730" i="1"/>
  <c r="E10730" i="1"/>
  <c r="D10730" i="1"/>
  <c r="C10730" i="1"/>
  <c r="B10730" i="1"/>
  <c r="G10729" i="1"/>
  <c r="F10729" i="1"/>
  <c r="E10729" i="1"/>
  <c r="D10729" i="1"/>
  <c r="C10729" i="1"/>
  <c r="B10729" i="1"/>
  <c r="G10728" i="1"/>
  <c r="F10728" i="1"/>
  <c r="E10728" i="1"/>
  <c r="D10728" i="1"/>
  <c r="C10728" i="1"/>
  <c r="B10728" i="1"/>
  <c r="G10727" i="1"/>
  <c r="F10727" i="1"/>
  <c r="E10727" i="1"/>
  <c r="D10727" i="1"/>
  <c r="C10727" i="1"/>
  <c r="B10727" i="1"/>
  <c r="G10726" i="1"/>
  <c r="F10726" i="1"/>
  <c r="E10726" i="1"/>
  <c r="D10726" i="1"/>
  <c r="C10726" i="1"/>
  <c r="B10726" i="1"/>
  <c r="G10725" i="1"/>
  <c r="F10725" i="1"/>
  <c r="E10725" i="1"/>
  <c r="D10725" i="1"/>
  <c r="C10725" i="1"/>
  <c r="B10725" i="1"/>
  <c r="G10724" i="1"/>
  <c r="F10724" i="1"/>
  <c r="E10724" i="1"/>
  <c r="D10724" i="1"/>
  <c r="C10724" i="1"/>
  <c r="B10724" i="1"/>
  <c r="G10723" i="1"/>
  <c r="F10723" i="1"/>
  <c r="E10723" i="1"/>
  <c r="D10723" i="1"/>
  <c r="C10723" i="1"/>
  <c r="B10723" i="1"/>
  <c r="G10722" i="1"/>
  <c r="F10722" i="1"/>
  <c r="E10722" i="1"/>
  <c r="D10722" i="1"/>
  <c r="C10722" i="1"/>
  <c r="B10722" i="1"/>
  <c r="G10721" i="1"/>
  <c r="F10721" i="1"/>
  <c r="E10721" i="1"/>
  <c r="D10721" i="1"/>
  <c r="C10721" i="1"/>
  <c r="B10721" i="1"/>
  <c r="G10720" i="1"/>
  <c r="F10720" i="1"/>
  <c r="E10720" i="1"/>
  <c r="D10720" i="1"/>
  <c r="C10720" i="1"/>
  <c r="B10720" i="1"/>
  <c r="G10719" i="1"/>
  <c r="F10719" i="1"/>
  <c r="E10719" i="1"/>
  <c r="D10719" i="1"/>
  <c r="C10719" i="1"/>
  <c r="B10719" i="1"/>
  <c r="G10718" i="1"/>
  <c r="F10718" i="1"/>
  <c r="E10718" i="1"/>
  <c r="D10718" i="1"/>
  <c r="C10718" i="1"/>
  <c r="B10718" i="1"/>
  <c r="G10717" i="1"/>
  <c r="F10717" i="1"/>
  <c r="E10717" i="1"/>
  <c r="D10717" i="1"/>
  <c r="C10717" i="1"/>
  <c r="B10717" i="1"/>
  <c r="G10716" i="1"/>
  <c r="F10716" i="1"/>
  <c r="E10716" i="1"/>
  <c r="D10716" i="1"/>
  <c r="C10716" i="1"/>
  <c r="B10716" i="1"/>
  <c r="G10715" i="1"/>
  <c r="F10715" i="1"/>
  <c r="E10715" i="1"/>
  <c r="D10715" i="1"/>
  <c r="C10715" i="1"/>
  <c r="B10715" i="1"/>
  <c r="G10714" i="1"/>
  <c r="F10714" i="1"/>
  <c r="E10714" i="1"/>
  <c r="D10714" i="1"/>
  <c r="C10714" i="1"/>
  <c r="B10714" i="1"/>
  <c r="G10713" i="1"/>
  <c r="F10713" i="1"/>
  <c r="E10713" i="1"/>
  <c r="D10713" i="1"/>
  <c r="C10713" i="1"/>
  <c r="B10713" i="1"/>
  <c r="G10712" i="1"/>
  <c r="F10712" i="1"/>
  <c r="E10712" i="1"/>
  <c r="D10712" i="1"/>
  <c r="C10712" i="1"/>
  <c r="B10712" i="1"/>
  <c r="G10711" i="1"/>
  <c r="F10711" i="1"/>
  <c r="E10711" i="1"/>
  <c r="D10711" i="1"/>
  <c r="C10711" i="1"/>
  <c r="B10711" i="1"/>
  <c r="G10710" i="1"/>
  <c r="F10710" i="1"/>
  <c r="E10710" i="1"/>
  <c r="D10710" i="1"/>
  <c r="C10710" i="1"/>
  <c r="B10710" i="1"/>
  <c r="G10709" i="1"/>
  <c r="F10709" i="1"/>
  <c r="E10709" i="1"/>
  <c r="D10709" i="1"/>
  <c r="C10709" i="1"/>
  <c r="B10709" i="1"/>
  <c r="G10708" i="1"/>
  <c r="F10708" i="1"/>
  <c r="E10708" i="1"/>
  <c r="D10708" i="1"/>
  <c r="C10708" i="1"/>
  <c r="B10708" i="1"/>
  <c r="G10707" i="1"/>
  <c r="F10707" i="1"/>
  <c r="E10707" i="1"/>
  <c r="D10707" i="1"/>
  <c r="C10707" i="1"/>
  <c r="B10707" i="1"/>
  <c r="G10706" i="1"/>
  <c r="F10706" i="1"/>
  <c r="E10706" i="1"/>
  <c r="D10706" i="1"/>
  <c r="C10706" i="1"/>
  <c r="B10706" i="1"/>
  <c r="G10705" i="1"/>
  <c r="F10705" i="1"/>
  <c r="E10705" i="1"/>
  <c r="D10705" i="1"/>
  <c r="C10705" i="1"/>
  <c r="B10705" i="1"/>
  <c r="G10704" i="1"/>
  <c r="F10704" i="1"/>
  <c r="E10704" i="1"/>
  <c r="D10704" i="1"/>
  <c r="C10704" i="1"/>
  <c r="B10704" i="1"/>
  <c r="G10703" i="1"/>
  <c r="F10703" i="1"/>
  <c r="E10703" i="1"/>
  <c r="D10703" i="1"/>
  <c r="C10703" i="1"/>
  <c r="B10703" i="1"/>
  <c r="G10702" i="1"/>
  <c r="F10702" i="1"/>
  <c r="E10702" i="1"/>
  <c r="D10702" i="1"/>
  <c r="C10702" i="1"/>
  <c r="B10702" i="1"/>
  <c r="G10701" i="1"/>
  <c r="F10701" i="1"/>
  <c r="E10701" i="1"/>
  <c r="D10701" i="1"/>
  <c r="C10701" i="1"/>
  <c r="B10701" i="1"/>
  <c r="G10700" i="1"/>
  <c r="F10700" i="1"/>
  <c r="E10700" i="1"/>
  <c r="D10700" i="1"/>
  <c r="C10700" i="1"/>
  <c r="B10700" i="1"/>
  <c r="G10699" i="1"/>
  <c r="F10699" i="1"/>
  <c r="E10699" i="1"/>
  <c r="D10699" i="1"/>
  <c r="C10699" i="1"/>
  <c r="B10699" i="1"/>
  <c r="G10698" i="1"/>
  <c r="F10698" i="1"/>
  <c r="E10698" i="1"/>
  <c r="D10698" i="1"/>
  <c r="C10698" i="1"/>
  <c r="B10698" i="1"/>
  <c r="G10697" i="1"/>
  <c r="F10697" i="1"/>
  <c r="E10697" i="1"/>
  <c r="D10697" i="1"/>
  <c r="C10697" i="1"/>
  <c r="B10697" i="1"/>
  <c r="G10696" i="1"/>
  <c r="F10696" i="1"/>
  <c r="E10696" i="1"/>
  <c r="D10696" i="1"/>
  <c r="C10696" i="1"/>
  <c r="B10696" i="1"/>
  <c r="G10695" i="1"/>
  <c r="F10695" i="1"/>
  <c r="E10695" i="1"/>
  <c r="D10695" i="1"/>
  <c r="C10695" i="1"/>
  <c r="B10695" i="1"/>
  <c r="G10694" i="1"/>
  <c r="F10694" i="1"/>
  <c r="E10694" i="1"/>
  <c r="D10694" i="1"/>
  <c r="C10694" i="1"/>
  <c r="B10694" i="1"/>
  <c r="G10693" i="1"/>
  <c r="F10693" i="1"/>
  <c r="E10693" i="1"/>
  <c r="D10693" i="1"/>
  <c r="C10693" i="1"/>
  <c r="B10693" i="1"/>
  <c r="G10692" i="1"/>
  <c r="F10692" i="1"/>
  <c r="E10692" i="1"/>
  <c r="D10692" i="1"/>
  <c r="C10692" i="1"/>
  <c r="B10692" i="1"/>
  <c r="G10691" i="1"/>
  <c r="F10691" i="1"/>
  <c r="E10691" i="1"/>
  <c r="D10691" i="1"/>
  <c r="C10691" i="1"/>
  <c r="B10691" i="1"/>
  <c r="G10690" i="1"/>
  <c r="F10690" i="1"/>
  <c r="E10690" i="1"/>
  <c r="D10690" i="1"/>
  <c r="C10690" i="1"/>
  <c r="B10690" i="1"/>
  <c r="G10689" i="1"/>
  <c r="F10689" i="1"/>
  <c r="E10689" i="1"/>
  <c r="D10689" i="1"/>
  <c r="C10689" i="1"/>
  <c r="B10689" i="1"/>
  <c r="G10688" i="1"/>
  <c r="F10688" i="1"/>
  <c r="E10688" i="1"/>
  <c r="D10688" i="1"/>
  <c r="C10688" i="1"/>
  <c r="B10688" i="1"/>
  <c r="G10687" i="1"/>
  <c r="F10687" i="1"/>
  <c r="E10687" i="1"/>
  <c r="D10687" i="1"/>
  <c r="C10687" i="1"/>
  <c r="B10687" i="1"/>
  <c r="G10686" i="1"/>
  <c r="F10686" i="1"/>
  <c r="E10686" i="1"/>
  <c r="D10686" i="1"/>
  <c r="C10686" i="1"/>
  <c r="B10686" i="1"/>
  <c r="G10685" i="1"/>
  <c r="F10685" i="1"/>
  <c r="E10685" i="1"/>
  <c r="D10685" i="1"/>
  <c r="C10685" i="1"/>
  <c r="B10685" i="1"/>
  <c r="G10684" i="1"/>
  <c r="F10684" i="1"/>
  <c r="E10684" i="1"/>
  <c r="D10684" i="1"/>
  <c r="C10684" i="1"/>
  <c r="B10684" i="1"/>
  <c r="G10683" i="1"/>
  <c r="F10683" i="1"/>
  <c r="E10683" i="1"/>
  <c r="D10683" i="1"/>
  <c r="C10683" i="1"/>
  <c r="B10683" i="1"/>
  <c r="G10682" i="1"/>
  <c r="F10682" i="1"/>
  <c r="E10682" i="1"/>
  <c r="D10682" i="1"/>
  <c r="C10682" i="1"/>
  <c r="B10682" i="1"/>
  <c r="G10681" i="1"/>
  <c r="F10681" i="1"/>
  <c r="E10681" i="1"/>
  <c r="D10681" i="1"/>
  <c r="C10681" i="1"/>
  <c r="B10681" i="1"/>
  <c r="G10680" i="1"/>
  <c r="F10680" i="1"/>
  <c r="E10680" i="1"/>
  <c r="D10680" i="1"/>
  <c r="C10680" i="1"/>
  <c r="B10680" i="1"/>
  <c r="G10679" i="1"/>
  <c r="F10679" i="1"/>
  <c r="E10679" i="1"/>
  <c r="D10679" i="1"/>
  <c r="C10679" i="1"/>
  <c r="B10679" i="1"/>
  <c r="G10678" i="1"/>
  <c r="F10678" i="1"/>
  <c r="E10678" i="1"/>
  <c r="D10678" i="1"/>
  <c r="C10678" i="1"/>
  <c r="B10678" i="1"/>
  <c r="G10677" i="1"/>
  <c r="F10677" i="1"/>
  <c r="E10677" i="1"/>
  <c r="D10677" i="1"/>
  <c r="C10677" i="1"/>
  <c r="B10677" i="1"/>
  <c r="G10676" i="1"/>
  <c r="F10676" i="1"/>
  <c r="E10676" i="1"/>
  <c r="D10676" i="1"/>
  <c r="C10676" i="1"/>
  <c r="B10676" i="1"/>
  <c r="G10675" i="1"/>
  <c r="F10675" i="1"/>
  <c r="E10675" i="1"/>
  <c r="D10675" i="1"/>
  <c r="C10675" i="1"/>
  <c r="B10675" i="1"/>
  <c r="G10674" i="1"/>
  <c r="F10674" i="1"/>
  <c r="E10674" i="1"/>
  <c r="D10674" i="1"/>
  <c r="C10674" i="1"/>
  <c r="B10674" i="1"/>
  <c r="G10673" i="1"/>
  <c r="F10673" i="1"/>
  <c r="E10673" i="1"/>
  <c r="D10673" i="1"/>
  <c r="C10673" i="1"/>
  <c r="B10673" i="1"/>
  <c r="G10672" i="1"/>
  <c r="F10672" i="1"/>
  <c r="E10672" i="1"/>
  <c r="D10672" i="1"/>
  <c r="C10672" i="1"/>
  <c r="B10672" i="1"/>
  <c r="G10671" i="1"/>
  <c r="F10671" i="1"/>
  <c r="E10671" i="1"/>
  <c r="D10671" i="1"/>
  <c r="C10671" i="1"/>
  <c r="B10671" i="1"/>
  <c r="G10670" i="1"/>
  <c r="F10670" i="1"/>
  <c r="E10670" i="1"/>
  <c r="D10670" i="1"/>
  <c r="C10670" i="1"/>
  <c r="B10670" i="1"/>
  <c r="G10669" i="1"/>
  <c r="F10669" i="1"/>
  <c r="E10669" i="1"/>
  <c r="D10669" i="1"/>
  <c r="C10669" i="1"/>
  <c r="B10669" i="1"/>
  <c r="G10668" i="1"/>
  <c r="F10668" i="1"/>
  <c r="E10668" i="1"/>
  <c r="D10668" i="1"/>
  <c r="C10668" i="1"/>
  <c r="B10668" i="1"/>
  <c r="G10667" i="1"/>
  <c r="F10667" i="1"/>
  <c r="E10667" i="1"/>
  <c r="D10667" i="1"/>
  <c r="C10667" i="1"/>
  <c r="B10667" i="1"/>
  <c r="G10666" i="1"/>
  <c r="F10666" i="1"/>
  <c r="E10666" i="1"/>
  <c r="D10666" i="1"/>
  <c r="C10666" i="1"/>
  <c r="B10666" i="1"/>
  <c r="G10665" i="1"/>
  <c r="F10665" i="1"/>
  <c r="E10665" i="1"/>
  <c r="D10665" i="1"/>
  <c r="C10665" i="1"/>
  <c r="B10665" i="1"/>
  <c r="G10664" i="1"/>
  <c r="F10664" i="1"/>
  <c r="E10664" i="1"/>
  <c r="D10664" i="1"/>
  <c r="C10664" i="1"/>
  <c r="B10664" i="1"/>
  <c r="G10663" i="1"/>
  <c r="F10663" i="1"/>
  <c r="E10663" i="1"/>
  <c r="D10663" i="1"/>
  <c r="C10663" i="1"/>
  <c r="B10663" i="1"/>
  <c r="G10662" i="1"/>
  <c r="F10662" i="1"/>
  <c r="E10662" i="1"/>
  <c r="D10662" i="1"/>
  <c r="C10662" i="1"/>
  <c r="B10662" i="1"/>
  <c r="G10661" i="1"/>
  <c r="F10661" i="1"/>
  <c r="E10661" i="1"/>
  <c r="D10661" i="1"/>
  <c r="C10661" i="1"/>
  <c r="B10661" i="1"/>
  <c r="G10660" i="1"/>
  <c r="F10660" i="1"/>
  <c r="E10660" i="1"/>
  <c r="D10660" i="1"/>
  <c r="C10660" i="1"/>
  <c r="B10660" i="1"/>
  <c r="G10659" i="1"/>
  <c r="F10659" i="1"/>
  <c r="E10659" i="1"/>
  <c r="D10659" i="1"/>
  <c r="C10659" i="1"/>
  <c r="B10659" i="1"/>
  <c r="G10658" i="1"/>
  <c r="F10658" i="1"/>
  <c r="E10658" i="1"/>
  <c r="D10658" i="1"/>
  <c r="C10658" i="1"/>
  <c r="B10658" i="1"/>
  <c r="G10657" i="1"/>
  <c r="F10657" i="1"/>
  <c r="E10657" i="1"/>
  <c r="D10657" i="1"/>
  <c r="C10657" i="1"/>
  <c r="B10657" i="1"/>
  <c r="G10656" i="1"/>
  <c r="F10656" i="1"/>
  <c r="E10656" i="1"/>
  <c r="D10656" i="1"/>
  <c r="C10656" i="1"/>
  <c r="B10656" i="1"/>
  <c r="G10655" i="1"/>
  <c r="F10655" i="1"/>
  <c r="E10655" i="1"/>
  <c r="D10655" i="1"/>
  <c r="C10655" i="1"/>
  <c r="B10655" i="1"/>
  <c r="G10654" i="1"/>
  <c r="F10654" i="1"/>
  <c r="E10654" i="1"/>
  <c r="D10654" i="1"/>
  <c r="C10654" i="1"/>
  <c r="B10654" i="1"/>
  <c r="G10653" i="1"/>
  <c r="F10653" i="1"/>
  <c r="E10653" i="1"/>
  <c r="D10653" i="1"/>
  <c r="C10653" i="1"/>
  <c r="B10653" i="1"/>
  <c r="G10652" i="1"/>
  <c r="F10652" i="1"/>
  <c r="E10652" i="1"/>
  <c r="D10652" i="1"/>
  <c r="C10652" i="1"/>
  <c r="B10652" i="1"/>
  <c r="G10651" i="1"/>
  <c r="F10651" i="1"/>
  <c r="E10651" i="1"/>
  <c r="D10651" i="1"/>
  <c r="C10651" i="1"/>
  <c r="B10651" i="1"/>
  <c r="G10650" i="1"/>
  <c r="F10650" i="1"/>
  <c r="E10650" i="1"/>
  <c r="D10650" i="1"/>
  <c r="C10650" i="1"/>
  <c r="B10650" i="1"/>
  <c r="G10649" i="1"/>
  <c r="F10649" i="1"/>
  <c r="E10649" i="1"/>
  <c r="D10649" i="1"/>
  <c r="C10649" i="1"/>
  <c r="B10649" i="1"/>
  <c r="G10648" i="1"/>
  <c r="F10648" i="1"/>
  <c r="E10648" i="1"/>
  <c r="D10648" i="1"/>
  <c r="C10648" i="1"/>
  <c r="B10648" i="1"/>
  <c r="G10647" i="1"/>
  <c r="F10647" i="1"/>
  <c r="E10647" i="1"/>
  <c r="D10647" i="1"/>
  <c r="C10647" i="1"/>
  <c r="B10647" i="1"/>
  <c r="G10646" i="1"/>
  <c r="F10646" i="1"/>
  <c r="E10646" i="1"/>
  <c r="D10646" i="1"/>
  <c r="C10646" i="1"/>
  <c r="B10646" i="1"/>
  <c r="G10645" i="1"/>
  <c r="F10645" i="1"/>
  <c r="E10645" i="1"/>
  <c r="D10645" i="1"/>
  <c r="C10645" i="1"/>
  <c r="B10645" i="1"/>
  <c r="G10644" i="1"/>
  <c r="F10644" i="1"/>
  <c r="E10644" i="1"/>
  <c r="D10644" i="1"/>
  <c r="C10644" i="1"/>
  <c r="B10644" i="1"/>
  <c r="G10643" i="1"/>
  <c r="F10643" i="1"/>
  <c r="E10643" i="1"/>
  <c r="D10643" i="1"/>
  <c r="C10643" i="1"/>
  <c r="B10643" i="1"/>
  <c r="G10642" i="1"/>
  <c r="F10642" i="1"/>
  <c r="E10642" i="1"/>
  <c r="D10642" i="1"/>
  <c r="C10642" i="1"/>
  <c r="B10642" i="1"/>
  <c r="G10641" i="1"/>
  <c r="F10641" i="1"/>
  <c r="E10641" i="1"/>
  <c r="D10641" i="1"/>
  <c r="C10641" i="1"/>
  <c r="B10641" i="1"/>
  <c r="G10640" i="1"/>
  <c r="F10640" i="1"/>
  <c r="E10640" i="1"/>
  <c r="D10640" i="1"/>
  <c r="C10640" i="1"/>
  <c r="B10640" i="1"/>
  <c r="G10639" i="1"/>
  <c r="F10639" i="1"/>
  <c r="E10639" i="1"/>
  <c r="D10639" i="1"/>
  <c r="C10639" i="1"/>
  <c r="B10639" i="1"/>
  <c r="G10638" i="1"/>
  <c r="F10638" i="1"/>
  <c r="E10638" i="1"/>
  <c r="D10638" i="1"/>
  <c r="C10638" i="1"/>
  <c r="B10638" i="1"/>
  <c r="G10637" i="1"/>
  <c r="F10637" i="1"/>
  <c r="E10637" i="1"/>
  <c r="D10637" i="1"/>
  <c r="C10637" i="1"/>
  <c r="B10637" i="1"/>
  <c r="G10636" i="1"/>
  <c r="F10636" i="1"/>
  <c r="E10636" i="1"/>
  <c r="D10636" i="1"/>
  <c r="C10636" i="1"/>
  <c r="B10636" i="1"/>
  <c r="G10635" i="1"/>
  <c r="F10635" i="1"/>
  <c r="E10635" i="1"/>
  <c r="D10635" i="1"/>
  <c r="C10635" i="1"/>
  <c r="B10635" i="1"/>
  <c r="G10634" i="1"/>
  <c r="F10634" i="1"/>
  <c r="E10634" i="1"/>
  <c r="D10634" i="1"/>
  <c r="C10634" i="1"/>
  <c r="B10634" i="1"/>
  <c r="G10633" i="1"/>
  <c r="F10633" i="1"/>
  <c r="E10633" i="1"/>
  <c r="D10633" i="1"/>
  <c r="C10633" i="1"/>
  <c r="B10633" i="1"/>
  <c r="G10632" i="1"/>
  <c r="F10632" i="1"/>
  <c r="E10632" i="1"/>
  <c r="D10632" i="1"/>
  <c r="C10632" i="1"/>
  <c r="B10632" i="1"/>
  <c r="G10631" i="1"/>
  <c r="F10631" i="1"/>
  <c r="E10631" i="1"/>
  <c r="D10631" i="1"/>
  <c r="C10631" i="1"/>
  <c r="B10631" i="1"/>
  <c r="G10630" i="1"/>
  <c r="F10630" i="1"/>
  <c r="E10630" i="1"/>
  <c r="D10630" i="1"/>
  <c r="C10630" i="1"/>
  <c r="B10630" i="1"/>
  <c r="G10629" i="1"/>
  <c r="F10629" i="1"/>
  <c r="E10629" i="1"/>
  <c r="D10629" i="1"/>
  <c r="C10629" i="1"/>
  <c r="B10629" i="1"/>
  <c r="G10628" i="1"/>
  <c r="F10628" i="1"/>
  <c r="E10628" i="1"/>
  <c r="D10628" i="1"/>
  <c r="C10628" i="1"/>
  <c r="B10628" i="1"/>
  <c r="G10627" i="1"/>
  <c r="F10627" i="1"/>
  <c r="E10627" i="1"/>
  <c r="D10627" i="1"/>
  <c r="C10627" i="1"/>
  <c r="B10627" i="1"/>
  <c r="G10626" i="1"/>
  <c r="F10626" i="1"/>
  <c r="E10626" i="1"/>
  <c r="D10626" i="1"/>
  <c r="C10626" i="1"/>
  <c r="B10626" i="1"/>
  <c r="G10625" i="1"/>
  <c r="F10625" i="1"/>
  <c r="E10625" i="1"/>
  <c r="D10625" i="1"/>
  <c r="C10625" i="1"/>
  <c r="B10625" i="1"/>
  <c r="G10624" i="1"/>
  <c r="F10624" i="1"/>
  <c r="E10624" i="1"/>
  <c r="D10624" i="1"/>
  <c r="C10624" i="1"/>
  <c r="B10624" i="1"/>
  <c r="G10623" i="1"/>
  <c r="F10623" i="1"/>
  <c r="E10623" i="1"/>
  <c r="D10623" i="1"/>
  <c r="C10623" i="1"/>
  <c r="B10623" i="1"/>
  <c r="G10622" i="1"/>
  <c r="F10622" i="1"/>
  <c r="E10622" i="1"/>
  <c r="D10622" i="1"/>
  <c r="C10622" i="1"/>
  <c r="B10622" i="1"/>
  <c r="G10621" i="1"/>
  <c r="F10621" i="1"/>
  <c r="E10621" i="1"/>
  <c r="D10621" i="1"/>
  <c r="C10621" i="1"/>
  <c r="B10621" i="1"/>
  <c r="G10620" i="1"/>
  <c r="F10620" i="1"/>
  <c r="E10620" i="1"/>
  <c r="D10620" i="1"/>
  <c r="C10620" i="1"/>
  <c r="B10620" i="1"/>
  <c r="G10619" i="1"/>
  <c r="F10619" i="1"/>
  <c r="E10619" i="1"/>
  <c r="D10619" i="1"/>
  <c r="C10619" i="1"/>
  <c r="B10619" i="1"/>
  <c r="G10618" i="1"/>
  <c r="F10618" i="1"/>
  <c r="E10618" i="1"/>
  <c r="D10618" i="1"/>
  <c r="C10618" i="1"/>
  <c r="B10618" i="1"/>
  <c r="G10617" i="1"/>
  <c r="F10617" i="1"/>
  <c r="E10617" i="1"/>
  <c r="D10617" i="1"/>
  <c r="C10617" i="1"/>
  <c r="B10617" i="1"/>
  <c r="G10616" i="1"/>
  <c r="F10616" i="1"/>
  <c r="E10616" i="1"/>
  <c r="D10616" i="1"/>
  <c r="C10616" i="1"/>
  <c r="B10616" i="1"/>
  <c r="G10615" i="1"/>
  <c r="F10615" i="1"/>
  <c r="E10615" i="1"/>
  <c r="D10615" i="1"/>
  <c r="C10615" i="1"/>
  <c r="B10615" i="1"/>
  <c r="G10614" i="1"/>
  <c r="F10614" i="1"/>
  <c r="E10614" i="1"/>
  <c r="D10614" i="1"/>
  <c r="C10614" i="1"/>
  <c r="B10614" i="1"/>
  <c r="G10613" i="1"/>
  <c r="F10613" i="1"/>
  <c r="E10613" i="1"/>
  <c r="D10613" i="1"/>
  <c r="C10613" i="1"/>
  <c r="B10613" i="1"/>
  <c r="G10612" i="1"/>
  <c r="F10612" i="1"/>
  <c r="E10612" i="1"/>
  <c r="D10612" i="1"/>
  <c r="C10612" i="1"/>
  <c r="B10612" i="1"/>
  <c r="G10611" i="1"/>
  <c r="F10611" i="1"/>
  <c r="E10611" i="1"/>
  <c r="D10611" i="1"/>
  <c r="C10611" i="1"/>
  <c r="B10611" i="1"/>
  <c r="G10610" i="1"/>
  <c r="F10610" i="1"/>
  <c r="E10610" i="1"/>
  <c r="D10610" i="1"/>
  <c r="C10610" i="1"/>
  <c r="B10610" i="1"/>
  <c r="G10609" i="1"/>
  <c r="F10609" i="1"/>
  <c r="E10609" i="1"/>
  <c r="D10609" i="1"/>
  <c r="C10609" i="1"/>
  <c r="B10609" i="1"/>
  <c r="G10608" i="1"/>
  <c r="F10608" i="1"/>
  <c r="E10608" i="1"/>
  <c r="D10608" i="1"/>
  <c r="C10608" i="1"/>
  <c r="B10608" i="1"/>
  <c r="G10607" i="1"/>
  <c r="F10607" i="1"/>
  <c r="E10607" i="1"/>
  <c r="D10607" i="1"/>
  <c r="C10607" i="1"/>
  <c r="B10607" i="1"/>
  <c r="G10606" i="1"/>
  <c r="F10606" i="1"/>
  <c r="E10606" i="1"/>
  <c r="D10606" i="1"/>
  <c r="C10606" i="1"/>
  <c r="B10606" i="1"/>
  <c r="G10605" i="1"/>
  <c r="F10605" i="1"/>
  <c r="E10605" i="1"/>
  <c r="D10605" i="1"/>
  <c r="C10605" i="1"/>
  <c r="B10605" i="1"/>
  <c r="G10604" i="1"/>
  <c r="F10604" i="1"/>
  <c r="E10604" i="1"/>
  <c r="D10604" i="1"/>
  <c r="C10604" i="1"/>
  <c r="B10604" i="1"/>
  <c r="G10603" i="1"/>
  <c r="F10603" i="1"/>
  <c r="E10603" i="1"/>
  <c r="D10603" i="1"/>
  <c r="C10603" i="1"/>
  <c r="B10603" i="1"/>
  <c r="G10602" i="1"/>
  <c r="F10602" i="1"/>
  <c r="E10602" i="1"/>
  <c r="D10602" i="1"/>
  <c r="C10602" i="1"/>
  <c r="B10602" i="1"/>
  <c r="G10601" i="1"/>
  <c r="F10601" i="1"/>
  <c r="E10601" i="1"/>
  <c r="D10601" i="1"/>
  <c r="C10601" i="1"/>
  <c r="B10601" i="1"/>
  <c r="G10600" i="1"/>
  <c r="F10600" i="1"/>
  <c r="E10600" i="1"/>
  <c r="D10600" i="1"/>
  <c r="C10600" i="1"/>
  <c r="B10600" i="1"/>
  <c r="G10599" i="1"/>
  <c r="F10599" i="1"/>
  <c r="E10599" i="1"/>
  <c r="D10599" i="1"/>
  <c r="C10599" i="1"/>
  <c r="B10599" i="1"/>
  <c r="G10598" i="1"/>
  <c r="F10598" i="1"/>
  <c r="E10598" i="1"/>
  <c r="D10598" i="1"/>
  <c r="C10598" i="1"/>
  <c r="B10598" i="1"/>
  <c r="G10597" i="1"/>
  <c r="F10597" i="1"/>
  <c r="E10597" i="1"/>
  <c r="D10597" i="1"/>
  <c r="C10597" i="1"/>
  <c r="B10597" i="1"/>
  <c r="G10596" i="1"/>
  <c r="F10596" i="1"/>
  <c r="E10596" i="1"/>
  <c r="D10596" i="1"/>
  <c r="C10596" i="1"/>
  <c r="B10596" i="1"/>
  <c r="G10595" i="1"/>
  <c r="F10595" i="1"/>
  <c r="E10595" i="1"/>
  <c r="D10595" i="1"/>
  <c r="C10595" i="1"/>
  <c r="B10595" i="1"/>
  <c r="G10594" i="1"/>
  <c r="F10594" i="1"/>
  <c r="E10594" i="1"/>
  <c r="D10594" i="1"/>
  <c r="C10594" i="1"/>
  <c r="B10594" i="1"/>
  <c r="G10593" i="1"/>
  <c r="F10593" i="1"/>
  <c r="E10593" i="1"/>
  <c r="D10593" i="1"/>
  <c r="C10593" i="1"/>
  <c r="B10593" i="1"/>
  <c r="G10592" i="1"/>
  <c r="F10592" i="1"/>
  <c r="E10592" i="1"/>
  <c r="D10592" i="1"/>
  <c r="C10592" i="1"/>
  <c r="B10592" i="1"/>
  <c r="G10591" i="1"/>
  <c r="F10591" i="1"/>
  <c r="E10591" i="1"/>
  <c r="D10591" i="1"/>
  <c r="C10591" i="1"/>
  <c r="B10591" i="1"/>
  <c r="G10590" i="1"/>
  <c r="F10590" i="1"/>
  <c r="E10590" i="1"/>
  <c r="D10590" i="1"/>
  <c r="C10590" i="1"/>
  <c r="B10590" i="1"/>
  <c r="G10589" i="1"/>
  <c r="F10589" i="1"/>
  <c r="E10589" i="1"/>
  <c r="D10589" i="1"/>
  <c r="C10589" i="1"/>
  <c r="B10589" i="1"/>
  <c r="G10588" i="1"/>
  <c r="F10588" i="1"/>
  <c r="E10588" i="1"/>
  <c r="D10588" i="1"/>
  <c r="C10588" i="1"/>
  <c r="B10588" i="1"/>
  <c r="G10587" i="1"/>
  <c r="F10587" i="1"/>
  <c r="E10587" i="1"/>
  <c r="D10587" i="1"/>
  <c r="C10587" i="1"/>
  <c r="B10587" i="1"/>
  <c r="G10586" i="1"/>
  <c r="F10586" i="1"/>
  <c r="E10586" i="1"/>
  <c r="D10586" i="1"/>
  <c r="C10586" i="1"/>
  <c r="B10586" i="1"/>
  <c r="G10585" i="1"/>
  <c r="F10585" i="1"/>
  <c r="E10585" i="1"/>
  <c r="D10585" i="1"/>
  <c r="C10585" i="1"/>
  <c r="B10585" i="1"/>
  <c r="G10584" i="1"/>
  <c r="F10584" i="1"/>
  <c r="E10584" i="1"/>
  <c r="D10584" i="1"/>
  <c r="C10584" i="1"/>
  <c r="B10584" i="1"/>
  <c r="G10583" i="1"/>
  <c r="F10583" i="1"/>
  <c r="E10583" i="1"/>
  <c r="D10583" i="1"/>
  <c r="C10583" i="1"/>
  <c r="B10583" i="1"/>
  <c r="G10582" i="1"/>
  <c r="F10582" i="1"/>
  <c r="E10582" i="1"/>
  <c r="D10582" i="1"/>
  <c r="C10582" i="1"/>
  <c r="B10582" i="1"/>
  <c r="G10581" i="1"/>
  <c r="F10581" i="1"/>
  <c r="E10581" i="1"/>
  <c r="D10581" i="1"/>
  <c r="C10581" i="1"/>
  <c r="B10581" i="1"/>
  <c r="G10580" i="1"/>
  <c r="F10580" i="1"/>
  <c r="E10580" i="1"/>
  <c r="D10580" i="1"/>
  <c r="C10580" i="1"/>
  <c r="B10580" i="1"/>
  <c r="G10579" i="1"/>
  <c r="F10579" i="1"/>
  <c r="E10579" i="1"/>
  <c r="D10579" i="1"/>
  <c r="C10579" i="1"/>
  <c r="B10579" i="1"/>
  <c r="G10578" i="1"/>
  <c r="F10578" i="1"/>
  <c r="E10578" i="1"/>
  <c r="D10578" i="1"/>
  <c r="C10578" i="1"/>
  <c r="B10578" i="1"/>
  <c r="G10577" i="1"/>
  <c r="F10577" i="1"/>
  <c r="E10577" i="1"/>
  <c r="D10577" i="1"/>
  <c r="C10577" i="1"/>
  <c r="B10577" i="1"/>
  <c r="G10576" i="1"/>
  <c r="F10576" i="1"/>
  <c r="E10576" i="1"/>
  <c r="D10576" i="1"/>
  <c r="C10576" i="1"/>
  <c r="B10576" i="1"/>
  <c r="G10575" i="1"/>
  <c r="F10575" i="1"/>
  <c r="E10575" i="1"/>
  <c r="D10575" i="1"/>
  <c r="C10575" i="1"/>
  <c r="B10575" i="1"/>
  <c r="G10574" i="1"/>
  <c r="F10574" i="1"/>
  <c r="E10574" i="1"/>
  <c r="D10574" i="1"/>
  <c r="C10574" i="1"/>
  <c r="B10574" i="1"/>
  <c r="G10573" i="1"/>
  <c r="F10573" i="1"/>
  <c r="E10573" i="1"/>
  <c r="D10573" i="1"/>
  <c r="C10573" i="1"/>
  <c r="B10573" i="1"/>
  <c r="G10572" i="1"/>
  <c r="F10572" i="1"/>
  <c r="E10572" i="1"/>
  <c r="D10572" i="1"/>
  <c r="C10572" i="1"/>
  <c r="B10572" i="1"/>
  <c r="G10571" i="1"/>
  <c r="F10571" i="1"/>
  <c r="E10571" i="1"/>
  <c r="D10571" i="1"/>
  <c r="C10571" i="1"/>
  <c r="B10571" i="1"/>
  <c r="G10570" i="1"/>
  <c r="F10570" i="1"/>
  <c r="E10570" i="1"/>
  <c r="D10570" i="1"/>
  <c r="C10570" i="1"/>
  <c r="B10570" i="1"/>
  <c r="G10569" i="1"/>
  <c r="F10569" i="1"/>
  <c r="E10569" i="1"/>
  <c r="D10569" i="1"/>
  <c r="C10569" i="1"/>
  <c r="B10569" i="1"/>
  <c r="G10568" i="1"/>
  <c r="F10568" i="1"/>
  <c r="E10568" i="1"/>
  <c r="D10568" i="1"/>
  <c r="C10568" i="1"/>
  <c r="B10568" i="1"/>
  <c r="G10567" i="1"/>
  <c r="F10567" i="1"/>
  <c r="E10567" i="1"/>
  <c r="D10567" i="1"/>
  <c r="C10567" i="1"/>
  <c r="B10567" i="1"/>
  <c r="G10566" i="1"/>
  <c r="F10566" i="1"/>
  <c r="E10566" i="1"/>
  <c r="D10566" i="1"/>
  <c r="C10566" i="1"/>
  <c r="B10566" i="1"/>
  <c r="G10565" i="1"/>
  <c r="F10565" i="1"/>
  <c r="E10565" i="1"/>
  <c r="D10565" i="1"/>
  <c r="C10565" i="1"/>
  <c r="B10565" i="1"/>
  <c r="G10564" i="1"/>
  <c r="F10564" i="1"/>
  <c r="E10564" i="1"/>
  <c r="D10564" i="1"/>
  <c r="C10564" i="1"/>
  <c r="B10564" i="1"/>
  <c r="G10563" i="1"/>
  <c r="F10563" i="1"/>
  <c r="E10563" i="1"/>
  <c r="D10563" i="1"/>
  <c r="C10563" i="1"/>
  <c r="B10563" i="1"/>
  <c r="G10562" i="1"/>
  <c r="F10562" i="1"/>
  <c r="E10562" i="1"/>
  <c r="D10562" i="1"/>
  <c r="C10562" i="1"/>
  <c r="B10562" i="1"/>
  <c r="G10561" i="1"/>
  <c r="F10561" i="1"/>
  <c r="E10561" i="1"/>
  <c r="D10561" i="1"/>
  <c r="C10561" i="1"/>
  <c r="B10561" i="1"/>
  <c r="G10560" i="1"/>
  <c r="F10560" i="1"/>
  <c r="E10560" i="1"/>
  <c r="D10560" i="1"/>
  <c r="C10560" i="1"/>
  <c r="B10560" i="1"/>
  <c r="G10559" i="1"/>
  <c r="F10559" i="1"/>
  <c r="E10559" i="1"/>
  <c r="D10559" i="1"/>
  <c r="C10559" i="1"/>
  <c r="B10559" i="1"/>
  <c r="G10558" i="1"/>
  <c r="F10558" i="1"/>
  <c r="E10558" i="1"/>
  <c r="D10558" i="1"/>
  <c r="C10558" i="1"/>
  <c r="B10558" i="1"/>
  <c r="G10557" i="1"/>
  <c r="F10557" i="1"/>
  <c r="E10557" i="1"/>
  <c r="D10557" i="1"/>
  <c r="C10557" i="1"/>
  <c r="B10557" i="1"/>
  <c r="G10556" i="1"/>
  <c r="F10556" i="1"/>
  <c r="E10556" i="1"/>
  <c r="D10556" i="1"/>
  <c r="C10556" i="1"/>
  <c r="B10556" i="1"/>
  <c r="G10555" i="1"/>
  <c r="F10555" i="1"/>
  <c r="E10555" i="1"/>
  <c r="D10555" i="1"/>
  <c r="C10555" i="1"/>
  <c r="B10555" i="1"/>
  <c r="G10554" i="1"/>
  <c r="F10554" i="1"/>
  <c r="E10554" i="1"/>
  <c r="D10554" i="1"/>
  <c r="C10554" i="1"/>
  <c r="B10554" i="1"/>
  <c r="G10553" i="1"/>
  <c r="F10553" i="1"/>
  <c r="E10553" i="1"/>
  <c r="D10553" i="1"/>
  <c r="C10553" i="1"/>
  <c r="B10553" i="1"/>
  <c r="G10552" i="1"/>
  <c r="F10552" i="1"/>
  <c r="E10552" i="1"/>
  <c r="D10552" i="1"/>
  <c r="C10552" i="1"/>
  <c r="B10552" i="1"/>
  <c r="G10551" i="1"/>
  <c r="F10551" i="1"/>
  <c r="E10551" i="1"/>
  <c r="D10551" i="1"/>
  <c r="C10551" i="1"/>
  <c r="B10551" i="1"/>
  <c r="G10550" i="1"/>
  <c r="F10550" i="1"/>
  <c r="E10550" i="1"/>
  <c r="D10550" i="1"/>
  <c r="C10550" i="1"/>
  <c r="B10550" i="1"/>
  <c r="G10549" i="1"/>
  <c r="F10549" i="1"/>
  <c r="E10549" i="1"/>
  <c r="D10549" i="1"/>
  <c r="C10549" i="1"/>
  <c r="B10549" i="1"/>
  <c r="G10548" i="1"/>
  <c r="F10548" i="1"/>
  <c r="E10548" i="1"/>
  <c r="D10548" i="1"/>
  <c r="C10548" i="1"/>
  <c r="B10548" i="1"/>
  <c r="G10547" i="1"/>
  <c r="F10547" i="1"/>
  <c r="E10547" i="1"/>
  <c r="D10547" i="1"/>
  <c r="C10547" i="1"/>
  <c r="B10547" i="1"/>
  <c r="G10546" i="1"/>
  <c r="F10546" i="1"/>
  <c r="E10546" i="1"/>
  <c r="D10546" i="1"/>
  <c r="C10546" i="1"/>
  <c r="B10546" i="1"/>
  <c r="G10545" i="1"/>
  <c r="F10545" i="1"/>
  <c r="E10545" i="1"/>
  <c r="D10545" i="1"/>
  <c r="C10545" i="1"/>
  <c r="B10545" i="1"/>
  <c r="G10544" i="1"/>
  <c r="F10544" i="1"/>
  <c r="E10544" i="1"/>
  <c r="D10544" i="1"/>
  <c r="C10544" i="1"/>
  <c r="B10544" i="1"/>
  <c r="G10543" i="1"/>
  <c r="F10543" i="1"/>
  <c r="E10543" i="1"/>
  <c r="D10543" i="1"/>
  <c r="C10543" i="1"/>
  <c r="B10543" i="1"/>
  <c r="G10542" i="1"/>
  <c r="F10542" i="1"/>
  <c r="E10542" i="1"/>
  <c r="D10542" i="1"/>
  <c r="C10542" i="1"/>
  <c r="B10542" i="1"/>
  <c r="G10541" i="1"/>
  <c r="F10541" i="1"/>
  <c r="E10541" i="1"/>
  <c r="D10541" i="1"/>
  <c r="C10541" i="1"/>
  <c r="B10541" i="1"/>
  <c r="G10540" i="1"/>
  <c r="F10540" i="1"/>
  <c r="E10540" i="1"/>
  <c r="D10540" i="1"/>
  <c r="C10540" i="1"/>
  <c r="B10540" i="1"/>
  <c r="G10539" i="1"/>
  <c r="F10539" i="1"/>
  <c r="E10539" i="1"/>
  <c r="D10539" i="1"/>
  <c r="C10539" i="1"/>
  <c r="B10539" i="1"/>
  <c r="G10538" i="1"/>
  <c r="F10538" i="1"/>
  <c r="E10538" i="1"/>
  <c r="D10538" i="1"/>
  <c r="C10538" i="1"/>
  <c r="B10538" i="1"/>
  <c r="G10537" i="1"/>
  <c r="F10537" i="1"/>
  <c r="E10537" i="1"/>
  <c r="D10537" i="1"/>
  <c r="C10537" i="1"/>
  <c r="B10537" i="1"/>
  <c r="G10536" i="1"/>
  <c r="F10536" i="1"/>
  <c r="E10536" i="1"/>
  <c r="D10536" i="1"/>
  <c r="C10536" i="1"/>
  <c r="B10536" i="1"/>
  <c r="G10535" i="1"/>
  <c r="F10535" i="1"/>
  <c r="E10535" i="1"/>
  <c r="D10535" i="1"/>
  <c r="C10535" i="1"/>
  <c r="B10535" i="1"/>
  <c r="G10534" i="1"/>
  <c r="F10534" i="1"/>
  <c r="E10534" i="1"/>
  <c r="D10534" i="1"/>
  <c r="C10534" i="1"/>
  <c r="B10534" i="1"/>
  <c r="G10533" i="1"/>
  <c r="F10533" i="1"/>
  <c r="E10533" i="1"/>
  <c r="D10533" i="1"/>
  <c r="C10533" i="1"/>
  <c r="B10533" i="1"/>
  <c r="G10532" i="1"/>
  <c r="F10532" i="1"/>
  <c r="E10532" i="1"/>
  <c r="D10532" i="1"/>
  <c r="C10532" i="1"/>
  <c r="B10532" i="1"/>
  <c r="G10531" i="1"/>
  <c r="F10531" i="1"/>
  <c r="E10531" i="1"/>
  <c r="D10531" i="1"/>
  <c r="C10531" i="1"/>
  <c r="B10531" i="1"/>
  <c r="G10530" i="1"/>
  <c r="F10530" i="1"/>
  <c r="E10530" i="1"/>
  <c r="D10530" i="1"/>
  <c r="C10530" i="1"/>
  <c r="B10530" i="1"/>
  <c r="G10529" i="1"/>
  <c r="F10529" i="1"/>
  <c r="E10529" i="1"/>
  <c r="D10529" i="1"/>
  <c r="C10529" i="1"/>
  <c r="B10529" i="1"/>
  <c r="G10528" i="1"/>
  <c r="F10528" i="1"/>
  <c r="E10528" i="1"/>
  <c r="D10528" i="1"/>
  <c r="C10528" i="1"/>
  <c r="B10528" i="1"/>
  <c r="G10527" i="1"/>
  <c r="F10527" i="1"/>
  <c r="E10527" i="1"/>
  <c r="D10527" i="1"/>
  <c r="C10527" i="1"/>
  <c r="B10527" i="1"/>
  <c r="G10526" i="1"/>
  <c r="F10526" i="1"/>
  <c r="E10526" i="1"/>
  <c r="D10526" i="1"/>
  <c r="C10526" i="1"/>
  <c r="B10526" i="1"/>
  <c r="G10525" i="1"/>
  <c r="F10525" i="1"/>
  <c r="E10525" i="1"/>
  <c r="D10525" i="1"/>
  <c r="C10525" i="1"/>
  <c r="B10525" i="1"/>
  <c r="G10524" i="1"/>
  <c r="F10524" i="1"/>
  <c r="E10524" i="1"/>
  <c r="D10524" i="1"/>
  <c r="C10524" i="1"/>
  <c r="B10524" i="1"/>
  <c r="G10523" i="1"/>
  <c r="F10523" i="1"/>
  <c r="E10523" i="1"/>
  <c r="D10523" i="1"/>
  <c r="C10523" i="1"/>
  <c r="B10523" i="1"/>
  <c r="G10522" i="1"/>
  <c r="F10522" i="1"/>
  <c r="E10522" i="1"/>
  <c r="D10522" i="1"/>
  <c r="C10522" i="1"/>
  <c r="B10522" i="1"/>
  <c r="G10521" i="1"/>
  <c r="F10521" i="1"/>
  <c r="E10521" i="1"/>
  <c r="D10521" i="1"/>
  <c r="C10521" i="1"/>
  <c r="B10521" i="1"/>
  <c r="G10520" i="1"/>
  <c r="F10520" i="1"/>
  <c r="E10520" i="1"/>
  <c r="D10520" i="1"/>
  <c r="C10520" i="1"/>
  <c r="B10520" i="1"/>
  <c r="G10519" i="1"/>
  <c r="F10519" i="1"/>
  <c r="E10519" i="1"/>
  <c r="D10519" i="1"/>
  <c r="C10519" i="1"/>
  <c r="B10519" i="1"/>
  <c r="G10518" i="1"/>
  <c r="F10518" i="1"/>
  <c r="E10518" i="1"/>
  <c r="D10518" i="1"/>
  <c r="C10518" i="1"/>
  <c r="B10518" i="1"/>
  <c r="G10517" i="1"/>
  <c r="F10517" i="1"/>
  <c r="E10517" i="1"/>
  <c r="D10517" i="1"/>
  <c r="C10517" i="1"/>
  <c r="B10517" i="1"/>
  <c r="G10516" i="1"/>
  <c r="F10516" i="1"/>
  <c r="E10516" i="1"/>
  <c r="D10516" i="1"/>
  <c r="C10516" i="1"/>
  <c r="B10516" i="1"/>
  <c r="G10515" i="1"/>
  <c r="F10515" i="1"/>
  <c r="E10515" i="1"/>
  <c r="D10515" i="1"/>
  <c r="C10515" i="1"/>
  <c r="B10515" i="1"/>
  <c r="G10514" i="1"/>
  <c r="F10514" i="1"/>
  <c r="E10514" i="1"/>
  <c r="D10514" i="1"/>
  <c r="C10514" i="1"/>
  <c r="B10514" i="1"/>
  <c r="G10513" i="1"/>
  <c r="F10513" i="1"/>
  <c r="E10513" i="1"/>
  <c r="D10513" i="1"/>
  <c r="C10513" i="1"/>
  <c r="B10513" i="1"/>
  <c r="G10512" i="1"/>
  <c r="F10512" i="1"/>
  <c r="E10512" i="1"/>
  <c r="D10512" i="1"/>
  <c r="C10512" i="1"/>
  <c r="B10512" i="1"/>
  <c r="G10511" i="1"/>
  <c r="F10511" i="1"/>
  <c r="E10511" i="1"/>
  <c r="D10511" i="1"/>
  <c r="C10511" i="1"/>
  <c r="B10511" i="1"/>
  <c r="G10510" i="1"/>
  <c r="F10510" i="1"/>
  <c r="E10510" i="1"/>
  <c r="D10510" i="1"/>
  <c r="C10510" i="1"/>
  <c r="B10510" i="1"/>
  <c r="G10509" i="1"/>
  <c r="F10509" i="1"/>
  <c r="E10509" i="1"/>
  <c r="D10509" i="1"/>
  <c r="C10509" i="1"/>
  <c r="B10509" i="1"/>
  <c r="G10508" i="1"/>
  <c r="F10508" i="1"/>
  <c r="E10508" i="1"/>
  <c r="D10508" i="1"/>
  <c r="C10508" i="1"/>
  <c r="B10508" i="1"/>
  <c r="G10507" i="1"/>
  <c r="F10507" i="1"/>
  <c r="E10507" i="1"/>
  <c r="D10507" i="1"/>
  <c r="C10507" i="1"/>
  <c r="B10507" i="1"/>
  <c r="G10506" i="1"/>
  <c r="F10506" i="1"/>
  <c r="E10506" i="1"/>
  <c r="D10506" i="1"/>
  <c r="C10506" i="1"/>
  <c r="B10506" i="1"/>
  <c r="G10505" i="1"/>
  <c r="F10505" i="1"/>
  <c r="E10505" i="1"/>
  <c r="D10505" i="1"/>
  <c r="C10505" i="1"/>
  <c r="B10505" i="1"/>
  <c r="G10504" i="1"/>
  <c r="F10504" i="1"/>
  <c r="E10504" i="1"/>
  <c r="D10504" i="1"/>
  <c r="C10504" i="1"/>
  <c r="B10504" i="1"/>
  <c r="G10503" i="1"/>
  <c r="F10503" i="1"/>
  <c r="E10503" i="1"/>
  <c r="D10503" i="1"/>
  <c r="C10503" i="1"/>
  <c r="B10503" i="1"/>
  <c r="G10502" i="1"/>
  <c r="F10502" i="1"/>
  <c r="E10502" i="1"/>
  <c r="D10502" i="1"/>
  <c r="C10502" i="1"/>
  <c r="B10502" i="1"/>
  <c r="G10501" i="1"/>
  <c r="F10501" i="1"/>
  <c r="E10501" i="1"/>
  <c r="D10501" i="1"/>
  <c r="C10501" i="1"/>
  <c r="B10501" i="1"/>
  <c r="G10500" i="1"/>
  <c r="F10500" i="1"/>
  <c r="E10500" i="1"/>
  <c r="D10500" i="1"/>
  <c r="C10500" i="1"/>
  <c r="B10500" i="1"/>
  <c r="G10499" i="1"/>
  <c r="F10499" i="1"/>
  <c r="E10499" i="1"/>
  <c r="D10499" i="1"/>
  <c r="C10499" i="1"/>
  <c r="B10499" i="1"/>
  <c r="G10498" i="1"/>
  <c r="F10498" i="1"/>
  <c r="E10498" i="1"/>
  <c r="D10498" i="1"/>
  <c r="C10498" i="1"/>
  <c r="B10498" i="1"/>
  <c r="G10497" i="1"/>
  <c r="F10497" i="1"/>
  <c r="E10497" i="1"/>
  <c r="D10497" i="1"/>
  <c r="C10497" i="1"/>
  <c r="B10497" i="1"/>
  <c r="G10496" i="1"/>
  <c r="F10496" i="1"/>
  <c r="E10496" i="1"/>
  <c r="D10496" i="1"/>
  <c r="C10496" i="1"/>
  <c r="B10496" i="1"/>
  <c r="G10495" i="1"/>
  <c r="F10495" i="1"/>
  <c r="E10495" i="1"/>
  <c r="D10495" i="1"/>
  <c r="C10495" i="1"/>
  <c r="B10495" i="1"/>
  <c r="G10494" i="1"/>
  <c r="F10494" i="1"/>
  <c r="E10494" i="1"/>
  <c r="D10494" i="1"/>
  <c r="C10494" i="1"/>
  <c r="B10494" i="1"/>
  <c r="G10493" i="1"/>
  <c r="F10493" i="1"/>
  <c r="E10493" i="1"/>
  <c r="D10493" i="1"/>
  <c r="C10493" i="1"/>
  <c r="B10493" i="1"/>
  <c r="G10492" i="1"/>
  <c r="F10492" i="1"/>
  <c r="E10492" i="1"/>
  <c r="D10492" i="1"/>
  <c r="C10492" i="1"/>
  <c r="B10492" i="1"/>
  <c r="G10491" i="1"/>
  <c r="F10491" i="1"/>
  <c r="E10491" i="1"/>
  <c r="D10491" i="1"/>
  <c r="C10491" i="1"/>
  <c r="B10491" i="1"/>
  <c r="G10490" i="1"/>
  <c r="F10490" i="1"/>
  <c r="E10490" i="1"/>
  <c r="D10490" i="1"/>
  <c r="C10490" i="1"/>
  <c r="B10490" i="1"/>
  <c r="G10489" i="1"/>
  <c r="F10489" i="1"/>
  <c r="E10489" i="1"/>
  <c r="D10489" i="1"/>
  <c r="C10489" i="1"/>
  <c r="B10489" i="1"/>
  <c r="G10488" i="1"/>
  <c r="F10488" i="1"/>
  <c r="E10488" i="1"/>
  <c r="D10488" i="1"/>
  <c r="C10488" i="1"/>
  <c r="B10488" i="1"/>
  <c r="G10487" i="1"/>
  <c r="F10487" i="1"/>
  <c r="E10487" i="1"/>
  <c r="D10487" i="1"/>
  <c r="C10487" i="1"/>
  <c r="B10487" i="1"/>
  <c r="G10486" i="1"/>
  <c r="F10486" i="1"/>
  <c r="E10486" i="1"/>
  <c r="D10486" i="1"/>
  <c r="C10486" i="1"/>
  <c r="B10486" i="1"/>
  <c r="G10485" i="1"/>
  <c r="F10485" i="1"/>
  <c r="E10485" i="1"/>
  <c r="D10485" i="1"/>
  <c r="C10485" i="1"/>
  <c r="B10485" i="1"/>
  <c r="G10484" i="1"/>
  <c r="F10484" i="1"/>
  <c r="E10484" i="1"/>
  <c r="D10484" i="1"/>
  <c r="C10484" i="1"/>
  <c r="B10484" i="1"/>
  <c r="G10483" i="1"/>
  <c r="F10483" i="1"/>
  <c r="E10483" i="1"/>
  <c r="D10483" i="1"/>
  <c r="C10483" i="1"/>
  <c r="B10483" i="1"/>
  <c r="G10482" i="1"/>
  <c r="F10482" i="1"/>
  <c r="E10482" i="1"/>
  <c r="D10482" i="1"/>
  <c r="C10482" i="1"/>
  <c r="B10482" i="1"/>
  <c r="G10481" i="1"/>
  <c r="F10481" i="1"/>
  <c r="E10481" i="1"/>
  <c r="D10481" i="1"/>
  <c r="C10481" i="1"/>
  <c r="B10481" i="1"/>
  <c r="G10480" i="1"/>
  <c r="F10480" i="1"/>
  <c r="E10480" i="1"/>
  <c r="D10480" i="1"/>
  <c r="C10480" i="1"/>
  <c r="B10480" i="1"/>
  <c r="G10479" i="1"/>
  <c r="F10479" i="1"/>
  <c r="E10479" i="1"/>
  <c r="D10479" i="1"/>
  <c r="C10479" i="1"/>
  <c r="B10479" i="1"/>
  <c r="G10478" i="1"/>
  <c r="F10478" i="1"/>
  <c r="E10478" i="1"/>
  <c r="D10478" i="1"/>
  <c r="C10478" i="1"/>
  <c r="B10478" i="1"/>
  <c r="G10477" i="1"/>
  <c r="F10477" i="1"/>
  <c r="E10477" i="1"/>
  <c r="D10477" i="1"/>
  <c r="C10477" i="1"/>
  <c r="B10477" i="1"/>
  <c r="G10476" i="1"/>
  <c r="F10476" i="1"/>
  <c r="E10476" i="1"/>
  <c r="D10476" i="1"/>
  <c r="C10476" i="1"/>
  <c r="B10476" i="1"/>
  <c r="G10475" i="1"/>
  <c r="F10475" i="1"/>
  <c r="E10475" i="1"/>
  <c r="D10475" i="1"/>
  <c r="C10475" i="1"/>
  <c r="B10475" i="1"/>
  <c r="G10474" i="1"/>
  <c r="F10474" i="1"/>
  <c r="E10474" i="1"/>
  <c r="D10474" i="1"/>
  <c r="C10474" i="1"/>
  <c r="B10474" i="1"/>
  <c r="G10473" i="1"/>
  <c r="F10473" i="1"/>
  <c r="E10473" i="1"/>
  <c r="D10473" i="1"/>
  <c r="C10473" i="1"/>
  <c r="B10473" i="1"/>
  <c r="G10472" i="1"/>
  <c r="F10472" i="1"/>
  <c r="E10472" i="1"/>
  <c r="D10472" i="1"/>
  <c r="C10472" i="1"/>
  <c r="B10472" i="1"/>
  <c r="G10471" i="1"/>
  <c r="F10471" i="1"/>
  <c r="E10471" i="1"/>
  <c r="D10471" i="1"/>
  <c r="C10471" i="1"/>
  <c r="B10471" i="1"/>
  <c r="G10470" i="1"/>
  <c r="F10470" i="1"/>
  <c r="E10470" i="1"/>
  <c r="D10470" i="1"/>
  <c r="C10470" i="1"/>
  <c r="B10470" i="1"/>
  <c r="G10469" i="1"/>
  <c r="F10469" i="1"/>
  <c r="E10469" i="1"/>
  <c r="D10469" i="1"/>
  <c r="C10469" i="1"/>
  <c r="B10469" i="1"/>
  <c r="G10468" i="1"/>
  <c r="F10468" i="1"/>
  <c r="E10468" i="1"/>
  <c r="D10468" i="1"/>
  <c r="C10468" i="1"/>
  <c r="B10468" i="1"/>
  <c r="G10467" i="1"/>
  <c r="F10467" i="1"/>
  <c r="E10467" i="1"/>
  <c r="D10467" i="1"/>
  <c r="C10467" i="1"/>
  <c r="B10467" i="1"/>
  <c r="G10466" i="1"/>
  <c r="F10466" i="1"/>
  <c r="E10466" i="1"/>
  <c r="D10466" i="1"/>
  <c r="C10466" i="1"/>
  <c r="B10466" i="1"/>
  <c r="G10465" i="1"/>
  <c r="F10465" i="1"/>
  <c r="E10465" i="1"/>
  <c r="D10465" i="1"/>
  <c r="C10465" i="1"/>
  <c r="B10465" i="1"/>
  <c r="G10464" i="1"/>
  <c r="F10464" i="1"/>
  <c r="E10464" i="1"/>
  <c r="D10464" i="1"/>
  <c r="C10464" i="1"/>
  <c r="B10464" i="1"/>
  <c r="G10463" i="1"/>
  <c r="F10463" i="1"/>
  <c r="E10463" i="1"/>
  <c r="D10463" i="1"/>
  <c r="C10463" i="1"/>
  <c r="B10463" i="1"/>
  <c r="G10462" i="1"/>
  <c r="F10462" i="1"/>
  <c r="E10462" i="1"/>
  <c r="D10462" i="1"/>
  <c r="C10462" i="1"/>
  <c r="B10462" i="1"/>
  <c r="G10461" i="1"/>
  <c r="F10461" i="1"/>
  <c r="E10461" i="1"/>
  <c r="D10461" i="1"/>
  <c r="C10461" i="1"/>
  <c r="B10461" i="1"/>
  <c r="G10460" i="1"/>
  <c r="F10460" i="1"/>
  <c r="E10460" i="1"/>
  <c r="D10460" i="1"/>
  <c r="C10460" i="1"/>
  <c r="B10460" i="1"/>
  <c r="G10459" i="1"/>
  <c r="F10459" i="1"/>
  <c r="E10459" i="1"/>
  <c r="D10459" i="1"/>
  <c r="C10459" i="1"/>
  <c r="B10459" i="1"/>
  <c r="G10458" i="1"/>
  <c r="F10458" i="1"/>
  <c r="E10458" i="1"/>
  <c r="D10458" i="1"/>
  <c r="C10458" i="1"/>
  <c r="B10458" i="1"/>
  <c r="G10457" i="1"/>
  <c r="F10457" i="1"/>
  <c r="E10457" i="1"/>
  <c r="D10457" i="1"/>
  <c r="C10457" i="1"/>
  <c r="B10457" i="1"/>
  <c r="G10456" i="1"/>
  <c r="F10456" i="1"/>
  <c r="E10456" i="1"/>
  <c r="D10456" i="1"/>
  <c r="C10456" i="1"/>
  <c r="B10456" i="1"/>
  <c r="G10455" i="1"/>
  <c r="F10455" i="1"/>
  <c r="E10455" i="1"/>
  <c r="D10455" i="1"/>
  <c r="C10455" i="1"/>
  <c r="B10455" i="1"/>
  <c r="G10454" i="1"/>
  <c r="F10454" i="1"/>
  <c r="E10454" i="1"/>
  <c r="D10454" i="1"/>
  <c r="C10454" i="1"/>
  <c r="B10454" i="1"/>
  <c r="G10453" i="1"/>
  <c r="F10453" i="1"/>
  <c r="E10453" i="1"/>
  <c r="D10453" i="1"/>
  <c r="C10453" i="1"/>
  <c r="B10453" i="1"/>
  <c r="G10452" i="1"/>
  <c r="F10452" i="1"/>
  <c r="E10452" i="1"/>
  <c r="D10452" i="1"/>
  <c r="C10452" i="1"/>
  <c r="B10452" i="1"/>
  <c r="G10451" i="1"/>
  <c r="F10451" i="1"/>
  <c r="E10451" i="1"/>
  <c r="D10451" i="1"/>
  <c r="C10451" i="1"/>
  <c r="B10451" i="1"/>
  <c r="G10450" i="1"/>
  <c r="F10450" i="1"/>
  <c r="E10450" i="1"/>
  <c r="D10450" i="1"/>
  <c r="C10450" i="1"/>
  <c r="B10450" i="1"/>
  <c r="G10449" i="1"/>
  <c r="F10449" i="1"/>
  <c r="E10449" i="1"/>
  <c r="D10449" i="1"/>
  <c r="C10449" i="1"/>
  <c r="B10449" i="1"/>
  <c r="G10448" i="1"/>
  <c r="F10448" i="1"/>
  <c r="E10448" i="1"/>
  <c r="D10448" i="1"/>
  <c r="C10448" i="1"/>
  <c r="B10448" i="1"/>
  <c r="G10447" i="1"/>
  <c r="F10447" i="1"/>
  <c r="E10447" i="1"/>
  <c r="D10447" i="1"/>
  <c r="C10447" i="1"/>
  <c r="B10447" i="1"/>
  <c r="G10446" i="1"/>
  <c r="F10446" i="1"/>
  <c r="E10446" i="1"/>
  <c r="D10446" i="1"/>
  <c r="C10446" i="1"/>
  <c r="B10446" i="1"/>
  <c r="G10445" i="1"/>
  <c r="F10445" i="1"/>
  <c r="E10445" i="1"/>
  <c r="D10445" i="1"/>
  <c r="C10445" i="1"/>
  <c r="B10445" i="1"/>
  <c r="G10444" i="1"/>
  <c r="F10444" i="1"/>
  <c r="E10444" i="1"/>
  <c r="D10444" i="1"/>
  <c r="C10444" i="1"/>
  <c r="B10444" i="1"/>
  <c r="G10443" i="1"/>
  <c r="F10443" i="1"/>
  <c r="E10443" i="1"/>
  <c r="D10443" i="1"/>
  <c r="C10443" i="1"/>
  <c r="B10443" i="1"/>
  <c r="G10442" i="1"/>
  <c r="F10442" i="1"/>
  <c r="E10442" i="1"/>
  <c r="D10442" i="1"/>
  <c r="C10442" i="1"/>
  <c r="B10442" i="1"/>
  <c r="G10441" i="1"/>
  <c r="F10441" i="1"/>
  <c r="E10441" i="1"/>
  <c r="D10441" i="1"/>
  <c r="C10441" i="1"/>
  <c r="B10441" i="1"/>
  <c r="G10440" i="1"/>
  <c r="F10440" i="1"/>
  <c r="E10440" i="1"/>
  <c r="D10440" i="1"/>
  <c r="C10440" i="1"/>
  <c r="B10440" i="1"/>
  <c r="G10439" i="1"/>
  <c r="F10439" i="1"/>
  <c r="E10439" i="1"/>
  <c r="D10439" i="1"/>
  <c r="C10439" i="1"/>
  <c r="B10439" i="1"/>
  <c r="G10438" i="1"/>
  <c r="F10438" i="1"/>
  <c r="E10438" i="1"/>
  <c r="D10438" i="1"/>
  <c r="C10438" i="1"/>
  <c r="B10438" i="1"/>
  <c r="G10437" i="1"/>
  <c r="F10437" i="1"/>
  <c r="E10437" i="1"/>
  <c r="D10437" i="1"/>
  <c r="C10437" i="1"/>
  <c r="B10437" i="1"/>
  <c r="G10436" i="1"/>
  <c r="F10436" i="1"/>
  <c r="E10436" i="1"/>
  <c r="D10436" i="1"/>
  <c r="C10436" i="1"/>
  <c r="B10436" i="1"/>
  <c r="G10435" i="1"/>
  <c r="F10435" i="1"/>
  <c r="E10435" i="1"/>
  <c r="D10435" i="1"/>
  <c r="C10435" i="1"/>
  <c r="B10435" i="1"/>
  <c r="G10434" i="1"/>
  <c r="F10434" i="1"/>
  <c r="E10434" i="1"/>
  <c r="D10434" i="1"/>
  <c r="C10434" i="1"/>
  <c r="B10434" i="1"/>
  <c r="G10433" i="1"/>
  <c r="F10433" i="1"/>
  <c r="E10433" i="1"/>
  <c r="D10433" i="1"/>
  <c r="C10433" i="1"/>
  <c r="B10433" i="1"/>
  <c r="G10432" i="1"/>
  <c r="F10432" i="1"/>
  <c r="E10432" i="1"/>
  <c r="D10432" i="1"/>
  <c r="C10432" i="1"/>
  <c r="B10432" i="1"/>
  <c r="G10431" i="1"/>
  <c r="F10431" i="1"/>
  <c r="E10431" i="1"/>
  <c r="D10431" i="1"/>
  <c r="C10431" i="1"/>
  <c r="B10431" i="1"/>
  <c r="G10430" i="1"/>
  <c r="F10430" i="1"/>
  <c r="E10430" i="1"/>
  <c r="D10430" i="1"/>
  <c r="C10430" i="1"/>
  <c r="B10430" i="1"/>
  <c r="G10429" i="1"/>
  <c r="F10429" i="1"/>
  <c r="E10429" i="1"/>
  <c r="D10429" i="1"/>
  <c r="C10429" i="1"/>
  <c r="B10429" i="1"/>
  <c r="G10428" i="1"/>
  <c r="F10428" i="1"/>
  <c r="E10428" i="1"/>
  <c r="D10428" i="1"/>
  <c r="C10428" i="1"/>
  <c r="B10428" i="1"/>
  <c r="G10427" i="1"/>
  <c r="F10427" i="1"/>
  <c r="E10427" i="1"/>
  <c r="D10427" i="1"/>
  <c r="C10427" i="1"/>
  <c r="B10427" i="1"/>
  <c r="G10426" i="1"/>
  <c r="F10426" i="1"/>
  <c r="E10426" i="1"/>
  <c r="D10426" i="1"/>
  <c r="C10426" i="1"/>
  <c r="B10426" i="1"/>
  <c r="G10425" i="1"/>
  <c r="F10425" i="1"/>
  <c r="E10425" i="1"/>
  <c r="D10425" i="1"/>
  <c r="C10425" i="1"/>
  <c r="B10425" i="1"/>
  <c r="G10424" i="1"/>
  <c r="F10424" i="1"/>
  <c r="E10424" i="1"/>
  <c r="D10424" i="1"/>
  <c r="C10424" i="1"/>
  <c r="B10424" i="1"/>
  <c r="G10423" i="1"/>
  <c r="F10423" i="1"/>
  <c r="E10423" i="1"/>
  <c r="D10423" i="1"/>
  <c r="C10423" i="1"/>
  <c r="B10423" i="1"/>
  <c r="G10422" i="1"/>
  <c r="F10422" i="1"/>
  <c r="E10422" i="1"/>
  <c r="D10422" i="1"/>
  <c r="C10422" i="1"/>
  <c r="B10422" i="1"/>
  <c r="G10421" i="1"/>
  <c r="F10421" i="1"/>
  <c r="E10421" i="1"/>
  <c r="D10421" i="1"/>
  <c r="C10421" i="1"/>
  <c r="B10421" i="1"/>
  <c r="G10420" i="1"/>
  <c r="F10420" i="1"/>
  <c r="E10420" i="1"/>
  <c r="D10420" i="1"/>
  <c r="C10420" i="1"/>
  <c r="B10420" i="1"/>
  <c r="G10419" i="1"/>
  <c r="F10419" i="1"/>
  <c r="E10419" i="1"/>
  <c r="D10419" i="1"/>
  <c r="C10419" i="1"/>
  <c r="B10419" i="1"/>
  <c r="G10418" i="1"/>
  <c r="F10418" i="1"/>
  <c r="E10418" i="1"/>
  <c r="D10418" i="1"/>
  <c r="C10418" i="1"/>
  <c r="B10418" i="1"/>
  <c r="G10417" i="1"/>
  <c r="F10417" i="1"/>
  <c r="E10417" i="1"/>
  <c r="D10417" i="1"/>
  <c r="C10417" i="1"/>
  <c r="B10417" i="1"/>
  <c r="G10416" i="1"/>
  <c r="F10416" i="1"/>
  <c r="E10416" i="1"/>
  <c r="D10416" i="1"/>
  <c r="C10416" i="1"/>
  <c r="B10416" i="1"/>
  <c r="G10415" i="1"/>
  <c r="F10415" i="1"/>
  <c r="E10415" i="1"/>
  <c r="D10415" i="1"/>
  <c r="C10415" i="1"/>
  <c r="B10415" i="1"/>
  <c r="G10414" i="1"/>
  <c r="F10414" i="1"/>
  <c r="E10414" i="1"/>
  <c r="D10414" i="1"/>
  <c r="C10414" i="1"/>
  <c r="B10414" i="1"/>
  <c r="G10413" i="1"/>
  <c r="F10413" i="1"/>
  <c r="E10413" i="1"/>
  <c r="D10413" i="1"/>
  <c r="C10413" i="1"/>
  <c r="B10413" i="1"/>
  <c r="G10412" i="1"/>
  <c r="F10412" i="1"/>
  <c r="E10412" i="1"/>
  <c r="D10412" i="1"/>
  <c r="C10412" i="1"/>
  <c r="B10412" i="1"/>
  <c r="G10411" i="1"/>
  <c r="F10411" i="1"/>
  <c r="E10411" i="1"/>
  <c r="D10411" i="1"/>
  <c r="C10411" i="1"/>
  <c r="B10411" i="1"/>
  <c r="G10410" i="1"/>
  <c r="F10410" i="1"/>
  <c r="E10410" i="1"/>
  <c r="D10410" i="1"/>
  <c r="C10410" i="1"/>
  <c r="B10410" i="1"/>
  <c r="G10409" i="1"/>
  <c r="F10409" i="1"/>
  <c r="E10409" i="1"/>
  <c r="D10409" i="1"/>
  <c r="C10409" i="1"/>
  <c r="B10409" i="1"/>
  <c r="G10408" i="1"/>
  <c r="F10408" i="1"/>
  <c r="E10408" i="1"/>
  <c r="D10408" i="1"/>
  <c r="C10408" i="1"/>
  <c r="B10408" i="1"/>
  <c r="G10407" i="1"/>
  <c r="F10407" i="1"/>
  <c r="E10407" i="1"/>
  <c r="D10407" i="1"/>
  <c r="C10407" i="1"/>
  <c r="B10407" i="1"/>
  <c r="G10406" i="1"/>
  <c r="F10406" i="1"/>
  <c r="E10406" i="1"/>
  <c r="D10406" i="1"/>
  <c r="C10406" i="1"/>
  <c r="B10406" i="1"/>
  <c r="G10405" i="1"/>
  <c r="F10405" i="1"/>
  <c r="E10405" i="1"/>
  <c r="D10405" i="1"/>
  <c r="C10405" i="1"/>
  <c r="B10405" i="1"/>
  <c r="G10404" i="1"/>
  <c r="F10404" i="1"/>
  <c r="E10404" i="1"/>
  <c r="D10404" i="1"/>
  <c r="C10404" i="1"/>
  <c r="B10404" i="1"/>
  <c r="G10403" i="1"/>
  <c r="F10403" i="1"/>
  <c r="E10403" i="1"/>
  <c r="D10403" i="1"/>
  <c r="C10403" i="1"/>
  <c r="B10403" i="1"/>
  <c r="G10402" i="1"/>
  <c r="F10402" i="1"/>
  <c r="E10402" i="1"/>
  <c r="D10402" i="1"/>
  <c r="C10402" i="1"/>
  <c r="B10402" i="1"/>
  <c r="G10401" i="1"/>
  <c r="F10401" i="1"/>
  <c r="E10401" i="1"/>
  <c r="D10401" i="1"/>
  <c r="C10401" i="1"/>
  <c r="B10401" i="1"/>
  <c r="G10400" i="1"/>
  <c r="F10400" i="1"/>
  <c r="E10400" i="1"/>
  <c r="D10400" i="1"/>
  <c r="C10400" i="1"/>
  <c r="B10400" i="1"/>
  <c r="G10399" i="1"/>
  <c r="F10399" i="1"/>
  <c r="E10399" i="1"/>
  <c r="D10399" i="1"/>
  <c r="C10399" i="1"/>
  <c r="B10399" i="1"/>
  <c r="G10398" i="1"/>
  <c r="F10398" i="1"/>
  <c r="E10398" i="1"/>
  <c r="D10398" i="1"/>
  <c r="C10398" i="1"/>
  <c r="B10398" i="1"/>
  <c r="G10397" i="1"/>
  <c r="F10397" i="1"/>
  <c r="E10397" i="1"/>
  <c r="D10397" i="1"/>
  <c r="C10397" i="1"/>
  <c r="B10397" i="1"/>
  <c r="G10396" i="1"/>
  <c r="F10396" i="1"/>
  <c r="E10396" i="1"/>
  <c r="D10396" i="1"/>
  <c r="C10396" i="1"/>
  <c r="B10396" i="1"/>
  <c r="G10395" i="1"/>
  <c r="F10395" i="1"/>
  <c r="E10395" i="1"/>
  <c r="D10395" i="1"/>
  <c r="C10395" i="1"/>
  <c r="B10395" i="1"/>
  <c r="G10394" i="1"/>
  <c r="F10394" i="1"/>
  <c r="E10394" i="1"/>
  <c r="D10394" i="1"/>
  <c r="C10394" i="1"/>
  <c r="B10394" i="1"/>
  <c r="G10393" i="1"/>
  <c r="F10393" i="1"/>
  <c r="E10393" i="1"/>
  <c r="D10393" i="1"/>
  <c r="C10393" i="1"/>
  <c r="B10393" i="1"/>
  <c r="G10392" i="1"/>
  <c r="F10392" i="1"/>
  <c r="E10392" i="1"/>
  <c r="D10392" i="1"/>
  <c r="C10392" i="1"/>
  <c r="B10392" i="1"/>
  <c r="G10391" i="1"/>
  <c r="F10391" i="1"/>
  <c r="E10391" i="1"/>
  <c r="D10391" i="1"/>
  <c r="C10391" i="1"/>
  <c r="B10391" i="1"/>
  <c r="G10390" i="1"/>
  <c r="F10390" i="1"/>
  <c r="E10390" i="1"/>
  <c r="D10390" i="1"/>
  <c r="C10390" i="1"/>
  <c r="B10390" i="1"/>
  <c r="G10389" i="1"/>
  <c r="F10389" i="1"/>
  <c r="E10389" i="1"/>
  <c r="D10389" i="1"/>
  <c r="C10389" i="1"/>
  <c r="B10389" i="1"/>
  <c r="G10388" i="1"/>
  <c r="F10388" i="1"/>
  <c r="E10388" i="1"/>
  <c r="D10388" i="1"/>
  <c r="C10388" i="1"/>
  <c r="B10388" i="1"/>
  <c r="G10387" i="1"/>
  <c r="F10387" i="1"/>
  <c r="E10387" i="1"/>
  <c r="D10387" i="1"/>
  <c r="C10387" i="1"/>
  <c r="B10387" i="1"/>
  <c r="G10386" i="1"/>
  <c r="F10386" i="1"/>
  <c r="E10386" i="1"/>
  <c r="D10386" i="1"/>
  <c r="C10386" i="1"/>
  <c r="B10386" i="1"/>
  <c r="G10385" i="1"/>
  <c r="F10385" i="1"/>
  <c r="E10385" i="1"/>
  <c r="D10385" i="1"/>
  <c r="C10385" i="1"/>
  <c r="B10385" i="1"/>
  <c r="G10384" i="1"/>
  <c r="F10384" i="1"/>
  <c r="E10384" i="1"/>
  <c r="D10384" i="1"/>
  <c r="C10384" i="1"/>
  <c r="B10384" i="1"/>
  <c r="G10383" i="1"/>
  <c r="F10383" i="1"/>
  <c r="E10383" i="1"/>
  <c r="D10383" i="1"/>
  <c r="C10383" i="1"/>
  <c r="B10383" i="1"/>
  <c r="G10382" i="1"/>
  <c r="F10382" i="1"/>
  <c r="E10382" i="1"/>
  <c r="D10382" i="1"/>
  <c r="C10382" i="1"/>
  <c r="B10382" i="1"/>
  <c r="G10381" i="1"/>
  <c r="F10381" i="1"/>
  <c r="E10381" i="1"/>
  <c r="D10381" i="1"/>
  <c r="C10381" i="1"/>
  <c r="B10381" i="1"/>
  <c r="G10380" i="1"/>
  <c r="F10380" i="1"/>
  <c r="E10380" i="1"/>
  <c r="D10380" i="1"/>
  <c r="C10380" i="1"/>
  <c r="B10380" i="1"/>
  <c r="G10379" i="1"/>
  <c r="F10379" i="1"/>
  <c r="E10379" i="1"/>
  <c r="D10379" i="1"/>
  <c r="C10379" i="1"/>
  <c r="B10379" i="1"/>
  <c r="G10378" i="1"/>
  <c r="F10378" i="1"/>
  <c r="E10378" i="1"/>
  <c r="D10378" i="1"/>
  <c r="C10378" i="1"/>
  <c r="B10378" i="1"/>
  <c r="G10377" i="1"/>
  <c r="F10377" i="1"/>
  <c r="E10377" i="1"/>
  <c r="D10377" i="1"/>
  <c r="C10377" i="1"/>
  <c r="B10377" i="1"/>
  <c r="G10376" i="1"/>
  <c r="F10376" i="1"/>
  <c r="E10376" i="1"/>
  <c r="D10376" i="1"/>
  <c r="C10376" i="1"/>
  <c r="B10376" i="1"/>
  <c r="G10375" i="1"/>
  <c r="F10375" i="1"/>
  <c r="E10375" i="1"/>
  <c r="D10375" i="1"/>
  <c r="C10375" i="1"/>
  <c r="B10375" i="1"/>
  <c r="G10374" i="1"/>
  <c r="F10374" i="1"/>
  <c r="E10374" i="1"/>
  <c r="D10374" i="1"/>
  <c r="C10374" i="1"/>
  <c r="B10374" i="1"/>
  <c r="G10373" i="1"/>
  <c r="F10373" i="1"/>
  <c r="E10373" i="1"/>
  <c r="D10373" i="1"/>
  <c r="C10373" i="1"/>
  <c r="B10373" i="1"/>
  <c r="G10372" i="1"/>
  <c r="F10372" i="1"/>
  <c r="E10372" i="1"/>
  <c r="D10372" i="1"/>
  <c r="C10372" i="1"/>
  <c r="B10372" i="1"/>
  <c r="G10371" i="1"/>
  <c r="F10371" i="1"/>
  <c r="E10371" i="1"/>
  <c r="D10371" i="1"/>
  <c r="C10371" i="1"/>
  <c r="B10371" i="1"/>
  <c r="G10370" i="1"/>
  <c r="F10370" i="1"/>
  <c r="E10370" i="1"/>
  <c r="D10370" i="1"/>
  <c r="C10370" i="1"/>
  <c r="B10370" i="1"/>
  <c r="G10369" i="1"/>
  <c r="F10369" i="1"/>
  <c r="E10369" i="1"/>
  <c r="D10369" i="1"/>
  <c r="C10369" i="1"/>
  <c r="B10369" i="1"/>
  <c r="G10368" i="1"/>
  <c r="F10368" i="1"/>
  <c r="E10368" i="1"/>
  <c r="D10368" i="1"/>
  <c r="C10368" i="1"/>
  <c r="B10368" i="1"/>
  <c r="G10367" i="1"/>
  <c r="F10367" i="1"/>
  <c r="E10367" i="1"/>
  <c r="D10367" i="1"/>
  <c r="C10367" i="1"/>
  <c r="B10367" i="1"/>
  <c r="G10366" i="1"/>
  <c r="F10366" i="1"/>
  <c r="E10366" i="1"/>
  <c r="D10366" i="1"/>
  <c r="C10366" i="1"/>
  <c r="B10366" i="1"/>
  <c r="G10365" i="1"/>
  <c r="F10365" i="1"/>
  <c r="E10365" i="1"/>
  <c r="D10365" i="1"/>
  <c r="C10365" i="1"/>
  <c r="B10365" i="1"/>
  <c r="G10364" i="1"/>
  <c r="F10364" i="1"/>
  <c r="E10364" i="1"/>
  <c r="D10364" i="1"/>
  <c r="C10364" i="1"/>
  <c r="B10364" i="1"/>
  <c r="G10363" i="1"/>
  <c r="F10363" i="1"/>
  <c r="E10363" i="1"/>
  <c r="D10363" i="1"/>
  <c r="C10363" i="1"/>
  <c r="B10363" i="1"/>
  <c r="G10362" i="1"/>
  <c r="F10362" i="1"/>
  <c r="E10362" i="1"/>
  <c r="D10362" i="1"/>
  <c r="C10362" i="1"/>
  <c r="B10362" i="1"/>
  <c r="G10361" i="1"/>
  <c r="F10361" i="1"/>
  <c r="E10361" i="1"/>
  <c r="D10361" i="1"/>
  <c r="C10361" i="1"/>
  <c r="B10361" i="1"/>
  <c r="G10360" i="1"/>
  <c r="F10360" i="1"/>
  <c r="E10360" i="1"/>
  <c r="D10360" i="1"/>
  <c r="C10360" i="1"/>
  <c r="B10360" i="1"/>
  <c r="G10359" i="1"/>
  <c r="F10359" i="1"/>
  <c r="E10359" i="1"/>
  <c r="D10359" i="1"/>
  <c r="C10359" i="1"/>
  <c r="B10359" i="1"/>
  <c r="G10358" i="1"/>
  <c r="F10358" i="1"/>
  <c r="E10358" i="1"/>
  <c r="D10358" i="1"/>
  <c r="C10358" i="1"/>
  <c r="B10358" i="1"/>
  <c r="G10357" i="1"/>
  <c r="F10357" i="1"/>
  <c r="E10357" i="1"/>
  <c r="D10357" i="1"/>
  <c r="C10357" i="1"/>
  <c r="B10357" i="1"/>
  <c r="G10356" i="1"/>
  <c r="F10356" i="1"/>
  <c r="E10356" i="1"/>
  <c r="D10356" i="1"/>
  <c r="C10356" i="1"/>
  <c r="B10356" i="1"/>
  <c r="G10355" i="1"/>
  <c r="F10355" i="1"/>
  <c r="E10355" i="1"/>
  <c r="D10355" i="1"/>
  <c r="C10355" i="1"/>
  <c r="B10355" i="1"/>
  <c r="G10354" i="1"/>
  <c r="F10354" i="1"/>
  <c r="E10354" i="1"/>
  <c r="D10354" i="1"/>
  <c r="C10354" i="1"/>
  <c r="B10354" i="1"/>
  <c r="G10353" i="1"/>
  <c r="F10353" i="1"/>
  <c r="E10353" i="1"/>
  <c r="D10353" i="1"/>
  <c r="C10353" i="1"/>
  <c r="B10353" i="1"/>
  <c r="G10352" i="1"/>
  <c r="F10352" i="1"/>
  <c r="E10352" i="1"/>
  <c r="D10352" i="1"/>
  <c r="C10352" i="1"/>
  <c r="B10352" i="1"/>
  <c r="G10351" i="1"/>
  <c r="F10351" i="1"/>
  <c r="E10351" i="1"/>
  <c r="D10351" i="1"/>
  <c r="C10351" i="1"/>
  <c r="B10351" i="1"/>
  <c r="G10350" i="1"/>
  <c r="F10350" i="1"/>
  <c r="E10350" i="1"/>
  <c r="D10350" i="1"/>
  <c r="C10350" i="1"/>
  <c r="B10350" i="1"/>
  <c r="G10349" i="1"/>
  <c r="F10349" i="1"/>
  <c r="E10349" i="1"/>
  <c r="D10349" i="1"/>
  <c r="C10349" i="1"/>
  <c r="B10349" i="1"/>
  <c r="G10348" i="1"/>
  <c r="F10348" i="1"/>
  <c r="E10348" i="1"/>
  <c r="D10348" i="1"/>
  <c r="C10348" i="1"/>
  <c r="B10348" i="1"/>
  <c r="G10347" i="1"/>
  <c r="F10347" i="1"/>
  <c r="E10347" i="1"/>
  <c r="D10347" i="1"/>
  <c r="C10347" i="1"/>
  <c r="B10347" i="1"/>
  <c r="G10346" i="1"/>
  <c r="F10346" i="1"/>
  <c r="E10346" i="1"/>
  <c r="D10346" i="1"/>
  <c r="C10346" i="1"/>
  <c r="B10346" i="1"/>
  <c r="G10345" i="1"/>
  <c r="F10345" i="1"/>
  <c r="E10345" i="1"/>
  <c r="D10345" i="1"/>
  <c r="C10345" i="1"/>
  <c r="B10345" i="1"/>
  <c r="G10344" i="1"/>
  <c r="F10344" i="1"/>
  <c r="E10344" i="1"/>
  <c r="D10344" i="1"/>
  <c r="C10344" i="1"/>
  <c r="B10344" i="1"/>
  <c r="G10343" i="1"/>
  <c r="F10343" i="1"/>
  <c r="E10343" i="1"/>
  <c r="D10343" i="1"/>
  <c r="C10343" i="1"/>
  <c r="B10343" i="1"/>
  <c r="G10342" i="1"/>
  <c r="F10342" i="1"/>
  <c r="E10342" i="1"/>
  <c r="D10342" i="1"/>
  <c r="C10342" i="1"/>
  <c r="B10342" i="1"/>
  <c r="G10341" i="1"/>
  <c r="F10341" i="1"/>
  <c r="E10341" i="1"/>
  <c r="D10341" i="1"/>
  <c r="C10341" i="1"/>
  <c r="B10341" i="1"/>
  <c r="G10340" i="1"/>
  <c r="F10340" i="1"/>
  <c r="E10340" i="1"/>
  <c r="D10340" i="1"/>
  <c r="C10340" i="1"/>
  <c r="B10340" i="1"/>
  <c r="G10339" i="1"/>
  <c r="F10339" i="1"/>
  <c r="E10339" i="1"/>
  <c r="D10339" i="1"/>
  <c r="C10339" i="1"/>
  <c r="B10339" i="1"/>
  <c r="G10338" i="1"/>
  <c r="F10338" i="1"/>
  <c r="E10338" i="1"/>
  <c r="D10338" i="1"/>
  <c r="C10338" i="1"/>
  <c r="B10338" i="1"/>
  <c r="G10337" i="1"/>
  <c r="F10337" i="1"/>
  <c r="E10337" i="1"/>
  <c r="D10337" i="1"/>
  <c r="C10337" i="1"/>
  <c r="B10337" i="1"/>
  <c r="G10336" i="1"/>
  <c r="F10336" i="1"/>
  <c r="E10336" i="1"/>
  <c r="D10336" i="1"/>
  <c r="C10336" i="1"/>
  <c r="B10336" i="1"/>
  <c r="G10335" i="1"/>
  <c r="F10335" i="1"/>
  <c r="E10335" i="1"/>
  <c r="D10335" i="1"/>
  <c r="C10335" i="1"/>
  <c r="B10335" i="1"/>
  <c r="G10334" i="1"/>
  <c r="F10334" i="1"/>
  <c r="E10334" i="1"/>
  <c r="D10334" i="1"/>
  <c r="C10334" i="1"/>
  <c r="B10334" i="1"/>
  <c r="G10333" i="1"/>
  <c r="F10333" i="1"/>
  <c r="E10333" i="1"/>
  <c r="D10333" i="1"/>
  <c r="C10333" i="1"/>
  <c r="B10333" i="1"/>
  <c r="G10332" i="1"/>
  <c r="F10332" i="1"/>
  <c r="E10332" i="1"/>
  <c r="D10332" i="1"/>
  <c r="C10332" i="1"/>
  <c r="B10332" i="1"/>
  <c r="G10331" i="1"/>
  <c r="F10331" i="1"/>
  <c r="E10331" i="1"/>
  <c r="D10331" i="1"/>
  <c r="C10331" i="1"/>
  <c r="B10331" i="1"/>
  <c r="G10330" i="1"/>
  <c r="F10330" i="1"/>
  <c r="E10330" i="1"/>
  <c r="D10330" i="1"/>
  <c r="C10330" i="1"/>
  <c r="B10330" i="1"/>
  <c r="G10329" i="1"/>
  <c r="F10329" i="1"/>
  <c r="E10329" i="1"/>
  <c r="D10329" i="1"/>
  <c r="C10329" i="1"/>
  <c r="B10329" i="1"/>
  <c r="G10328" i="1"/>
  <c r="F10328" i="1"/>
  <c r="E10328" i="1"/>
  <c r="D10328" i="1"/>
  <c r="C10328" i="1"/>
  <c r="B10328" i="1"/>
  <c r="G10327" i="1"/>
  <c r="F10327" i="1"/>
  <c r="E10327" i="1"/>
  <c r="D10327" i="1"/>
  <c r="C10327" i="1"/>
  <c r="B10327" i="1"/>
  <c r="G10326" i="1"/>
  <c r="F10326" i="1"/>
  <c r="E10326" i="1"/>
  <c r="D10326" i="1"/>
  <c r="C10326" i="1"/>
  <c r="B10326" i="1"/>
  <c r="G10325" i="1"/>
  <c r="F10325" i="1"/>
  <c r="E10325" i="1"/>
  <c r="D10325" i="1"/>
  <c r="C10325" i="1"/>
  <c r="B10325" i="1"/>
  <c r="G10324" i="1"/>
  <c r="F10324" i="1"/>
  <c r="E10324" i="1"/>
  <c r="D10324" i="1"/>
  <c r="C10324" i="1"/>
  <c r="B10324" i="1"/>
  <c r="G10323" i="1"/>
  <c r="F10323" i="1"/>
  <c r="E10323" i="1"/>
  <c r="D10323" i="1"/>
  <c r="C10323" i="1"/>
  <c r="B10323" i="1"/>
  <c r="G10322" i="1"/>
  <c r="F10322" i="1"/>
  <c r="E10322" i="1"/>
  <c r="D10322" i="1"/>
  <c r="C10322" i="1"/>
  <c r="B10322" i="1"/>
  <c r="G10321" i="1"/>
  <c r="F10321" i="1"/>
  <c r="E10321" i="1"/>
  <c r="D10321" i="1"/>
  <c r="C10321" i="1"/>
  <c r="B10321" i="1"/>
  <c r="G10320" i="1"/>
  <c r="F10320" i="1"/>
  <c r="E10320" i="1"/>
  <c r="D10320" i="1"/>
  <c r="C10320" i="1"/>
  <c r="B10320" i="1"/>
  <c r="G10319" i="1"/>
  <c r="F10319" i="1"/>
  <c r="E10319" i="1"/>
  <c r="D10319" i="1"/>
  <c r="C10319" i="1"/>
  <c r="B10319" i="1"/>
  <c r="G10318" i="1"/>
  <c r="F10318" i="1"/>
  <c r="E10318" i="1"/>
  <c r="D10318" i="1"/>
  <c r="C10318" i="1"/>
  <c r="B10318" i="1"/>
  <c r="G10317" i="1"/>
  <c r="F10317" i="1"/>
  <c r="E10317" i="1"/>
  <c r="D10317" i="1"/>
  <c r="C10317" i="1"/>
  <c r="B10317" i="1"/>
  <c r="G10316" i="1"/>
  <c r="F10316" i="1"/>
  <c r="E10316" i="1"/>
  <c r="D10316" i="1"/>
  <c r="C10316" i="1"/>
  <c r="B10316" i="1"/>
  <c r="G10315" i="1"/>
  <c r="F10315" i="1"/>
  <c r="E10315" i="1"/>
  <c r="D10315" i="1"/>
  <c r="C10315" i="1"/>
  <c r="B10315" i="1"/>
  <c r="G10314" i="1"/>
  <c r="F10314" i="1"/>
  <c r="E10314" i="1"/>
  <c r="D10314" i="1"/>
  <c r="C10314" i="1"/>
  <c r="B10314" i="1"/>
  <c r="G10313" i="1"/>
  <c r="F10313" i="1"/>
  <c r="E10313" i="1"/>
  <c r="D10313" i="1"/>
  <c r="C10313" i="1"/>
  <c r="B10313" i="1"/>
  <c r="G10312" i="1"/>
  <c r="F10312" i="1"/>
  <c r="E10312" i="1"/>
  <c r="D10312" i="1"/>
  <c r="C10312" i="1"/>
  <c r="B10312" i="1"/>
  <c r="G10311" i="1"/>
  <c r="F10311" i="1"/>
  <c r="E10311" i="1"/>
  <c r="D10311" i="1"/>
  <c r="C10311" i="1"/>
  <c r="B10311" i="1"/>
  <c r="G10310" i="1"/>
  <c r="F10310" i="1"/>
  <c r="E10310" i="1"/>
  <c r="D10310" i="1"/>
  <c r="C10310" i="1"/>
  <c r="B10310" i="1"/>
  <c r="G10309" i="1"/>
  <c r="F10309" i="1"/>
  <c r="E10309" i="1"/>
  <c r="D10309" i="1"/>
  <c r="C10309" i="1"/>
  <c r="B10309" i="1"/>
  <c r="G10308" i="1"/>
  <c r="F10308" i="1"/>
  <c r="E10308" i="1"/>
  <c r="D10308" i="1"/>
  <c r="C10308" i="1"/>
  <c r="B10308" i="1"/>
  <c r="G10307" i="1"/>
  <c r="F10307" i="1"/>
  <c r="E10307" i="1"/>
  <c r="D10307" i="1"/>
  <c r="C10307" i="1"/>
  <c r="B10307" i="1"/>
  <c r="G10306" i="1"/>
  <c r="F10306" i="1"/>
  <c r="E10306" i="1"/>
  <c r="D10306" i="1"/>
  <c r="C10306" i="1"/>
  <c r="B10306" i="1"/>
  <c r="G10305" i="1"/>
  <c r="F10305" i="1"/>
  <c r="E10305" i="1"/>
  <c r="D10305" i="1"/>
  <c r="C10305" i="1"/>
  <c r="B10305" i="1"/>
  <c r="G10304" i="1"/>
  <c r="F10304" i="1"/>
  <c r="E10304" i="1"/>
  <c r="D10304" i="1"/>
  <c r="C10304" i="1"/>
  <c r="B10304" i="1"/>
  <c r="G10303" i="1"/>
  <c r="F10303" i="1"/>
  <c r="E10303" i="1"/>
  <c r="D10303" i="1"/>
  <c r="C10303" i="1"/>
  <c r="B10303" i="1"/>
  <c r="G10302" i="1"/>
  <c r="F10302" i="1"/>
  <c r="E10302" i="1"/>
  <c r="D10302" i="1"/>
  <c r="C10302" i="1"/>
  <c r="B10302" i="1"/>
  <c r="G10301" i="1"/>
  <c r="F10301" i="1"/>
  <c r="E10301" i="1"/>
  <c r="D10301" i="1"/>
  <c r="C10301" i="1"/>
  <c r="B10301" i="1"/>
  <c r="G10300" i="1"/>
  <c r="F10300" i="1"/>
  <c r="E10300" i="1"/>
  <c r="D10300" i="1"/>
  <c r="C10300" i="1"/>
  <c r="B10300" i="1"/>
  <c r="G10299" i="1"/>
  <c r="F10299" i="1"/>
  <c r="E10299" i="1"/>
  <c r="D10299" i="1"/>
  <c r="C10299" i="1"/>
  <c r="B10299" i="1"/>
  <c r="G10298" i="1"/>
  <c r="F10298" i="1"/>
  <c r="E10298" i="1"/>
  <c r="D10298" i="1"/>
  <c r="C10298" i="1"/>
  <c r="B10298" i="1"/>
  <c r="G10297" i="1"/>
  <c r="F10297" i="1"/>
  <c r="E10297" i="1"/>
  <c r="D10297" i="1"/>
  <c r="C10297" i="1"/>
  <c r="B10297" i="1"/>
  <c r="G10296" i="1"/>
  <c r="F10296" i="1"/>
  <c r="E10296" i="1"/>
  <c r="D10296" i="1"/>
  <c r="C10296" i="1"/>
  <c r="B10296" i="1"/>
  <c r="G10295" i="1"/>
  <c r="F10295" i="1"/>
  <c r="E10295" i="1"/>
  <c r="D10295" i="1"/>
  <c r="C10295" i="1"/>
  <c r="B10295" i="1"/>
  <c r="G10294" i="1"/>
  <c r="F10294" i="1"/>
  <c r="E10294" i="1"/>
  <c r="D10294" i="1"/>
  <c r="C10294" i="1"/>
  <c r="B10294" i="1"/>
  <c r="G10293" i="1"/>
  <c r="F10293" i="1"/>
  <c r="E10293" i="1"/>
  <c r="D10293" i="1"/>
  <c r="C10293" i="1"/>
  <c r="B10293" i="1"/>
  <c r="G10292" i="1"/>
  <c r="F10292" i="1"/>
  <c r="E10292" i="1"/>
  <c r="D10292" i="1"/>
  <c r="C10292" i="1"/>
  <c r="B10292" i="1"/>
  <c r="G10291" i="1"/>
  <c r="F10291" i="1"/>
  <c r="E10291" i="1"/>
  <c r="D10291" i="1"/>
  <c r="C10291" i="1"/>
  <c r="B10291" i="1"/>
  <c r="G10290" i="1"/>
  <c r="F10290" i="1"/>
  <c r="E10290" i="1"/>
  <c r="D10290" i="1"/>
  <c r="C10290" i="1"/>
  <c r="B10290" i="1"/>
  <c r="G10289" i="1"/>
  <c r="F10289" i="1"/>
  <c r="E10289" i="1"/>
  <c r="D10289" i="1"/>
  <c r="C10289" i="1"/>
  <c r="B10289" i="1"/>
  <c r="G10288" i="1"/>
  <c r="F10288" i="1"/>
  <c r="E10288" i="1"/>
  <c r="D10288" i="1"/>
  <c r="C10288" i="1"/>
  <c r="B10288" i="1"/>
  <c r="G10287" i="1"/>
  <c r="F10287" i="1"/>
  <c r="E10287" i="1"/>
  <c r="D10287" i="1"/>
  <c r="C10287" i="1"/>
  <c r="B10287" i="1"/>
  <c r="G10286" i="1"/>
  <c r="F10286" i="1"/>
  <c r="E10286" i="1"/>
  <c r="D10286" i="1"/>
  <c r="C10286" i="1"/>
  <c r="B10286" i="1"/>
  <c r="G10285" i="1"/>
  <c r="F10285" i="1"/>
  <c r="E10285" i="1"/>
  <c r="D10285" i="1"/>
  <c r="C10285" i="1"/>
  <c r="B10285" i="1"/>
  <c r="G10284" i="1"/>
  <c r="F10284" i="1"/>
  <c r="E10284" i="1"/>
  <c r="D10284" i="1"/>
  <c r="C10284" i="1"/>
  <c r="B10284" i="1"/>
  <c r="G10283" i="1"/>
  <c r="F10283" i="1"/>
  <c r="E10283" i="1"/>
  <c r="D10283" i="1"/>
  <c r="C10283" i="1"/>
  <c r="B10283" i="1"/>
  <c r="G10282" i="1"/>
  <c r="F10282" i="1"/>
  <c r="E10282" i="1"/>
  <c r="D10282" i="1"/>
  <c r="C10282" i="1"/>
  <c r="B10282" i="1"/>
  <c r="G10281" i="1"/>
  <c r="F10281" i="1"/>
  <c r="E10281" i="1"/>
  <c r="D10281" i="1"/>
  <c r="C10281" i="1"/>
  <c r="B10281" i="1"/>
  <c r="G10280" i="1"/>
  <c r="F10280" i="1"/>
  <c r="E10280" i="1"/>
  <c r="D10280" i="1"/>
  <c r="C10280" i="1"/>
  <c r="B10280" i="1"/>
  <c r="G10279" i="1"/>
  <c r="F10279" i="1"/>
  <c r="E10279" i="1"/>
  <c r="D10279" i="1"/>
  <c r="C10279" i="1"/>
  <c r="B10279" i="1"/>
  <c r="G10278" i="1"/>
  <c r="F10278" i="1"/>
  <c r="E10278" i="1"/>
  <c r="D10278" i="1"/>
  <c r="C10278" i="1"/>
  <c r="B10278" i="1"/>
  <c r="G10277" i="1"/>
  <c r="F10277" i="1"/>
  <c r="E10277" i="1"/>
  <c r="D10277" i="1"/>
  <c r="C10277" i="1"/>
  <c r="B10277" i="1"/>
  <c r="G10276" i="1"/>
  <c r="F10276" i="1"/>
  <c r="E10276" i="1"/>
  <c r="D10276" i="1"/>
  <c r="C10276" i="1"/>
  <c r="B10276" i="1"/>
  <c r="G10275" i="1"/>
  <c r="F10275" i="1"/>
  <c r="E10275" i="1"/>
  <c r="D10275" i="1"/>
  <c r="C10275" i="1"/>
  <c r="B10275" i="1"/>
  <c r="G10274" i="1"/>
  <c r="F10274" i="1"/>
  <c r="E10274" i="1"/>
  <c r="D10274" i="1"/>
  <c r="C10274" i="1"/>
  <c r="B10274" i="1"/>
  <c r="G10273" i="1"/>
  <c r="F10273" i="1"/>
  <c r="E10273" i="1"/>
  <c r="D10273" i="1"/>
  <c r="C10273" i="1"/>
  <c r="B10273" i="1"/>
  <c r="G10272" i="1"/>
  <c r="F10272" i="1"/>
  <c r="E10272" i="1"/>
  <c r="D10272" i="1"/>
  <c r="C10272" i="1"/>
  <c r="B10272" i="1"/>
  <c r="G10271" i="1"/>
  <c r="F10271" i="1"/>
  <c r="E10271" i="1"/>
  <c r="D10271" i="1"/>
  <c r="C10271" i="1"/>
  <c r="B10271" i="1"/>
  <c r="G10270" i="1"/>
  <c r="F10270" i="1"/>
  <c r="E10270" i="1"/>
  <c r="D10270" i="1"/>
  <c r="C10270" i="1"/>
  <c r="B10270" i="1"/>
  <c r="G10269" i="1"/>
  <c r="F10269" i="1"/>
  <c r="E10269" i="1"/>
  <c r="D10269" i="1"/>
  <c r="C10269" i="1"/>
  <c r="B10269" i="1"/>
  <c r="G10268" i="1"/>
  <c r="F10268" i="1"/>
  <c r="E10268" i="1"/>
  <c r="D10268" i="1"/>
  <c r="C10268" i="1"/>
  <c r="B10268" i="1"/>
  <c r="G10267" i="1"/>
  <c r="F10267" i="1"/>
  <c r="E10267" i="1"/>
  <c r="D10267" i="1"/>
  <c r="C10267" i="1"/>
  <c r="B10267" i="1"/>
  <c r="G10266" i="1"/>
  <c r="F10266" i="1"/>
  <c r="E10266" i="1"/>
  <c r="D10266" i="1"/>
  <c r="C10266" i="1"/>
  <c r="B10266" i="1"/>
  <c r="G10265" i="1"/>
  <c r="F10265" i="1"/>
  <c r="E10265" i="1"/>
  <c r="D10265" i="1"/>
  <c r="C10265" i="1"/>
  <c r="B10265" i="1"/>
  <c r="G10264" i="1"/>
  <c r="F10264" i="1"/>
  <c r="E10264" i="1"/>
  <c r="D10264" i="1"/>
  <c r="C10264" i="1"/>
  <c r="B10264" i="1"/>
  <c r="G10263" i="1"/>
  <c r="F10263" i="1"/>
  <c r="E10263" i="1"/>
  <c r="D10263" i="1"/>
  <c r="C10263" i="1"/>
  <c r="B10263" i="1"/>
  <c r="G10262" i="1"/>
  <c r="F10262" i="1"/>
  <c r="E10262" i="1"/>
  <c r="D10262" i="1"/>
  <c r="C10262" i="1"/>
  <c r="B10262" i="1"/>
  <c r="G10261" i="1"/>
  <c r="F10261" i="1"/>
  <c r="E10261" i="1"/>
  <c r="D10261" i="1"/>
  <c r="C10261" i="1"/>
  <c r="B10261" i="1"/>
  <c r="G10260" i="1"/>
  <c r="F10260" i="1"/>
  <c r="E10260" i="1"/>
  <c r="D10260" i="1"/>
  <c r="C10260" i="1"/>
  <c r="B10260" i="1"/>
  <c r="G10259" i="1"/>
  <c r="F10259" i="1"/>
  <c r="E10259" i="1"/>
  <c r="D10259" i="1"/>
  <c r="C10259" i="1"/>
  <c r="B10259" i="1"/>
  <c r="G10258" i="1"/>
  <c r="F10258" i="1"/>
  <c r="E10258" i="1"/>
  <c r="D10258" i="1"/>
  <c r="C10258" i="1"/>
  <c r="B10258" i="1"/>
  <c r="G10257" i="1"/>
  <c r="F10257" i="1"/>
  <c r="E10257" i="1"/>
  <c r="D10257" i="1"/>
  <c r="C10257" i="1"/>
  <c r="B10257" i="1"/>
  <c r="G10256" i="1"/>
  <c r="F10256" i="1"/>
  <c r="E10256" i="1"/>
  <c r="D10256" i="1"/>
  <c r="C10256" i="1"/>
  <c r="B10256" i="1"/>
  <c r="G10255" i="1"/>
  <c r="F10255" i="1"/>
  <c r="E10255" i="1"/>
  <c r="D10255" i="1"/>
  <c r="C10255" i="1"/>
  <c r="B10255" i="1"/>
  <c r="G10254" i="1"/>
  <c r="F10254" i="1"/>
  <c r="E10254" i="1"/>
  <c r="D10254" i="1"/>
  <c r="C10254" i="1"/>
  <c r="B10254" i="1"/>
  <c r="G10253" i="1"/>
  <c r="F10253" i="1"/>
  <c r="E10253" i="1"/>
  <c r="D10253" i="1"/>
  <c r="C10253" i="1"/>
  <c r="B10253" i="1"/>
  <c r="G10252" i="1"/>
  <c r="F10252" i="1"/>
  <c r="E10252" i="1"/>
  <c r="D10252" i="1"/>
  <c r="C10252" i="1"/>
  <c r="B10252" i="1"/>
  <c r="G10251" i="1"/>
  <c r="F10251" i="1"/>
  <c r="E10251" i="1"/>
  <c r="D10251" i="1"/>
  <c r="C10251" i="1"/>
  <c r="B10251" i="1"/>
  <c r="G10250" i="1"/>
  <c r="F10250" i="1"/>
  <c r="E10250" i="1"/>
  <c r="D10250" i="1"/>
  <c r="C10250" i="1"/>
  <c r="B10250" i="1"/>
  <c r="G10249" i="1"/>
  <c r="F10249" i="1"/>
  <c r="E10249" i="1"/>
  <c r="D10249" i="1"/>
  <c r="C10249" i="1"/>
  <c r="B10249" i="1"/>
  <c r="G10248" i="1"/>
  <c r="F10248" i="1"/>
  <c r="E10248" i="1"/>
  <c r="D10248" i="1"/>
  <c r="C10248" i="1"/>
  <c r="B10248" i="1"/>
  <c r="G10247" i="1"/>
  <c r="F10247" i="1"/>
  <c r="E10247" i="1"/>
  <c r="D10247" i="1"/>
  <c r="C10247" i="1"/>
  <c r="B10247" i="1"/>
  <c r="G10246" i="1"/>
  <c r="F10246" i="1"/>
  <c r="E10246" i="1"/>
  <c r="D10246" i="1"/>
  <c r="C10246" i="1"/>
  <c r="B10246" i="1"/>
  <c r="G10245" i="1"/>
  <c r="F10245" i="1"/>
  <c r="E10245" i="1"/>
  <c r="D10245" i="1"/>
  <c r="C10245" i="1"/>
  <c r="B10245" i="1"/>
  <c r="G10244" i="1"/>
  <c r="F10244" i="1"/>
  <c r="E10244" i="1"/>
  <c r="D10244" i="1"/>
  <c r="C10244" i="1"/>
  <c r="B10244" i="1"/>
  <c r="G10243" i="1"/>
  <c r="F10243" i="1"/>
  <c r="E10243" i="1"/>
  <c r="D10243" i="1"/>
  <c r="C10243" i="1"/>
  <c r="B10243" i="1"/>
  <c r="G10242" i="1"/>
  <c r="F10242" i="1"/>
  <c r="E10242" i="1"/>
  <c r="D10242" i="1"/>
  <c r="C10242" i="1"/>
  <c r="B10242" i="1"/>
  <c r="G10241" i="1"/>
  <c r="F10241" i="1"/>
  <c r="E10241" i="1"/>
  <c r="D10241" i="1"/>
  <c r="C10241" i="1"/>
  <c r="B10241" i="1"/>
  <c r="G10240" i="1"/>
  <c r="F10240" i="1"/>
  <c r="E10240" i="1"/>
  <c r="D10240" i="1"/>
  <c r="C10240" i="1"/>
  <c r="B10240" i="1"/>
  <c r="G10239" i="1"/>
  <c r="F10239" i="1"/>
  <c r="E10239" i="1"/>
  <c r="D10239" i="1"/>
  <c r="C10239" i="1"/>
  <c r="B10239" i="1"/>
  <c r="G10238" i="1"/>
  <c r="F10238" i="1"/>
  <c r="E10238" i="1"/>
  <c r="D10238" i="1"/>
  <c r="C10238" i="1"/>
  <c r="B10238" i="1"/>
  <c r="G10237" i="1"/>
  <c r="F10237" i="1"/>
  <c r="E10237" i="1"/>
  <c r="D10237" i="1"/>
  <c r="C10237" i="1"/>
  <c r="B10237" i="1"/>
  <c r="G10236" i="1"/>
  <c r="F10236" i="1"/>
  <c r="E10236" i="1"/>
  <c r="D10236" i="1"/>
  <c r="C10236" i="1"/>
  <c r="B10236" i="1"/>
  <c r="G10235" i="1"/>
  <c r="F10235" i="1"/>
  <c r="E10235" i="1"/>
  <c r="D10235" i="1"/>
  <c r="C10235" i="1"/>
  <c r="B10235" i="1"/>
  <c r="G10234" i="1"/>
  <c r="F10234" i="1"/>
  <c r="E10234" i="1"/>
  <c r="D10234" i="1"/>
  <c r="C10234" i="1"/>
  <c r="B10234" i="1"/>
  <c r="G10233" i="1"/>
  <c r="F10233" i="1"/>
  <c r="E10233" i="1"/>
  <c r="D10233" i="1"/>
  <c r="C10233" i="1"/>
  <c r="B10233" i="1"/>
  <c r="G10232" i="1"/>
  <c r="F10232" i="1"/>
  <c r="E10232" i="1"/>
  <c r="D10232" i="1"/>
  <c r="C10232" i="1"/>
  <c r="B10232" i="1"/>
  <c r="G10231" i="1"/>
  <c r="F10231" i="1"/>
  <c r="E10231" i="1"/>
  <c r="D10231" i="1"/>
  <c r="C10231" i="1"/>
  <c r="B10231" i="1"/>
  <c r="G10230" i="1"/>
  <c r="F10230" i="1"/>
  <c r="E10230" i="1"/>
  <c r="D10230" i="1"/>
  <c r="C10230" i="1"/>
  <c r="B10230" i="1"/>
  <c r="G10229" i="1"/>
  <c r="F10229" i="1"/>
  <c r="E10229" i="1"/>
  <c r="D10229" i="1"/>
  <c r="C10229" i="1"/>
  <c r="B10229" i="1"/>
  <c r="G10228" i="1"/>
  <c r="F10228" i="1"/>
  <c r="E10228" i="1"/>
  <c r="D10228" i="1"/>
  <c r="C10228" i="1"/>
  <c r="B10228" i="1"/>
  <c r="G10227" i="1"/>
  <c r="F10227" i="1"/>
  <c r="E10227" i="1"/>
  <c r="D10227" i="1"/>
  <c r="C10227" i="1"/>
  <c r="B10227" i="1"/>
  <c r="G10226" i="1"/>
  <c r="F10226" i="1"/>
  <c r="E10226" i="1"/>
  <c r="D10226" i="1"/>
  <c r="C10226" i="1"/>
  <c r="B10226" i="1"/>
  <c r="G10225" i="1"/>
  <c r="F10225" i="1"/>
  <c r="E10225" i="1"/>
  <c r="D10225" i="1"/>
  <c r="C10225" i="1"/>
  <c r="B10225" i="1"/>
  <c r="G10224" i="1"/>
  <c r="F10224" i="1"/>
  <c r="E10224" i="1"/>
  <c r="D10224" i="1"/>
  <c r="C10224" i="1"/>
  <c r="B10224" i="1"/>
  <c r="G10223" i="1"/>
  <c r="F10223" i="1"/>
  <c r="E10223" i="1"/>
  <c r="D10223" i="1"/>
  <c r="C10223" i="1"/>
  <c r="B10223" i="1"/>
  <c r="G10222" i="1"/>
  <c r="F10222" i="1"/>
  <c r="E10222" i="1"/>
  <c r="D10222" i="1"/>
  <c r="C10222" i="1"/>
  <c r="B10222" i="1"/>
  <c r="G10221" i="1"/>
  <c r="F10221" i="1"/>
  <c r="E10221" i="1"/>
  <c r="D10221" i="1"/>
  <c r="C10221" i="1"/>
  <c r="B10221" i="1"/>
  <c r="G10220" i="1"/>
  <c r="F10220" i="1"/>
  <c r="E10220" i="1"/>
  <c r="D10220" i="1"/>
  <c r="C10220" i="1"/>
  <c r="B10220" i="1"/>
  <c r="G10219" i="1"/>
  <c r="F10219" i="1"/>
  <c r="E10219" i="1"/>
  <c r="D10219" i="1"/>
  <c r="C10219" i="1"/>
  <c r="B10219" i="1"/>
  <c r="G10218" i="1"/>
  <c r="F10218" i="1"/>
  <c r="E10218" i="1"/>
  <c r="D10218" i="1"/>
  <c r="C10218" i="1"/>
  <c r="B10218" i="1"/>
  <c r="G10217" i="1"/>
  <c r="F10217" i="1"/>
  <c r="E10217" i="1"/>
  <c r="D10217" i="1"/>
  <c r="C10217" i="1"/>
  <c r="B10217" i="1"/>
  <c r="G10216" i="1"/>
  <c r="F10216" i="1"/>
  <c r="E10216" i="1"/>
  <c r="D10216" i="1"/>
  <c r="C10216" i="1"/>
  <c r="B10216" i="1"/>
  <c r="G10215" i="1"/>
  <c r="F10215" i="1"/>
  <c r="E10215" i="1"/>
  <c r="D10215" i="1"/>
  <c r="C10215" i="1"/>
  <c r="B10215" i="1"/>
  <c r="G10214" i="1"/>
  <c r="F10214" i="1"/>
  <c r="E10214" i="1"/>
  <c r="D10214" i="1"/>
  <c r="C10214" i="1"/>
  <c r="B10214" i="1"/>
  <c r="G10213" i="1"/>
  <c r="F10213" i="1"/>
  <c r="E10213" i="1"/>
  <c r="D10213" i="1"/>
  <c r="C10213" i="1"/>
  <c r="B10213" i="1"/>
  <c r="G10212" i="1"/>
  <c r="F10212" i="1"/>
  <c r="E10212" i="1"/>
  <c r="D10212" i="1"/>
  <c r="C10212" i="1"/>
  <c r="B10212" i="1"/>
  <c r="G10211" i="1"/>
  <c r="F10211" i="1"/>
  <c r="E10211" i="1"/>
  <c r="D10211" i="1"/>
  <c r="C10211" i="1"/>
  <c r="B10211" i="1"/>
  <c r="G10210" i="1"/>
  <c r="F10210" i="1"/>
  <c r="E10210" i="1"/>
  <c r="D10210" i="1"/>
  <c r="C10210" i="1"/>
  <c r="B10210" i="1"/>
  <c r="G10209" i="1"/>
  <c r="F10209" i="1"/>
  <c r="E10209" i="1"/>
  <c r="D10209" i="1"/>
  <c r="C10209" i="1"/>
  <c r="B10209" i="1"/>
  <c r="G10208" i="1"/>
  <c r="F10208" i="1"/>
  <c r="E10208" i="1"/>
  <c r="D10208" i="1"/>
  <c r="C10208" i="1"/>
  <c r="B10208" i="1"/>
  <c r="G10207" i="1"/>
  <c r="F10207" i="1"/>
  <c r="E10207" i="1"/>
  <c r="D10207" i="1"/>
  <c r="C10207" i="1"/>
  <c r="B10207" i="1"/>
  <c r="G10206" i="1"/>
  <c r="F10206" i="1"/>
  <c r="E10206" i="1"/>
  <c r="D10206" i="1"/>
  <c r="C10206" i="1"/>
  <c r="B10206" i="1"/>
  <c r="G10205" i="1"/>
  <c r="F10205" i="1"/>
  <c r="E10205" i="1"/>
  <c r="D10205" i="1"/>
  <c r="C10205" i="1"/>
  <c r="B10205" i="1"/>
  <c r="G10204" i="1"/>
  <c r="F10204" i="1"/>
  <c r="E10204" i="1"/>
  <c r="D10204" i="1"/>
  <c r="C10204" i="1"/>
  <c r="B10204" i="1"/>
  <c r="G10203" i="1"/>
  <c r="F10203" i="1"/>
  <c r="E10203" i="1"/>
  <c r="D10203" i="1"/>
  <c r="C10203" i="1"/>
  <c r="B10203" i="1"/>
  <c r="G10202" i="1"/>
  <c r="F10202" i="1"/>
  <c r="E10202" i="1"/>
  <c r="D10202" i="1"/>
  <c r="C10202" i="1"/>
  <c r="B10202" i="1"/>
  <c r="G10201" i="1"/>
  <c r="F10201" i="1"/>
  <c r="E10201" i="1"/>
  <c r="D10201" i="1"/>
  <c r="C10201" i="1"/>
  <c r="B10201" i="1"/>
  <c r="G10200" i="1"/>
  <c r="F10200" i="1"/>
  <c r="E10200" i="1"/>
  <c r="D10200" i="1"/>
  <c r="C10200" i="1"/>
  <c r="B10200" i="1"/>
  <c r="G10199" i="1"/>
  <c r="F10199" i="1"/>
  <c r="E10199" i="1"/>
  <c r="D10199" i="1"/>
  <c r="C10199" i="1"/>
  <c r="B10199" i="1"/>
  <c r="G10198" i="1"/>
  <c r="F10198" i="1"/>
  <c r="E10198" i="1"/>
  <c r="D10198" i="1"/>
  <c r="C10198" i="1"/>
  <c r="B10198" i="1"/>
  <c r="G10197" i="1"/>
  <c r="F10197" i="1"/>
  <c r="E10197" i="1"/>
  <c r="D10197" i="1"/>
  <c r="C10197" i="1"/>
  <c r="B10197" i="1"/>
  <c r="G10196" i="1"/>
  <c r="F10196" i="1"/>
  <c r="E10196" i="1"/>
  <c r="D10196" i="1"/>
  <c r="C10196" i="1"/>
  <c r="B10196" i="1"/>
  <c r="G10195" i="1"/>
  <c r="F10195" i="1"/>
  <c r="E10195" i="1"/>
  <c r="D10195" i="1"/>
  <c r="C10195" i="1"/>
  <c r="B10195" i="1"/>
  <c r="G10194" i="1"/>
  <c r="F10194" i="1"/>
  <c r="E10194" i="1"/>
  <c r="D10194" i="1"/>
  <c r="C10194" i="1"/>
  <c r="B10194" i="1"/>
  <c r="G10193" i="1"/>
  <c r="F10193" i="1"/>
  <c r="E10193" i="1"/>
  <c r="D10193" i="1"/>
  <c r="C10193" i="1"/>
  <c r="B10193" i="1"/>
  <c r="G10192" i="1"/>
  <c r="F10192" i="1"/>
  <c r="E10192" i="1"/>
  <c r="D10192" i="1"/>
  <c r="C10192" i="1"/>
  <c r="B10192" i="1"/>
  <c r="G10191" i="1"/>
  <c r="F10191" i="1"/>
  <c r="E10191" i="1"/>
  <c r="D10191" i="1"/>
  <c r="C10191" i="1"/>
  <c r="B10191" i="1"/>
  <c r="G10190" i="1"/>
  <c r="F10190" i="1"/>
  <c r="E10190" i="1"/>
  <c r="D10190" i="1"/>
  <c r="C10190" i="1"/>
  <c r="B10190" i="1"/>
  <c r="G10189" i="1"/>
  <c r="F10189" i="1"/>
  <c r="E10189" i="1"/>
  <c r="D10189" i="1"/>
  <c r="C10189" i="1"/>
  <c r="B10189" i="1"/>
  <c r="G10188" i="1"/>
  <c r="F10188" i="1"/>
  <c r="E10188" i="1"/>
  <c r="D10188" i="1"/>
  <c r="C10188" i="1"/>
  <c r="B10188" i="1"/>
  <c r="G10187" i="1"/>
  <c r="F10187" i="1"/>
  <c r="E10187" i="1"/>
  <c r="D10187" i="1"/>
  <c r="C10187" i="1"/>
  <c r="B10187" i="1"/>
  <c r="G10186" i="1"/>
  <c r="F10186" i="1"/>
  <c r="E10186" i="1"/>
  <c r="D10186" i="1"/>
  <c r="C10186" i="1"/>
  <c r="B10186" i="1"/>
  <c r="G10185" i="1"/>
  <c r="F10185" i="1"/>
  <c r="E10185" i="1"/>
  <c r="D10185" i="1"/>
  <c r="C10185" i="1"/>
  <c r="B10185" i="1"/>
  <c r="G10184" i="1"/>
  <c r="F10184" i="1"/>
  <c r="E10184" i="1"/>
  <c r="D10184" i="1"/>
  <c r="C10184" i="1"/>
  <c r="B10184" i="1"/>
  <c r="G10183" i="1"/>
  <c r="F10183" i="1"/>
  <c r="E10183" i="1"/>
  <c r="D10183" i="1"/>
  <c r="C10183" i="1"/>
  <c r="B10183" i="1"/>
  <c r="G10182" i="1"/>
  <c r="F10182" i="1"/>
  <c r="E10182" i="1"/>
  <c r="D10182" i="1"/>
  <c r="C10182" i="1"/>
  <c r="B10182" i="1"/>
  <c r="G10181" i="1"/>
  <c r="F10181" i="1"/>
  <c r="E10181" i="1"/>
  <c r="D10181" i="1"/>
  <c r="C10181" i="1"/>
  <c r="B10181" i="1"/>
  <c r="G10180" i="1"/>
  <c r="F10180" i="1"/>
  <c r="E10180" i="1"/>
  <c r="D10180" i="1"/>
  <c r="C10180" i="1"/>
  <c r="B10180" i="1"/>
  <c r="G10179" i="1"/>
  <c r="F10179" i="1"/>
  <c r="E10179" i="1"/>
  <c r="D10179" i="1"/>
  <c r="C10179" i="1"/>
  <c r="B10179" i="1"/>
  <c r="G10178" i="1"/>
  <c r="F10178" i="1"/>
  <c r="E10178" i="1"/>
  <c r="D10178" i="1"/>
  <c r="C10178" i="1"/>
  <c r="B10178" i="1"/>
  <c r="G10177" i="1"/>
  <c r="F10177" i="1"/>
  <c r="E10177" i="1"/>
  <c r="D10177" i="1"/>
  <c r="C10177" i="1"/>
  <c r="B10177" i="1"/>
  <c r="G10176" i="1"/>
  <c r="F10176" i="1"/>
  <c r="E10176" i="1"/>
  <c r="D10176" i="1"/>
  <c r="C10176" i="1"/>
  <c r="B10176" i="1"/>
  <c r="G10175" i="1"/>
  <c r="F10175" i="1"/>
  <c r="E10175" i="1"/>
  <c r="D10175" i="1"/>
  <c r="C10175" i="1"/>
  <c r="B10175" i="1"/>
  <c r="G10174" i="1"/>
  <c r="F10174" i="1"/>
  <c r="E10174" i="1"/>
  <c r="D10174" i="1"/>
  <c r="C10174" i="1"/>
  <c r="B10174" i="1"/>
  <c r="G10173" i="1"/>
  <c r="F10173" i="1"/>
  <c r="E10173" i="1"/>
  <c r="D10173" i="1"/>
  <c r="C10173" i="1"/>
  <c r="B10173" i="1"/>
  <c r="G10172" i="1"/>
  <c r="F10172" i="1"/>
  <c r="E10172" i="1"/>
  <c r="D10172" i="1"/>
  <c r="C10172" i="1"/>
  <c r="B10172" i="1"/>
  <c r="G10171" i="1"/>
  <c r="F10171" i="1"/>
  <c r="E10171" i="1"/>
  <c r="D10171" i="1"/>
  <c r="C10171" i="1"/>
  <c r="B10171" i="1"/>
  <c r="G10170" i="1"/>
  <c r="F10170" i="1"/>
  <c r="E10170" i="1"/>
  <c r="D10170" i="1"/>
  <c r="C10170" i="1"/>
  <c r="B10170" i="1"/>
  <c r="G10169" i="1"/>
  <c r="F10169" i="1"/>
  <c r="E10169" i="1"/>
  <c r="D10169" i="1"/>
  <c r="C10169" i="1"/>
  <c r="B10169" i="1"/>
  <c r="G10168" i="1"/>
  <c r="F10168" i="1"/>
  <c r="E10168" i="1"/>
  <c r="D10168" i="1"/>
  <c r="C10168" i="1"/>
  <c r="B10168" i="1"/>
  <c r="G10167" i="1"/>
  <c r="F10167" i="1"/>
  <c r="E10167" i="1"/>
  <c r="D10167" i="1"/>
  <c r="C10167" i="1"/>
  <c r="B10167" i="1"/>
  <c r="G10166" i="1"/>
  <c r="F10166" i="1"/>
  <c r="E10166" i="1"/>
  <c r="D10166" i="1"/>
  <c r="C10166" i="1"/>
  <c r="B10166" i="1"/>
  <c r="G10165" i="1"/>
  <c r="F10165" i="1"/>
  <c r="E10165" i="1"/>
  <c r="D10165" i="1"/>
  <c r="C10165" i="1"/>
  <c r="B10165" i="1"/>
  <c r="G10164" i="1"/>
  <c r="F10164" i="1"/>
  <c r="E10164" i="1"/>
  <c r="D10164" i="1"/>
  <c r="C10164" i="1"/>
  <c r="B10164" i="1"/>
  <c r="G10163" i="1"/>
  <c r="F10163" i="1"/>
  <c r="E10163" i="1"/>
  <c r="D10163" i="1"/>
  <c r="C10163" i="1"/>
  <c r="B10163" i="1"/>
  <c r="G10162" i="1"/>
  <c r="F10162" i="1"/>
  <c r="E10162" i="1"/>
  <c r="D10162" i="1"/>
  <c r="C10162" i="1"/>
  <c r="B10162" i="1"/>
  <c r="G10161" i="1"/>
  <c r="F10161" i="1"/>
  <c r="E10161" i="1"/>
  <c r="D10161" i="1"/>
  <c r="C10161" i="1"/>
  <c r="B10161" i="1"/>
  <c r="G10160" i="1"/>
  <c r="F10160" i="1"/>
  <c r="E10160" i="1"/>
  <c r="D10160" i="1"/>
  <c r="C10160" i="1"/>
  <c r="B10160" i="1"/>
  <c r="G10159" i="1"/>
  <c r="F10159" i="1"/>
  <c r="E10159" i="1"/>
  <c r="D10159" i="1"/>
  <c r="C10159" i="1"/>
  <c r="B10159" i="1"/>
  <c r="G10158" i="1"/>
  <c r="F10158" i="1"/>
  <c r="E10158" i="1"/>
  <c r="D10158" i="1"/>
  <c r="C10158" i="1"/>
  <c r="B10158" i="1"/>
  <c r="G10157" i="1"/>
  <c r="F10157" i="1"/>
  <c r="E10157" i="1"/>
  <c r="D10157" i="1"/>
  <c r="C10157" i="1"/>
  <c r="B10157" i="1"/>
  <c r="G10156" i="1"/>
  <c r="F10156" i="1"/>
  <c r="E10156" i="1"/>
  <c r="D10156" i="1"/>
  <c r="C10156" i="1"/>
  <c r="B10156" i="1"/>
  <c r="G10155" i="1"/>
  <c r="F10155" i="1"/>
  <c r="E10155" i="1"/>
  <c r="D10155" i="1"/>
  <c r="C10155" i="1"/>
  <c r="B10155" i="1"/>
  <c r="G10154" i="1"/>
  <c r="F10154" i="1"/>
  <c r="E10154" i="1"/>
  <c r="D10154" i="1"/>
  <c r="C10154" i="1"/>
  <c r="B10154" i="1"/>
  <c r="G10153" i="1"/>
  <c r="F10153" i="1"/>
  <c r="E10153" i="1"/>
  <c r="D10153" i="1"/>
  <c r="C10153" i="1"/>
  <c r="B10153" i="1"/>
  <c r="G10152" i="1"/>
  <c r="F10152" i="1"/>
  <c r="E10152" i="1"/>
  <c r="D10152" i="1"/>
  <c r="C10152" i="1"/>
  <c r="B10152" i="1"/>
  <c r="G10151" i="1"/>
  <c r="F10151" i="1"/>
  <c r="E10151" i="1"/>
  <c r="D10151" i="1"/>
  <c r="C10151" i="1"/>
  <c r="B10151" i="1"/>
  <c r="G10150" i="1"/>
  <c r="F10150" i="1"/>
  <c r="E10150" i="1"/>
  <c r="D10150" i="1"/>
  <c r="C10150" i="1"/>
  <c r="B10150" i="1"/>
  <c r="G10149" i="1"/>
  <c r="F10149" i="1"/>
  <c r="E10149" i="1"/>
  <c r="D10149" i="1"/>
  <c r="C10149" i="1"/>
  <c r="B10149" i="1"/>
  <c r="G10148" i="1"/>
  <c r="F10148" i="1"/>
  <c r="E10148" i="1"/>
  <c r="D10148" i="1"/>
  <c r="C10148" i="1"/>
  <c r="B10148" i="1"/>
  <c r="G10147" i="1"/>
  <c r="F10147" i="1"/>
  <c r="E10147" i="1"/>
  <c r="D10147" i="1"/>
  <c r="C10147" i="1"/>
  <c r="B10147" i="1"/>
  <c r="G10146" i="1"/>
  <c r="F10146" i="1"/>
  <c r="E10146" i="1"/>
  <c r="D10146" i="1"/>
  <c r="C10146" i="1"/>
  <c r="B10146" i="1"/>
  <c r="G10145" i="1"/>
  <c r="F10145" i="1"/>
  <c r="E10145" i="1"/>
  <c r="D10145" i="1"/>
  <c r="C10145" i="1"/>
  <c r="B10145" i="1"/>
  <c r="G10144" i="1"/>
  <c r="F10144" i="1"/>
  <c r="E10144" i="1"/>
  <c r="D10144" i="1"/>
  <c r="C10144" i="1"/>
  <c r="B10144" i="1"/>
  <c r="G10143" i="1"/>
  <c r="F10143" i="1"/>
  <c r="E10143" i="1"/>
  <c r="D10143" i="1"/>
  <c r="C10143" i="1"/>
  <c r="B10143" i="1"/>
  <c r="G10142" i="1"/>
  <c r="F10142" i="1"/>
  <c r="E10142" i="1"/>
  <c r="D10142" i="1"/>
  <c r="C10142" i="1"/>
  <c r="B10142" i="1"/>
  <c r="G10141" i="1"/>
  <c r="F10141" i="1"/>
  <c r="E10141" i="1"/>
  <c r="D10141" i="1"/>
  <c r="C10141" i="1"/>
  <c r="B10141" i="1"/>
  <c r="G10140" i="1"/>
  <c r="F10140" i="1"/>
  <c r="E10140" i="1"/>
  <c r="D10140" i="1"/>
  <c r="C10140" i="1"/>
  <c r="B10140" i="1"/>
  <c r="G10139" i="1"/>
  <c r="F10139" i="1"/>
  <c r="E10139" i="1"/>
  <c r="D10139" i="1"/>
  <c r="C10139" i="1"/>
  <c r="B10139" i="1"/>
  <c r="G10138" i="1"/>
  <c r="F10138" i="1"/>
  <c r="E10138" i="1"/>
  <c r="D10138" i="1"/>
  <c r="C10138" i="1"/>
  <c r="B10138" i="1"/>
  <c r="G10137" i="1"/>
  <c r="F10137" i="1"/>
  <c r="E10137" i="1"/>
  <c r="D10137" i="1"/>
  <c r="C10137" i="1"/>
  <c r="B10137" i="1"/>
  <c r="G10136" i="1"/>
  <c r="F10136" i="1"/>
  <c r="E10136" i="1"/>
  <c r="D10136" i="1"/>
  <c r="C10136" i="1"/>
  <c r="B10136" i="1"/>
  <c r="G10135" i="1"/>
  <c r="F10135" i="1"/>
  <c r="E10135" i="1"/>
  <c r="D10135" i="1"/>
  <c r="C10135" i="1"/>
  <c r="B10135" i="1"/>
  <c r="G10134" i="1"/>
  <c r="F10134" i="1"/>
  <c r="E10134" i="1"/>
  <c r="D10134" i="1"/>
  <c r="C10134" i="1"/>
  <c r="B10134" i="1"/>
  <c r="G10133" i="1"/>
  <c r="F10133" i="1"/>
  <c r="E10133" i="1"/>
  <c r="D10133" i="1"/>
  <c r="C10133" i="1"/>
  <c r="B10133" i="1"/>
  <c r="G10132" i="1"/>
  <c r="F10132" i="1"/>
  <c r="E10132" i="1"/>
  <c r="D10132" i="1"/>
  <c r="C10132" i="1"/>
  <c r="B10132" i="1"/>
  <c r="G10131" i="1"/>
  <c r="F10131" i="1"/>
  <c r="E10131" i="1"/>
  <c r="D10131" i="1"/>
  <c r="C10131" i="1"/>
  <c r="B10131" i="1"/>
  <c r="G10130" i="1"/>
  <c r="F10130" i="1"/>
  <c r="E10130" i="1"/>
  <c r="D10130" i="1"/>
  <c r="C10130" i="1"/>
  <c r="B10130" i="1"/>
  <c r="G10129" i="1"/>
  <c r="F10129" i="1"/>
  <c r="E10129" i="1"/>
  <c r="D10129" i="1"/>
  <c r="C10129" i="1"/>
  <c r="B10129" i="1"/>
  <c r="G10128" i="1"/>
  <c r="F10128" i="1"/>
  <c r="E10128" i="1"/>
  <c r="D10128" i="1"/>
  <c r="C10128" i="1"/>
  <c r="B10128" i="1"/>
  <c r="G10127" i="1"/>
  <c r="F10127" i="1"/>
  <c r="E10127" i="1"/>
  <c r="D10127" i="1"/>
  <c r="C10127" i="1"/>
  <c r="B10127" i="1"/>
  <c r="G10126" i="1"/>
  <c r="F10126" i="1"/>
  <c r="E10126" i="1"/>
  <c r="D10126" i="1"/>
  <c r="C10126" i="1"/>
  <c r="B10126" i="1"/>
  <c r="G10125" i="1"/>
  <c r="F10125" i="1"/>
  <c r="E10125" i="1"/>
  <c r="D10125" i="1"/>
  <c r="C10125" i="1"/>
  <c r="B10125" i="1"/>
  <c r="G10124" i="1"/>
  <c r="F10124" i="1"/>
  <c r="E10124" i="1"/>
  <c r="D10124" i="1"/>
  <c r="C10124" i="1"/>
  <c r="B10124" i="1"/>
  <c r="G10123" i="1"/>
  <c r="F10123" i="1"/>
  <c r="E10123" i="1"/>
  <c r="D10123" i="1"/>
  <c r="C10123" i="1"/>
  <c r="B10123" i="1"/>
  <c r="G10122" i="1"/>
  <c r="F10122" i="1"/>
  <c r="E10122" i="1"/>
  <c r="D10122" i="1"/>
  <c r="C10122" i="1"/>
  <c r="B10122" i="1"/>
  <c r="G10121" i="1"/>
  <c r="F10121" i="1"/>
  <c r="E10121" i="1"/>
  <c r="D10121" i="1"/>
  <c r="C10121" i="1"/>
  <c r="B10121" i="1"/>
  <c r="G10120" i="1"/>
  <c r="F10120" i="1"/>
  <c r="E10120" i="1"/>
  <c r="D10120" i="1"/>
  <c r="C10120" i="1"/>
  <c r="B10120" i="1"/>
  <c r="G10119" i="1"/>
  <c r="F10119" i="1"/>
  <c r="E10119" i="1"/>
  <c r="D10119" i="1"/>
  <c r="C10119" i="1"/>
  <c r="B10119" i="1"/>
  <c r="G10118" i="1"/>
  <c r="F10118" i="1"/>
  <c r="E10118" i="1"/>
  <c r="D10118" i="1"/>
  <c r="C10118" i="1"/>
  <c r="B10118" i="1"/>
  <c r="G10117" i="1"/>
  <c r="F10117" i="1"/>
  <c r="E10117" i="1"/>
  <c r="D10117" i="1"/>
  <c r="C10117" i="1"/>
  <c r="B10117" i="1"/>
  <c r="G10116" i="1"/>
  <c r="F10116" i="1"/>
  <c r="E10116" i="1"/>
  <c r="D10116" i="1"/>
  <c r="C10116" i="1"/>
  <c r="B10116" i="1"/>
  <c r="G10115" i="1"/>
  <c r="F10115" i="1"/>
  <c r="E10115" i="1"/>
  <c r="D10115" i="1"/>
  <c r="C10115" i="1"/>
  <c r="B10115" i="1"/>
  <c r="G10114" i="1"/>
  <c r="F10114" i="1"/>
  <c r="E10114" i="1"/>
  <c r="D10114" i="1"/>
  <c r="C10114" i="1"/>
  <c r="B10114" i="1"/>
  <c r="G10113" i="1"/>
  <c r="F10113" i="1"/>
  <c r="E10113" i="1"/>
  <c r="D10113" i="1"/>
  <c r="C10113" i="1"/>
  <c r="B10113" i="1"/>
  <c r="G10112" i="1"/>
  <c r="F10112" i="1"/>
  <c r="E10112" i="1"/>
  <c r="D10112" i="1"/>
  <c r="C10112" i="1"/>
  <c r="B10112" i="1"/>
  <c r="G10111" i="1"/>
  <c r="F10111" i="1"/>
  <c r="E10111" i="1"/>
  <c r="D10111" i="1"/>
  <c r="C10111" i="1"/>
  <c r="B10111" i="1"/>
  <c r="G10110" i="1"/>
  <c r="F10110" i="1"/>
  <c r="E10110" i="1"/>
  <c r="D10110" i="1"/>
  <c r="C10110" i="1"/>
  <c r="B10110" i="1"/>
  <c r="G10109" i="1"/>
  <c r="F10109" i="1"/>
  <c r="E10109" i="1"/>
  <c r="D10109" i="1"/>
  <c r="C10109" i="1"/>
  <c r="B10109" i="1"/>
  <c r="G10108" i="1"/>
  <c r="F10108" i="1"/>
  <c r="E10108" i="1"/>
  <c r="D10108" i="1"/>
  <c r="C10108" i="1"/>
  <c r="B10108" i="1"/>
  <c r="G10107" i="1"/>
  <c r="F10107" i="1"/>
  <c r="E10107" i="1"/>
  <c r="D10107" i="1"/>
  <c r="C10107" i="1"/>
  <c r="B10107" i="1"/>
  <c r="G10106" i="1"/>
  <c r="F10106" i="1"/>
  <c r="E10106" i="1"/>
  <c r="D10106" i="1"/>
  <c r="C10106" i="1"/>
  <c r="B10106" i="1"/>
  <c r="G10105" i="1"/>
  <c r="F10105" i="1"/>
  <c r="E10105" i="1"/>
  <c r="D10105" i="1"/>
  <c r="C10105" i="1"/>
  <c r="B10105" i="1"/>
  <c r="G10104" i="1"/>
  <c r="F10104" i="1"/>
  <c r="E10104" i="1"/>
  <c r="D10104" i="1"/>
  <c r="C10104" i="1"/>
  <c r="B10104" i="1"/>
  <c r="G10103" i="1"/>
  <c r="F10103" i="1"/>
  <c r="E10103" i="1"/>
  <c r="D10103" i="1"/>
  <c r="C10103" i="1"/>
  <c r="B10103" i="1"/>
  <c r="G10102" i="1"/>
  <c r="F10102" i="1"/>
  <c r="E10102" i="1"/>
  <c r="D10102" i="1"/>
  <c r="C10102" i="1"/>
  <c r="B10102" i="1"/>
  <c r="G10101" i="1"/>
  <c r="F10101" i="1"/>
  <c r="E10101" i="1"/>
  <c r="D10101" i="1"/>
  <c r="C10101" i="1"/>
  <c r="B10101" i="1"/>
  <c r="G10100" i="1"/>
  <c r="F10100" i="1"/>
  <c r="E10100" i="1"/>
  <c r="D10100" i="1"/>
  <c r="C10100" i="1"/>
  <c r="B10100" i="1"/>
  <c r="G10099" i="1"/>
  <c r="F10099" i="1"/>
  <c r="E10099" i="1"/>
  <c r="D10099" i="1"/>
  <c r="C10099" i="1"/>
  <c r="B10099" i="1"/>
  <c r="G10098" i="1"/>
  <c r="F10098" i="1"/>
  <c r="E10098" i="1"/>
  <c r="D10098" i="1"/>
  <c r="C10098" i="1"/>
  <c r="B10098" i="1"/>
  <c r="G10097" i="1"/>
  <c r="F10097" i="1"/>
  <c r="E10097" i="1"/>
  <c r="D10097" i="1"/>
  <c r="C10097" i="1"/>
  <c r="B10097" i="1"/>
  <c r="G10096" i="1"/>
  <c r="F10096" i="1"/>
  <c r="E10096" i="1"/>
  <c r="D10096" i="1"/>
  <c r="C10096" i="1"/>
  <c r="B10096" i="1"/>
  <c r="G10095" i="1"/>
  <c r="F10095" i="1"/>
  <c r="E10095" i="1"/>
  <c r="D10095" i="1"/>
  <c r="C10095" i="1"/>
  <c r="B10095" i="1"/>
  <c r="G10094" i="1"/>
  <c r="F10094" i="1"/>
  <c r="E10094" i="1"/>
  <c r="D10094" i="1"/>
  <c r="C10094" i="1"/>
  <c r="B10094" i="1"/>
  <c r="G10093" i="1"/>
  <c r="F10093" i="1"/>
  <c r="E10093" i="1"/>
  <c r="D10093" i="1"/>
  <c r="C10093" i="1"/>
  <c r="B10093" i="1"/>
  <c r="G10092" i="1"/>
  <c r="F10092" i="1"/>
  <c r="E10092" i="1"/>
  <c r="D10092" i="1"/>
  <c r="C10092" i="1"/>
  <c r="B10092" i="1"/>
  <c r="G10091" i="1"/>
  <c r="F10091" i="1"/>
  <c r="E10091" i="1"/>
  <c r="D10091" i="1"/>
  <c r="C10091" i="1"/>
  <c r="B10091" i="1"/>
  <c r="G10090" i="1"/>
  <c r="F10090" i="1"/>
  <c r="E10090" i="1"/>
  <c r="D10090" i="1"/>
  <c r="C10090" i="1"/>
  <c r="B10090" i="1"/>
  <c r="G10089" i="1"/>
  <c r="F10089" i="1"/>
  <c r="E10089" i="1"/>
  <c r="D10089" i="1"/>
  <c r="C10089" i="1"/>
  <c r="B10089" i="1"/>
  <c r="G10088" i="1"/>
  <c r="F10088" i="1"/>
  <c r="E10088" i="1"/>
  <c r="D10088" i="1"/>
  <c r="C10088" i="1"/>
  <c r="B10088" i="1"/>
  <c r="G10087" i="1"/>
  <c r="F10087" i="1"/>
  <c r="E10087" i="1"/>
  <c r="D10087" i="1"/>
  <c r="C10087" i="1"/>
  <c r="B10087" i="1"/>
  <c r="G10086" i="1"/>
  <c r="F10086" i="1"/>
  <c r="E10086" i="1"/>
  <c r="D10086" i="1"/>
  <c r="C10086" i="1"/>
  <c r="B10086" i="1"/>
  <c r="G10085" i="1"/>
  <c r="F10085" i="1"/>
  <c r="E10085" i="1"/>
  <c r="D10085" i="1"/>
  <c r="C10085" i="1"/>
  <c r="B10085" i="1"/>
  <c r="G10084" i="1"/>
  <c r="F10084" i="1"/>
  <c r="E10084" i="1"/>
  <c r="D10084" i="1"/>
  <c r="C10084" i="1"/>
  <c r="B10084" i="1"/>
  <c r="G10083" i="1"/>
  <c r="F10083" i="1"/>
  <c r="E10083" i="1"/>
  <c r="D10083" i="1"/>
  <c r="C10083" i="1"/>
  <c r="B10083" i="1"/>
  <c r="G10082" i="1"/>
  <c r="F10082" i="1"/>
  <c r="E10082" i="1"/>
  <c r="D10082" i="1"/>
  <c r="C10082" i="1"/>
  <c r="B10082" i="1"/>
  <c r="G10081" i="1"/>
  <c r="F10081" i="1"/>
  <c r="E10081" i="1"/>
  <c r="D10081" i="1"/>
  <c r="C10081" i="1"/>
  <c r="B10081" i="1"/>
  <c r="G10080" i="1"/>
  <c r="F10080" i="1"/>
  <c r="E10080" i="1"/>
  <c r="D10080" i="1"/>
  <c r="C10080" i="1"/>
  <c r="B10080" i="1"/>
  <c r="G10079" i="1"/>
  <c r="F10079" i="1"/>
  <c r="E10079" i="1"/>
  <c r="D10079" i="1"/>
  <c r="C10079" i="1"/>
  <c r="B10079" i="1"/>
  <c r="G10078" i="1"/>
  <c r="F10078" i="1"/>
  <c r="E10078" i="1"/>
  <c r="D10078" i="1"/>
  <c r="C10078" i="1"/>
  <c r="B10078" i="1"/>
  <c r="G10077" i="1"/>
  <c r="F10077" i="1"/>
  <c r="E10077" i="1"/>
  <c r="D10077" i="1"/>
  <c r="C10077" i="1"/>
  <c r="B10077" i="1"/>
  <c r="G10076" i="1"/>
  <c r="F10076" i="1"/>
  <c r="E10076" i="1"/>
  <c r="D10076" i="1"/>
  <c r="C10076" i="1"/>
  <c r="B10076" i="1"/>
  <c r="G10075" i="1"/>
  <c r="F10075" i="1"/>
  <c r="E10075" i="1"/>
  <c r="D10075" i="1"/>
  <c r="C10075" i="1"/>
  <c r="B10075" i="1"/>
  <c r="G10074" i="1"/>
  <c r="F10074" i="1"/>
  <c r="E10074" i="1"/>
  <c r="D10074" i="1"/>
  <c r="C10074" i="1"/>
  <c r="B10074" i="1"/>
  <c r="G10073" i="1"/>
  <c r="F10073" i="1"/>
  <c r="E10073" i="1"/>
  <c r="D10073" i="1"/>
  <c r="C10073" i="1"/>
  <c r="B10073" i="1"/>
  <c r="G10072" i="1"/>
  <c r="F10072" i="1"/>
  <c r="E10072" i="1"/>
  <c r="D10072" i="1"/>
  <c r="C10072" i="1"/>
  <c r="B10072" i="1"/>
  <c r="G10071" i="1"/>
  <c r="F10071" i="1"/>
  <c r="E10071" i="1"/>
  <c r="D10071" i="1"/>
  <c r="C10071" i="1"/>
  <c r="B10071" i="1"/>
  <c r="G10070" i="1"/>
  <c r="F10070" i="1"/>
  <c r="E10070" i="1"/>
  <c r="D10070" i="1"/>
  <c r="C10070" i="1"/>
  <c r="B10070" i="1"/>
  <c r="G10069" i="1"/>
  <c r="F10069" i="1"/>
  <c r="E10069" i="1"/>
  <c r="D10069" i="1"/>
  <c r="C10069" i="1"/>
  <c r="B10069" i="1"/>
  <c r="G10068" i="1"/>
  <c r="F10068" i="1"/>
  <c r="E10068" i="1"/>
  <c r="D10068" i="1"/>
  <c r="C10068" i="1"/>
  <c r="B10068" i="1"/>
  <c r="G10067" i="1"/>
  <c r="F10067" i="1"/>
  <c r="E10067" i="1"/>
  <c r="D10067" i="1"/>
  <c r="C10067" i="1"/>
  <c r="B10067" i="1"/>
  <c r="G10066" i="1"/>
  <c r="F10066" i="1"/>
  <c r="E10066" i="1"/>
  <c r="D10066" i="1"/>
  <c r="C10066" i="1"/>
  <c r="B10066" i="1"/>
  <c r="G10065" i="1"/>
  <c r="F10065" i="1"/>
  <c r="E10065" i="1"/>
  <c r="D10065" i="1"/>
  <c r="C10065" i="1"/>
  <c r="B10065" i="1"/>
  <c r="G10064" i="1"/>
  <c r="F10064" i="1"/>
  <c r="E10064" i="1"/>
  <c r="D10064" i="1"/>
  <c r="C10064" i="1"/>
  <c r="B10064" i="1"/>
  <c r="G10063" i="1"/>
  <c r="F10063" i="1"/>
  <c r="E10063" i="1"/>
  <c r="D10063" i="1"/>
  <c r="C10063" i="1"/>
  <c r="B10063" i="1"/>
  <c r="G10062" i="1"/>
  <c r="F10062" i="1"/>
  <c r="E10062" i="1"/>
  <c r="D10062" i="1"/>
  <c r="C10062" i="1"/>
  <c r="B10062" i="1"/>
  <c r="G10061" i="1"/>
  <c r="F10061" i="1"/>
  <c r="E10061" i="1"/>
  <c r="D10061" i="1"/>
  <c r="C10061" i="1"/>
  <c r="B10061" i="1"/>
  <c r="G10060" i="1"/>
  <c r="F10060" i="1"/>
  <c r="E10060" i="1"/>
  <c r="D10060" i="1"/>
  <c r="C10060" i="1"/>
  <c r="B10060" i="1"/>
  <c r="G10059" i="1"/>
  <c r="F10059" i="1"/>
  <c r="E10059" i="1"/>
  <c r="D10059" i="1"/>
  <c r="C10059" i="1"/>
  <c r="B10059" i="1"/>
  <c r="G10058" i="1"/>
  <c r="F10058" i="1"/>
  <c r="E10058" i="1"/>
  <c r="D10058" i="1"/>
  <c r="C10058" i="1"/>
  <c r="B10058" i="1"/>
  <c r="G10057" i="1"/>
  <c r="F10057" i="1"/>
  <c r="E10057" i="1"/>
  <c r="D10057" i="1"/>
  <c r="C10057" i="1"/>
  <c r="B10057" i="1"/>
  <c r="G10056" i="1"/>
  <c r="F10056" i="1"/>
  <c r="E10056" i="1"/>
  <c r="D10056" i="1"/>
  <c r="C10056" i="1"/>
  <c r="B10056" i="1"/>
  <c r="G10055" i="1"/>
  <c r="F10055" i="1"/>
  <c r="E10055" i="1"/>
  <c r="D10055" i="1"/>
  <c r="C10055" i="1"/>
  <c r="B10055" i="1"/>
  <c r="G10054" i="1"/>
  <c r="F10054" i="1"/>
  <c r="E10054" i="1"/>
  <c r="D10054" i="1"/>
  <c r="C10054" i="1"/>
  <c r="B10054" i="1"/>
  <c r="G10053" i="1"/>
  <c r="F10053" i="1"/>
  <c r="E10053" i="1"/>
  <c r="D10053" i="1"/>
  <c r="C10053" i="1"/>
  <c r="B10053" i="1"/>
  <c r="G10052" i="1"/>
  <c r="F10052" i="1"/>
  <c r="E10052" i="1"/>
  <c r="D10052" i="1"/>
  <c r="C10052" i="1"/>
  <c r="B10052" i="1"/>
  <c r="G10051" i="1"/>
  <c r="F10051" i="1"/>
  <c r="E10051" i="1"/>
  <c r="D10051" i="1"/>
  <c r="C10051" i="1"/>
  <c r="B10051" i="1"/>
  <c r="G10050" i="1"/>
  <c r="F10050" i="1"/>
  <c r="E10050" i="1"/>
  <c r="D10050" i="1"/>
  <c r="C10050" i="1"/>
  <c r="B10050" i="1"/>
  <c r="G10049" i="1"/>
  <c r="F10049" i="1"/>
  <c r="E10049" i="1"/>
  <c r="D10049" i="1"/>
  <c r="C10049" i="1"/>
  <c r="B10049" i="1"/>
  <c r="G10048" i="1"/>
  <c r="F10048" i="1"/>
  <c r="E10048" i="1"/>
  <c r="D10048" i="1"/>
  <c r="C10048" i="1"/>
  <c r="B10048" i="1"/>
  <c r="G10047" i="1"/>
  <c r="F10047" i="1"/>
  <c r="E10047" i="1"/>
  <c r="D10047" i="1"/>
  <c r="C10047" i="1"/>
  <c r="B10047" i="1"/>
  <c r="G10046" i="1"/>
  <c r="F10046" i="1"/>
  <c r="E10046" i="1"/>
  <c r="D10046" i="1"/>
  <c r="C10046" i="1"/>
  <c r="B10046" i="1"/>
  <c r="G10045" i="1"/>
  <c r="F10045" i="1"/>
  <c r="E10045" i="1"/>
  <c r="D10045" i="1"/>
  <c r="C10045" i="1"/>
  <c r="B10045" i="1"/>
  <c r="G10044" i="1"/>
  <c r="F10044" i="1"/>
  <c r="E10044" i="1"/>
  <c r="D10044" i="1"/>
  <c r="C10044" i="1"/>
  <c r="B10044" i="1"/>
  <c r="G10043" i="1"/>
  <c r="F10043" i="1"/>
  <c r="E10043" i="1"/>
  <c r="D10043" i="1"/>
  <c r="C10043" i="1"/>
  <c r="B10043" i="1"/>
  <c r="G10042" i="1"/>
  <c r="F10042" i="1"/>
  <c r="E10042" i="1"/>
  <c r="D10042" i="1"/>
  <c r="C10042" i="1"/>
  <c r="B10042" i="1"/>
  <c r="G10041" i="1"/>
  <c r="F10041" i="1"/>
  <c r="E10041" i="1"/>
  <c r="D10041" i="1"/>
  <c r="C10041" i="1"/>
  <c r="B10041" i="1"/>
  <c r="G10040" i="1"/>
  <c r="F10040" i="1"/>
  <c r="E10040" i="1"/>
  <c r="D10040" i="1"/>
  <c r="C10040" i="1"/>
  <c r="B10040" i="1"/>
  <c r="G10039" i="1"/>
  <c r="F10039" i="1"/>
  <c r="E10039" i="1"/>
  <c r="D10039" i="1"/>
  <c r="C10039" i="1"/>
  <c r="B10039" i="1"/>
  <c r="G10038" i="1"/>
  <c r="F10038" i="1"/>
  <c r="E10038" i="1"/>
  <c r="D10038" i="1"/>
  <c r="C10038" i="1"/>
  <c r="B10038" i="1"/>
  <c r="G10037" i="1"/>
  <c r="F10037" i="1"/>
  <c r="E10037" i="1"/>
  <c r="D10037" i="1"/>
  <c r="C10037" i="1"/>
  <c r="B10037" i="1"/>
  <c r="G10036" i="1"/>
  <c r="F10036" i="1"/>
  <c r="E10036" i="1"/>
  <c r="D10036" i="1"/>
  <c r="C10036" i="1"/>
  <c r="B10036" i="1"/>
  <c r="G10035" i="1"/>
  <c r="F10035" i="1"/>
  <c r="E10035" i="1"/>
  <c r="D10035" i="1"/>
  <c r="C10035" i="1"/>
  <c r="B10035" i="1"/>
  <c r="G10034" i="1"/>
  <c r="F10034" i="1"/>
  <c r="E10034" i="1"/>
  <c r="D10034" i="1"/>
  <c r="C10034" i="1"/>
  <c r="B10034" i="1"/>
  <c r="G10033" i="1"/>
  <c r="F10033" i="1"/>
  <c r="E10033" i="1"/>
  <c r="D10033" i="1"/>
  <c r="C10033" i="1"/>
  <c r="B10033" i="1"/>
  <c r="G10032" i="1"/>
  <c r="F10032" i="1"/>
  <c r="E10032" i="1"/>
  <c r="D10032" i="1"/>
  <c r="C10032" i="1"/>
  <c r="B10032" i="1"/>
  <c r="G10031" i="1"/>
  <c r="F10031" i="1"/>
  <c r="E10031" i="1"/>
  <c r="D10031" i="1"/>
  <c r="C10031" i="1"/>
  <c r="B10031" i="1"/>
  <c r="G10030" i="1"/>
  <c r="F10030" i="1"/>
  <c r="E10030" i="1"/>
  <c r="D10030" i="1"/>
  <c r="C10030" i="1"/>
  <c r="B10030" i="1"/>
  <c r="G10029" i="1"/>
  <c r="F10029" i="1"/>
  <c r="E10029" i="1"/>
  <c r="D10029" i="1"/>
  <c r="C10029" i="1"/>
  <c r="B10029" i="1"/>
  <c r="G10028" i="1"/>
  <c r="F10028" i="1"/>
  <c r="E10028" i="1"/>
  <c r="D10028" i="1"/>
  <c r="C10028" i="1"/>
  <c r="B10028" i="1"/>
  <c r="G10027" i="1"/>
  <c r="F10027" i="1"/>
  <c r="E10027" i="1"/>
  <c r="D10027" i="1"/>
  <c r="C10027" i="1"/>
  <c r="B10027" i="1"/>
  <c r="G10026" i="1"/>
  <c r="F10026" i="1"/>
  <c r="E10026" i="1"/>
  <c r="D10026" i="1"/>
  <c r="C10026" i="1"/>
  <c r="B10026" i="1"/>
  <c r="G10025" i="1"/>
  <c r="F10025" i="1"/>
  <c r="E10025" i="1"/>
  <c r="D10025" i="1"/>
  <c r="C10025" i="1"/>
  <c r="B10025" i="1"/>
  <c r="G10024" i="1"/>
  <c r="F10024" i="1"/>
  <c r="E10024" i="1"/>
  <c r="D10024" i="1"/>
  <c r="C10024" i="1"/>
  <c r="B10024" i="1"/>
  <c r="G10023" i="1"/>
  <c r="F10023" i="1"/>
  <c r="E10023" i="1"/>
  <c r="D10023" i="1"/>
  <c r="C10023" i="1"/>
  <c r="B10023" i="1"/>
  <c r="G10022" i="1"/>
  <c r="F10022" i="1"/>
  <c r="E10022" i="1"/>
  <c r="D10022" i="1"/>
  <c r="C10022" i="1"/>
  <c r="B10022" i="1"/>
  <c r="G10021" i="1"/>
  <c r="F10021" i="1"/>
  <c r="E10021" i="1"/>
  <c r="D10021" i="1"/>
  <c r="C10021" i="1"/>
  <c r="B10021" i="1"/>
  <c r="G10020" i="1"/>
  <c r="F10020" i="1"/>
  <c r="E10020" i="1"/>
  <c r="D10020" i="1"/>
  <c r="C10020" i="1"/>
  <c r="B10020" i="1"/>
  <c r="G10019" i="1"/>
  <c r="F10019" i="1"/>
  <c r="E10019" i="1"/>
  <c r="D10019" i="1"/>
  <c r="C10019" i="1"/>
  <c r="B10019" i="1"/>
  <c r="G10018" i="1"/>
  <c r="F10018" i="1"/>
  <c r="E10018" i="1"/>
  <c r="D10018" i="1"/>
  <c r="C10018" i="1"/>
  <c r="B10018" i="1"/>
  <c r="G10017" i="1"/>
  <c r="F10017" i="1"/>
  <c r="E10017" i="1"/>
  <c r="D10017" i="1"/>
  <c r="C10017" i="1"/>
  <c r="B10017" i="1"/>
  <c r="G10016" i="1"/>
  <c r="F10016" i="1"/>
  <c r="E10016" i="1"/>
  <c r="D10016" i="1"/>
  <c r="C10016" i="1"/>
  <c r="B10016" i="1"/>
  <c r="G10015" i="1"/>
  <c r="F10015" i="1"/>
  <c r="E10015" i="1"/>
  <c r="D10015" i="1"/>
  <c r="C10015" i="1"/>
  <c r="B10015" i="1"/>
  <c r="G10014" i="1"/>
  <c r="F10014" i="1"/>
  <c r="E10014" i="1"/>
  <c r="D10014" i="1"/>
  <c r="C10014" i="1"/>
  <c r="B10014" i="1"/>
  <c r="G10013" i="1"/>
  <c r="F10013" i="1"/>
  <c r="E10013" i="1"/>
  <c r="D10013" i="1"/>
  <c r="C10013" i="1"/>
  <c r="B10013" i="1"/>
  <c r="G10012" i="1"/>
  <c r="F10012" i="1"/>
  <c r="E10012" i="1"/>
  <c r="D10012" i="1"/>
  <c r="C10012" i="1"/>
  <c r="B10012" i="1"/>
  <c r="G10011" i="1"/>
  <c r="F10011" i="1"/>
  <c r="E10011" i="1"/>
  <c r="D10011" i="1"/>
  <c r="C10011" i="1"/>
  <c r="B10011" i="1"/>
  <c r="G10010" i="1"/>
  <c r="F10010" i="1"/>
  <c r="E10010" i="1"/>
  <c r="D10010" i="1"/>
  <c r="C10010" i="1"/>
  <c r="B10010" i="1"/>
  <c r="G10009" i="1"/>
  <c r="F10009" i="1"/>
  <c r="E10009" i="1"/>
  <c r="D10009" i="1"/>
  <c r="C10009" i="1"/>
  <c r="B10009" i="1"/>
  <c r="G10008" i="1"/>
  <c r="F10008" i="1"/>
  <c r="E10008" i="1"/>
  <c r="D10008" i="1"/>
  <c r="C10008" i="1"/>
  <c r="B10008" i="1"/>
  <c r="G10007" i="1"/>
  <c r="F10007" i="1"/>
  <c r="E10007" i="1"/>
  <c r="D10007" i="1"/>
  <c r="C10007" i="1"/>
  <c r="B10007" i="1"/>
  <c r="G10006" i="1"/>
  <c r="F10006" i="1"/>
  <c r="E10006" i="1"/>
  <c r="D10006" i="1"/>
  <c r="C10006" i="1"/>
  <c r="B10006" i="1"/>
  <c r="G10005" i="1"/>
  <c r="F10005" i="1"/>
  <c r="E10005" i="1"/>
  <c r="D10005" i="1"/>
  <c r="C10005" i="1"/>
  <c r="B10005" i="1"/>
  <c r="G10004" i="1"/>
  <c r="F10004" i="1"/>
  <c r="E10004" i="1"/>
  <c r="D10004" i="1"/>
  <c r="C10004" i="1"/>
  <c r="B10004" i="1"/>
  <c r="G10003" i="1"/>
  <c r="F10003" i="1"/>
  <c r="E10003" i="1"/>
  <c r="D10003" i="1"/>
  <c r="C10003" i="1"/>
  <c r="B10003" i="1"/>
  <c r="G10002" i="1"/>
  <c r="F10002" i="1"/>
  <c r="E10002" i="1"/>
  <c r="D10002" i="1"/>
  <c r="C10002" i="1"/>
  <c r="B10002" i="1"/>
  <c r="G10001" i="1"/>
  <c r="F10001" i="1"/>
  <c r="E10001" i="1"/>
  <c r="D10001" i="1"/>
  <c r="C10001" i="1"/>
  <c r="B10001" i="1"/>
  <c r="G10000" i="1"/>
  <c r="F10000" i="1"/>
  <c r="E10000" i="1"/>
  <c r="D10000" i="1"/>
  <c r="C10000" i="1"/>
  <c r="B10000" i="1"/>
  <c r="G9999" i="1"/>
  <c r="F9999" i="1"/>
  <c r="E9999" i="1"/>
  <c r="D9999" i="1"/>
  <c r="C9999" i="1"/>
  <c r="B9999" i="1"/>
  <c r="G9998" i="1"/>
  <c r="F9998" i="1"/>
  <c r="E9998" i="1"/>
  <c r="D9998" i="1"/>
  <c r="C9998" i="1"/>
  <c r="B9998" i="1"/>
  <c r="G9997" i="1"/>
  <c r="F9997" i="1"/>
  <c r="E9997" i="1"/>
  <c r="D9997" i="1"/>
  <c r="C9997" i="1"/>
  <c r="B9997" i="1"/>
  <c r="G9996" i="1"/>
  <c r="F9996" i="1"/>
  <c r="E9996" i="1"/>
  <c r="D9996" i="1"/>
  <c r="C9996" i="1"/>
  <c r="B9996" i="1"/>
  <c r="G9995" i="1"/>
  <c r="F9995" i="1"/>
  <c r="E9995" i="1"/>
  <c r="D9995" i="1"/>
  <c r="C9995" i="1"/>
  <c r="B9995" i="1"/>
  <c r="G9994" i="1"/>
  <c r="F9994" i="1"/>
  <c r="E9994" i="1"/>
  <c r="D9994" i="1"/>
  <c r="C9994" i="1"/>
  <c r="B9994" i="1"/>
  <c r="G9993" i="1"/>
  <c r="F9993" i="1"/>
  <c r="E9993" i="1"/>
  <c r="D9993" i="1"/>
  <c r="C9993" i="1"/>
  <c r="B9993" i="1"/>
  <c r="G9992" i="1"/>
  <c r="F9992" i="1"/>
  <c r="E9992" i="1"/>
  <c r="D9992" i="1"/>
  <c r="C9992" i="1"/>
  <c r="B9992" i="1"/>
  <c r="G9991" i="1"/>
  <c r="F9991" i="1"/>
  <c r="E9991" i="1"/>
  <c r="D9991" i="1"/>
  <c r="C9991" i="1"/>
  <c r="B9991" i="1"/>
  <c r="G9990" i="1"/>
  <c r="F9990" i="1"/>
  <c r="E9990" i="1"/>
  <c r="D9990" i="1"/>
  <c r="C9990" i="1"/>
  <c r="B9990" i="1"/>
  <c r="G9989" i="1"/>
  <c r="F9989" i="1"/>
  <c r="E9989" i="1"/>
  <c r="D9989" i="1"/>
  <c r="C9989" i="1"/>
  <c r="B9989" i="1"/>
  <c r="G9988" i="1"/>
  <c r="F9988" i="1"/>
  <c r="E9988" i="1"/>
  <c r="D9988" i="1"/>
  <c r="C9988" i="1"/>
  <c r="B9988" i="1"/>
  <c r="G9987" i="1"/>
  <c r="F9987" i="1"/>
  <c r="E9987" i="1"/>
  <c r="D9987" i="1"/>
  <c r="C9987" i="1"/>
  <c r="B9987" i="1"/>
  <c r="G9986" i="1"/>
  <c r="F9986" i="1"/>
  <c r="E9986" i="1"/>
  <c r="D9986" i="1"/>
  <c r="C9986" i="1"/>
  <c r="B9986" i="1"/>
  <c r="G9985" i="1"/>
  <c r="F9985" i="1"/>
  <c r="E9985" i="1"/>
  <c r="D9985" i="1"/>
  <c r="C9985" i="1"/>
  <c r="B9985" i="1"/>
  <c r="G9984" i="1"/>
  <c r="F9984" i="1"/>
  <c r="E9984" i="1"/>
  <c r="D9984" i="1"/>
  <c r="C9984" i="1"/>
  <c r="B9984" i="1"/>
  <c r="G9983" i="1"/>
  <c r="F9983" i="1"/>
  <c r="E9983" i="1"/>
  <c r="D9983" i="1"/>
  <c r="C9983" i="1"/>
  <c r="B9983" i="1"/>
  <c r="G9982" i="1"/>
  <c r="F9982" i="1"/>
  <c r="E9982" i="1"/>
  <c r="D9982" i="1"/>
  <c r="C9982" i="1"/>
  <c r="B9982" i="1"/>
  <c r="G9981" i="1"/>
  <c r="F9981" i="1"/>
  <c r="E9981" i="1"/>
  <c r="D9981" i="1"/>
  <c r="C9981" i="1"/>
  <c r="B9981" i="1"/>
  <c r="G9980" i="1"/>
  <c r="F9980" i="1"/>
  <c r="E9980" i="1"/>
  <c r="D9980" i="1"/>
  <c r="C9980" i="1"/>
  <c r="B9980" i="1"/>
  <c r="G9979" i="1"/>
  <c r="F9979" i="1"/>
  <c r="E9979" i="1"/>
  <c r="D9979" i="1"/>
  <c r="C9979" i="1"/>
  <c r="B9979" i="1"/>
  <c r="G9978" i="1"/>
  <c r="F9978" i="1"/>
  <c r="E9978" i="1"/>
  <c r="D9978" i="1"/>
  <c r="C9978" i="1"/>
  <c r="B9978" i="1"/>
  <c r="G9977" i="1"/>
  <c r="F9977" i="1"/>
  <c r="E9977" i="1"/>
  <c r="D9977" i="1"/>
  <c r="C9977" i="1"/>
  <c r="B9977" i="1"/>
  <c r="G9976" i="1"/>
  <c r="F9976" i="1"/>
  <c r="E9976" i="1"/>
  <c r="D9976" i="1"/>
  <c r="C9976" i="1"/>
  <c r="B9976" i="1"/>
  <c r="G9975" i="1"/>
  <c r="F9975" i="1"/>
  <c r="E9975" i="1"/>
  <c r="D9975" i="1"/>
  <c r="C9975" i="1"/>
  <c r="B9975" i="1"/>
  <c r="G9974" i="1"/>
  <c r="F9974" i="1"/>
  <c r="E9974" i="1"/>
  <c r="D9974" i="1"/>
  <c r="C9974" i="1"/>
  <c r="B9974" i="1"/>
  <c r="G9973" i="1"/>
  <c r="F9973" i="1"/>
  <c r="E9973" i="1"/>
  <c r="D9973" i="1"/>
  <c r="C9973" i="1"/>
  <c r="B9973" i="1"/>
  <c r="G9972" i="1"/>
  <c r="F9972" i="1"/>
  <c r="E9972" i="1"/>
  <c r="D9972" i="1"/>
  <c r="C9972" i="1"/>
  <c r="B9972" i="1"/>
  <c r="G9971" i="1"/>
  <c r="F9971" i="1"/>
  <c r="E9971" i="1"/>
  <c r="D9971" i="1"/>
  <c r="C9971" i="1"/>
  <c r="B9971" i="1"/>
  <c r="G9970" i="1"/>
  <c r="F9970" i="1"/>
  <c r="E9970" i="1"/>
  <c r="D9970" i="1"/>
  <c r="C9970" i="1"/>
  <c r="B9970" i="1"/>
  <c r="G9969" i="1"/>
  <c r="F9969" i="1"/>
  <c r="E9969" i="1"/>
  <c r="D9969" i="1"/>
  <c r="C9969" i="1"/>
  <c r="B9969" i="1"/>
  <c r="G9968" i="1"/>
  <c r="F9968" i="1"/>
  <c r="E9968" i="1"/>
  <c r="D9968" i="1"/>
  <c r="C9968" i="1"/>
  <c r="B9968" i="1"/>
  <c r="G9967" i="1"/>
  <c r="F9967" i="1"/>
  <c r="E9967" i="1"/>
  <c r="D9967" i="1"/>
  <c r="C9967" i="1"/>
  <c r="B9967" i="1"/>
  <c r="G9966" i="1"/>
  <c r="F9966" i="1"/>
  <c r="E9966" i="1"/>
  <c r="D9966" i="1"/>
  <c r="C9966" i="1"/>
  <c r="B9966" i="1"/>
  <c r="G9965" i="1"/>
  <c r="F9965" i="1"/>
  <c r="E9965" i="1"/>
  <c r="D9965" i="1"/>
  <c r="C9965" i="1"/>
  <c r="B9965" i="1"/>
  <c r="G9964" i="1"/>
  <c r="F9964" i="1"/>
  <c r="E9964" i="1"/>
  <c r="D9964" i="1"/>
  <c r="C9964" i="1"/>
  <c r="B9964" i="1"/>
  <c r="G9963" i="1"/>
  <c r="F9963" i="1"/>
  <c r="E9963" i="1"/>
  <c r="D9963" i="1"/>
  <c r="C9963" i="1"/>
  <c r="B9963" i="1"/>
  <c r="G9962" i="1"/>
  <c r="F9962" i="1"/>
  <c r="E9962" i="1"/>
  <c r="D9962" i="1"/>
  <c r="C9962" i="1"/>
  <c r="B9962" i="1"/>
  <c r="G9961" i="1"/>
  <c r="F9961" i="1"/>
  <c r="E9961" i="1"/>
  <c r="D9961" i="1"/>
  <c r="C9961" i="1"/>
  <c r="B9961" i="1"/>
  <c r="G9960" i="1"/>
  <c r="F9960" i="1"/>
  <c r="E9960" i="1"/>
  <c r="D9960" i="1"/>
  <c r="C9960" i="1"/>
  <c r="B9960" i="1"/>
  <c r="G9959" i="1"/>
  <c r="F9959" i="1"/>
  <c r="E9959" i="1"/>
  <c r="D9959" i="1"/>
  <c r="C9959" i="1"/>
  <c r="B9959" i="1"/>
  <c r="G9958" i="1"/>
  <c r="F9958" i="1"/>
  <c r="E9958" i="1"/>
  <c r="D9958" i="1"/>
  <c r="C9958" i="1"/>
  <c r="B9958" i="1"/>
  <c r="G9957" i="1"/>
  <c r="F9957" i="1"/>
  <c r="E9957" i="1"/>
  <c r="D9957" i="1"/>
  <c r="C9957" i="1"/>
  <c r="B9957" i="1"/>
  <c r="G9956" i="1"/>
  <c r="F9956" i="1"/>
  <c r="E9956" i="1"/>
  <c r="D9956" i="1"/>
  <c r="C9956" i="1"/>
  <c r="B9956" i="1"/>
  <c r="G9955" i="1"/>
  <c r="F9955" i="1"/>
  <c r="E9955" i="1"/>
  <c r="D9955" i="1"/>
  <c r="C9955" i="1"/>
  <c r="B9955" i="1"/>
  <c r="G9954" i="1"/>
  <c r="F9954" i="1"/>
  <c r="E9954" i="1"/>
  <c r="D9954" i="1"/>
  <c r="C9954" i="1"/>
  <c r="B9954" i="1"/>
  <c r="G9953" i="1"/>
  <c r="F9953" i="1"/>
  <c r="E9953" i="1"/>
  <c r="D9953" i="1"/>
  <c r="C9953" i="1"/>
  <c r="B9953" i="1"/>
  <c r="G9952" i="1"/>
  <c r="F9952" i="1"/>
  <c r="E9952" i="1"/>
  <c r="D9952" i="1"/>
  <c r="C9952" i="1"/>
  <c r="B9952" i="1"/>
  <c r="G9951" i="1"/>
  <c r="F9951" i="1"/>
  <c r="E9951" i="1"/>
  <c r="D9951" i="1"/>
  <c r="C9951" i="1"/>
  <c r="B9951" i="1"/>
  <c r="G9950" i="1"/>
  <c r="F9950" i="1"/>
  <c r="E9950" i="1"/>
  <c r="D9950" i="1"/>
  <c r="C9950" i="1"/>
  <c r="B9950" i="1"/>
  <c r="G9949" i="1"/>
  <c r="F9949" i="1"/>
  <c r="E9949" i="1"/>
  <c r="D9949" i="1"/>
  <c r="C9949" i="1"/>
  <c r="B9949" i="1"/>
  <c r="G9948" i="1"/>
  <c r="F9948" i="1"/>
  <c r="E9948" i="1"/>
  <c r="D9948" i="1"/>
  <c r="C9948" i="1"/>
  <c r="B9948" i="1"/>
  <c r="G9947" i="1"/>
  <c r="F9947" i="1"/>
  <c r="E9947" i="1"/>
  <c r="D9947" i="1"/>
  <c r="C9947" i="1"/>
  <c r="B9947" i="1"/>
  <c r="G9946" i="1"/>
  <c r="F9946" i="1"/>
  <c r="E9946" i="1"/>
  <c r="D9946" i="1"/>
  <c r="C9946" i="1"/>
  <c r="B9946" i="1"/>
  <c r="G9945" i="1"/>
  <c r="F9945" i="1"/>
  <c r="E9945" i="1"/>
  <c r="D9945" i="1"/>
  <c r="C9945" i="1"/>
  <c r="B9945" i="1"/>
  <c r="G9944" i="1"/>
  <c r="F9944" i="1"/>
  <c r="E9944" i="1"/>
  <c r="D9944" i="1"/>
  <c r="C9944" i="1"/>
  <c r="B9944" i="1"/>
  <c r="G9943" i="1"/>
  <c r="F9943" i="1"/>
  <c r="E9943" i="1"/>
  <c r="D9943" i="1"/>
  <c r="C9943" i="1"/>
  <c r="B9943" i="1"/>
  <c r="G9942" i="1"/>
  <c r="F9942" i="1"/>
  <c r="E9942" i="1"/>
  <c r="D9942" i="1"/>
  <c r="C9942" i="1"/>
  <c r="B9942" i="1"/>
  <c r="G9941" i="1"/>
  <c r="F9941" i="1"/>
  <c r="E9941" i="1"/>
  <c r="D9941" i="1"/>
  <c r="C9941" i="1"/>
  <c r="B9941" i="1"/>
  <c r="G9940" i="1"/>
  <c r="F9940" i="1"/>
  <c r="E9940" i="1"/>
  <c r="D9940" i="1"/>
  <c r="C9940" i="1"/>
  <c r="B9940" i="1"/>
  <c r="G9939" i="1"/>
  <c r="F9939" i="1"/>
  <c r="E9939" i="1"/>
  <c r="D9939" i="1"/>
  <c r="C9939" i="1"/>
  <c r="B9939" i="1"/>
  <c r="G9938" i="1"/>
  <c r="F9938" i="1"/>
  <c r="E9938" i="1"/>
  <c r="D9938" i="1"/>
  <c r="C9938" i="1"/>
  <c r="B9938" i="1"/>
  <c r="G9937" i="1"/>
  <c r="F9937" i="1"/>
  <c r="E9937" i="1"/>
  <c r="D9937" i="1"/>
  <c r="C9937" i="1"/>
  <c r="B9937" i="1"/>
  <c r="G9936" i="1"/>
  <c r="F9936" i="1"/>
  <c r="E9936" i="1"/>
  <c r="D9936" i="1"/>
  <c r="C9936" i="1"/>
  <c r="B9936" i="1"/>
  <c r="G9935" i="1"/>
  <c r="F9935" i="1"/>
  <c r="E9935" i="1"/>
  <c r="D9935" i="1"/>
  <c r="C9935" i="1"/>
  <c r="B9935" i="1"/>
  <c r="G9934" i="1"/>
  <c r="F9934" i="1"/>
  <c r="E9934" i="1"/>
  <c r="D9934" i="1"/>
  <c r="C9934" i="1"/>
  <c r="B9934" i="1"/>
  <c r="G9933" i="1"/>
  <c r="F9933" i="1"/>
  <c r="E9933" i="1"/>
  <c r="D9933" i="1"/>
  <c r="C9933" i="1"/>
  <c r="B9933" i="1"/>
  <c r="G9932" i="1"/>
  <c r="F9932" i="1"/>
  <c r="E9932" i="1"/>
  <c r="D9932" i="1"/>
  <c r="C9932" i="1"/>
  <c r="B9932" i="1"/>
  <c r="G9931" i="1"/>
  <c r="F9931" i="1"/>
  <c r="E9931" i="1"/>
  <c r="D9931" i="1"/>
  <c r="C9931" i="1"/>
  <c r="B9931" i="1"/>
  <c r="G9930" i="1"/>
  <c r="F9930" i="1"/>
  <c r="E9930" i="1"/>
  <c r="D9930" i="1"/>
  <c r="C9930" i="1"/>
  <c r="B9930" i="1"/>
  <c r="G9929" i="1"/>
  <c r="F9929" i="1"/>
  <c r="E9929" i="1"/>
  <c r="D9929" i="1"/>
  <c r="C9929" i="1"/>
  <c r="B9929" i="1"/>
  <c r="G9928" i="1"/>
  <c r="F9928" i="1"/>
  <c r="E9928" i="1"/>
  <c r="D9928" i="1"/>
  <c r="C9928" i="1"/>
  <c r="B9928" i="1"/>
  <c r="G9927" i="1"/>
  <c r="F9927" i="1"/>
  <c r="E9927" i="1"/>
  <c r="D9927" i="1"/>
  <c r="C9927" i="1"/>
  <c r="B9927" i="1"/>
  <c r="G9926" i="1"/>
  <c r="F9926" i="1"/>
  <c r="E9926" i="1"/>
  <c r="D9926" i="1"/>
  <c r="C9926" i="1"/>
  <c r="B9926" i="1"/>
  <c r="G9925" i="1"/>
  <c r="F9925" i="1"/>
  <c r="E9925" i="1"/>
  <c r="D9925" i="1"/>
  <c r="C9925" i="1"/>
  <c r="B9925" i="1"/>
  <c r="G9924" i="1"/>
  <c r="F9924" i="1"/>
  <c r="E9924" i="1"/>
  <c r="D9924" i="1"/>
  <c r="C9924" i="1"/>
  <c r="B9924" i="1"/>
  <c r="G9923" i="1"/>
  <c r="F9923" i="1"/>
  <c r="E9923" i="1"/>
  <c r="D9923" i="1"/>
  <c r="C9923" i="1"/>
  <c r="B9923" i="1"/>
  <c r="G9922" i="1"/>
  <c r="F9922" i="1"/>
  <c r="E9922" i="1"/>
  <c r="D9922" i="1"/>
  <c r="C9922" i="1"/>
  <c r="B9922" i="1"/>
  <c r="G9921" i="1"/>
  <c r="F9921" i="1"/>
  <c r="E9921" i="1"/>
  <c r="D9921" i="1"/>
  <c r="C9921" i="1"/>
  <c r="B9921" i="1"/>
  <c r="G9920" i="1"/>
  <c r="F9920" i="1"/>
  <c r="E9920" i="1"/>
  <c r="D9920" i="1"/>
  <c r="C9920" i="1"/>
  <c r="B9920" i="1"/>
  <c r="G9919" i="1"/>
  <c r="F9919" i="1"/>
  <c r="E9919" i="1"/>
  <c r="D9919" i="1"/>
  <c r="C9919" i="1"/>
  <c r="B9919" i="1"/>
  <c r="G9918" i="1"/>
  <c r="F9918" i="1"/>
  <c r="E9918" i="1"/>
  <c r="D9918" i="1"/>
  <c r="C9918" i="1"/>
  <c r="B9918" i="1"/>
  <c r="G9917" i="1"/>
  <c r="F9917" i="1"/>
  <c r="E9917" i="1"/>
  <c r="D9917" i="1"/>
  <c r="C9917" i="1"/>
  <c r="B9917" i="1"/>
  <c r="G9916" i="1"/>
  <c r="F9916" i="1"/>
  <c r="E9916" i="1"/>
  <c r="D9916" i="1"/>
  <c r="C9916" i="1"/>
  <c r="B9916" i="1"/>
  <c r="G9915" i="1"/>
  <c r="F9915" i="1"/>
  <c r="E9915" i="1"/>
  <c r="D9915" i="1"/>
  <c r="C9915" i="1"/>
  <c r="B9915" i="1"/>
  <c r="G9914" i="1"/>
  <c r="F9914" i="1"/>
  <c r="E9914" i="1"/>
  <c r="D9914" i="1"/>
  <c r="C9914" i="1"/>
  <c r="B9914" i="1"/>
  <c r="G9913" i="1"/>
  <c r="F9913" i="1"/>
  <c r="E9913" i="1"/>
  <c r="D9913" i="1"/>
  <c r="C9913" i="1"/>
  <c r="B9913" i="1"/>
  <c r="G9912" i="1"/>
  <c r="F9912" i="1"/>
  <c r="E9912" i="1"/>
  <c r="D9912" i="1"/>
  <c r="C9912" i="1"/>
  <c r="B9912" i="1"/>
  <c r="G9911" i="1"/>
  <c r="F9911" i="1"/>
  <c r="E9911" i="1"/>
  <c r="D9911" i="1"/>
  <c r="C9911" i="1"/>
  <c r="B9911" i="1"/>
  <c r="G9910" i="1"/>
  <c r="F9910" i="1"/>
  <c r="E9910" i="1"/>
  <c r="D9910" i="1"/>
  <c r="C9910" i="1"/>
  <c r="B9910" i="1"/>
  <c r="G9909" i="1"/>
  <c r="F9909" i="1"/>
  <c r="E9909" i="1"/>
  <c r="D9909" i="1"/>
  <c r="C9909" i="1"/>
  <c r="B9909" i="1"/>
  <c r="G9908" i="1"/>
  <c r="F9908" i="1"/>
  <c r="E9908" i="1"/>
  <c r="D9908" i="1"/>
  <c r="C9908" i="1"/>
  <c r="B9908" i="1"/>
  <c r="G9907" i="1"/>
  <c r="F9907" i="1"/>
  <c r="E9907" i="1"/>
  <c r="D9907" i="1"/>
  <c r="C9907" i="1"/>
  <c r="B9907" i="1"/>
  <c r="G9906" i="1"/>
  <c r="F9906" i="1"/>
  <c r="E9906" i="1"/>
  <c r="D9906" i="1"/>
  <c r="C9906" i="1"/>
  <c r="B9906" i="1"/>
  <c r="G9905" i="1"/>
  <c r="F9905" i="1"/>
  <c r="E9905" i="1"/>
  <c r="D9905" i="1"/>
  <c r="C9905" i="1"/>
  <c r="B9905" i="1"/>
  <c r="G9904" i="1"/>
  <c r="F9904" i="1"/>
  <c r="E9904" i="1"/>
  <c r="D9904" i="1"/>
  <c r="C9904" i="1"/>
  <c r="B9904" i="1"/>
  <c r="G9903" i="1"/>
  <c r="F9903" i="1"/>
  <c r="E9903" i="1"/>
  <c r="D9903" i="1"/>
  <c r="C9903" i="1"/>
  <c r="B9903" i="1"/>
  <c r="G9902" i="1"/>
  <c r="F9902" i="1"/>
  <c r="E9902" i="1"/>
  <c r="D9902" i="1"/>
  <c r="C9902" i="1"/>
  <c r="B9902" i="1"/>
  <c r="G9901" i="1"/>
  <c r="F9901" i="1"/>
  <c r="E9901" i="1"/>
  <c r="D9901" i="1"/>
  <c r="C9901" i="1"/>
  <c r="B9901" i="1"/>
  <c r="G9900" i="1"/>
  <c r="F9900" i="1"/>
  <c r="E9900" i="1"/>
  <c r="D9900" i="1"/>
  <c r="C9900" i="1"/>
  <c r="B9900" i="1"/>
  <c r="G9899" i="1"/>
  <c r="F9899" i="1"/>
  <c r="E9899" i="1"/>
  <c r="D9899" i="1"/>
  <c r="C9899" i="1"/>
  <c r="B9899" i="1"/>
  <c r="G9898" i="1"/>
  <c r="F9898" i="1"/>
  <c r="E9898" i="1"/>
  <c r="D9898" i="1"/>
  <c r="C9898" i="1"/>
  <c r="B9898" i="1"/>
  <c r="G9897" i="1"/>
  <c r="F9897" i="1"/>
  <c r="E9897" i="1"/>
  <c r="D9897" i="1"/>
  <c r="C9897" i="1"/>
  <c r="B9897" i="1"/>
  <c r="G9896" i="1"/>
  <c r="F9896" i="1"/>
  <c r="E9896" i="1"/>
  <c r="D9896" i="1"/>
  <c r="C9896" i="1"/>
  <c r="B9896" i="1"/>
  <c r="G9895" i="1"/>
  <c r="F9895" i="1"/>
  <c r="E9895" i="1"/>
  <c r="D9895" i="1"/>
  <c r="C9895" i="1"/>
  <c r="B9895" i="1"/>
  <c r="G9894" i="1"/>
  <c r="F9894" i="1"/>
  <c r="E9894" i="1"/>
  <c r="D9894" i="1"/>
  <c r="C9894" i="1"/>
  <c r="B9894" i="1"/>
  <c r="G9893" i="1"/>
  <c r="F9893" i="1"/>
  <c r="E9893" i="1"/>
  <c r="D9893" i="1"/>
  <c r="C9893" i="1"/>
  <c r="B9893" i="1"/>
  <c r="G9892" i="1"/>
  <c r="F9892" i="1"/>
  <c r="E9892" i="1"/>
  <c r="D9892" i="1"/>
  <c r="C9892" i="1"/>
  <c r="B9892" i="1"/>
  <c r="G9891" i="1"/>
  <c r="F9891" i="1"/>
  <c r="E9891" i="1"/>
  <c r="D9891" i="1"/>
  <c r="C9891" i="1"/>
  <c r="B9891" i="1"/>
  <c r="G9890" i="1"/>
  <c r="F9890" i="1"/>
  <c r="E9890" i="1"/>
  <c r="D9890" i="1"/>
  <c r="C9890" i="1"/>
  <c r="B9890" i="1"/>
  <c r="G9889" i="1"/>
  <c r="F9889" i="1"/>
  <c r="E9889" i="1"/>
  <c r="D9889" i="1"/>
  <c r="C9889" i="1"/>
  <c r="B9889" i="1"/>
  <c r="G9888" i="1"/>
  <c r="F9888" i="1"/>
  <c r="E9888" i="1"/>
  <c r="D9888" i="1"/>
  <c r="C9888" i="1"/>
  <c r="B9888" i="1"/>
  <c r="G9887" i="1"/>
  <c r="F9887" i="1"/>
  <c r="E9887" i="1"/>
  <c r="D9887" i="1"/>
  <c r="C9887" i="1"/>
  <c r="B9887" i="1"/>
  <c r="G9886" i="1"/>
  <c r="F9886" i="1"/>
  <c r="E9886" i="1"/>
  <c r="D9886" i="1"/>
  <c r="C9886" i="1"/>
  <c r="B9886" i="1"/>
  <c r="G9885" i="1"/>
  <c r="F9885" i="1"/>
  <c r="E9885" i="1"/>
  <c r="D9885" i="1"/>
  <c r="C9885" i="1"/>
  <c r="B9885" i="1"/>
  <c r="G9884" i="1"/>
  <c r="F9884" i="1"/>
  <c r="E9884" i="1"/>
  <c r="D9884" i="1"/>
  <c r="C9884" i="1"/>
  <c r="B9884" i="1"/>
  <c r="G9883" i="1"/>
  <c r="F9883" i="1"/>
  <c r="E9883" i="1"/>
  <c r="D9883" i="1"/>
  <c r="C9883" i="1"/>
  <c r="B9883" i="1"/>
  <c r="G9882" i="1"/>
  <c r="F9882" i="1"/>
  <c r="E9882" i="1"/>
  <c r="D9882" i="1"/>
  <c r="C9882" i="1"/>
  <c r="B9882" i="1"/>
  <c r="G9881" i="1"/>
  <c r="F9881" i="1"/>
  <c r="E9881" i="1"/>
  <c r="D9881" i="1"/>
  <c r="C9881" i="1"/>
  <c r="B9881" i="1"/>
  <c r="G9880" i="1"/>
  <c r="F9880" i="1"/>
  <c r="E9880" i="1"/>
  <c r="D9880" i="1"/>
  <c r="C9880" i="1"/>
  <c r="B9880" i="1"/>
  <c r="G9879" i="1"/>
  <c r="F9879" i="1"/>
  <c r="E9879" i="1"/>
  <c r="D9879" i="1"/>
  <c r="C9879" i="1"/>
  <c r="B9879" i="1"/>
  <c r="G9878" i="1"/>
  <c r="F9878" i="1"/>
  <c r="E9878" i="1"/>
  <c r="D9878" i="1"/>
  <c r="C9878" i="1"/>
  <c r="B9878" i="1"/>
  <c r="G9877" i="1"/>
  <c r="F9877" i="1"/>
  <c r="E9877" i="1"/>
  <c r="D9877" i="1"/>
  <c r="C9877" i="1"/>
  <c r="B9877" i="1"/>
  <c r="G9876" i="1"/>
  <c r="F9876" i="1"/>
  <c r="E9876" i="1"/>
  <c r="D9876" i="1"/>
  <c r="C9876" i="1"/>
  <c r="B9876" i="1"/>
  <c r="G9875" i="1"/>
  <c r="F9875" i="1"/>
  <c r="E9875" i="1"/>
  <c r="D9875" i="1"/>
  <c r="C9875" i="1"/>
  <c r="B9875" i="1"/>
  <c r="G9874" i="1"/>
  <c r="F9874" i="1"/>
  <c r="E9874" i="1"/>
  <c r="D9874" i="1"/>
  <c r="C9874" i="1"/>
  <c r="B9874" i="1"/>
  <c r="G9873" i="1"/>
  <c r="F9873" i="1"/>
  <c r="E9873" i="1"/>
  <c r="D9873" i="1"/>
  <c r="C9873" i="1"/>
  <c r="B9873" i="1"/>
  <c r="G9872" i="1"/>
  <c r="F9872" i="1"/>
  <c r="E9872" i="1"/>
  <c r="D9872" i="1"/>
  <c r="C9872" i="1"/>
  <c r="B9872" i="1"/>
  <c r="G9871" i="1"/>
  <c r="F9871" i="1"/>
  <c r="E9871" i="1"/>
  <c r="D9871" i="1"/>
  <c r="C9871" i="1"/>
  <c r="B9871" i="1"/>
  <c r="G9870" i="1"/>
  <c r="F9870" i="1"/>
  <c r="E9870" i="1"/>
  <c r="D9870" i="1"/>
  <c r="C9870" i="1"/>
  <c r="B9870" i="1"/>
  <c r="G9869" i="1"/>
  <c r="F9869" i="1"/>
  <c r="E9869" i="1"/>
  <c r="D9869" i="1"/>
  <c r="C9869" i="1"/>
  <c r="B9869" i="1"/>
  <c r="G9868" i="1"/>
  <c r="F9868" i="1"/>
  <c r="E9868" i="1"/>
  <c r="D9868" i="1"/>
  <c r="C9868" i="1"/>
  <c r="B9868" i="1"/>
  <c r="G9867" i="1"/>
  <c r="F9867" i="1"/>
  <c r="E9867" i="1"/>
  <c r="D9867" i="1"/>
  <c r="C9867" i="1"/>
  <c r="B9867" i="1"/>
  <c r="G9866" i="1"/>
  <c r="F9866" i="1"/>
  <c r="E9866" i="1"/>
  <c r="D9866" i="1"/>
  <c r="C9866" i="1"/>
  <c r="B9866" i="1"/>
  <c r="G9865" i="1"/>
  <c r="F9865" i="1"/>
  <c r="E9865" i="1"/>
  <c r="D9865" i="1"/>
  <c r="C9865" i="1"/>
  <c r="B9865" i="1"/>
  <c r="G9864" i="1"/>
  <c r="F9864" i="1"/>
  <c r="E9864" i="1"/>
  <c r="D9864" i="1"/>
  <c r="C9864" i="1"/>
  <c r="B9864" i="1"/>
  <c r="G9863" i="1"/>
  <c r="F9863" i="1"/>
  <c r="E9863" i="1"/>
  <c r="D9863" i="1"/>
  <c r="C9863" i="1"/>
  <c r="B9863" i="1"/>
  <c r="G9862" i="1"/>
  <c r="F9862" i="1"/>
  <c r="E9862" i="1"/>
  <c r="D9862" i="1"/>
  <c r="C9862" i="1"/>
  <c r="B9862" i="1"/>
  <c r="G9861" i="1"/>
  <c r="F9861" i="1"/>
  <c r="E9861" i="1"/>
  <c r="D9861" i="1"/>
  <c r="C9861" i="1"/>
  <c r="B9861" i="1"/>
  <c r="G9860" i="1"/>
  <c r="F9860" i="1"/>
  <c r="E9860" i="1"/>
  <c r="D9860" i="1"/>
  <c r="C9860" i="1"/>
  <c r="B9860" i="1"/>
  <c r="G9859" i="1"/>
  <c r="F9859" i="1"/>
  <c r="E9859" i="1"/>
  <c r="D9859" i="1"/>
  <c r="C9859" i="1"/>
  <c r="B9859" i="1"/>
  <c r="G9858" i="1"/>
  <c r="F9858" i="1"/>
  <c r="E9858" i="1"/>
  <c r="D9858" i="1"/>
  <c r="C9858" i="1"/>
  <c r="B9858" i="1"/>
  <c r="G9857" i="1"/>
  <c r="F9857" i="1"/>
  <c r="E9857" i="1"/>
  <c r="D9857" i="1"/>
  <c r="C9857" i="1"/>
  <c r="B9857" i="1"/>
  <c r="G9856" i="1"/>
  <c r="F9856" i="1"/>
  <c r="E9856" i="1"/>
  <c r="D9856" i="1"/>
  <c r="C9856" i="1"/>
  <c r="B9856" i="1"/>
  <c r="G9855" i="1"/>
  <c r="F9855" i="1"/>
  <c r="E9855" i="1"/>
  <c r="D9855" i="1"/>
  <c r="C9855" i="1"/>
  <c r="B9855" i="1"/>
  <c r="G9854" i="1"/>
  <c r="F9854" i="1"/>
  <c r="E9854" i="1"/>
  <c r="D9854" i="1"/>
  <c r="C9854" i="1"/>
  <c r="B9854" i="1"/>
  <c r="G9853" i="1"/>
  <c r="F9853" i="1"/>
  <c r="E9853" i="1"/>
  <c r="D9853" i="1"/>
  <c r="C9853" i="1"/>
  <c r="B9853" i="1"/>
  <c r="G9852" i="1"/>
  <c r="F9852" i="1"/>
  <c r="E9852" i="1"/>
  <c r="D9852" i="1"/>
  <c r="C9852" i="1"/>
  <c r="B9852" i="1"/>
  <c r="G9851" i="1"/>
  <c r="F9851" i="1"/>
  <c r="E9851" i="1"/>
  <c r="D9851" i="1"/>
  <c r="C9851" i="1"/>
  <c r="B9851" i="1"/>
  <c r="G9850" i="1"/>
  <c r="F9850" i="1"/>
  <c r="E9850" i="1"/>
  <c r="D9850" i="1"/>
  <c r="C9850" i="1"/>
  <c r="B9850" i="1"/>
  <c r="G9849" i="1"/>
  <c r="F9849" i="1"/>
  <c r="E9849" i="1"/>
  <c r="D9849" i="1"/>
  <c r="C9849" i="1"/>
  <c r="B9849" i="1"/>
  <c r="G9848" i="1"/>
  <c r="F9848" i="1"/>
  <c r="E9848" i="1"/>
  <c r="D9848" i="1"/>
  <c r="C9848" i="1"/>
  <c r="B9848" i="1"/>
  <c r="G9847" i="1"/>
  <c r="F9847" i="1"/>
  <c r="E9847" i="1"/>
  <c r="D9847" i="1"/>
  <c r="C9847" i="1"/>
  <c r="B9847" i="1"/>
  <c r="G9846" i="1"/>
  <c r="F9846" i="1"/>
  <c r="E9846" i="1"/>
  <c r="D9846" i="1"/>
  <c r="C9846" i="1"/>
  <c r="B9846" i="1"/>
  <c r="G9845" i="1"/>
  <c r="F9845" i="1"/>
  <c r="E9845" i="1"/>
  <c r="D9845" i="1"/>
  <c r="C9845" i="1"/>
  <c r="B9845" i="1"/>
  <c r="G9844" i="1"/>
  <c r="F9844" i="1"/>
  <c r="E9844" i="1"/>
  <c r="D9844" i="1"/>
  <c r="C9844" i="1"/>
  <c r="B9844" i="1"/>
  <c r="G9843" i="1"/>
  <c r="F9843" i="1"/>
  <c r="E9843" i="1"/>
  <c r="D9843" i="1"/>
  <c r="C9843" i="1"/>
  <c r="B9843" i="1"/>
  <c r="G9842" i="1"/>
  <c r="F9842" i="1"/>
  <c r="E9842" i="1"/>
  <c r="D9842" i="1"/>
  <c r="C9842" i="1"/>
  <c r="B9842" i="1"/>
  <c r="G9841" i="1"/>
  <c r="F9841" i="1"/>
  <c r="E9841" i="1"/>
  <c r="D9841" i="1"/>
  <c r="C9841" i="1"/>
  <c r="B9841" i="1"/>
  <c r="G9840" i="1"/>
  <c r="F9840" i="1"/>
  <c r="E9840" i="1"/>
  <c r="D9840" i="1"/>
  <c r="C9840" i="1"/>
  <c r="B9840" i="1"/>
  <c r="G9839" i="1"/>
  <c r="F9839" i="1"/>
  <c r="E9839" i="1"/>
  <c r="D9839" i="1"/>
  <c r="C9839" i="1"/>
  <c r="B9839" i="1"/>
  <c r="G9838" i="1"/>
  <c r="F9838" i="1"/>
  <c r="E9838" i="1"/>
  <c r="D9838" i="1"/>
  <c r="C9838" i="1"/>
  <c r="B9838" i="1"/>
  <c r="G9837" i="1"/>
  <c r="F9837" i="1"/>
  <c r="E9837" i="1"/>
  <c r="D9837" i="1"/>
  <c r="C9837" i="1"/>
  <c r="B9837" i="1"/>
  <c r="G9836" i="1"/>
  <c r="F9836" i="1"/>
  <c r="E9836" i="1"/>
  <c r="D9836" i="1"/>
  <c r="C9836" i="1"/>
  <c r="B9836" i="1"/>
  <c r="G9835" i="1"/>
  <c r="F9835" i="1"/>
  <c r="E9835" i="1"/>
  <c r="D9835" i="1"/>
  <c r="C9835" i="1"/>
  <c r="B9835" i="1"/>
  <c r="G9834" i="1"/>
  <c r="F9834" i="1"/>
  <c r="E9834" i="1"/>
  <c r="D9834" i="1"/>
  <c r="C9834" i="1"/>
  <c r="B9834" i="1"/>
  <c r="G9833" i="1"/>
  <c r="F9833" i="1"/>
  <c r="E9833" i="1"/>
  <c r="D9833" i="1"/>
  <c r="C9833" i="1"/>
  <c r="B9833" i="1"/>
  <c r="G9832" i="1"/>
  <c r="F9832" i="1"/>
  <c r="E9832" i="1"/>
  <c r="D9832" i="1"/>
  <c r="C9832" i="1"/>
  <c r="B9832" i="1"/>
  <c r="G9831" i="1"/>
  <c r="F9831" i="1"/>
  <c r="E9831" i="1"/>
  <c r="D9831" i="1"/>
  <c r="C9831" i="1"/>
  <c r="B9831" i="1"/>
  <c r="G9830" i="1"/>
  <c r="F9830" i="1"/>
  <c r="E9830" i="1"/>
  <c r="D9830" i="1"/>
  <c r="C9830" i="1"/>
  <c r="B9830" i="1"/>
  <c r="G9829" i="1"/>
  <c r="F9829" i="1"/>
  <c r="E9829" i="1"/>
  <c r="D9829" i="1"/>
  <c r="C9829" i="1"/>
  <c r="B9829" i="1"/>
  <c r="G9828" i="1"/>
  <c r="F9828" i="1"/>
  <c r="E9828" i="1"/>
  <c r="D9828" i="1"/>
  <c r="C9828" i="1"/>
  <c r="B9828" i="1"/>
  <c r="G9827" i="1"/>
  <c r="F9827" i="1"/>
  <c r="E9827" i="1"/>
  <c r="D9827" i="1"/>
  <c r="C9827" i="1"/>
  <c r="B9827" i="1"/>
  <c r="G9826" i="1"/>
  <c r="F9826" i="1"/>
  <c r="E9826" i="1"/>
  <c r="D9826" i="1"/>
  <c r="C9826" i="1"/>
  <c r="B9826" i="1"/>
  <c r="G9825" i="1"/>
  <c r="F9825" i="1"/>
  <c r="E9825" i="1"/>
  <c r="D9825" i="1"/>
  <c r="C9825" i="1"/>
  <c r="B9825" i="1"/>
  <c r="G9824" i="1"/>
  <c r="F9824" i="1"/>
  <c r="E9824" i="1"/>
  <c r="D9824" i="1"/>
  <c r="C9824" i="1"/>
  <c r="B9824" i="1"/>
  <c r="G9823" i="1"/>
  <c r="F9823" i="1"/>
  <c r="E9823" i="1"/>
  <c r="D9823" i="1"/>
  <c r="C9823" i="1"/>
  <c r="B9823" i="1"/>
  <c r="G9822" i="1"/>
  <c r="F9822" i="1"/>
  <c r="E9822" i="1"/>
  <c r="D9822" i="1"/>
  <c r="C9822" i="1"/>
  <c r="B9822" i="1"/>
  <c r="G9821" i="1"/>
  <c r="F9821" i="1"/>
  <c r="E9821" i="1"/>
  <c r="D9821" i="1"/>
  <c r="C9821" i="1"/>
  <c r="B9821" i="1"/>
  <c r="G9820" i="1"/>
  <c r="F9820" i="1"/>
  <c r="E9820" i="1"/>
  <c r="D9820" i="1"/>
  <c r="C9820" i="1"/>
  <c r="B9820" i="1"/>
  <c r="G9819" i="1"/>
  <c r="F9819" i="1"/>
  <c r="E9819" i="1"/>
  <c r="D9819" i="1"/>
  <c r="C9819" i="1"/>
  <c r="B9819" i="1"/>
  <c r="G9818" i="1"/>
  <c r="F9818" i="1"/>
  <c r="E9818" i="1"/>
  <c r="D9818" i="1"/>
  <c r="C9818" i="1"/>
  <c r="B9818" i="1"/>
  <c r="G9817" i="1"/>
  <c r="F9817" i="1"/>
  <c r="E9817" i="1"/>
  <c r="D9817" i="1"/>
  <c r="C9817" i="1"/>
  <c r="B9817" i="1"/>
  <c r="G9816" i="1"/>
  <c r="F9816" i="1"/>
  <c r="E9816" i="1"/>
  <c r="D9816" i="1"/>
  <c r="C9816" i="1"/>
  <c r="B9816" i="1"/>
  <c r="G9815" i="1"/>
  <c r="F9815" i="1"/>
  <c r="E9815" i="1"/>
  <c r="D9815" i="1"/>
  <c r="C9815" i="1"/>
  <c r="B9815" i="1"/>
  <c r="G9814" i="1"/>
  <c r="F9814" i="1"/>
  <c r="E9814" i="1"/>
  <c r="D9814" i="1"/>
  <c r="C9814" i="1"/>
  <c r="B9814" i="1"/>
  <c r="G9813" i="1"/>
  <c r="F9813" i="1"/>
  <c r="E9813" i="1"/>
  <c r="D9813" i="1"/>
  <c r="C9813" i="1"/>
  <c r="B9813" i="1"/>
  <c r="G9812" i="1"/>
  <c r="F9812" i="1"/>
  <c r="E9812" i="1"/>
  <c r="D9812" i="1"/>
  <c r="C9812" i="1"/>
  <c r="B9812" i="1"/>
  <c r="G9811" i="1"/>
  <c r="F9811" i="1"/>
  <c r="E9811" i="1"/>
  <c r="D9811" i="1"/>
  <c r="C9811" i="1"/>
  <c r="B9811" i="1"/>
  <c r="G9810" i="1"/>
  <c r="F9810" i="1"/>
  <c r="E9810" i="1"/>
  <c r="D9810" i="1"/>
  <c r="C9810" i="1"/>
  <c r="B9810" i="1"/>
  <c r="G9809" i="1"/>
  <c r="F9809" i="1"/>
  <c r="E9809" i="1"/>
  <c r="D9809" i="1"/>
  <c r="C9809" i="1"/>
  <c r="B9809" i="1"/>
  <c r="G9808" i="1"/>
  <c r="F9808" i="1"/>
  <c r="E9808" i="1"/>
  <c r="D9808" i="1"/>
  <c r="C9808" i="1"/>
  <c r="B9808" i="1"/>
  <c r="G9807" i="1"/>
  <c r="F9807" i="1"/>
  <c r="E9807" i="1"/>
  <c r="D9807" i="1"/>
  <c r="C9807" i="1"/>
  <c r="B9807" i="1"/>
  <c r="G9806" i="1"/>
  <c r="F9806" i="1"/>
  <c r="E9806" i="1"/>
  <c r="D9806" i="1"/>
  <c r="C9806" i="1"/>
  <c r="B9806" i="1"/>
  <c r="G9805" i="1"/>
  <c r="F9805" i="1"/>
  <c r="E9805" i="1"/>
  <c r="D9805" i="1"/>
  <c r="C9805" i="1"/>
  <c r="B9805" i="1"/>
  <c r="G9804" i="1"/>
  <c r="F9804" i="1"/>
  <c r="E9804" i="1"/>
  <c r="D9804" i="1"/>
  <c r="C9804" i="1"/>
  <c r="B9804" i="1"/>
  <c r="G9803" i="1"/>
  <c r="F9803" i="1"/>
  <c r="E9803" i="1"/>
  <c r="D9803" i="1"/>
  <c r="C9803" i="1"/>
  <c r="B9803" i="1"/>
  <c r="G9802" i="1"/>
  <c r="F9802" i="1"/>
  <c r="E9802" i="1"/>
  <c r="D9802" i="1"/>
  <c r="C9802" i="1"/>
  <c r="B9802" i="1"/>
  <c r="G9801" i="1"/>
  <c r="F9801" i="1"/>
  <c r="E9801" i="1"/>
  <c r="D9801" i="1"/>
  <c r="C9801" i="1"/>
  <c r="B9801" i="1"/>
  <c r="G9800" i="1"/>
  <c r="F9800" i="1"/>
  <c r="E9800" i="1"/>
  <c r="D9800" i="1"/>
  <c r="C9800" i="1"/>
  <c r="B9800" i="1"/>
  <c r="G9799" i="1"/>
  <c r="F9799" i="1"/>
  <c r="E9799" i="1"/>
  <c r="D9799" i="1"/>
  <c r="C9799" i="1"/>
  <c r="B9799" i="1"/>
  <c r="G9798" i="1"/>
  <c r="F9798" i="1"/>
  <c r="E9798" i="1"/>
  <c r="D9798" i="1"/>
  <c r="C9798" i="1"/>
  <c r="B9798" i="1"/>
  <c r="G9797" i="1"/>
  <c r="F9797" i="1"/>
  <c r="E9797" i="1"/>
  <c r="D9797" i="1"/>
  <c r="C9797" i="1"/>
  <c r="B9797" i="1"/>
  <c r="G9796" i="1"/>
  <c r="F9796" i="1"/>
  <c r="E9796" i="1"/>
  <c r="D9796" i="1"/>
  <c r="C9796" i="1"/>
  <c r="B9796" i="1"/>
  <c r="G9795" i="1"/>
  <c r="F9795" i="1"/>
  <c r="E9795" i="1"/>
  <c r="D9795" i="1"/>
  <c r="C9795" i="1"/>
  <c r="B9795" i="1"/>
  <c r="G9794" i="1"/>
  <c r="F9794" i="1"/>
  <c r="E9794" i="1"/>
  <c r="D9794" i="1"/>
  <c r="C9794" i="1"/>
  <c r="B9794" i="1"/>
  <c r="G9793" i="1"/>
  <c r="F9793" i="1"/>
  <c r="E9793" i="1"/>
  <c r="D9793" i="1"/>
  <c r="C9793" i="1"/>
  <c r="B9793" i="1"/>
  <c r="G9792" i="1"/>
  <c r="F9792" i="1"/>
  <c r="E9792" i="1"/>
  <c r="D9792" i="1"/>
  <c r="C9792" i="1"/>
  <c r="B9792" i="1"/>
  <c r="G9791" i="1"/>
  <c r="F9791" i="1"/>
  <c r="E9791" i="1"/>
  <c r="D9791" i="1"/>
  <c r="C9791" i="1"/>
  <c r="B9791" i="1"/>
  <c r="G9790" i="1"/>
  <c r="F9790" i="1"/>
  <c r="E9790" i="1"/>
  <c r="D9790" i="1"/>
  <c r="C9790" i="1"/>
  <c r="B9790" i="1"/>
  <c r="G9789" i="1"/>
  <c r="F9789" i="1"/>
  <c r="E9789" i="1"/>
  <c r="D9789" i="1"/>
  <c r="C9789" i="1"/>
  <c r="B9789" i="1"/>
  <c r="G9788" i="1"/>
  <c r="F9788" i="1"/>
  <c r="E9788" i="1"/>
  <c r="D9788" i="1"/>
  <c r="C9788" i="1"/>
  <c r="B9788" i="1"/>
  <c r="G9787" i="1"/>
  <c r="F9787" i="1"/>
  <c r="E9787" i="1"/>
  <c r="D9787" i="1"/>
  <c r="C9787" i="1"/>
  <c r="B9787" i="1"/>
  <c r="G9786" i="1"/>
  <c r="F9786" i="1"/>
  <c r="E9786" i="1"/>
  <c r="D9786" i="1"/>
  <c r="C9786" i="1"/>
  <c r="B9786" i="1"/>
  <c r="G9785" i="1"/>
  <c r="F9785" i="1"/>
  <c r="E9785" i="1"/>
  <c r="D9785" i="1"/>
  <c r="C9785" i="1"/>
  <c r="B9785" i="1"/>
  <c r="G9784" i="1"/>
  <c r="F9784" i="1"/>
  <c r="E9784" i="1"/>
  <c r="D9784" i="1"/>
  <c r="C9784" i="1"/>
  <c r="B9784" i="1"/>
  <c r="G9783" i="1"/>
  <c r="F9783" i="1"/>
  <c r="E9783" i="1"/>
  <c r="D9783" i="1"/>
  <c r="C9783" i="1"/>
  <c r="B9783" i="1"/>
  <c r="G9782" i="1"/>
  <c r="F9782" i="1"/>
  <c r="E9782" i="1"/>
  <c r="D9782" i="1"/>
  <c r="C9782" i="1"/>
  <c r="B9782" i="1"/>
  <c r="G9781" i="1"/>
  <c r="F9781" i="1"/>
  <c r="E9781" i="1"/>
  <c r="D9781" i="1"/>
  <c r="C9781" i="1"/>
  <c r="B9781" i="1"/>
  <c r="G9780" i="1"/>
  <c r="F9780" i="1"/>
  <c r="E9780" i="1"/>
  <c r="D9780" i="1"/>
  <c r="C9780" i="1"/>
  <c r="B9780" i="1"/>
  <c r="G9779" i="1"/>
  <c r="F9779" i="1"/>
  <c r="E9779" i="1"/>
  <c r="D9779" i="1"/>
  <c r="C9779" i="1"/>
  <c r="B9779" i="1"/>
  <c r="G9778" i="1"/>
  <c r="F9778" i="1"/>
  <c r="E9778" i="1"/>
  <c r="D9778" i="1"/>
  <c r="C9778" i="1"/>
  <c r="B9778" i="1"/>
  <c r="G9777" i="1"/>
  <c r="F9777" i="1"/>
  <c r="E9777" i="1"/>
  <c r="D9777" i="1"/>
  <c r="C9777" i="1"/>
  <c r="B9777" i="1"/>
  <c r="G9776" i="1"/>
  <c r="F9776" i="1"/>
  <c r="E9776" i="1"/>
  <c r="D9776" i="1"/>
  <c r="C9776" i="1"/>
  <c r="B9776" i="1"/>
  <c r="G9775" i="1"/>
  <c r="F9775" i="1"/>
  <c r="E9775" i="1"/>
  <c r="D9775" i="1"/>
  <c r="C9775" i="1"/>
  <c r="B9775" i="1"/>
  <c r="G9774" i="1"/>
  <c r="F9774" i="1"/>
  <c r="E9774" i="1"/>
  <c r="D9774" i="1"/>
  <c r="C9774" i="1"/>
  <c r="B9774" i="1"/>
  <c r="G9773" i="1"/>
  <c r="F9773" i="1"/>
  <c r="E9773" i="1"/>
  <c r="D9773" i="1"/>
  <c r="C9773" i="1"/>
  <c r="B9773" i="1"/>
  <c r="G9772" i="1"/>
  <c r="F9772" i="1"/>
  <c r="E9772" i="1"/>
  <c r="D9772" i="1"/>
  <c r="C9772" i="1"/>
  <c r="B9772" i="1"/>
  <c r="G9771" i="1"/>
  <c r="F9771" i="1"/>
  <c r="E9771" i="1"/>
  <c r="D9771" i="1"/>
  <c r="C9771" i="1"/>
  <c r="B9771" i="1"/>
  <c r="G9770" i="1"/>
  <c r="F9770" i="1"/>
  <c r="E9770" i="1"/>
  <c r="D9770" i="1"/>
  <c r="C9770" i="1"/>
  <c r="B9770" i="1"/>
  <c r="G9769" i="1"/>
  <c r="F9769" i="1"/>
  <c r="E9769" i="1"/>
  <c r="D9769" i="1"/>
  <c r="C9769" i="1"/>
  <c r="B9769" i="1"/>
  <c r="G9768" i="1"/>
  <c r="F9768" i="1"/>
  <c r="E9768" i="1"/>
  <c r="D9768" i="1"/>
  <c r="C9768" i="1"/>
  <c r="B9768" i="1"/>
  <c r="G9767" i="1"/>
  <c r="F9767" i="1"/>
  <c r="E9767" i="1"/>
  <c r="D9767" i="1"/>
  <c r="C9767" i="1"/>
  <c r="B9767" i="1"/>
  <c r="G9766" i="1"/>
  <c r="F9766" i="1"/>
  <c r="E9766" i="1"/>
  <c r="D9766" i="1"/>
  <c r="C9766" i="1"/>
  <c r="B9766" i="1"/>
  <c r="G9765" i="1"/>
  <c r="F9765" i="1"/>
  <c r="E9765" i="1"/>
  <c r="D9765" i="1"/>
  <c r="C9765" i="1"/>
  <c r="B9765" i="1"/>
  <c r="G9764" i="1"/>
  <c r="F9764" i="1"/>
  <c r="E9764" i="1"/>
  <c r="D9764" i="1"/>
  <c r="C9764" i="1"/>
  <c r="B9764" i="1"/>
  <c r="G9763" i="1"/>
  <c r="F9763" i="1"/>
  <c r="E9763" i="1"/>
  <c r="D9763" i="1"/>
  <c r="C9763" i="1"/>
  <c r="B9763" i="1"/>
  <c r="G9762" i="1"/>
  <c r="F9762" i="1"/>
  <c r="E9762" i="1"/>
  <c r="D9762" i="1"/>
  <c r="C9762" i="1"/>
  <c r="B9762" i="1"/>
  <c r="G9761" i="1"/>
  <c r="F9761" i="1"/>
  <c r="E9761" i="1"/>
  <c r="D9761" i="1"/>
  <c r="C9761" i="1"/>
  <c r="B9761" i="1"/>
  <c r="G9760" i="1"/>
  <c r="F9760" i="1"/>
  <c r="E9760" i="1"/>
  <c r="D9760" i="1"/>
  <c r="C9760" i="1"/>
  <c r="B9760" i="1"/>
  <c r="G9759" i="1"/>
  <c r="F9759" i="1"/>
  <c r="E9759" i="1"/>
  <c r="D9759" i="1"/>
  <c r="C9759" i="1"/>
  <c r="B9759" i="1"/>
  <c r="G9758" i="1"/>
  <c r="F9758" i="1"/>
  <c r="E9758" i="1"/>
  <c r="D9758" i="1"/>
  <c r="C9758" i="1"/>
  <c r="B9758" i="1"/>
  <c r="G9757" i="1"/>
  <c r="F9757" i="1"/>
  <c r="E9757" i="1"/>
  <c r="D9757" i="1"/>
  <c r="C9757" i="1"/>
  <c r="B9757" i="1"/>
  <c r="G9756" i="1"/>
  <c r="F9756" i="1"/>
  <c r="E9756" i="1"/>
  <c r="D9756" i="1"/>
  <c r="C9756" i="1"/>
  <c r="B9756" i="1"/>
  <c r="G9755" i="1"/>
  <c r="F9755" i="1"/>
  <c r="E9755" i="1"/>
  <c r="D9755" i="1"/>
  <c r="C9755" i="1"/>
  <c r="B9755" i="1"/>
  <c r="G9754" i="1"/>
  <c r="F9754" i="1"/>
  <c r="E9754" i="1"/>
  <c r="D9754" i="1"/>
  <c r="C9754" i="1"/>
  <c r="B9754" i="1"/>
  <c r="G9753" i="1"/>
  <c r="F9753" i="1"/>
  <c r="E9753" i="1"/>
  <c r="D9753" i="1"/>
  <c r="C9753" i="1"/>
  <c r="B9753" i="1"/>
  <c r="G9752" i="1"/>
  <c r="F9752" i="1"/>
  <c r="E9752" i="1"/>
  <c r="D9752" i="1"/>
  <c r="C9752" i="1"/>
  <c r="B9752" i="1"/>
  <c r="G9751" i="1"/>
  <c r="F9751" i="1"/>
  <c r="E9751" i="1"/>
  <c r="D9751" i="1"/>
  <c r="C9751" i="1"/>
  <c r="B9751" i="1"/>
  <c r="G9750" i="1"/>
  <c r="F9750" i="1"/>
  <c r="E9750" i="1"/>
  <c r="D9750" i="1"/>
  <c r="C9750" i="1"/>
  <c r="B9750" i="1"/>
  <c r="G9749" i="1"/>
  <c r="F9749" i="1"/>
  <c r="E9749" i="1"/>
  <c r="D9749" i="1"/>
  <c r="C9749" i="1"/>
  <c r="B9749" i="1"/>
  <c r="G9748" i="1"/>
  <c r="F9748" i="1"/>
  <c r="E9748" i="1"/>
  <c r="D9748" i="1"/>
  <c r="C9748" i="1"/>
  <c r="B9748" i="1"/>
  <c r="G9747" i="1"/>
  <c r="F9747" i="1"/>
  <c r="E9747" i="1"/>
  <c r="D9747" i="1"/>
  <c r="C9747" i="1"/>
  <c r="B9747" i="1"/>
  <c r="G9746" i="1"/>
  <c r="F9746" i="1"/>
  <c r="E9746" i="1"/>
  <c r="D9746" i="1"/>
  <c r="C9746" i="1"/>
  <c r="B9746" i="1"/>
  <c r="G9745" i="1"/>
  <c r="F9745" i="1"/>
  <c r="E9745" i="1"/>
  <c r="D9745" i="1"/>
  <c r="C9745" i="1"/>
  <c r="B9745" i="1"/>
  <c r="G9744" i="1"/>
  <c r="F9744" i="1"/>
  <c r="E9744" i="1"/>
  <c r="D9744" i="1"/>
  <c r="C9744" i="1"/>
  <c r="B9744" i="1"/>
  <c r="G9743" i="1"/>
  <c r="F9743" i="1"/>
  <c r="E9743" i="1"/>
  <c r="D9743" i="1"/>
  <c r="C9743" i="1"/>
  <c r="B9743" i="1"/>
  <c r="G9742" i="1"/>
  <c r="F9742" i="1"/>
  <c r="E9742" i="1"/>
  <c r="D9742" i="1"/>
  <c r="C9742" i="1"/>
  <c r="B9742" i="1"/>
  <c r="G9741" i="1"/>
  <c r="F9741" i="1"/>
  <c r="E9741" i="1"/>
  <c r="D9741" i="1"/>
  <c r="C9741" i="1"/>
  <c r="B9741" i="1"/>
  <c r="G9740" i="1"/>
  <c r="F9740" i="1"/>
  <c r="E9740" i="1"/>
  <c r="D9740" i="1"/>
  <c r="C9740" i="1"/>
  <c r="B9740" i="1"/>
  <c r="G9739" i="1"/>
  <c r="F9739" i="1"/>
  <c r="E9739" i="1"/>
  <c r="D9739" i="1"/>
  <c r="C9739" i="1"/>
  <c r="B9739" i="1"/>
  <c r="G9738" i="1"/>
  <c r="F9738" i="1"/>
  <c r="E9738" i="1"/>
  <c r="D9738" i="1"/>
  <c r="C9738" i="1"/>
  <c r="B9738" i="1"/>
  <c r="G9737" i="1"/>
  <c r="F9737" i="1"/>
  <c r="E9737" i="1"/>
  <c r="D9737" i="1"/>
  <c r="C9737" i="1"/>
  <c r="B9737" i="1"/>
  <c r="G9736" i="1"/>
  <c r="F9736" i="1"/>
  <c r="E9736" i="1"/>
  <c r="D9736" i="1"/>
  <c r="C9736" i="1"/>
  <c r="B9736" i="1"/>
  <c r="G9735" i="1"/>
  <c r="F9735" i="1"/>
  <c r="E9735" i="1"/>
  <c r="D9735" i="1"/>
  <c r="C9735" i="1"/>
  <c r="B9735" i="1"/>
  <c r="G9734" i="1"/>
  <c r="F9734" i="1"/>
  <c r="E9734" i="1"/>
  <c r="D9734" i="1"/>
  <c r="C9734" i="1"/>
  <c r="B9734" i="1"/>
  <c r="G9733" i="1"/>
  <c r="F9733" i="1"/>
  <c r="E9733" i="1"/>
  <c r="D9733" i="1"/>
  <c r="C9733" i="1"/>
  <c r="B9733" i="1"/>
  <c r="G9732" i="1"/>
  <c r="F9732" i="1"/>
  <c r="E9732" i="1"/>
  <c r="D9732" i="1"/>
  <c r="C9732" i="1"/>
  <c r="B9732" i="1"/>
  <c r="G9731" i="1"/>
  <c r="F9731" i="1"/>
  <c r="E9731" i="1"/>
  <c r="D9731" i="1"/>
  <c r="C9731" i="1"/>
  <c r="B9731" i="1"/>
  <c r="G9730" i="1"/>
  <c r="F9730" i="1"/>
  <c r="E9730" i="1"/>
  <c r="D9730" i="1"/>
  <c r="C9730" i="1"/>
  <c r="B9730" i="1"/>
  <c r="G9729" i="1"/>
  <c r="F9729" i="1"/>
  <c r="E9729" i="1"/>
  <c r="D9729" i="1"/>
  <c r="C9729" i="1"/>
  <c r="B9729" i="1"/>
  <c r="G9728" i="1"/>
  <c r="F9728" i="1"/>
  <c r="E9728" i="1"/>
  <c r="D9728" i="1"/>
  <c r="C9728" i="1"/>
  <c r="B9728" i="1"/>
  <c r="G9727" i="1"/>
  <c r="F9727" i="1"/>
  <c r="E9727" i="1"/>
  <c r="D9727" i="1"/>
  <c r="C9727" i="1"/>
  <c r="B9727" i="1"/>
  <c r="G9726" i="1"/>
  <c r="F9726" i="1"/>
  <c r="E9726" i="1"/>
  <c r="D9726" i="1"/>
  <c r="C9726" i="1"/>
  <c r="B9726" i="1"/>
  <c r="G9725" i="1"/>
  <c r="F9725" i="1"/>
  <c r="E9725" i="1"/>
  <c r="D9725" i="1"/>
  <c r="C9725" i="1"/>
  <c r="B9725" i="1"/>
  <c r="G9724" i="1"/>
  <c r="F9724" i="1"/>
  <c r="E9724" i="1"/>
  <c r="D9724" i="1"/>
  <c r="C9724" i="1"/>
  <c r="B9724" i="1"/>
  <c r="G9723" i="1"/>
  <c r="F9723" i="1"/>
  <c r="E9723" i="1"/>
  <c r="D9723" i="1"/>
  <c r="C9723" i="1"/>
  <c r="B9723" i="1"/>
  <c r="G9722" i="1"/>
  <c r="F9722" i="1"/>
  <c r="E9722" i="1"/>
  <c r="D9722" i="1"/>
  <c r="C9722" i="1"/>
  <c r="B9722" i="1"/>
  <c r="G9721" i="1"/>
  <c r="F9721" i="1"/>
  <c r="E9721" i="1"/>
  <c r="D9721" i="1"/>
  <c r="C9721" i="1"/>
  <c r="B9721" i="1"/>
  <c r="G9720" i="1"/>
  <c r="F9720" i="1"/>
  <c r="E9720" i="1"/>
  <c r="D9720" i="1"/>
  <c r="C9720" i="1"/>
  <c r="B9720" i="1"/>
  <c r="G9719" i="1"/>
  <c r="F9719" i="1"/>
  <c r="E9719" i="1"/>
  <c r="D9719" i="1"/>
  <c r="C9719" i="1"/>
  <c r="B9719" i="1"/>
  <c r="G9718" i="1"/>
  <c r="F9718" i="1"/>
  <c r="E9718" i="1"/>
  <c r="D9718" i="1"/>
  <c r="C9718" i="1"/>
  <c r="B9718" i="1"/>
  <c r="G9717" i="1"/>
  <c r="F9717" i="1"/>
  <c r="E9717" i="1"/>
  <c r="D9717" i="1"/>
  <c r="C9717" i="1"/>
  <c r="B9717" i="1"/>
  <c r="G9716" i="1"/>
  <c r="F9716" i="1"/>
  <c r="E9716" i="1"/>
  <c r="D9716" i="1"/>
  <c r="C9716" i="1"/>
  <c r="B9716" i="1"/>
  <c r="G9715" i="1"/>
  <c r="F9715" i="1"/>
  <c r="E9715" i="1"/>
  <c r="D9715" i="1"/>
  <c r="C9715" i="1"/>
  <c r="B9715" i="1"/>
  <c r="G9714" i="1"/>
  <c r="F9714" i="1"/>
  <c r="E9714" i="1"/>
  <c r="D9714" i="1"/>
  <c r="C9714" i="1"/>
  <c r="B9714" i="1"/>
  <c r="G9713" i="1"/>
  <c r="F9713" i="1"/>
  <c r="E9713" i="1"/>
  <c r="D9713" i="1"/>
  <c r="C9713" i="1"/>
  <c r="B9713" i="1"/>
  <c r="G9712" i="1"/>
  <c r="F9712" i="1"/>
  <c r="E9712" i="1"/>
  <c r="D9712" i="1"/>
  <c r="C9712" i="1"/>
  <c r="B9712" i="1"/>
  <c r="G9711" i="1"/>
  <c r="F9711" i="1"/>
  <c r="E9711" i="1"/>
  <c r="D9711" i="1"/>
  <c r="C9711" i="1"/>
  <c r="B9711" i="1"/>
  <c r="G9710" i="1"/>
  <c r="F9710" i="1"/>
  <c r="E9710" i="1"/>
  <c r="D9710" i="1"/>
  <c r="C9710" i="1"/>
  <c r="B9710" i="1"/>
  <c r="G9709" i="1"/>
  <c r="F9709" i="1"/>
  <c r="E9709" i="1"/>
  <c r="D9709" i="1"/>
  <c r="C9709" i="1"/>
  <c r="B9709" i="1"/>
  <c r="G9708" i="1"/>
  <c r="F9708" i="1"/>
  <c r="E9708" i="1"/>
  <c r="D9708" i="1"/>
  <c r="C9708" i="1"/>
  <c r="B9708" i="1"/>
  <c r="G9707" i="1"/>
  <c r="F9707" i="1"/>
  <c r="E9707" i="1"/>
  <c r="D9707" i="1"/>
  <c r="C9707" i="1"/>
  <c r="B9707" i="1"/>
  <c r="G9706" i="1"/>
  <c r="F9706" i="1"/>
  <c r="E9706" i="1"/>
  <c r="D9706" i="1"/>
  <c r="C9706" i="1"/>
  <c r="B9706" i="1"/>
  <c r="G9705" i="1"/>
  <c r="F9705" i="1"/>
  <c r="E9705" i="1"/>
  <c r="D9705" i="1"/>
  <c r="C9705" i="1"/>
  <c r="B9705" i="1"/>
  <c r="G9704" i="1"/>
  <c r="F9704" i="1"/>
  <c r="E9704" i="1"/>
  <c r="D9704" i="1"/>
  <c r="C9704" i="1"/>
  <c r="B9704" i="1"/>
  <c r="G9703" i="1"/>
  <c r="F9703" i="1"/>
  <c r="E9703" i="1"/>
  <c r="D9703" i="1"/>
  <c r="C9703" i="1"/>
  <c r="B9703" i="1"/>
  <c r="G9702" i="1"/>
  <c r="F9702" i="1"/>
  <c r="E9702" i="1"/>
  <c r="D9702" i="1"/>
  <c r="C9702" i="1"/>
  <c r="B9702" i="1"/>
  <c r="G9701" i="1"/>
  <c r="F9701" i="1"/>
  <c r="E9701" i="1"/>
  <c r="D9701" i="1"/>
  <c r="C9701" i="1"/>
  <c r="B9701" i="1"/>
  <c r="G9700" i="1"/>
  <c r="F9700" i="1"/>
  <c r="E9700" i="1"/>
  <c r="D9700" i="1"/>
  <c r="C9700" i="1"/>
  <c r="B9700" i="1"/>
  <c r="G9699" i="1"/>
  <c r="F9699" i="1"/>
  <c r="E9699" i="1"/>
  <c r="D9699" i="1"/>
  <c r="C9699" i="1"/>
  <c r="B9699" i="1"/>
  <c r="G9698" i="1"/>
  <c r="F9698" i="1"/>
  <c r="E9698" i="1"/>
  <c r="D9698" i="1"/>
  <c r="C9698" i="1"/>
  <c r="B9698" i="1"/>
  <c r="G9697" i="1"/>
  <c r="F9697" i="1"/>
  <c r="E9697" i="1"/>
  <c r="D9697" i="1"/>
  <c r="C9697" i="1"/>
  <c r="B9697" i="1"/>
  <c r="G9696" i="1"/>
  <c r="F9696" i="1"/>
  <c r="E9696" i="1"/>
  <c r="D9696" i="1"/>
  <c r="C9696" i="1"/>
  <c r="B9696" i="1"/>
  <c r="G9695" i="1"/>
  <c r="F9695" i="1"/>
  <c r="E9695" i="1"/>
  <c r="D9695" i="1"/>
  <c r="C9695" i="1"/>
  <c r="B9695" i="1"/>
  <c r="G9694" i="1"/>
  <c r="F9694" i="1"/>
  <c r="E9694" i="1"/>
  <c r="D9694" i="1"/>
  <c r="C9694" i="1"/>
  <c r="B9694" i="1"/>
  <c r="G9693" i="1"/>
  <c r="F9693" i="1"/>
  <c r="E9693" i="1"/>
  <c r="D9693" i="1"/>
  <c r="C9693" i="1"/>
  <c r="B9693" i="1"/>
  <c r="G9692" i="1"/>
  <c r="F9692" i="1"/>
  <c r="E9692" i="1"/>
  <c r="D9692" i="1"/>
  <c r="C9692" i="1"/>
  <c r="B9692" i="1"/>
  <c r="G9691" i="1"/>
  <c r="F9691" i="1"/>
  <c r="E9691" i="1"/>
  <c r="D9691" i="1"/>
  <c r="C9691" i="1"/>
  <c r="B9691" i="1"/>
  <c r="G9690" i="1"/>
  <c r="F9690" i="1"/>
  <c r="E9690" i="1"/>
  <c r="D9690" i="1"/>
  <c r="C9690" i="1"/>
  <c r="B9690" i="1"/>
  <c r="G9689" i="1"/>
  <c r="F9689" i="1"/>
  <c r="E9689" i="1"/>
  <c r="D9689" i="1"/>
  <c r="C9689" i="1"/>
  <c r="B9689" i="1"/>
  <c r="G9688" i="1"/>
  <c r="F9688" i="1"/>
  <c r="E9688" i="1"/>
  <c r="D9688" i="1"/>
  <c r="C9688" i="1"/>
  <c r="B9688" i="1"/>
  <c r="G9687" i="1"/>
  <c r="F9687" i="1"/>
  <c r="E9687" i="1"/>
  <c r="D9687" i="1"/>
  <c r="C9687" i="1"/>
  <c r="B9687" i="1"/>
  <c r="G9686" i="1"/>
  <c r="F9686" i="1"/>
  <c r="E9686" i="1"/>
  <c r="D9686" i="1"/>
  <c r="C9686" i="1"/>
  <c r="B9686" i="1"/>
  <c r="G9685" i="1"/>
  <c r="F9685" i="1"/>
  <c r="E9685" i="1"/>
  <c r="D9685" i="1"/>
  <c r="C9685" i="1"/>
  <c r="B9685" i="1"/>
  <c r="G9684" i="1"/>
  <c r="F9684" i="1"/>
  <c r="E9684" i="1"/>
  <c r="D9684" i="1"/>
  <c r="C9684" i="1"/>
  <c r="B9684" i="1"/>
  <c r="G9683" i="1"/>
  <c r="F9683" i="1"/>
  <c r="E9683" i="1"/>
  <c r="D9683" i="1"/>
  <c r="C9683" i="1"/>
  <c r="B9683" i="1"/>
  <c r="G9682" i="1"/>
  <c r="F9682" i="1"/>
  <c r="E9682" i="1"/>
  <c r="D9682" i="1"/>
  <c r="C9682" i="1"/>
  <c r="B9682" i="1"/>
  <c r="G9681" i="1"/>
  <c r="F9681" i="1"/>
  <c r="E9681" i="1"/>
  <c r="D9681" i="1"/>
  <c r="C9681" i="1"/>
  <c r="B9681" i="1"/>
  <c r="G9680" i="1"/>
  <c r="F9680" i="1"/>
  <c r="E9680" i="1"/>
  <c r="D9680" i="1"/>
  <c r="C9680" i="1"/>
  <c r="B9680" i="1"/>
  <c r="G9679" i="1"/>
  <c r="F9679" i="1"/>
  <c r="E9679" i="1"/>
  <c r="D9679" i="1"/>
  <c r="C9679" i="1"/>
  <c r="B9679" i="1"/>
  <c r="G9678" i="1"/>
  <c r="F9678" i="1"/>
  <c r="E9678" i="1"/>
  <c r="D9678" i="1"/>
  <c r="C9678" i="1"/>
  <c r="B9678" i="1"/>
  <c r="G9677" i="1"/>
  <c r="F9677" i="1"/>
  <c r="E9677" i="1"/>
  <c r="D9677" i="1"/>
  <c r="C9677" i="1"/>
  <c r="B9677" i="1"/>
  <c r="G9676" i="1"/>
  <c r="F9676" i="1"/>
  <c r="E9676" i="1"/>
  <c r="D9676" i="1"/>
  <c r="C9676" i="1"/>
  <c r="B9676" i="1"/>
  <c r="G9675" i="1"/>
  <c r="F9675" i="1"/>
  <c r="E9675" i="1"/>
  <c r="D9675" i="1"/>
  <c r="C9675" i="1"/>
  <c r="B9675" i="1"/>
  <c r="G9674" i="1"/>
  <c r="F9674" i="1"/>
  <c r="E9674" i="1"/>
  <c r="D9674" i="1"/>
  <c r="C9674" i="1"/>
  <c r="B9674" i="1"/>
  <c r="G9673" i="1"/>
  <c r="F9673" i="1"/>
  <c r="E9673" i="1"/>
  <c r="D9673" i="1"/>
  <c r="C9673" i="1"/>
  <c r="B9673" i="1"/>
  <c r="G9672" i="1"/>
  <c r="F9672" i="1"/>
  <c r="E9672" i="1"/>
  <c r="D9672" i="1"/>
  <c r="C9672" i="1"/>
  <c r="B9672" i="1"/>
  <c r="G9671" i="1"/>
  <c r="F9671" i="1"/>
  <c r="E9671" i="1"/>
  <c r="D9671" i="1"/>
  <c r="C9671" i="1"/>
  <c r="B9671" i="1"/>
  <c r="G9670" i="1"/>
  <c r="F9670" i="1"/>
  <c r="E9670" i="1"/>
  <c r="D9670" i="1"/>
  <c r="C9670" i="1"/>
  <c r="B9670" i="1"/>
  <c r="G9669" i="1"/>
  <c r="F9669" i="1"/>
  <c r="E9669" i="1"/>
  <c r="D9669" i="1"/>
  <c r="C9669" i="1"/>
  <c r="B9669" i="1"/>
  <c r="G9668" i="1"/>
  <c r="F9668" i="1"/>
  <c r="E9668" i="1"/>
  <c r="D9668" i="1"/>
  <c r="C9668" i="1"/>
  <c r="B9668" i="1"/>
  <c r="G9667" i="1"/>
  <c r="F9667" i="1"/>
  <c r="E9667" i="1"/>
  <c r="D9667" i="1"/>
  <c r="C9667" i="1"/>
  <c r="B9667" i="1"/>
  <c r="G9666" i="1"/>
  <c r="F9666" i="1"/>
  <c r="E9666" i="1"/>
  <c r="D9666" i="1"/>
  <c r="C9666" i="1"/>
  <c r="B9666" i="1"/>
  <c r="G9665" i="1"/>
  <c r="F9665" i="1"/>
  <c r="E9665" i="1"/>
  <c r="D9665" i="1"/>
  <c r="C9665" i="1"/>
  <c r="B9665" i="1"/>
  <c r="G9664" i="1"/>
  <c r="F9664" i="1"/>
  <c r="E9664" i="1"/>
  <c r="D9664" i="1"/>
  <c r="C9664" i="1"/>
  <c r="B9664" i="1"/>
  <c r="G9663" i="1"/>
  <c r="F9663" i="1"/>
  <c r="E9663" i="1"/>
  <c r="D9663" i="1"/>
  <c r="C9663" i="1"/>
  <c r="B9663" i="1"/>
  <c r="G9662" i="1"/>
  <c r="F9662" i="1"/>
  <c r="E9662" i="1"/>
  <c r="D9662" i="1"/>
  <c r="C9662" i="1"/>
  <c r="B9662" i="1"/>
  <c r="G9661" i="1"/>
  <c r="F9661" i="1"/>
  <c r="E9661" i="1"/>
  <c r="D9661" i="1"/>
  <c r="C9661" i="1"/>
  <c r="B9661" i="1"/>
  <c r="G9660" i="1"/>
  <c r="F9660" i="1"/>
  <c r="E9660" i="1"/>
  <c r="D9660" i="1"/>
  <c r="C9660" i="1"/>
  <c r="B9660" i="1"/>
  <c r="G9659" i="1"/>
  <c r="F9659" i="1"/>
  <c r="E9659" i="1"/>
  <c r="D9659" i="1"/>
  <c r="C9659" i="1"/>
  <c r="B9659" i="1"/>
  <c r="G9658" i="1"/>
  <c r="F9658" i="1"/>
  <c r="E9658" i="1"/>
  <c r="D9658" i="1"/>
  <c r="C9658" i="1"/>
  <c r="B9658" i="1"/>
  <c r="G9657" i="1"/>
  <c r="F9657" i="1"/>
  <c r="E9657" i="1"/>
  <c r="D9657" i="1"/>
  <c r="C9657" i="1"/>
  <c r="B9657" i="1"/>
  <c r="G9656" i="1"/>
  <c r="F9656" i="1"/>
  <c r="E9656" i="1"/>
  <c r="D9656" i="1"/>
  <c r="C9656" i="1"/>
  <c r="B9656" i="1"/>
  <c r="G9655" i="1"/>
  <c r="F9655" i="1"/>
  <c r="E9655" i="1"/>
  <c r="D9655" i="1"/>
  <c r="C9655" i="1"/>
  <c r="B9655" i="1"/>
  <c r="G9654" i="1"/>
  <c r="F9654" i="1"/>
  <c r="E9654" i="1"/>
  <c r="D9654" i="1"/>
  <c r="C9654" i="1"/>
  <c r="B9654" i="1"/>
  <c r="G9653" i="1"/>
  <c r="F9653" i="1"/>
  <c r="E9653" i="1"/>
  <c r="D9653" i="1"/>
  <c r="C9653" i="1"/>
  <c r="B9653" i="1"/>
  <c r="G9652" i="1"/>
  <c r="F9652" i="1"/>
  <c r="E9652" i="1"/>
  <c r="D9652" i="1"/>
  <c r="C9652" i="1"/>
  <c r="B9652" i="1"/>
  <c r="G9651" i="1"/>
  <c r="F9651" i="1"/>
  <c r="E9651" i="1"/>
  <c r="D9651" i="1"/>
  <c r="C9651" i="1"/>
  <c r="B9651" i="1"/>
  <c r="G9650" i="1"/>
  <c r="F9650" i="1"/>
  <c r="E9650" i="1"/>
  <c r="D9650" i="1"/>
  <c r="C9650" i="1"/>
  <c r="B9650" i="1"/>
  <c r="G9649" i="1"/>
  <c r="F9649" i="1"/>
  <c r="E9649" i="1"/>
  <c r="D9649" i="1"/>
  <c r="C9649" i="1"/>
  <c r="B9649" i="1"/>
  <c r="G9648" i="1"/>
  <c r="F9648" i="1"/>
  <c r="E9648" i="1"/>
  <c r="D9648" i="1"/>
  <c r="C9648" i="1"/>
  <c r="B9648" i="1"/>
  <c r="G9647" i="1"/>
  <c r="F9647" i="1"/>
  <c r="E9647" i="1"/>
  <c r="D9647" i="1"/>
  <c r="C9647" i="1"/>
  <c r="B9647" i="1"/>
  <c r="G9646" i="1"/>
  <c r="F9646" i="1"/>
  <c r="E9646" i="1"/>
  <c r="D9646" i="1"/>
  <c r="C9646" i="1"/>
  <c r="B9646" i="1"/>
  <c r="G9645" i="1"/>
  <c r="F9645" i="1"/>
  <c r="E9645" i="1"/>
  <c r="D9645" i="1"/>
  <c r="C9645" i="1"/>
  <c r="B9645" i="1"/>
  <c r="G9644" i="1"/>
  <c r="F9644" i="1"/>
  <c r="E9644" i="1"/>
  <c r="D9644" i="1"/>
  <c r="C9644" i="1"/>
  <c r="B9644" i="1"/>
  <c r="G9643" i="1"/>
  <c r="F9643" i="1"/>
  <c r="E9643" i="1"/>
  <c r="D9643" i="1"/>
  <c r="C9643" i="1"/>
  <c r="B9643" i="1"/>
  <c r="G9642" i="1"/>
  <c r="F9642" i="1"/>
  <c r="E9642" i="1"/>
  <c r="D9642" i="1"/>
  <c r="C9642" i="1"/>
  <c r="B9642" i="1"/>
  <c r="G9641" i="1"/>
  <c r="F9641" i="1"/>
  <c r="E9641" i="1"/>
  <c r="D9641" i="1"/>
  <c r="C9641" i="1"/>
  <c r="B9641" i="1"/>
  <c r="G9640" i="1"/>
  <c r="F9640" i="1"/>
  <c r="E9640" i="1"/>
  <c r="D9640" i="1"/>
  <c r="C9640" i="1"/>
  <c r="B9640" i="1"/>
  <c r="G9639" i="1"/>
  <c r="F9639" i="1"/>
  <c r="E9639" i="1"/>
  <c r="D9639" i="1"/>
  <c r="C9639" i="1"/>
  <c r="B9639" i="1"/>
  <c r="G9638" i="1"/>
  <c r="F9638" i="1"/>
  <c r="E9638" i="1"/>
  <c r="D9638" i="1"/>
  <c r="C9638" i="1"/>
  <c r="B9638" i="1"/>
  <c r="G9637" i="1"/>
  <c r="F9637" i="1"/>
  <c r="E9637" i="1"/>
  <c r="D9637" i="1"/>
  <c r="C9637" i="1"/>
  <c r="B9637" i="1"/>
  <c r="G9636" i="1"/>
  <c r="F9636" i="1"/>
  <c r="E9636" i="1"/>
  <c r="D9636" i="1"/>
  <c r="C9636" i="1"/>
  <c r="B9636" i="1"/>
  <c r="G9635" i="1"/>
  <c r="F9635" i="1"/>
  <c r="E9635" i="1"/>
  <c r="D9635" i="1"/>
  <c r="C9635" i="1"/>
  <c r="B9635" i="1"/>
  <c r="G9634" i="1"/>
  <c r="F9634" i="1"/>
  <c r="E9634" i="1"/>
  <c r="D9634" i="1"/>
  <c r="C9634" i="1"/>
  <c r="B9634" i="1"/>
  <c r="G9633" i="1"/>
  <c r="F9633" i="1"/>
  <c r="E9633" i="1"/>
  <c r="D9633" i="1"/>
  <c r="C9633" i="1"/>
  <c r="B9633" i="1"/>
  <c r="G9632" i="1"/>
  <c r="F9632" i="1"/>
  <c r="E9632" i="1"/>
  <c r="D9632" i="1"/>
  <c r="C9632" i="1"/>
  <c r="B9632" i="1"/>
  <c r="G9631" i="1"/>
  <c r="F9631" i="1"/>
  <c r="E9631" i="1"/>
  <c r="D9631" i="1"/>
  <c r="C9631" i="1"/>
  <c r="B9631" i="1"/>
  <c r="G9630" i="1"/>
  <c r="F9630" i="1"/>
  <c r="E9630" i="1"/>
  <c r="D9630" i="1"/>
  <c r="C9630" i="1"/>
  <c r="B9630" i="1"/>
  <c r="G9629" i="1"/>
  <c r="F9629" i="1"/>
  <c r="E9629" i="1"/>
  <c r="D9629" i="1"/>
  <c r="C9629" i="1"/>
  <c r="B9629" i="1"/>
  <c r="G9628" i="1"/>
  <c r="F9628" i="1"/>
  <c r="E9628" i="1"/>
  <c r="D9628" i="1"/>
  <c r="C9628" i="1"/>
  <c r="B9628" i="1"/>
  <c r="G9627" i="1"/>
  <c r="F9627" i="1"/>
  <c r="E9627" i="1"/>
  <c r="D9627" i="1"/>
  <c r="C9627" i="1"/>
  <c r="B9627" i="1"/>
  <c r="G9626" i="1"/>
  <c r="F9626" i="1"/>
  <c r="E9626" i="1"/>
  <c r="D9626" i="1"/>
  <c r="C9626" i="1"/>
  <c r="B9626" i="1"/>
  <c r="G9625" i="1"/>
  <c r="F9625" i="1"/>
  <c r="E9625" i="1"/>
  <c r="D9625" i="1"/>
  <c r="C9625" i="1"/>
  <c r="B9625" i="1"/>
  <c r="G9624" i="1"/>
  <c r="F9624" i="1"/>
  <c r="E9624" i="1"/>
  <c r="D9624" i="1"/>
  <c r="C9624" i="1"/>
  <c r="B9624" i="1"/>
  <c r="G9623" i="1"/>
  <c r="F9623" i="1"/>
  <c r="E9623" i="1"/>
  <c r="D9623" i="1"/>
  <c r="C9623" i="1"/>
  <c r="B9623" i="1"/>
  <c r="G9622" i="1"/>
  <c r="F9622" i="1"/>
  <c r="E9622" i="1"/>
  <c r="D9622" i="1"/>
  <c r="C9622" i="1"/>
  <c r="B9622" i="1"/>
  <c r="G9621" i="1"/>
  <c r="F9621" i="1"/>
  <c r="E9621" i="1"/>
  <c r="D9621" i="1"/>
  <c r="C9621" i="1"/>
  <c r="B9621" i="1"/>
  <c r="G9620" i="1"/>
  <c r="F9620" i="1"/>
  <c r="E9620" i="1"/>
  <c r="D9620" i="1"/>
  <c r="C9620" i="1"/>
  <c r="B9620" i="1"/>
  <c r="G9619" i="1"/>
  <c r="F9619" i="1"/>
  <c r="E9619" i="1"/>
  <c r="D9619" i="1"/>
  <c r="C9619" i="1"/>
  <c r="B9619" i="1"/>
  <c r="G9618" i="1"/>
  <c r="F9618" i="1"/>
  <c r="E9618" i="1"/>
  <c r="D9618" i="1"/>
  <c r="C9618" i="1"/>
  <c r="B9618" i="1"/>
  <c r="G9617" i="1"/>
  <c r="F9617" i="1"/>
  <c r="E9617" i="1"/>
  <c r="D9617" i="1"/>
  <c r="C9617" i="1"/>
  <c r="B9617" i="1"/>
  <c r="G9616" i="1"/>
  <c r="F9616" i="1"/>
  <c r="E9616" i="1"/>
  <c r="D9616" i="1"/>
  <c r="C9616" i="1"/>
  <c r="B9616" i="1"/>
  <c r="G9615" i="1"/>
  <c r="F9615" i="1"/>
  <c r="E9615" i="1"/>
  <c r="D9615" i="1"/>
  <c r="C9615" i="1"/>
  <c r="B9615" i="1"/>
  <c r="G9614" i="1"/>
  <c r="F9614" i="1"/>
  <c r="E9614" i="1"/>
  <c r="D9614" i="1"/>
  <c r="C9614" i="1"/>
  <c r="B9614" i="1"/>
  <c r="G9613" i="1"/>
  <c r="F9613" i="1"/>
  <c r="E9613" i="1"/>
  <c r="D9613" i="1"/>
  <c r="C9613" i="1"/>
  <c r="B9613" i="1"/>
  <c r="G9612" i="1"/>
  <c r="F9612" i="1"/>
  <c r="E9612" i="1"/>
  <c r="D9612" i="1"/>
  <c r="C9612" i="1"/>
  <c r="B9612" i="1"/>
  <c r="G9611" i="1"/>
  <c r="F9611" i="1"/>
  <c r="E9611" i="1"/>
  <c r="D9611" i="1"/>
  <c r="C9611" i="1"/>
  <c r="B9611" i="1"/>
  <c r="G9610" i="1"/>
  <c r="F9610" i="1"/>
  <c r="E9610" i="1"/>
  <c r="D9610" i="1"/>
  <c r="C9610" i="1"/>
  <c r="B9610" i="1"/>
  <c r="G9609" i="1"/>
  <c r="F9609" i="1"/>
  <c r="E9609" i="1"/>
  <c r="D9609" i="1"/>
  <c r="C9609" i="1"/>
  <c r="B9609" i="1"/>
  <c r="G9608" i="1"/>
  <c r="F9608" i="1"/>
  <c r="E9608" i="1"/>
  <c r="D9608" i="1"/>
  <c r="C9608" i="1"/>
  <c r="B9608" i="1"/>
  <c r="G9607" i="1"/>
  <c r="F9607" i="1"/>
  <c r="E9607" i="1"/>
  <c r="D9607" i="1"/>
  <c r="C9607" i="1"/>
  <c r="B9607" i="1"/>
  <c r="G9606" i="1"/>
  <c r="F9606" i="1"/>
  <c r="E9606" i="1"/>
  <c r="D9606" i="1"/>
  <c r="C9606" i="1"/>
  <c r="B9606" i="1"/>
  <c r="G9605" i="1"/>
  <c r="F9605" i="1"/>
  <c r="E9605" i="1"/>
  <c r="D9605" i="1"/>
  <c r="C9605" i="1"/>
  <c r="B9605" i="1"/>
  <c r="G9604" i="1"/>
  <c r="F9604" i="1"/>
  <c r="E9604" i="1"/>
  <c r="D9604" i="1"/>
  <c r="C9604" i="1"/>
  <c r="B9604" i="1"/>
  <c r="G9603" i="1"/>
  <c r="F9603" i="1"/>
  <c r="E9603" i="1"/>
  <c r="D9603" i="1"/>
  <c r="C9603" i="1"/>
  <c r="B9603" i="1"/>
  <c r="G9602" i="1"/>
  <c r="F9602" i="1"/>
  <c r="E9602" i="1"/>
  <c r="D9602" i="1"/>
  <c r="C9602" i="1"/>
  <c r="B9602" i="1"/>
  <c r="G9601" i="1"/>
  <c r="F9601" i="1"/>
  <c r="E9601" i="1"/>
  <c r="D9601" i="1"/>
  <c r="C9601" i="1"/>
  <c r="B9601" i="1"/>
  <c r="G9600" i="1"/>
  <c r="F9600" i="1"/>
  <c r="E9600" i="1"/>
  <c r="D9600" i="1"/>
  <c r="C9600" i="1"/>
  <c r="B9600" i="1"/>
  <c r="G9599" i="1"/>
  <c r="F9599" i="1"/>
  <c r="E9599" i="1"/>
  <c r="D9599" i="1"/>
  <c r="C9599" i="1"/>
  <c r="B9599" i="1"/>
  <c r="G9598" i="1"/>
  <c r="F9598" i="1"/>
  <c r="E9598" i="1"/>
  <c r="D9598" i="1"/>
  <c r="C9598" i="1"/>
  <c r="B9598" i="1"/>
  <c r="G9597" i="1"/>
  <c r="F9597" i="1"/>
  <c r="E9597" i="1"/>
  <c r="D9597" i="1"/>
  <c r="C9597" i="1"/>
  <c r="B9597" i="1"/>
  <c r="G9596" i="1"/>
  <c r="F9596" i="1"/>
  <c r="E9596" i="1"/>
  <c r="D9596" i="1"/>
  <c r="C9596" i="1"/>
  <c r="B9596" i="1"/>
  <c r="G9595" i="1"/>
  <c r="F9595" i="1"/>
  <c r="E9595" i="1"/>
  <c r="D9595" i="1"/>
  <c r="C9595" i="1"/>
  <c r="B9595" i="1"/>
  <c r="G9594" i="1"/>
  <c r="F9594" i="1"/>
  <c r="E9594" i="1"/>
  <c r="D9594" i="1"/>
  <c r="C9594" i="1"/>
  <c r="B9594" i="1"/>
  <c r="G9593" i="1"/>
  <c r="F9593" i="1"/>
  <c r="E9593" i="1"/>
  <c r="D9593" i="1"/>
  <c r="C9593" i="1"/>
  <c r="B9593" i="1"/>
  <c r="G9592" i="1"/>
  <c r="F9592" i="1"/>
  <c r="E9592" i="1"/>
  <c r="D9592" i="1"/>
  <c r="C9592" i="1"/>
  <c r="B9592" i="1"/>
  <c r="G9591" i="1"/>
  <c r="F9591" i="1"/>
  <c r="E9591" i="1"/>
  <c r="D9591" i="1"/>
  <c r="C9591" i="1"/>
  <c r="B9591" i="1"/>
  <c r="G9590" i="1"/>
  <c r="F9590" i="1"/>
  <c r="E9590" i="1"/>
  <c r="D9590" i="1"/>
  <c r="C9590" i="1"/>
  <c r="B9590" i="1"/>
  <c r="G9589" i="1"/>
  <c r="F9589" i="1"/>
  <c r="E9589" i="1"/>
  <c r="D9589" i="1"/>
  <c r="C9589" i="1"/>
  <c r="B9589" i="1"/>
  <c r="G9588" i="1"/>
  <c r="F9588" i="1"/>
  <c r="E9588" i="1"/>
  <c r="D9588" i="1"/>
  <c r="C9588" i="1"/>
  <c r="B9588" i="1"/>
  <c r="G9587" i="1"/>
  <c r="F9587" i="1"/>
  <c r="E9587" i="1"/>
  <c r="D9587" i="1"/>
  <c r="C9587" i="1"/>
  <c r="B9587" i="1"/>
  <c r="G9586" i="1"/>
  <c r="F9586" i="1"/>
  <c r="E9586" i="1"/>
  <c r="D9586" i="1"/>
  <c r="C9586" i="1"/>
  <c r="B9586" i="1"/>
  <c r="G9585" i="1"/>
  <c r="F9585" i="1"/>
  <c r="E9585" i="1"/>
  <c r="D9585" i="1"/>
  <c r="C9585" i="1"/>
  <c r="B9585" i="1"/>
  <c r="G9584" i="1"/>
  <c r="F9584" i="1"/>
  <c r="E9584" i="1"/>
  <c r="D9584" i="1"/>
  <c r="C9584" i="1"/>
  <c r="B9584" i="1"/>
  <c r="G9583" i="1"/>
  <c r="F9583" i="1"/>
  <c r="E9583" i="1"/>
  <c r="D9583" i="1"/>
  <c r="C9583" i="1"/>
  <c r="B9583" i="1"/>
  <c r="G9582" i="1"/>
  <c r="F9582" i="1"/>
  <c r="E9582" i="1"/>
  <c r="D9582" i="1"/>
  <c r="C9582" i="1"/>
  <c r="B9582" i="1"/>
  <c r="G9581" i="1"/>
  <c r="F9581" i="1"/>
  <c r="E9581" i="1"/>
  <c r="D9581" i="1"/>
  <c r="C9581" i="1"/>
  <c r="B9581" i="1"/>
  <c r="G9580" i="1"/>
  <c r="F9580" i="1"/>
  <c r="E9580" i="1"/>
  <c r="D9580" i="1"/>
  <c r="C9580" i="1"/>
  <c r="B9580" i="1"/>
  <c r="G9579" i="1"/>
  <c r="F9579" i="1"/>
  <c r="E9579" i="1"/>
  <c r="D9579" i="1"/>
  <c r="C9579" i="1"/>
  <c r="B9579" i="1"/>
  <c r="G9578" i="1"/>
  <c r="F9578" i="1"/>
  <c r="E9578" i="1"/>
  <c r="D9578" i="1"/>
  <c r="C9578" i="1"/>
  <c r="B9578" i="1"/>
  <c r="G9577" i="1"/>
  <c r="F9577" i="1"/>
  <c r="E9577" i="1"/>
  <c r="D9577" i="1"/>
  <c r="C9577" i="1"/>
  <c r="B9577" i="1"/>
  <c r="G9576" i="1"/>
  <c r="F9576" i="1"/>
  <c r="E9576" i="1"/>
  <c r="D9576" i="1"/>
  <c r="C9576" i="1"/>
  <c r="B9576" i="1"/>
  <c r="G9575" i="1"/>
  <c r="F9575" i="1"/>
  <c r="E9575" i="1"/>
  <c r="D9575" i="1"/>
  <c r="C9575" i="1"/>
  <c r="B9575" i="1"/>
  <c r="G9574" i="1"/>
  <c r="F9574" i="1"/>
  <c r="E9574" i="1"/>
  <c r="D9574" i="1"/>
  <c r="C9574" i="1"/>
  <c r="B9574" i="1"/>
  <c r="G9573" i="1"/>
  <c r="F9573" i="1"/>
  <c r="E9573" i="1"/>
  <c r="D9573" i="1"/>
  <c r="C9573" i="1"/>
  <c r="B9573" i="1"/>
  <c r="G9572" i="1"/>
  <c r="F9572" i="1"/>
  <c r="E9572" i="1"/>
  <c r="D9572" i="1"/>
  <c r="C9572" i="1"/>
  <c r="B9572" i="1"/>
  <c r="G9571" i="1"/>
  <c r="F9571" i="1"/>
  <c r="E9571" i="1"/>
  <c r="D9571" i="1"/>
  <c r="C9571" i="1"/>
  <c r="B9571" i="1"/>
  <c r="G9570" i="1"/>
  <c r="F9570" i="1"/>
  <c r="E9570" i="1"/>
  <c r="D9570" i="1"/>
  <c r="C9570" i="1"/>
  <c r="B9570" i="1"/>
  <c r="G9569" i="1"/>
  <c r="F9569" i="1"/>
  <c r="E9569" i="1"/>
  <c r="D9569" i="1"/>
  <c r="C9569" i="1"/>
  <c r="B9569" i="1"/>
  <c r="G9568" i="1"/>
  <c r="F9568" i="1"/>
  <c r="E9568" i="1"/>
  <c r="D9568" i="1"/>
  <c r="C9568" i="1"/>
  <c r="B9568" i="1"/>
  <c r="G9567" i="1"/>
  <c r="F9567" i="1"/>
  <c r="E9567" i="1"/>
  <c r="D9567" i="1"/>
  <c r="C9567" i="1"/>
  <c r="B9567" i="1"/>
  <c r="G9566" i="1"/>
  <c r="F9566" i="1"/>
  <c r="E9566" i="1"/>
  <c r="D9566" i="1"/>
  <c r="C9566" i="1"/>
  <c r="B9566" i="1"/>
  <c r="G9565" i="1"/>
  <c r="F9565" i="1"/>
  <c r="E9565" i="1"/>
  <c r="D9565" i="1"/>
  <c r="C9565" i="1"/>
  <c r="B9565" i="1"/>
  <c r="G9564" i="1"/>
  <c r="F9564" i="1"/>
  <c r="E9564" i="1"/>
  <c r="D9564" i="1"/>
  <c r="C9564" i="1"/>
  <c r="B9564" i="1"/>
  <c r="G9563" i="1"/>
  <c r="F9563" i="1"/>
  <c r="E9563" i="1"/>
  <c r="D9563" i="1"/>
  <c r="C9563" i="1"/>
  <c r="B9563" i="1"/>
  <c r="G9562" i="1"/>
  <c r="F9562" i="1"/>
  <c r="E9562" i="1"/>
  <c r="D9562" i="1"/>
  <c r="C9562" i="1"/>
  <c r="B9562" i="1"/>
  <c r="G9561" i="1"/>
  <c r="F9561" i="1"/>
  <c r="E9561" i="1"/>
  <c r="D9561" i="1"/>
  <c r="C9561" i="1"/>
  <c r="B9561" i="1"/>
  <c r="G9560" i="1"/>
  <c r="F9560" i="1"/>
  <c r="E9560" i="1"/>
  <c r="D9560" i="1"/>
  <c r="C9560" i="1"/>
  <c r="B9560" i="1"/>
  <c r="G9559" i="1"/>
  <c r="F9559" i="1"/>
  <c r="E9559" i="1"/>
  <c r="D9559" i="1"/>
  <c r="C9559" i="1"/>
  <c r="B9559" i="1"/>
  <c r="G9558" i="1"/>
  <c r="F9558" i="1"/>
  <c r="E9558" i="1"/>
  <c r="D9558" i="1"/>
  <c r="C9558" i="1"/>
  <c r="B9558" i="1"/>
  <c r="G9557" i="1"/>
  <c r="F9557" i="1"/>
  <c r="E9557" i="1"/>
  <c r="D9557" i="1"/>
  <c r="C9557" i="1"/>
  <c r="B9557" i="1"/>
  <c r="G9556" i="1"/>
  <c r="F9556" i="1"/>
  <c r="E9556" i="1"/>
  <c r="D9556" i="1"/>
  <c r="C9556" i="1"/>
  <c r="B9556" i="1"/>
  <c r="G9555" i="1"/>
  <c r="F9555" i="1"/>
  <c r="E9555" i="1"/>
  <c r="D9555" i="1"/>
  <c r="C9555" i="1"/>
  <c r="B9555" i="1"/>
  <c r="G9554" i="1"/>
  <c r="F9554" i="1"/>
  <c r="E9554" i="1"/>
  <c r="D9554" i="1"/>
  <c r="C9554" i="1"/>
  <c r="B9554" i="1"/>
  <c r="G9553" i="1"/>
  <c r="F9553" i="1"/>
  <c r="E9553" i="1"/>
  <c r="D9553" i="1"/>
  <c r="C9553" i="1"/>
  <c r="B9553" i="1"/>
  <c r="G9552" i="1"/>
  <c r="F9552" i="1"/>
  <c r="E9552" i="1"/>
  <c r="D9552" i="1"/>
  <c r="C9552" i="1"/>
  <c r="B9552" i="1"/>
  <c r="G9551" i="1"/>
  <c r="F9551" i="1"/>
  <c r="E9551" i="1"/>
  <c r="D9551" i="1"/>
  <c r="C9551" i="1"/>
  <c r="B9551" i="1"/>
  <c r="G9550" i="1"/>
  <c r="F9550" i="1"/>
  <c r="E9550" i="1"/>
  <c r="D9550" i="1"/>
  <c r="C9550" i="1"/>
  <c r="B9550" i="1"/>
  <c r="G9549" i="1"/>
  <c r="F9549" i="1"/>
  <c r="E9549" i="1"/>
  <c r="D9549" i="1"/>
  <c r="C9549" i="1"/>
  <c r="B9549" i="1"/>
  <c r="G9548" i="1"/>
  <c r="F9548" i="1"/>
  <c r="E9548" i="1"/>
  <c r="D9548" i="1"/>
  <c r="C9548" i="1"/>
  <c r="B9548" i="1"/>
  <c r="G9547" i="1"/>
  <c r="F9547" i="1"/>
  <c r="E9547" i="1"/>
  <c r="D9547" i="1"/>
  <c r="C9547" i="1"/>
  <c r="B9547" i="1"/>
  <c r="G9546" i="1"/>
  <c r="F9546" i="1"/>
  <c r="E9546" i="1"/>
  <c r="D9546" i="1"/>
  <c r="C9546" i="1"/>
  <c r="B9546" i="1"/>
  <c r="G9545" i="1"/>
  <c r="F9545" i="1"/>
  <c r="E9545" i="1"/>
  <c r="D9545" i="1"/>
  <c r="C9545" i="1"/>
  <c r="B9545" i="1"/>
  <c r="G9544" i="1"/>
  <c r="F9544" i="1"/>
  <c r="E9544" i="1"/>
  <c r="D9544" i="1"/>
  <c r="C9544" i="1"/>
  <c r="B9544" i="1"/>
  <c r="G9543" i="1"/>
  <c r="F9543" i="1"/>
  <c r="E9543" i="1"/>
  <c r="D9543" i="1"/>
  <c r="C9543" i="1"/>
  <c r="B9543" i="1"/>
  <c r="G9542" i="1"/>
  <c r="F9542" i="1"/>
  <c r="E9542" i="1"/>
  <c r="D9542" i="1"/>
  <c r="C9542" i="1"/>
  <c r="B9542" i="1"/>
  <c r="G9541" i="1"/>
  <c r="F9541" i="1"/>
  <c r="E9541" i="1"/>
  <c r="D9541" i="1"/>
  <c r="C9541" i="1"/>
  <c r="B9541" i="1"/>
  <c r="G9540" i="1"/>
  <c r="F9540" i="1"/>
  <c r="E9540" i="1"/>
  <c r="D9540" i="1"/>
  <c r="C9540" i="1"/>
  <c r="B9540" i="1"/>
  <c r="G9539" i="1"/>
  <c r="F9539" i="1"/>
  <c r="E9539" i="1"/>
  <c r="D9539" i="1"/>
  <c r="C9539" i="1"/>
  <c r="B9539" i="1"/>
  <c r="G9538" i="1"/>
  <c r="F9538" i="1"/>
  <c r="E9538" i="1"/>
  <c r="D9538" i="1"/>
  <c r="C9538" i="1"/>
  <c r="B9538" i="1"/>
  <c r="G9537" i="1"/>
  <c r="F9537" i="1"/>
  <c r="E9537" i="1"/>
  <c r="D9537" i="1"/>
  <c r="C9537" i="1"/>
  <c r="B9537" i="1"/>
  <c r="G9536" i="1"/>
  <c r="F9536" i="1"/>
  <c r="E9536" i="1"/>
  <c r="D9536" i="1"/>
  <c r="C9536" i="1"/>
  <c r="B9536" i="1"/>
  <c r="G9535" i="1"/>
  <c r="F9535" i="1"/>
  <c r="E9535" i="1"/>
  <c r="D9535" i="1"/>
  <c r="C9535" i="1"/>
  <c r="B9535" i="1"/>
  <c r="G9534" i="1"/>
  <c r="F9534" i="1"/>
  <c r="E9534" i="1"/>
  <c r="D9534" i="1"/>
  <c r="C9534" i="1"/>
  <c r="B9534" i="1"/>
  <c r="G9533" i="1"/>
  <c r="F9533" i="1"/>
  <c r="E9533" i="1"/>
  <c r="D9533" i="1"/>
  <c r="C9533" i="1"/>
  <c r="B9533" i="1"/>
  <c r="G9532" i="1"/>
  <c r="F9532" i="1"/>
  <c r="E9532" i="1"/>
  <c r="D9532" i="1"/>
  <c r="C9532" i="1"/>
  <c r="B9532" i="1"/>
  <c r="G9531" i="1"/>
  <c r="F9531" i="1"/>
  <c r="E9531" i="1"/>
  <c r="D9531" i="1"/>
  <c r="C9531" i="1"/>
  <c r="B9531" i="1"/>
  <c r="G9530" i="1"/>
  <c r="F9530" i="1"/>
  <c r="E9530" i="1"/>
  <c r="D9530" i="1"/>
  <c r="C9530" i="1"/>
  <c r="B9530" i="1"/>
  <c r="G9529" i="1"/>
  <c r="F9529" i="1"/>
  <c r="E9529" i="1"/>
  <c r="D9529" i="1"/>
  <c r="C9529" i="1"/>
  <c r="B9529" i="1"/>
  <c r="G9528" i="1"/>
  <c r="F9528" i="1"/>
  <c r="E9528" i="1"/>
  <c r="D9528" i="1"/>
  <c r="C9528" i="1"/>
  <c r="B9528" i="1"/>
  <c r="G9527" i="1"/>
  <c r="F9527" i="1"/>
  <c r="E9527" i="1"/>
  <c r="D9527" i="1"/>
  <c r="C9527" i="1"/>
  <c r="B9527" i="1"/>
  <c r="G9526" i="1"/>
  <c r="F9526" i="1"/>
  <c r="E9526" i="1"/>
  <c r="D9526" i="1"/>
  <c r="C9526" i="1"/>
  <c r="B9526" i="1"/>
  <c r="G9525" i="1"/>
  <c r="F9525" i="1"/>
  <c r="E9525" i="1"/>
  <c r="D9525" i="1"/>
  <c r="C9525" i="1"/>
  <c r="B9525" i="1"/>
  <c r="G9524" i="1"/>
  <c r="F9524" i="1"/>
  <c r="E9524" i="1"/>
  <c r="D9524" i="1"/>
  <c r="C9524" i="1"/>
  <c r="B9524" i="1"/>
  <c r="G9523" i="1"/>
  <c r="F9523" i="1"/>
  <c r="E9523" i="1"/>
  <c r="D9523" i="1"/>
  <c r="C9523" i="1"/>
  <c r="B9523" i="1"/>
  <c r="G9522" i="1"/>
  <c r="F9522" i="1"/>
  <c r="E9522" i="1"/>
  <c r="D9522" i="1"/>
  <c r="C9522" i="1"/>
  <c r="B9522" i="1"/>
  <c r="G9521" i="1"/>
  <c r="F9521" i="1"/>
  <c r="E9521" i="1"/>
  <c r="D9521" i="1"/>
  <c r="C9521" i="1"/>
  <c r="B9521" i="1"/>
  <c r="G9520" i="1"/>
  <c r="F9520" i="1"/>
  <c r="E9520" i="1"/>
  <c r="D9520" i="1"/>
  <c r="C9520" i="1"/>
  <c r="B9520" i="1"/>
  <c r="G9519" i="1"/>
  <c r="F9519" i="1"/>
  <c r="E9519" i="1"/>
  <c r="D9519" i="1"/>
  <c r="C9519" i="1"/>
  <c r="B9519" i="1"/>
  <c r="G9518" i="1"/>
  <c r="F9518" i="1"/>
  <c r="E9518" i="1"/>
  <c r="D9518" i="1"/>
  <c r="C9518" i="1"/>
  <c r="B9518" i="1"/>
  <c r="G9517" i="1"/>
  <c r="F9517" i="1"/>
  <c r="E9517" i="1"/>
  <c r="D9517" i="1"/>
  <c r="C9517" i="1"/>
  <c r="B9517" i="1"/>
  <c r="G9516" i="1"/>
  <c r="F9516" i="1"/>
  <c r="E9516" i="1"/>
  <c r="D9516" i="1"/>
  <c r="C9516" i="1"/>
  <c r="B9516" i="1"/>
  <c r="G9515" i="1"/>
  <c r="F9515" i="1"/>
  <c r="E9515" i="1"/>
  <c r="D9515" i="1"/>
  <c r="C9515" i="1"/>
  <c r="B9515" i="1"/>
  <c r="G9514" i="1"/>
  <c r="F9514" i="1"/>
  <c r="E9514" i="1"/>
  <c r="D9514" i="1"/>
  <c r="C9514" i="1"/>
  <c r="B9514" i="1"/>
  <c r="G9513" i="1"/>
  <c r="F9513" i="1"/>
  <c r="E9513" i="1"/>
  <c r="D9513" i="1"/>
  <c r="C9513" i="1"/>
  <c r="B9513" i="1"/>
  <c r="G9512" i="1"/>
  <c r="F9512" i="1"/>
  <c r="E9512" i="1"/>
  <c r="D9512" i="1"/>
  <c r="C9512" i="1"/>
  <c r="B9512" i="1"/>
  <c r="G9511" i="1"/>
  <c r="F9511" i="1"/>
  <c r="E9511" i="1"/>
  <c r="D9511" i="1"/>
  <c r="C9511" i="1"/>
  <c r="B9511" i="1"/>
  <c r="G9510" i="1"/>
  <c r="F9510" i="1"/>
  <c r="E9510" i="1"/>
  <c r="D9510" i="1"/>
  <c r="C9510" i="1"/>
  <c r="B9510" i="1"/>
  <c r="G9509" i="1"/>
  <c r="F9509" i="1"/>
  <c r="E9509" i="1"/>
  <c r="D9509" i="1"/>
  <c r="C9509" i="1"/>
  <c r="B9509" i="1"/>
  <c r="G9508" i="1"/>
  <c r="F9508" i="1"/>
  <c r="E9508" i="1"/>
  <c r="D9508" i="1"/>
  <c r="C9508" i="1"/>
  <c r="B9508" i="1"/>
  <c r="G9507" i="1"/>
  <c r="F9507" i="1"/>
  <c r="E9507" i="1"/>
  <c r="D9507" i="1"/>
  <c r="C9507" i="1"/>
  <c r="B9507" i="1"/>
  <c r="G9506" i="1"/>
  <c r="F9506" i="1"/>
  <c r="E9506" i="1"/>
  <c r="D9506" i="1"/>
  <c r="C9506" i="1"/>
  <c r="B9506" i="1"/>
  <c r="G9505" i="1"/>
  <c r="F9505" i="1"/>
  <c r="E9505" i="1"/>
  <c r="D9505" i="1"/>
  <c r="C9505" i="1"/>
  <c r="B9505" i="1"/>
  <c r="G9504" i="1"/>
  <c r="F9504" i="1"/>
  <c r="E9504" i="1"/>
  <c r="D9504" i="1"/>
  <c r="C9504" i="1"/>
  <c r="B9504" i="1"/>
  <c r="G9503" i="1"/>
  <c r="F9503" i="1"/>
  <c r="E9503" i="1"/>
  <c r="D9503" i="1"/>
  <c r="C9503" i="1"/>
  <c r="B9503" i="1"/>
  <c r="G9502" i="1"/>
  <c r="F9502" i="1"/>
  <c r="E9502" i="1"/>
  <c r="D9502" i="1"/>
  <c r="C9502" i="1"/>
  <c r="B9502" i="1"/>
  <c r="G9501" i="1"/>
  <c r="F9501" i="1"/>
  <c r="E9501" i="1"/>
  <c r="D9501" i="1"/>
  <c r="C9501" i="1"/>
  <c r="B9501" i="1"/>
  <c r="G9500" i="1"/>
  <c r="F9500" i="1"/>
  <c r="E9500" i="1"/>
  <c r="D9500" i="1"/>
  <c r="C9500" i="1"/>
  <c r="B9500" i="1"/>
  <c r="G9499" i="1"/>
  <c r="F9499" i="1"/>
  <c r="E9499" i="1"/>
  <c r="D9499" i="1"/>
  <c r="C9499" i="1"/>
  <c r="B9499" i="1"/>
  <c r="G9498" i="1"/>
  <c r="F9498" i="1"/>
  <c r="E9498" i="1"/>
  <c r="D9498" i="1"/>
  <c r="C9498" i="1"/>
  <c r="B9498" i="1"/>
  <c r="G9497" i="1"/>
  <c r="F9497" i="1"/>
  <c r="E9497" i="1"/>
  <c r="D9497" i="1"/>
  <c r="C9497" i="1"/>
  <c r="B9497" i="1"/>
  <c r="G9496" i="1"/>
  <c r="F9496" i="1"/>
  <c r="E9496" i="1"/>
  <c r="D9496" i="1"/>
  <c r="C9496" i="1"/>
  <c r="B9496" i="1"/>
  <c r="G9495" i="1"/>
  <c r="F9495" i="1"/>
  <c r="E9495" i="1"/>
  <c r="D9495" i="1"/>
  <c r="C9495" i="1"/>
  <c r="B9495" i="1"/>
  <c r="G9494" i="1"/>
  <c r="F9494" i="1"/>
  <c r="E9494" i="1"/>
  <c r="D9494" i="1"/>
  <c r="C9494" i="1"/>
  <c r="B9494" i="1"/>
  <c r="G9493" i="1"/>
  <c r="F9493" i="1"/>
  <c r="E9493" i="1"/>
  <c r="D9493" i="1"/>
  <c r="C9493" i="1"/>
  <c r="B9493" i="1"/>
  <c r="G9492" i="1"/>
  <c r="F9492" i="1"/>
  <c r="E9492" i="1"/>
  <c r="D9492" i="1"/>
  <c r="C9492" i="1"/>
  <c r="B9492" i="1"/>
  <c r="G9491" i="1"/>
  <c r="F9491" i="1"/>
  <c r="E9491" i="1"/>
  <c r="D9491" i="1"/>
  <c r="C9491" i="1"/>
  <c r="B9491" i="1"/>
  <c r="G9490" i="1"/>
  <c r="F9490" i="1"/>
  <c r="E9490" i="1"/>
  <c r="D9490" i="1"/>
  <c r="C9490" i="1"/>
  <c r="B9490" i="1"/>
  <c r="G9489" i="1"/>
  <c r="F9489" i="1"/>
  <c r="E9489" i="1"/>
  <c r="D9489" i="1"/>
  <c r="C9489" i="1"/>
  <c r="B9489" i="1"/>
  <c r="G9488" i="1"/>
  <c r="F9488" i="1"/>
  <c r="E9488" i="1"/>
  <c r="D9488" i="1"/>
  <c r="C9488" i="1"/>
  <c r="B9488" i="1"/>
  <c r="G9487" i="1"/>
  <c r="F9487" i="1"/>
  <c r="E9487" i="1"/>
  <c r="D9487" i="1"/>
  <c r="C9487" i="1"/>
  <c r="B9487" i="1"/>
  <c r="G9486" i="1"/>
  <c r="F9486" i="1"/>
  <c r="E9486" i="1"/>
  <c r="D9486" i="1"/>
  <c r="C9486" i="1"/>
  <c r="B9486" i="1"/>
  <c r="G9485" i="1"/>
  <c r="F9485" i="1"/>
  <c r="E9485" i="1"/>
  <c r="D9485" i="1"/>
  <c r="C9485" i="1"/>
  <c r="B9485" i="1"/>
  <c r="G9484" i="1"/>
  <c r="F9484" i="1"/>
  <c r="E9484" i="1"/>
  <c r="D9484" i="1"/>
  <c r="C9484" i="1"/>
  <c r="B9484" i="1"/>
  <c r="G9483" i="1"/>
  <c r="F9483" i="1"/>
  <c r="E9483" i="1"/>
  <c r="D9483" i="1"/>
  <c r="C9483" i="1"/>
  <c r="B9483" i="1"/>
  <c r="G9482" i="1"/>
  <c r="F9482" i="1"/>
  <c r="E9482" i="1"/>
  <c r="D9482" i="1"/>
  <c r="C9482" i="1"/>
  <c r="B9482" i="1"/>
  <c r="G9481" i="1"/>
  <c r="F9481" i="1"/>
  <c r="E9481" i="1"/>
  <c r="D9481" i="1"/>
  <c r="C9481" i="1"/>
  <c r="B9481" i="1"/>
  <c r="G9480" i="1"/>
  <c r="F9480" i="1"/>
  <c r="E9480" i="1"/>
  <c r="D9480" i="1"/>
  <c r="C9480" i="1"/>
  <c r="B9480" i="1"/>
  <c r="G9479" i="1"/>
  <c r="F9479" i="1"/>
  <c r="E9479" i="1"/>
  <c r="D9479" i="1"/>
  <c r="C9479" i="1"/>
  <c r="B9479" i="1"/>
  <c r="G9478" i="1"/>
  <c r="F9478" i="1"/>
  <c r="E9478" i="1"/>
  <c r="D9478" i="1"/>
  <c r="C9478" i="1"/>
  <c r="B9478" i="1"/>
  <c r="G9477" i="1"/>
  <c r="F9477" i="1"/>
  <c r="E9477" i="1"/>
  <c r="D9477" i="1"/>
  <c r="C9477" i="1"/>
  <c r="B9477" i="1"/>
  <c r="G9476" i="1"/>
  <c r="F9476" i="1"/>
  <c r="E9476" i="1"/>
  <c r="D9476" i="1"/>
  <c r="C9476" i="1"/>
  <c r="B9476" i="1"/>
  <c r="G9475" i="1"/>
  <c r="F9475" i="1"/>
  <c r="E9475" i="1"/>
  <c r="D9475" i="1"/>
  <c r="C9475" i="1"/>
  <c r="B9475" i="1"/>
  <c r="G9474" i="1"/>
  <c r="F9474" i="1"/>
  <c r="E9474" i="1"/>
  <c r="D9474" i="1"/>
  <c r="C9474" i="1"/>
  <c r="B9474" i="1"/>
  <c r="G9473" i="1"/>
  <c r="F9473" i="1"/>
  <c r="E9473" i="1"/>
  <c r="D9473" i="1"/>
  <c r="C9473" i="1"/>
  <c r="B9473" i="1"/>
  <c r="G9472" i="1"/>
  <c r="F9472" i="1"/>
  <c r="E9472" i="1"/>
  <c r="D9472" i="1"/>
  <c r="C9472" i="1"/>
  <c r="B9472" i="1"/>
  <c r="G9471" i="1"/>
  <c r="F9471" i="1"/>
  <c r="E9471" i="1"/>
  <c r="D9471" i="1"/>
  <c r="C9471" i="1"/>
  <c r="B9471" i="1"/>
  <c r="G9470" i="1"/>
  <c r="F9470" i="1"/>
  <c r="E9470" i="1"/>
  <c r="D9470" i="1"/>
  <c r="C9470" i="1"/>
  <c r="B9470" i="1"/>
  <c r="G9469" i="1"/>
  <c r="F9469" i="1"/>
  <c r="E9469" i="1"/>
  <c r="D9469" i="1"/>
  <c r="C9469" i="1"/>
  <c r="B9469" i="1"/>
  <c r="G9468" i="1"/>
  <c r="F9468" i="1"/>
  <c r="E9468" i="1"/>
  <c r="D9468" i="1"/>
  <c r="C9468" i="1"/>
  <c r="B9468" i="1"/>
  <c r="G9467" i="1"/>
  <c r="F9467" i="1"/>
  <c r="E9467" i="1"/>
  <c r="D9467" i="1"/>
  <c r="C9467" i="1"/>
  <c r="B9467" i="1"/>
  <c r="G9466" i="1"/>
  <c r="F9466" i="1"/>
  <c r="E9466" i="1"/>
  <c r="D9466" i="1"/>
  <c r="C9466" i="1"/>
  <c r="B9466" i="1"/>
  <c r="G9465" i="1"/>
  <c r="F9465" i="1"/>
  <c r="E9465" i="1"/>
  <c r="D9465" i="1"/>
  <c r="C9465" i="1"/>
  <c r="B9465" i="1"/>
  <c r="G9464" i="1"/>
  <c r="F9464" i="1"/>
  <c r="E9464" i="1"/>
  <c r="D9464" i="1"/>
  <c r="C9464" i="1"/>
  <c r="B9464" i="1"/>
  <c r="G9463" i="1"/>
  <c r="F9463" i="1"/>
  <c r="E9463" i="1"/>
  <c r="D9463" i="1"/>
  <c r="C9463" i="1"/>
  <c r="B9463" i="1"/>
  <c r="G9462" i="1"/>
  <c r="F9462" i="1"/>
  <c r="E9462" i="1"/>
  <c r="D9462" i="1"/>
  <c r="C9462" i="1"/>
  <c r="B9462" i="1"/>
  <c r="G9461" i="1"/>
  <c r="F9461" i="1"/>
  <c r="E9461" i="1"/>
  <c r="D9461" i="1"/>
  <c r="C9461" i="1"/>
  <c r="B9461" i="1"/>
  <c r="G9460" i="1"/>
  <c r="F9460" i="1"/>
  <c r="E9460" i="1"/>
  <c r="D9460" i="1"/>
  <c r="C9460" i="1"/>
  <c r="B9460" i="1"/>
  <c r="G9459" i="1"/>
  <c r="F9459" i="1"/>
  <c r="E9459" i="1"/>
  <c r="D9459" i="1"/>
  <c r="C9459" i="1"/>
  <c r="B9459" i="1"/>
  <c r="G9458" i="1"/>
  <c r="F9458" i="1"/>
  <c r="E9458" i="1"/>
  <c r="D9458" i="1"/>
  <c r="C9458" i="1"/>
  <c r="B9458" i="1"/>
  <c r="G9457" i="1"/>
  <c r="F9457" i="1"/>
  <c r="E9457" i="1"/>
  <c r="D9457" i="1"/>
  <c r="C9457" i="1"/>
  <c r="B9457" i="1"/>
  <c r="G9456" i="1"/>
  <c r="F9456" i="1"/>
  <c r="E9456" i="1"/>
  <c r="D9456" i="1"/>
  <c r="C9456" i="1"/>
  <c r="B9456" i="1"/>
  <c r="G9455" i="1"/>
  <c r="F9455" i="1"/>
  <c r="E9455" i="1"/>
  <c r="D9455" i="1"/>
  <c r="C9455" i="1"/>
  <c r="B9455" i="1"/>
  <c r="G9454" i="1"/>
  <c r="F9454" i="1"/>
  <c r="E9454" i="1"/>
  <c r="D9454" i="1"/>
  <c r="C9454" i="1"/>
  <c r="B9454" i="1"/>
  <c r="G9453" i="1"/>
  <c r="F9453" i="1"/>
  <c r="E9453" i="1"/>
  <c r="D9453" i="1"/>
  <c r="C9453" i="1"/>
  <c r="B9453" i="1"/>
  <c r="G9452" i="1"/>
  <c r="F9452" i="1"/>
  <c r="E9452" i="1"/>
  <c r="D9452" i="1"/>
  <c r="C9452" i="1"/>
  <c r="B9452" i="1"/>
  <c r="G9451" i="1"/>
  <c r="F9451" i="1"/>
  <c r="E9451" i="1"/>
  <c r="D9451" i="1"/>
  <c r="C9451" i="1"/>
  <c r="B9451" i="1"/>
  <c r="G9450" i="1"/>
  <c r="F9450" i="1"/>
  <c r="E9450" i="1"/>
  <c r="D9450" i="1"/>
  <c r="C9450" i="1"/>
  <c r="B9450" i="1"/>
  <c r="G9449" i="1"/>
  <c r="F9449" i="1"/>
  <c r="E9449" i="1"/>
  <c r="D9449" i="1"/>
  <c r="C9449" i="1"/>
  <c r="B9449" i="1"/>
  <c r="G9448" i="1"/>
  <c r="F9448" i="1"/>
  <c r="E9448" i="1"/>
  <c r="D9448" i="1"/>
  <c r="C9448" i="1"/>
  <c r="B9448" i="1"/>
  <c r="G9447" i="1"/>
  <c r="F9447" i="1"/>
  <c r="E9447" i="1"/>
  <c r="D9447" i="1"/>
  <c r="C9447" i="1"/>
  <c r="B9447" i="1"/>
  <c r="G9446" i="1"/>
  <c r="F9446" i="1"/>
  <c r="E9446" i="1"/>
  <c r="D9446" i="1"/>
  <c r="C9446" i="1"/>
  <c r="B9446" i="1"/>
  <c r="G9445" i="1"/>
  <c r="F9445" i="1"/>
  <c r="E9445" i="1"/>
  <c r="D9445" i="1"/>
  <c r="C9445" i="1"/>
  <c r="B9445" i="1"/>
  <c r="G9444" i="1"/>
  <c r="F9444" i="1"/>
  <c r="E9444" i="1"/>
  <c r="D9444" i="1"/>
  <c r="C9444" i="1"/>
  <c r="B9444" i="1"/>
  <c r="G9443" i="1"/>
  <c r="F9443" i="1"/>
  <c r="E9443" i="1"/>
  <c r="D9443" i="1"/>
  <c r="C9443" i="1"/>
  <c r="B9443" i="1"/>
  <c r="G9442" i="1"/>
  <c r="F9442" i="1"/>
  <c r="E9442" i="1"/>
  <c r="D9442" i="1"/>
  <c r="C9442" i="1"/>
  <c r="B9442" i="1"/>
  <c r="G9441" i="1"/>
  <c r="F9441" i="1"/>
  <c r="E9441" i="1"/>
  <c r="D9441" i="1"/>
  <c r="C9441" i="1"/>
  <c r="B9441" i="1"/>
  <c r="G9440" i="1"/>
  <c r="F9440" i="1"/>
  <c r="E9440" i="1"/>
  <c r="D9440" i="1"/>
  <c r="C9440" i="1"/>
  <c r="B9440" i="1"/>
  <c r="G9439" i="1"/>
  <c r="F9439" i="1"/>
  <c r="E9439" i="1"/>
  <c r="D9439" i="1"/>
  <c r="C9439" i="1"/>
  <c r="B9439" i="1"/>
  <c r="G9438" i="1"/>
  <c r="F9438" i="1"/>
  <c r="E9438" i="1"/>
  <c r="D9438" i="1"/>
  <c r="C9438" i="1"/>
  <c r="B9438" i="1"/>
  <c r="G9437" i="1"/>
  <c r="F9437" i="1"/>
  <c r="E9437" i="1"/>
  <c r="D9437" i="1"/>
  <c r="C9437" i="1"/>
  <c r="B9437" i="1"/>
  <c r="G9436" i="1"/>
  <c r="F9436" i="1"/>
  <c r="E9436" i="1"/>
  <c r="D9436" i="1"/>
  <c r="C9436" i="1"/>
  <c r="B9436" i="1"/>
  <c r="G9435" i="1"/>
  <c r="F9435" i="1"/>
  <c r="E9435" i="1"/>
  <c r="D9435" i="1"/>
  <c r="C9435" i="1"/>
  <c r="B9435" i="1"/>
  <c r="G9434" i="1"/>
  <c r="F9434" i="1"/>
  <c r="E9434" i="1"/>
  <c r="D9434" i="1"/>
  <c r="C9434" i="1"/>
  <c r="B9434" i="1"/>
  <c r="G9433" i="1"/>
  <c r="F9433" i="1"/>
  <c r="E9433" i="1"/>
  <c r="D9433" i="1"/>
  <c r="C9433" i="1"/>
  <c r="B9433" i="1"/>
  <c r="G9432" i="1"/>
  <c r="F9432" i="1"/>
  <c r="E9432" i="1"/>
  <c r="D9432" i="1"/>
  <c r="C9432" i="1"/>
  <c r="B9432" i="1"/>
  <c r="G9431" i="1"/>
  <c r="F9431" i="1"/>
  <c r="E9431" i="1"/>
  <c r="D9431" i="1"/>
  <c r="C9431" i="1"/>
  <c r="B9431" i="1"/>
  <c r="G9430" i="1"/>
  <c r="F9430" i="1"/>
  <c r="E9430" i="1"/>
  <c r="D9430" i="1"/>
  <c r="C9430" i="1"/>
  <c r="B9430" i="1"/>
  <c r="G9429" i="1"/>
  <c r="F9429" i="1"/>
  <c r="E9429" i="1"/>
  <c r="D9429" i="1"/>
  <c r="C9429" i="1"/>
  <c r="B9429" i="1"/>
  <c r="G9428" i="1"/>
  <c r="F9428" i="1"/>
  <c r="E9428" i="1"/>
  <c r="D9428" i="1"/>
  <c r="C9428" i="1"/>
  <c r="B9428" i="1"/>
  <c r="G9427" i="1"/>
  <c r="F9427" i="1"/>
  <c r="E9427" i="1"/>
  <c r="D9427" i="1"/>
  <c r="C9427" i="1"/>
  <c r="B9427" i="1"/>
  <c r="G9426" i="1"/>
  <c r="F9426" i="1"/>
  <c r="E9426" i="1"/>
  <c r="D9426" i="1"/>
  <c r="C9426" i="1"/>
  <c r="B9426" i="1"/>
  <c r="G9425" i="1"/>
  <c r="F9425" i="1"/>
  <c r="E9425" i="1"/>
  <c r="D9425" i="1"/>
  <c r="C9425" i="1"/>
  <c r="B9425" i="1"/>
  <c r="G9424" i="1"/>
  <c r="F9424" i="1"/>
  <c r="E9424" i="1"/>
  <c r="D9424" i="1"/>
  <c r="C9424" i="1"/>
  <c r="B9424" i="1"/>
  <c r="F9423" i="1"/>
  <c r="E9423" i="1"/>
  <c r="D9423" i="1"/>
  <c r="C9423" i="1"/>
  <c r="B9423" i="1"/>
  <c r="F9422" i="1"/>
  <c r="E9422" i="1"/>
  <c r="D9422" i="1"/>
  <c r="C9422" i="1"/>
  <c r="B9422" i="1"/>
  <c r="F9421" i="1"/>
  <c r="E9421" i="1"/>
  <c r="D9421" i="1"/>
  <c r="C9421" i="1"/>
  <c r="B9421" i="1"/>
  <c r="G9420" i="1"/>
  <c r="F9420" i="1"/>
  <c r="E9420" i="1"/>
  <c r="D9420" i="1"/>
  <c r="C9420" i="1"/>
  <c r="B9420" i="1"/>
  <c r="G9419" i="1"/>
  <c r="F9419" i="1"/>
  <c r="E9419" i="1"/>
  <c r="D9419" i="1"/>
  <c r="C9419" i="1"/>
  <c r="B9419" i="1"/>
  <c r="G9418" i="1"/>
  <c r="F9418" i="1"/>
  <c r="E9418" i="1"/>
  <c r="D9418" i="1"/>
  <c r="C9418" i="1"/>
  <c r="B9418" i="1"/>
  <c r="G9417" i="1"/>
  <c r="F9417" i="1"/>
  <c r="E9417" i="1"/>
  <c r="D9417" i="1"/>
  <c r="C9417" i="1"/>
  <c r="B9417" i="1"/>
  <c r="G9416" i="1"/>
  <c r="F9416" i="1"/>
  <c r="E9416" i="1"/>
  <c r="D9416" i="1"/>
  <c r="C9416" i="1"/>
  <c r="B9416" i="1"/>
  <c r="G9415" i="1"/>
  <c r="F9415" i="1"/>
  <c r="E9415" i="1"/>
  <c r="D9415" i="1"/>
  <c r="C9415" i="1"/>
  <c r="B9415" i="1"/>
  <c r="G9414" i="1"/>
  <c r="F9414" i="1"/>
  <c r="E9414" i="1"/>
  <c r="D9414" i="1"/>
  <c r="C9414" i="1"/>
  <c r="B9414" i="1"/>
  <c r="G9413" i="1"/>
  <c r="F9413" i="1"/>
  <c r="E9413" i="1"/>
  <c r="D9413" i="1"/>
  <c r="C9413" i="1"/>
  <c r="B9413" i="1"/>
  <c r="G9412" i="1"/>
  <c r="F9412" i="1"/>
  <c r="E9412" i="1"/>
  <c r="D9412" i="1"/>
  <c r="C9412" i="1"/>
  <c r="B9412" i="1"/>
  <c r="G9411" i="1"/>
  <c r="F9411" i="1"/>
  <c r="E9411" i="1"/>
  <c r="D9411" i="1"/>
  <c r="C9411" i="1"/>
  <c r="B9411" i="1"/>
  <c r="G9410" i="1"/>
  <c r="F9410" i="1"/>
  <c r="E9410" i="1"/>
  <c r="D9410" i="1"/>
  <c r="C9410" i="1"/>
  <c r="B9410" i="1"/>
  <c r="G9409" i="1"/>
  <c r="F9409" i="1"/>
  <c r="E9409" i="1"/>
  <c r="D9409" i="1"/>
  <c r="C9409" i="1"/>
  <c r="B9409" i="1"/>
  <c r="G9408" i="1"/>
  <c r="F9408" i="1"/>
  <c r="E9408" i="1"/>
  <c r="D9408" i="1"/>
  <c r="C9408" i="1"/>
  <c r="B9408" i="1"/>
  <c r="G9407" i="1"/>
  <c r="F9407" i="1"/>
  <c r="E9407" i="1"/>
  <c r="D9407" i="1"/>
  <c r="C9407" i="1"/>
  <c r="B9407" i="1"/>
  <c r="G9406" i="1"/>
  <c r="F9406" i="1"/>
  <c r="E9406" i="1"/>
  <c r="D9406" i="1"/>
  <c r="C9406" i="1"/>
  <c r="B9406" i="1"/>
  <c r="G9405" i="1"/>
  <c r="F9405" i="1"/>
  <c r="E9405" i="1"/>
  <c r="D9405" i="1"/>
  <c r="C9405" i="1"/>
  <c r="B9405" i="1"/>
  <c r="G9404" i="1"/>
  <c r="F9404" i="1"/>
  <c r="E9404" i="1"/>
  <c r="D9404" i="1"/>
  <c r="C9404" i="1"/>
  <c r="B9404" i="1"/>
  <c r="G9403" i="1"/>
  <c r="F9403" i="1"/>
  <c r="E9403" i="1"/>
  <c r="D9403" i="1"/>
  <c r="C9403" i="1"/>
  <c r="B9403" i="1"/>
  <c r="G9402" i="1"/>
  <c r="F9402" i="1"/>
  <c r="E9402" i="1"/>
  <c r="D9402" i="1"/>
  <c r="C9402" i="1"/>
  <c r="B9402" i="1"/>
  <c r="G9401" i="1"/>
  <c r="F9401" i="1"/>
  <c r="E9401" i="1"/>
  <c r="D9401" i="1"/>
  <c r="C9401" i="1"/>
  <c r="B9401" i="1"/>
  <c r="G9400" i="1"/>
  <c r="F9400" i="1"/>
  <c r="E9400" i="1"/>
  <c r="D9400" i="1"/>
  <c r="C9400" i="1"/>
  <c r="B9400" i="1"/>
  <c r="G9399" i="1"/>
  <c r="F9399" i="1"/>
  <c r="E9399" i="1"/>
  <c r="D9399" i="1"/>
  <c r="C9399" i="1"/>
  <c r="B9399" i="1"/>
  <c r="G9398" i="1"/>
  <c r="F9398" i="1"/>
  <c r="E9398" i="1"/>
  <c r="D9398" i="1"/>
  <c r="C9398" i="1"/>
  <c r="B9398" i="1"/>
  <c r="G9397" i="1"/>
  <c r="F9397" i="1"/>
  <c r="E9397" i="1"/>
  <c r="D9397" i="1"/>
  <c r="C9397" i="1"/>
  <c r="B9397" i="1"/>
  <c r="G9396" i="1"/>
  <c r="F9396" i="1"/>
  <c r="E9396" i="1"/>
  <c r="D9396" i="1"/>
  <c r="C9396" i="1"/>
  <c r="B9396" i="1"/>
  <c r="G9395" i="1"/>
  <c r="F9395" i="1"/>
  <c r="E9395" i="1"/>
  <c r="D9395" i="1"/>
  <c r="C9395" i="1"/>
  <c r="B9395" i="1"/>
  <c r="G9394" i="1"/>
  <c r="F9394" i="1"/>
  <c r="E9394" i="1"/>
  <c r="D9394" i="1"/>
  <c r="C9394" i="1"/>
  <c r="B9394" i="1"/>
  <c r="G9393" i="1"/>
  <c r="F9393" i="1"/>
  <c r="E9393" i="1"/>
  <c r="D9393" i="1"/>
  <c r="C9393" i="1"/>
  <c r="B9393" i="1"/>
  <c r="G9392" i="1"/>
  <c r="F9392" i="1"/>
  <c r="E9392" i="1"/>
  <c r="D9392" i="1"/>
  <c r="C9392" i="1"/>
  <c r="B9392" i="1"/>
  <c r="G9391" i="1"/>
  <c r="F9391" i="1"/>
  <c r="E9391" i="1"/>
  <c r="D9391" i="1"/>
  <c r="C9391" i="1"/>
  <c r="B9391" i="1"/>
  <c r="G9390" i="1"/>
  <c r="F9390" i="1"/>
  <c r="E9390" i="1"/>
  <c r="D9390" i="1"/>
  <c r="C9390" i="1"/>
  <c r="B9390" i="1"/>
  <c r="G9389" i="1"/>
  <c r="F9389" i="1"/>
  <c r="E9389" i="1"/>
  <c r="D9389" i="1"/>
  <c r="C9389" i="1"/>
  <c r="B9389" i="1"/>
  <c r="G9388" i="1"/>
  <c r="F9388" i="1"/>
  <c r="E9388" i="1"/>
  <c r="D9388" i="1"/>
  <c r="C9388" i="1"/>
  <c r="B9388" i="1"/>
  <c r="G9387" i="1"/>
  <c r="F9387" i="1"/>
  <c r="E9387" i="1"/>
  <c r="D9387" i="1"/>
  <c r="C9387" i="1"/>
  <c r="B9387" i="1"/>
  <c r="G9386" i="1"/>
  <c r="F9386" i="1"/>
  <c r="E9386" i="1"/>
  <c r="D9386" i="1"/>
  <c r="C9386" i="1"/>
  <c r="B9386" i="1"/>
  <c r="G9385" i="1"/>
  <c r="F9385" i="1"/>
  <c r="E9385" i="1"/>
  <c r="D9385" i="1"/>
  <c r="C9385" i="1"/>
  <c r="B9385" i="1"/>
  <c r="G9384" i="1"/>
  <c r="F9384" i="1"/>
  <c r="E9384" i="1"/>
  <c r="D9384" i="1"/>
  <c r="C9384" i="1"/>
  <c r="B9384" i="1"/>
  <c r="G9383" i="1"/>
  <c r="F9383" i="1"/>
  <c r="E9383" i="1"/>
  <c r="D9383" i="1"/>
  <c r="C9383" i="1"/>
  <c r="B9383" i="1"/>
  <c r="G9382" i="1"/>
  <c r="F9382" i="1"/>
  <c r="E9382" i="1"/>
  <c r="D9382" i="1"/>
  <c r="C9382" i="1"/>
  <c r="B9382" i="1"/>
  <c r="G9381" i="1"/>
  <c r="F9381" i="1"/>
  <c r="E9381" i="1"/>
  <c r="D9381" i="1"/>
  <c r="C9381" i="1"/>
  <c r="B9381" i="1"/>
  <c r="G9380" i="1"/>
  <c r="F9380" i="1"/>
  <c r="E9380" i="1"/>
  <c r="D9380" i="1"/>
  <c r="C9380" i="1"/>
  <c r="B9380" i="1"/>
  <c r="G9379" i="1"/>
  <c r="F9379" i="1"/>
  <c r="E9379" i="1"/>
  <c r="D9379" i="1"/>
  <c r="C9379" i="1"/>
  <c r="B9379" i="1"/>
  <c r="G9378" i="1"/>
  <c r="F9378" i="1"/>
  <c r="E9378" i="1"/>
  <c r="D9378" i="1"/>
  <c r="C9378" i="1"/>
  <c r="B9378" i="1"/>
  <c r="G9377" i="1"/>
  <c r="F9377" i="1"/>
  <c r="E9377" i="1"/>
  <c r="D9377" i="1"/>
  <c r="C9377" i="1"/>
  <c r="B9377" i="1"/>
  <c r="G9376" i="1"/>
  <c r="F9376" i="1"/>
  <c r="E9376" i="1"/>
  <c r="D9376" i="1"/>
  <c r="C9376" i="1"/>
  <c r="B9376" i="1"/>
  <c r="G9375" i="1"/>
  <c r="F9375" i="1"/>
  <c r="E9375" i="1"/>
  <c r="D9375" i="1"/>
  <c r="C9375" i="1"/>
  <c r="B9375" i="1"/>
  <c r="G9374" i="1"/>
  <c r="F9374" i="1"/>
  <c r="E9374" i="1"/>
  <c r="D9374" i="1"/>
  <c r="C9374" i="1"/>
  <c r="B9374" i="1"/>
  <c r="G9373" i="1"/>
  <c r="F9373" i="1"/>
  <c r="E9373" i="1"/>
  <c r="D9373" i="1"/>
  <c r="C9373" i="1"/>
  <c r="B9373" i="1"/>
  <c r="G9372" i="1"/>
  <c r="F9372" i="1"/>
  <c r="E9372" i="1"/>
  <c r="D9372" i="1"/>
  <c r="C9372" i="1"/>
  <c r="B9372" i="1"/>
  <c r="G9371" i="1"/>
  <c r="F9371" i="1"/>
  <c r="E9371" i="1"/>
  <c r="D9371" i="1"/>
  <c r="C9371" i="1"/>
  <c r="B9371" i="1"/>
  <c r="G9370" i="1"/>
  <c r="F9370" i="1"/>
  <c r="E9370" i="1"/>
  <c r="D9370" i="1"/>
  <c r="C9370" i="1"/>
  <c r="B9370" i="1"/>
  <c r="G9369" i="1"/>
  <c r="F9369" i="1"/>
  <c r="E9369" i="1"/>
  <c r="D9369" i="1"/>
  <c r="C9369" i="1"/>
  <c r="B9369" i="1"/>
  <c r="G9368" i="1"/>
  <c r="F9368" i="1"/>
  <c r="E9368" i="1"/>
  <c r="D9368" i="1"/>
  <c r="C9368" i="1"/>
  <c r="B9368" i="1"/>
  <c r="G9367" i="1"/>
  <c r="F9367" i="1"/>
  <c r="E9367" i="1"/>
  <c r="D9367" i="1"/>
  <c r="C9367" i="1"/>
  <c r="B9367" i="1"/>
  <c r="G9366" i="1"/>
  <c r="F9366" i="1"/>
  <c r="E9366" i="1"/>
  <c r="D9366" i="1"/>
  <c r="C9366" i="1"/>
  <c r="B9366" i="1"/>
  <c r="G9365" i="1"/>
  <c r="F9365" i="1"/>
  <c r="E9365" i="1"/>
  <c r="D9365" i="1"/>
  <c r="C9365" i="1"/>
  <c r="B9365" i="1"/>
  <c r="G9364" i="1"/>
  <c r="F9364" i="1"/>
  <c r="E9364" i="1"/>
  <c r="D9364" i="1"/>
  <c r="C9364" i="1"/>
  <c r="B9364" i="1"/>
  <c r="G9363" i="1"/>
  <c r="F9363" i="1"/>
  <c r="E9363" i="1"/>
  <c r="D9363" i="1"/>
  <c r="C9363" i="1"/>
  <c r="B9363" i="1"/>
  <c r="G9362" i="1"/>
  <c r="F9362" i="1"/>
  <c r="E9362" i="1"/>
  <c r="D9362" i="1"/>
  <c r="C9362" i="1"/>
  <c r="B9362" i="1"/>
  <c r="G9361" i="1"/>
  <c r="F9361" i="1"/>
  <c r="E9361" i="1"/>
  <c r="D9361" i="1"/>
  <c r="C9361" i="1"/>
  <c r="B9361" i="1"/>
  <c r="G9360" i="1"/>
  <c r="F9360" i="1"/>
  <c r="E9360" i="1"/>
  <c r="D9360" i="1"/>
  <c r="C9360" i="1"/>
  <c r="B9360" i="1"/>
  <c r="G9359" i="1"/>
  <c r="F9359" i="1"/>
  <c r="E9359" i="1"/>
  <c r="D9359" i="1"/>
  <c r="C9359" i="1"/>
  <c r="B9359" i="1"/>
  <c r="G9358" i="1"/>
  <c r="F9358" i="1"/>
  <c r="E9358" i="1"/>
  <c r="D9358" i="1"/>
  <c r="C9358" i="1"/>
  <c r="B9358" i="1"/>
  <c r="G9357" i="1"/>
  <c r="F9357" i="1"/>
  <c r="E9357" i="1"/>
  <c r="D9357" i="1"/>
  <c r="C9357" i="1"/>
  <c r="B9357" i="1"/>
  <c r="G9356" i="1"/>
  <c r="F9356" i="1"/>
  <c r="E9356" i="1"/>
  <c r="D9356" i="1"/>
  <c r="C9356" i="1"/>
  <c r="B9356" i="1"/>
  <c r="G9355" i="1"/>
  <c r="F9355" i="1"/>
  <c r="E9355" i="1"/>
  <c r="D9355" i="1"/>
  <c r="C9355" i="1"/>
  <c r="B9355" i="1"/>
  <c r="G9354" i="1"/>
  <c r="F9354" i="1"/>
  <c r="E9354" i="1"/>
  <c r="D9354" i="1"/>
  <c r="C9354" i="1"/>
  <c r="B9354" i="1"/>
  <c r="G9353" i="1"/>
  <c r="F9353" i="1"/>
  <c r="E9353" i="1"/>
  <c r="D9353" i="1"/>
  <c r="C9353" i="1"/>
  <c r="B9353" i="1"/>
  <c r="G9352" i="1"/>
  <c r="F9352" i="1"/>
  <c r="E9352" i="1"/>
  <c r="D9352" i="1"/>
  <c r="C9352" i="1"/>
  <c r="B9352" i="1"/>
  <c r="G9351" i="1"/>
  <c r="F9351" i="1"/>
  <c r="E9351" i="1"/>
  <c r="D9351" i="1"/>
  <c r="C9351" i="1"/>
  <c r="B9351" i="1"/>
  <c r="G9350" i="1"/>
  <c r="F9350" i="1"/>
  <c r="E9350" i="1"/>
  <c r="D9350" i="1"/>
  <c r="C9350" i="1"/>
  <c r="B9350" i="1"/>
  <c r="G9349" i="1"/>
  <c r="F9349" i="1"/>
  <c r="E9349" i="1"/>
  <c r="D9349" i="1"/>
  <c r="C9349" i="1"/>
  <c r="B9349" i="1"/>
  <c r="G9348" i="1"/>
  <c r="F9348" i="1"/>
  <c r="E9348" i="1"/>
  <c r="D9348" i="1"/>
  <c r="C9348" i="1"/>
  <c r="B9348" i="1"/>
  <c r="G9347" i="1"/>
  <c r="F9347" i="1"/>
  <c r="E9347" i="1"/>
  <c r="D9347" i="1"/>
  <c r="C9347" i="1"/>
  <c r="B9347" i="1"/>
  <c r="G9346" i="1"/>
  <c r="F9346" i="1"/>
  <c r="E9346" i="1"/>
  <c r="D9346" i="1"/>
  <c r="C9346" i="1"/>
  <c r="B9346" i="1"/>
  <c r="G9345" i="1"/>
  <c r="F9345" i="1"/>
  <c r="E9345" i="1"/>
  <c r="D9345" i="1"/>
  <c r="C9345" i="1"/>
  <c r="B9345" i="1"/>
  <c r="G9344" i="1"/>
  <c r="F9344" i="1"/>
  <c r="E9344" i="1"/>
  <c r="D9344" i="1"/>
  <c r="C9344" i="1"/>
  <c r="B9344" i="1"/>
  <c r="G9343" i="1"/>
  <c r="F9343" i="1"/>
  <c r="E9343" i="1"/>
  <c r="D9343" i="1"/>
  <c r="C9343" i="1"/>
  <c r="B9343" i="1"/>
  <c r="G9342" i="1"/>
  <c r="F9342" i="1"/>
  <c r="E9342" i="1"/>
  <c r="D9342" i="1"/>
  <c r="C9342" i="1"/>
  <c r="B9342" i="1"/>
  <c r="G9341" i="1"/>
  <c r="F9341" i="1"/>
  <c r="E9341" i="1"/>
  <c r="D9341" i="1"/>
  <c r="C9341" i="1"/>
  <c r="B9341" i="1"/>
  <c r="G9340" i="1"/>
  <c r="F9340" i="1"/>
  <c r="E9340" i="1"/>
  <c r="D9340" i="1"/>
  <c r="C9340" i="1"/>
  <c r="B9340" i="1"/>
  <c r="G9339" i="1"/>
  <c r="F9339" i="1"/>
  <c r="E9339" i="1"/>
  <c r="D9339" i="1"/>
  <c r="C9339" i="1"/>
  <c r="B9339" i="1"/>
  <c r="G9338" i="1"/>
  <c r="F9338" i="1"/>
  <c r="E9338" i="1"/>
  <c r="D9338" i="1"/>
  <c r="C9338" i="1"/>
  <c r="B9338" i="1"/>
  <c r="G9337" i="1"/>
  <c r="F9337" i="1"/>
  <c r="E9337" i="1"/>
  <c r="D9337" i="1"/>
  <c r="C9337" i="1"/>
  <c r="B9337" i="1"/>
  <c r="G9336" i="1"/>
  <c r="F9336" i="1"/>
  <c r="E9336" i="1"/>
  <c r="D9336" i="1"/>
  <c r="C9336" i="1"/>
  <c r="B9336" i="1"/>
  <c r="G9335" i="1"/>
  <c r="F9335" i="1"/>
  <c r="E9335" i="1"/>
  <c r="D9335" i="1"/>
  <c r="C9335" i="1"/>
  <c r="B9335" i="1"/>
  <c r="G9334" i="1"/>
  <c r="F9334" i="1"/>
  <c r="E9334" i="1"/>
  <c r="D9334" i="1"/>
  <c r="C9334" i="1"/>
  <c r="B9334" i="1"/>
  <c r="G9333" i="1"/>
  <c r="F9333" i="1"/>
  <c r="E9333" i="1"/>
  <c r="D9333" i="1"/>
  <c r="C9333" i="1"/>
  <c r="B9333" i="1"/>
  <c r="G9332" i="1"/>
  <c r="F9332" i="1"/>
  <c r="E9332" i="1"/>
  <c r="D9332" i="1"/>
  <c r="C9332" i="1"/>
  <c r="B9332" i="1"/>
  <c r="G9331" i="1"/>
  <c r="F9331" i="1"/>
  <c r="E9331" i="1"/>
  <c r="D9331" i="1"/>
  <c r="C9331" i="1"/>
  <c r="B9331" i="1"/>
  <c r="G9330" i="1"/>
  <c r="F9330" i="1"/>
  <c r="E9330" i="1"/>
  <c r="D9330" i="1"/>
  <c r="C9330" i="1"/>
  <c r="B9330" i="1"/>
  <c r="G9329" i="1"/>
  <c r="F9329" i="1"/>
  <c r="E9329" i="1"/>
  <c r="D9329" i="1"/>
  <c r="C9329" i="1"/>
  <c r="B9329" i="1"/>
  <c r="G9328" i="1"/>
  <c r="F9328" i="1"/>
  <c r="E9328" i="1"/>
  <c r="D9328" i="1"/>
  <c r="C9328" i="1"/>
  <c r="B9328" i="1"/>
  <c r="G9327" i="1"/>
  <c r="F9327" i="1"/>
  <c r="E9327" i="1"/>
  <c r="D9327" i="1"/>
  <c r="C9327" i="1"/>
  <c r="B9327" i="1"/>
  <c r="G9326" i="1"/>
  <c r="F9326" i="1"/>
  <c r="E9326" i="1"/>
  <c r="D9326" i="1"/>
  <c r="C9326" i="1"/>
  <c r="B9326" i="1"/>
  <c r="G9325" i="1"/>
  <c r="F9325" i="1"/>
  <c r="E9325" i="1"/>
  <c r="D9325" i="1"/>
  <c r="C9325" i="1"/>
  <c r="B9325" i="1"/>
  <c r="G9324" i="1"/>
  <c r="F9324" i="1"/>
  <c r="E9324" i="1"/>
  <c r="D9324" i="1"/>
  <c r="C9324" i="1"/>
  <c r="B9324" i="1"/>
  <c r="G9323" i="1"/>
  <c r="F9323" i="1"/>
  <c r="E9323" i="1"/>
  <c r="D9323" i="1"/>
  <c r="C9323" i="1"/>
  <c r="B9323" i="1"/>
  <c r="G9322" i="1"/>
  <c r="F9322" i="1"/>
  <c r="E9322" i="1"/>
  <c r="D9322" i="1"/>
  <c r="C9322" i="1"/>
  <c r="B9322" i="1"/>
  <c r="G9321" i="1"/>
  <c r="F9321" i="1"/>
  <c r="E9321" i="1"/>
  <c r="D9321" i="1"/>
  <c r="C9321" i="1"/>
  <c r="B9321" i="1"/>
  <c r="G9320" i="1"/>
  <c r="F9320" i="1"/>
  <c r="E9320" i="1"/>
  <c r="D9320" i="1"/>
  <c r="C9320" i="1"/>
  <c r="B9320" i="1"/>
  <c r="G9319" i="1"/>
  <c r="F9319" i="1"/>
  <c r="E9319" i="1"/>
  <c r="D9319" i="1"/>
  <c r="C9319" i="1"/>
  <c r="B9319" i="1"/>
  <c r="G9318" i="1"/>
  <c r="F9318" i="1"/>
  <c r="E9318" i="1"/>
  <c r="D9318" i="1"/>
  <c r="C9318" i="1"/>
  <c r="B9318" i="1"/>
  <c r="G9317" i="1"/>
  <c r="F9317" i="1"/>
  <c r="E9317" i="1"/>
  <c r="D9317" i="1"/>
  <c r="C9317" i="1"/>
  <c r="B9317" i="1"/>
  <c r="G9316" i="1"/>
  <c r="F9316" i="1"/>
  <c r="E9316" i="1"/>
  <c r="D9316" i="1"/>
  <c r="C9316" i="1"/>
  <c r="B9316" i="1"/>
  <c r="G9315" i="1"/>
  <c r="F9315" i="1"/>
  <c r="E9315" i="1"/>
  <c r="D9315" i="1"/>
  <c r="C9315" i="1"/>
  <c r="B9315" i="1"/>
  <c r="G9314" i="1"/>
  <c r="F9314" i="1"/>
  <c r="E9314" i="1"/>
  <c r="D9314" i="1"/>
  <c r="C9314" i="1"/>
  <c r="B9314" i="1"/>
  <c r="G9313" i="1"/>
  <c r="F9313" i="1"/>
  <c r="E9313" i="1"/>
  <c r="D9313" i="1"/>
  <c r="C9313" i="1"/>
  <c r="B9313" i="1"/>
  <c r="G9312" i="1"/>
  <c r="F9312" i="1"/>
  <c r="E9312" i="1"/>
  <c r="D9312" i="1"/>
  <c r="C9312" i="1"/>
  <c r="B9312" i="1"/>
  <c r="G9311" i="1"/>
  <c r="F9311" i="1"/>
  <c r="E9311" i="1"/>
  <c r="D9311" i="1"/>
  <c r="C9311" i="1"/>
  <c r="B9311" i="1"/>
  <c r="G9310" i="1"/>
  <c r="F9310" i="1"/>
  <c r="E9310" i="1"/>
  <c r="D9310" i="1"/>
  <c r="C9310" i="1"/>
  <c r="B9310" i="1"/>
  <c r="G9309" i="1"/>
  <c r="F9309" i="1"/>
  <c r="E9309" i="1"/>
  <c r="D9309" i="1"/>
  <c r="C9309" i="1"/>
  <c r="B9309" i="1"/>
  <c r="G9308" i="1"/>
  <c r="F9308" i="1"/>
  <c r="E9308" i="1"/>
  <c r="D9308" i="1"/>
  <c r="C9308" i="1"/>
  <c r="B9308" i="1"/>
  <c r="G9307" i="1"/>
  <c r="F9307" i="1"/>
  <c r="E9307" i="1"/>
  <c r="D9307" i="1"/>
  <c r="C9307" i="1"/>
  <c r="B9307" i="1"/>
  <c r="G9306" i="1"/>
  <c r="F9306" i="1"/>
  <c r="E9306" i="1"/>
  <c r="D9306" i="1"/>
  <c r="C9306" i="1"/>
  <c r="B9306" i="1"/>
  <c r="G9305" i="1"/>
  <c r="F9305" i="1"/>
  <c r="E9305" i="1"/>
  <c r="D9305" i="1"/>
  <c r="C9305" i="1"/>
  <c r="B9305" i="1"/>
  <c r="G9304" i="1"/>
  <c r="F9304" i="1"/>
  <c r="E9304" i="1"/>
  <c r="D9304" i="1"/>
  <c r="C9304" i="1"/>
  <c r="B9304" i="1"/>
  <c r="G9303" i="1"/>
  <c r="F9303" i="1"/>
  <c r="E9303" i="1"/>
  <c r="D9303" i="1"/>
  <c r="C9303" i="1"/>
  <c r="B9303" i="1"/>
  <c r="G9302" i="1"/>
  <c r="F9302" i="1"/>
  <c r="E9302" i="1"/>
  <c r="D9302" i="1"/>
  <c r="C9302" i="1"/>
  <c r="B9302" i="1"/>
  <c r="G9301" i="1"/>
  <c r="F9301" i="1"/>
  <c r="E9301" i="1"/>
  <c r="D9301" i="1"/>
  <c r="C9301" i="1"/>
  <c r="B9301" i="1"/>
  <c r="G9300" i="1"/>
  <c r="F9300" i="1"/>
  <c r="E9300" i="1"/>
  <c r="D9300" i="1"/>
  <c r="C9300" i="1"/>
  <c r="B9300" i="1"/>
  <c r="G9299" i="1"/>
  <c r="F9299" i="1"/>
  <c r="E9299" i="1"/>
  <c r="D9299" i="1"/>
  <c r="C9299" i="1"/>
  <c r="B9299" i="1"/>
  <c r="G9298" i="1"/>
  <c r="F9298" i="1"/>
  <c r="E9298" i="1"/>
  <c r="D9298" i="1"/>
  <c r="C9298" i="1"/>
  <c r="B9298" i="1"/>
  <c r="G9297" i="1"/>
  <c r="F9297" i="1"/>
  <c r="E9297" i="1"/>
  <c r="D9297" i="1"/>
  <c r="C9297" i="1"/>
  <c r="B9297" i="1"/>
  <c r="G9296" i="1"/>
  <c r="F9296" i="1"/>
  <c r="E9296" i="1"/>
  <c r="D9296" i="1"/>
  <c r="C9296" i="1"/>
  <c r="B9296" i="1"/>
  <c r="G9295" i="1"/>
  <c r="F9295" i="1"/>
  <c r="E9295" i="1"/>
  <c r="D9295" i="1"/>
  <c r="C9295" i="1"/>
  <c r="B9295" i="1"/>
  <c r="G9294" i="1"/>
  <c r="F9294" i="1"/>
  <c r="E9294" i="1"/>
  <c r="D9294" i="1"/>
  <c r="C9294" i="1"/>
  <c r="B9294" i="1"/>
  <c r="G9293" i="1"/>
  <c r="F9293" i="1"/>
  <c r="E9293" i="1"/>
  <c r="D9293" i="1"/>
  <c r="C9293" i="1"/>
  <c r="B9293" i="1"/>
  <c r="G9292" i="1"/>
  <c r="F9292" i="1"/>
  <c r="E9292" i="1"/>
  <c r="D9292" i="1"/>
  <c r="C9292" i="1"/>
  <c r="B9292" i="1"/>
  <c r="G9291" i="1"/>
  <c r="F9291" i="1"/>
  <c r="E9291" i="1"/>
  <c r="D9291" i="1"/>
  <c r="C9291" i="1"/>
  <c r="B9291" i="1"/>
  <c r="G9290" i="1"/>
  <c r="F9290" i="1"/>
  <c r="E9290" i="1"/>
  <c r="D9290" i="1"/>
  <c r="C9290" i="1"/>
  <c r="B9290" i="1"/>
  <c r="G9289" i="1"/>
  <c r="F9289" i="1"/>
  <c r="E9289" i="1"/>
  <c r="D9289" i="1"/>
  <c r="C9289" i="1"/>
  <c r="B9289" i="1"/>
  <c r="G9288" i="1"/>
  <c r="F9288" i="1"/>
  <c r="E9288" i="1"/>
  <c r="D9288" i="1"/>
  <c r="C9288" i="1"/>
  <c r="B9288" i="1"/>
  <c r="G9287" i="1"/>
  <c r="F9287" i="1"/>
  <c r="E9287" i="1"/>
  <c r="D9287" i="1"/>
  <c r="C9287" i="1"/>
  <c r="B9287" i="1"/>
  <c r="G9286" i="1"/>
  <c r="F9286" i="1"/>
  <c r="E9286" i="1"/>
  <c r="D9286" i="1"/>
  <c r="C9286" i="1"/>
  <c r="B9286" i="1"/>
  <c r="G9285" i="1"/>
  <c r="F9285" i="1"/>
  <c r="E9285" i="1"/>
  <c r="D9285" i="1"/>
  <c r="C9285" i="1"/>
  <c r="B9285" i="1"/>
  <c r="G9284" i="1"/>
  <c r="F9284" i="1"/>
  <c r="E9284" i="1"/>
  <c r="D9284" i="1"/>
  <c r="C9284" i="1"/>
  <c r="B9284" i="1"/>
  <c r="G9283" i="1"/>
  <c r="F9283" i="1"/>
  <c r="E9283" i="1"/>
  <c r="D9283" i="1"/>
  <c r="C9283" i="1"/>
  <c r="B9283" i="1"/>
  <c r="G9282" i="1"/>
  <c r="F9282" i="1"/>
  <c r="E9282" i="1"/>
  <c r="D9282" i="1"/>
  <c r="C9282" i="1"/>
  <c r="B9282" i="1"/>
  <c r="G9281" i="1"/>
  <c r="F9281" i="1"/>
  <c r="E9281" i="1"/>
  <c r="D9281" i="1"/>
  <c r="C9281" i="1"/>
  <c r="B9281" i="1"/>
  <c r="G9280" i="1"/>
  <c r="F9280" i="1"/>
  <c r="E9280" i="1"/>
  <c r="D9280" i="1"/>
  <c r="C9280" i="1"/>
  <c r="B9280" i="1"/>
  <c r="G9279" i="1"/>
  <c r="F9279" i="1"/>
  <c r="E9279" i="1"/>
  <c r="D9279" i="1"/>
  <c r="C9279" i="1"/>
  <c r="B9279" i="1"/>
  <c r="G9278" i="1"/>
  <c r="F9278" i="1"/>
  <c r="E9278" i="1"/>
  <c r="D9278" i="1"/>
  <c r="C9278" i="1"/>
  <c r="B9278" i="1"/>
  <c r="G9277" i="1"/>
  <c r="F9277" i="1"/>
  <c r="E9277" i="1"/>
  <c r="D9277" i="1"/>
  <c r="C9277" i="1"/>
  <c r="B9277" i="1"/>
  <c r="G9276" i="1"/>
  <c r="F9276" i="1"/>
  <c r="E9276" i="1"/>
  <c r="D9276" i="1"/>
  <c r="C9276" i="1"/>
  <c r="B9276" i="1"/>
  <c r="G9275" i="1"/>
  <c r="F9275" i="1"/>
  <c r="E9275" i="1"/>
  <c r="D9275" i="1"/>
  <c r="C9275" i="1"/>
  <c r="B9275" i="1"/>
  <c r="G9274" i="1"/>
  <c r="F9274" i="1"/>
  <c r="E9274" i="1"/>
  <c r="D9274" i="1"/>
  <c r="C9274" i="1"/>
  <c r="B9274" i="1"/>
  <c r="G9273" i="1"/>
  <c r="F9273" i="1"/>
  <c r="E9273" i="1"/>
  <c r="D9273" i="1"/>
  <c r="C9273" i="1"/>
  <c r="B9273" i="1"/>
  <c r="G9272" i="1"/>
  <c r="F9272" i="1"/>
  <c r="E9272" i="1"/>
  <c r="D9272" i="1"/>
  <c r="C9272" i="1"/>
  <c r="B9272" i="1"/>
  <c r="G9271" i="1"/>
  <c r="F9271" i="1"/>
  <c r="E9271" i="1"/>
  <c r="D9271" i="1"/>
  <c r="C9271" i="1"/>
  <c r="B9271" i="1"/>
  <c r="G9270" i="1"/>
  <c r="F9270" i="1"/>
  <c r="E9270" i="1"/>
  <c r="D9270" i="1"/>
  <c r="C9270" i="1"/>
  <c r="B9270" i="1"/>
  <c r="G9269" i="1"/>
  <c r="F9269" i="1"/>
  <c r="E9269" i="1"/>
  <c r="D9269" i="1"/>
  <c r="C9269" i="1"/>
  <c r="B9269" i="1"/>
  <c r="G9268" i="1"/>
  <c r="F9268" i="1"/>
  <c r="E9268" i="1"/>
  <c r="D9268" i="1"/>
  <c r="C9268" i="1"/>
  <c r="B9268" i="1"/>
  <c r="G9267" i="1"/>
  <c r="F9267" i="1"/>
  <c r="E9267" i="1"/>
  <c r="D9267" i="1"/>
  <c r="C9267" i="1"/>
  <c r="B9267" i="1"/>
  <c r="G9266" i="1"/>
  <c r="F9266" i="1"/>
  <c r="E9266" i="1"/>
  <c r="D9266" i="1"/>
  <c r="C9266" i="1"/>
  <c r="B9266" i="1"/>
  <c r="G9265" i="1"/>
  <c r="F9265" i="1"/>
  <c r="E9265" i="1"/>
  <c r="D9265" i="1"/>
  <c r="C9265" i="1"/>
  <c r="B9265" i="1"/>
  <c r="G9264" i="1"/>
  <c r="F9264" i="1"/>
  <c r="E9264" i="1"/>
  <c r="D9264" i="1"/>
  <c r="C9264" i="1"/>
  <c r="B9264" i="1"/>
  <c r="G9263" i="1"/>
  <c r="F9263" i="1"/>
  <c r="E9263" i="1"/>
  <c r="D9263" i="1"/>
  <c r="C9263" i="1"/>
  <c r="B9263" i="1"/>
  <c r="G9262" i="1"/>
  <c r="F9262" i="1"/>
  <c r="E9262" i="1"/>
  <c r="D9262" i="1"/>
  <c r="C9262" i="1"/>
  <c r="B9262" i="1"/>
  <c r="G9261" i="1"/>
  <c r="F9261" i="1"/>
  <c r="E9261" i="1"/>
  <c r="D9261" i="1"/>
  <c r="C9261" i="1"/>
  <c r="B9261" i="1"/>
  <c r="G9260" i="1"/>
  <c r="F9260" i="1"/>
  <c r="E9260" i="1"/>
  <c r="D9260" i="1"/>
  <c r="C9260" i="1"/>
  <c r="B9260" i="1"/>
  <c r="G9259" i="1"/>
  <c r="F9259" i="1"/>
  <c r="E9259" i="1"/>
  <c r="D9259" i="1"/>
  <c r="C9259" i="1"/>
  <c r="B9259" i="1"/>
  <c r="G9258" i="1"/>
  <c r="F9258" i="1"/>
  <c r="E9258" i="1"/>
  <c r="D9258" i="1"/>
  <c r="C9258" i="1"/>
  <c r="B9258" i="1"/>
  <c r="G9257" i="1"/>
  <c r="F9257" i="1"/>
  <c r="E9257" i="1"/>
  <c r="D9257" i="1"/>
  <c r="C9257" i="1"/>
  <c r="B9257" i="1"/>
  <c r="G9256" i="1"/>
  <c r="F9256" i="1"/>
  <c r="E9256" i="1"/>
  <c r="D9256" i="1"/>
  <c r="C9256" i="1"/>
  <c r="B9256" i="1"/>
  <c r="G9255" i="1"/>
  <c r="F9255" i="1"/>
  <c r="E9255" i="1"/>
  <c r="D9255" i="1"/>
  <c r="C9255" i="1"/>
  <c r="B9255" i="1"/>
  <c r="G9254" i="1"/>
  <c r="F9254" i="1"/>
  <c r="E9254" i="1"/>
  <c r="D9254" i="1"/>
  <c r="C9254" i="1"/>
  <c r="B9254" i="1"/>
  <c r="G9253" i="1"/>
  <c r="F9253" i="1"/>
  <c r="E9253" i="1"/>
  <c r="D9253" i="1"/>
  <c r="C9253" i="1"/>
  <c r="B9253" i="1"/>
  <c r="G9252" i="1"/>
  <c r="F9252" i="1"/>
  <c r="E9252" i="1"/>
  <c r="D9252" i="1"/>
  <c r="C9252" i="1"/>
  <c r="B9252" i="1"/>
  <c r="G9251" i="1"/>
  <c r="F9251" i="1"/>
  <c r="E9251" i="1"/>
  <c r="D9251" i="1"/>
  <c r="C9251" i="1"/>
  <c r="B9251" i="1"/>
  <c r="G9250" i="1"/>
  <c r="F9250" i="1"/>
  <c r="E9250" i="1"/>
  <c r="D9250" i="1"/>
  <c r="C9250" i="1"/>
  <c r="B9250" i="1"/>
  <c r="G9249" i="1"/>
  <c r="F9249" i="1"/>
  <c r="E9249" i="1"/>
  <c r="D9249" i="1"/>
  <c r="C9249" i="1"/>
  <c r="B9249" i="1"/>
  <c r="G9248" i="1"/>
  <c r="F9248" i="1"/>
  <c r="E9248" i="1"/>
  <c r="D9248" i="1"/>
  <c r="C9248" i="1"/>
  <c r="B9248" i="1"/>
  <c r="G9247" i="1"/>
  <c r="F9247" i="1"/>
  <c r="E9247" i="1"/>
  <c r="D9247" i="1"/>
  <c r="C9247" i="1"/>
  <c r="B9247" i="1"/>
  <c r="G9246" i="1"/>
  <c r="F9246" i="1"/>
  <c r="E9246" i="1"/>
  <c r="D9246" i="1"/>
  <c r="C9246" i="1"/>
  <c r="B9246" i="1"/>
  <c r="G9245" i="1"/>
  <c r="F9245" i="1"/>
  <c r="E9245" i="1"/>
  <c r="D9245" i="1"/>
  <c r="C9245" i="1"/>
  <c r="B9245" i="1"/>
  <c r="G9244" i="1"/>
  <c r="F9244" i="1"/>
  <c r="E9244" i="1"/>
  <c r="D9244" i="1"/>
  <c r="C9244" i="1"/>
  <c r="B9244" i="1"/>
  <c r="G9243" i="1"/>
  <c r="F9243" i="1"/>
  <c r="E9243" i="1"/>
  <c r="D9243" i="1"/>
  <c r="C9243" i="1"/>
  <c r="B9243" i="1"/>
  <c r="G9242" i="1"/>
  <c r="F9242" i="1"/>
  <c r="E9242" i="1"/>
  <c r="D9242" i="1"/>
  <c r="C9242" i="1"/>
  <c r="B9242" i="1"/>
  <c r="G9241" i="1"/>
  <c r="F9241" i="1"/>
  <c r="E9241" i="1"/>
  <c r="D9241" i="1"/>
  <c r="C9241" i="1"/>
  <c r="B9241" i="1"/>
  <c r="G9240" i="1"/>
  <c r="F9240" i="1"/>
  <c r="E9240" i="1"/>
  <c r="D9240" i="1"/>
  <c r="C9240" i="1"/>
  <c r="B9240" i="1"/>
  <c r="G9239" i="1"/>
  <c r="F9239" i="1"/>
  <c r="E9239" i="1"/>
  <c r="D9239" i="1"/>
  <c r="C9239" i="1"/>
  <c r="B9239" i="1"/>
  <c r="G9238" i="1"/>
  <c r="F9238" i="1"/>
  <c r="E9238" i="1"/>
  <c r="D9238" i="1"/>
  <c r="C9238" i="1"/>
  <c r="B9238" i="1"/>
  <c r="G9237" i="1"/>
  <c r="F9237" i="1"/>
  <c r="E9237" i="1"/>
  <c r="D9237" i="1"/>
  <c r="C9237" i="1"/>
  <c r="B9237" i="1"/>
  <c r="G9236" i="1"/>
  <c r="F9236" i="1"/>
  <c r="E9236" i="1"/>
  <c r="D9236" i="1"/>
  <c r="C9236" i="1"/>
  <c r="B9236" i="1"/>
  <c r="G9235" i="1"/>
  <c r="F9235" i="1"/>
  <c r="E9235" i="1"/>
  <c r="D9235" i="1"/>
  <c r="C9235" i="1"/>
  <c r="B9235" i="1"/>
  <c r="G9234" i="1"/>
  <c r="F9234" i="1"/>
  <c r="E9234" i="1"/>
  <c r="D9234" i="1"/>
  <c r="C9234" i="1"/>
  <c r="B9234" i="1"/>
  <c r="G9233" i="1"/>
  <c r="F9233" i="1"/>
  <c r="E9233" i="1"/>
  <c r="D9233" i="1"/>
  <c r="C9233" i="1"/>
  <c r="B9233" i="1"/>
  <c r="G9232" i="1"/>
  <c r="F9232" i="1"/>
  <c r="E9232" i="1"/>
  <c r="D9232" i="1"/>
  <c r="C9232" i="1"/>
  <c r="B9232" i="1"/>
  <c r="G9231" i="1"/>
  <c r="F9231" i="1"/>
  <c r="E9231" i="1"/>
  <c r="D9231" i="1"/>
  <c r="C9231" i="1"/>
  <c r="B9231" i="1"/>
  <c r="G9230" i="1"/>
  <c r="F9230" i="1"/>
  <c r="E9230" i="1"/>
  <c r="D9230" i="1"/>
  <c r="C9230" i="1"/>
  <c r="B9230" i="1"/>
  <c r="G9229" i="1"/>
  <c r="F9229" i="1"/>
  <c r="E9229" i="1"/>
  <c r="D9229" i="1"/>
  <c r="C9229" i="1"/>
  <c r="B9229" i="1"/>
  <c r="G9228" i="1"/>
  <c r="F9228" i="1"/>
  <c r="E9228" i="1"/>
  <c r="D9228" i="1"/>
  <c r="C9228" i="1"/>
  <c r="B9228" i="1"/>
  <c r="G9227" i="1"/>
  <c r="F9227" i="1"/>
  <c r="E9227" i="1"/>
  <c r="D9227" i="1"/>
  <c r="C9227" i="1"/>
  <c r="B9227" i="1"/>
  <c r="G9226" i="1"/>
  <c r="F9226" i="1"/>
  <c r="E9226" i="1"/>
  <c r="D9226" i="1"/>
  <c r="C9226" i="1"/>
  <c r="B9226" i="1"/>
  <c r="G9225" i="1"/>
  <c r="F9225" i="1"/>
  <c r="E9225" i="1"/>
  <c r="D9225" i="1"/>
  <c r="C9225" i="1"/>
  <c r="B9225" i="1"/>
  <c r="G9224" i="1"/>
  <c r="F9224" i="1"/>
  <c r="E9224" i="1"/>
  <c r="D9224" i="1"/>
  <c r="C9224" i="1"/>
  <c r="B9224" i="1"/>
  <c r="G9223" i="1"/>
  <c r="F9223" i="1"/>
  <c r="E9223" i="1"/>
  <c r="D9223" i="1"/>
  <c r="C9223" i="1"/>
  <c r="B9223" i="1"/>
  <c r="G9222" i="1"/>
  <c r="F9222" i="1"/>
  <c r="E9222" i="1"/>
  <c r="D9222" i="1"/>
  <c r="C9222" i="1"/>
  <c r="B9222" i="1"/>
  <c r="G9221" i="1"/>
  <c r="F9221" i="1"/>
  <c r="E9221" i="1"/>
  <c r="D9221" i="1"/>
  <c r="C9221" i="1"/>
  <c r="B9221" i="1"/>
  <c r="G9220" i="1"/>
  <c r="F9220" i="1"/>
  <c r="E9220" i="1"/>
  <c r="D9220" i="1"/>
  <c r="C9220" i="1"/>
  <c r="B9220" i="1"/>
  <c r="G9219" i="1"/>
  <c r="F9219" i="1"/>
  <c r="E9219" i="1"/>
  <c r="D9219" i="1"/>
  <c r="C9219" i="1"/>
  <c r="B9219" i="1"/>
  <c r="G9218" i="1"/>
  <c r="F9218" i="1"/>
  <c r="E9218" i="1"/>
  <c r="D9218" i="1"/>
  <c r="C9218" i="1"/>
  <c r="B9218" i="1"/>
  <c r="G9217" i="1"/>
  <c r="F9217" i="1"/>
  <c r="E9217" i="1"/>
  <c r="D9217" i="1"/>
  <c r="C9217" i="1"/>
  <c r="B9217" i="1"/>
  <c r="G9216" i="1"/>
  <c r="F9216" i="1"/>
  <c r="E9216" i="1"/>
  <c r="D9216" i="1"/>
  <c r="C9216" i="1"/>
  <c r="B9216" i="1"/>
  <c r="G9215" i="1"/>
  <c r="F9215" i="1"/>
  <c r="E9215" i="1"/>
  <c r="D9215" i="1"/>
  <c r="C9215" i="1"/>
  <c r="B9215" i="1"/>
  <c r="G9214" i="1"/>
  <c r="F9214" i="1"/>
  <c r="E9214" i="1"/>
  <c r="D9214" i="1"/>
  <c r="C9214" i="1"/>
  <c r="B9214" i="1"/>
  <c r="G9213" i="1"/>
  <c r="F9213" i="1"/>
  <c r="E9213" i="1"/>
  <c r="D9213" i="1"/>
  <c r="C9213" i="1"/>
  <c r="B9213" i="1"/>
  <c r="G9212" i="1"/>
  <c r="F9212" i="1"/>
  <c r="E9212" i="1"/>
  <c r="D9212" i="1"/>
  <c r="C9212" i="1"/>
  <c r="B9212" i="1"/>
  <c r="G9211" i="1"/>
  <c r="F9211" i="1"/>
  <c r="E9211" i="1"/>
  <c r="D9211" i="1"/>
  <c r="C9211" i="1"/>
  <c r="B9211" i="1"/>
  <c r="G9210" i="1"/>
  <c r="F9210" i="1"/>
  <c r="E9210" i="1"/>
  <c r="D9210" i="1"/>
  <c r="C9210" i="1"/>
  <c r="B9210" i="1"/>
  <c r="G9209" i="1"/>
  <c r="F9209" i="1"/>
  <c r="E9209" i="1"/>
  <c r="D9209" i="1"/>
  <c r="C9209" i="1"/>
  <c r="B9209" i="1"/>
  <c r="G9208" i="1"/>
  <c r="F9208" i="1"/>
  <c r="E9208" i="1"/>
  <c r="D9208" i="1"/>
  <c r="C9208" i="1"/>
  <c r="B9208" i="1"/>
  <c r="G9207" i="1"/>
  <c r="F9207" i="1"/>
  <c r="E9207" i="1"/>
  <c r="D9207" i="1"/>
  <c r="C9207" i="1"/>
  <c r="B9207" i="1"/>
  <c r="G9206" i="1"/>
  <c r="F9206" i="1"/>
  <c r="E9206" i="1"/>
  <c r="D9206" i="1"/>
  <c r="C9206" i="1"/>
  <c r="B9206" i="1"/>
  <c r="G9205" i="1"/>
  <c r="F9205" i="1"/>
  <c r="E9205" i="1"/>
  <c r="D9205" i="1"/>
  <c r="C9205" i="1"/>
  <c r="B9205" i="1"/>
  <c r="G9204" i="1"/>
  <c r="F9204" i="1"/>
  <c r="E9204" i="1"/>
  <c r="D9204" i="1"/>
  <c r="C9204" i="1"/>
  <c r="B9204" i="1"/>
  <c r="G9203" i="1"/>
  <c r="F9203" i="1"/>
  <c r="E9203" i="1"/>
  <c r="D9203" i="1"/>
  <c r="C9203" i="1"/>
  <c r="B9203" i="1"/>
  <c r="G9202" i="1"/>
  <c r="F9202" i="1"/>
  <c r="E9202" i="1"/>
  <c r="D9202" i="1"/>
  <c r="C9202" i="1"/>
  <c r="B9202" i="1"/>
  <c r="G9201" i="1"/>
  <c r="F9201" i="1"/>
  <c r="E9201" i="1"/>
  <c r="D9201" i="1"/>
  <c r="C9201" i="1"/>
  <c r="B9201" i="1"/>
  <c r="G9200" i="1"/>
  <c r="F9200" i="1"/>
  <c r="E9200" i="1"/>
  <c r="D9200" i="1"/>
  <c r="C9200" i="1"/>
  <c r="B9200" i="1"/>
  <c r="G9199" i="1"/>
  <c r="F9199" i="1"/>
  <c r="E9199" i="1"/>
  <c r="D9199" i="1"/>
  <c r="C9199" i="1"/>
  <c r="B9199" i="1"/>
  <c r="G9198" i="1"/>
  <c r="F9198" i="1"/>
  <c r="E9198" i="1"/>
  <c r="D9198" i="1"/>
  <c r="C9198" i="1"/>
  <c r="B9198" i="1"/>
  <c r="G9197" i="1"/>
  <c r="F9197" i="1"/>
  <c r="E9197" i="1"/>
  <c r="D9197" i="1"/>
  <c r="C9197" i="1"/>
  <c r="B9197" i="1"/>
  <c r="G9196" i="1"/>
  <c r="F9196" i="1"/>
  <c r="E9196" i="1"/>
  <c r="D9196" i="1"/>
  <c r="C9196" i="1"/>
  <c r="B9196" i="1"/>
  <c r="G9195" i="1"/>
  <c r="F9195" i="1"/>
  <c r="E9195" i="1"/>
  <c r="D9195" i="1"/>
  <c r="C9195" i="1"/>
  <c r="B9195" i="1"/>
  <c r="G9194" i="1"/>
  <c r="F9194" i="1"/>
  <c r="E9194" i="1"/>
  <c r="D9194" i="1"/>
  <c r="C9194" i="1"/>
  <c r="B9194" i="1"/>
  <c r="G9193" i="1"/>
  <c r="F9193" i="1"/>
  <c r="E9193" i="1"/>
  <c r="D9193" i="1"/>
  <c r="C9193" i="1"/>
  <c r="B9193" i="1"/>
  <c r="G9192" i="1"/>
  <c r="F9192" i="1"/>
  <c r="E9192" i="1"/>
  <c r="D9192" i="1"/>
  <c r="C9192" i="1"/>
  <c r="B9192" i="1"/>
  <c r="G9191" i="1"/>
  <c r="F9191" i="1"/>
  <c r="E9191" i="1"/>
  <c r="D9191" i="1"/>
  <c r="C9191" i="1"/>
  <c r="B9191" i="1"/>
  <c r="G9190" i="1"/>
  <c r="F9190" i="1"/>
  <c r="E9190" i="1"/>
  <c r="D9190" i="1"/>
  <c r="C9190" i="1"/>
  <c r="B9190" i="1"/>
  <c r="G9189" i="1"/>
  <c r="F9189" i="1"/>
  <c r="E9189" i="1"/>
  <c r="D9189" i="1"/>
  <c r="C9189" i="1"/>
  <c r="B9189" i="1"/>
  <c r="G9188" i="1"/>
  <c r="F9188" i="1"/>
  <c r="E9188" i="1"/>
  <c r="D9188" i="1"/>
  <c r="C9188" i="1"/>
  <c r="B9188" i="1"/>
  <c r="G9187" i="1"/>
  <c r="F9187" i="1"/>
  <c r="E9187" i="1"/>
  <c r="D9187" i="1"/>
  <c r="C9187" i="1"/>
  <c r="B9187" i="1"/>
  <c r="G9186" i="1"/>
  <c r="F9186" i="1"/>
  <c r="E9186" i="1"/>
  <c r="D9186" i="1"/>
  <c r="C9186" i="1"/>
  <c r="B9186" i="1"/>
  <c r="G9185" i="1"/>
  <c r="F9185" i="1"/>
  <c r="E9185" i="1"/>
  <c r="D9185" i="1"/>
  <c r="C9185" i="1"/>
  <c r="B9185" i="1"/>
  <c r="G9184" i="1"/>
  <c r="F9184" i="1"/>
  <c r="E9184" i="1"/>
  <c r="D9184" i="1"/>
  <c r="C9184" i="1"/>
  <c r="B9184" i="1"/>
  <c r="G9183" i="1"/>
  <c r="F9183" i="1"/>
  <c r="E9183" i="1"/>
  <c r="D9183" i="1"/>
  <c r="C9183" i="1"/>
  <c r="B9183" i="1"/>
  <c r="G9182" i="1"/>
  <c r="F9182" i="1"/>
  <c r="E9182" i="1"/>
  <c r="D9182" i="1"/>
  <c r="C9182" i="1"/>
  <c r="B9182" i="1"/>
  <c r="G9181" i="1"/>
  <c r="F9181" i="1"/>
  <c r="E9181" i="1"/>
  <c r="D9181" i="1"/>
  <c r="C9181" i="1"/>
  <c r="B9181" i="1"/>
  <c r="G9180" i="1"/>
  <c r="F9180" i="1"/>
  <c r="E9180" i="1"/>
  <c r="D9180" i="1"/>
  <c r="C9180" i="1"/>
  <c r="B9180" i="1"/>
  <c r="G9179" i="1"/>
  <c r="F9179" i="1"/>
  <c r="E9179" i="1"/>
  <c r="D9179" i="1"/>
  <c r="C9179" i="1"/>
  <c r="B9179" i="1"/>
  <c r="G9178" i="1"/>
  <c r="F9178" i="1"/>
  <c r="E9178" i="1"/>
  <c r="D9178" i="1"/>
  <c r="C9178" i="1"/>
  <c r="B9178" i="1"/>
  <c r="G9177" i="1"/>
  <c r="F9177" i="1"/>
  <c r="E9177" i="1"/>
  <c r="D9177" i="1"/>
  <c r="C9177" i="1"/>
  <c r="B9177" i="1"/>
  <c r="G9176" i="1"/>
  <c r="F9176" i="1"/>
  <c r="E9176" i="1"/>
  <c r="D9176" i="1"/>
  <c r="C9176" i="1"/>
  <c r="B9176" i="1"/>
  <c r="G9175" i="1"/>
  <c r="F9175" i="1"/>
  <c r="E9175" i="1"/>
  <c r="D9175" i="1"/>
  <c r="C9175" i="1"/>
  <c r="B9175" i="1"/>
  <c r="G9174" i="1"/>
  <c r="F9174" i="1"/>
  <c r="E9174" i="1"/>
  <c r="D9174" i="1"/>
  <c r="C9174" i="1"/>
  <c r="B9174" i="1"/>
  <c r="G9173" i="1"/>
  <c r="F9173" i="1"/>
  <c r="E9173" i="1"/>
  <c r="D9173" i="1"/>
  <c r="C9173" i="1"/>
  <c r="B9173" i="1"/>
  <c r="G9172" i="1"/>
  <c r="F9172" i="1"/>
  <c r="E9172" i="1"/>
  <c r="D9172" i="1"/>
  <c r="C9172" i="1"/>
  <c r="B9172" i="1"/>
  <c r="G9171" i="1"/>
  <c r="F9171" i="1"/>
  <c r="E9171" i="1"/>
  <c r="D9171" i="1"/>
  <c r="C9171" i="1"/>
  <c r="B9171" i="1"/>
  <c r="G9170" i="1"/>
  <c r="F9170" i="1"/>
  <c r="E9170" i="1"/>
  <c r="D9170" i="1"/>
  <c r="C9170" i="1"/>
  <c r="B9170" i="1"/>
  <c r="G9169" i="1"/>
  <c r="F9169" i="1"/>
  <c r="E9169" i="1"/>
  <c r="D9169" i="1"/>
  <c r="C9169" i="1"/>
  <c r="B9169" i="1"/>
  <c r="G9168" i="1"/>
  <c r="F9168" i="1"/>
  <c r="E9168" i="1"/>
  <c r="D9168" i="1"/>
  <c r="C9168" i="1"/>
  <c r="B9168" i="1"/>
  <c r="G9167" i="1"/>
  <c r="F9167" i="1"/>
  <c r="E9167" i="1"/>
  <c r="D9167" i="1"/>
  <c r="C9167" i="1"/>
  <c r="B9167" i="1"/>
  <c r="G9166" i="1"/>
  <c r="F9166" i="1"/>
  <c r="E9166" i="1"/>
  <c r="D9166" i="1"/>
  <c r="C9166" i="1"/>
  <c r="B9166" i="1"/>
  <c r="G9165" i="1"/>
  <c r="F9165" i="1"/>
  <c r="E9165" i="1"/>
  <c r="D9165" i="1"/>
  <c r="C9165" i="1"/>
  <c r="B9165" i="1"/>
  <c r="G9164" i="1"/>
  <c r="F9164" i="1"/>
  <c r="E9164" i="1"/>
  <c r="D9164" i="1"/>
  <c r="C9164" i="1"/>
  <c r="B9164" i="1"/>
  <c r="G9163" i="1"/>
  <c r="F9163" i="1"/>
  <c r="E9163" i="1"/>
  <c r="D9163" i="1"/>
  <c r="C9163" i="1"/>
  <c r="B9163" i="1"/>
  <c r="G9162" i="1"/>
  <c r="F9162" i="1"/>
  <c r="E9162" i="1"/>
  <c r="D9162" i="1"/>
  <c r="C9162" i="1"/>
  <c r="B9162" i="1"/>
  <c r="G9161" i="1"/>
  <c r="F9161" i="1"/>
  <c r="E9161" i="1"/>
  <c r="D9161" i="1"/>
  <c r="C9161" i="1"/>
  <c r="B9161" i="1"/>
  <c r="G9160" i="1"/>
  <c r="F9160" i="1"/>
  <c r="E9160" i="1"/>
  <c r="D9160" i="1"/>
  <c r="C9160" i="1"/>
  <c r="B9160" i="1"/>
  <c r="G9159" i="1"/>
  <c r="F9159" i="1"/>
  <c r="E9159" i="1"/>
  <c r="D9159" i="1"/>
  <c r="C9159" i="1"/>
  <c r="B9159" i="1"/>
  <c r="G9158" i="1"/>
  <c r="F9158" i="1"/>
  <c r="E9158" i="1"/>
  <c r="D9158" i="1"/>
  <c r="C9158" i="1"/>
  <c r="B9158" i="1"/>
  <c r="G9157" i="1"/>
  <c r="F9157" i="1"/>
  <c r="E9157" i="1"/>
  <c r="D9157" i="1"/>
  <c r="C9157" i="1"/>
  <c r="B9157" i="1"/>
  <c r="G9156" i="1"/>
  <c r="F9156" i="1"/>
  <c r="E9156" i="1"/>
  <c r="D9156" i="1"/>
  <c r="C9156" i="1"/>
  <c r="B9156" i="1"/>
  <c r="G9155" i="1"/>
  <c r="F9155" i="1"/>
  <c r="E9155" i="1"/>
  <c r="D9155" i="1"/>
  <c r="C9155" i="1"/>
  <c r="B9155" i="1"/>
  <c r="G9154" i="1"/>
  <c r="F9154" i="1"/>
  <c r="E9154" i="1"/>
  <c r="D9154" i="1"/>
  <c r="C9154" i="1"/>
  <c r="B9154" i="1"/>
  <c r="G9153" i="1"/>
  <c r="F9153" i="1"/>
  <c r="E9153" i="1"/>
  <c r="D9153" i="1"/>
  <c r="C9153" i="1"/>
  <c r="B9153" i="1"/>
  <c r="G9152" i="1"/>
  <c r="F9152" i="1"/>
  <c r="E9152" i="1"/>
  <c r="D9152" i="1"/>
  <c r="C9152" i="1"/>
  <c r="B9152" i="1"/>
  <c r="G9151" i="1"/>
  <c r="F9151" i="1"/>
  <c r="E9151" i="1"/>
  <c r="D9151" i="1"/>
  <c r="C9151" i="1"/>
  <c r="B9151" i="1"/>
  <c r="G9150" i="1"/>
  <c r="F9150" i="1"/>
  <c r="E9150" i="1"/>
  <c r="D9150" i="1"/>
  <c r="C9150" i="1"/>
  <c r="B9150" i="1"/>
  <c r="G9149" i="1"/>
  <c r="F9149" i="1"/>
  <c r="E9149" i="1"/>
  <c r="D9149" i="1"/>
  <c r="C9149" i="1"/>
  <c r="B9149" i="1"/>
  <c r="G9148" i="1"/>
  <c r="F9148" i="1"/>
  <c r="E9148" i="1"/>
  <c r="D9148" i="1"/>
  <c r="C9148" i="1"/>
  <c r="B9148" i="1"/>
  <c r="G9147" i="1"/>
  <c r="F9147" i="1"/>
  <c r="E9147" i="1"/>
  <c r="D9147" i="1"/>
  <c r="C9147" i="1"/>
  <c r="B9147" i="1"/>
  <c r="G9146" i="1"/>
  <c r="F9146" i="1"/>
  <c r="E9146" i="1"/>
  <c r="D9146" i="1"/>
  <c r="C9146" i="1"/>
  <c r="B9146" i="1"/>
  <c r="G9145" i="1"/>
  <c r="F9145" i="1"/>
  <c r="E9145" i="1"/>
  <c r="D9145" i="1"/>
  <c r="C9145" i="1"/>
  <c r="B9145" i="1"/>
  <c r="G9144" i="1"/>
  <c r="F9144" i="1"/>
  <c r="E9144" i="1"/>
  <c r="D9144" i="1"/>
  <c r="C9144" i="1"/>
  <c r="B9144" i="1"/>
  <c r="G9143" i="1"/>
  <c r="F9143" i="1"/>
  <c r="E9143" i="1"/>
  <c r="D9143" i="1"/>
  <c r="C9143" i="1"/>
  <c r="B9143" i="1"/>
  <c r="G9142" i="1"/>
  <c r="F9142" i="1"/>
  <c r="E9142" i="1"/>
  <c r="D9142" i="1"/>
  <c r="C9142" i="1"/>
  <c r="B9142" i="1"/>
  <c r="G9141" i="1"/>
  <c r="F9141" i="1"/>
  <c r="E9141" i="1"/>
  <c r="D9141" i="1"/>
  <c r="C9141" i="1"/>
  <c r="B9141" i="1"/>
  <c r="G9140" i="1"/>
  <c r="F9140" i="1"/>
  <c r="E9140" i="1"/>
  <c r="D9140" i="1"/>
  <c r="C9140" i="1"/>
  <c r="B9140" i="1"/>
  <c r="G9139" i="1"/>
  <c r="F9139" i="1"/>
  <c r="E9139" i="1"/>
  <c r="D9139" i="1"/>
  <c r="C9139" i="1"/>
  <c r="B9139" i="1"/>
  <c r="G9138" i="1"/>
  <c r="F9138" i="1"/>
  <c r="E9138" i="1"/>
  <c r="D9138" i="1"/>
  <c r="C9138" i="1"/>
  <c r="B9138" i="1"/>
  <c r="G9137" i="1"/>
  <c r="F9137" i="1"/>
  <c r="E9137" i="1"/>
  <c r="D9137" i="1"/>
  <c r="C9137" i="1"/>
  <c r="B9137" i="1"/>
  <c r="G9136" i="1"/>
  <c r="F9136" i="1"/>
  <c r="E9136" i="1"/>
  <c r="D9136" i="1"/>
  <c r="C9136" i="1"/>
  <c r="B9136" i="1"/>
  <c r="G9135" i="1"/>
  <c r="F9135" i="1"/>
  <c r="E9135" i="1"/>
  <c r="D9135" i="1"/>
  <c r="C9135" i="1"/>
  <c r="B9135" i="1"/>
  <c r="G9134" i="1"/>
  <c r="F9134" i="1"/>
  <c r="E9134" i="1"/>
  <c r="D9134" i="1"/>
  <c r="C9134" i="1"/>
  <c r="B9134" i="1"/>
  <c r="G9133" i="1"/>
  <c r="F9133" i="1"/>
  <c r="E9133" i="1"/>
  <c r="D9133" i="1"/>
  <c r="C9133" i="1"/>
  <c r="B9133" i="1"/>
  <c r="G9132" i="1"/>
  <c r="F9132" i="1"/>
  <c r="E9132" i="1"/>
  <c r="D9132" i="1"/>
  <c r="C9132" i="1"/>
  <c r="B9132" i="1"/>
  <c r="G9131" i="1"/>
  <c r="F9131" i="1"/>
  <c r="E9131" i="1"/>
  <c r="D9131" i="1"/>
  <c r="C9131" i="1"/>
  <c r="B9131" i="1"/>
  <c r="G9130" i="1"/>
  <c r="F9130" i="1"/>
  <c r="E9130" i="1"/>
  <c r="D9130" i="1"/>
  <c r="C9130" i="1"/>
  <c r="B9130" i="1"/>
  <c r="G9129" i="1"/>
  <c r="F9129" i="1"/>
  <c r="E9129" i="1"/>
  <c r="D9129" i="1"/>
  <c r="C9129" i="1"/>
  <c r="B9129" i="1"/>
  <c r="G9128" i="1"/>
  <c r="F9128" i="1"/>
  <c r="E9128" i="1"/>
  <c r="D9128" i="1"/>
  <c r="C9128" i="1"/>
  <c r="B9128" i="1"/>
  <c r="G9127" i="1"/>
  <c r="F9127" i="1"/>
  <c r="E9127" i="1"/>
  <c r="D9127" i="1"/>
  <c r="C9127" i="1"/>
  <c r="B9127" i="1"/>
  <c r="G9126" i="1"/>
  <c r="F9126" i="1"/>
  <c r="E9126" i="1"/>
  <c r="D9126" i="1"/>
  <c r="C9126" i="1"/>
  <c r="B9126" i="1"/>
  <c r="G9125" i="1"/>
  <c r="F9125" i="1"/>
  <c r="E9125" i="1"/>
  <c r="D9125" i="1"/>
  <c r="C9125" i="1"/>
  <c r="B9125" i="1"/>
  <c r="G9124" i="1"/>
  <c r="F9124" i="1"/>
  <c r="E9124" i="1"/>
  <c r="D9124" i="1"/>
  <c r="C9124" i="1"/>
  <c r="B9124" i="1"/>
  <c r="G9123" i="1"/>
  <c r="F9123" i="1"/>
  <c r="E9123" i="1"/>
  <c r="D9123" i="1"/>
  <c r="C9123" i="1"/>
  <c r="B9123" i="1"/>
  <c r="G9122" i="1"/>
  <c r="F9122" i="1"/>
  <c r="E9122" i="1"/>
  <c r="D9122" i="1"/>
  <c r="C9122" i="1"/>
  <c r="B9122" i="1"/>
  <c r="G9121" i="1"/>
  <c r="F9121" i="1"/>
  <c r="E9121" i="1"/>
  <c r="D9121" i="1"/>
  <c r="C9121" i="1"/>
  <c r="B9121" i="1"/>
  <c r="G9120" i="1"/>
  <c r="F9120" i="1"/>
  <c r="E9120" i="1"/>
  <c r="D9120" i="1"/>
  <c r="C9120" i="1"/>
  <c r="B9120" i="1"/>
  <c r="G9119" i="1"/>
  <c r="F9119" i="1"/>
  <c r="E9119" i="1"/>
  <c r="D9119" i="1"/>
  <c r="C9119" i="1"/>
  <c r="B9119" i="1"/>
  <c r="G9118" i="1"/>
  <c r="F9118" i="1"/>
  <c r="E9118" i="1"/>
  <c r="D9118" i="1"/>
  <c r="C9118" i="1"/>
  <c r="B9118" i="1"/>
  <c r="G9117" i="1"/>
  <c r="F9117" i="1"/>
  <c r="E9117" i="1"/>
  <c r="D9117" i="1"/>
  <c r="C9117" i="1"/>
  <c r="B9117" i="1"/>
  <c r="G9116" i="1"/>
  <c r="F9116" i="1"/>
  <c r="E9116" i="1"/>
  <c r="D9116" i="1"/>
  <c r="C9116" i="1"/>
  <c r="B9116" i="1"/>
  <c r="G9115" i="1"/>
  <c r="F9115" i="1"/>
  <c r="E9115" i="1"/>
  <c r="D9115" i="1"/>
  <c r="C9115" i="1"/>
  <c r="B9115" i="1"/>
  <c r="G9114" i="1"/>
  <c r="F9114" i="1"/>
  <c r="E9114" i="1"/>
  <c r="D9114" i="1"/>
  <c r="C9114" i="1"/>
  <c r="B9114" i="1"/>
  <c r="G9113" i="1"/>
  <c r="F9113" i="1"/>
  <c r="E9113" i="1"/>
  <c r="D9113" i="1"/>
  <c r="C9113" i="1"/>
  <c r="B9113" i="1"/>
  <c r="G9112" i="1"/>
  <c r="F9112" i="1"/>
  <c r="E9112" i="1"/>
  <c r="D9112" i="1"/>
  <c r="C9112" i="1"/>
  <c r="B9112" i="1"/>
  <c r="G9111" i="1"/>
  <c r="F9111" i="1"/>
  <c r="E9111" i="1"/>
  <c r="D9111" i="1"/>
  <c r="C9111" i="1"/>
  <c r="B9111" i="1"/>
  <c r="G9110" i="1"/>
  <c r="F9110" i="1"/>
  <c r="E9110" i="1"/>
  <c r="D9110" i="1"/>
  <c r="C9110" i="1"/>
  <c r="B9110" i="1"/>
  <c r="G9109" i="1"/>
  <c r="F9109" i="1"/>
  <c r="E9109" i="1"/>
  <c r="D9109" i="1"/>
  <c r="C9109" i="1"/>
  <c r="B9109" i="1"/>
  <c r="G9108" i="1"/>
  <c r="F9108" i="1"/>
  <c r="E9108" i="1"/>
  <c r="D9108" i="1"/>
  <c r="C9108" i="1"/>
  <c r="B9108" i="1"/>
  <c r="G9107" i="1"/>
  <c r="F9107" i="1"/>
  <c r="E9107" i="1"/>
  <c r="D9107" i="1"/>
  <c r="C9107" i="1"/>
  <c r="B9107" i="1"/>
  <c r="G9106" i="1"/>
  <c r="F9106" i="1"/>
  <c r="E9106" i="1"/>
  <c r="D9106" i="1"/>
  <c r="C9106" i="1"/>
  <c r="B9106" i="1"/>
  <c r="G9105" i="1"/>
  <c r="F9105" i="1"/>
  <c r="E9105" i="1"/>
  <c r="D9105" i="1"/>
  <c r="C9105" i="1"/>
  <c r="B9105" i="1"/>
  <c r="G9104" i="1"/>
  <c r="F9104" i="1"/>
  <c r="E9104" i="1"/>
  <c r="D9104" i="1"/>
  <c r="C9104" i="1"/>
  <c r="B9104" i="1"/>
  <c r="G9103" i="1"/>
  <c r="F9103" i="1"/>
  <c r="E9103" i="1"/>
  <c r="D9103" i="1"/>
  <c r="C9103" i="1"/>
  <c r="B9103" i="1"/>
  <c r="G9102" i="1"/>
  <c r="F9102" i="1"/>
  <c r="E9102" i="1"/>
  <c r="D9102" i="1"/>
  <c r="C9102" i="1"/>
  <c r="B9102" i="1"/>
  <c r="G9101" i="1"/>
  <c r="F9101" i="1"/>
  <c r="E9101" i="1"/>
  <c r="D9101" i="1"/>
  <c r="C9101" i="1"/>
  <c r="B9101" i="1"/>
  <c r="G9100" i="1"/>
  <c r="F9100" i="1"/>
  <c r="E9100" i="1"/>
  <c r="D9100" i="1"/>
  <c r="C9100" i="1"/>
  <c r="B9100" i="1"/>
  <c r="G9099" i="1"/>
  <c r="F9099" i="1"/>
  <c r="E9099" i="1"/>
  <c r="D9099" i="1"/>
  <c r="C9099" i="1"/>
  <c r="B9099" i="1"/>
  <c r="G9098" i="1"/>
  <c r="F9098" i="1"/>
  <c r="E9098" i="1"/>
  <c r="D9098" i="1"/>
  <c r="C9098" i="1"/>
  <c r="B9098" i="1"/>
  <c r="G9097" i="1"/>
  <c r="F9097" i="1"/>
  <c r="E9097" i="1"/>
  <c r="D9097" i="1"/>
  <c r="C9097" i="1"/>
  <c r="B9097" i="1"/>
  <c r="G9096" i="1"/>
  <c r="F9096" i="1"/>
  <c r="E9096" i="1"/>
  <c r="D9096" i="1"/>
  <c r="C9096" i="1"/>
  <c r="B9096" i="1"/>
  <c r="G9095" i="1"/>
  <c r="F9095" i="1"/>
  <c r="E9095" i="1"/>
  <c r="D9095" i="1"/>
  <c r="C9095" i="1"/>
  <c r="B9095" i="1"/>
  <c r="G9094" i="1"/>
  <c r="F9094" i="1"/>
  <c r="E9094" i="1"/>
  <c r="D9094" i="1"/>
  <c r="C9094" i="1"/>
  <c r="B9094" i="1"/>
  <c r="G9093" i="1"/>
  <c r="F9093" i="1"/>
  <c r="E9093" i="1"/>
  <c r="D9093" i="1"/>
  <c r="C9093" i="1"/>
  <c r="B9093" i="1"/>
  <c r="G9092" i="1"/>
  <c r="F9092" i="1"/>
  <c r="E9092" i="1"/>
  <c r="D9092" i="1"/>
  <c r="C9092" i="1"/>
  <c r="B9092" i="1"/>
  <c r="G9091" i="1"/>
  <c r="F9091" i="1"/>
  <c r="E9091" i="1"/>
  <c r="D9091" i="1"/>
  <c r="C9091" i="1"/>
  <c r="B9091" i="1"/>
  <c r="G9090" i="1"/>
  <c r="F9090" i="1"/>
  <c r="E9090" i="1"/>
  <c r="D9090" i="1"/>
  <c r="C9090" i="1"/>
  <c r="B9090" i="1"/>
  <c r="G9089" i="1"/>
  <c r="F9089" i="1"/>
  <c r="E9089" i="1"/>
  <c r="D9089" i="1"/>
  <c r="C9089" i="1"/>
  <c r="B9089" i="1"/>
  <c r="G9088" i="1"/>
  <c r="F9088" i="1"/>
  <c r="E9088" i="1"/>
  <c r="D9088" i="1"/>
  <c r="C9088" i="1"/>
  <c r="B9088" i="1"/>
  <c r="G9087" i="1"/>
  <c r="F9087" i="1"/>
  <c r="E9087" i="1"/>
  <c r="D9087" i="1"/>
  <c r="C9087" i="1"/>
  <c r="B9087" i="1"/>
  <c r="G9086" i="1"/>
  <c r="F9086" i="1"/>
  <c r="E9086" i="1"/>
  <c r="D9086" i="1"/>
  <c r="C9086" i="1"/>
  <c r="B9086" i="1"/>
  <c r="G9085" i="1"/>
  <c r="F9085" i="1"/>
  <c r="E9085" i="1"/>
  <c r="D9085" i="1"/>
  <c r="C9085" i="1"/>
  <c r="B9085" i="1"/>
  <c r="G9084" i="1"/>
  <c r="F9084" i="1"/>
  <c r="E9084" i="1"/>
  <c r="D9084" i="1"/>
  <c r="C9084" i="1"/>
  <c r="B9084" i="1"/>
  <c r="G9083" i="1"/>
  <c r="F9083" i="1"/>
  <c r="E9083" i="1"/>
  <c r="D9083" i="1"/>
  <c r="C9083" i="1"/>
  <c r="B9083" i="1"/>
  <c r="G9082" i="1"/>
  <c r="F9082" i="1"/>
  <c r="E9082" i="1"/>
  <c r="D9082" i="1"/>
  <c r="C9082" i="1"/>
  <c r="B9082" i="1"/>
  <c r="G9081" i="1"/>
  <c r="F9081" i="1"/>
  <c r="E9081" i="1"/>
  <c r="D9081" i="1"/>
  <c r="C9081" i="1"/>
  <c r="B9081" i="1"/>
  <c r="G9080" i="1"/>
  <c r="F9080" i="1"/>
  <c r="E9080" i="1"/>
  <c r="D9080" i="1"/>
  <c r="C9080" i="1"/>
  <c r="B9080" i="1"/>
  <c r="G9079" i="1"/>
  <c r="F9079" i="1"/>
  <c r="E9079" i="1"/>
  <c r="D9079" i="1"/>
  <c r="C9079" i="1"/>
  <c r="B9079" i="1"/>
  <c r="G9078" i="1"/>
  <c r="F9078" i="1"/>
  <c r="E9078" i="1"/>
  <c r="D9078" i="1"/>
  <c r="C9078" i="1"/>
  <c r="B9078" i="1"/>
  <c r="G9077" i="1"/>
  <c r="F9077" i="1"/>
  <c r="E9077" i="1"/>
  <c r="D9077" i="1"/>
  <c r="C9077" i="1"/>
  <c r="B9077" i="1"/>
  <c r="G9076" i="1"/>
  <c r="F9076" i="1"/>
  <c r="E9076" i="1"/>
  <c r="D9076" i="1"/>
  <c r="C9076" i="1"/>
  <c r="B9076" i="1"/>
  <c r="G9075" i="1"/>
  <c r="F9075" i="1"/>
  <c r="E9075" i="1"/>
  <c r="D9075" i="1"/>
  <c r="C9075" i="1"/>
  <c r="B9075" i="1"/>
  <c r="G9074" i="1"/>
  <c r="F9074" i="1"/>
  <c r="E9074" i="1"/>
  <c r="D9074" i="1"/>
  <c r="C9074" i="1"/>
  <c r="B9074" i="1"/>
  <c r="G9073" i="1"/>
  <c r="F9073" i="1"/>
  <c r="E9073" i="1"/>
  <c r="D9073" i="1"/>
  <c r="C9073" i="1"/>
  <c r="B9073" i="1"/>
  <c r="G9072" i="1"/>
  <c r="F9072" i="1"/>
  <c r="E9072" i="1"/>
  <c r="D9072" i="1"/>
  <c r="C9072" i="1"/>
  <c r="B9072" i="1"/>
  <c r="G9071" i="1"/>
  <c r="F9071" i="1"/>
  <c r="E9071" i="1"/>
  <c r="D9071" i="1"/>
  <c r="C9071" i="1"/>
  <c r="B9071" i="1"/>
  <c r="G9070" i="1"/>
  <c r="F9070" i="1"/>
  <c r="E9070" i="1"/>
  <c r="D9070" i="1"/>
  <c r="C9070" i="1"/>
  <c r="B9070" i="1"/>
  <c r="G9069" i="1"/>
  <c r="F9069" i="1"/>
  <c r="E9069" i="1"/>
  <c r="D9069" i="1"/>
  <c r="C9069" i="1"/>
  <c r="B9069" i="1"/>
  <c r="G9068" i="1"/>
  <c r="F9068" i="1"/>
  <c r="E9068" i="1"/>
  <c r="D9068" i="1"/>
  <c r="C9068" i="1"/>
  <c r="B9068" i="1"/>
  <c r="G9067" i="1"/>
  <c r="F9067" i="1"/>
  <c r="E9067" i="1"/>
  <c r="D9067" i="1"/>
  <c r="C9067" i="1"/>
  <c r="B9067" i="1"/>
  <c r="G9066" i="1"/>
  <c r="F9066" i="1"/>
  <c r="E9066" i="1"/>
  <c r="D9066" i="1"/>
  <c r="C9066" i="1"/>
  <c r="B9066" i="1"/>
  <c r="G9065" i="1"/>
  <c r="F9065" i="1"/>
  <c r="E9065" i="1"/>
  <c r="D9065" i="1"/>
  <c r="C9065" i="1"/>
  <c r="B9065" i="1"/>
  <c r="G9064" i="1"/>
  <c r="F9064" i="1"/>
  <c r="E9064" i="1"/>
  <c r="D9064" i="1"/>
  <c r="C9064" i="1"/>
  <c r="B9064" i="1"/>
  <c r="G9063" i="1"/>
  <c r="F9063" i="1"/>
  <c r="E9063" i="1"/>
  <c r="D9063" i="1"/>
  <c r="C9063" i="1"/>
  <c r="B9063" i="1"/>
  <c r="G9062" i="1"/>
  <c r="F9062" i="1"/>
  <c r="E9062" i="1"/>
  <c r="D9062" i="1"/>
  <c r="C9062" i="1"/>
  <c r="B9062" i="1"/>
  <c r="G9061" i="1"/>
  <c r="F9061" i="1"/>
  <c r="E9061" i="1"/>
  <c r="D9061" i="1"/>
  <c r="C9061" i="1"/>
  <c r="B9061" i="1"/>
  <c r="G9060" i="1"/>
  <c r="F9060" i="1"/>
  <c r="E9060" i="1"/>
  <c r="D9060" i="1"/>
  <c r="C9060" i="1"/>
  <c r="B9060" i="1"/>
  <c r="G9059" i="1"/>
  <c r="F9059" i="1"/>
  <c r="E9059" i="1"/>
  <c r="D9059" i="1"/>
  <c r="C9059" i="1"/>
  <c r="B9059" i="1"/>
  <c r="G9058" i="1"/>
  <c r="F9058" i="1"/>
  <c r="E9058" i="1"/>
  <c r="D9058" i="1"/>
  <c r="C9058" i="1"/>
  <c r="B9058" i="1"/>
  <c r="G9057" i="1"/>
  <c r="F9057" i="1"/>
  <c r="E9057" i="1"/>
  <c r="D9057" i="1"/>
  <c r="C9057" i="1"/>
  <c r="B9057" i="1"/>
  <c r="G9056" i="1"/>
  <c r="F9056" i="1"/>
  <c r="E9056" i="1"/>
  <c r="D9056" i="1"/>
  <c r="C9056" i="1"/>
  <c r="B9056" i="1"/>
  <c r="G9055" i="1"/>
  <c r="F9055" i="1"/>
  <c r="E9055" i="1"/>
  <c r="D9055" i="1"/>
  <c r="C9055" i="1"/>
  <c r="B9055" i="1"/>
  <c r="G9054" i="1"/>
  <c r="F9054" i="1"/>
  <c r="E9054" i="1"/>
  <c r="D9054" i="1"/>
  <c r="C9054" i="1"/>
  <c r="B9054" i="1"/>
  <c r="G9053" i="1"/>
  <c r="F9053" i="1"/>
  <c r="E9053" i="1"/>
  <c r="D9053" i="1"/>
  <c r="C9053" i="1"/>
  <c r="B9053" i="1"/>
  <c r="G9052" i="1"/>
  <c r="F9052" i="1"/>
  <c r="E9052" i="1"/>
  <c r="D9052" i="1"/>
  <c r="C9052" i="1"/>
  <c r="B9052" i="1"/>
  <c r="G9051" i="1"/>
  <c r="F9051" i="1"/>
  <c r="E9051" i="1"/>
  <c r="D9051" i="1"/>
  <c r="C9051" i="1"/>
  <c r="B9051" i="1"/>
  <c r="G9050" i="1"/>
  <c r="F9050" i="1"/>
  <c r="E9050" i="1"/>
  <c r="D9050" i="1"/>
  <c r="C9050" i="1"/>
  <c r="B9050" i="1"/>
  <c r="G9049" i="1"/>
  <c r="F9049" i="1"/>
  <c r="E9049" i="1"/>
  <c r="D9049" i="1"/>
  <c r="C9049" i="1"/>
  <c r="B9049" i="1"/>
  <c r="G9048" i="1"/>
  <c r="F9048" i="1"/>
  <c r="E9048" i="1"/>
  <c r="D9048" i="1"/>
  <c r="C9048" i="1"/>
  <c r="B9048" i="1"/>
  <c r="G9047" i="1"/>
  <c r="F9047" i="1"/>
  <c r="E9047" i="1"/>
  <c r="D9047" i="1"/>
  <c r="C9047" i="1"/>
  <c r="B9047" i="1"/>
  <c r="G9046" i="1"/>
  <c r="F9046" i="1"/>
  <c r="E9046" i="1"/>
  <c r="D9046" i="1"/>
  <c r="C9046" i="1"/>
  <c r="B9046" i="1"/>
  <c r="G9045" i="1"/>
  <c r="F9045" i="1"/>
  <c r="E9045" i="1"/>
  <c r="D9045" i="1"/>
  <c r="C9045" i="1"/>
  <c r="B9045" i="1"/>
  <c r="G9044" i="1"/>
  <c r="F9044" i="1"/>
  <c r="E9044" i="1"/>
  <c r="D9044" i="1"/>
  <c r="C9044" i="1"/>
  <c r="B9044" i="1"/>
  <c r="G9043" i="1"/>
  <c r="F9043" i="1"/>
  <c r="E9043" i="1"/>
  <c r="D9043" i="1"/>
  <c r="C9043" i="1"/>
  <c r="B9043" i="1"/>
  <c r="G9042" i="1"/>
  <c r="F9042" i="1"/>
  <c r="E9042" i="1"/>
  <c r="D9042" i="1"/>
  <c r="C9042" i="1"/>
  <c r="B9042" i="1"/>
  <c r="G9041" i="1"/>
  <c r="F9041" i="1"/>
  <c r="E9041" i="1"/>
  <c r="D9041" i="1"/>
  <c r="C9041" i="1"/>
  <c r="B9041" i="1"/>
  <c r="G9040" i="1"/>
  <c r="F9040" i="1"/>
  <c r="E9040" i="1"/>
  <c r="D9040" i="1"/>
  <c r="C9040" i="1"/>
  <c r="B9040" i="1"/>
  <c r="G9039" i="1"/>
  <c r="F9039" i="1"/>
  <c r="E9039" i="1"/>
  <c r="D9039" i="1"/>
  <c r="C9039" i="1"/>
  <c r="B9039" i="1"/>
  <c r="G9038" i="1"/>
  <c r="F9038" i="1"/>
  <c r="E9038" i="1"/>
  <c r="D9038" i="1"/>
  <c r="C9038" i="1"/>
  <c r="B9038" i="1"/>
  <c r="G9037" i="1"/>
  <c r="F9037" i="1"/>
  <c r="E9037" i="1"/>
  <c r="D9037" i="1"/>
  <c r="C9037" i="1"/>
  <c r="B9037" i="1"/>
  <c r="G9036" i="1"/>
  <c r="F9036" i="1"/>
  <c r="E9036" i="1"/>
  <c r="D9036" i="1"/>
  <c r="C9036" i="1"/>
  <c r="B9036" i="1"/>
  <c r="G9035" i="1"/>
  <c r="F9035" i="1"/>
  <c r="E9035" i="1"/>
  <c r="D9035" i="1"/>
  <c r="C9035" i="1"/>
  <c r="B9035" i="1"/>
  <c r="G9034" i="1"/>
  <c r="F9034" i="1"/>
  <c r="E9034" i="1"/>
  <c r="D9034" i="1"/>
  <c r="C9034" i="1"/>
  <c r="B9034" i="1"/>
  <c r="G9033" i="1"/>
  <c r="F9033" i="1"/>
  <c r="E9033" i="1"/>
  <c r="D9033" i="1"/>
  <c r="C9033" i="1"/>
  <c r="B9033" i="1"/>
  <c r="G9032" i="1"/>
  <c r="F9032" i="1"/>
  <c r="E9032" i="1"/>
  <c r="D9032" i="1"/>
  <c r="C9032" i="1"/>
  <c r="B9032" i="1"/>
  <c r="G9031" i="1"/>
  <c r="F9031" i="1"/>
  <c r="E9031" i="1"/>
  <c r="D9031" i="1"/>
  <c r="C9031" i="1"/>
  <c r="B9031" i="1"/>
  <c r="G9030" i="1"/>
  <c r="F9030" i="1"/>
  <c r="E9030" i="1"/>
  <c r="D9030" i="1"/>
  <c r="C9030" i="1"/>
  <c r="B9030" i="1"/>
  <c r="G9029" i="1"/>
  <c r="F9029" i="1"/>
  <c r="E9029" i="1"/>
  <c r="D9029" i="1"/>
  <c r="C9029" i="1"/>
  <c r="B9029" i="1"/>
  <c r="G9028" i="1"/>
  <c r="F9028" i="1"/>
  <c r="E9028" i="1"/>
  <c r="D9028" i="1"/>
  <c r="C9028" i="1"/>
  <c r="B9028" i="1"/>
  <c r="G9027" i="1"/>
  <c r="F9027" i="1"/>
  <c r="E9027" i="1"/>
  <c r="D9027" i="1"/>
  <c r="C9027" i="1"/>
  <c r="B9027" i="1"/>
  <c r="G9026" i="1"/>
  <c r="F9026" i="1"/>
  <c r="E9026" i="1"/>
  <c r="D9026" i="1"/>
  <c r="C9026" i="1"/>
  <c r="B9026" i="1"/>
  <c r="G9025" i="1"/>
  <c r="F9025" i="1"/>
  <c r="E9025" i="1"/>
  <c r="D9025" i="1"/>
  <c r="C9025" i="1"/>
  <c r="B9025" i="1"/>
  <c r="G9024" i="1"/>
  <c r="F9024" i="1"/>
  <c r="E9024" i="1"/>
  <c r="D9024" i="1"/>
  <c r="C9024" i="1"/>
  <c r="B9024" i="1"/>
  <c r="G9023" i="1"/>
  <c r="F9023" i="1"/>
  <c r="E9023" i="1"/>
  <c r="D9023" i="1"/>
  <c r="C9023" i="1"/>
  <c r="B9023" i="1"/>
  <c r="G9022" i="1"/>
  <c r="F9022" i="1"/>
  <c r="E9022" i="1"/>
  <c r="D9022" i="1"/>
  <c r="C9022" i="1"/>
  <c r="B9022" i="1"/>
  <c r="G9021" i="1"/>
  <c r="F9021" i="1"/>
  <c r="E9021" i="1"/>
  <c r="D9021" i="1"/>
  <c r="C9021" i="1"/>
  <c r="B9021" i="1"/>
  <c r="G9020" i="1"/>
  <c r="F9020" i="1"/>
  <c r="E9020" i="1"/>
  <c r="D9020" i="1"/>
  <c r="C9020" i="1"/>
  <c r="B9020" i="1"/>
  <c r="G9019" i="1"/>
  <c r="F9019" i="1"/>
  <c r="E9019" i="1"/>
  <c r="D9019" i="1"/>
  <c r="C9019" i="1"/>
  <c r="B9019" i="1"/>
  <c r="G9018" i="1"/>
  <c r="F9018" i="1"/>
  <c r="E9018" i="1"/>
  <c r="D9018" i="1"/>
  <c r="C9018" i="1"/>
  <c r="B9018" i="1"/>
  <c r="G9017" i="1"/>
  <c r="F9017" i="1"/>
  <c r="E9017" i="1"/>
  <c r="D9017" i="1"/>
  <c r="C9017" i="1"/>
  <c r="B9017" i="1"/>
  <c r="G9016" i="1"/>
  <c r="F9016" i="1"/>
  <c r="E9016" i="1"/>
  <c r="D9016" i="1"/>
  <c r="C9016" i="1"/>
  <c r="B9016" i="1"/>
  <c r="G9015" i="1"/>
  <c r="F9015" i="1"/>
  <c r="E9015" i="1"/>
  <c r="D9015" i="1"/>
  <c r="C9015" i="1"/>
  <c r="B9015" i="1"/>
  <c r="G9014" i="1"/>
  <c r="F9014" i="1"/>
  <c r="E9014" i="1"/>
  <c r="D9014" i="1"/>
  <c r="C9014" i="1"/>
  <c r="B9014" i="1"/>
  <c r="G9013" i="1"/>
  <c r="F9013" i="1"/>
  <c r="E9013" i="1"/>
  <c r="D9013" i="1"/>
  <c r="C9013" i="1"/>
  <c r="B9013" i="1"/>
  <c r="G9012" i="1"/>
  <c r="F9012" i="1"/>
  <c r="E9012" i="1"/>
  <c r="D9012" i="1"/>
  <c r="C9012" i="1"/>
  <c r="B9012" i="1"/>
  <c r="G9011" i="1"/>
  <c r="F9011" i="1"/>
  <c r="E9011" i="1"/>
  <c r="D9011" i="1"/>
  <c r="C9011" i="1"/>
  <c r="B9011" i="1"/>
  <c r="G9010" i="1"/>
  <c r="F9010" i="1"/>
  <c r="E9010" i="1"/>
  <c r="D9010" i="1"/>
  <c r="C9010" i="1"/>
  <c r="B9010" i="1"/>
  <c r="G9009" i="1"/>
  <c r="F9009" i="1"/>
  <c r="E9009" i="1"/>
  <c r="D9009" i="1"/>
  <c r="C9009" i="1"/>
  <c r="B9009" i="1"/>
  <c r="G9008" i="1"/>
  <c r="F9008" i="1"/>
  <c r="E9008" i="1"/>
  <c r="D9008" i="1"/>
  <c r="C9008" i="1"/>
  <c r="B9008" i="1"/>
  <c r="G9007" i="1"/>
  <c r="F9007" i="1"/>
  <c r="E9007" i="1"/>
  <c r="D9007" i="1"/>
  <c r="C9007" i="1"/>
  <c r="B9007" i="1"/>
  <c r="G9006" i="1"/>
  <c r="F9006" i="1"/>
  <c r="E9006" i="1"/>
  <c r="D9006" i="1"/>
  <c r="C9006" i="1"/>
  <c r="B9006" i="1"/>
  <c r="G9005" i="1"/>
  <c r="F9005" i="1"/>
  <c r="E9005" i="1"/>
  <c r="D9005" i="1"/>
  <c r="C9005" i="1"/>
  <c r="B9005" i="1"/>
  <c r="G9004" i="1"/>
  <c r="F9004" i="1"/>
  <c r="E9004" i="1"/>
  <c r="D9004" i="1"/>
  <c r="C9004" i="1"/>
  <c r="B9004" i="1"/>
  <c r="G9003" i="1"/>
  <c r="F9003" i="1"/>
  <c r="E9003" i="1"/>
  <c r="D9003" i="1"/>
  <c r="C9003" i="1"/>
  <c r="B9003" i="1"/>
  <c r="G9002" i="1"/>
  <c r="F9002" i="1"/>
  <c r="E9002" i="1"/>
  <c r="D9002" i="1"/>
  <c r="C9002" i="1"/>
  <c r="B9002" i="1"/>
  <c r="G9001" i="1"/>
  <c r="F9001" i="1"/>
  <c r="E9001" i="1"/>
  <c r="D9001" i="1"/>
  <c r="C9001" i="1"/>
  <c r="B9001" i="1"/>
  <c r="G9000" i="1"/>
  <c r="F9000" i="1"/>
  <c r="E9000" i="1"/>
  <c r="D9000" i="1"/>
  <c r="C9000" i="1"/>
  <c r="B9000" i="1"/>
  <c r="G8999" i="1"/>
  <c r="F8999" i="1"/>
  <c r="E8999" i="1"/>
  <c r="D8999" i="1"/>
  <c r="C8999" i="1"/>
  <c r="B8999" i="1"/>
  <c r="G8998" i="1"/>
  <c r="F8998" i="1"/>
  <c r="E8998" i="1"/>
  <c r="D8998" i="1"/>
  <c r="C8998" i="1"/>
  <c r="B8998" i="1"/>
  <c r="G8997" i="1"/>
  <c r="F8997" i="1"/>
  <c r="E8997" i="1"/>
  <c r="D8997" i="1"/>
  <c r="C8997" i="1"/>
  <c r="B8997" i="1"/>
  <c r="G8996" i="1"/>
  <c r="F8996" i="1"/>
  <c r="E8996" i="1"/>
  <c r="D8996" i="1"/>
  <c r="C8996" i="1"/>
  <c r="B8996" i="1"/>
  <c r="G8995" i="1"/>
  <c r="F8995" i="1"/>
  <c r="E8995" i="1"/>
  <c r="D8995" i="1"/>
  <c r="C8995" i="1"/>
  <c r="B8995" i="1"/>
  <c r="G8994" i="1"/>
  <c r="F8994" i="1"/>
  <c r="E8994" i="1"/>
  <c r="D8994" i="1"/>
  <c r="C8994" i="1"/>
  <c r="B8994" i="1"/>
  <c r="G8993" i="1"/>
  <c r="F8993" i="1"/>
  <c r="E8993" i="1"/>
  <c r="D8993" i="1"/>
  <c r="C8993" i="1"/>
  <c r="B8993" i="1"/>
  <c r="G8992" i="1"/>
  <c r="F8992" i="1"/>
  <c r="E8992" i="1"/>
  <c r="D8992" i="1"/>
  <c r="C8992" i="1"/>
  <c r="B8992" i="1"/>
  <c r="G8991" i="1"/>
  <c r="F8991" i="1"/>
  <c r="E8991" i="1"/>
  <c r="D8991" i="1"/>
  <c r="C8991" i="1"/>
  <c r="B8991" i="1"/>
  <c r="G8990" i="1"/>
  <c r="F8990" i="1"/>
  <c r="E8990" i="1"/>
  <c r="D8990" i="1"/>
  <c r="C8990" i="1"/>
  <c r="B8990" i="1"/>
  <c r="G8989" i="1"/>
  <c r="F8989" i="1"/>
  <c r="E8989" i="1"/>
  <c r="D8989" i="1"/>
  <c r="C8989" i="1"/>
  <c r="B8989" i="1"/>
  <c r="G8988" i="1"/>
  <c r="F8988" i="1"/>
  <c r="E8988" i="1"/>
  <c r="D8988" i="1"/>
  <c r="C8988" i="1"/>
  <c r="B8988" i="1"/>
  <c r="G8987" i="1"/>
  <c r="F8987" i="1"/>
  <c r="E8987" i="1"/>
  <c r="D8987" i="1"/>
  <c r="C8987" i="1"/>
  <c r="B8987" i="1"/>
  <c r="G8986" i="1"/>
  <c r="F8986" i="1"/>
  <c r="E8986" i="1"/>
  <c r="D8986" i="1"/>
  <c r="C8986" i="1"/>
  <c r="B8986" i="1"/>
  <c r="G8985" i="1"/>
  <c r="F8985" i="1"/>
  <c r="E8985" i="1"/>
  <c r="D8985" i="1"/>
  <c r="C8985" i="1"/>
  <c r="B8985" i="1"/>
  <c r="G8984" i="1"/>
  <c r="F8984" i="1"/>
  <c r="E8984" i="1"/>
  <c r="D8984" i="1"/>
  <c r="C8984" i="1"/>
  <c r="B8984" i="1"/>
  <c r="G8983" i="1"/>
  <c r="F8983" i="1"/>
  <c r="E8983" i="1"/>
  <c r="D8983" i="1"/>
  <c r="C8983" i="1"/>
  <c r="B8983" i="1"/>
  <c r="G8982" i="1"/>
  <c r="F8982" i="1"/>
  <c r="E8982" i="1"/>
  <c r="D8982" i="1"/>
  <c r="C8982" i="1"/>
  <c r="B8982" i="1"/>
  <c r="G8981" i="1"/>
  <c r="F8981" i="1"/>
  <c r="E8981" i="1"/>
  <c r="D8981" i="1"/>
  <c r="C8981" i="1"/>
  <c r="B8981" i="1"/>
  <c r="G8980" i="1"/>
  <c r="F8980" i="1"/>
  <c r="E8980" i="1"/>
  <c r="D8980" i="1"/>
  <c r="C8980" i="1"/>
  <c r="B8980" i="1"/>
  <c r="G8979" i="1"/>
  <c r="F8979" i="1"/>
  <c r="E8979" i="1"/>
  <c r="D8979" i="1"/>
  <c r="C8979" i="1"/>
  <c r="B8979" i="1"/>
  <c r="G8978" i="1"/>
  <c r="F8978" i="1"/>
  <c r="E8978" i="1"/>
  <c r="D8978" i="1"/>
  <c r="C8978" i="1"/>
  <c r="B8978" i="1"/>
  <c r="G8977" i="1"/>
  <c r="F8977" i="1"/>
  <c r="E8977" i="1"/>
  <c r="D8977" i="1"/>
  <c r="C8977" i="1"/>
  <c r="B8977" i="1"/>
  <c r="G8976" i="1"/>
  <c r="F8976" i="1"/>
  <c r="E8976" i="1"/>
  <c r="D8976" i="1"/>
  <c r="C8976" i="1"/>
  <c r="B8976" i="1"/>
  <c r="G8975" i="1"/>
  <c r="F8975" i="1"/>
  <c r="E8975" i="1"/>
  <c r="D8975" i="1"/>
  <c r="C8975" i="1"/>
  <c r="B8975" i="1"/>
  <c r="G8974" i="1"/>
  <c r="F8974" i="1"/>
  <c r="E8974" i="1"/>
  <c r="D8974" i="1"/>
  <c r="C8974" i="1"/>
  <c r="B8974" i="1"/>
  <c r="G8973" i="1"/>
  <c r="F8973" i="1"/>
  <c r="E8973" i="1"/>
  <c r="D8973" i="1"/>
  <c r="C8973" i="1"/>
  <c r="B8973" i="1"/>
  <c r="G8972" i="1"/>
  <c r="F8972" i="1"/>
  <c r="E8972" i="1"/>
  <c r="D8972" i="1"/>
  <c r="C8972" i="1"/>
  <c r="B8972" i="1"/>
  <c r="G8971" i="1"/>
  <c r="F8971" i="1"/>
  <c r="E8971" i="1"/>
  <c r="D8971" i="1"/>
  <c r="C8971" i="1"/>
  <c r="B8971" i="1"/>
  <c r="G8970" i="1"/>
  <c r="F8970" i="1"/>
  <c r="E8970" i="1"/>
  <c r="D8970" i="1"/>
  <c r="C8970" i="1"/>
  <c r="B8970" i="1"/>
  <c r="G8969" i="1"/>
  <c r="F8969" i="1"/>
  <c r="E8969" i="1"/>
  <c r="D8969" i="1"/>
  <c r="C8969" i="1"/>
  <c r="B8969" i="1"/>
  <c r="G8968" i="1"/>
  <c r="F8968" i="1"/>
  <c r="E8968" i="1"/>
  <c r="D8968" i="1"/>
  <c r="C8968" i="1"/>
  <c r="B8968" i="1"/>
  <c r="G8967" i="1"/>
  <c r="F8967" i="1"/>
  <c r="E8967" i="1"/>
  <c r="D8967" i="1"/>
  <c r="C8967" i="1"/>
  <c r="B8967" i="1"/>
  <c r="G8966" i="1"/>
  <c r="F8966" i="1"/>
  <c r="E8966" i="1"/>
  <c r="D8966" i="1"/>
  <c r="C8966" i="1"/>
  <c r="B8966" i="1"/>
  <c r="G8965" i="1"/>
  <c r="F8965" i="1"/>
  <c r="E8965" i="1"/>
  <c r="D8965" i="1"/>
  <c r="C8965" i="1"/>
  <c r="B8965" i="1"/>
  <c r="G8964" i="1"/>
  <c r="F8964" i="1"/>
  <c r="E8964" i="1"/>
  <c r="D8964" i="1"/>
  <c r="C8964" i="1"/>
  <c r="B8964" i="1"/>
  <c r="G8963" i="1"/>
  <c r="F8963" i="1"/>
  <c r="E8963" i="1"/>
  <c r="D8963" i="1"/>
  <c r="C8963" i="1"/>
  <c r="B8963" i="1"/>
  <c r="G8962" i="1"/>
  <c r="F8962" i="1"/>
  <c r="E8962" i="1"/>
  <c r="D8962" i="1"/>
  <c r="C8962" i="1"/>
  <c r="B8962" i="1"/>
  <c r="G8961" i="1"/>
  <c r="F8961" i="1"/>
  <c r="E8961" i="1"/>
  <c r="D8961" i="1"/>
  <c r="C8961" i="1"/>
  <c r="B8961" i="1"/>
  <c r="G8960" i="1"/>
  <c r="F8960" i="1"/>
  <c r="E8960" i="1"/>
  <c r="D8960" i="1"/>
  <c r="C8960" i="1"/>
  <c r="B8960" i="1"/>
  <c r="G8959" i="1"/>
  <c r="F8959" i="1"/>
  <c r="E8959" i="1"/>
  <c r="D8959" i="1"/>
  <c r="C8959" i="1"/>
  <c r="B8959" i="1"/>
  <c r="G8958" i="1"/>
  <c r="F8958" i="1"/>
  <c r="E8958" i="1"/>
  <c r="D8958" i="1"/>
  <c r="C8958" i="1"/>
  <c r="B8958" i="1"/>
  <c r="G8957" i="1"/>
  <c r="F8957" i="1"/>
  <c r="E8957" i="1"/>
  <c r="D8957" i="1"/>
  <c r="C8957" i="1"/>
  <c r="B8957" i="1"/>
  <c r="G8956" i="1"/>
  <c r="F8956" i="1"/>
  <c r="E8956" i="1"/>
  <c r="D8956" i="1"/>
  <c r="C8956" i="1"/>
  <c r="B8956" i="1"/>
  <c r="G8955" i="1"/>
  <c r="F8955" i="1"/>
  <c r="E8955" i="1"/>
  <c r="D8955" i="1"/>
  <c r="C8955" i="1"/>
  <c r="B8955" i="1"/>
  <c r="G8954" i="1"/>
  <c r="F8954" i="1"/>
  <c r="E8954" i="1"/>
  <c r="D8954" i="1"/>
  <c r="C8954" i="1"/>
  <c r="B8954" i="1"/>
  <c r="G8953" i="1"/>
  <c r="F8953" i="1"/>
  <c r="E8953" i="1"/>
  <c r="D8953" i="1"/>
  <c r="C8953" i="1"/>
  <c r="B8953" i="1"/>
  <c r="G8952" i="1"/>
  <c r="F8952" i="1"/>
  <c r="E8952" i="1"/>
  <c r="D8952" i="1"/>
  <c r="C8952" i="1"/>
  <c r="B8952" i="1"/>
  <c r="G8951" i="1"/>
  <c r="F8951" i="1"/>
  <c r="E8951" i="1"/>
  <c r="D8951" i="1"/>
  <c r="C8951" i="1"/>
  <c r="B8951" i="1"/>
  <c r="G8950" i="1"/>
  <c r="F8950" i="1"/>
  <c r="E8950" i="1"/>
  <c r="D8950" i="1"/>
  <c r="C8950" i="1"/>
  <c r="B8950" i="1"/>
  <c r="G8949" i="1"/>
  <c r="F8949" i="1"/>
  <c r="E8949" i="1"/>
  <c r="D8949" i="1"/>
  <c r="C8949" i="1"/>
  <c r="B8949" i="1"/>
  <c r="G8948" i="1"/>
  <c r="F8948" i="1"/>
  <c r="E8948" i="1"/>
  <c r="D8948" i="1"/>
  <c r="C8948" i="1"/>
  <c r="B8948" i="1"/>
  <c r="G8947" i="1"/>
  <c r="F8947" i="1"/>
  <c r="E8947" i="1"/>
  <c r="D8947" i="1"/>
  <c r="C8947" i="1"/>
  <c r="B8947" i="1"/>
  <c r="G8946" i="1"/>
  <c r="F8946" i="1"/>
  <c r="E8946" i="1"/>
  <c r="D8946" i="1"/>
  <c r="C8946" i="1"/>
  <c r="B8946" i="1"/>
  <c r="G8945" i="1"/>
  <c r="F8945" i="1"/>
  <c r="E8945" i="1"/>
  <c r="D8945" i="1"/>
  <c r="C8945" i="1"/>
  <c r="B8945" i="1"/>
  <c r="G8944" i="1"/>
  <c r="F8944" i="1"/>
  <c r="E8944" i="1"/>
  <c r="D8944" i="1"/>
  <c r="C8944" i="1"/>
  <c r="B8944" i="1"/>
  <c r="G8943" i="1"/>
  <c r="F8943" i="1"/>
  <c r="E8943" i="1"/>
  <c r="D8943" i="1"/>
  <c r="C8943" i="1"/>
  <c r="B8943" i="1"/>
  <c r="G8942" i="1"/>
  <c r="F8942" i="1"/>
  <c r="E8942" i="1"/>
  <c r="D8942" i="1"/>
  <c r="C8942" i="1"/>
  <c r="B8942" i="1"/>
  <c r="G8941" i="1"/>
  <c r="F8941" i="1"/>
  <c r="E8941" i="1"/>
  <c r="D8941" i="1"/>
  <c r="C8941" i="1"/>
  <c r="B8941" i="1"/>
  <c r="G8940" i="1"/>
  <c r="F8940" i="1"/>
  <c r="E8940" i="1"/>
  <c r="D8940" i="1"/>
  <c r="C8940" i="1"/>
  <c r="B8940" i="1"/>
  <c r="G8939" i="1"/>
  <c r="F8939" i="1"/>
  <c r="E8939" i="1"/>
  <c r="D8939" i="1"/>
  <c r="C8939" i="1"/>
  <c r="B8939" i="1"/>
  <c r="G8938" i="1"/>
  <c r="F8938" i="1"/>
  <c r="E8938" i="1"/>
  <c r="D8938" i="1"/>
  <c r="C8938" i="1"/>
  <c r="B8938" i="1"/>
  <c r="G8937" i="1"/>
  <c r="F8937" i="1"/>
  <c r="E8937" i="1"/>
  <c r="D8937" i="1"/>
  <c r="C8937" i="1"/>
  <c r="B8937" i="1"/>
  <c r="G8936" i="1"/>
  <c r="F8936" i="1"/>
  <c r="E8936" i="1"/>
  <c r="D8936" i="1"/>
  <c r="C8936" i="1"/>
  <c r="B8936" i="1"/>
  <c r="G8935" i="1"/>
  <c r="F8935" i="1"/>
  <c r="E8935" i="1"/>
  <c r="D8935" i="1"/>
  <c r="C8935" i="1"/>
  <c r="B8935" i="1"/>
  <c r="G8934" i="1"/>
  <c r="F8934" i="1"/>
  <c r="E8934" i="1"/>
  <c r="D8934" i="1"/>
  <c r="C8934" i="1"/>
  <c r="B8934" i="1"/>
  <c r="G8933" i="1"/>
  <c r="F8933" i="1"/>
  <c r="E8933" i="1"/>
  <c r="D8933" i="1"/>
  <c r="C8933" i="1"/>
  <c r="B8933" i="1"/>
  <c r="G8932" i="1"/>
  <c r="F8932" i="1"/>
  <c r="E8932" i="1"/>
  <c r="D8932" i="1"/>
  <c r="C8932" i="1"/>
  <c r="B8932" i="1"/>
  <c r="G8931" i="1"/>
  <c r="F8931" i="1"/>
  <c r="E8931" i="1"/>
  <c r="D8931" i="1"/>
  <c r="C8931" i="1"/>
  <c r="B8931" i="1"/>
  <c r="G8930" i="1"/>
  <c r="F8930" i="1"/>
  <c r="E8930" i="1"/>
  <c r="D8930" i="1"/>
  <c r="C8930" i="1"/>
  <c r="B8930" i="1"/>
  <c r="G8929" i="1"/>
  <c r="F8929" i="1"/>
  <c r="E8929" i="1"/>
  <c r="D8929" i="1"/>
  <c r="C8929" i="1"/>
  <c r="B8929" i="1"/>
  <c r="G8928" i="1"/>
  <c r="F8928" i="1"/>
  <c r="E8928" i="1"/>
  <c r="D8928" i="1"/>
  <c r="C8928" i="1"/>
  <c r="B8928" i="1"/>
  <c r="G8927" i="1"/>
  <c r="F8927" i="1"/>
  <c r="E8927" i="1"/>
  <c r="D8927" i="1"/>
  <c r="C8927" i="1"/>
  <c r="B8927" i="1"/>
  <c r="G8926" i="1"/>
  <c r="F8926" i="1"/>
  <c r="E8926" i="1"/>
  <c r="D8926" i="1"/>
  <c r="C8926" i="1"/>
  <c r="B8926" i="1"/>
  <c r="G8925" i="1"/>
  <c r="F8925" i="1"/>
  <c r="E8925" i="1"/>
  <c r="D8925" i="1"/>
  <c r="C8925" i="1"/>
  <c r="B8925" i="1"/>
  <c r="G8924" i="1"/>
  <c r="F8924" i="1"/>
  <c r="E8924" i="1"/>
  <c r="D8924" i="1"/>
  <c r="C8924" i="1"/>
  <c r="B8924" i="1"/>
  <c r="G8923" i="1"/>
  <c r="F8923" i="1"/>
  <c r="E8923" i="1"/>
  <c r="D8923" i="1"/>
  <c r="C8923" i="1"/>
  <c r="B8923" i="1"/>
  <c r="G8922" i="1"/>
  <c r="F8922" i="1"/>
  <c r="E8922" i="1"/>
  <c r="D8922" i="1"/>
  <c r="C8922" i="1"/>
  <c r="B8922" i="1"/>
  <c r="G8921" i="1"/>
  <c r="F8921" i="1"/>
  <c r="E8921" i="1"/>
  <c r="D8921" i="1"/>
  <c r="C8921" i="1"/>
  <c r="B8921" i="1"/>
  <c r="G8920" i="1"/>
  <c r="F8920" i="1"/>
  <c r="E8920" i="1"/>
  <c r="D8920" i="1"/>
  <c r="C8920" i="1"/>
  <c r="B8920" i="1"/>
  <c r="G8919" i="1"/>
  <c r="F8919" i="1"/>
  <c r="E8919" i="1"/>
  <c r="D8919" i="1"/>
  <c r="C8919" i="1"/>
  <c r="B8919" i="1"/>
  <c r="G8918" i="1"/>
  <c r="F8918" i="1"/>
  <c r="E8918" i="1"/>
  <c r="D8918" i="1"/>
  <c r="C8918" i="1"/>
  <c r="B8918" i="1"/>
  <c r="G8917" i="1"/>
  <c r="F8917" i="1"/>
  <c r="E8917" i="1"/>
  <c r="D8917" i="1"/>
  <c r="C8917" i="1"/>
  <c r="B8917" i="1"/>
  <c r="G8916" i="1"/>
  <c r="F8916" i="1"/>
  <c r="E8916" i="1"/>
  <c r="D8916" i="1"/>
  <c r="C8916" i="1"/>
  <c r="B8916" i="1"/>
  <c r="G8915" i="1"/>
  <c r="F8915" i="1"/>
  <c r="E8915" i="1"/>
  <c r="D8915" i="1"/>
  <c r="C8915" i="1"/>
  <c r="B8915" i="1"/>
  <c r="G8914" i="1"/>
  <c r="F8914" i="1"/>
  <c r="E8914" i="1"/>
  <c r="D8914" i="1"/>
  <c r="C8914" i="1"/>
  <c r="B8914" i="1"/>
  <c r="G8913" i="1"/>
  <c r="F8913" i="1"/>
  <c r="E8913" i="1"/>
  <c r="D8913" i="1"/>
  <c r="C8913" i="1"/>
  <c r="B8913" i="1"/>
  <c r="G8912" i="1"/>
  <c r="F8912" i="1"/>
  <c r="E8912" i="1"/>
  <c r="D8912" i="1"/>
  <c r="C8912" i="1"/>
  <c r="B8912" i="1"/>
  <c r="G8911" i="1"/>
  <c r="F8911" i="1"/>
  <c r="E8911" i="1"/>
  <c r="D8911" i="1"/>
  <c r="C8911" i="1"/>
  <c r="B8911" i="1"/>
  <c r="G8910" i="1"/>
  <c r="F8910" i="1"/>
  <c r="E8910" i="1"/>
  <c r="D8910" i="1"/>
  <c r="C8910" i="1"/>
  <c r="B8910" i="1"/>
  <c r="G8909" i="1"/>
  <c r="F8909" i="1"/>
  <c r="E8909" i="1"/>
  <c r="D8909" i="1"/>
  <c r="C8909" i="1"/>
  <c r="B8909" i="1"/>
  <c r="G8908" i="1"/>
  <c r="F8908" i="1"/>
  <c r="E8908" i="1"/>
  <c r="D8908" i="1"/>
  <c r="C8908" i="1"/>
  <c r="B8908" i="1"/>
  <c r="G8907" i="1"/>
  <c r="F8907" i="1"/>
  <c r="E8907" i="1"/>
  <c r="D8907" i="1"/>
  <c r="C8907" i="1"/>
  <c r="B8907" i="1"/>
  <c r="G8906" i="1"/>
  <c r="F8906" i="1"/>
  <c r="E8906" i="1"/>
  <c r="D8906" i="1"/>
  <c r="C8906" i="1"/>
  <c r="B8906" i="1"/>
  <c r="G8905" i="1"/>
  <c r="F8905" i="1"/>
  <c r="E8905" i="1"/>
  <c r="D8905" i="1"/>
  <c r="C8905" i="1"/>
  <c r="B8905" i="1"/>
  <c r="G8904" i="1"/>
  <c r="F8904" i="1"/>
  <c r="E8904" i="1"/>
  <c r="D8904" i="1"/>
  <c r="C8904" i="1"/>
  <c r="B8904" i="1"/>
  <c r="G8903" i="1"/>
  <c r="F8903" i="1"/>
  <c r="E8903" i="1"/>
  <c r="D8903" i="1"/>
  <c r="C8903" i="1"/>
  <c r="B8903" i="1"/>
  <c r="G8902" i="1"/>
  <c r="F8902" i="1"/>
  <c r="E8902" i="1"/>
  <c r="D8902" i="1"/>
  <c r="C8902" i="1"/>
  <c r="B8902" i="1"/>
  <c r="G8901" i="1"/>
  <c r="F8901" i="1"/>
  <c r="E8901" i="1"/>
  <c r="D8901" i="1"/>
  <c r="C8901" i="1"/>
  <c r="B8901" i="1"/>
  <c r="G8900" i="1"/>
  <c r="F8900" i="1"/>
  <c r="E8900" i="1"/>
  <c r="D8900" i="1"/>
  <c r="C8900" i="1"/>
  <c r="B8900" i="1"/>
  <c r="G8899" i="1"/>
  <c r="F8899" i="1"/>
  <c r="E8899" i="1"/>
  <c r="D8899" i="1"/>
  <c r="C8899" i="1"/>
  <c r="B8899" i="1"/>
  <c r="G8898" i="1"/>
  <c r="D8898" i="1"/>
  <c r="C8898" i="1"/>
  <c r="B8898" i="1"/>
  <c r="G8897" i="1"/>
  <c r="F8897" i="1"/>
  <c r="E8897" i="1"/>
  <c r="D8897" i="1"/>
  <c r="C8897" i="1"/>
  <c r="B8897" i="1"/>
  <c r="G8896" i="1"/>
  <c r="F8896" i="1"/>
  <c r="E8896" i="1"/>
  <c r="D8896" i="1"/>
  <c r="C8896" i="1"/>
  <c r="B8896" i="1"/>
  <c r="G8895" i="1"/>
  <c r="F8895" i="1"/>
  <c r="E8895" i="1"/>
  <c r="D8895" i="1"/>
  <c r="C8895" i="1"/>
  <c r="B8895" i="1"/>
  <c r="G8894" i="1"/>
  <c r="F8894" i="1"/>
  <c r="E8894" i="1"/>
  <c r="D8894" i="1"/>
  <c r="C8894" i="1"/>
  <c r="B8894" i="1"/>
  <c r="G8893" i="1"/>
  <c r="F8893" i="1"/>
  <c r="E8893" i="1"/>
  <c r="D8893" i="1"/>
  <c r="C8893" i="1"/>
  <c r="B8893" i="1"/>
  <c r="G8892" i="1"/>
  <c r="F8892" i="1"/>
  <c r="E8892" i="1"/>
  <c r="D8892" i="1"/>
  <c r="C8892" i="1"/>
  <c r="B8892" i="1"/>
  <c r="G8891" i="1"/>
  <c r="F8891" i="1"/>
  <c r="E8891" i="1"/>
  <c r="D8891" i="1"/>
  <c r="C8891" i="1"/>
  <c r="B8891" i="1"/>
  <c r="G8890" i="1"/>
  <c r="F8890" i="1"/>
  <c r="E8890" i="1"/>
  <c r="D8890" i="1"/>
  <c r="C8890" i="1"/>
  <c r="B8890" i="1"/>
  <c r="G8889" i="1"/>
  <c r="F8889" i="1"/>
  <c r="E8889" i="1"/>
  <c r="D8889" i="1"/>
  <c r="C8889" i="1"/>
  <c r="B8889" i="1"/>
  <c r="G8888" i="1"/>
  <c r="F8888" i="1"/>
  <c r="E8888" i="1"/>
  <c r="D8888" i="1"/>
  <c r="C8888" i="1"/>
  <c r="B8888" i="1"/>
  <c r="G8887" i="1"/>
  <c r="F8887" i="1"/>
  <c r="E8887" i="1"/>
  <c r="D8887" i="1"/>
  <c r="C8887" i="1"/>
  <c r="B8887" i="1"/>
  <c r="G8886" i="1"/>
  <c r="F8886" i="1"/>
  <c r="E8886" i="1"/>
  <c r="D8886" i="1"/>
  <c r="C8886" i="1"/>
  <c r="B8886" i="1"/>
  <c r="G8885" i="1"/>
  <c r="F8885" i="1"/>
  <c r="E8885" i="1"/>
  <c r="D8885" i="1"/>
  <c r="C8885" i="1"/>
  <c r="B8885" i="1"/>
  <c r="G8884" i="1"/>
  <c r="F8884" i="1"/>
  <c r="E8884" i="1"/>
  <c r="D8884" i="1"/>
  <c r="C8884" i="1"/>
  <c r="B8884" i="1"/>
  <c r="G8883" i="1"/>
  <c r="F8883" i="1"/>
  <c r="E8883" i="1"/>
  <c r="D8883" i="1"/>
  <c r="C8883" i="1"/>
  <c r="B8883" i="1"/>
  <c r="G8882" i="1"/>
  <c r="F8882" i="1"/>
  <c r="E8882" i="1"/>
  <c r="D8882" i="1"/>
  <c r="C8882" i="1"/>
  <c r="B8882" i="1"/>
  <c r="G8881" i="1"/>
  <c r="F8881" i="1"/>
  <c r="E8881" i="1"/>
  <c r="D8881" i="1"/>
  <c r="C8881" i="1"/>
  <c r="B8881" i="1"/>
  <c r="G8880" i="1"/>
  <c r="F8880" i="1"/>
  <c r="E8880" i="1"/>
  <c r="D8880" i="1"/>
  <c r="C8880" i="1"/>
  <c r="B8880" i="1"/>
  <c r="G8879" i="1"/>
  <c r="F8879" i="1"/>
  <c r="E8879" i="1"/>
  <c r="D8879" i="1"/>
  <c r="C8879" i="1"/>
  <c r="B8879" i="1"/>
  <c r="G8878" i="1"/>
  <c r="F8878" i="1"/>
  <c r="E8878" i="1"/>
  <c r="D8878" i="1"/>
  <c r="C8878" i="1"/>
  <c r="B8878" i="1"/>
  <c r="G8877" i="1"/>
  <c r="F8877" i="1"/>
  <c r="E8877" i="1"/>
  <c r="D8877" i="1"/>
  <c r="C8877" i="1"/>
  <c r="B8877" i="1"/>
  <c r="G8876" i="1"/>
  <c r="F8876" i="1"/>
  <c r="E8876" i="1"/>
  <c r="D8876" i="1"/>
  <c r="C8876" i="1"/>
  <c r="B8876" i="1"/>
  <c r="G8875" i="1"/>
  <c r="F8875" i="1"/>
  <c r="E8875" i="1"/>
  <c r="D8875" i="1"/>
  <c r="C8875" i="1"/>
  <c r="B8875" i="1"/>
  <c r="G8874" i="1"/>
  <c r="F8874" i="1"/>
  <c r="E8874" i="1"/>
  <c r="D8874" i="1"/>
  <c r="C8874" i="1"/>
  <c r="B8874" i="1"/>
  <c r="G8873" i="1"/>
  <c r="F8873" i="1"/>
  <c r="E8873" i="1"/>
  <c r="D8873" i="1"/>
  <c r="C8873" i="1"/>
  <c r="B8873" i="1"/>
  <c r="G8872" i="1"/>
  <c r="F8872" i="1"/>
  <c r="E8872" i="1"/>
  <c r="D8872" i="1"/>
  <c r="C8872" i="1"/>
  <c r="B8872" i="1"/>
  <c r="G8871" i="1"/>
  <c r="F8871" i="1"/>
  <c r="E8871" i="1"/>
  <c r="D8871" i="1"/>
  <c r="C8871" i="1"/>
  <c r="B8871" i="1"/>
  <c r="G8870" i="1"/>
  <c r="F8870" i="1"/>
  <c r="E8870" i="1"/>
  <c r="D8870" i="1"/>
  <c r="C8870" i="1"/>
  <c r="B8870" i="1"/>
  <c r="G8869" i="1"/>
  <c r="F8869" i="1"/>
  <c r="E8869" i="1"/>
  <c r="D8869" i="1"/>
  <c r="C8869" i="1"/>
  <c r="B8869" i="1"/>
  <c r="G8868" i="1"/>
  <c r="F8868" i="1"/>
  <c r="E8868" i="1"/>
  <c r="D8868" i="1"/>
  <c r="C8868" i="1"/>
  <c r="B8868" i="1"/>
  <c r="G8867" i="1"/>
  <c r="F8867" i="1"/>
  <c r="E8867" i="1"/>
  <c r="D8867" i="1"/>
  <c r="C8867" i="1"/>
  <c r="B8867" i="1"/>
  <c r="G8866" i="1"/>
  <c r="F8866" i="1"/>
  <c r="E8866" i="1"/>
  <c r="D8866" i="1"/>
  <c r="C8866" i="1"/>
  <c r="B8866" i="1"/>
  <c r="G8865" i="1"/>
  <c r="F8865" i="1"/>
  <c r="E8865" i="1"/>
  <c r="D8865" i="1"/>
  <c r="C8865" i="1"/>
  <c r="B8865" i="1"/>
  <c r="G8864" i="1"/>
  <c r="F8864" i="1"/>
  <c r="E8864" i="1"/>
  <c r="D8864" i="1"/>
  <c r="C8864" i="1"/>
  <c r="B8864" i="1"/>
  <c r="G8863" i="1"/>
  <c r="F8863" i="1"/>
  <c r="E8863" i="1"/>
  <c r="D8863" i="1"/>
  <c r="C8863" i="1"/>
  <c r="B8863" i="1"/>
  <c r="G8862" i="1"/>
  <c r="F8862" i="1"/>
  <c r="E8862" i="1"/>
  <c r="D8862" i="1"/>
  <c r="C8862" i="1"/>
  <c r="B8862" i="1"/>
  <c r="G8861" i="1"/>
  <c r="F8861" i="1"/>
  <c r="E8861" i="1"/>
  <c r="D8861" i="1"/>
  <c r="C8861" i="1"/>
  <c r="B8861" i="1"/>
  <c r="G8860" i="1"/>
  <c r="F8860" i="1"/>
  <c r="E8860" i="1"/>
  <c r="D8860" i="1"/>
  <c r="C8860" i="1"/>
  <c r="B8860" i="1"/>
  <c r="G8859" i="1"/>
  <c r="F8859" i="1"/>
  <c r="E8859" i="1"/>
  <c r="D8859" i="1"/>
  <c r="C8859" i="1"/>
  <c r="B8859" i="1"/>
  <c r="G8858" i="1"/>
  <c r="F8858" i="1"/>
  <c r="E8858" i="1"/>
  <c r="D8858" i="1"/>
  <c r="C8858" i="1"/>
  <c r="B8858" i="1"/>
  <c r="G8857" i="1"/>
  <c r="F8857" i="1"/>
  <c r="E8857" i="1"/>
  <c r="D8857" i="1"/>
  <c r="C8857" i="1"/>
  <c r="B8857" i="1"/>
  <c r="G8856" i="1"/>
  <c r="F8856" i="1"/>
  <c r="E8856" i="1"/>
  <c r="D8856" i="1"/>
  <c r="C8856" i="1"/>
  <c r="B8856" i="1"/>
  <c r="G8855" i="1"/>
  <c r="F8855" i="1"/>
  <c r="E8855" i="1"/>
  <c r="D8855" i="1"/>
  <c r="C8855" i="1"/>
  <c r="B8855" i="1"/>
  <c r="G8854" i="1"/>
  <c r="F8854" i="1"/>
  <c r="E8854" i="1"/>
  <c r="D8854" i="1"/>
  <c r="C8854" i="1"/>
  <c r="B8854" i="1"/>
  <c r="G8853" i="1"/>
  <c r="F8853" i="1"/>
  <c r="E8853" i="1"/>
  <c r="D8853" i="1"/>
  <c r="C8853" i="1"/>
  <c r="B8853" i="1"/>
  <c r="G8852" i="1"/>
  <c r="F8852" i="1"/>
  <c r="E8852" i="1"/>
  <c r="D8852" i="1"/>
  <c r="C8852" i="1"/>
  <c r="B8852" i="1"/>
  <c r="G8851" i="1"/>
  <c r="F8851" i="1"/>
  <c r="E8851" i="1"/>
  <c r="D8851" i="1"/>
  <c r="C8851" i="1"/>
  <c r="B8851" i="1"/>
  <c r="G8850" i="1"/>
  <c r="F8850" i="1"/>
  <c r="E8850" i="1"/>
  <c r="D8850" i="1"/>
  <c r="C8850" i="1"/>
  <c r="B8850" i="1"/>
  <c r="G8849" i="1"/>
  <c r="F8849" i="1"/>
  <c r="E8849" i="1"/>
  <c r="D8849" i="1"/>
  <c r="C8849" i="1"/>
  <c r="B8849" i="1"/>
  <c r="G8848" i="1"/>
  <c r="F8848" i="1"/>
  <c r="E8848" i="1"/>
  <c r="D8848" i="1"/>
  <c r="C8848" i="1"/>
  <c r="B8848" i="1"/>
  <c r="G8847" i="1"/>
  <c r="F8847" i="1"/>
  <c r="E8847" i="1"/>
  <c r="D8847" i="1"/>
  <c r="C8847" i="1"/>
  <c r="B8847" i="1"/>
  <c r="G8846" i="1"/>
  <c r="F8846" i="1"/>
  <c r="E8846" i="1"/>
  <c r="D8846" i="1"/>
  <c r="C8846" i="1"/>
  <c r="B8846" i="1"/>
  <c r="G8845" i="1"/>
  <c r="F8845" i="1"/>
  <c r="E8845" i="1"/>
  <c r="D8845" i="1"/>
  <c r="C8845" i="1"/>
  <c r="B8845" i="1"/>
  <c r="G8844" i="1"/>
  <c r="F8844" i="1"/>
  <c r="E8844" i="1"/>
  <c r="D8844" i="1"/>
  <c r="C8844" i="1"/>
  <c r="B8844" i="1"/>
  <c r="G8843" i="1"/>
  <c r="F8843" i="1"/>
  <c r="E8843" i="1"/>
  <c r="D8843" i="1"/>
  <c r="C8843" i="1"/>
  <c r="B8843" i="1"/>
  <c r="G8842" i="1"/>
  <c r="F8842" i="1"/>
  <c r="E8842" i="1"/>
  <c r="D8842" i="1"/>
  <c r="C8842" i="1"/>
  <c r="B8842" i="1"/>
  <c r="G8841" i="1"/>
  <c r="F8841" i="1"/>
  <c r="E8841" i="1"/>
  <c r="D8841" i="1"/>
  <c r="C8841" i="1"/>
  <c r="B8841" i="1"/>
  <c r="G8840" i="1"/>
  <c r="F8840" i="1"/>
  <c r="E8840" i="1"/>
  <c r="D8840" i="1"/>
  <c r="C8840" i="1"/>
  <c r="B8840" i="1"/>
  <c r="G8839" i="1"/>
  <c r="F8839" i="1"/>
  <c r="E8839" i="1"/>
  <c r="D8839" i="1"/>
  <c r="C8839" i="1"/>
  <c r="B8839" i="1"/>
  <c r="G8838" i="1"/>
  <c r="F8838" i="1"/>
  <c r="E8838" i="1"/>
  <c r="D8838" i="1"/>
  <c r="C8838" i="1"/>
  <c r="B8838" i="1"/>
  <c r="G8837" i="1"/>
  <c r="F8837" i="1"/>
  <c r="E8837" i="1"/>
  <c r="D8837" i="1"/>
  <c r="C8837" i="1"/>
  <c r="B8837" i="1"/>
  <c r="G8836" i="1"/>
  <c r="F8836" i="1"/>
  <c r="E8836" i="1"/>
  <c r="D8836" i="1"/>
  <c r="C8836" i="1"/>
  <c r="B8836" i="1"/>
  <c r="G8835" i="1"/>
  <c r="F8835" i="1"/>
  <c r="E8835" i="1"/>
  <c r="D8835" i="1"/>
  <c r="C8835" i="1"/>
  <c r="B8835" i="1"/>
  <c r="G8834" i="1"/>
  <c r="F8834" i="1"/>
  <c r="E8834" i="1"/>
  <c r="D8834" i="1"/>
  <c r="C8834" i="1"/>
  <c r="B8834" i="1"/>
  <c r="G8833" i="1"/>
  <c r="F8833" i="1"/>
  <c r="E8833" i="1"/>
  <c r="D8833" i="1"/>
  <c r="C8833" i="1"/>
  <c r="B8833" i="1"/>
  <c r="G8832" i="1"/>
  <c r="F8832" i="1"/>
  <c r="E8832" i="1"/>
  <c r="D8832" i="1"/>
  <c r="C8832" i="1"/>
  <c r="B8832" i="1"/>
  <c r="G8831" i="1"/>
  <c r="F8831" i="1"/>
  <c r="E8831" i="1"/>
  <c r="D8831" i="1"/>
  <c r="C8831" i="1"/>
  <c r="B8831" i="1"/>
  <c r="G8830" i="1"/>
  <c r="F8830" i="1"/>
  <c r="E8830" i="1"/>
  <c r="D8830" i="1"/>
  <c r="C8830" i="1"/>
  <c r="B8830" i="1"/>
  <c r="G8829" i="1"/>
  <c r="F8829" i="1"/>
  <c r="E8829" i="1"/>
  <c r="D8829" i="1"/>
  <c r="C8829" i="1"/>
  <c r="B8829" i="1"/>
  <c r="G8828" i="1"/>
  <c r="F8828" i="1"/>
  <c r="E8828" i="1"/>
  <c r="D8828" i="1"/>
  <c r="C8828" i="1"/>
  <c r="B8828" i="1"/>
  <c r="G8827" i="1"/>
  <c r="F8827" i="1"/>
  <c r="E8827" i="1"/>
  <c r="D8827" i="1"/>
  <c r="C8827" i="1"/>
  <c r="B8827" i="1"/>
  <c r="G8826" i="1"/>
  <c r="F8826" i="1"/>
  <c r="E8826" i="1"/>
  <c r="D8826" i="1"/>
  <c r="C8826" i="1"/>
  <c r="B8826" i="1"/>
  <c r="G8825" i="1"/>
  <c r="F8825" i="1"/>
  <c r="E8825" i="1"/>
  <c r="D8825" i="1"/>
  <c r="C8825" i="1"/>
  <c r="B8825" i="1"/>
  <c r="G8824" i="1"/>
  <c r="F8824" i="1"/>
  <c r="E8824" i="1"/>
  <c r="D8824" i="1"/>
  <c r="C8824" i="1"/>
  <c r="B8824" i="1"/>
  <c r="G8823" i="1"/>
  <c r="F8823" i="1"/>
  <c r="E8823" i="1"/>
  <c r="D8823" i="1"/>
  <c r="C8823" i="1"/>
  <c r="B8823" i="1"/>
  <c r="G8822" i="1"/>
  <c r="F8822" i="1"/>
  <c r="E8822" i="1"/>
  <c r="D8822" i="1"/>
  <c r="C8822" i="1"/>
  <c r="B8822" i="1"/>
  <c r="G8821" i="1"/>
  <c r="F8821" i="1"/>
  <c r="E8821" i="1"/>
  <c r="D8821" i="1"/>
  <c r="C8821" i="1"/>
  <c r="B8821" i="1"/>
  <c r="G8820" i="1"/>
  <c r="F8820" i="1"/>
  <c r="E8820" i="1"/>
  <c r="D8820" i="1"/>
  <c r="C8820" i="1"/>
  <c r="B8820" i="1"/>
  <c r="G8819" i="1"/>
  <c r="F8819" i="1"/>
  <c r="E8819" i="1"/>
  <c r="D8819" i="1"/>
  <c r="C8819" i="1"/>
  <c r="B8819" i="1"/>
  <c r="G8818" i="1"/>
  <c r="F8818" i="1"/>
  <c r="E8818" i="1"/>
  <c r="D8818" i="1"/>
  <c r="C8818" i="1"/>
  <c r="B8818" i="1"/>
  <c r="G8817" i="1"/>
  <c r="F8817" i="1"/>
  <c r="E8817" i="1"/>
  <c r="D8817" i="1"/>
  <c r="C8817" i="1"/>
  <c r="B8817" i="1"/>
  <c r="G8816" i="1"/>
  <c r="F8816" i="1"/>
  <c r="E8816" i="1"/>
  <c r="D8816" i="1"/>
  <c r="C8816" i="1"/>
  <c r="B8816" i="1"/>
  <c r="G8815" i="1"/>
  <c r="F8815" i="1"/>
  <c r="E8815" i="1"/>
  <c r="D8815" i="1"/>
  <c r="C8815" i="1"/>
  <c r="B8815" i="1"/>
  <c r="G8814" i="1"/>
  <c r="F8814" i="1"/>
  <c r="E8814" i="1"/>
  <c r="D8814" i="1"/>
  <c r="C8814" i="1"/>
  <c r="B8814" i="1"/>
  <c r="G8813" i="1"/>
  <c r="F8813" i="1"/>
  <c r="E8813" i="1"/>
  <c r="D8813" i="1"/>
  <c r="C8813" i="1"/>
  <c r="B8813" i="1"/>
  <c r="G8812" i="1"/>
  <c r="F8812" i="1"/>
  <c r="E8812" i="1"/>
  <c r="D8812" i="1"/>
  <c r="C8812" i="1"/>
  <c r="B8812" i="1"/>
  <c r="G8811" i="1"/>
  <c r="F8811" i="1"/>
  <c r="E8811" i="1"/>
  <c r="D8811" i="1"/>
  <c r="C8811" i="1"/>
  <c r="B8811" i="1"/>
  <c r="G8810" i="1"/>
  <c r="F8810" i="1"/>
  <c r="E8810" i="1"/>
  <c r="D8810" i="1"/>
  <c r="C8810" i="1"/>
  <c r="B8810" i="1"/>
  <c r="G8809" i="1"/>
  <c r="F8809" i="1"/>
  <c r="E8809" i="1"/>
  <c r="D8809" i="1"/>
  <c r="C8809" i="1"/>
  <c r="B8809" i="1"/>
  <c r="G8808" i="1"/>
  <c r="F8808" i="1"/>
  <c r="E8808" i="1"/>
  <c r="D8808" i="1"/>
  <c r="C8808" i="1"/>
  <c r="B8808" i="1"/>
  <c r="G8807" i="1"/>
  <c r="F8807" i="1"/>
  <c r="E8807" i="1"/>
  <c r="D8807" i="1"/>
  <c r="C8807" i="1"/>
  <c r="B8807" i="1"/>
  <c r="G8806" i="1"/>
  <c r="F8806" i="1"/>
  <c r="E8806" i="1"/>
  <c r="D8806" i="1"/>
  <c r="C8806" i="1"/>
  <c r="B8806" i="1"/>
  <c r="G8805" i="1"/>
  <c r="F8805" i="1"/>
  <c r="E8805" i="1"/>
  <c r="D8805" i="1"/>
  <c r="C8805" i="1"/>
  <c r="B8805" i="1"/>
  <c r="G8804" i="1"/>
  <c r="F8804" i="1"/>
  <c r="E8804" i="1"/>
  <c r="D8804" i="1"/>
  <c r="C8804" i="1"/>
  <c r="B8804" i="1"/>
  <c r="G8803" i="1"/>
  <c r="F8803" i="1"/>
  <c r="E8803" i="1"/>
  <c r="D8803" i="1"/>
  <c r="C8803" i="1"/>
  <c r="B8803" i="1"/>
  <c r="G8802" i="1"/>
  <c r="F8802" i="1"/>
  <c r="E8802" i="1"/>
  <c r="D8802" i="1"/>
  <c r="C8802" i="1"/>
  <c r="B8802" i="1"/>
  <c r="G8801" i="1"/>
  <c r="F8801" i="1"/>
  <c r="E8801" i="1"/>
  <c r="D8801" i="1"/>
  <c r="C8801" i="1"/>
  <c r="B8801" i="1"/>
  <c r="G8800" i="1"/>
  <c r="F8800" i="1"/>
  <c r="E8800" i="1"/>
  <c r="D8800" i="1"/>
  <c r="C8800" i="1"/>
  <c r="B8800" i="1"/>
  <c r="G8799" i="1"/>
  <c r="F8799" i="1"/>
  <c r="E8799" i="1"/>
  <c r="D8799" i="1"/>
  <c r="C8799" i="1"/>
  <c r="B8799" i="1"/>
  <c r="G8798" i="1"/>
  <c r="F8798" i="1"/>
  <c r="E8798" i="1"/>
  <c r="D8798" i="1"/>
  <c r="C8798" i="1"/>
  <c r="B8798" i="1"/>
  <c r="G8797" i="1"/>
  <c r="F8797" i="1"/>
  <c r="E8797" i="1"/>
  <c r="D8797" i="1"/>
  <c r="C8797" i="1"/>
  <c r="B8797" i="1"/>
  <c r="G8796" i="1"/>
  <c r="F8796" i="1"/>
  <c r="E8796" i="1"/>
  <c r="D8796" i="1"/>
  <c r="C8796" i="1"/>
  <c r="B8796" i="1"/>
  <c r="G8795" i="1"/>
  <c r="F8795" i="1"/>
  <c r="E8795" i="1"/>
  <c r="D8795" i="1"/>
  <c r="C8795" i="1"/>
  <c r="B8795" i="1"/>
  <c r="G8794" i="1"/>
  <c r="F8794" i="1"/>
  <c r="E8794" i="1"/>
  <c r="D8794" i="1"/>
  <c r="C8794" i="1"/>
  <c r="B8794" i="1"/>
  <c r="G8793" i="1"/>
  <c r="F8793" i="1"/>
  <c r="E8793" i="1"/>
  <c r="D8793" i="1"/>
  <c r="C8793" i="1"/>
  <c r="B8793" i="1"/>
  <c r="G8792" i="1"/>
  <c r="F8792" i="1"/>
  <c r="E8792" i="1"/>
  <c r="D8792" i="1"/>
  <c r="C8792" i="1"/>
  <c r="B8792" i="1"/>
  <c r="G8791" i="1"/>
  <c r="F8791" i="1"/>
  <c r="E8791" i="1"/>
  <c r="D8791" i="1"/>
  <c r="C8791" i="1"/>
  <c r="B8791" i="1"/>
  <c r="G8790" i="1"/>
  <c r="F8790" i="1"/>
  <c r="E8790" i="1"/>
  <c r="D8790" i="1"/>
  <c r="C8790" i="1"/>
  <c r="B8790" i="1"/>
  <c r="G8789" i="1"/>
  <c r="F8789" i="1"/>
  <c r="E8789" i="1"/>
  <c r="D8789" i="1"/>
  <c r="C8789" i="1"/>
  <c r="B8789" i="1"/>
  <c r="G8788" i="1"/>
  <c r="F8788" i="1"/>
  <c r="E8788" i="1"/>
  <c r="D8788" i="1"/>
  <c r="C8788" i="1"/>
  <c r="B8788" i="1"/>
  <c r="G8787" i="1"/>
  <c r="F8787" i="1"/>
  <c r="E8787" i="1"/>
  <c r="D8787" i="1"/>
  <c r="C8787" i="1"/>
  <c r="B8787" i="1"/>
  <c r="G8786" i="1"/>
  <c r="F8786" i="1"/>
  <c r="E8786" i="1"/>
  <c r="D8786" i="1"/>
  <c r="C8786" i="1"/>
  <c r="B8786" i="1"/>
  <c r="G8785" i="1"/>
  <c r="F8785" i="1"/>
  <c r="E8785" i="1"/>
  <c r="D8785" i="1"/>
  <c r="C8785" i="1"/>
  <c r="B8785" i="1"/>
  <c r="G8784" i="1"/>
  <c r="F8784" i="1"/>
  <c r="E8784" i="1"/>
  <c r="D8784" i="1"/>
  <c r="C8784" i="1"/>
  <c r="B8784" i="1"/>
  <c r="G8783" i="1"/>
  <c r="F8783" i="1"/>
  <c r="E8783" i="1"/>
  <c r="D8783" i="1"/>
  <c r="C8783" i="1"/>
  <c r="B8783" i="1"/>
  <c r="G8782" i="1"/>
  <c r="F8782" i="1"/>
  <c r="E8782" i="1"/>
  <c r="D8782" i="1"/>
  <c r="C8782" i="1"/>
  <c r="B8782" i="1"/>
  <c r="G8781" i="1"/>
  <c r="F8781" i="1"/>
  <c r="E8781" i="1"/>
  <c r="D8781" i="1"/>
  <c r="C8781" i="1"/>
  <c r="B8781" i="1"/>
  <c r="G8780" i="1"/>
  <c r="F8780" i="1"/>
  <c r="E8780" i="1"/>
  <c r="D8780" i="1"/>
  <c r="C8780" i="1"/>
  <c r="B8780" i="1"/>
  <c r="G8779" i="1"/>
  <c r="F8779" i="1"/>
  <c r="E8779" i="1"/>
  <c r="D8779" i="1"/>
  <c r="C8779" i="1"/>
  <c r="B8779" i="1"/>
  <c r="G8778" i="1"/>
  <c r="F8778" i="1"/>
  <c r="E8778" i="1"/>
  <c r="D8778" i="1"/>
  <c r="C8778" i="1"/>
  <c r="B8778" i="1"/>
  <c r="G8777" i="1"/>
  <c r="F8777" i="1"/>
  <c r="E8777" i="1"/>
  <c r="D8777" i="1"/>
  <c r="C8777" i="1"/>
  <c r="B8777" i="1"/>
  <c r="G8776" i="1"/>
  <c r="F8776" i="1"/>
  <c r="E8776" i="1"/>
  <c r="D8776" i="1"/>
  <c r="C8776" i="1"/>
  <c r="B8776" i="1"/>
  <c r="G8775" i="1"/>
  <c r="F8775" i="1"/>
  <c r="E8775" i="1"/>
  <c r="D8775" i="1"/>
  <c r="C8775" i="1"/>
  <c r="B8775" i="1"/>
  <c r="G8774" i="1"/>
  <c r="F8774" i="1"/>
  <c r="E8774" i="1"/>
  <c r="D8774" i="1"/>
  <c r="C8774" i="1"/>
  <c r="B8774" i="1"/>
  <c r="G8773" i="1"/>
  <c r="F8773" i="1"/>
  <c r="E8773" i="1"/>
  <c r="D8773" i="1"/>
  <c r="C8773" i="1"/>
  <c r="B8773" i="1"/>
  <c r="G8772" i="1"/>
  <c r="F8772" i="1"/>
  <c r="E8772" i="1"/>
  <c r="D8772" i="1"/>
  <c r="C8772" i="1"/>
  <c r="B8772" i="1"/>
  <c r="G8771" i="1"/>
  <c r="F8771" i="1"/>
  <c r="E8771" i="1"/>
  <c r="D8771" i="1"/>
  <c r="C8771" i="1"/>
  <c r="B8771" i="1"/>
  <c r="G8770" i="1"/>
  <c r="F8770" i="1"/>
  <c r="E8770" i="1"/>
  <c r="D8770" i="1"/>
  <c r="C8770" i="1"/>
  <c r="B8770" i="1"/>
  <c r="G8769" i="1"/>
  <c r="F8769" i="1"/>
  <c r="E8769" i="1"/>
  <c r="D8769" i="1"/>
  <c r="C8769" i="1"/>
  <c r="B8769" i="1"/>
  <c r="G8768" i="1"/>
  <c r="F8768" i="1"/>
  <c r="E8768" i="1"/>
  <c r="D8768" i="1"/>
  <c r="C8768" i="1"/>
  <c r="B8768" i="1"/>
  <c r="G8767" i="1"/>
  <c r="F8767" i="1"/>
  <c r="E8767" i="1"/>
  <c r="D8767" i="1"/>
  <c r="C8767" i="1"/>
  <c r="B8767" i="1"/>
  <c r="G8766" i="1"/>
  <c r="F8766" i="1"/>
  <c r="E8766" i="1"/>
  <c r="D8766" i="1"/>
  <c r="C8766" i="1"/>
  <c r="B8766" i="1"/>
  <c r="G8765" i="1"/>
  <c r="F8765" i="1"/>
  <c r="E8765" i="1"/>
  <c r="D8765" i="1"/>
  <c r="C8765" i="1"/>
  <c r="B8765" i="1"/>
  <c r="G8764" i="1"/>
  <c r="F8764" i="1"/>
  <c r="E8764" i="1"/>
  <c r="D8764" i="1"/>
  <c r="C8764" i="1"/>
  <c r="B8764" i="1"/>
  <c r="G8763" i="1"/>
  <c r="F8763" i="1"/>
  <c r="E8763" i="1"/>
  <c r="D8763" i="1"/>
  <c r="C8763" i="1"/>
  <c r="B8763" i="1"/>
  <c r="G8762" i="1"/>
  <c r="F8762" i="1"/>
  <c r="E8762" i="1"/>
  <c r="D8762" i="1"/>
  <c r="C8762" i="1"/>
  <c r="B8762" i="1"/>
  <c r="G8761" i="1"/>
  <c r="F8761" i="1"/>
  <c r="E8761" i="1"/>
  <c r="D8761" i="1"/>
  <c r="C8761" i="1"/>
  <c r="B8761" i="1"/>
  <c r="G8760" i="1"/>
  <c r="F8760" i="1"/>
  <c r="E8760" i="1"/>
  <c r="D8760" i="1"/>
  <c r="C8760" i="1"/>
  <c r="B8760" i="1"/>
  <c r="G8759" i="1"/>
  <c r="F8759" i="1"/>
  <c r="E8759" i="1"/>
  <c r="D8759" i="1"/>
  <c r="C8759" i="1"/>
  <c r="B8759" i="1"/>
  <c r="G8758" i="1"/>
  <c r="F8758" i="1"/>
  <c r="E8758" i="1"/>
  <c r="D8758" i="1"/>
  <c r="C8758" i="1"/>
  <c r="B8758" i="1"/>
  <c r="G8757" i="1"/>
  <c r="F8757" i="1"/>
  <c r="E8757" i="1"/>
  <c r="D8757" i="1"/>
  <c r="C8757" i="1"/>
  <c r="B8757" i="1"/>
  <c r="G8756" i="1"/>
  <c r="F8756" i="1"/>
  <c r="E8756" i="1"/>
  <c r="D8756" i="1"/>
  <c r="C8756" i="1"/>
  <c r="B8756" i="1"/>
  <c r="G8755" i="1"/>
  <c r="F8755" i="1"/>
  <c r="E8755" i="1"/>
  <c r="D8755" i="1"/>
  <c r="C8755" i="1"/>
  <c r="B8755" i="1"/>
  <c r="G8754" i="1"/>
  <c r="F8754" i="1"/>
  <c r="E8754" i="1"/>
  <c r="D8754" i="1"/>
  <c r="C8754" i="1"/>
  <c r="B8754" i="1"/>
  <c r="G8753" i="1"/>
  <c r="F8753" i="1"/>
  <c r="E8753" i="1"/>
  <c r="D8753" i="1"/>
  <c r="C8753" i="1"/>
  <c r="B8753" i="1"/>
  <c r="G8752" i="1"/>
  <c r="F8752" i="1"/>
  <c r="E8752" i="1"/>
  <c r="D8752" i="1"/>
  <c r="C8752" i="1"/>
  <c r="B8752" i="1"/>
  <c r="G8751" i="1"/>
  <c r="F8751" i="1"/>
  <c r="E8751" i="1"/>
  <c r="D8751" i="1"/>
  <c r="C8751" i="1"/>
  <c r="B8751" i="1"/>
  <c r="G8750" i="1"/>
  <c r="F8750" i="1"/>
  <c r="E8750" i="1"/>
  <c r="D8750" i="1"/>
  <c r="C8750" i="1"/>
  <c r="B8750" i="1"/>
  <c r="G8749" i="1"/>
  <c r="F8749" i="1"/>
  <c r="E8749" i="1"/>
  <c r="D8749" i="1"/>
  <c r="C8749" i="1"/>
  <c r="B8749" i="1"/>
  <c r="G8748" i="1"/>
  <c r="F8748" i="1"/>
  <c r="E8748" i="1"/>
  <c r="D8748" i="1"/>
  <c r="C8748" i="1"/>
  <c r="B8748" i="1"/>
  <c r="G8747" i="1"/>
  <c r="F8747" i="1"/>
  <c r="E8747" i="1"/>
  <c r="D8747" i="1"/>
  <c r="C8747" i="1"/>
  <c r="B8747" i="1"/>
  <c r="G8746" i="1"/>
  <c r="F8746" i="1"/>
  <c r="E8746" i="1"/>
  <c r="D8746" i="1"/>
  <c r="C8746" i="1"/>
  <c r="B8746" i="1"/>
  <c r="G8745" i="1"/>
  <c r="F8745" i="1"/>
  <c r="E8745" i="1"/>
  <c r="D8745" i="1"/>
  <c r="C8745" i="1"/>
  <c r="B8745" i="1"/>
  <c r="G8744" i="1"/>
  <c r="F8744" i="1"/>
  <c r="E8744" i="1"/>
  <c r="D8744" i="1"/>
  <c r="C8744" i="1"/>
  <c r="B8744" i="1"/>
  <c r="G8743" i="1"/>
  <c r="F8743" i="1"/>
  <c r="E8743" i="1"/>
  <c r="D8743" i="1"/>
  <c r="C8743" i="1"/>
  <c r="B8743" i="1"/>
  <c r="G8742" i="1"/>
  <c r="F8742" i="1"/>
  <c r="E8742" i="1"/>
  <c r="D8742" i="1"/>
  <c r="C8742" i="1"/>
  <c r="B8742" i="1"/>
  <c r="G8741" i="1"/>
  <c r="F8741" i="1"/>
  <c r="E8741" i="1"/>
  <c r="D8741" i="1"/>
  <c r="C8741" i="1"/>
  <c r="B8741" i="1"/>
  <c r="G8740" i="1"/>
  <c r="F8740" i="1"/>
  <c r="E8740" i="1"/>
  <c r="D8740" i="1"/>
  <c r="C8740" i="1"/>
  <c r="B8740" i="1"/>
  <c r="G8739" i="1"/>
  <c r="F8739" i="1"/>
  <c r="E8739" i="1"/>
  <c r="D8739" i="1"/>
  <c r="C8739" i="1"/>
  <c r="B8739" i="1"/>
  <c r="G8738" i="1"/>
  <c r="F8738" i="1"/>
  <c r="E8738" i="1"/>
  <c r="D8738" i="1"/>
  <c r="C8738" i="1"/>
  <c r="B8738" i="1"/>
  <c r="G8737" i="1"/>
  <c r="F8737" i="1"/>
  <c r="E8737" i="1"/>
  <c r="D8737" i="1"/>
  <c r="C8737" i="1"/>
  <c r="B8737" i="1"/>
  <c r="G8736" i="1"/>
  <c r="F8736" i="1"/>
  <c r="E8736" i="1"/>
  <c r="D8736" i="1"/>
  <c r="C8736" i="1"/>
  <c r="B8736" i="1"/>
  <c r="G8735" i="1"/>
  <c r="F8735" i="1"/>
  <c r="E8735" i="1"/>
  <c r="D8735" i="1"/>
  <c r="C8735" i="1"/>
  <c r="B8735" i="1"/>
  <c r="G8734" i="1"/>
  <c r="F8734" i="1"/>
  <c r="E8734" i="1"/>
  <c r="D8734" i="1"/>
  <c r="C8734" i="1"/>
  <c r="B8734" i="1"/>
  <c r="G8733" i="1"/>
  <c r="F8733" i="1"/>
  <c r="E8733" i="1"/>
  <c r="D8733" i="1"/>
  <c r="C8733" i="1"/>
  <c r="B8733" i="1"/>
  <c r="G8732" i="1"/>
  <c r="F8732" i="1"/>
  <c r="E8732" i="1"/>
  <c r="D8732" i="1"/>
  <c r="C8732" i="1"/>
  <c r="B8732" i="1"/>
  <c r="G8731" i="1"/>
  <c r="F8731" i="1"/>
  <c r="E8731" i="1"/>
  <c r="D8731" i="1"/>
  <c r="C8731" i="1"/>
  <c r="B8731" i="1"/>
  <c r="G8730" i="1"/>
  <c r="F8730" i="1"/>
  <c r="E8730" i="1"/>
  <c r="D8730" i="1"/>
  <c r="C8730" i="1"/>
  <c r="B8730" i="1"/>
  <c r="G8729" i="1"/>
  <c r="F8729" i="1"/>
  <c r="E8729" i="1"/>
  <c r="D8729" i="1"/>
  <c r="C8729" i="1"/>
  <c r="B8729" i="1"/>
  <c r="G8728" i="1"/>
  <c r="F8728" i="1"/>
  <c r="E8728" i="1"/>
  <c r="D8728" i="1"/>
  <c r="C8728" i="1"/>
  <c r="B8728" i="1"/>
  <c r="G8727" i="1"/>
  <c r="F8727" i="1"/>
  <c r="E8727" i="1"/>
  <c r="D8727" i="1"/>
  <c r="C8727" i="1"/>
  <c r="B8727" i="1"/>
  <c r="G8726" i="1"/>
  <c r="F8726" i="1"/>
  <c r="E8726" i="1"/>
  <c r="D8726" i="1"/>
  <c r="C8726" i="1"/>
  <c r="B8726" i="1"/>
  <c r="G8725" i="1"/>
  <c r="F8725" i="1"/>
  <c r="E8725" i="1"/>
  <c r="D8725" i="1"/>
  <c r="C8725" i="1"/>
  <c r="B8725" i="1"/>
  <c r="G8724" i="1"/>
  <c r="F8724" i="1"/>
  <c r="E8724" i="1"/>
  <c r="D8724" i="1"/>
  <c r="C8724" i="1"/>
  <c r="B8724" i="1"/>
  <c r="G8723" i="1"/>
  <c r="F8723" i="1"/>
  <c r="E8723" i="1"/>
  <c r="D8723" i="1"/>
  <c r="C8723" i="1"/>
  <c r="B8723" i="1"/>
  <c r="G8722" i="1"/>
  <c r="F8722" i="1"/>
  <c r="E8722" i="1"/>
  <c r="D8722" i="1"/>
  <c r="C8722" i="1"/>
  <c r="B8722" i="1"/>
  <c r="G8721" i="1"/>
  <c r="F8721" i="1"/>
  <c r="E8721" i="1"/>
  <c r="D8721" i="1"/>
  <c r="C8721" i="1"/>
  <c r="B8721" i="1"/>
  <c r="G8720" i="1"/>
  <c r="F8720" i="1"/>
  <c r="E8720" i="1"/>
  <c r="D8720" i="1"/>
  <c r="C8720" i="1"/>
  <c r="B8720" i="1"/>
  <c r="G8719" i="1"/>
  <c r="F8719" i="1"/>
  <c r="E8719" i="1"/>
  <c r="D8719" i="1"/>
  <c r="C8719" i="1"/>
  <c r="B8719" i="1"/>
  <c r="G8718" i="1"/>
  <c r="F8718" i="1"/>
  <c r="E8718" i="1"/>
  <c r="D8718" i="1"/>
  <c r="C8718" i="1"/>
  <c r="B8718" i="1"/>
  <c r="G8717" i="1"/>
  <c r="F8717" i="1"/>
  <c r="E8717" i="1"/>
  <c r="D8717" i="1"/>
  <c r="C8717" i="1"/>
  <c r="B8717" i="1"/>
  <c r="G8716" i="1"/>
  <c r="F8716" i="1"/>
  <c r="E8716" i="1"/>
  <c r="D8716" i="1"/>
  <c r="C8716" i="1"/>
  <c r="B8716" i="1"/>
  <c r="G8715" i="1"/>
  <c r="F8715" i="1"/>
  <c r="E8715" i="1"/>
  <c r="D8715" i="1"/>
  <c r="C8715" i="1"/>
  <c r="B8715" i="1"/>
  <c r="G8714" i="1"/>
  <c r="F8714" i="1"/>
  <c r="E8714" i="1"/>
  <c r="D8714" i="1"/>
  <c r="C8714" i="1"/>
  <c r="B8714" i="1"/>
  <c r="G8713" i="1"/>
  <c r="F8713" i="1"/>
  <c r="E8713" i="1"/>
  <c r="D8713" i="1"/>
  <c r="C8713" i="1"/>
  <c r="B8713" i="1"/>
  <c r="G8712" i="1"/>
  <c r="F8712" i="1"/>
  <c r="E8712" i="1"/>
  <c r="D8712" i="1"/>
  <c r="C8712" i="1"/>
  <c r="B8712" i="1"/>
  <c r="G8711" i="1"/>
  <c r="F8711" i="1"/>
  <c r="E8711" i="1"/>
  <c r="D8711" i="1"/>
  <c r="C8711" i="1"/>
  <c r="B8711" i="1"/>
  <c r="G8710" i="1"/>
  <c r="F8710" i="1"/>
  <c r="E8710" i="1"/>
  <c r="D8710" i="1"/>
  <c r="C8710" i="1"/>
  <c r="B8710" i="1"/>
  <c r="G8709" i="1"/>
  <c r="F8709" i="1"/>
  <c r="E8709" i="1"/>
  <c r="D8709" i="1"/>
  <c r="C8709" i="1"/>
  <c r="B8709" i="1"/>
  <c r="G8708" i="1"/>
  <c r="F8708" i="1"/>
  <c r="E8708" i="1"/>
  <c r="D8708" i="1"/>
  <c r="C8708" i="1"/>
  <c r="B8708" i="1"/>
  <c r="G8707" i="1"/>
  <c r="F8707" i="1"/>
  <c r="E8707" i="1"/>
  <c r="D8707" i="1"/>
  <c r="C8707" i="1"/>
  <c r="B8707" i="1"/>
  <c r="G8706" i="1"/>
  <c r="F8706" i="1"/>
  <c r="E8706" i="1"/>
  <c r="D8706" i="1"/>
  <c r="C8706" i="1"/>
  <c r="B8706" i="1"/>
  <c r="G8705" i="1"/>
  <c r="F8705" i="1"/>
  <c r="E8705" i="1"/>
  <c r="D8705" i="1"/>
  <c r="C8705" i="1"/>
  <c r="B8705" i="1"/>
  <c r="G8704" i="1"/>
  <c r="F8704" i="1"/>
  <c r="E8704" i="1"/>
  <c r="D8704" i="1"/>
  <c r="C8704" i="1"/>
  <c r="B8704" i="1"/>
  <c r="G8703" i="1"/>
  <c r="F8703" i="1"/>
  <c r="E8703" i="1"/>
  <c r="D8703" i="1"/>
  <c r="C8703" i="1"/>
  <c r="B8703" i="1"/>
  <c r="G8702" i="1"/>
  <c r="F8702" i="1"/>
  <c r="E8702" i="1"/>
  <c r="D8702" i="1"/>
  <c r="C8702" i="1"/>
  <c r="B8702" i="1"/>
  <c r="G8701" i="1"/>
  <c r="F8701" i="1"/>
  <c r="E8701" i="1"/>
  <c r="D8701" i="1"/>
  <c r="C8701" i="1"/>
  <c r="B8701" i="1"/>
  <c r="G8700" i="1"/>
  <c r="F8700" i="1"/>
  <c r="E8700" i="1"/>
  <c r="D8700" i="1"/>
  <c r="C8700" i="1"/>
  <c r="B8700" i="1"/>
  <c r="G8699" i="1"/>
  <c r="F8699" i="1"/>
  <c r="E8699" i="1"/>
  <c r="D8699" i="1"/>
  <c r="C8699" i="1"/>
  <c r="B8699" i="1"/>
  <c r="G8698" i="1"/>
  <c r="F8698" i="1"/>
  <c r="E8698" i="1"/>
  <c r="D8698" i="1"/>
  <c r="C8698" i="1"/>
  <c r="B8698" i="1"/>
  <c r="G8697" i="1"/>
  <c r="F8697" i="1"/>
  <c r="E8697" i="1"/>
  <c r="D8697" i="1"/>
  <c r="C8697" i="1"/>
  <c r="B8697" i="1"/>
  <c r="G8696" i="1"/>
  <c r="F8696" i="1"/>
  <c r="E8696" i="1"/>
  <c r="D8696" i="1"/>
  <c r="C8696" i="1"/>
  <c r="B8696" i="1"/>
  <c r="G8695" i="1"/>
  <c r="F8695" i="1"/>
  <c r="E8695" i="1"/>
  <c r="D8695" i="1"/>
  <c r="C8695" i="1"/>
  <c r="B8695" i="1"/>
  <c r="G8694" i="1"/>
  <c r="F8694" i="1"/>
  <c r="E8694" i="1"/>
  <c r="D8694" i="1"/>
  <c r="C8694" i="1"/>
  <c r="B8694" i="1"/>
  <c r="G8693" i="1"/>
  <c r="F8693" i="1"/>
  <c r="E8693" i="1"/>
  <c r="D8693" i="1"/>
  <c r="C8693" i="1"/>
  <c r="B8693" i="1"/>
  <c r="G8692" i="1"/>
  <c r="F8692" i="1"/>
  <c r="E8692" i="1"/>
  <c r="D8692" i="1"/>
  <c r="C8692" i="1"/>
  <c r="B8692" i="1"/>
  <c r="G8691" i="1"/>
  <c r="F8691" i="1"/>
  <c r="E8691" i="1"/>
  <c r="D8691" i="1"/>
  <c r="C8691" i="1"/>
  <c r="B8691" i="1"/>
  <c r="G8690" i="1"/>
  <c r="F8690" i="1"/>
  <c r="E8690" i="1"/>
  <c r="D8690" i="1"/>
  <c r="C8690" i="1"/>
  <c r="B8690" i="1"/>
  <c r="G8689" i="1"/>
  <c r="F8689" i="1"/>
  <c r="E8689" i="1"/>
  <c r="D8689" i="1"/>
  <c r="C8689" i="1"/>
  <c r="B8689" i="1"/>
  <c r="G8688" i="1"/>
  <c r="F8688" i="1"/>
  <c r="E8688" i="1"/>
  <c r="D8688" i="1"/>
  <c r="C8688" i="1"/>
  <c r="B8688" i="1"/>
  <c r="G8687" i="1"/>
  <c r="F8687" i="1"/>
  <c r="E8687" i="1"/>
  <c r="D8687" i="1"/>
  <c r="C8687" i="1"/>
  <c r="B8687" i="1"/>
  <c r="G8686" i="1"/>
  <c r="F8686" i="1"/>
  <c r="E8686" i="1"/>
  <c r="D8686" i="1"/>
  <c r="C8686" i="1"/>
  <c r="B8686" i="1"/>
  <c r="G8685" i="1"/>
  <c r="F8685" i="1"/>
  <c r="E8685" i="1"/>
  <c r="D8685" i="1"/>
  <c r="C8685" i="1"/>
  <c r="B8685" i="1"/>
  <c r="G8684" i="1"/>
  <c r="F8684" i="1"/>
  <c r="E8684" i="1"/>
  <c r="D8684" i="1"/>
  <c r="C8684" i="1"/>
  <c r="B8684" i="1"/>
  <c r="G8683" i="1"/>
  <c r="F8683" i="1"/>
  <c r="E8683" i="1"/>
  <c r="D8683" i="1"/>
  <c r="C8683" i="1"/>
  <c r="B8683" i="1"/>
  <c r="G8682" i="1"/>
  <c r="F8682" i="1"/>
  <c r="E8682" i="1"/>
  <c r="D8682" i="1"/>
  <c r="C8682" i="1"/>
  <c r="B8682" i="1"/>
  <c r="G8681" i="1"/>
  <c r="F8681" i="1"/>
  <c r="E8681" i="1"/>
  <c r="D8681" i="1"/>
  <c r="C8681" i="1"/>
  <c r="B8681" i="1"/>
  <c r="G8680" i="1"/>
  <c r="F8680" i="1"/>
  <c r="E8680" i="1"/>
  <c r="D8680" i="1"/>
  <c r="C8680" i="1"/>
  <c r="B8680" i="1"/>
  <c r="G8679" i="1"/>
  <c r="F8679" i="1"/>
  <c r="E8679" i="1"/>
  <c r="D8679" i="1"/>
  <c r="C8679" i="1"/>
  <c r="B8679" i="1"/>
  <c r="G8678" i="1"/>
  <c r="F8678" i="1"/>
  <c r="E8678" i="1"/>
  <c r="D8678" i="1"/>
  <c r="C8678" i="1"/>
  <c r="B8678" i="1"/>
  <c r="G8677" i="1"/>
  <c r="F8677" i="1"/>
  <c r="E8677" i="1"/>
  <c r="D8677" i="1"/>
  <c r="C8677" i="1"/>
  <c r="B8677" i="1"/>
  <c r="G8676" i="1"/>
  <c r="F8676" i="1"/>
  <c r="E8676" i="1"/>
  <c r="D8676" i="1"/>
  <c r="C8676" i="1"/>
  <c r="B8676" i="1"/>
  <c r="G8675" i="1"/>
  <c r="F8675" i="1"/>
  <c r="E8675" i="1"/>
  <c r="D8675" i="1"/>
  <c r="C8675" i="1"/>
  <c r="B8675" i="1"/>
  <c r="G8674" i="1"/>
  <c r="F8674" i="1"/>
  <c r="E8674" i="1"/>
  <c r="D8674" i="1"/>
  <c r="C8674" i="1"/>
  <c r="B8674" i="1"/>
  <c r="G8673" i="1"/>
  <c r="F8673" i="1"/>
  <c r="E8673" i="1"/>
  <c r="D8673" i="1"/>
  <c r="C8673" i="1"/>
  <c r="B8673" i="1"/>
  <c r="G8672" i="1"/>
  <c r="F8672" i="1"/>
  <c r="E8672" i="1"/>
  <c r="D8672" i="1"/>
  <c r="C8672" i="1"/>
  <c r="B8672" i="1"/>
  <c r="G8671" i="1"/>
  <c r="F8671" i="1"/>
  <c r="E8671" i="1"/>
  <c r="D8671" i="1"/>
  <c r="C8671" i="1"/>
  <c r="B8671" i="1"/>
  <c r="G8670" i="1"/>
  <c r="F8670" i="1"/>
  <c r="E8670" i="1"/>
  <c r="D8670" i="1"/>
  <c r="C8670" i="1"/>
  <c r="B8670" i="1"/>
  <c r="G8669" i="1"/>
  <c r="F8669" i="1"/>
  <c r="E8669" i="1"/>
  <c r="D8669" i="1"/>
  <c r="C8669" i="1"/>
  <c r="B8669" i="1"/>
  <c r="G8668" i="1"/>
  <c r="F8668" i="1"/>
  <c r="E8668" i="1"/>
  <c r="D8668" i="1"/>
  <c r="C8668" i="1"/>
  <c r="B8668" i="1"/>
  <c r="G8667" i="1"/>
  <c r="F8667" i="1"/>
  <c r="E8667" i="1"/>
  <c r="D8667" i="1"/>
  <c r="C8667" i="1"/>
  <c r="B8667" i="1"/>
  <c r="G8666" i="1"/>
  <c r="F8666" i="1"/>
  <c r="E8666" i="1"/>
  <c r="D8666" i="1"/>
  <c r="C8666" i="1"/>
  <c r="B8666" i="1"/>
  <c r="G8665" i="1"/>
  <c r="F8665" i="1"/>
  <c r="E8665" i="1"/>
  <c r="D8665" i="1"/>
  <c r="C8665" i="1"/>
  <c r="B8665" i="1"/>
  <c r="G8664" i="1"/>
  <c r="F8664" i="1"/>
  <c r="E8664" i="1"/>
  <c r="D8664" i="1"/>
  <c r="C8664" i="1"/>
  <c r="B8664" i="1"/>
  <c r="G8663" i="1"/>
  <c r="F8663" i="1"/>
  <c r="E8663" i="1"/>
  <c r="D8663" i="1"/>
  <c r="C8663" i="1"/>
  <c r="B8663" i="1"/>
  <c r="G8662" i="1"/>
  <c r="F8662" i="1"/>
  <c r="E8662" i="1"/>
  <c r="D8662" i="1"/>
  <c r="C8662" i="1"/>
  <c r="B8662" i="1"/>
  <c r="G8661" i="1"/>
  <c r="F8661" i="1"/>
  <c r="E8661" i="1"/>
  <c r="D8661" i="1"/>
  <c r="C8661" i="1"/>
  <c r="B8661" i="1"/>
  <c r="G8660" i="1"/>
  <c r="F8660" i="1"/>
  <c r="E8660" i="1"/>
  <c r="D8660" i="1"/>
  <c r="C8660" i="1"/>
  <c r="B8660" i="1"/>
  <c r="G8659" i="1"/>
  <c r="F8659" i="1"/>
  <c r="E8659" i="1"/>
  <c r="D8659" i="1"/>
  <c r="C8659" i="1"/>
  <c r="B8659" i="1"/>
  <c r="G8658" i="1"/>
  <c r="F8658" i="1"/>
  <c r="E8658" i="1"/>
  <c r="D8658" i="1"/>
  <c r="C8658" i="1"/>
  <c r="B8658" i="1"/>
  <c r="G8657" i="1"/>
  <c r="F8657" i="1"/>
  <c r="E8657" i="1"/>
  <c r="D8657" i="1"/>
  <c r="C8657" i="1"/>
  <c r="B8657" i="1"/>
  <c r="G8656" i="1"/>
  <c r="F8656" i="1"/>
  <c r="E8656" i="1"/>
  <c r="D8656" i="1"/>
  <c r="C8656" i="1"/>
  <c r="B8656" i="1"/>
  <c r="G8655" i="1"/>
  <c r="F8655" i="1"/>
  <c r="E8655" i="1"/>
  <c r="D8655" i="1"/>
  <c r="C8655" i="1"/>
  <c r="B8655" i="1"/>
  <c r="G8654" i="1"/>
  <c r="F8654" i="1"/>
  <c r="E8654" i="1"/>
  <c r="D8654" i="1"/>
  <c r="C8654" i="1"/>
  <c r="B8654" i="1"/>
  <c r="G8653" i="1"/>
  <c r="F8653" i="1"/>
  <c r="E8653" i="1"/>
  <c r="D8653" i="1"/>
  <c r="C8653" i="1"/>
  <c r="B8653" i="1"/>
  <c r="G8652" i="1"/>
  <c r="F8652" i="1"/>
  <c r="E8652" i="1"/>
  <c r="D8652" i="1"/>
  <c r="C8652" i="1"/>
  <c r="B8652" i="1"/>
  <c r="G8651" i="1"/>
  <c r="F8651" i="1"/>
  <c r="E8651" i="1"/>
  <c r="D8651" i="1"/>
  <c r="C8651" i="1"/>
  <c r="B8651" i="1"/>
  <c r="G8650" i="1"/>
  <c r="F8650" i="1"/>
  <c r="E8650" i="1"/>
  <c r="D8650" i="1"/>
  <c r="C8650" i="1"/>
  <c r="B8650" i="1"/>
  <c r="G8649" i="1"/>
  <c r="F8649" i="1"/>
  <c r="E8649" i="1"/>
  <c r="D8649" i="1"/>
  <c r="C8649" i="1"/>
  <c r="B8649" i="1"/>
  <c r="G8648" i="1"/>
  <c r="F8648" i="1"/>
  <c r="E8648" i="1"/>
  <c r="D8648" i="1"/>
  <c r="C8648" i="1"/>
  <c r="B8648" i="1"/>
  <c r="G8647" i="1"/>
  <c r="F8647" i="1"/>
  <c r="E8647" i="1"/>
  <c r="D8647" i="1"/>
  <c r="C8647" i="1"/>
  <c r="B8647" i="1"/>
  <c r="G8646" i="1"/>
  <c r="F8646" i="1"/>
  <c r="E8646" i="1"/>
  <c r="D8646" i="1"/>
  <c r="C8646" i="1"/>
  <c r="B8646" i="1"/>
  <c r="G8645" i="1"/>
  <c r="F8645" i="1"/>
  <c r="E8645" i="1"/>
  <c r="D8645" i="1"/>
  <c r="C8645" i="1"/>
  <c r="B8645" i="1"/>
  <c r="G8644" i="1"/>
  <c r="F8644" i="1"/>
  <c r="E8644" i="1"/>
  <c r="D8644" i="1"/>
  <c r="C8644" i="1"/>
  <c r="B8644" i="1"/>
  <c r="G8643" i="1"/>
  <c r="F8643" i="1"/>
  <c r="E8643" i="1"/>
  <c r="D8643" i="1"/>
  <c r="C8643" i="1"/>
  <c r="B8643" i="1"/>
  <c r="G8642" i="1"/>
  <c r="F8642" i="1"/>
  <c r="E8642" i="1"/>
  <c r="D8642" i="1"/>
  <c r="C8642" i="1"/>
  <c r="B8642" i="1"/>
  <c r="G8641" i="1"/>
  <c r="F8641" i="1"/>
  <c r="E8641" i="1"/>
  <c r="D8641" i="1"/>
  <c r="C8641" i="1"/>
  <c r="B8641" i="1"/>
  <c r="G8640" i="1"/>
  <c r="F8640" i="1"/>
  <c r="E8640" i="1"/>
  <c r="D8640" i="1"/>
  <c r="C8640" i="1"/>
  <c r="B8640" i="1"/>
  <c r="G8639" i="1"/>
  <c r="F8639" i="1"/>
  <c r="E8639" i="1"/>
  <c r="D8639" i="1"/>
  <c r="C8639" i="1"/>
  <c r="B8639" i="1"/>
  <c r="G8638" i="1"/>
  <c r="F8638" i="1"/>
  <c r="E8638" i="1"/>
  <c r="D8638" i="1"/>
  <c r="C8638" i="1"/>
  <c r="B8638" i="1"/>
  <c r="G8637" i="1"/>
  <c r="F8637" i="1"/>
  <c r="E8637" i="1"/>
  <c r="D8637" i="1"/>
  <c r="C8637" i="1"/>
  <c r="B8637" i="1"/>
  <c r="G8636" i="1"/>
  <c r="F8636" i="1"/>
  <c r="E8636" i="1"/>
  <c r="D8636" i="1"/>
  <c r="C8636" i="1"/>
  <c r="B8636" i="1"/>
  <c r="G8635" i="1"/>
  <c r="F8635" i="1"/>
  <c r="E8635" i="1"/>
  <c r="D8635" i="1"/>
  <c r="C8635" i="1"/>
  <c r="B8635" i="1"/>
  <c r="G8634" i="1"/>
  <c r="F8634" i="1"/>
  <c r="E8634" i="1"/>
  <c r="D8634" i="1"/>
  <c r="C8634" i="1"/>
  <c r="B8634" i="1"/>
  <c r="G8633" i="1"/>
  <c r="F8633" i="1"/>
  <c r="E8633" i="1"/>
  <c r="D8633" i="1"/>
  <c r="C8633" i="1"/>
  <c r="B8633" i="1"/>
  <c r="G8632" i="1"/>
  <c r="F8632" i="1"/>
  <c r="E8632" i="1"/>
  <c r="D8632" i="1"/>
  <c r="C8632" i="1"/>
  <c r="B8632" i="1"/>
  <c r="G8631" i="1"/>
  <c r="F8631" i="1"/>
  <c r="E8631" i="1"/>
  <c r="D8631" i="1"/>
  <c r="C8631" i="1"/>
  <c r="B8631" i="1"/>
  <c r="G8630" i="1"/>
  <c r="F8630" i="1"/>
  <c r="E8630" i="1"/>
  <c r="D8630" i="1"/>
  <c r="C8630" i="1"/>
  <c r="B8630" i="1"/>
  <c r="G8629" i="1"/>
  <c r="F8629" i="1"/>
  <c r="E8629" i="1"/>
  <c r="D8629" i="1"/>
  <c r="C8629" i="1"/>
  <c r="B8629" i="1"/>
  <c r="G8628" i="1"/>
  <c r="F8628" i="1"/>
  <c r="E8628" i="1"/>
  <c r="D8628" i="1"/>
  <c r="C8628" i="1"/>
  <c r="B8628" i="1"/>
  <c r="G8627" i="1"/>
  <c r="F8627" i="1"/>
  <c r="E8627" i="1"/>
  <c r="D8627" i="1"/>
  <c r="C8627" i="1"/>
  <c r="B8627" i="1"/>
  <c r="G8626" i="1"/>
  <c r="F8626" i="1"/>
  <c r="E8626" i="1"/>
  <c r="D8626" i="1"/>
  <c r="C8626" i="1"/>
  <c r="B8626" i="1"/>
  <c r="G8625" i="1"/>
  <c r="F8625" i="1"/>
  <c r="E8625" i="1"/>
  <c r="D8625" i="1"/>
  <c r="C8625" i="1"/>
  <c r="B8625" i="1"/>
  <c r="G8624" i="1"/>
  <c r="F8624" i="1"/>
  <c r="E8624" i="1"/>
  <c r="D8624" i="1"/>
  <c r="C8624" i="1"/>
  <c r="B8624" i="1"/>
  <c r="G8623" i="1"/>
  <c r="F8623" i="1"/>
  <c r="E8623" i="1"/>
  <c r="D8623" i="1"/>
  <c r="C8623" i="1"/>
  <c r="B8623" i="1"/>
  <c r="G8622" i="1"/>
  <c r="F8622" i="1"/>
  <c r="E8622" i="1"/>
  <c r="D8622" i="1"/>
  <c r="C8622" i="1"/>
  <c r="B8622" i="1"/>
  <c r="G8621" i="1"/>
  <c r="F8621" i="1"/>
  <c r="E8621" i="1"/>
  <c r="D8621" i="1"/>
  <c r="C8621" i="1"/>
  <c r="B8621" i="1"/>
  <c r="G8620" i="1"/>
  <c r="F8620" i="1"/>
  <c r="E8620" i="1"/>
  <c r="D8620" i="1"/>
  <c r="C8620" i="1"/>
  <c r="B8620" i="1"/>
  <c r="G8619" i="1"/>
  <c r="F8619" i="1"/>
  <c r="E8619" i="1"/>
  <c r="D8619" i="1"/>
  <c r="C8619" i="1"/>
  <c r="B8619" i="1"/>
  <c r="G8618" i="1"/>
  <c r="F8618" i="1"/>
  <c r="E8618" i="1"/>
  <c r="D8618" i="1"/>
  <c r="C8618" i="1"/>
  <c r="B8618" i="1"/>
  <c r="G8617" i="1"/>
  <c r="F8617" i="1"/>
  <c r="E8617" i="1"/>
  <c r="D8617" i="1"/>
  <c r="C8617" i="1"/>
  <c r="B8617" i="1"/>
  <c r="G8616" i="1"/>
  <c r="F8616" i="1"/>
  <c r="E8616" i="1"/>
  <c r="D8616" i="1"/>
  <c r="C8616" i="1"/>
  <c r="B8616" i="1"/>
  <c r="G8615" i="1"/>
  <c r="F8615" i="1"/>
  <c r="E8615" i="1"/>
  <c r="D8615" i="1"/>
  <c r="C8615" i="1"/>
  <c r="B8615" i="1"/>
  <c r="G8614" i="1"/>
  <c r="F8614" i="1"/>
  <c r="E8614" i="1"/>
  <c r="D8614" i="1"/>
  <c r="C8614" i="1"/>
  <c r="B8614" i="1"/>
  <c r="G8613" i="1"/>
  <c r="F8613" i="1"/>
  <c r="E8613" i="1"/>
  <c r="D8613" i="1"/>
  <c r="C8613" i="1"/>
  <c r="B8613" i="1"/>
  <c r="G8612" i="1"/>
  <c r="F8612" i="1"/>
  <c r="E8612" i="1"/>
  <c r="D8612" i="1"/>
  <c r="C8612" i="1"/>
  <c r="B8612" i="1"/>
  <c r="G8611" i="1"/>
  <c r="F8611" i="1"/>
  <c r="E8611" i="1"/>
  <c r="D8611" i="1"/>
  <c r="C8611" i="1"/>
  <c r="B8611" i="1"/>
  <c r="G8610" i="1"/>
  <c r="F8610" i="1"/>
  <c r="E8610" i="1"/>
  <c r="D8610" i="1"/>
  <c r="C8610" i="1"/>
  <c r="B8610" i="1"/>
  <c r="G8609" i="1"/>
  <c r="F8609" i="1"/>
  <c r="E8609" i="1"/>
  <c r="D8609" i="1"/>
  <c r="C8609" i="1"/>
  <c r="B8609" i="1"/>
  <c r="G8608" i="1"/>
  <c r="F8608" i="1"/>
  <c r="E8608" i="1"/>
  <c r="D8608" i="1"/>
  <c r="C8608" i="1"/>
  <c r="B8608" i="1"/>
  <c r="G8607" i="1"/>
  <c r="F8607" i="1"/>
  <c r="E8607" i="1"/>
  <c r="D8607" i="1"/>
  <c r="C8607" i="1"/>
  <c r="B8607" i="1"/>
  <c r="G8606" i="1"/>
  <c r="F8606" i="1"/>
  <c r="E8606" i="1"/>
  <c r="D8606" i="1"/>
  <c r="C8606" i="1"/>
  <c r="B8606" i="1"/>
  <c r="G8605" i="1"/>
  <c r="F8605" i="1"/>
  <c r="E8605" i="1"/>
  <c r="D8605" i="1"/>
  <c r="C8605" i="1"/>
  <c r="B8605" i="1"/>
  <c r="G8604" i="1"/>
  <c r="F8604" i="1"/>
  <c r="E8604" i="1"/>
  <c r="D8604" i="1"/>
  <c r="C8604" i="1"/>
  <c r="B8604" i="1"/>
  <c r="G8603" i="1"/>
  <c r="F8603" i="1"/>
  <c r="E8603" i="1"/>
  <c r="D8603" i="1"/>
  <c r="C8603" i="1"/>
  <c r="B8603" i="1"/>
  <c r="G8602" i="1"/>
  <c r="F8602" i="1"/>
  <c r="E8602" i="1"/>
  <c r="D8602" i="1"/>
  <c r="C8602" i="1"/>
  <c r="B8602" i="1"/>
  <c r="G8601" i="1"/>
  <c r="F8601" i="1"/>
  <c r="E8601" i="1"/>
  <c r="D8601" i="1"/>
  <c r="C8601" i="1"/>
  <c r="B8601" i="1"/>
  <c r="G8600" i="1"/>
  <c r="F8600" i="1"/>
  <c r="E8600" i="1"/>
  <c r="D8600" i="1"/>
  <c r="C8600" i="1"/>
  <c r="B8600" i="1"/>
  <c r="G8599" i="1"/>
  <c r="F8599" i="1"/>
  <c r="E8599" i="1"/>
  <c r="D8599" i="1"/>
  <c r="C8599" i="1"/>
  <c r="B8599" i="1"/>
  <c r="G8598" i="1"/>
  <c r="F8598" i="1"/>
  <c r="E8598" i="1"/>
  <c r="D8598" i="1"/>
  <c r="C8598" i="1"/>
  <c r="B8598" i="1"/>
  <c r="G8597" i="1"/>
  <c r="F8597" i="1"/>
  <c r="E8597" i="1"/>
  <c r="D8597" i="1"/>
  <c r="C8597" i="1"/>
  <c r="B8597" i="1"/>
  <c r="G8596" i="1"/>
  <c r="F8596" i="1"/>
  <c r="E8596" i="1"/>
  <c r="D8596" i="1"/>
  <c r="C8596" i="1"/>
  <c r="B8596" i="1"/>
  <c r="G8595" i="1"/>
  <c r="F8595" i="1"/>
  <c r="E8595" i="1"/>
  <c r="D8595" i="1"/>
  <c r="C8595" i="1"/>
  <c r="B8595" i="1"/>
  <c r="G8594" i="1"/>
  <c r="F8594" i="1"/>
  <c r="E8594" i="1"/>
  <c r="D8594" i="1"/>
  <c r="C8594" i="1"/>
  <c r="B8594" i="1"/>
  <c r="G8593" i="1"/>
  <c r="F8593" i="1"/>
  <c r="E8593" i="1"/>
  <c r="D8593" i="1"/>
  <c r="C8593" i="1"/>
  <c r="B8593" i="1"/>
  <c r="G8592" i="1"/>
  <c r="F8592" i="1"/>
  <c r="E8592" i="1"/>
  <c r="D8592" i="1"/>
  <c r="C8592" i="1"/>
  <c r="B8592" i="1"/>
  <c r="G8591" i="1"/>
  <c r="F8591" i="1"/>
  <c r="E8591" i="1"/>
  <c r="D8591" i="1"/>
  <c r="C8591" i="1"/>
  <c r="B8591" i="1"/>
  <c r="G8590" i="1"/>
  <c r="F8590" i="1"/>
  <c r="E8590" i="1"/>
  <c r="D8590" i="1"/>
  <c r="C8590" i="1"/>
  <c r="B8590" i="1"/>
  <c r="G8589" i="1"/>
  <c r="F8589" i="1"/>
  <c r="E8589" i="1"/>
  <c r="D8589" i="1"/>
  <c r="C8589" i="1"/>
  <c r="B8589" i="1"/>
  <c r="G8588" i="1"/>
  <c r="F8588" i="1"/>
  <c r="E8588" i="1"/>
  <c r="D8588" i="1"/>
  <c r="C8588" i="1"/>
  <c r="B8588" i="1"/>
  <c r="G8587" i="1"/>
  <c r="F8587" i="1"/>
  <c r="E8587" i="1"/>
  <c r="D8587" i="1"/>
  <c r="C8587" i="1"/>
  <c r="B8587" i="1"/>
  <c r="G8586" i="1"/>
  <c r="F8586" i="1"/>
  <c r="E8586" i="1"/>
  <c r="D8586" i="1"/>
  <c r="C8586" i="1"/>
  <c r="B8586" i="1"/>
  <c r="G8585" i="1"/>
  <c r="F8585" i="1"/>
  <c r="E8585" i="1"/>
  <c r="D8585" i="1"/>
  <c r="C8585" i="1"/>
  <c r="B8585" i="1"/>
  <c r="G8584" i="1"/>
  <c r="F8584" i="1"/>
  <c r="E8584" i="1"/>
  <c r="D8584" i="1"/>
  <c r="C8584" i="1"/>
  <c r="B8584" i="1"/>
  <c r="G8583" i="1"/>
  <c r="F8583" i="1"/>
  <c r="E8583" i="1"/>
  <c r="D8583" i="1"/>
  <c r="C8583" i="1"/>
  <c r="B8583" i="1"/>
  <c r="G8582" i="1"/>
  <c r="F8582" i="1"/>
  <c r="E8582" i="1"/>
  <c r="D8582" i="1"/>
  <c r="C8582" i="1"/>
  <c r="B8582" i="1"/>
  <c r="G8581" i="1"/>
  <c r="F8581" i="1"/>
  <c r="E8581" i="1"/>
  <c r="D8581" i="1"/>
  <c r="C8581" i="1"/>
  <c r="B8581" i="1"/>
  <c r="G8580" i="1"/>
  <c r="F8580" i="1"/>
  <c r="E8580" i="1"/>
  <c r="D8580" i="1"/>
  <c r="C8580" i="1"/>
  <c r="B8580" i="1"/>
  <c r="G8579" i="1"/>
  <c r="F8579" i="1"/>
  <c r="E8579" i="1"/>
  <c r="D8579" i="1"/>
  <c r="C8579" i="1"/>
  <c r="B8579" i="1"/>
  <c r="G8578" i="1"/>
  <c r="F8578" i="1"/>
  <c r="E8578" i="1"/>
  <c r="D8578" i="1"/>
  <c r="C8578" i="1"/>
  <c r="B8578" i="1"/>
  <c r="G8577" i="1"/>
  <c r="F8577" i="1"/>
  <c r="E8577" i="1"/>
  <c r="D8577" i="1"/>
  <c r="C8577" i="1"/>
  <c r="B8577" i="1"/>
  <c r="G8576" i="1"/>
  <c r="F8576" i="1"/>
  <c r="E8576" i="1"/>
  <c r="D8576" i="1"/>
  <c r="C8576" i="1"/>
  <c r="B8576" i="1"/>
  <c r="G8575" i="1"/>
  <c r="F8575" i="1"/>
  <c r="E8575" i="1"/>
  <c r="D8575" i="1"/>
  <c r="C8575" i="1"/>
  <c r="B8575" i="1"/>
  <c r="G8574" i="1"/>
  <c r="F8574" i="1"/>
  <c r="E8574" i="1"/>
  <c r="D8574" i="1"/>
  <c r="C8574" i="1"/>
  <c r="B8574" i="1"/>
  <c r="G8573" i="1"/>
  <c r="F8573" i="1"/>
  <c r="E8573" i="1"/>
  <c r="D8573" i="1"/>
  <c r="C8573" i="1"/>
  <c r="B8573" i="1"/>
  <c r="G8572" i="1"/>
  <c r="F8572" i="1"/>
  <c r="E8572" i="1"/>
  <c r="D8572" i="1"/>
  <c r="C8572" i="1"/>
  <c r="B8572" i="1"/>
  <c r="G8571" i="1"/>
  <c r="F8571" i="1"/>
  <c r="E8571" i="1"/>
  <c r="D8571" i="1"/>
  <c r="C8571" i="1"/>
  <c r="B8571" i="1"/>
  <c r="G8570" i="1"/>
  <c r="F8570" i="1"/>
  <c r="E8570" i="1"/>
  <c r="D8570" i="1"/>
  <c r="C8570" i="1"/>
  <c r="B8570" i="1"/>
  <c r="G8569" i="1"/>
  <c r="F8569" i="1"/>
  <c r="E8569" i="1"/>
  <c r="D8569" i="1"/>
  <c r="C8569" i="1"/>
  <c r="B8569" i="1"/>
  <c r="G8568" i="1"/>
  <c r="F8568" i="1"/>
  <c r="E8568" i="1"/>
  <c r="D8568" i="1"/>
  <c r="C8568" i="1"/>
  <c r="B8568" i="1"/>
  <c r="G8567" i="1"/>
  <c r="F8567" i="1"/>
  <c r="E8567" i="1"/>
  <c r="D8567" i="1"/>
  <c r="C8567" i="1"/>
  <c r="B8567" i="1"/>
  <c r="G8566" i="1"/>
  <c r="F8566" i="1"/>
  <c r="E8566" i="1"/>
  <c r="D8566" i="1"/>
  <c r="C8566" i="1"/>
  <c r="B8566" i="1"/>
  <c r="G8565" i="1"/>
  <c r="F8565" i="1"/>
  <c r="E8565" i="1"/>
  <c r="D8565" i="1"/>
  <c r="C8565" i="1"/>
  <c r="B8565" i="1"/>
  <c r="G8564" i="1"/>
  <c r="F8564" i="1"/>
  <c r="E8564" i="1"/>
  <c r="D8564" i="1"/>
  <c r="C8564" i="1"/>
  <c r="B8564" i="1"/>
  <c r="G8563" i="1"/>
  <c r="F8563" i="1"/>
  <c r="E8563" i="1"/>
  <c r="D8563" i="1"/>
  <c r="C8563" i="1"/>
  <c r="B8563" i="1"/>
  <c r="G8562" i="1"/>
  <c r="F8562" i="1"/>
  <c r="E8562" i="1"/>
  <c r="D8562" i="1"/>
  <c r="C8562" i="1"/>
  <c r="B8562" i="1"/>
  <c r="G8561" i="1"/>
  <c r="F8561" i="1"/>
  <c r="E8561" i="1"/>
  <c r="D8561" i="1"/>
  <c r="C8561" i="1"/>
  <c r="B8561" i="1"/>
  <c r="G8560" i="1"/>
  <c r="F8560" i="1"/>
  <c r="E8560" i="1"/>
  <c r="D8560" i="1"/>
  <c r="C8560" i="1"/>
  <c r="B8560" i="1"/>
  <c r="G8559" i="1"/>
  <c r="F8559" i="1"/>
  <c r="E8559" i="1"/>
  <c r="D8559" i="1"/>
  <c r="C8559" i="1"/>
  <c r="B8559" i="1"/>
  <c r="G8558" i="1"/>
  <c r="F8558" i="1"/>
  <c r="E8558" i="1"/>
  <c r="D8558" i="1"/>
  <c r="C8558" i="1"/>
  <c r="B8558" i="1"/>
  <c r="G8557" i="1"/>
  <c r="F8557" i="1"/>
  <c r="E8557" i="1"/>
  <c r="D8557" i="1"/>
  <c r="C8557" i="1"/>
  <c r="B8557" i="1"/>
  <c r="G8556" i="1"/>
  <c r="F8556" i="1"/>
  <c r="E8556" i="1"/>
  <c r="D8556" i="1"/>
  <c r="C8556" i="1"/>
  <c r="B8556" i="1"/>
  <c r="G8555" i="1"/>
  <c r="F8555" i="1"/>
  <c r="E8555" i="1"/>
  <c r="D8555" i="1"/>
  <c r="C8555" i="1"/>
  <c r="B8555" i="1"/>
  <c r="G8554" i="1"/>
  <c r="F8554" i="1"/>
  <c r="E8554" i="1"/>
  <c r="D8554" i="1"/>
  <c r="C8554" i="1"/>
  <c r="B8554" i="1"/>
  <c r="G8553" i="1"/>
  <c r="F8553" i="1"/>
  <c r="E8553" i="1"/>
  <c r="D8553" i="1"/>
  <c r="C8553" i="1"/>
  <c r="B8553" i="1"/>
  <c r="G8552" i="1"/>
  <c r="F8552" i="1"/>
  <c r="E8552" i="1"/>
  <c r="D8552" i="1"/>
  <c r="C8552" i="1"/>
  <c r="B8552" i="1"/>
  <c r="G8551" i="1"/>
  <c r="F8551" i="1"/>
  <c r="E8551" i="1"/>
  <c r="D8551" i="1"/>
  <c r="C8551" i="1"/>
  <c r="B8551" i="1"/>
  <c r="G8550" i="1"/>
  <c r="F8550" i="1"/>
  <c r="E8550" i="1"/>
  <c r="D8550" i="1"/>
  <c r="C8550" i="1"/>
  <c r="B8550" i="1"/>
  <c r="G8549" i="1"/>
  <c r="F8549" i="1"/>
  <c r="E8549" i="1"/>
  <c r="D8549" i="1"/>
  <c r="C8549" i="1"/>
  <c r="B8549" i="1"/>
  <c r="G8548" i="1"/>
  <c r="F8548" i="1"/>
  <c r="E8548" i="1"/>
  <c r="D8548" i="1"/>
  <c r="C8548" i="1"/>
  <c r="B8548" i="1"/>
  <c r="G8547" i="1"/>
  <c r="F8547" i="1"/>
  <c r="E8547" i="1"/>
  <c r="D8547" i="1"/>
  <c r="C8547" i="1"/>
  <c r="B8547" i="1"/>
  <c r="G8546" i="1"/>
  <c r="F8546" i="1"/>
  <c r="E8546" i="1"/>
  <c r="D8546" i="1"/>
  <c r="C8546" i="1"/>
  <c r="B8546" i="1"/>
  <c r="G8545" i="1"/>
  <c r="F8545" i="1"/>
  <c r="E8545" i="1"/>
  <c r="D8545" i="1"/>
  <c r="C8545" i="1"/>
  <c r="B8545" i="1"/>
  <c r="G8544" i="1"/>
  <c r="F8544" i="1"/>
  <c r="E8544" i="1"/>
  <c r="D8544" i="1"/>
  <c r="C8544" i="1"/>
  <c r="B8544" i="1"/>
  <c r="G8543" i="1"/>
  <c r="F8543" i="1"/>
  <c r="E8543" i="1"/>
  <c r="D8543" i="1"/>
  <c r="C8543" i="1"/>
  <c r="B8543" i="1"/>
  <c r="G8542" i="1"/>
  <c r="F8542" i="1"/>
  <c r="E8542" i="1"/>
  <c r="D8542" i="1"/>
  <c r="C8542" i="1"/>
  <c r="B8542" i="1"/>
  <c r="G8541" i="1"/>
  <c r="F8541" i="1"/>
  <c r="E8541" i="1"/>
  <c r="D8541" i="1"/>
  <c r="C8541" i="1"/>
  <c r="B8541" i="1"/>
  <c r="G8540" i="1"/>
  <c r="F8540" i="1"/>
  <c r="E8540" i="1"/>
  <c r="D8540" i="1"/>
  <c r="C8540" i="1"/>
  <c r="B8540" i="1"/>
  <c r="G8539" i="1"/>
  <c r="F8539" i="1"/>
  <c r="E8539" i="1"/>
  <c r="D8539" i="1"/>
  <c r="C8539" i="1"/>
  <c r="B8539" i="1"/>
  <c r="G8538" i="1"/>
  <c r="F8538" i="1"/>
  <c r="E8538" i="1"/>
  <c r="D8538" i="1"/>
  <c r="C8538" i="1"/>
  <c r="B8538" i="1"/>
  <c r="G8537" i="1"/>
  <c r="F8537" i="1"/>
  <c r="E8537" i="1"/>
  <c r="D8537" i="1"/>
  <c r="C8537" i="1"/>
  <c r="B8537" i="1"/>
  <c r="G8536" i="1"/>
  <c r="F8536" i="1"/>
  <c r="E8536" i="1"/>
  <c r="D8536" i="1"/>
  <c r="C8536" i="1"/>
  <c r="B8536" i="1"/>
  <c r="G8535" i="1"/>
  <c r="F8535" i="1"/>
  <c r="E8535" i="1"/>
  <c r="D8535" i="1"/>
  <c r="C8535" i="1"/>
  <c r="B8535" i="1"/>
  <c r="G8534" i="1"/>
  <c r="F8534" i="1"/>
  <c r="E8534" i="1"/>
  <c r="D8534" i="1"/>
  <c r="C8534" i="1"/>
  <c r="B8534" i="1"/>
  <c r="G8533" i="1"/>
  <c r="F8533" i="1"/>
  <c r="E8533" i="1"/>
  <c r="D8533" i="1"/>
  <c r="C8533" i="1"/>
  <c r="B8533" i="1"/>
  <c r="G8532" i="1"/>
  <c r="F8532" i="1"/>
  <c r="E8532" i="1"/>
  <c r="D8532" i="1"/>
  <c r="C8532" i="1"/>
  <c r="B8532" i="1"/>
  <c r="G8531" i="1"/>
  <c r="F8531" i="1"/>
  <c r="E8531" i="1"/>
  <c r="D8531" i="1"/>
  <c r="C8531" i="1"/>
  <c r="B8531" i="1"/>
  <c r="G8530" i="1"/>
  <c r="F8530" i="1"/>
  <c r="E8530" i="1"/>
  <c r="D8530" i="1"/>
  <c r="C8530" i="1"/>
  <c r="B8530" i="1"/>
  <c r="G8529" i="1"/>
  <c r="F8529" i="1"/>
  <c r="E8529" i="1"/>
  <c r="D8529" i="1"/>
  <c r="C8529" i="1"/>
  <c r="B8529" i="1"/>
  <c r="G8528" i="1"/>
  <c r="F8528" i="1"/>
  <c r="E8528" i="1"/>
  <c r="D8528" i="1"/>
  <c r="C8528" i="1"/>
  <c r="B8528" i="1"/>
  <c r="G8527" i="1"/>
  <c r="F8527" i="1"/>
  <c r="E8527" i="1"/>
  <c r="D8527" i="1"/>
  <c r="C8527" i="1"/>
  <c r="B8527" i="1"/>
  <c r="G8526" i="1"/>
  <c r="F8526" i="1"/>
  <c r="E8526" i="1"/>
  <c r="D8526" i="1"/>
  <c r="C8526" i="1"/>
  <c r="B8526" i="1"/>
  <c r="G8525" i="1"/>
  <c r="F8525" i="1"/>
  <c r="E8525" i="1"/>
  <c r="D8525" i="1"/>
  <c r="C8525" i="1"/>
  <c r="B8525" i="1"/>
  <c r="G8524" i="1"/>
  <c r="F8524" i="1"/>
  <c r="E8524" i="1"/>
  <c r="D8524" i="1"/>
  <c r="C8524" i="1"/>
  <c r="B8524" i="1"/>
  <c r="G8523" i="1"/>
  <c r="F8523" i="1"/>
  <c r="E8523" i="1"/>
  <c r="D8523" i="1"/>
  <c r="C8523" i="1"/>
  <c r="B8523" i="1"/>
  <c r="G8522" i="1"/>
  <c r="F8522" i="1"/>
  <c r="E8522" i="1"/>
  <c r="D8522" i="1"/>
  <c r="C8522" i="1"/>
  <c r="B8522" i="1"/>
  <c r="G8521" i="1"/>
  <c r="F8521" i="1"/>
  <c r="E8521" i="1"/>
  <c r="D8521" i="1"/>
  <c r="C8521" i="1"/>
  <c r="B8521" i="1"/>
  <c r="G8520" i="1"/>
  <c r="F8520" i="1"/>
  <c r="E8520" i="1"/>
  <c r="D8520" i="1"/>
  <c r="C8520" i="1"/>
  <c r="B8520" i="1"/>
  <c r="G8519" i="1"/>
  <c r="F8519" i="1"/>
  <c r="E8519" i="1"/>
  <c r="D8519" i="1"/>
  <c r="C8519" i="1"/>
  <c r="B8519" i="1"/>
  <c r="G8518" i="1"/>
  <c r="F8518" i="1"/>
  <c r="E8518" i="1"/>
  <c r="D8518" i="1"/>
  <c r="C8518" i="1"/>
  <c r="B8518" i="1"/>
  <c r="G8517" i="1"/>
  <c r="F8517" i="1"/>
  <c r="E8517" i="1"/>
  <c r="D8517" i="1"/>
  <c r="C8517" i="1"/>
  <c r="B8517" i="1"/>
  <c r="G8516" i="1"/>
  <c r="F8516" i="1"/>
  <c r="E8516" i="1"/>
  <c r="D8516" i="1"/>
  <c r="C8516" i="1"/>
  <c r="B8516" i="1"/>
  <c r="G8515" i="1"/>
  <c r="F8515" i="1"/>
  <c r="E8515" i="1"/>
  <c r="D8515" i="1"/>
  <c r="C8515" i="1"/>
  <c r="B8515" i="1"/>
  <c r="G8514" i="1"/>
  <c r="F8514" i="1"/>
  <c r="E8514" i="1"/>
  <c r="D8514" i="1"/>
  <c r="C8514" i="1"/>
  <c r="B8514" i="1"/>
  <c r="G8513" i="1"/>
  <c r="F8513" i="1"/>
  <c r="E8513" i="1"/>
  <c r="D8513" i="1"/>
  <c r="C8513" i="1"/>
  <c r="B8513" i="1"/>
  <c r="G8512" i="1"/>
  <c r="F8512" i="1"/>
  <c r="E8512" i="1"/>
  <c r="D8512" i="1"/>
  <c r="C8512" i="1"/>
  <c r="B8512" i="1"/>
  <c r="G8511" i="1"/>
  <c r="F8511" i="1"/>
  <c r="E8511" i="1"/>
  <c r="D8511" i="1"/>
  <c r="C8511" i="1"/>
  <c r="B8511" i="1"/>
  <c r="G8510" i="1"/>
  <c r="F8510" i="1"/>
  <c r="E8510" i="1"/>
  <c r="D8510" i="1"/>
  <c r="C8510" i="1"/>
  <c r="B8510" i="1"/>
  <c r="G8509" i="1"/>
  <c r="F8509" i="1"/>
  <c r="E8509" i="1"/>
  <c r="D8509" i="1"/>
  <c r="C8509" i="1"/>
  <c r="B8509" i="1"/>
  <c r="G8508" i="1"/>
  <c r="F8508" i="1"/>
  <c r="E8508" i="1"/>
  <c r="D8508" i="1"/>
  <c r="C8508" i="1"/>
  <c r="B8508" i="1"/>
  <c r="G8507" i="1"/>
  <c r="F8507" i="1"/>
  <c r="E8507" i="1"/>
  <c r="D8507" i="1"/>
  <c r="C8507" i="1"/>
  <c r="B8507" i="1"/>
  <c r="G8506" i="1"/>
  <c r="F8506" i="1"/>
  <c r="E8506" i="1"/>
  <c r="D8506" i="1"/>
  <c r="C8506" i="1"/>
  <c r="B8506" i="1"/>
  <c r="G8505" i="1"/>
  <c r="F8505" i="1"/>
  <c r="E8505" i="1"/>
  <c r="D8505" i="1"/>
  <c r="C8505" i="1"/>
  <c r="B8505" i="1"/>
  <c r="G8504" i="1"/>
  <c r="F8504" i="1"/>
  <c r="E8504" i="1"/>
  <c r="D8504" i="1"/>
  <c r="C8504" i="1"/>
  <c r="B8504" i="1"/>
  <c r="G8503" i="1"/>
  <c r="F8503" i="1"/>
  <c r="E8503" i="1"/>
  <c r="D8503" i="1"/>
  <c r="C8503" i="1"/>
  <c r="B8503" i="1"/>
  <c r="G8502" i="1"/>
  <c r="F8502" i="1"/>
  <c r="E8502" i="1"/>
  <c r="D8502" i="1"/>
  <c r="C8502" i="1"/>
  <c r="B8502" i="1"/>
  <c r="G8501" i="1"/>
  <c r="F8501" i="1"/>
  <c r="E8501" i="1"/>
  <c r="D8501" i="1"/>
  <c r="C8501" i="1"/>
  <c r="B8501" i="1"/>
  <c r="G8500" i="1"/>
  <c r="F8500" i="1"/>
  <c r="E8500" i="1"/>
  <c r="D8500" i="1"/>
  <c r="C8500" i="1"/>
  <c r="B8500" i="1"/>
  <c r="G8499" i="1"/>
  <c r="F8499" i="1"/>
  <c r="E8499" i="1"/>
  <c r="D8499" i="1"/>
  <c r="C8499" i="1"/>
  <c r="B8499" i="1"/>
  <c r="G8498" i="1"/>
  <c r="F8498" i="1"/>
  <c r="E8498" i="1"/>
  <c r="D8498" i="1"/>
  <c r="C8498" i="1"/>
  <c r="B8498" i="1"/>
  <c r="G8497" i="1"/>
  <c r="F8497" i="1"/>
  <c r="E8497" i="1"/>
  <c r="D8497" i="1"/>
  <c r="C8497" i="1"/>
  <c r="B8497" i="1"/>
  <c r="G8496" i="1"/>
  <c r="F8496" i="1"/>
  <c r="E8496" i="1"/>
  <c r="D8496" i="1"/>
  <c r="C8496" i="1"/>
  <c r="B8496" i="1"/>
  <c r="G8495" i="1"/>
  <c r="F8495" i="1"/>
  <c r="E8495" i="1"/>
  <c r="D8495" i="1"/>
  <c r="C8495" i="1"/>
  <c r="B8495" i="1"/>
  <c r="G8494" i="1"/>
  <c r="F8494" i="1"/>
  <c r="E8494" i="1"/>
  <c r="D8494" i="1"/>
  <c r="C8494" i="1"/>
  <c r="B8494" i="1"/>
  <c r="G8493" i="1"/>
  <c r="F8493" i="1"/>
  <c r="E8493" i="1"/>
  <c r="D8493" i="1"/>
  <c r="C8493" i="1"/>
  <c r="B8493" i="1"/>
  <c r="G8492" i="1"/>
  <c r="F8492" i="1"/>
  <c r="E8492" i="1"/>
  <c r="D8492" i="1"/>
  <c r="C8492" i="1"/>
  <c r="B8492" i="1"/>
  <c r="G8491" i="1"/>
  <c r="F8491" i="1"/>
  <c r="E8491" i="1"/>
  <c r="D8491" i="1"/>
  <c r="C8491" i="1"/>
  <c r="B8491" i="1"/>
  <c r="G8490" i="1"/>
  <c r="F8490" i="1"/>
  <c r="E8490" i="1"/>
  <c r="D8490" i="1"/>
  <c r="C8490" i="1"/>
  <c r="B8490" i="1"/>
  <c r="G8489" i="1"/>
  <c r="F8489" i="1"/>
  <c r="E8489" i="1"/>
  <c r="D8489" i="1"/>
  <c r="C8489" i="1"/>
  <c r="B8489" i="1"/>
  <c r="G8488" i="1"/>
  <c r="F8488" i="1"/>
  <c r="E8488" i="1"/>
  <c r="D8488" i="1"/>
  <c r="C8488" i="1"/>
  <c r="B8488" i="1"/>
  <c r="G8487" i="1"/>
  <c r="F8487" i="1"/>
  <c r="E8487" i="1"/>
  <c r="D8487" i="1"/>
  <c r="C8487" i="1"/>
  <c r="B8487" i="1"/>
  <c r="G8486" i="1"/>
  <c r="F8486" i="1"/>
  <c r="E8486" i="1"/>
  <c r="D8486" i="1"/>
  <c r="C8486" i="1"/>
  <c r="B8486" i="1"/>
  <c r="G8485" i="1"/>
  <c r="F8485" i="1"/>
  <c r="E8485" i="1"/>
  <c r="D8485" i="1"/>
  <c r="C8485" i="1"/>
  <c r="B8485" i="1"/>
  <c r="G8484" i="1"/>
  <c r="F8484" i="1"/>
  <c r="E8484" i="1"/>
  <c r="D8484" i="1"/>
  <c r="C8484" i="1"/>
  <c r="B8484" i="1"/>
  <c r="G8483" i="1"/>
  <c r="F8483" i="1"/>
  <c r="E8483" i="1"/>
  <c r="D8483" i="1"/>
  <c r="C8483" i="1"/>
  <c r="B8483" i="1"/>
  <c r="G8482" i="1"/>
  <c r="F8482" i="1"/>
  <c r="E8482" i="1"/>
  <c r="D8482" i="1"/>
  <c r="C8482" i="1"/>
  <c r="B8482" i="1"/>
  <c r="G8481" i="1"/>
  <c r="F8481" i="1"/>
  <c r="E8481" i="1"/>
  <c r="D8481" i="1"/>
  <c r="C8481" i="1"/>
  <c r="B8481" i="1"/>
  <c r="G8480" i="1"/>
  <c r="F8480" i="1"/>
  <c r="E8480" i="1"/>
  <c r="D8480" i="1"/>
  <c r="C8480" i="1"/>
  <c r="B8480" i="1"/>
  <c r="G8479" i="1"/>
  <c r="F8479" i="1"/>
  <c r="E8479" i="1"/>
  <c r="D8479" i="1"/>
  <c r="C8479" i="1"/>
  <c r="B8479" i="1"/>
  <c r="G8478" i="1"/>
  <c r="F8478" i="1"/>
  <c r="E8478" i="1"/>
  <c r="D8478" i="1"/>
  <c r="C8478" i="1"/>
  <c r="B8478" i="1"/>
  <c r="G8477" i="1"/>
  <c r="F8477" i="1"/>
  <c r="E8477" i="1"/>
  <c r="D8477" i="1"/>
  <c r="C8477" i="1"/>
  <c r="B8477" i="1"/>
  <c r="G8476" i="1"/>
  <c r="F8476" i="1"/>
  <c r="E8476" i="1"/>
  <c r="D8476" i="1"/>
  <c r="C8476" i="1"/>
  <c r="B8476" i="1"/>
  <c r="G8475" i="1"/>
  <c r="F8475" i="1"/>
  <c r="E8475" i="1"/>
  <c r="D8475" i="1"/>
  <c r="C8475" i="1"/>
  <c r="B8475" i="1"/>
  <c r="G8474" i="1"/>
  <c r="F8474" i="1"/>
  <c r="E8474" i="1"/>
  <c r="D8474" i="1"/>
  <c r="C8474" i="1"/>
  <c r="B8474" i="1"/>
  <c r="G8473" i="1"/>
  <c r="F8473" i="1"/>
  <c r="E8473" i="1"/>
  <c r="D8473" i="1"/>
  <c r="C8473" i="1"/>
  <c r="B8473" i="1"/>
  <c r="G8472" i="1"/>
  <c r="F8472" i="1"/>
  <c r="E8472" i="1"/>
  <c r="D8472" i="1"/>
  <c r="C8472" i="1"/>
  <c r="B8472" i="1"/>
  <c r="G8471" i="1"/>
  <c r="F8471" i="1"/>
  <c r="E8471" i="1"/>
  <c r="D8471" i="1"/>
  <c r="C8471" i="1"/>
  <c r="B8471" i="1"/>
  <c r="G8470" i="1"/>
  <c r="F8470" i="1"/>
  <c r="E8470" i="1"/>
  <c r="D8470" i="1"/>
  <c r="C8470" i="1"/>
  <c r="B8470" i="1"/>
  <c r="G8469" i="1"/>
  <c r="F8469" i="1"/>
  <c r="E8469" i="1"/>
  <c r="D8469" i="1"/>
  <c r="C8469" i="1"/>
  <c r="B8469" i="1"/>
  <c r="G8468" i="1"/>
  <c r="F8468" i="1"/>
  <c r="E8468" i="1"/>
  <c r="D8468" i="1"/>
  <c r="C8468" i="1"/>
  <c r="B8468" i="1"/>
  <c r="G8467" i="1"/>
  <c r="F8467" i="1"/>
  <c r="E8467" i="1"/>
  <c r="D8467" i="1"/>
  <c r="C8467" i="1"/>
  <c r="B8467" i="1"/>
  <c r="G8466" i="1"/>
  <c r="F8466" i="1"/>
  <c r="E8466" i="1"/>
  <c r="D8466" i="1"/>
  <c r="C8466" i="1"/>
  <c r="B8466" i="1"/>
  <c r="G8465" i="1"/>
  <c r="F8465" i="1"/>
  <c r="E8465" i="1"/>
  <c r="D8465" i="1"/>
  <c r="C8465" i="1"/>
  <c r="B8465" i="1"/>
  <c r="G8464" i="1"/>
  <c r="F8464" i="1"/>
  <c r="E8464" i="1"/>
  <c r="D8464" i="1"/>
  <c r="C8464" i="1"/>
  <c r="B8464" i="1"/>
  <c r="G8463" i="1"/>
  <c r="F8463" i="1"/>
  <c r="E8463" i="1"/>
  <c r="D8463" i="1"/>
  <c r="C8463" i="1"/>
  <c r="B8463" i="1"/>
  <c r="G8462" i="1"/>
  <c r="F8462" i="1"/>
  <c r="E8462" i="1"/>
  <c r="D8462" i="1"/>
  <c r="C8462" i="1"/>
  <c r="B8462" i="1"/>
  <c r="G8461" i="1"/>
  <c r="F8461" i="1"/>
  <c r="E8461" i="1"/>
  <c r="D8461" i="1"/>
  <c r="C8461" i="1"/>
  <c r="B8461" i="1"/>
  <c r="G8460" i="1"/>
  <c r="F8460" i="1"/>
  <c r="E8460" i="1"/>
  <c r="D8460" i="1"/>
  <c r="C8460" i="1"/>
  <c r="B8460" i="1"/>
  <c r="G8459" i="1"/>
  <c r="F8459" i="1"/>
  <c r="E8459" i="1"/>
  <c r="D8459" i="1"/>
  <c r="C8459" i="1"/>
  <c r="B8459" i="1"/>
  <c r="G8458" i="1"/>
  <c r="F8458" i="1"/>
  <c r="E8458" i="1"/>
  <c r="D8458" i="1"/>
  <c r="C8458" i="1"/>
  <c r="B8458" i="1"/>
  <c r="G8457" i="1"/>
  <c r="F8457" i="1"/>
  <c r="E8457" i="1"/>
  <c r="D8457" i="1"/>
  <c r="C8457" i="1"/>
  <c r="B8457" i="1"/>
  <c r="G8456" i="1"/>
  <c r="F8456" i="1"/>
  <c r="E8456" i="1"/>
  <c r="D8456" i="1"/>
  <c r="C8456" i="1"/>
  <c r="B8456" i="1"/>
  <c r="G8455" i="1"/>
  <c r="F8455" i="1"/>
  <c r="E8455" i="1"/>
  <c r="D8455" i="1"/>
  <c r="C8455" i="1"/>
  <c r="B8455" i="1"/>
  <c r="G8454" i="1"/>
  <c r="F8454" i="1"/>
  <c r="E8454" i="1"/>
  <c r="D8454" i="1"/>
  <c r="C8454" i="1"/>
  <c r="B8454" i="1"/>
  <c r="G8453" i="1"/>
  <c r="F8453" i="1"/>
  <c r="E8453" i="1"/>
  <c r="D8453" i="1"/>
  <c r="C8453" i="1"/>
  <c r="B8453" i="1"/>
  <c r="G8452" i="1"/>
  <c r="F8452" i="1"/>
  <c r="E8452" i="1"/>
  <c r="D8452" i="1"/>
  <c r="C8452" i="1"/>
  <c r="B8452" i="1"/>
  <c r="G8451" i="1"/>
  <c r="F8451" i="1"/>
  <c r="E8451" i="1"/>
  <c r="D8451" i="1"/>
  <c r="C8451" i="1"/>
  <c r="B8451" i="1"/>
  <c r="G8450" i="1"/>
  <c r="F8450" i="1"/>
  <c r="E8450" i="1"/>
  <c r="D8450" i="1"/>
  <c r="C8450" i="1"/>
  <c r="B8450" i="1"/>
  <c r="G8449" i="1"/>
  <c r="F8449" i="1"/>
  <c r="E8449" i="1"/>
  <c r="D8449" i="1"/>
  <c r="C8449" i="1"/>
  <c r="B8449" i="1"/>
  <c r="G8448" i="1"/>
  <c r="F8448" i="1"/>
  <c r="E8448" i="1"/>
  <c r="D8448" i="1"/>
  <c r="C8448" i="1"/>
  <c r="B8448" i="1"/>
  <c r="G8447" i="1"/>
  <c r="F8447" i="1"/>
  <c r="E8447" i="1"/>
  <c r="D8447" i="1"/>
  <c r="C8447" i="1"/>
  <c r="B8447" i="1"/>
  <c r="G8446" i="1"/>
  <c r="F8446" i="1"/>
  <c r="E8446" i="1"/>
  <c r="D8446" i="1"/>
  <c r="C8446" i="1"/>
  <c r="B8446" i="1"/>
  <c r="G8445" i="1"/>
  <c r="F8445" i="1"/>
  <c r="E8445" i="1"/>
  <c r="D8445" i="1"/>
  <c r="C8445" i="1"/>
  <c r="B8445" i="1"/>
  <c r="G8444" i="1"/>
  <c r="F8444" i="1"/>
  <c r="E8444" i="1"/>
  <c r="D8444" i="1"/>
  <c r="C8444" i="1"/>
  <c r="B8444" i="1"/>
  <c r="G8443" i="1"/>
  <c r="F8443" i="1"/>
  <c r="E8443" i="1"/>
  <c r="D8443" i="1"/>
  <c r="C8443" i="1"/>
  <c r="B8443" i="1"/>
  <c r="G8442" i="1"/>
  <c r="F8442" i="1"/>
  <c r="E8442" i="1"/>
  <c r="D8442" i="1"/>
  <c r="C8442" i="1"/>
  <c r="B8442" i="1"/>
  <c r="G8441" i="1"/>
  <c r="F8441" i="1"/>
  <c r="E8441" i="1"/>
  <c r="D8441" i="1"/>
  <c r="C8441" i="1"/>
  <c r="B8441" i="1"/>
  <c r="G8440" i="1"/>
  <c r="F8440" i="1"/>
  <c r="E8440" i="1"/>
  <c r="D8440" i="1"/>
  <c r="C8440" i="1"/>
  <c r="B8440" i="1"/>
  <c r="G8439" i="1"/>
  <c r="F8439" i="1"/>
  <c r="E8439" i="1"/>
  <c r="D8439" i="1"/>
  <c r="C8439" i="1"/>
  <c r="B8439" i="1"/>
  <c r="G8438" i="1"/>
  <c r="F8438" i="1"/>
  <c r="E8438" i="1"/>
  <c r="D8438" i="1"/>
  <c r="C8438" i="1"/>
  <c r="B8438" i="1"/>
  <c r="G8437" i="1"/>
  <c r="F8437" i="1"/>
  <c r="E8437" i="1"/>
  <c r="D8437" i="1"/>
  <c r="C8437" i="1"/>
  <c r="B8437" i="1"/>
  <c r="G8436" i="1"/>
  <c r="F8436" i="1"/>
  <c r="E8436" i="1"/>
  <c r="D8436" i="1"/>
  <c r="C8436" i="1"/>
  <c r="B8436" i="1"/>
  <c r="G8435" i="1"/>
  <c r="F8435" i="1"/>
  <c r="E8435" i="1"/>
  <c r="D8435" i="1"/>
  <c r="C8435" i="1"/>
  <c r="B8435" i="1"/>
  <c r="G8434" i="1"/>
  <c r="F8434" i="1"/>
  <c r="E8434" i="1"/>
  <c r="D8434" i="1"/>
  <c r="C8434" i="1"/>
  <c r="B8434" i="1"/>
  <c r="G8433" i="1"/>
  <c r="F8433" i="1"/>
  <c r="E8433" i="1"/>
  <c r="D8433" i="1"/>
  <c r="C8433" i="1"/>
  <c r="B8433" i="1"/>
  <c r="G8432" i="1"/>
  <c r="F8432" i="1"/>
  <c r="E8432" i="1"/>
  <c r="D8432" i="1"/>
  <c r="C8432" i="1"/>
  <c r="B8432" i="1"/>
  <c r="G8431" i="1"/>
  <c r="F8431" i="1"/>
  <c r="E8431" i="1"/>
  <c r="D8431" i="1"/>
  <c r="C8431" i="1"/>
  <c r="B8431" i="1"/>
  <c r="G8430" i="1"/>
  <c r="F8430" i="1"/>
  <c r="E8430" i="1"/>
  <c r="D8430" i="1"/>
  <c r="C8430" i="1"/>
  <c r="B8430" i="1"/>
  <c r="G8429" i="1"/>
  <c r="F8429" i="1"/>
  <c r="E8429" i="1"/>
  <c r="D8429" i="1"/>
  <c r="C8429" i="1"/>
  <c r="B8429" i="1"/>
  <c r="G8428" i="1"/>
  <c r="F8428" i="1"/>
  <c r="E8428" i="1"/>
  <c r="D8428" i="1"/>
  <c r="C8428" i="1"/>
  <c r="B8428" i="1"/>
  <c r="G8427" i="1"/>
  <c r="F8427" i="1"/>
  <c r="E8427" i="1"/>
  <c r="D8427" i="1"/>
  <c r="C8427" i="1"/>
  <c r="B8427" i="1"/>
  <c r="G8426" i="1"/>
  <c r="F8426" i="1"/>
  <c r="E8426" i="1"/>
  <c r="D8426" i="1"/>
  <c r="C8426" i="1"/>
  <c r="B8426" i="1"/>
  <c r="G8425" i="1"/>
  <c r="F8425" i="1"/>
  <c r="E8425" i="1"/>
  <c r="D8425" i="1"/>
  <c r="C8425" i="1"/>
  <c r="B8425" i="1"/>
  <c r="G8424" i="1"/>
  <c r="F8424" i="1"/>
  <c r="E8424" i="1"/>
  <c r="D8424" i="1"/>
  <c r="C8424" i="1"/>
  <c r="B8424" i="1"/>
  <c r="G8423" i="1"/>
  <c r="F8423" i="1"/>
  <c r="E8423" i="1"/>
  <c r="D8423" i="1"/>
  <c r="C8423" i="1"/>
  <c r="B8423" i="1"/>
  <c r="G8422" i="1"/>
  <c r="F8422" i="1"/>
  <c r="E8422" i="1"/>
  <c r="D8422" i="1"/>
  <c r="C8422" i="1"/>
  <c r="B8422" i="1"/>
  <c r="G8421" i="1"/>
  <c r="F8421" i="1"/>
  <c r="E8421" i="1"/>
  <c r="D8421" i="1"/>
  <c r="C8421" i="1"/>
  <c r="B8421" i="1"/>
  <c r="G8420" i="1"/>
  <c r="F8420" i="1"/>
  <c r="E8420" i="1"/>
  <c r="D8420" i="1"/>
  <c r="C8420" i="1"/>
  <c r="B8420" i="1"/>
  <c r="G8419" i="1"/>
  <c r="F8419" i="1"/>
  <c r="E8419" i="1"/>
  <c r="D8419" i="1"/>
  <c r="C8419" i="1"/>
  <c r="B8419" i="1"/>
  <c r="G8418" i="1"/>
  <c r="F8418" i="1"/>
  <c r="E8418" i="1"/>
  <c r="D8418" i="1"/>
  <c r="C8418" i="1"/>
  <c r="B8418" i="1"/>
  <c r="G8417" i="1"/>
  <c r="F8417" i="1"/>
  <c r="E8417" i="1"/>
  <c r="D8417" i="1"/>
  <c r="C8417" i="1"/>
  <c r="B8417" i="1"/>
  <c r="G8416" i="1"/>
  <c r="F8416" i="1"/>
  <c r="E8416" i="1"/>
  <c r="D8416" i="1"/>
  <c r="C8416" i="1"/>
  <c r="B8416" i="1"/>
  <c r="G8415" i="1"/>
  <c r="F8415" i="1"/>
  <c r="E8415" i="1"/>
  <c r="D8415" i="1"/>
  <c r="C8415" i="1"/>
  <c r="B8415" i="1"/>
  <c r="G8414" i="1"/>
  <c r="F8414" i="1"/>
  <c r="E8414" i="1"/>
  <c r="D8414" i="1"/>
  <c r="C8414" i="1"/>
  <c r="B8414" i="1"/>
  <c r="G8413" i="1"/>
  <c r="F8413" i="1"/>
  <c r="E8413" i="1"/>
  <c r="D8413" i="1"/>
  <c r="C8413" i="1"/>
  <c r="B8413" i="1"/>
  <c r="G8412" i="1"/>
  <c r="F8412" i="1"/>
  <c r="E8412" i="1"/>
  <c r="D8412" i="1"/>
  <c r="C8412" i="1"/>
  <c r="B8412" i="1"/>
  <c r="G8411" i="1"/>
  <c r="F8411" i="1"/>
  <c r="E8411" i="1"/>
  <c r="D8411" i="1"/>
  <c r="C8411" i="1"/>
  <c r="B8411" i="1"/>
  <c r="G8410" i="1"/>
  <c r="F8410" i="1"/>
  <c r="E8410" i="1"/>
  <c r="D8410" i="1"/>
  <c r="C8410" i="1"/>
  <c r="B8410" i="1"/>
  <c r="G8409" i="1"/>
  <c r="F8409" i="1"/>
  <c r="E8409" i="1"/>
  <c r="D8409" i="1"/>
  <c r="C8409" i="1"/>
  <c r="B8409" i="1"/>
  <c r="G8408" i="1"/>
  <c r="F8408" i="1"/>
  <c r="E8408" i="1"/>
  <c r="D8408" i="1"/>
  <c r="C8408" i="1"/>
  <c r="B8408" i="1"/>
  <c r="G8407" i="1"/>
  <c r="F8407" i="1"/>
  <c r="E8407" i="1"/>
  <c r="D8407" i="1"/>
  <c r="C8407" i="1"/>
  <c r="B8407" i="1"/>
  <c r="G8406" i="1"/>
  <c r="F8406" i="1"/>
  <c r="E8406" i="1"/>
  <c r="D8406" i="1"/>
  <c r="C8406" i="1"/>
  <c r="B8406" i="1"/>
  <c r="G8405" i="1"/>
  <c r="F8405" i="1"/>
  <c r="E8405" i="1"/>
  <c r="D8405" i="1"/>
  <c r="C8405" i="1"/>
  <c r="B8405" i="1"/>
  <c r="G8404" i="1"/>
  <c r="F8404" i="1"/>
  <c r="E8404" i="1"/>
  <c r="D8404" i="1"/>
  <c r="C8404" i="1"/>
  <c r="B8404" i="1"/>
  <c r="G8403" i="1"/>
  <c r="F8403" i="1"/>
  <c r="E8403" i="1"/>
  <c r="D8403" i="1"/>
  <c r="C8403" i="1"/>
  <c r="B8403" i="1"/>
  <c r="G8402" i="1"/>
  <c r="F8402" i="1"/>
  <c r="E8402" i="1"/>
  <c r="D8402" i="1"/>
  <c r="C8402" i="1"/>
  <c r="B8402" i="1"/>
  <c r="G8401" i="1"/>
  <c r="F8401" i="1"/>
  <c r="E8401" i="1"/>
  <c r="D8401" i="1"/>
  <c r="C8401" i="1"/>
  <c r="B8401" i="1"/>
  <c r="G8400" i="1"/>
  <c r="F8400" i="1"/>
  <c r="E8400" i="1"/>
  <c r="D8400" i="1"/>
  <c r="C8400" i="1"/>
  <c r="B8400" i="1"/>
  <c r="G8399" i="1"/>
  <c r="F8399" i="1"/>
  <c r="E8399" i="1"/>
  <c r="D8399" i="1"/>
  <c r="C8399" i="1"/>
  <c r="B8399" i="1"/>
  <c r="G8398" i="1"/>
  <c r="F8398" i="1"/>
  <c r="E8398" i="1"/>
  <c r="D8398" i="1"/>
  <c r="C8398" i="1"/>
  <c r="B8398" i="1"/>
  <c r="G8397" i="1"/>
  <c r="F8397" i="1"/>
  <c r="E8397" i="1"/>
  <c r="D8397" i="1"/>
  <c r="C8397" i="1"/>
  <c r="B8397" i="1"/>
  <c r="G8396" i="1"/>
  <c r="F8396" i="1"/>
  <c r="E8396" i="1"/>
  <c r="D8396" i="1"/>
  <c r="C8396" i="1"/>
  <c r="B8396" i="1"/>
  <c r="G8395" i="1"/>
  <c r="F8395" i="1"/>
  <c r="E8395" i="1"/>
  <c r="D8395" i="1"/>
  <c r="C8395" i="1"/>
  <c r="B8395" i="1"/>
  <c r="G8394" i="1"/>
  <c r="F8394" i="1"/>
  <c r="E8394" i="1"/>
  <c r="D8394" i="1"/>
  <c r="C8394" i="1"/>
  <c r="B8394" i="1"/>
  <c r="G8393" i="1"/>
  <c r="F8393" i="1"/>
  <c r="E8393" i="1"/>
  <c r="D8393" i="1"/>
  <c r="C8393" i="1"/>
  <c r="B8393" i="1"/>
  <c r="G8392" i="1"/>
  <c r="F8392" i="1"/>
  <c r="E8392" i="1"/>
  <c r="D8392" i="1"/>
  <c r="C8392" i="1"/>
  <c r="B8392" i="1"/>
  <c r="G8391" i="1"/>
  <c r="F8391" i="1"/>
  <c r="E8391" i="1"/>
  <c r="D8391" i="1"/>
  <c r="C8391" i="1"/>
  <c r="B8391" i="1"/>
  <c r="G8390" i="1"/>
  <c r="F8390" i="1"/>
  <c r="E8390" i="1"/>
  <c r="D8390" i="1"/>
  <c r="C8390" i="1"/>
  <c r="B8390" i="1"/>
  <c r="G8389" i="1"/>
  <c r="F8389" i="1"/>
  <c r="E8389" i="1"/>
  <c r="D8389" i="1"/>
  <c r="C8389" i="1"/>
  <c r="B8389" i="1"/>
  <c r="G8388" i="1"/>
  <c r="F8388" i="1"/>
  <c r="E8388" i="1"/>
  <c r="D8388" i="1"/>
  <c r="C8388" i="1"/>
  <c r="B8388" i="1"/>
  <c r="G8387" i="1"/>
  <c r="F8387" i="1"/>
  <c r="E8387" i="1"/>
  <c r="D8387" i="1"/>
  <c r="C8387" i="1"/>
  <c r="B8387" i="1"/>
  <c r="G8386" i="1"/>
  <c r="F8386" i="1"/>
  <c r="E8386" i="1"/>
  <c r="D8386" i="1"/>
  <c r="C8386" i="1"/>
  <c r="B8386" i="1"/>
  <c r="G8385" i="1"/>
  <c r="F8385" i="1"/>
  <c r="E8385" i="1"/>
  <c r="D8385" i="1"/>
  <c r="C8385" i="1"/>
  <c r="B8385" i="1"/>
  <c r="G8384" i="1"/>
  <c r="F8384" i="1"/>
  <c r="E8384" i="1"/>
  <c r="D8384" i="1"/>
  <c r="C8384" i="1"/>
  <c r="B8384" i="1"/>
  <c r="G8383" i="1"/>
  <c r="F8383" i="1"/>
  <c r="E8383" i="1"/>
  <c r="D8383" i="1"/>
  <c r="C8383" i="1"/>
  <c r="B8383" i="1"/>
  <c r="G8382" i="1"/>
  <c r="F8382" i="1"/>
  <c r="E8382" i="1"/>
  <c r="D8382" i="1"/>
  <c r="C8382" i="1"/>
  <c r="B8382" i="1"/>
  <c r="G8381" i="1"/>
  <c r="F8381" i="1"/>
  <c r="E8381" i="1"/>
  <c r="D8381" i="1"/>
  <c r="C8381" i="1"/>
  <c r="B8381" i="1"/>
  <c r="G8380" i="1"/>
  <c r="F8380" i="1"/>
  <c r="E8380" i="1"/>
  <c r="D8380" i="1"/>
  <c r="C8380" i="1"/>
  <c r="B8380" i="1"/>
  <c r="G8379" i="1"/>
  <c r="F8379" i="1"/>
  <c r="E8379" i="1"/>
  <c r="D8379" i="1"/>
  <c r="C8379" i="1"/>
  <c r="B8379" i="1"/>
  <c r="G8378" i="1"/>
  <c r="F8378" i="1"/>
  <c r="E8378" i="1"/>
  <c r="D8378" i="1"/>
  <c r="C8378" i="1"/>
  <c r="B8378" i="1"/>
  <c r="G8377" i="1"/>
  <c r="F8377" i="1"/>
  <c r="E8377" i="1"/>
  <c r="D8377" i="1"/>
  <c r="C8377" i="1"/>
  <c r="B8377" i="1"/>
  <c r="G8376" i="1"/>
  <c r="D8376" i="1"/>
  <c r="C8376" i="1"/>
  <c r="B8376" i="1"/>
  <c r="G8375" i="1"/>
  <c r="F8375" i="1"/>
  <c r="E8375" i="1"/>
  <c r="D8375" i="1"/>
  <c r="C8375" i="1"/>
  <c r="B8375" i="1"/>
  <c r="G8374" i="1"/>
  <c r="F8374" i="1"/>
  <c r="E8374" i="1"/>
  <c r="D8374" i="1"/>
  <c r="C8374" i="1"/>
  <c r="B8374" i="1"/>
  <c r="G8373" i="1"/>
  <c r="F8373" i="1"/>
  <c r="E8373" i="1"/>
  <c r="D8373" i="1"/>
  <c r="C8373" i="1"/>
  <c r="B8373" i="1"/>
  <c r="G8372" i="1"/>
  <c r="F8372" i="1"/>
  <c r="E8372" i="1"/>
  <c r="D8372" i="1"/>
  <c r="C8372" i="1"/>
  <c r="B8372" i="1"/>
  <c r="G8371" i="1"/>
  <c r="F8371" i="1"/>
  <c r="E8371" i="1"/>
  <c r="D8371" i="1"/>
  <c r="C8371" i="1"/>
  <c r="B8371" i="1"/>
  <c r="G8370" i="1"/>
  <c r="F8370" i="1"/>
  <c r="E8370" i="1"/>
  <c r="D8370" i="1"/>
  <c r="C8370" i="1"/>
  <c r="B8370" i="1"/>
  <c r="G8369" i="1"/>
  <c r="F8369" i="1"/>
  <c r="E8369" i="1"/>
  <c r="D8369" i="1"/>
  <c r="C8369" i="1"/>
  <c r="B8369" i="1"/>
  <c r="G8368" i="1"/>
  <c r="F8368" i="1"/>
  <c r="E8368" i="1"/>
  <c r="D8368" i="1"/>
  <c r="C8368" i="1"/>
  <c r="B8368" i="1"/>
  <c r="G8367" i="1"/>
  <c r="F8367" i="1"/>
  <c r="E8367" i="1"/>
  <c r="D8367" i="1"/>
  <c r="C8367" i="1"/>
  <c r="B8367" i="1"/>
  <c r="G8366" i="1"/>
  <c r="F8366" i="1"/>
  <c r="E8366" i="1"/>
  <c r="D8366" i="1"/>
  <c r="C8366" i="1"/>
  <c r="B8366" i="1"/>
  <c r="G8365" i="1"/>
  <c r="F8365" i="1"/>
  <c r="E8365" i="1"/>
  <c r="D8365" i="1"/>
  <c r="C8365" i="1"/>
  <c r="B8365" i="1"/>
  <c r="G8364" i="1"/>
  <c r="F8364" i="1"/>
  <c r="E8364" i="1"/>
  <c r="D8364" i="1"/>
  <c r="C8364" i="1"/>
  <c r="B8364" i="1"/>
  <c r="G8363" i="1"/>
  <c r="F8363" i="1"/>
  <c r="E8363" i="1"/>
  <c r="D8363" i="1"/>
  <c r="C8363" i="1"/>
  <c r="B8363" i="1"/>
  <c r="G8362" i="1"/>
  <c r="F8362" i="1"/>
  <c r="E8362" i="1"/>
  <c r="D8362" i="1"/>
  <c r="C8362" i="1"/>
  <c r="B8362" i="1"/>
  <c r="G8361" i="1"/>
  <c r="F8361" i="1"/>
  <c r="E8361" i="1"/>
  <c r="D8361" i="1"/>
  <c r="C8361" i="1"/>
  <c r="B8361" i="1"/>
  <c r="G8360" i="1"/>
  <c r="F8360" i="1"/>
  <c r="E8360" i="1"/>
  <c r="D8360" i="1"/>
  <c r="C8360" i="1"/>
  <c r="B8360" i="1"/>
  <c r="G8359" i="1"/>
  <c r="F8359" i="1"/>
  <c r="E8359" i="1"/>
  <c r="D8359" i="1"/>
  <c r="C8359" i="1"/>
  <c r="B8359" i="1"/>
  <c r="G8358" i="1"/>
  <c r="F8358" i="1"/>
  <c r="E8358" i="1"/>
  <c r="D8358" i="1"/>
  <c r="C8358" i="1"/>
  <c r="B8358" i="1"/>
  <c r="G8357" i="1"/>
  <c r="F8357" i="1"/>
  <c r="E8357" i="1"/>
  <c r="D8357" i="1"/>
  <c r="C8357" i="1"/>
  <c r="B8357" i="1"/>
  <c r="G8356" i="1"/>
  <c r="F8356" i="1"/>
  <c r="E8356" i="1"/>
  <c r="D8356" i="1"/>
  <c r="C8356" i="1"/>
  <c r="B8356" i="1"/>
  <c r="G8355" i="1"/>
  <c r="F8355" i="1"/>
  <c r="E8355" i="1"/>
  <c r="D8355" i="1"/>
  <c r="C8355" i="1"/>
  <c r="B8355" i="1"/>
  <c r="G8354" i="1"/>
  <c r="F8354" i="1"/>
  <c r="E8354" i="1"/>
  <c r="D8354" i="1"/>
  <c r="C8354" i="1"/>
  <c r="B8354" i="1"/>
  <c r="G8353" i="1"/>
  <c r="F8353" i="1"/>
  <c r="E8353" i="1"/>
  <c r="D8353" i="1"/>
  <c r="C8353" i="1"/>
  <c r="B8353" i="1"/>
  <c r="G8352" i="1"/>
  <c r="F8352" i="1"/>
  <c r="E8352" i="1"/>
  <c r="D8352" i="1"/>
  <c r="C8352" i="1"/>
  <c r="B8352" i="1"/>
  <c r="G8351" i="1"/>
  <c r="F8351" i="1"/>
  <c r="E8351" i="1"/>
  <c r="D8351" i="1"/>
  <c r="C8351" i="1"/>
  <c r="B8351" i="1"/>
  <c r="G8350" i="1"/>
  <c r="F8350" i="1"/>
  <c r="E8350" i="1"/>
  <c r="D8350" i="1"/>
  <c r="C8350" i="1"/>
  <c r="B8350" i="1"/>
  <c r="G8349" i="1"/>
  <c r="F8349" i="1"/>
  <c r="E8349" i="1"/>
  <c r="D8349" i="1"/>
  <c r="C8349" i="1"/>
  <c r="B8349" i="1"/>
  <c r="G8348" i="1"/>
  <c r="F8348" i="1"/>
  <c r="E8348" i="1"/>
  <c r="D8348" i="1"/>
  <c r="C8348" i="1"/>
  <c r="B8348" i="1"/>
  <c r="G8347" i="1"/>
  <c r="F8347" i="1"/>
  <c r="E8347" i="1"/>
  <c r="D8347" i="1"/>
  <c r="C8347" i="1"/>
  <c r="B8347" i="1"/>
  <c r="G8346" i="1"/>
  <c r="F8346" i="1"/>
  <c r="E8346" i="1"/>
  <c r="D8346" i="1"/>
  <c r="C8346" i="1"/>
  <c r="B8346" i="1"/>
  <c r="G8345" i="1"/>
  <c r="F8345" i="1"/>
  <c r="E8345" i="1"/>
  <c r="D8345" i="1"/>
  <c r="C8345" i="1"/>
  <c r="B8345" i="1"/>
  <c r="G8344" i="1"/>
  <c r="F8344" i="1"/>
  <c r="E8344" i="1"/>
  <c r="D8344" i="1"/>
  <c r="C8344" i="1"/>
  <c r="B8344" i="1"/>
  <c r="G8343" i="1"/>
  <c r="F8343" i="1"/>
  <c r="E8343" i="1"/>
  <c r="D8343" i="1"/>
  <c r="C8343" i="1"/>
  <c r="B8343" i="1"/>
  <c r="G8342" i="1"/>
  <c r="F8342" i="1"/>
  <c r="E8342" i="1"/>
  <c r="D8342" i="1"/>
  <c r="C8342" i="1"/>
  <c r="B8342" i="1"/>
  <c r="G8341" i="1"/>
  <c r="F8341" i="1"/>
  <c r="E8341" i="1"/>
  <c r="D8341" i="1"/>
  <c r="C8341" i="1"/>
  <c r="B8341" i="1"/>
  <c r="G8340" i="1"/>
  <c r="F8340" i="1"/>
  <c r="E8340" i="1"/>
  <c r="D8340" i="1"/>
  <c r="C8340" i="1"/>
  <c r="B8340" i="1"/>
  <c r="G8339" i="1"/>
  <c r="F8339" i="1"/>
  <c r="E8339" i="1"/>
  <c r="D8339" i="1"/>
  <c r="C8339" i="1"/>
  <c r="B8339" i="1"/>
  <c r="D8338" i="1"/>
  <c r="C8338" i="1"/>
  <c r="B8338" i="1"/>
  <c r="G8337" i="1"/>
  <c r="F8337" i="1"/>
  <c r="E8337" i="1"/>
  <c r="D8337" i="1"/>
  <c r="C8337" i="1"/>
  <c r="B8337" i="1"/>
  <c r="G8336" i="1"/>
  <c r="F8336" i="1"/>
  <c r="E8336" i="1"/>
  <c r="D8336" i="1"/>
  <c r="C8336" i="1"/>
  <c r="B8336" i="1"/>
  <c r="G8335" i="1"/>
  <c r="F8335" i="1"/>
  <c r="E8335" i="1"/>
  <c r="D8335" i="1"/>
  <c r="C8335" i="1"/>
  <c r="B8335" i="1"/>
  <c r="G8334" i="1"/>
  <c r="F8334" i="1"/>
  <c r="E8334" i="1"/>
  <c r="D8334" i="1"/>
  <c r="C8334" i="1"/>
  <c r="B8334" i="1"/>
  <c r="G8333" i="1"/>
  <c r="F8333" i="1"/>
  <c r="E8333" i="1"/>
  <c r="D8333" i="1"/>
  <c r="C8333" i="1"/>
  <c r="B8333" i="1"/>
  <c r="G8332" i="1"/>
  <c r="F8332" i="1"/>
  <c r="E8332" i="1"/>
  <c r="D8332" i="1"/>
  <c r="C8332" i="1"/>
  <c r="B8332" i="1"/>
  <c r="G8331" i="1"/>
  <c r="F8331" i="1"/>
  <c r="E8331" i="1"/>
  <c r="D8331" i="1"/>
  <c r="C8331" i="1"/>
  <c r="B8331" i="1"/>
  <c r="G8330" i="1"/>
  <c r="F8330" i="1"/>
  <c r="E8330" i="1"/>
  <c r="D8330" i="1"/>
  <c r="C8330" i="1"/>
  <c r="B8330" i="1"/>
  <c r="G8329" i="1"/>
  <c r="F8329" i="1"/>
  <c r="E8329" i="1"/>
  <c r="D8329" i="1"/>
  <c r="C8329" i="1"/>
  <c r="B8329" i="1"/>
  <c r="G8328" i="1"/>
  <c r="F8328" i="1"/>
  <c r="E8328" i="1"/>
  <c r="D8328" i="1"/>
  <c r="C8328" i="1"/>
  <c r="B8328" i="1"/>
  <c r="G8327" i="1"/>
  <c r="F8327" i="1"/>
  <c r="E8327" i="1"/>
  <c r="D8327" i="1"/>
  <c r="C8327" i="1"/>
  <c r="B8327" i="1"/>
  <c r="G8326" i="1"/>
  <c r="F8326" i="1"/>
  <c r="E8326" i="1"/>
  <c r="D8326" i="1"/>
  <c r="C8326" i="1"/>
  <c r="B8326" i="1"/>
  <c r="G8325" i="1"/>
  <c r="F8325" i="1"/>
  <c r="E8325" i="1"/>
  <c r="D8325" i="1"/>
  <c r="C8325" i="1"/>
  <c r="B8325" i="1"/>
  <c r="G8324" i="1"/>
  <c r="F8324" i="1"/>
  <c r="E8324" i="1"/>
  <c r="D8324" i="1"/>
  <c r="C8324" i="1"/>
  <c r="B8324" i="1"/>
  <c r="G8323" i="1"/>
  <c r="F8323" i="1"/>
  <c r="E8323" i="1"/>
  <c r="D8323" i="1"/>
  <c r="C8323" i="1"/>
  <c r="B8323" i="1"/>
  <c r="G8322" i="1"/>
  <c r="F8322" i="1"/>
  <c r="E8322" i="1"/>
  <c r="D8322" i="1"/>
  <c r="C8322" i="1"/>
  <c r="B8322" i="1"/>
  <c r="G8321" i="1"/>
  <c r="F8321" i="1"/>
  <c r="E8321" i="1"/>
  <c r="D8321" i="1"/>
  <c r="C8321" i="1"/>
  <c r="B8321" i="1"/>
  <c r="G8320" i="1"/>
  <c r="F8320" i="1"/>
  <c r="E8320" i="1"/>
  <c r="D8320" i="1"/>
  <c r="C8320" i="1"/>
  <c r="B8320" i="1"/>
  <c r="G8319" i="1"/>
  <c r="F8319" i="1"/>
  <c r="E8319" i="1"/>
  <c r="D8319" i="1"/>
  <c r="C8319" i="1"/>
  <c r="B8319" i="1"/>
  <c r="G8318" i="1"/>
  <c r="F8318" i="1"/>
  <c r="E8318" i="1"/>
  <c r="D8318" i="1"/>
  <c r="C8318" i="1"/>
  <c r="B8318" i="1"/>
  <c r="G8317" i="1"/>
  <c r="F8317" i="1"/>
  <c r="E8317" i="1"/>
  <c r="D8317" i="1"/>
  <c r="C8317" i="1"/>
  <c r="B8317" i="1"/>
  <c r="G8316" i="1"/>
  <c r="F8316" i="1"/>
  <c r="E8316" i="1"/>
  <c r="D8316" i="1"/>
  <c r="C8316" i="1"/>
  <c r="B8316" i="1"/>
  <c r="G8315" i="1"/>
  <c r="F8315" i="1"/>
  <c r="E8315" i="1"/>
  <c r="D8315" i="1"/>
  <c r="C8315" i="1"/>
  <c r="B8315" i="1"/>
  <c r="G8314" i="1"/>
  <c r="F8314" i="1"/>
  <c r="E8314" i="1"/>
  <c r="D8314" i="1"/>
  <c r="C8314" i="1"/>
  <c r="B8314" i="1"/>
  <c r="G8313" i="1"/>
  <c r="F8313" i="1"/>
  <c r="E8313" i="1"/>
  <c r="D8313" i="1"/>
  <c r="C8313" i="1"/>
  <c r="B8313" i="1"/>
  <c r="G8312" i="1"/>
  <c r="F8312" i="1"/>
  <c r="E8312" i="1"/>
  <c r="D8312" i="1"/>
  <c r="C8312" i="1"/>
  <c r="B8312" i="1"/>
  <c r="G8311" i="1"/>
  <c r="F8311" i="1"/>
  <c r="E8311" i="1"/>
  <c r="D8311" i="1"/>
  <c r="C8311" i="1"/>
  <c r="B8311" i="1"/>
  <c r="G8310" i="1"/>
  <c r="F8310" i="1"/>
  <c r="E8310" i="1"/>
  <c r="D8310" i="1"/>
  <c r="C8310" i="1"/>
  <c r="B8310" i="1"/>
  <c r="G8309" i="1"/>
  <c r="F8309" i="1"/>
  <c r="E8309" i="1"/>
  <c r="D8309" i="1"/>
  <c r="C8309" i="1"/>
  <c r="B8309" i="1"/>
  <c r="G8308" i="1"/>
  <c r="F8308" i="1"/>
  <c r="E8308" i="1"/>
  <c r="D8308" i="1"/>
  <c r="C8308" i="1"/>
  <c r="B8308" i="1"/>
  <c r="G8307" i="1"/>
  <c r="F8307" i="1"/>
  <c r="E8307" i="1"/>
  <c r="D8307" i="1"/>
  <c r="C8307" i="1"/>
  <c r="B8307" i="1"/>
  <c r="G8306" i="1"/>
  <c r="F8306" i="1"/>
  <c r="E8306" i="1"/>
  <c r="D8306" i="1"/>
  <c r="C8306" i="1"/>
  <c r="B8306" i="1"/>
  <c r="G8305" i="1"/>
  <c r="F8305" i="1"/>
  <c r="E8305" i="1"/>
  <c r="D8305" i="1"/>
  <c r="C8305" i="1"/>
  <c r="B8305" i="1"/>
  <c r="G8304" i="1"/>
  <c r="F8304" i="1"/>
  <c r="E8304" i="1"/>
  <c r="D8304" i="1"/>
  <c r="C8304" i="1"/>
  <c r="B8304" i="1"/>
  <c r="G8303" i="1"/>
  <c r="F8303" i="1"/>
  <c r="E8303" i="1"/>
  <c r="D8303" i="1"/>
  <c r="C8303" i="1"/>
  <c r="B8303" i="1"/>
  <c r="G8302" i="1"/>
  <c r="F8302" i="1"/>
  <c r="E8302" i="1"/>
  <c r="D8302" i="1"/>
  <c r="C8302" i="1"/>
  <c r="B8302" i="1"/>
  <c r="G8301" i="1"/>
  <c r="F8301" i="1"/>
  <c r="E8301" i="1"/>
  <c r="D8301" i="1"/>
  <c r="C8301" i="1"/>
  <c r="B8301" i="1"/>
  <c r="G8300" i="1"/>
  <c r="F8300" i="1"/>
  <c r="E8300" i="1"/>
  <c r="D8300" i="1"/>
  <c r="C8300" i="1"/>
  <c r="B8300" i="1"/>
  <c r="G8299" i="1"/>
  <c r="F8299" i="1"/>
  <c r="E8299" i="1"/>
  <c r="D8299" i="1"/>
  <c r="C8299" i="1"/>
  <c r="B8299" i="1"/>
  <c r="G8298" i="1"/>
  <c r="F8298" i="1"/>
  <c r="E8298" i="1"/>
  <c r="D8298" i="1"/>
  <c r="C8298" i="1"/>
  <c r="B8298" i="1"/>
  <c r="G8297" i="1"/>
  <c r="F8297" i="1"/>
  <c r="E8297" i="1"/>
  <c r="D8297" i="1"/>
  <c r="C8297" i="1"/>
  <c r="B8297" i="1"/>
  <c r="G8296" i="1"/>
  <c r="F8296" i="1"/>
  <c r="E8296" i="1"/>
  <c r="D8296" i="1"/>
  <c r="C8296" i="1"/>
  <c r="B8296" i="1"/>
  <c r="G8295" i="1"/>
  <c r="D8295" i="1"/>
  <c r="C8295" i="1"/>
  <c r="B8295" i="1"/>
  <c r="G8294" i="1"/>
  <c r="F8294" i="1"/>
  <c r="E8294" i="1"/>
  <c r="D8294" i="1"/>
  <c r="C8294" i="1"/>
  <c r="B8294" i="1"/>
  <c r="G8293" i="1"/>
  <c r="F8293" i="1"/>
  <c r="E8293" i="1"/>
  <c r="D8293" i="1"/>
  <c r="C8293" i="1"/>
  <c r="B8293" i="1"/>
  <c r="G8292" i="1"/>
  <c r="F8292" i="1"/>
  <c r="E8292" i="1"/>
  <c r="D8292" i="1"/>
  <c r="C8292" i="1"/>
  <c r="B8292" i="1"/>
  <c r="G8291" i="1"/>
  <c r="F8291" i="1"/>
  <c r="E8291" i="1"/>
  <c r="D8291" i="1"/>
  <c r="C8291" i="1"/>
  <c r="B8291" i="1"/>
  <c r="G8290" i="1"/>
  <c r="F8290" i="1"/>
  <c r="E8290" i="1"/>
  <c r="D8290" i="1"/>
  <c r="C8290" i="1"/>
  <c r="B8290" i="1"/>
  <c r="G8289" i="1"/>
  <c r="F8289" i="1"/>
  <c r="E8289" i="1"/>
  <c r="D8289" i="1"/>
  <c r="C8289" i="1"/>
  <c r="B8289" i="1"/>
  <c r="G8288" i="1"/>
  <c r="F8288" i="1"/>
  <c r="E8288" i="1"/>
  <c r="D8288" i="1"/>
  <c r="C8288" i="1"/>
  <c r="B8288" i="1"/>
  <c r="G8287" i="1"/>
  <c r="F8287" i="1"/>
  <c r="E8287" i="1"/>
  <c r="D8287" i="1"/>
  <c r="C8287" i="1"/>
  <c r="B8287" i="1"/>
  <c r="G8286" i="1"/>
  <c r="F8286" i="1"/>
  <c r="E8286" i="1"/>
  <c r="D8286" i="1"/>
  <c r="C8286" i="1"/>
  <c r="B8286" i="1"/>
  <c r="G8285" i="1"/>
  <c r="F8285" i="1"/>
  <c r="E8285" i="1"/>
  <c r="D8285" i="1"/>
  <c r="C8285" i="1"/>
  <c r="B8285" i="1"/>
  <c r="G8284" i="1"/>
  <c r="F8284" i="1"/>
  <c r="E8284" i="1"/>
  <c r="D8284" i="1"/>
  <c r="C8284" i="1"/>
  <c r="B8284" i="1"/>
  <c r="G8283" i="1"/>
  <c r="F8283" i="1"/>
  <c r="E8283" i="1"/>
  <c r="D8283" i="1"/>
  <c r="C8283" i="1"/>
  <c r="B8283" i="1"/>
  <c r="G8282" i="1"/>
  <c r="F8282" i="1"/>
  <c r="E8282" i="1"/>
  <c r="D8282" i="1"/>
  <c r="C8282" i="1"/>
  <c r="B8282" i="1"/>
  <c r="G8281" i="1"/>
  <c r="F8281" i="1"/>
  <c r="E8281" i="1"/>
  <c r="D8281" i="1"/>
  <c r="C8281" i="1"/>
  <c r="B8281" i="1"/>
  <c r="G8280" i="1"/>
  <c r="F8280" i="1"/>
  <c r="E8280" i="1"/>
  <c r="D8280" i="1"/>
  <c r="C8280" i="1"/>
  <c r="B8280" i="1"/>
  <c r="G8279" i="1"/>
  <c r="F8279" i="1"/>
  <c r="E8279" i="1"/>
  <c r="D8279" i="1"/>
  <c r="C8279" i="1"/>
  <c r="B8279" i="1"/>
  <c r="G8278" i="1"/>
  <c r="F8278" i="1"/>
  <c r="E8278" i="1"/>
  <c r="D8278" i="1"/>
  <c r="C8278" i="1"/>
  <c r="B8278" i="1"/>
  <c r="G8277" i="1"/>
  <c r="F8277" i="1"/>
  <c r="E8277" i="1"/>
  <c r="D8277" i="1"/>
  <c r="C8277" i="1"/>
  <c r="B8277" i="1"/>
  <c r="G8276" i="1"/>
  <c r="F8276" i="1"/>
  <c r="E8276" i="1"/>
  <c r="D8276" i="1"/>
  <c r="C8276" i="1"/>
  <c r="B8276" i="1"/>
  <c r="G8275" i="1"/>
  <c r="F8275" i="1"/>
  <c r="E8275" i="1"/>
  <c r="D8275" i="1"/>
  <c r="C8275" i="1"/>
  <c r="B8275" i="1"/>
  <c r="G8274" i="1"/>
  <c r="F8274" i="1"/>
  <c r="E8274" i="1"/>
  <c r="D8274" i="1"/>
  <c r="C8274" i="1"/>
  <c r="B8274" i="1"/>
  <c r="G8273" i="1"/>
  <c r="F8273" i="1"/>
  <c r="E8273" i="1"/>
  <c r="D8273" i="1"/>
  <c r="C8273" i="1"/>
  <c r="B8273" i="1"/>
  <c r="G8272" i="1"/>
  <c r="F8272" i="1"/>
  <c r="E8272" i="1"/>
  <c r="D8272" i="1"/>
  <c r="C8272" i="1"/>
  <c r="B8272" i="1"/>
  <c r="G8271" i="1"/>
  <c r="F8271" i="1"/>
  <c r="E8271" i="1"/>
  <c r="D8271" i="1"/>
  <c r="C8271" i="1"/>
  <c r="B8271" i="1"/>
  <c r="G8270" i="1"/>
  <c r="F8270" i="1"/>
  <c r="E8270" i="1"/>
  <c r="D8270" i="1"/>
  <c r="C8270" i="1"/>
  <c r="B8270" i="1"/>
  <c r="G8269" i="1"/>
  <c r="F8269" i="1"/>
  <c r="E8269" i="1"/>
  <c r="D8269" i="1"/>
  <c r="C8269" i="1"/>
  <c r="B8269" i="1"/>
  <c r="G8268" i="1"/>
  <c r="F8268" i="1"/>
  <c r="E8268" i="1"/>
  <c r="D8268" i="1"/>
  <c r="C8268" i="1"/>
  <c r="B8268" i="1"/>
  <c r="G8267" i="1"/>
  <c r="F8267" i="1"/>
  <c r="E8267" i="1"/>
  <c r="D8267" i="1"/>
  <c r="C8267" i="1"/>
  <c r="B8267" i="1"/>
  <c r="G8266" i="1"/>
  <c r="F8266" i="1"/>
  <c r="E8266" i="1"/>
  <c r="D8266" i="1"/>
  <c r="C8266" i="1"/>
  <c r="B8266" i="1"/>
  <c r="G8265" i="1"/>
  <c r="F8265" i="1"/>
  <c r="E8265" i="1"/>
  <c r="D8265" i="1"/>
  <c r="C8265" i="1"/>
  <c r="B8265" i="1"/>
  <c r="G8264" i="1"/>
  <c r="F8264" i="1"/>
  <c r="E8264" i="1"/>
  <c r="D8264" i="1"/>
  <c r="C8264" i="1"/>
  <c r="B8264" i="1"/>
  <c r="G8263" i="1"/>
  <c r="F8263" i="1"/>
  <c r="E8263" i="1"/>
  <c r="D8263" i="1"/>
  <c r="C8263" i="1"/>
  <c r="B8263" i="1"/>
  <c r="G8262" i="1"/>
  <c r="F8262" i="1"/>
  <c r="E8262" i="1"/>
  <c r="D8262" i="1"/>
  <c r="C8262" i="1"/>
  <c r="B8262" i="1"/>
  <c r="G8261" i="1"/>
  <c r="F8261" i="1"/>
  <c r="E8261" i="1"/>
  <c r="D8261" i="1"/>
  <c r="C8261" i="1"/>
  <c r="B8261" i="1"/>
  <c r="G8260" i="1"/>
  <c r="F8260" i="1"/>
  <c r="E8260" i="1"/>
  <c r="D8260" i="1"/>
  <c r="C8260" i="1"/>
  <c r="B8260" i="1"/>
  <c r="G8259" i="1"/>
  <c r="F8259" i="1"/>
  <c r="E8259" i="1"/>
  <c r="D8259" i="1"/>
  <c r="C8259" i="1"/>
  <c r="B8259" i="1"/>
  <c r="G8258" i="1"/>
  <c r="F8258" i="1"/>
  <c r="E8258" i="1"/>
  <c r="D8258" i="1"/>
  <c r="C8258" i="1"/>
  <c r="B8258" i="1"/>
  <c r="G8257" i="1"/>
  <c r="F8257" i="1"/>
  <c r="E8257" i="1"/>
  <c r="D8257" i="1"/>
  <c r="C8257" i="1"/>
  <c r="B8257" i="1"/>
  <c r="G8256" i="1"/>
  <c r="F8256" i="1"/>
  <c r="E8256" i="1"/>
  <c r="D8256" i="1"/>
  <c r="C8256" i="1"/>
  <c r="B8256" i="1"/>
  <c r="G8255" i="1"/>
  <c r="F8255" i="1"/>
  <c r="E8255" i="1"/>
  <c r="D8255" i="1"/>
  <c r="C8255" i="1"/>
  <c r="B8255" i="1"/>
  <c r="G8254" i="1"/>
  <c r="F8254" i="1"/>
  <c r="E8254" i="1"/>
  <c r="D8254" i="1"/>
  <c r="C8254" i="1"/>
  <c r="B8254" i="1"/>
  <c r="G8253" i="1"/>
  <c r="F8253" i="1"/>
  <c r="E8253" i="1"/>
  <c r="D8253" i="1"/>
  <c r="C8253" i="1"/>
  <c r="B8253" i="1"/>
  <c r="G8252" i="1"/>
  <c r="F8252" i="1"/>
  <c r="E8252" i="1"/>
  <c r="D8252" i="1"/>
  <c r="C8252" i="1"/>
  <c r="B8252" i="1"/>
  <c r="G8251" i="1"/>
  <c r="F8251" i="1"/>
  <c r="E8251" i="1"/>
  <c r="D8251" i="1"/>
  <c r="C8251" i="1"/>
  <c r="B8251" i="1"/>
  <c r="G8250" i="1"/>
  <c r="F8250" i="1"/>
  <c r="E8250" i="1"/>
  <c r="D8250" i="1"/>
  <c r="C8250" i="1"/>
  <c r="B8250" i="1"/>
  <c r="G8249" i="1"/>
  <c r="F8249" i="1"/>
  <c r="E8249" i="1"/>
  <c r="D8249" i="1"/>
  <c r="C8249" i="1"/>
  <c r="B8249" i="1"/>
  <c r="G8248" i="1"/>
  <c r="F8248" i="1"/>
  <c r="E8248" i="1"/>
  <c r="D8248" i="1"/>
  <c r="C8248" i="1"/>
  <c r="B8248" i="1"/>
  <c r="G8247" i="1"/>
  <c r="F8247" i="1"/>
  <c r="E8247" i="1"/>
  <c r="D8247" i="1"/>
  <c r="C8247" i="1"/>
  <c r="B8247" i="1"/>
  <c r="G8246" i="1"/>
  <c r="F8246" i="1"/>
  <c r="E8246" i="1"/>
  <c r="D8246" i="1"/>
  <c r="C8246" i="1"/>
  <c r="B8246" i="1"/>
  <c r="G8245" i="1"/>
  <c r="F8245" i="1"/>
  <c r="E8245" i="1"/>
  <c r="D8245" i="1"/>
  <c r="C8245" i="1"/>
  <c r="B8245" i="1"/>
  <c r="G8244" i="1"/>
  <c r="F8244" i="1"/>
  <c r="E8244" i="1"/>
  <c r="D8244" i="1"/>
  <c r="C8244" i="1"/>
  <c r="B8244" i="1"/>
  <c r="G8243" i="1"/>
  <c r="F8243" i="1"/>
  <c r="E8243" i="1"/>
  <c r="D8243" i="1"/>
  <c r="C8243" i="1"/>
  <c r="B8243" i="1"/>
  <c r="G8242" i="1"/>
  <c r="F8242" i="1"/>
  <c r="E8242" i="1"/>
  <c r="D8242" i="1"/>
  <c r="C8242" i="1"/>
  <c r="B8242" i="1"/>
  <c r="G8241" i="1"/>
  <c r="F8241" i="1"/>
  <c r="E8241" i="1"/>
  <c r="D8241" i="1"/>
  <c r="C8241" i="1"/>
  <c r="B8241" i="1"/>
  <c r="G8240" i="1"/>
  <c r="F8240" i="1"/>
  <c r="E8240" i="1"/>
  <c r="D8240" i="1"/>
  <c r="C8240" i="1"/>
  <c r="B8240" i="1"/>
  <c r="G8239" i="1"/>
  <c r="F8239" i="1"/>
  <c r="E8239" i="1"/>
  <c r="D8239" i="1"/>
  <c r="C8239" i="1"/>
  <c r="B8239" i="1"/>
  <c r="G8238" i="1"/>
  <c r="F8238" i="1"/>
  <c r="E8238" i="1"/>
  <c r="D8238" i="1"/>
  <c r="C8238" i="1"/>
  <c r="B8238" i="1"/>
  <c r="G8237" i="1"/>
  <c r="F8237" i="1"/>
  <c r="E8237" i="1"/>
  <c r="D8237" i="1"/>
  <c r="C8237" i="1"/>
  <c r="B8237" i="1"/>
  <c r="G8236" i="1"/>
  <c r="F8236" i="1"/>
  <c r="E8236" i="1"/>
  <c r="D8236" i="1"/>
  <c r="C8236" i="1"/>
  <c r="B8236" i="1"/>
  <c r="G8235" i="1"/>
  <c r="F8235" i="1"/>
  <c r="E8235" i="1"/>
  <c r="D8235" i="1"/>
  <c r="C8235" i="1"/>
  <c r="B8235" i="1"/>
  <c r="G8234" i="1"/>
  <c r="F8234" i="1"/>
  <c r="E8234" i="1"/>
  <c r="D8234" i="1"/>
  <c r="C8234" i="1"/>
  <c r="B8234" i="1"/>
  <c r="G8233" i="1"/>
  <c r="F8233" i="1"/>
  <c r="E8233" i="1"/>
  <c r="D8233" i="1"/>
  <c r="C8233" i="1"/>
  <c r="B8233" i="1"/>
  <c r="G8232" i="1"/>
  <c r="F8232" i="1"/>
  <c r="E8232" i="1"/>
  <c r="D8232" i="1"/>
  <c r="C8232" i="1"/>
  <c r="B8232" i="1"/>
  <c r="G8231" i="1"/>
  <c r="F8231" i="1"/>
  <c r="E8231" i="1"/>
  <c r="D8231" i="1"/>
  <c r="C8231" i="1"/>
  <c r="B8231" i="1"/>
  <c r="G8230" i="1"/>
  <c r="F8230" i="1"/>
  <c r="E8230" i="1"/>
  <c r="D8230" i="1"/>
  <c r="C8230" i="1"/>
  <c r="B8230" i="1"/>
  <c r="G8229" i="1"/>
  <c r="F8229" i="1"/>
  <c r="E8229" i="1"/>
  <c r="D8229" i="1"/>
  <c r="C8229" i="1"/>
  <c r="B8229" i="1"/>
  <c r="G8228" i="1"/>
  <c r="F8228" i="1"/>
  <c r="E8228" i="1"/>
  <c r="D8228" i="1"/>
  <c r="C8228" i="1"/>
  <c r="B8228" i="1"/>
  <c r="G8227" i="1"/>
  <c r="F8227" i="1"/>
  <c r="E8227" i="1"/>
  <c r="D8227" i="1"/>
  <c r="C8227" i="1"/>
  <c r="B8227" i="1"/>
  <c r="G8226" i="1"/>
  <c r="F8226" i="1"/>
  <c r="E8226" i="1"/>
  <c r="D8226" i="1"/>
  <c r="C8226" i="1"/>
  <c r="B8226" i="1"/>
  <c r="G8225" i="1"/>
  <c r="F8225" i="1"/>
  <c r="E8225" i="1"/>
  <c r="D8225" i="1"/>
  <c r="C8225" i="1"/>
  <c r="B8225" i="1"/>
  <c r="G8224" i="1"/>
  <c r="F8224" i="1"/>
  <c r="E8224" i="1"/>
  <c r="D8224" i="1"/>
  <c r="C8224" i="1"/>
  <c r="B8224" i="1"/>
  <c r="G8223" i="1"/>
  <c r="F8223" i="1"/>
  <c r="E8223" i="1"/>
  <c r="D8223" i="1"/>
  <c r="C8223" i="1"/>
  <c r="B8223" i="1"/>
  <c r="G8222" i="1"/>
  <c r="F8222" i="1"/>
  <c r="E8222" i="1"/>
  <c r="D8222" i="1"/>
  <c r="C8222" i="1"/>
  <c r="B8222" i="1"/>
  <c r="G8221" i="1"/>
  <c r="F8221" i="1"/>
  <c r="E8221" i="1"/>
  <c r="D8221" i="1"/>
  <c r="C8221" i="1"/>
  <c r="B8221" i="1"/>
  <c r="G8220" i="1"/>
  <c r="F8220" i="1"/>
  <c r="E8220" i="1"/>
  <c r="D8220" i="1"/>
  <c r="C8220" i="1"/>
  <c r="B8220" i="1"/>
  <c r="G8219" i="1"/>
  <c r="F8219" i="1"/>
  <c r="E8219" i="1"/>
  <c r="D8219" i="1"/>
  <c r="C8219" i="1"/>
  <c r="B8219" i="1"/>
  <c r="G8218" i="1"/>
  <c r="F8218" i="1"/>
  <c r="E8218" i="1"/>
  <c r="D8218" i="1"/>
  <c r="C8218" i="1"/>
  <c r="B8218" i="1"/>
  <c r="G8217" i="1"/>
  <c r="F8217" i="1"/>
  <c r="E8217" i="1"/>
  <c r="D8217" i="1"/>
  <c r="C8217" i="1"/>
  <c r="B8217" i="1"/>
  <c r="G8216" i="1"/>
  <c r="F8216" i="1"/>
  <c r="E8216" i="1"/>
  <c r="D8216" i="1"/>
  <c r="C8216" i="1"/>
  <c r="B8216" i="1"/>
  <c r="G8215" i="1"/>
  <c r="F8215" i="1"/>
  <c r="E8215" i="1"/>
  <c r="D8215" i="1"/>
  <c r="C8215" i="1"/>
  <c r="B8215" i="1"/>
  <c r="G8214" i="1"/>
  <c r="F8214" i="1"/>
  <c r="E8214" i="1"/>
  <c r="D8214" i="1"/>
  <c r="C8214" i="1"/>
  <c r="B8214" i="1"/>
  <c r="G8213" i="1"/>
  <c r="F8213" i="1"/>
  <c r="E8213" i="1"/>
  <c r="D8213" i="1"/>
  <c r="C8213" i="1"/>
  <c r="B8213" i="1"/>
  <c r="G8212" i="1"/>
  <c r="F8212" i="1"/>
  <c r="E8212" i="1"/>
  <c r="D8212" i="1"/>
  <c r="C8212" i="1"/>
  <c r="B8212" i="1"/>
  <c r="G8211" i="1"/>
  <c r="F8211" i="1"/>
  <c r="E8211" i="1"/>
  <c r="D8211" i="1"/>
  <c r="C8211" i="1"/>
  <c r="B8211" i="1"/>
  <c r="G8210" i="1"/>
  <c r="F8210" i="1"/>
  <c r="E8210" i="1"/>
  <c r="D8210" i="1"/>
  <c r="C8210" i="1"/>
  <c r="B8210" i="1"/>
  <c r="G8209" i="1"/>
  <c r="F8209" i="1"/>
  <c r="E8209" i="1"/>
  <c r="D8209" i="1"/>
  <c r="C8209" i="1"/>
  <c r="B8209" i="1"/>
  <c r="G8208" i="1"/>
  <c r="F8208" i="1"/>
  <c r="E8208" i="1"/>
  <c r="D8208" i="1"/>
  <c r="C8208" i="1"/>
  <c r="B8208" i="1"/>
  <c r="G8207" i="1"/>
  <c r="F8207" i="1"/>
  <c r="E8207" i="1"/>
  <c r="D8207" i="1"/>
  <c r="C8207" i="1"/>
  <c r="B8207" i="1"/>
  <c r="G8206" i="1"/>
  <c r="F8206" i="1"/>
  <c r="E8206" i="1"/>
  <c r="D8206" i="1"/>
  <c r="C8206" i="1"/>
  <c r="B8206" i="1"/>
  <c r="G8205" i="1"/>
  <c r="F8205" i="1"/>
  <c r="E8205" i="1"/>
  <c r="D8205" i="1"/>
  <c r="C8205" i="1"/>
  <c r="B8205" i="1"/>
  <c r="G8204" i="1"/>
  <c r="F8204" i="1"/>
  <c r="E8204" i="1"/>
  <c r="D8204" i="1"/>
  <c r="C8204" i="1"/>
  <c r="B8204" i="1"/>
  <c r="G8203" i="1"/>
  <c r="F8203" i="1"/>
  <c r="E8203" i="1"/>
  <c r="D8203" i="1"/>
  <c r="C8203" i="1"/>
  <c r="B8203" i="1"/>
  <c r="G8202" i="1"/>
  <c r="F8202" i="1"/>
  <c r="E8202" i="1"/>
  <c r="D8202" i="1"/>
  <c r="C8202" i="1"/>
  <c r="B8202" i="1"/>
  <c r="G8201" i="1"/>
  <c r="F8201" i="1"/>
  <c r="E8201" i="1"/>
  <c r="D8201" i="1"/>
  <c r="C8201" i="1"/>
  <c r="B8201" i="1"/>
  <c r="G8200" i="1"/>
  <c r="F8200" i="1"/>
  <c r="E8200" i="1"/>
  <c r="D8200" i="1"/>
  <c r="C8200" i="1"/>
  <c r="B8200" i="1"/>
  <c r="G8199" i="1"/>
  <c r="F8199" i="1"/>
  <c r="E8199" i="1"/>
  <c r="D8199" i="1"/>
  <c r="C8199" i="1"/>
  <c r="B8199" i="1"/>
  <c r="G8198" i="1"/>
  <c r="F8198" i="1"/>
  <c r="E8198" i="1"/>
  <c r="D8198" i="1"/>
  <c r="C8198" i="1"/>
  <c r="B8198" i="1"/>
  <c r="G8197" i="1"/>
  <c r="F8197" i="1"/>
  <c r="E8197" i="1"/>
  <c r="D8197" i="1"/>
  <c r="C8197" i="1"/>
  <c r="B8197" i="1"/>
  <c r="G8196" i="1"/>
  <c r="F8196" i="1"/>
  <c r="E8196" i="1"/>
  <c r="D8196" i="1"/>
  <c r="C8196" i="1"/>
  <c r="B8196" i="1"/>
  <c r="G8195" i="1"/>
  <c r="F8195" i="1"/>
  <c r="E8195" i="1"/>
  <c r="D8195" i="1"/>
  <c r="C8195" i="1"/>
  <c r="B8195" i="1"/>
  <c r="G8194" i="1"/>
  <c r="F8194" i="1"/>
  <c r="E8194" i="1"/>
  <c r="D8194" i="1"/>
  <c r="C8194" i="1"/>
  <c r="B8194" i="1"/>
  <c r="G8193" i="1"/>
  <c r="F8193" i="1"/>
  <c r="E8193" i="1"/>
  <c r="D8193" i="1"/>
  <c r="C8193" i="1"/>
  <c r="B8193" i="1"/>
  <c r="G8192" i="1"/>
  <c r="F8192" i="1"/>
  <c r="E8192" i="1"/>
  <c r="D8192" i="1"/>
  <c r="C8192" i="1"/>
  <c r="B8192" i="1"/>
  <c r="G8191" i="1"/>
  <c r="F8191" i="1"/>
  <c r="E8191" i="1"/>
  <c r="D8191" i="1"/>
  <c r="C8191" i="1"/>
  <c r="B8191" i="1"/>
  <c r="G8190" i="1"/>
  <c r="F8190" i="1"/>
  <c r="E8190" i="1"/>
  <c r="D8190" i="1"/>
  <c r="C8190" i="1"/>
  <c r="B8190" i="1"/>
  <c r="G8189" i="1"/>
  <c r="F8189" i="1"/>
  <c r="E8189" i="1"/>
  <c r="D8189" i="1"/>
  <c r="C8189" i="1"/>
  <c r="B8189" i="1"/>
  <c r="G8188" i="1"/>
  <c r="F8188" i="1"/>
  <c r="E8188" i="1"/>
  <c r="D8188" i="1"/>
  <c r="C8188" i="1"/>
  <c r="B8188" i="1"/>
  <c r="G8187" i="1"/>
  <c r="F8187" i="1"/>
  <c r="E8187" i="1"/>
  <c r="D8187" i="1"/>
  <c r="C8187" i="1"/>
  <c r="B8187" i="1"/>
  <c r="G8186" i="1"/>
  <c r="F8186" i="1"/>
  <c r="E8186" i="1"/>
  <c r="D8186" i="1"/>
  <c r="C8186" i="1"/>
  <c r="B8186" i="1"/>
  <c r="G8185" i="1"/>
  <c r="F8185" i="1"/>
  <c r="E8185" i="1"/>
  <c r="D8185" i="1"/>
  <c r="C8185" i="1"/>
  <c r="B8185" i="1"/>
  <c r="G8184" i="1"/>
  <c r="F8184" i="1"/>
  <c r="E8184" i="1"/>
  <c r="D8184" i="1"/>
  <c r="C8184" i="1"/>
  <c r="B8184" i="1"/>
  <c r="G8183" i="1"/>
  <c r="F8183" i="1"/>
  <c r="E8183" i="1"/>
  <c r="D8183" i="1"/>
  <c r="C8183" i="1"/>
  <c r="B8183" i="1"/>
  <c r="G8182" i="1"/>
  <c r="F8182" i="1"/>
  <c r="E8182" i="1"/>
  <c r="D8182" i="1"/>
  <c r="C8182" i="1"/>
  <c r="B8182" i="1"/>
  <c r="G8181" i="1"/>
  <c r="F8181" i="1"/>
  <c r="E8181" i="1"/>
  <c r="D8181" i="1"/>
  <c r="C8181" i="1"/>
  <c r="B8181" i="1"/>
  <c r="G8180" i="1"/>
  <c r="F8180" i="1"/>
  <c r="E8180" i="1"/>
  <c r="D8180" i="1"/>
  <c r="C8180" i="1"/>
  <c r="B8180" i="1"/>
  <c r="G8179" i="1"/>
  <c r="F8179" i="1"/>
  <c r="E8179" i="1"/>
  <c r="D8179" i="1"/>
  <c r="C8179" i="1"/>
  <c r="B8179" i="1"/>
  <c r="G8178" i="1"/>
  <c r="F8178" i="1"/>
  <c r="E8178" i="1"/>
  <c r="D8178" i="1"/>
  <c r="C8178" i="1"/>
  <c r="B8178" i="1"/>
  <c r="G8177" i="1"/>
  <c r="F8177" i="1"/>
  <c r="E8177" i="1"/>
  <c r="D8177" i="1"/>
  <c r="C8177" i="1"/>
  <c r="B8177" i="1"/>
  <c r="G8176" i="1"/>
  <c r="F8176" i="1"/>
  <c r="E8176" i="1"/>
  <c r="D8176" i="1"/>
  <c r="C8176" i="1"/>
  <c r="B8176" i="1"/>
  <c r="G8175" i="1"/>
  <c r="F8175" i="1"/>
  <c r="E8175" i="1"/>
  <c r="D8175" i="1"/>
  <c r="C8175" i="1"/>
  <c r="B8175" i="1"/>
  <c r="G8174" i="1"/>
  <c r="F8174" i="1"/>
  <c r="E8174" i="1"/>
  <c r="D8174" i="1"/>
  <c r="C8174" i="1"/>
  <c r="B8174" i="1"/>
  <c r="G8173" i="1"/>
  <c r="F8173" i="1"/>
  <c r="E8173" i="1"/>
  <c r="D8173" i="1"/>
  <c r="C8173" i="1"/>
  <c r="B8173" i="1"/>
  <c r="G8172" i="1"/>
  <c r="F8172" i="1"/>
  <c r="E8172" i="1"/>
  <c r="D8172" i="1"/>
  <c r="C8172" i="1"/>
  <c r="B8172" i="1"/>
  <c r="G8171" i="1"/>
  <c r="F8171" i="1"/>
  <c r="E8171" i="1"/>
  <c r="D8171" i="1"/>
  <c r="C8171" i="1"/>
  <c r="B8171" i="1"/>
  <c r="G8170" i="1"/>
  <c r="F8170" i="1"/>
  <c r="E8170" i="1"/>
  <c r="D8170" i="1"/>
  <c r="C8170" i="1"/>
  <c r="B8170" i="1"/>
  <c r="G8169" i="1"/>
  <c r="F8169" i="1"/>
  <c r="E8169" i="1"/>
  <c r="D8169" i="1"/>
  <c r="C8169" i="1"/>
  <c r="B8169" i="1"/>
  <c r="G8168" i="1"/>
  <c r="F8168" i="1"/>
  <c r="E8168" i="1"/>
  <c r="D8168" i="1"/>
  <c r="C8168" i="1"/>
  <c r="B8168" i="1"/>
  <c r="G8167" i="1"/>
  <c r="F8167" i="1"/>
  <c r="E8167" i="1"/>
  <c r="D8167" i="1"/>
  <c r="C8167" i="1"/>
  <c r="B8167" i="1"/>
  <c r="G8166" i="1"/>
  <c r="F8166" i="1"/>
  <c r="E8166" i="1"/>
  <c r="D8166" i="1"/>
  <c r="C8166" i="1"/>
  <c r="B8166" i="1"/>
  <c r="G8165" i="1"/>
  <c r="F8165" i="1"/>
  <c r="E8165" i="1"/>
  <c r="D8165" i="1"/>
  <c r="C8165" i="1"/>
  <c r="B8165" i="1"/>
  <c r="G8164" i="1"/>
  <c r="F8164" i="1"/>
  <c r="E8164" i="1"/>
  <c r="D8164" i="1"/>
  <c r="C8164" i="1"/>
  <c r="B8164" i="1"/>
  <c r="G8163" i="1"/>
  <c r="F8163" i="1"/>
  <c r="E8163" i="1"/>
  <c r="D8163" i="1"/>
  <c r="C8163" i="1"/>
  <c r="B8163" i="1"/>
  <c r="G8162" i="1"/>
  <c r="F8162" i="1"/>
  <c r="E8162" i="1"/>
  <c r="D8162" i="1"/>
  <c r="C8162" i="1"/>
  <c r="B8162" i="1"/>
  <c r="G8161" i="1"/>
  <c r="F8161" i="1"/>
  <c r="E8161" i="1"/>
  <c r="D8161" i="1"/>
  <c r="C8161" i="1"/>
  <c r="B8161" i="1"/>
  <c r="G8160" i="1"/>
  <c r="F8160" i="1"/>
  <c r="E8160" i="1"/>
  <c r="D8160" i="1"/>
  <c r="C8160" i="1"/>
  <c r="B8160" i="1"/>
  <c r="G8159" i="1"/>
  <c r="F8159" i="1"/>
  <c r="E8159" i="1"/>
  <c r="D8159" i="1"/>
  <c r="C8159" i="1"/>
  <c r="B8159" i="1"/>
  <c r="G8158" i="1"/>
  <c r="F8158" i="1"/>
  <c r="E8158" i="1"/>
  <c r="D8158" i="1"/>
  <c r="C8158" i="1"/>
  <c r="B8158" i="1"/>
  <c r="G8157" i="1"/>
  <c r="F8157" i="1"/>
  <c r="E8157" i="1"/>
  <c r="D8157" i="1"/>
  <c r="C8157" i="1"/>
  <c r="B8157" i="1"/>
  <c r="G8156" i="1"/>
  <c r="F8156" i="1"/>
  <c r="E8156" i="1"/>
  <c r="D8156" i="1"/>
  <c r="C8156" i="1"/>
  <c r="B8156" i="1"/>
  <c r="G8155" i="1"/>
  <c r="F8155" i="1"/>
  <c r="E8155" i="1"/>
  <c r="D8155" i="1"/>
  <c r="C8155" i="1"/>
  <c r="B8155" i="1"/>
  <c r="G8154" i="1"/>
  <c r="F8154" i="1"/>
  <c r="E8154" i="1"/>
  <c r="D8154" i="1"/>
  <c r="C8154" i="1"/>
  <c r="B8154" i="1"/>
  <c r="G8153" i="1"/>
  <c r="F8153" i="1"/>
  <c r="E8153" i="1"/>
  <c r="D8153" i="1"/>
  <c r="C8153" i="1"/>
  <c r="B8153" i="1"/>
  <c r="G8152" i="1"/>
  <c r="F8152" i="1"/>
  <c r="E8152" i="1"/>
  <c r="D8152" i="1"/>
  <c r="C8152" i="1"/>
  <c r="B8152" i="1"/>
  <c r="G8151" i="1"/>
  <c r="F8151" i="1"/>
  <c r="E8151" i="1"/>
  <c r="D8151" i="1"/>
  <c r="C8151" i="1"/>
  <c r="B8151" i="1"/>
  <c r="G8150" i="1"/>
  <c r="F8150" i="1"/>
  <c r="E8150" i="1"/>
  <c r="D8150" i="1"/>
  <c r="C8150" i="1"/>
  <c r="B8150" i="1"/>
  <c r="G8149" i="1"/>
  <c r="F8149" i="1"/>
  <c r="E8149" i="1"/>
  <c r="D8149" i="1"/>
  <c r="C8149" i="1"/>
  <c r="B8149" i="1"/>
  <c r="G8148" i="1"/>
  <c r="F8148" i="1"/>
  <c r="E8148" i="1"/>
  <c r="D8148" i="1"/>
  <c r="C8148" i="1"/>
  <c r="B8148" i="1"/>
  <c r="G8147" i="1"/>
  <c r="F8147" i="1"/>
  <c r="E8147" i="1"/>
  <c r="D8147" i="1"/>
  <c r="C8147" i="1"/>
  <c r="B8147" i="1"/>
  <c r="G8146" i="1"/>
  <c r="F8146" i="1"/>
  <c r="E8146" i="1"/>
  <c r="D8146" i="1"/>
  <c r="C8146" i="1"/>
  <c r="B8146" i="1"/>
  <c r="G8145" i="1"/>
  <c r="F8145" i="1"/>
  <c r="E8145" i="1"/>
  <c r="D8145" i="1"/>
  <c r="C8145" i="1"/>
  <c r="B8145" i="1"/>
  <c r="G8144" i="1"/>
  <c r="F8144" i="1"/>
  <c r="E8144" i="1"/>
  <c r="D8144" i="1"/>
  <c r="C8144" i="1"/>
  <c r="B8144" i="1"/>
  <c r="G8143" i="1"/>
  <c r="F8143" i="1"/>
  <c r="E8143" i="1"/>
  <c r="D8143" i="1"/>
  <c r="C8143" i="1"/>
  <c r="B8143" i="1"/>
  <c r="G8142" i="1"/>
  <c r="F8142" i="1"/>
  <c r="E8142" i="1"/>
  <c r="D8142" i="1"/>
  <c r="C8142" i="1"/>
  <c r="B8142" i="1"/>
  <c r="G8141" i="1"/>
  <c r="F8141" i="1"/>
  <c r="E8141" i="1"/>
  <c r="D8141" i="1"/>
  <c r="C8141" i="1"/>
  <c r="B8141" i="1"/>
  <c r="G8140" i="1"/>
  <c r="F8140" i="1"/>
  <c r="E8140" i="1"/>
  <c r="D8140" i="1"/>
  <c r="C8140" i="1"/>
  <c r="B8140" i="1"/>
  <c r="G8139" i="1"/>
  <c r="F8139" i="1"/>
  <c r="E8139" i="1"/>
  <c r="D8139" i="1"/>
  <c r="C8139" i="1"/>
  <c r="B8139" i="1"/>
  <c r="G8138" i="1"/>
  <c r="F8138" i="1"/>
  <c r="E8138" i="1"/>
  <c r="D8138" i="1"/>
  <c r="C8138" i="1"/>
  <c r="B8138" i="1"/>
  <c r="G8137" i="1"/>
  <c r="F8137" i="1"/>
  <c r="E8137" i="1"/>
  <c r="D8137" i="1"/>
  <c r="C8137" i="1"/>
  <c r="B8137" i="1"/>
  <c r="G8136" i="1"/>
  <c r="F8136" i="1"/>
  <c r="E8136" i="1"/>
  <c r="D8136" i="1"/>
  <c r="C8136" i="1"/>
  <c r="B8136" i="1"/>
  <c r="G8135" i="1"/>
  <c r="F8135" i="1"/>
  <c r="E8135" i="1"/>
  <c r="D8135" i="1"/>
  <c r="C8135" i="1"/>
  <c r="B8135" i="1"/>
  <c r="G8134" i="1"/>
  <c r="F8134" i="1"/>
  <c r="E8134" i="1"/>
  <c r="D8134" i="1"/>
  <c r="C8134" i="1"/>
  <c r="B8134" i="1"/>
  <c r="G8133" i="1"/>
  <c r="F8133" i="1"/>
  <c r="E8133" i="1"/>
  <c r="D8133" i="1"/>
  <c r="C8133" i="1"/>
  <c r="B8133" i="1"/>
  <c r="G8132" i="1"/>
  <c r="F8132" i="1"/>
  <c r="E8132" i="1"/>
  <c r="D8132" i="1"/>
  <c r="C8132" i="1"/>
  <c r="B8132" i="1"/>
  <c r="G8131" i="1"/>
  <c r="F8131" i="1"/>
  <c r="E8131" i="1"/>
  <c r="D8131" i="1"/>
  <c r="C8131" i="1"/>
  <c r="B8131" i="1"/>
  <c r="G8130" i="1"/>
  <c r="F8130" i="1"/>
  <c r="E8130" i="1"/>
  <c r="D8130" i="1"/>
  <c r="C8130" i="1"/>
  <c r="B8130" i="1"/>
  <c r="G8129" i="1"/>
  <c r="F8129" i="1"/>
  <c r="E8129" i="1"/>
  <c r="D8129" i="1"/>
  <c r="C8129" i="1"/>
  <c r="B8129" i="1"/>
  <c r="G8128" i="1"/>
  <c r="F8128" i="1"/>
  <c r="E8128" i="1"/>
  <c r="D8128" i="1"/>
  <c r="C8128" i="1"/>
  <c r="B8128" i="1"/>
  <c r="G8127" i="1"/>
  <c r="F8127" i="1"/>
  <c r="E8127" i="1"/>
  <c r="D8127" i="1"/>
  <c r="C8127" i="1"/>
  <c r="B8127" i="1"/>
  <c r="G8126" i="1"/>
  <c r="F8126" i="1"/>
  <c r="E8126" i="1"/>
  <c r="D8126" i="1"/>
  <c r="C8126" i="1"/>
  <c r="B8126" i="1"/>
  <c r="G8125" i="1"/>
  <c r="F8125" i="1"/>
  <c r="E8125" i="1"/>
  <c r="D8125" i="1"/>
  <c r="C8125" i="1"/>
  <c r="B8125" i="1"/>
  <c r="G8124" i="1"/>
  <c r="F8124" i="1"/>
  <c r="E8124" i="1"/>
  <c r="D8124" i="1"/>
  <c r="C8124" i="1"/>
  <c r="B8124" i="1"/>
  <c r="G8123" i="1"/>
  <c r="F8123" i="1"/>
  <c r="E8123" i="1"/>
  <c r="D8123" i="1"/>
  <c r="C8123" i="1"/>
  <c r="B8123" i="1"/>
  <c r="G8122" i="1"/>
  <c r="F8122" i="1"/>
  <c r="E8122" i="1"/>
  <c r="D8122" i="1"/>
  <c r="C8122" i="1"/>
  <c r="B8122" i="1"/>
  <c r="G8121" i="1"/>
  <c r="F8121" i="1"/>
  <c r="E8121" i="1"/>
  <c r="D8121" i="1"/>
  <c r="C8121" i="1"/>
  <c r="B8121" i="1"/>
  <c r="G8120" i="1"/>
  <c r="F8120" i="1"/>
  <c r="E8120" i="1"/>
  <c r="D8120" i="1"/>
  <c r="C8120" i="1"/>
  <c r="B8120" i="1"/>
  <c r="G8119" i="1"/>
  <c r="F8119" i="1"/>
  <c r="E8119" i="1"/>
  <c r="D8119" i="1"/>
  <c r="C8119" i="1"/>
  <c r="B8119" i="1"/>
  <c r="G8118" i="1"/>
  <c r="F8118" i="1"/>
  <c r="E8118" i="1"/>
  <c r="D8118" i="1"/>
  <c r="C8118" i="1"/>
  <c r="B8118" i="1"/>
  <c r="G8117" i="1"/>
  <c r="F8117" i="1"/>
  <c r="E8117" i="1"/>
  <c r="D8117" i="1"/>
  <c r="C8117" i="1"/>
  <c r="B8117" i="1"/>
  <c r="G8116" i="1"/>
  <c r="F8116" i="1"/>
  <c r="E8116" i="1"/>
  <c r="D8116" i="1"/>
  <c r="C8116" i="1"/>
  <c r="B8116" i="1"/>
  <c r="G8115" i="1"/>
  <c r="F8115" i="1"/>
  <c r="E8115" i="1"/>
  <c r="D8115" i="1"/>
  <c r="C8115" i="1"/>
  <c r="B8115" i="1"/>
  <c r="G8114" i="1"/>
  <c r="F8114" i="1"/>
  <c r="E8114" i="1"/>
  <c r="D8114" i="1"/>
  <c r="C8114" i="1"/>
  <c r="B8114" i="1"/>
  <c r="G8113" i="1"/>
  <c r="F8113" i="1"/>
  <c r="E8113" i="1"/>
  <c r="D8113" i="1"/>
  <c r="C8113" i="1"/>
  <c r="B8113" i="1"/>
  <c r="G8112" i="1"/>
  <c r="F8112" i="1"/>
  <c r="E8112" i="1"/>
  <c r="D8112" i="1"/>
  <c r="C8112" i="1"/>
  <c r="B8112" i="1"/>
  <c r="G8111" i="1"/>
  <c r="F8111" i="1"/>
  <c r="E8111" i="1"/>
  <c r="D8111" i="1"/>
  <c r="C8111" i="1"/>
  <c r="B8111" i="1"/>
  <c r="G8110" i="1"/>
  <c r="F8110" i="1"/>
  <c r="E8110" i="1"/>
  <c r="D8110" i="1"/>
  <c r="C8110" i="1"/>
  <c r="B8110" i="1"/>
  <c r="G8109" i="1"/>
  <c r="F8109" i="1"/>
  <c r="E8109" i="1"/>
  <c r="D8109" i="1"/>
  <c r="C8109" i="1"/>
  <c r="B8109" i="1"/>
  <c r="G8108" i="1"/>
  <c r="F8108" i="1"/>
  <c r="E8108" i="1"/>
  <c r="D8108" i="1"/>
  <c r="C8108" i="1"/>
  <c r="B8108" i="1"/>
  <c r="G8107" i="1"/>
  <c r="F8107" i="1"/>
  <c r="E8107" i="1"/>
  <c r="D8107" i="1"/>
  <c r="C8107" i="1"/>
  <c r="B8107" i="1"/>
  <c r="G8106" i="1"/>
  <c r="F8106" i="1"/>
  <c r="E8106" i="1"/>
  <c r="D8106" i="1"/>
  <c r="C8106" i="1"/>
  <c r="B8106" i="1"/>
  <c r="G8105" i="1"/>
  <c r="F8105" i="1"/>
  <c r="E8105" i="1"/>
  <c r="D8105" i="1"/>
  <c r="C8105" i="1"/>
  <c r="B8105" i="1"/>
  <c r="G8104" i="1"/>
  <c r="F8104" i="1"/>
  <c r="E8104" i="1"/>
  <c r="D8104" i="1"/>
  <c r="C8104" i="1"/>
  <c r="B8104" i="1"/>
  <c r="G8103" i="1"/>
  <c r="F8103" i="1"/>
  <c r="E8103" i="1"/>
  <c r="D8103" i="1"/>
  <c r="C8103" i="1"/>
  <c r="B8103" i="1"/>
  <c r="G8102" i="1"/>
  <c r="F8102" i="1"/>
  <c r="E8102" i="1"/>
  <c r="D8102" i="1"/>
  <c r="C8102" i="1"/>
  <c r="B8102" i="1"/>
  <c r="G8101" i="1"/>
  <c r="F8101" i="1"/>
  <c r="E8101" i="1"/>
  <c r="D8101" i="1"/>
  <c r="C8101" i="1"/>
  <c r="B8101" i="1"/>
  <c r="G8100" i="1"/>
  <c r="F8100" i="1"/>
  <c r="E8100" i="1"/>
  <c r="D8100" i="1"/>
  <c r="C8100" i="1"/>
  <c r="B8100" i="1"/>
  <c r="G8099" i="1"/>
  <c r="F8099" i="1"/>
  <c r="E8099" i="1"/>
  <c r="D8099" i="1"/>
  <c r="C8099" i="1"/>
  <c r="B8099" i="1"/>
  <c r="G8098" i="1"/>
  <c r="F8098" i="1"/>
  <c r="E8098" i="1"/>
  <c r="D8098" i="1"/>
  <c r="C8098" i="1"/>
  <c r="B8098" i="1"/>
  <c r="G8097" i="1"/>
  <c r="F8097" i="1"/>
  <c r="E8097" i="1"/>
  <c r="D8097" i="1"/>
  <c r="C8097" i="1"/>
  <c r="B8097" i="1"/>
  <c r="G8096" i="1"/>
  <c r="F8096" i="1"/>
  <c r="E8096" i="1"/>
  <c r="D8096" i="1"/>
  <c r="C8096" i="1"/>
  <c r="B8096" i="1"/>
  <c r="G8095" i="1"/>
  <c r="F8095" i="1"/>
  <c r="E8095" i="1"/>
  <c r="D8095" i="1"/>
  <c r="C8095" i="1"/>
  <c r="B8095" i="1"/>
  <c r="G8094" i="1"/>
  <c r="F8094" i="1"/>
  <c r="E8094" i="1"/>
  <c r="D8094" i="1"/>
  <c r="C8094" i="1"/>
  <c r="B8094" i="1"/>
  <c r="G8093" i="1"/>
  <c r="F8093" i="1"/>
  <c r="E8093" i="1"/>
  <c r="D8093" i="1"/>
  <c r="C8093" i="1"/>
  <c r="B8093" i="1"/>
  <c r="G8092" i="1"/>
  <c r="F8092" i="1"/>
  <c r="E8092" i="1"/>
  <c r="D8092" i="1"/>
  <c r="C8092" i="1"/>
  <c r="B8092" i="1"/>
  <c r="G8091" i="1"/>
  <c r="F8091" i="1"/>
  <c r="E8091" i="1"/>
  <c r="D8091" i="1"/>
  <c r="C8091" i="1"/>
  <c r="B8091" i="1"/>
  <c r="G8090" i="1"/>
  <c r="F8090" i="1"/>
  <c r="E8090" i="1"/>
  <c r="D8090" i="1"/>
  <c r="C8090" i="1"/>
  <c r="B8090" i="1"/>
  <c r="G8089" i="1"/>
  <c r="F8089" i="1"/>
  <c r="E8089" i="1"/>
  <c r="D8089" i="1"/>
  <c r="C8089" i="1"/>
  <c r="B8089" i="1"/>
  <c r="G8088" i="1"/>
  <c r="F8088" i="1"/>
  <c r="E8088" i="1"/>
  <c r="D8088" i="1"/>
  <c r="C8088" i="1"/>
  <c r="B8088" i="1"/>
  <c r="G8087" i="1"/>
  <c r="F8087" i="1"/>
  <c r="E8087" i="1"/>
  <c r="D8087" i="1"/>
  <c r="C8087" i="1"/>
  <c r="B8087" i="1"/>
  <c r="G8086" i="1"/>
  <c r="F8086" i="1"/>
  <c r="E8086" i="1"/>
  <c r="D8086" i="1"/>
  <c r="C8086" i="1"/>
  <c r="B8086" i="1"/>
  <c r="G8085" i="1"/>
  <c r="F8085" i="1"/>
  <c r="E8085" i="1"/>
  <c r="D8085" i="1"/>
  <c r="C8085" i="1"/>
  <c r="B8085" i="1"/>
  <c r="G8084" i="1"/>
  <c r="F8084" i="1"/>
  <c r="E8084" i="1"/>
  <c r="D8084" i="1"/>
  <c r="C8084" i="1"/>
  <c r="B8084" i="1"/>
  <c r="G8083" i="1"/>
  <c r="F8083" i="1"/>
  <c r="E8083" i="1"/>
  <c r="D8083" i="1"/>
  <c r="C8083" i="1"/>
  <c r="B8083" i="1"/>
  <c r="G8082" i="1"/>
  <c r="F8082" i="1"/>
  <c r="E8082" i="1"/>
  <c r="D8082" i="1"/>
  <c r="C8082" i="1"/>
  <c r="B8082" i="1"/>
  <c r="G8081" i="1"/>
  <c r="F8081" i="1"/>
  <c r="E8081" i="1"/>
  <c r="D8081" i="1"/>
  <c r="C8081" i="1"/>
  <c r="B8081" i="1"/>
  <c r="G8080" i="1"/>
  <c r="F8080" i="1"/>
  <c r="E8080" i="1"/>
  <c r="D8080" i="1"/>
  <c r="C8080" i="1"/>
  <c r="B8080" i="1"/>
  <c r="G8079" i="1"/>
  <c r="F8079" i="1"/>
  <c r="E8079" i="1"/>
  <c r="D8079" i="1"/>
  <c r="C8079" i="1"/>
  <c r="B8079" i="1"/>
  <c r="G8078" i="1"/>
  <c r="F8078" i="1"/>
  <c r="E8078" i="1"/>
  <c r="D8078" i="1"/>
  <c r="C8078" i="1"/>
  <c r="B8078" i="1"/>
  <c r="G8077" i="1"/>
  <c r="F8077" i="1"/>
  <c r="E8077" i="1"/>
  <c r="D8077" i="1"/>
  <c r="C8077" i="1"/>
  <c r="B8077" i="1"/>
  <c r="G8076" i="1"/>
  <c r="F8076" i="1"/>
  <c r="E8076" i="1"/>
  <c r="D8076" i="1"/>
  <c r="C8076" i="1"/>
  <c r="B8076" i="1"/>
  <c r="G8075" i="1"/>
  <c r="F8075" i="1"/>
  <c r="E8075" i="1"/>
  <c r="D8075" i="1"/>
  <c r="C8075" i="1"/>
  <c r="B8075" i="1"/>
  <c r="G8074" i="1"/>
  <c r="F8074" i="1"/>
  <c r="E8074" i="1"/>
  <c r="D8074" i="1"/>
  <c r="C8074" i="1"/>
  <c r="B8074" i="1"/>
  <c r="G8073" i="1"/>
  <c r="F8073" i="1"/>
  <c r="E8073" i="1"/>
  <c r="D8073" i="1"/>
  <c r="C8073" i="1"/>
  <c r="B8073" i="1"/>
  <c r="G8072" i="1"/>
  <c r="F8072" i="1"/>
  <c r="E8072" i="1"/>
  <c r="D8072" i="1"/>
  <c r="C8072" i="1"/>
  <c r="B8072" i="1"/>
  <c r="G8071" i="1"/>
  <c r="F8071" i="1"/>
  <c r="E8071" i="1"/>
  <c r="D8071" i="1"/>
  <c r="C8071" i="1"/>
  <c r="B8071" i="1"/>
  <c r="G8070" i="1"/>
  <c r="F8070" i="1"/>
  <c r="E8070" i="1"/>
  <c r="D8070" i="1"/>
  <c r="C8070" i="1"/>
  <c r="B8070" i="1"/>
  <c r="G8069" i="1"/>
  <c r="F8069" i="1"/>
  <c r="E8069" i="1"/>
  <c r="D8069" i="1"/>
  <c r="C8069" i="1"/>
  <c r="B8069" i="1"/>
  <c r="G8068" i="1"/>
  <c r="F8068" i="1"/>
  <c r="E8068" i="1"/>
  <c r="D8068" i="1"/>
  <c r="C8068" i="1"/>
  <c r="B8068" i="1"/>
  <c r="G8067" i="1"/>
  <c r="F8067" i="1"/>
  <c r="E8067" i="1"/>
  <c r="D8067" i="1"/>
  <c r="C8067" i="1"/>
  <c r="B8067" i="1"/>
  <c r="G8066" i="1"/>
  <c r="F8066" i="1"/>
  <c r="E8066" i="1"/>
  <c r="D8066" i="1"/>
  <c r="C8066" i="1"/>
  <c r="B8066" i="1"/>
  <c r="G8065" i="1"/>
  <c r="F8065" i="1"/>
  <c r="E8065" i="1"/>
  <c r="D8065" i="1"/>
  <c r="C8065" i="1"/>
  <c r="B8065" i="1"/>
  <c r="G8064" i="1"/>
  <c r="F8064" i="1"/>
  <c r="E8064" i="1"/>
  <c r="D8064" i="1"/>
  <c r="C8064" i="1"/>
  <c r="B8064" i="1"/>
  <c r="G8063" i="1"/>
  <c r="F8063" i="1"/>
  <c r="E8063" i="1"/>
  <c r="D8063" i="1"/>
  <c r="C8063" i="1"/>
  <c r="B8063" i="1"/>
  <c r="G8062" i="1"/>
  <c r="F8062" i="1"/>
  <c r="E8062" i="1"/>
  <c r="D8062" i="1"/>
  <c r="C8062" i="1"/>
  <c r="B8062" i="1"/>
  <c r="G8061" i="1"/>
  <c r="F8061" i="1"/>
  <c r="E8061" i="1"/>
  <c r="D8061" i="1"/>
  <c r="C8061" i="1"/>
  <c r="B8061" i="1"/>
  <c r="G8060" i="1"/>
  <c r="F8060" i="1"/>
  <c r="E8060" i="1"/>
  <c r="D8060" i="1"/>
  <c r="C8060" i="1"/>
  <c r="B8060" i="1"/>
  <c r="G8059" i="1"/>
  <c r="F8059" i="1"/>
  <c r="E8059" i="1"/>
  <c r="D8059" i="1"/>
  <c r="C8059" i="1"/>
  <c r="B8059" i="1"/>
  <c r="G8058" i="1"/>
  <c r="F8058" i="1"/>
  <c r="E8058" i="1"/>
  <c r="D8058" i="1"/>
  <c r="C8058" i="1"/>
  <c r="B8058" i="1"/>
  <c r="G8057" i="1"/>
  <c r="F8057" i="1"/>
  <c r="E8057" i="1"/>
  <c r="D8057" i="1"/>
  <c r="C8057" i="1"/>
  <c r="B8057" i="1"/>
  <c r="G8056" i="1"/>
  <c r="F8056" i="1"/>
  <c r="E8056" i="1"/>
  <c r="D8056" i="1"/>
  <c r="C8056" i="1"/>
  <c r="B8056" i="1"/>
  <c r="G8055" i="1"/>
  <c r="F8055" i="1"/>
  <c r="E8055" i="1"/>
  <c r="D8055" i="1"/>
  <c r="C8055" i="1"/>
  <c r="B8055" i="1"/>
  <c r="G8054" i="1"/>
  <c r="F8054" i="1"/>
  <c r="E8054" i="1"/>
  <c r="D8054" i="1"/>
  <c r="C8054" i="1"/>
  <c r="B8054" i="1"/>
  <c r="G8053" i="1"/>
  <c r="F8053" i="1"/>
  <c r="E8053" i="1"/>
  <c r="D8053" i="1"/>
  <c r="C8053" i="1"/>
  <c r="B8053" i="1"/>
  <c r="G8052" i="1"/>
  <c r="F8052" i="1"/>
  <c r="E8052" i="1"/>
  <c r="D8052" i="1"/>
  <c r="C8052" i="1"/>
  <c r="B8052" i="1"/>
  <c r="G8051" i="1"/>
  <c r="F8051" i="1"/>
  <c r="E8051" i="1"/>
  <c r="D8051" i="1"/>
  <c r="C8051" i="1"/>
  <c r="B8051" i="1"/>
  <c r="G8050" i="1"/>
  <c r="F8050" i="1"/>
  <c r="E8050" i="1"/>
  <c r="D8050" i="1"/>
  <c r="C8050" i="1"/>
  <c r="B8050" i="1"/>
  <c r="G8049" i="1"/>
  <c r="F8049" i="1"/>
  <c r="E8049" i="1"/>
  <c r="D8049" i="1"/>
  <c r="C8049" i="1"/>
  <c r="B8049" i="1"/>
  <c r="G8048" i="1"/>
  <c r="F8048" i="1"/>
  <c r="E8048" i="1"/>
  <c r="D8048" i="1"/>
  <c r="C8048" i="1"/>
  <c r="B8048" i="1"/>
  <c r="G8047" i="1"/>
  <c r="F8047" i="1"/>
  <c r="E8047" i="1"/>
  <c r="D8047" i="1"/>
  <c r="C8047" i="1"/>
  <c r="B8047" i="1"/>
  <c r="G8046" i="1"/>
  <c r="F8046" i="1"/>
  <c r="E8046" i="1"/>
  <c r="D8046" i="1"/>
  <c r="C8046" i="1"/>
  <c r="B8046" i="1"/>
  <c r="G8045" i="1"/>
  <c r="F8045" i="1"/>
  <c r="E8045" i="1"/>
  <c r="D8045" i="1"/>
  <c r="C8045" i="1"/>
  <c r="B8045" i="1"/>
  <c r="G8044" i="1"/>
  <c r="F8044" i="1"/>
  <c r="E8044" i="1"/>
  <c r="D8044" i="1"/>
  <c r="C8044" i="1"/>
  <c r="B8044" i="1"/>
  <c r="G8043" i="1"/>
  <c r="F8043" i="1"/>
  <c r="E8043" i="1"/>
  <c r="D8043" i="1"/>
  <c r="C8043" i="1"/>
  <c r="B8043" i="1"/>
  <c r="G8042" i="1"/>
  <c r="F8042" i="1"/>
  <c r="E8042" i="1"/>
  <c r="D8042" i="1"/>
  <c r="C8042" i="1"/>
  <c r="B8042" i="1"/>
  <c r="G8041" i="1"/>
  <c r="F8041" i="1"/>
  <c r="E8041" i="1"/>
  <c r="D8041" i="1"/>
  <c r="C8041" i="1"/>
  <c r="B8041" i="1"/>
  <c r="G8040" i="1"/>
  <c r="F8040" i="1"/>
  <c r="E8040" i="1"/>
  <c r="D8040" i="1"/>
  <c r="C8040" i="1"/>
  <c r="B8040" i="1"/>
  <c r="G8039" i="1"/>
  <c r="F8039" i="1"/>
  <c r="E8039" i="1"/>
  <c r="D8039" i="1"/>
  <c r="C8039" i="1"/>
  <c r="B8039" i="1"/>
  <c r="G8038" i="1"/>
  <c r="F8038" i="1"/>
  <c r="E8038" i="1"/>
  <c r="D8038" i="1"/>
  <c r="C8038" i="1"/>
  <c r="B8038" i="1"/>
  <c r="G8037" i="1"/>
  <c r="F8037" i="1"/>
  <c r="E8037" i="1"/>
  <c r="D8037" i="1"/>
  <c r="C8037" i="1"/>
  <c r="B8037" i="1"/>
  <c r="G8036" i="1"/>
  <c r="F8036" i="1"/>
  <c r="E8036" i="1"/>
  <c r="D8036" i="1"/>
  <c r="C8036" i="1"/>
  <c r="B8036" i="1"/>
  <c r="G8035" i="1"/>
  <c r="F8035" i="1"/>
  <c r="E8035" i="1"/>
  <c r="D8035" i="1"/>
  <c r="C8035" i="1"/>
  <c r="B8035" i="1"/>
  <c r="G8034" i="1"/>
  <c r="F8034" i="1"/>
  <c r="E8034" i="1"/>
  <c r="D8034" i="1"/>
  <c r="C8034" i="1"/>
  <c r="B8034" i="1"/>
  <c r="G8033" i="1"/>
  <c r="F8033" i="1"/>
  <c r="E8033" i="1"/>
  <c r="D8033" i="1"/>
  <c r="C8033" i="1"/>
  <c r="B8033" i="1"/>
  <c r="G8032" i="1"/>
  <c r="F8032" i="1"/>
  <c r="E8032" i="1"/>
  <c r="D8032" i="1"/>
  <c r="C8032" i="1"/>
  <c r="B8032" i="1"/>
  <c r="G8031" i="1"/>
  <c r="F8031" i="1"/>
  <c r="E8031" i="1"/>
  <c r="D8031" i="1"/>
  <c r="C8031" i="1"/>
  <c r="B8031" i="1"/>
  <c r="G8030" i="1"/>
  <c r="F8030" i="1"/>
  <c r="E8030" i="1"/>
  <c r="D8030" i="1"/>
  <c r="C8030" i="1"/>
  <c r="B8030" i="1"/>
  <c r="G8029" i="1"/>
  <c r="F8029" i="1"/>
  <c r="E8029" i="1"/>
  <c r="D8029" i="1"/>
  <c r="C8029" i="1"/>
  <c r="B8029" i="1"/>
  <c r="G8028" i="1"/>
  <c r="F8028" i="1"/>
  <c r="E8028" i="1"/>
  <c r="D8028" i="1"/>
  <c r="C8028" i="1"/>
  <c r="B8028" i="1"/>
  <c r="G8027" i="1"/>
  <c r="F8027" i="1"/>
  <c r="E8027" i="1"/>
  <c r="D8027" i="1"/>
  <c r="C8027" i="1"/>
  <c r="B8027" i="1"/>
  <c r="G8026" i="1"/>
  <c r="F8026" i="1"/>
  <c r="E8026" i="1"/>
  <c r="D8026" i="1"/>
  <c r="C8026" i="1"/>
  <c r="B8026" i="1"/>
  <c r="G8025" i="1"/>
  <c r="F8025" i="1"/>
  <c r="E8025" i="1"/>
  <c r="D8025" i="1"/>
  <c r="C8025" i="1"/>
  <c r="B8025" i="1"/>
  <c r="G8024" i="1"/>
  <c r="F8024" i="1"/>
  <c r="E8024" i="1"/>
  <c r="D8024" i="1"/>
  <c r="C8024" i="1"/>
  <c r="B8024" i="1"/>
  <c r="G8023" i="1"/>
  <c r="F8023" i="1"/>
  <c r="E8023" i="1"/>
  <c r="D8023" i="1"/>
  <c r="C8023" i="1"/>
  <c r="B8023" i="1"/>
  <c r="G8022" i="1"/>
  <c r="F8022" i="1"/>
  <c r="E8022" i="1"/>
  <c r="D8022" i="1"/>
  <c r="C8022" i="1"/>
  <c r="B8022" i="1"/>
  <c r="G8021" i="1"/>
  <c r="F8021" i="1"/>
  <c r="E8021" i="1"/>
  <c r="D8021" i="1"/>
  <c r="C8021" i="1"/>
  <c r="B8021" i="1"/>
  <c r="G8020" i="1"/>
  <c r="F8020" i="1"/>
  <c r="E8020" i="1"/>
  <c r="D8020" i="1"/>
  <c r="C8020" i="1"/>
  <c r="B8020" i="1"/>
  <c r="G8019" i="1"/>
  <c r="F8019" i="1"/>
  <c r="E8019" i="1"/>
  <c r="D8019" i="1"/>
  <c r="C8019" i="1"/>
  <c r="B8019" i="1"/>
  <c r="G8018" i="1"/>
  <c r="F8018" i="1"/>
  <c r="E8018" i="1"/>
  <c r="D8018" i="1"/>
  <c r="C8018" i="1"/>
  <c r="B8018" i="1"/>
  <c r="G8017" i="1"/>
  <c r="F8017" i="1"/>
  <c r="E8017" i="1"/>
  <c r="D8017" i="1"/>
  <c r="C8017" i="1"/>
  <c r="B8017" i="1"/>
  <c r="G8016" i="1"/>
  <c r="F8016" i="1"/>
  <c r="E8016" i="1"/>
  <c r="D8016" i="1"/>
  <c r="C8016" i="1"/>
  <c r="B8016" i="1"/>
  <c r="G8015" i="1"/>
  <c r="F8015" i="1"/>
  <c r="E8015" i="1"/>
  <c r="D8015" i="1"/>
  <c r="C8015" i="1"/>
  <c r="B8015" i="1"/>
  <c r="G8014" i="1"/>
  <c r="D8014" i="1"/>
  <c r="C8014" i="1"/>
  <c r="B8014" i="1"/>
  <c r="G8013" i="1"/>
  <c r="F8013" i="1"/>
  <c r="E8013" i="1"/>
  <c r="D8013" i="1"/>
  <c r="C8013" i="1"/>
  <c r="B8013" i="1"/>
  <c r="G8012" i="1"/>
  <c r="F8012" i="1"/>
  <c r="E8012" i="1"/>
  <c r="D8012" i="1"/>
  <c r="C8012" i="1"/>
  <c r="B8012" i="1"/>
  <c r="G8011" i="1"/>
  <c r="F8011" i="1"/>
  <c r="E8011" i="1"/>
  <c r="D8011" i="1"/>
  <c r="C8011" i="1"/>
  <c r="B8011" i="1"/>
  <c r="G8010" i="1"/>
  <c r="F8010" i="1"/>
  <c r="E8010" i="1"/>
  <c r="D8010" i="1"/>
  <c r="C8010" i="1"/>
  <c r="B8010" i="1"/>
  <c r="G8009" i="1"/>
  <c r="F8009" i="1"/>
  <c r="E8009" i="1"/>
  <c r="D8009" i="1"/>
  <c r="C8009" i="1"/>
  <c r="B8009" i="1"/>
  <c r="G8008" i="1"/>
  <c r="F8008" i="1"/>
  <c r="E8008" i="1"/>
  <c r="D8008" i="1"/>
  <c r="C8008" i="1"/>
  <c r="B8008" i="1"/>
  <c r="G8007" i="1"/>
  <c r="F8007" i="1"/>
  <c r="E8007" i="1"/>
  <c r="D8007" i="1"/>
  <c r="C8007" i="1"/>
  <c r="B8007" i="1"/>
  <c r="G8006" i="1"/>
  <c r="F8006" i="1"/>
  <c r="E8006" i="1"/>
  <c r="D8006" i="1"/>
  <c r="C8006" i="1"/>
  <c r="B8006" i="1"/>
  <c r="G8005" i="1"/>
  <c r="F8005" i="1"/>
  <c r="E8005" i="1"/>
  <c r="D8005" i="1"/>
  <c r="C8005" i="1"/>
  <c r="B8005" i="1"/>
  <c r="G8004" i="1"/>
  <c r="F8004" i="1"/>
  <c r="E8004" i="1"/>
  <c r="D8004" i="1"/>
  <c r="C8004" i="1"/>
  <c r="B8004" i="1"/>
  <c r="G8003" i="1"/>
  <c r="F8003" i="1"/>
  <c r="E8003" i="1"/>
  <c r="D8003" i="1"/>
  <c r="C8003" i="1"/>
  <c r="B8003" i="1"/>
  <c r="G8002" i="1"/>
  <c r="F8002" i="1"/>
  <c r="E8002" i="1"/>
  <c r="D8002" i="1"/>
  <c r="C8002" i="1"/>
  <c r="B8002" i="1"/>
  <c r="G8001" i="1"/>
  <c r="F8001" i="1"/>
  <c r="E8001" i="1"/>
  <c r="D8001" i="1"/>
  <c r="C8001" i="1"/>
  <c r="B8001" i="1"/>
  <c r="G8000" i="1"/>
  <c r="F8000" i="1"/>
  <c r="E8000" i="1"/>
  <c r="D8000" i="1"/>
  <c r="C8000" i="1"/>
  <c r="B8000" i="1"/>
  <c r="G7999" i="1"/>
  <c r="F7999" i="1"/>
  <c r="E7999" i="1"/>
  <c r="D7999" i="1"/>
  <c r="C7999" i="1"/>
  <c r="B7999" i="1"/>
  <c r="G7998" i="1"/>
  <c r="F7998" i="1"/>
  <c r="E7998" i="1"/>
  <c r="D7998" i="1"/>
  <c r="C7998" i="1"/>
  <c r="B7998" i="1"/>
  <c r="G7997" i="1"/>
  <c r="F7997" i="1"/>
  <c r="E7997" i="1"/>
  <c r="D7997" i="1"/>
  <c r="C7997" i="1"/>
  <c r="B7997" i="1"/>
  <c r="G7996" i="1"/>
  <c r="F7996" i="1"/>
  <c r="E7996" i="1"/>
  <c r="D7996" i="1"/>
  <c r="C7996" i="1"/>
  <c r="B7996" i="1"/>
  <c r="G7995" i="1"/>
  <c r="F7995" i="1"/>
  <c r="E7995" i="1"/>
  <c r="D7995" i="1"/>
  <c r="C7995" i="1"/>
  <c r="B7995" i="1"/>
  <c r="G7994" i="1"/>
  <c r="F7994" i="1"/>
  <c r="E7994" i="1"/>
  <c r="D7994" i="1"/>
  <c r="C7994" i="1"/>
  <c r="B7994" i="1"/>
  <c r="G7993" i="1"/>
  <c r="F7993" i="1"/>
  <c r="E7993" i="1"/>
  <c r="D7993" i="1"/>
  <c r="C7993" i="1"/>
  <c r="B7993" i="1"/>
  <c r="G7992" i="1"/>
  <c r="F7992" i="1"/>
  <c r="E7992" i="1"/>
  <c r="D7992" i="1"/>
  <c r="C7992" i="1"/>
  <c r="B7992" i="1"/>
  <c r="G7991" i="1"/>
  <c r="F7991" i="1"/>
  <c r="E7991" i="1"/>
  <c r="D7991" i="1"/>
  <c r="C7991" i="1"/>
  <c r="B7991" i="1"/>
  <c r="G7990" i="1"/>
  <c r="F7990" i="1"/>
  <c r="E7990" i="1"/>
  <c r="D7990" i="1"/>
  <c r="C7990" i="1"/>
  <c r="B7990" i="1"/>
  <c r="G7989" i="1"/>
  <c r="F7989" i="1"/>
  <c r="E7989" i="1"/>
  <c r="D7989" i="1"/>
  <c r="C7989" i="1"/>
  <c r="B7989" i="1"/>
  <c r="G7988" i="1"/>
  <c r="F7988" i="1"/>
  <c r="E7988" i="1"/>
  <c r="D7988" i="1"/>
  <c r="C7988" i="1"/>
  <c r="B7988" i="1"/>
  <c r="G7987" i="1"/>
  <c r="F7987" i="1"/>
  <c r="E7987" i="1"/>
  <c r="D7987" i="1"/>
  <c r="C7987" i="1"/>
  <c r="B7987" i="1"/>
  <c r="G7986" i="1"/>
  <c r="F7986" i="1"/>
  <c r="E7986" i="1"/>
  <c r="D7986" i="1"/>
  <c r="C7986" i="1"/>
  <c r="B7986" i="1"/>
  <c r="G7985" i="1"/>
  <c r="F7985" i="1"/>
  <c r="E7985" i="1"/>
  <c r="D7985" i="1"/>
  <c r="C7985" i="1"/>
  <c r="B7985" i="1"/>
  <c r="G7984" i="1"/>
  <c r="F7984" i="1"/>
  <c r="E7984" i="1"/>
  <c r="D7984" i="1"/>
  <c r="C7984" i="1"/>
  <c r="B7984" i="1"/>
  <c r="G7983" i="1"/>
  <c r="F7983" i="1"/>
  <c r="E7983" i="1"/>
  <c r="D7983" i="1"/>
  <c r="C7983" i="1"/>
  <c r="B7983" i="1"/>
  <c r="G7982" i="1"/>
  <c r="F7982" i="1"/>
  <c r="E7982" i="1"/>
  <c r="D7982" i="1"/>
  <c r="C7982" i="1"/>
  <c r="B7982" i="1"/>
  <c r="G7981" i="1"/>
  <c r="F7981" i="1"/>
  <c r="E7981" i="1"/>
  <c r="D7981" i="1"/>
  <c r="C7981" i="1"/>
  <c r="B7981" i="1"/>
  <c r="G7980" i="1"/>
  <c r="F7980" i="1"/>
  <c r="E7980" i="1"/>
  <c r="D7980" i="1"/>
  <c r="C7980" i="1"/>
  <c r="B7980" i="1"/>
  <c r="G7979" i="1"/>
  <c r="F7979" i="1"/>
  <c r="E7979" i="1"/>
  <c r="D7979" i="1"/>
  <c r="C7979" i="1"/>
  <c r="B7979" i="1"/>
  <c r="G7978" i="1"/>
  <c r="F7978" i="1"/>
  <c r="E7978" i="1"/>
  <c r="D7978" i="1"/>
  <c r="C7978" i="1"/>
  <c r="B7978" i="1"/>
  <c r="G7977" i="1"/>
  <c r="F7977" i="1"/>
  <c r="E7977" i="1"/>
  <c r="D7977" i="1"/>
  <c r="C7977" i="1"/>
  <c r="B7977" i="1"/>
  <c r="G7976" i="1"/>
  <c r="F7976" i="1"/>
  <c r="E7976" i="1"/>
  <c r="D7976" i="1"/>
  <c r="C7976" i="1"/>
  <c r="B7976" i="1"/>
  <c r="G7975" i="1"/>
  <c r="F7975" i="1"/>
  <c r="E7975" i="1"/>
  <c r="D7975" i="1"/>
  <c r="C7975" i="1"/>
  <c r="B7975" i="1"/>
  <c r="G7974" i="1"/>
  <c r="F7974" i="1"/>
  <c r="E7974" i="1"/>
  <c r="D7974" i="1"/>
  <c r="C7974" i="1"/>
  <c r="B7974" i="1"/>
  <c r="G7973" i="1"/>
  <c r="F7973" i="1"/>
  <c r="E7973" i="1"/>
  <c r="D7973" i="1"/>
  <c r="C7973" i="1"/>
  <c r="B7973" i="1"/>
  <c r="G7972" i="1"/>
  <c r="F7972" i="1"/>
  <c r="E7972" i="1"/>
  <c r="D7972" i="1"/>
  <c r="C7972" i="1"/>
  <c r="B7972" i="1"/>
  <c r="G7971" i="1"/>
  <c r="F7971" i="1"/>
  <c r="E7971" i="1"/>
  <c r="D7971" i="1"/>
  <c r="C7971" i="1"/>
  <c r="B7971" i="1"/>
  <c r="G7970" i="1"/>
  <c r="F7970" i="1"/>
  <c r="E7970" i="1"/>
  <c r="D7970" i="1"/>
  <c r="C7970" i="1"/>
  <c r="B7970" i="1"/>
  <c r="G7969" i="1"/>
  <c r="F7969" i="1"/>
  <c r="E7969" i="1"/>
  <c r="D7969" i="1"/>
  <c r="C7969" i="1"/>
  <c r="B7969" i="1"/>
  <c r="G7968" i="1"/>
  <c r="F7968" i="1"/>
  <c r="E7968" i="1"/>
  <c r="D7968" i="1"/>
  <c r="C7968" i="1"/>
  <c r="B7968" i="1"/>
  <c r="G7967" i="1"/>
  <c r="F7967" i="1"/>
  <c r="E7967" i="1"/>
  <c r="D7967" i="1"/>
  <c r="C7967" i="1"/>
  <c r="B7967" i="1"/>
  <c r="G7966" i="1"/>
  <c r="F7966" i="1"/>
  <c r="E7966" i="1"/>
  <c r="D7966" i="1"/>
  <c r="C7966" i="1"/>
  <c r="B7966" i="1"/>
  <c r="G7965" i="1"/>
  <c r="F7965" i="1"/>
  <c r="E7965" i="1"/>
  <c r="D7965" i="1"/>
  <c r="C7965" i="1"/>
  <c r="B7965" i="1"/>
  <c r="G7964" i="1"/>
  <c r="F7964" i="1"/>
  <c r="E7964" i="1"/>
  <c r="D7964" i="1"/>
  <c r="C7964" i="1"/>
  <c r="B7964" i="1"/>
  <c r="G7963" i="1"/>
  <c r="F7963" i="1"/>
  <c r="E7963" i="1"/>
  <c r="D7963" i="1"/>
  <c r="C7963" i="1"/>
  <c r="B7963" i="1"/>
  <c r="G7962" i="1"/>
  <c r="F7962" i="1"/>
  <c r="E7962" i="1"/>
  <c r="D7962" i="1"/>
  <c r="C7962" i="1"/>
  <c r="B7962" i="1"/>
  <c r="G7961" i="1"/>
  <c r="F7961" i="1"/>
  <c r="E7961" i="1"/>
  <c r="D7961" i="1"/>
  <c r="C7961" i="1"/>
  <c r="B7961" i="1"/>
  <c r="G7960" i="1"/>
  <c r="F7960" i="1"/>
  <c r="E7960" i="1"/>
  <c r="D7960" i="1"/>
  <c r="C7960" i="1"/>
  <c r="B7960" i="1"/>
  <c r="G7959" i="1"/>
  <c r="F7959" i="1"/>
  <c r="E7959" i="1"/>
  <c r="D7959" i="1"/>
  <c r="C7959" i="1"/>
  <c r="B7959" i="1"/>
  <c r="G7958" i="1"/>
  <c r="F7958" i="1"/>
  <c r="E7958" i="1"/>
  <c r="D7958" i="1"/>
  <c r="C7958" i="1"/>
  <c r="B7958" i="1"/>
  <c r="G7957" i="1"/>
  <c r="F7957" i="1"/>
  <c r="E7957" i="1"/>
  <c r="D7957" i="1"/>
  <c r="C7957" i="1"/>
  <c r="B7957" i="1"/>
  <c r="G7956" i="1"/>
  <c r="F7956" i="1"/>
  <c r="E7956" i="1"/>
  <c r="D7956" i="1"/>
  <c r="C7956" i="1"/>
  <c r="B7956" i="1"/>
  <c r="G7955" i="1"/>
  <c r="F7955" i="1"/>
  <c r="E7955" i="1"/>
  <c r="D7955" i="1"/>
  <c r="C7955" i="1"/>
  <c r="B7955" i="1"/>
  <c r="G7954" i="1"/>
  <c r="F7954" i="1"/>
  <c r="E7954" i="1"/>
  <c r="D7954" i="1"/>
  <c r="C7954" i="1"/>
  <c r="B7954" i="1"/>
  <c r="G7953" i="1"/>
  <c r="F7953" i="1"/>
  <c r="E7953" i="1"/>
  <c r="D7953" i="1"/>
  <c r="C7953" i="1"/>
  <c r="B7953" i="1"/>
  <c r="G7952" i="1"/>
  <c r="F7952" i="1"/>
  <c r="E7952" i="1"/>
  <c r="D7952" i="1"/>
  <c r="C7952" i="1"/>
  <c r="B7952" i="1"/>
  <c r="G7951" i="1"/>
  <c r="F7951" i="1"/>
  <c r="E7951" i="1"/>
  <c r="D7951" i="1"/>
  <c r="C7951" i="1"/>
  <c r="B7951" i="1"/>
  <c r="G7950" i="1"/>
  <c r="F7950" i="1"/>
  <c r="E7950" i="1"/>
  <c r="D7950" i="1"/>
  <c r="C7950" i="1"/>
  <c r="B7950" i="1"/>
  <c r="G7949" i="1"/>
  <c r="F7949" i="1"/>
  <c r="E7949" i="1"/>
  <c r="D7949" i="1"/>
  <c r="C7949" i="1"/>
  <c r="B7949" i="1"/>
  <c r="G7948" i="1"/>
  <c r="F7948" i="1"/>
  <c r="E7948" i="1"/>
  <c r="D7948" i="1"/>
  <c r="C7948" i="1"/>
  <c r="B7948" i="1"/>
  <c r="G7947" i="1"/>
  <c r="F7947" i="1"/>
  <c r="E7947" i="1"/>
  <c r="D7947" i="1"/>
  <c r="C7947" i="1"/>
  <c r="B7947" i="1"/>
  <c r="G7946" i="1"/>
  <c r="F7946" i="1"/>
  <c r="E7946" i="1"/>
  <c r="D7946" i="1"/>
  <c r="C7946" i="1"/>
  <c r="B7946" i="1"/>
  <c r="G7945" i="1"/>
  <c r="F7945" i="1"/>
  <c r="E7945" i="1"/>
  <c r="D7945" i="1"/>
  <c r="C7945" i="1"/>
  <c r="B7945" i="1"/>
  <c r="G7944" i="1"/>
  <c r="F7944" i="1"/>
  <c r="E7944" i="1"/>
  <c r="D7944" i="1"/>
  <c r="C7944" i="1"/>
  <c r="B7944" i="1"/>
  <c r="G7943" i="1"/>
  <c r="F7943" i="1"/>
  <c r="E7943" i="1"/>
  <c r="D7943" i="1"/>
  <c r="C7943" i="1"/>
  <c r="B7943" i="1"/>
  <c r="G7942" i="1"/>
  <c r="F7942" i="1"/>
  <c r="E7942" i="1"/>
  <c r="D7942" i="1"/>
  <c r="C7942" i="1"/>
  <c r="B7942" i="1"/>
  <c r="G7941" i="1"/>
  <c r="F7941" i="1"/>
  <c r="E7941" i="1"/>
  <c r="D7941" i="1"/>
  <c r="C7941" i="1"/>
  <c r="B7941" i="1"/>
  <c r="G7940" i="1"/>
  <c r="F7940" i="1"/>
  <c r="E7940" i="1"/>
  <c r="D7940" i="1"/>
  <c r="C7940" i="1"/>
  <c r="B7940" i="1"/>
  <c r="G7939" i="1"/>
  <c r="F7939" i="1"/>
  <c r="E7939" i="1"/>
  <c r="D7939" i="1"/>
  <c r="C7939" i="1"/>
  <c r="B7939" i="1"/>
  <c r="G7938" i="1"/>
  <c r="F7938" i="1"/>
  <c r="E7938" i="1"/>
  <c r="D7938" i="1"/>
  <c r="C7938" i="1"/>
  <c r="B7938" i="1"/>
  <c r="G7937" i="1"/>
  <c r="F7937" i="1"/>
  <c r="E7937" i="1"/>
  <c r="D7937" i="1"/>
  <c r="C7937" i="1"/>
  <c r="B7937" i="1"/>
  <c r="G7936" i="1"/>
  <c r="F7936" i="1"/>
  <c r="E7936" i="1"/>
  <c r="D7936" i="1"/>
  <c r="C7936" i="1"/>
  <c r="B7936" i="1"/>
  <c r="G7935" i="1"/>
  <c r="F7935" i="1"/>
  <c r="E7935" i="1"/>
  <c r="D7935" i="1"/>
  <c r="C7935" i="1"/>
  <c r="B7935" i="1"/>
  <c r="G7934" i="1"/>
  <c r="F7934" i="1"/>
  <c r="E7934" i="1"/>
  <c r="D7934" i="1"/>
  <c r="C7934" i="1"/>
  <c r="B7934" i="1"/>
  <c r="G7933" i="1"/>
  <c r="F7933" i="1"/>
  <c r="E7933" i="1"/>
  <c r="D7933" i="1"/>
  <c r="C7933" i="1"/>
  <c r="B7933" i="1"/>
  <c r="G7932" i="1"/>
  <c r="F7932" i="1"/>
  <c r="E7932" i="1"/>
  <c r="D7932" i="1"/>
  <c r="C7932" i="1"/>
  <c r="B7932" i="1"/>
  <c r="G7931" i="1"/>
  <c r="F7931" i="1"/>
  <c r="E7931" i="1"/>
  <c r="D7931" i="1"/>
  <c r="C7931" i="1"/>
  <c r="B7931" i="1"/>
  <c r="G7930" i="1"/>
  <c r="F7930" i="1"/>
  <c r="E7930" i="1"/>
  <c r="D7930" i="1"/>
  <c r="C7930" i="1"/>
  <c r="B7930" i="1"/>
  <c r="G7929" i="1"/>
  <c r="F7929" i="1"/>
  <c r="E7929" i="1"/>
  <c r="D7929" i="1"/>
  <c r="C7929" i="1"/>
  <c r="B7929" i="1"/>
  <c r="G7928" i="1"/>
  <c r="F7928" i="1"/>
  <c r="E7928" i="1"/>
  <c r="D7928" i="1"/>
  <c r="C7928" i="1"/>
  <c r="B7928" i="1"/>
  <c r="G7927" i="1"/>
  <c r="F7927" i="1"/>
  <c r="E7927" i="1"/>
  <c r="D7927" i="1"/>
  <c r="C7927" i="1"/>
  <c r="B7927" i="1"/>
  <c r="G7926" i="1"/>
  <c r="F7926" i="1"/>
  <c r="E7926" i="1"/>
  <c r="D7926" i="1"/>
  <c r="C7926" i="1"/>
  <c r="B7926" i="1"/>
  <c r="G7925" i="1"/>
  <c r="F7925" i="1"/>
  <c r="E7925" i="1"/>
  <c r="D7925" i="1"/>
  <c r="C7925" i="1"/>
  <c r="B7925" i="1"/>
  <c r="G7924" i="1"/>
  <c r="F7924" i="1"/>
  <c r="E7924" i="1"/>
  <c r="D7924" i="1"/>
  <c r="C7924" i="1"/>
  <c r="B7924" i="1"/>
  <c r="G7923" i="1"/>
  <c r="F7923" i="1"/>
  <c r="E7923" i="1"/>
  <c r="D7923" i="1"/>
  <c r="C7923" i="1"/>
  <c r="B7923" i="1"/>
  <c r="G7922" i="1"/>
  <c r="F7922" i="1"/>
  <c r="E7922" i="1"/>
  <c r="D7922" i="1"/>
  <c r="C7922" i="1"/>
  <c r="B7922" i="1"/>
  <c r="G7921" i="1"/>
  <c r="F7921" i="1"/>
  <c r="E7921" i="1"/>
  <c r="D7921" i="1"/>
  <c r="C7921" i="1"/>
  <c r="B7921" i="1"/>
  <c r="G7920" i="1"/>
  <c r="F7920" i="1"/>
  <c r="E7920" i="1"/>
  <c r="D7920" i="1"/>
  <c r="C7920" i="1"/>
  <c r="B7920" i="1"/>
  <c r="G7919" i="1"/>
  <c r="F7919" i="1"/>
  <c r="E7919" i="1"/>
  <c r="D7919" i="1"/>
  <c r="C7919" i="1"/>
  <c r="B7919" i="1"/>
  <c r="G7918" i="1"/>
  <c r="F7918" i="1"/>
  <c r="E7918" i="1"/>
  <c r="D7918" i="1"/>
  <c r="C7918" i="1"/>
  <c r="B7918" i="1"/>
  <c r="G7917" i="1"/>
  <c r="F7917" i="1"/>
  <c r="E7917" i="1"/>
  <c r="D7917" i="1"/>
  <c r="C7917" i="1"/>
  <c r="B7917" i="1"/>
  <c r="G7916" i="1"/>
  <c r="F7916" i="1"/>
  <c r="E7916" i="1"/>
  <c r="D7916" i="1"/>
  <c r="C7916" i="1"/>
  <c r="B7916" i="1"/>
  <c r="G7915" i="1"/>
  <c r="F7915" i="1"/>
  <c r="E7915" i="1"/>
  <c r="D7915" i="1"/>
  <c r="C7915" i="1"/>
  <c r="B7915" i="1"/>
  <c r="G7914" i="1"/>
  <c r="F7914" i="1"/>
  <c r="E7914" i="1"/>
  <c r="D7914" i="1"/>
  <c r="C7914" i="1"/>
  <c r="B7914" i="1"/>
  <c r="G7913" i="1"/>
  <c r="F7913" i="1"/>
  <c r="E7913" i="1"/>
  <c r="D7913" i="1"/>
  <c r="C7913" i="1"/>
  <c r="B7913" i="1"/>
  <c r="G7912" i="1"/>
  <c r="F7912" i="1"/>
  <c r="E7912" i="1"/>
  <c r="D7912" i="1"/>
  <c r="C7912" i="1"/>
  <c r="B7912" i="1"/>
  <c r="G7911" i="1"/>
  <c r="F7911" i="1"/>
  <c r="E7911" i="1"/>
  <c r="D7911" i="1"/>
  <c r="C7911" i="1"/>
  <c r="B7911" i="1"/>
  <c r="G7910" i="1"/>
  <c r="F7910" i="1"/>
  <c r="E7910" i="1"/>
  <c r="D7910" i="1"/>
  <c r="C7910" i="1"/>
  <c r="B7910" i="1"/>
  <c r="G7909" i="1"/>
  <c r="F7909" i="1"/>
  <c r="E7909" i="1"/>
  <c r="D7909" i="1"/>
  <c r="C7909" i="1"/>
  <c r="B7909" i="1"/>
  <c r="G7908" i="1"/>
  <c r="F7908" i="1"/>
  <c r="E7908" i="1"/>
  <c r="D7908" i="1"/>
  <c r="C7908" i="1"/>
  <c r="B7908" i="1"/>
  <c r="G7907" i="1"/>
  <c r="F7907" i="1"/>
  <c r="E7907" i="1"/>
  <c r="D7907" i="1"/>
  <c r="C7907" i="1"/>
  <c r="B7907" i="1"/>
  <c r="G7906" i="1"/>
  <c r="F7906" i="1"/>
  <c r="E7906" i="1"/>
  <c r="D7906" i="1"/>
  <c r="C7906" i="1"/>
  <c r="B7906" i="1"/>
  <c r="G7905" i="1"/>
  <c r="F7905" i="1"/>
  <c r="E7905" i="1"/>
  <c r="D7905" i="1"/>
  <c r="C7905" i="1"/>
  <c r="B7905" i="1"/>
  <c r="G7904" i="1"/>
  <c r="F7904" i="1"/>
  <c r="E7904" i="1"/>
  <c r="D7904" i="1"/>
  <c r="C7904" i="1"/>
  <c r="B7904" i="1"/>
  <c r="G7903" i="1"/>
  <c r="F7903" i="1"/>
  <c r="E7903" i="1"/>
  <c r="D7903" i="1"/>
  <c r="C7903" i="1"/>
  <c r="B7903" i="1"/>
  <c r="G7902" i="1"/>
  <c r="F7902" i="1"/>
  <c r="E7902" i="1"/>
  <c r="D7902" i="1"/>
  <c r="C7902" i="1"/>
  <c r="B7902" i="1"/>
  <c r="G7901" i="1"/>
  <c r="F7901" i="1"/>
  <c r="E7901" i="1"/>
  <c r="D7901" i="1"/>
  <c r="C7901" i="1"/>
  <c r="B7901" i="1"/>
  <c r="G7900" i="1"/>
  <c r="F7900" i="1"/>
  <c r="E7900" i="1"/>
  <c r="D7900" i="1"/>
  <c r="C7900" i="1"/>
  <c r="B7900" i="1"/>
  <c r="G7899" i="1"/>
  <c r="F7899" i="1"/>
  <c r="E7899" i="1"/>
  <c r="D7899" i="1"/>
  <c r="C7899" i="1"/>
  <c r="B7899" i="1"/>
  <c r="G7898" i="1"/>
  <c r="F7898" i="1"/>
  <c r="E7898" i="1"/>
  <c r="D7898" i="1"/>
  <c r="C7898" i="1"/>
  <c r="B7898" i="1"/>
  <c r="G7897" i="1"/>
  <c r="F7897" i="1"/>
  <c r="E7897" i="1"/>
  <c r="D7897" i="1"/>
  <c r="C7897" i="1"/>
  <c r="B7897" i="1"/>
  <c r="G7896" i="1"/>
  <c r="F7896" i="1"/>
  <c r="E7896" i="1"/>
  <c r="D7896" i="1"/>
  <c r="C7896" i="1"/>
  <c r="B7896" i="1"/>
  <c r="G7895" i="1"/>
  <c r="F7895" i="1"/>
  <c r="E7895" i="1"/>
  <c r="D7895" i="1"/>
  <c r="C7895" i="1"/>
  <c r="B7895" i="1"/>
  <c r="G7894" i="1"/>
  <c r="F7894" i="1"/>
  <c r="E7894" i="1"/>
  <c r="D7894" i="1"/>
  <c r="C7894" i="1"/>
  <c r="B7894" i="1"/>
  <c r="G7893" i="1"/>
  <c r="F7893" i="1"/>
  <c r="E7893" i="1"/>
  <c r="D7893" i="1"/>
  <c r="C7893" i="1"/>
  <c r="B7893" i="1"/>
  <c r="G7892" i="1"/>
  <c r="F7892" i="1"/>
  <c r="E7892" i="1"/>
  <c r="D7892" i="1"/>
  <c r="C7892" i="1"/>
  <c r="B7892" i="1"/>
  <c r="G7891" i="1"/>
  <c r="F7891" i="1"/>
  <c r="E7891" i="1"/>
  <c r="D7891" i="1"/>
  <c r="C7891" i="1"/>
  <c r="B7891" i="1"/>
  <c r="G7890" i="1"/>
  <c r="F7890" i="1"/>
  <c r="E7890" i="1"/>
  <c r="D7890" i="1"/>
  <c r="C7890" i="1"/>
  <c r="B7890" i="1"/>
  <c r="G7889" i="1"/>
  <c r="F7889" i="1"/>
  <c r="E7889" i="1"/>
  <c r="D7889" i="1"/>
  <c r="C7889" i="1"/>
  <c r="B7889" i="1"/>
  <c r="G7888" i="1"/>
  <c r="F7888" i="1"/>
  <c r="E7888" i="1"/>
  <c r="D7888" i="1"/>
  <c r="C7888" i="1"/>
  <c r="B7888" i="1"/>
  <c r="G7887" i="1"/>
  <c r="F7887" i="1"/>
  <c r="E7887" i="1"/>
  <c r="D7887" i="1"/>
  <c r="C7887" i="1"/>
  <c r="B7887" i="1"/>
  <c r="G7886" i="1"/>
  <c r="F7886" i="1"/>
  <c r="E7886" i="1"/>
  <c r="D7886" i="1"/>
  <c r="C7886" i="1"/>
  <c r="B7886" i="1"/>
  <c r="G7885" i="1"/>
  <c r="F7885" i="1"/>
  <c r="E7885" i="1"/>
  <c r="D7885" i="1"/>
  <c r="C7885" i="1"/>
  <c r="B7885" i="1"/>
  <c r="G7884" i="1"/>
  <c r="F7884" i="1"/>
  <c r="E7884" i="1"/>
  <c r="D7884" i="1"/>
  <c r="C7884" i="1"/>
  <c r="B7884" i="1"/>
  <c r="G7883" i="1"/>
  <c r="F7883" i="1"/>
  <c r="E7883" i="1"/>
  <c r="D7883" i="1"/>
  <c r="C7883" i="1"/>
  <c r="B7883" i="1"/>
  <c r="G7882" i="1"/>
  <c r="F7882" i="1"/>
  <c r="E7882" i="1"/>
  <c r="D7882" i="1"/>
  <c r="C7882" i="1"/>
  <c r="B7882" i="1"/>
  <c r="G7881" i="1"/>
  <c r="F7881" i="1"/>
  <c r="E7881" i="1"/>
  <c r="D7881" i="1"/>
  <c r="C7881" i="1"/>
  <c r="B7881" i="1"/>
  <c r="G7880" i="1"/>
  <c r="F7880" i="1"/>
  <c r="E7880" i="1"/>
  <c r="D7880" i="1"/>
  <c r="C7880" i="1"/>
  <c r="B7880" i="1"/>
  <c r="G7879" i="1"/>
  <c r="F7879" i="1"/>
  <c r="E7879" i="1"/>
  <c r="D7879" i="1"/>
  <c r="C7879" i="1"/>
  <c r="B7879" i="1"/>
  <c r="G7878" i="1"/>
  <c r="F7878" i="1"/>
  <c r="E7878" i="1"/>
  <c r="D7878" i="1"/>
  <c r="C7878" i="1"/>
  <c r="B7878" i="1"/>
  <c r="G7877" i="1"/>
  <c r="F7877" i="1"/>
  <c r="E7877" i="1"/>
  <c r="D7877" i="1"/>
  <c r="C7877" i="1"/>
  <c r="B7877" i="1"/>
  <c r="G7876" i="1"/>
  <c r="F7876" i="1"/>
  <c r="E7876" i="1"/>
  <c r="D7876" i="1"/>
  <c r="C7876" i="1"/>
  <c r="B7876" i="1"/>
  <c r="G7875" i="1"/>
  <c r="F7875" i="1"/>
  <c r="E7875" i="1"/>
  <c r="D7875" i="1"/>
  <c r="C7875" i="1"/>
  <c r="B7875" i="1"/>
  <c r="G7874" i="1"/>
  <c r="F7874" i="1"/>
  <c r="E7874" i="1"/>
  <c r="D7874" i="1"/>
  <c r="C7874" i="1"/>
  <c r="B7874" i="1"/>
  <c r="G7873" i="1"/>
  <c r="F7873" i="1"/>
  <c r="E7873" i="1"/>
  <c r="D7873" i="1"/>
  <c r="C7873" i="1"/>
  <c r="B7873" i="1"/>
  <c r="G7872" i="1"/>
  <c r="F7872" i="1"/>
  <c r="E7872" i="1"/>
  <c r="D7872" i="1"/>
  <c r="C7872" i="1"/>
  <c r="B7872" i="1"/>
  <c r="G7871" i="1"/>
  <c r="F7871" i="1"/>
  <c r="E7871" i="1"/>
  <c r="D7871" i="1"/>
  <c r="C7871" i="1"/>
  <c r="B7871" i="1"/>
  <c r="G7870" i="1"/>
  <c r="F7870" i="1"/>
  <c r="E7870" i="1"/>
  <c r="D7870" i="1"/>
  <c r="C7870" i="1"/>
  <c r="B7870" i="1"/>
  <c r="G7869" i="1"/>
  <c r="F7869" i="1"/>
  <c r="E7869" i="1"/>
  <c r="D7869" i="1"/>
  <c r="C7869" i="1"/>
  <c r="B7869" i="1"/>
  <c r="G7868" i="1"/>
  <c r="F7868" i="1"/>
  <c r="E7868" i="1"/>
  <c r="D7868" i="1"/>
  <c r="C7868" i="1"/>
  <c r="B7868" i="1"/>
  <c r="G7867" i="1"/>
  <c r="F7867" i="1"/>
  <c r="E7867" i="1"/>
  <c r="D7867" i="1"/>
  <c r="C7867" i="1"/>
  <c r="B7867" i="1"/>
  <c r="G7866" i="1"/>
  <c r="F7866" i="1"/>
  <c r="E7866" i="1"/>
  <c r="D7866" i="1"/>
  <c r="C7866" i="1"/>
  <c r="B7866" i="1"/>
  <c r="G7865" i="1"/>
  <c r="F7865" i="1"/>
  <c r="E7865" i="1"/>
  <c r="D7865" i="1"/>
  <c r="C7865" i="1"/>
  <c r="B7865" i="1"/>
  <c r="G7864" i="1"/>
  <c r="F7864" i="1"/>
  <c r="E7864" i="1"/>
  <c r="D7864" i="1"/>
  <c r="C7864" i="1"/>
  <c r="B7864" i="1"/>
  <c r="G7863" i="1"/>
  <c r="F7863" i="1"/>
  <c r="E7863" i="1"/>
  <c r="D7863" i="1"/>
  <c r="C7863" i="1"/>
  <c r="B7863" i="1"/>
  <c r="G7862" i="1"/>
  <c r="F7862" i="1"/>
  <c r="E7862" i="1"/>
  <c r="D7862" i="1"/>
  <c r="C7862" i="1"/>
  <c r="B7862" i="1"/>
  <c r="G7861" i="1"/>
  <c r="F7861" i="1"/>
  <c r="E7861" i="1"/>
  <c r="D7861" i="1"/>
  <c r="C7861" i="1"/>
  <c r="B7861" i="1"/>
  <c r="G7860" i="1"/>
  <c r="F7860" i="1"/>
  <c r="E7860" i="1"/>
  <c r="D7860" i="1"/>
  <c r="C7860" i="1"/>
  <c r="B7860" i="1"/>
  <c r="G7859" i="1"/>
  <c r="F7859" i="1"/>
  <c r="E7859" i="1"/>
  <c r="D7859" i="1"/>
  <c r="C7859" i="1"/>
  <c r="B7859" i="1"/>
  <c r="G7858" i="1"/>
  <c r="F7858" i="1"/>
  <c r="E7858" i="1"/>
  <c r="D7858" i="1"/>
  <c r="C7858" i="1"/>
  <c r="B7858" i="1"/>
  <c r="G7857" i="1"/>
  <c r="F7857" i="1"/>
  <c r="E7857" i="1"/>
  <c r="D7857" i="1"/>
  <c r="C7857" i="1"/>
  <c r="B7857" i="1"/>
  <c r="G7856" i="1"/>
  <c r="F7856" i="1"/>
  <c r="E7856" i="1"/>
  <c r="D7856" i="1"/>
  <c r="C7856" i="1"/>
  <c r="B7856" i="1"/>
  <c r="G7855" i="1"/>
  <c r="F7855" i="1"/>
  <c r="E7855" i="1"/>
  <c r="D7855" i="1"/>
  <c r="C7855" i="1"/>
  <c r="B7855" i="1"/>
  <c r="G7854" i="1"/>
  <c r="F7854" i="1"/>
  <c r="E7854" i="1"/>
  <c r="D7854" i="1"/>
  <c r="C7854" i="1"/>
  <c r="B7854" i="1"/>
  <c r="G7853" i="1"/>
  <c r="F7853" i="1"/>
  <c r="E7853" i="1"/>
  <c r="D7853" i="1"/>
  <c r="C7853" i="1"/>
  <c r="B7853" i="1"/>
  <c r="G7852" i="1"/>
  <c r="F7852" i="1"/>
  <c r="E7852" i="1"/>
  <c r="D7852" i="1"/>
  <c r="C7852" i="1"/>
  <c r="B7852" i="1"/>
  <c r="G7851" i="1"/>
  <c r="F7851" i="1"/>
  <c r="E7851" i="1"/>
  <c r="D7851" i="1"/>
  <c r="C7851" i="1"/>
  <c r="B7851" i="1"/>
  <c r="G7850" i="1"/>
  <c r="F7850" i="1"/>
  <c r="E7850" i="1"/>
  <c r="D7850" i="1"/>
  <c r="C7850" i="1"/>
  <c r="B7850" i="1"/>
  <c r="G7849" i="1"/>
  <c r="F7849" i="1"/>
  <c r="E7849" i="1"/>
  <c r="D7849" i="1"/>
  <c r="C7849" i="1"/>
  <c r="B7849" i="1"/>
  <c r="G7848" i="1"/>
  <c r="F7848" i="1"/>
  <c r="E7848" i="1"/>
  <c r="D7848" i="1"/>
  <c r="C7848" i="1"/>
  <c r="B7848" i="1"/>
  <c r="G7847" i="1"/>
  <c r="F7847" i="1"/>
  <c r="E7847" i="1"/>
  <c r="D7847" i="1"/>
  <c r="C7847" i="1"/>
  <c r="B7847" i="1"/>
  <c r="G7846" i="1"/>
  <c r="F7846" i="1"/>
  <c r="E7846" i="1"/>
  <c r="D7846" i="1"/>
  <c r="C7846" i="1"/>
  <c r="B7846" i="1"/>
  <c r="G7845" i="1"/>
  <c r="F7845" i="1"/>
  <c r="E7845" i="1"/>
  <c r="D7845" i="1"/>
  <c r="C7845" i="1"/>
  <c r="B7845" i="1"/>
  <c r="G7844" i="1"/>
  <c r="F7844" i="1"/>
  <c r="E7844" i="1"/>
  <c r="D7844" i="1"/>
  <c r="C7844" i="1"/>
  <c r="B7844" i="1"/>
  <c r="G7843" i="1"/>
  <c r="F7843" i="1"/>
  <c r="E7843" i="1"/>
  <c r="D7843" i="1"/>
  <c r="C7843" i="1"/>
  <c r="B7843" i="1"/>
  <c r="G7842" i="1"/>
  <c r="F7842" i="1"/>
  <c r="E7842" i="1"/>
  <c r="D7842" i="1"/>
  <c r="C7842" i="1"/>
  <c r="B7842" i="1"/>
  <c r="G7841" i="1"/>
  <c r="F7841" i="1"/>
  <c r="E7841" i="1"/>
  <c r="D7841" i="1"/>
  <c r="C7841" i="1"/>
  <c r="B7841" i="1"/>
  <c r="G7840" i="1"/>
  <c r="F7840" i="1"/>
  <c r="E7840" i="1"/>
  <c r="D7840" i="1"/>
  <c r="C7840" i="1"/>
  <c r="B7840" i="1"/>
  <c r="G7839" i="1"/>
  <c r="F7839" i="1"/>
  <c r="E7839" i="1"/>
  <c r="D7839" i="1"/>
  <c r="C7839" i="1"/>
  <c r="B7839" i="1"/>
  <c r="G7838" i="1"/>
  <c r="F7838" i="1"/>
  <c r="E7838" i="1"/>
  <c r="D7838" i="1"/>
  <c r="C7838" i="1"/>
  <c r="B7838" i="1"/>
  <c r="G7837" i="1"/>
  <c r="F7837" i="1"/>
  <c r="E7837" i="1"/>
  <c r="D7837" i="1"/>
  <c r="C7837" i="1"/>
  <c r="B7837" i="1"/>
  <c r="G7836" i="1"/>
  <c r="F7836" i="1"/>
  <c r="E7836" i="1"/>
  <c r="D7836" i="1"/>
  <c r="C7836" i="1"/>
  <c r="B7836" i="1"/>
  <c r="G7835" i="1"/>
  <c r="F7835" i="1"/>
  <c r="E7835" i="1"/>
  <c r="D7835" i="1"/>
  <c r="C7835" i="1"/>
  <c r="B7835" i="1"/>
  <c r="G7834" i="1"/>
  <c r="F7834" i="1"/>
  <c r="E7834" i="1"/>
  <c r="D7834" i="1"/>
  <c r="C7834" i="1"/>
  <c r="B7834" i="1"/>
  <c r="G7833" i="1"/>
  <c r="F7833" i="1"/>
  <c r="E7833" i="1"/>
  <c r="D7833" i="1"/>
  <c r="C7833" i="1"/>
  <c r="B7833" i="1"/>
  <c r="G7832" i="1"/>
  <c r="F7832" i="1"/>
  <c r="E7832" i="1"/>
  <c r="D7832" i="1"/>
  <c r="C7832" i="1"/>
  <c r="B7832" i="1"/>
  <c r="G7831" i="1"/>
  <c r="F7831" i="1"/>
  <c r="E7831" i="1"/>
  <c r="D7831" i="1"/>
  <c r="C7831" i="1"/>
  <c r="B7831" i="1"/>
  <c r="G7830" i="1"/>
  <c r="F7830" i="1"/>
  <c r="E7830" i="1"/>
  <c r="D7830" i="1"/>
  <c r="C7830" i="1"/>
  <c r="B7830" i="1"/>
  <c r="G7829" i="1"/>
  <c r="F7829" i="1"/>
  <c r="E7829" i="1"/>
  <c r="D7829" i="1"/>
  <c r="C7829" i="1"/>
  <c r="B7829" i="1"/>
  <c r="G7828" i="1"/>
  <c r="F7828" i="1"/>
  <c r="E7828" i="1"/>
  <c r="D7828" i="1"/>
  <c r="C7828" i="1"/>
  <c r="B7828" i="1"/>
  <c r="G7827" i="1"/>
  <c r="F7827" i="1"/>
  <c r="E7827" i="1"/>
  <c r="D7827" i="1"/>
  <c r="C7827" i="1"/>
  <c r="B7827" i="1"/>
  <c r="G7826" i="1"/>
  <c r="F7826" i="1"/>
  <c r="E7826" i="1"/>
  <c r="D7826" i="1"/>
  <c r="C7826" i="1"/>
  <c r="B7826" i="1"/>
  <c r="G7825" i="1"/>
  <c r="F7825" i="1"/>
  <c r="E7825" i="1"/>
  <c r="D7825" i="1"/>
  <c r="C7825" i="1"/>
  <c r="B7825" i="1"/>
  <c r="G7824" i="1"/>
  <c r="F7824" i="1"/>
  <c r="E7824" i="1"/>
  <c r="D7824" i="1"/>
  <c r="C7824" i="1"/>
  <c r="B7824" i="1"/>
  <c r="G7823" i="1"/>
  <c r="F7823" i="1"/>
  <c r="E7823" i="1"/>
  <c r="D7823" i="1"/>
  <c r="C7823" i="1"/>
  <c r="B7823" i="1"/>
  <c r="G7822" i="1"/>
  <c r="F7822" i="1"/>
  <c r="E7822" i="1"/>
  <c r="D7822" i="1"/>
  <c r="C7822" i="1"/>
  <c r="B7822" i="1"/>
  <c r="G7821" i="1"/>
  <c r="F7821" i="1"/>
  <c r="E7821" i="1"/>
  <c r="D7821" i="1"/>
  <c r="C7821" i="1"/>
  <c r="B7821" i="1"/>
  <c r="G7820" i="1"/>
  <c r="F7820" i="1"/>
  <c r="E7820" i="1"/>
  <c r="D7820" i="1"/>
  <c r="C7820" i="1"/>
  <c r="B7820" i="1"/>
  <c r="G7819" i="1"/>
  <c r="F7819" i="1"/>
  <c r="E7819" i="1"/>
  <c r="D7819" i="1"/>
  <c r="C7819" i="1"/>
  <c r="B7819" i="1"/>
  <c r="G7818" i="1"/>
  <c r="F7818" i="1"/>
  <c r="E7818" i="1"/>
  <c r="D7818" i="1"/>
  <c r="C7818" i="1"/>
  <c r="B7818" i="1"/>
  <c r="G7817" i="1"/>
  <c r="F7817" i="1"/>
  <c r="E7817" i="1"/>
  <c r="D7817" i="1"/>
  <c r="C7817" i="1"/>
  <c r="B7817" i="1"/>
  <c r="G7816" i="1"/>
  <c r="F7816" i="1"/>
  <c r="E7816" i="1"/>
  <c r="D7816" i="1"/>
  <c r="C7816" i="1"/>
  <c r="B7816" i="1"/>
  <c r="G7815" i="1"/>
  <c r="F7815" i="1"/>
  <c r="E7815" i="1"/>
  <c r="D7815" i="1"/>
  <c r="C7815" i="1"/>
  <c r="B7815" i="1"/>
  <c r="G7814" i="1"/>
  <c r="F7814" i="1"/>
  <c r="E7814" i="1"/>
  <c r="D7814" i="1"/>
  <c r="C7814" i="1"/>
  <c r="B7814" i="1"/>
  <c r="G7813" i="1"/>
  <c r="F7813" i="1"/>
  <c r="E7813" i="1"/>
  <c r="D7813" i="1"/>
  <c r="C7813" i="1"/>
  <c r="B7813" i="1"/>
  <c r="G7812" i="1"/>
  <c r="F7812" i="1"/>
  <c r="E7812" i="1"/>
  <c r="D7812" i="1"/>
  <c r="C7812" i="1"/>
  <c r="B7812" i="1"/>
  <c r="G7811" i="1"/>
  <c r="F7811" i="1"/>
  <c r="E7811" i="1"/>
  <c r="D7811" i="1"/>
  <c r="C7811" i="1"/>
  <c r="B7811" i="1"/>
  <c r="G7810" i="1"/>
  <c r="F7810" i="1"/>
  <c r="E7810" i="1"/>
  <c r="D7810" i="1"/>
  <c r="C7810" i="1"/>
  <c r="B7810" i="1"/>
  <c r="G7809" i="1"/>
  <c r="F7809" i="1"/>
  <c r="E7809" i="1"/>
  <c r="D7809" i="1"/>
  <c r="C7809" i="1"/>
  <c r="B7809" i="1"/>
  <c r="G7808" i="1"/>
  <c r="F7808" i="1"/>
  <c r="E7808" i="1"/>
  <c r="D7808" i="1"/>
  <c r="C7808" i="1"/>
  <c r="B7808" i="1"/>
  <c r="G7807" i="1"/>
  <c r="F7807" i="1"/>
  <c r="E7807" i="1"/>
  <c r="D7807" i="1"/>
  <c r="C7807" i="1"/>
  <c r="B7807" i="1"/>
  <c r="G7806" i="1"/>
  <c r="F7806" i="1"/>
  <c r="E7806" i="1"/>
  <c r="D7806" i="1"/>
  <c r="C7806" i="1"/>
  <c r="B7806" i="1"/>
  <c r="G7805" i="1"/>
  <c r="F7805" i="1"/>
  <c r="E7805" i="1"/>
  <c r="D7805" i="1"/>
  <c r="C7805" i="1"/>
  <c r="B7805" i="1"/>
  <c r="G7804" i="1"/>
  <c r="F7804" i="1"/>
  <c r="E7804" i="1"/>
  <c r="D7804" i="1"/>
  <c r="C7804" i="1"/>
  <c r="B7804" i="1"/>
  <c r="G7803" i="1"/>
  <c r="F7803" i="1"/>
  <c r="E7803" i="1"/>
  <c r="D7803" i="1"/>
  <c r="C7803" i="1"/>
  <c r="B7803" i="1"/>
  <c r="G7802" i="1"/>
  <c r="F7802" i="1"/>
  <c r="E7802" i="1"/>
  <c r="D7802" i="1"/>
  <c r="C7802" i="1"/>
  <c r="B7802" i="1"/>
  <c r="G7801" i="1"/>
  <c r="F7801" i="1"/>
  <c r="E7801" i="1"/>
  <c r="D7801" i="1"/>
  <c r="C7801" i="1"/>
  <c r="B7801" i="1"/>
  <c r="G7800" i="1"/>
  <c r="F7800" i="1"/>
  <c r="E7800" i="1"/>
  <c r="D7800" i="1"/>
  <c r="C7800" i="1"/>
  <c r="B7800" i="1"/>
  <c r="G7799" i="1"/>
  <c r="F7799" i="1"/>
  <c r="E7799" i="1"/>
  <c r="D7799" i="1"/>
  <c r="C7799" i="1"/>
  <c r="B7799" i="1"/>
  <c r="G7798" i="1"/>
  <c r="F7798" i="1"/>
  <c r="E7798" i="1"/>
  <c r="D7798" i="1"/>
  <c r="C7798" i="1"/>
  <c r="B7798" i="1"/>
  <c r="G7797" i="1"/>
  <c r="F7797" i="1"/>
  <c r="E7797" i="1"/>
  <c r="D7797" i="1"/>
  <c r="C7797" i="1"/>
  <c r="B7797" i="1"/>
  <c r="G7796" i="1"/>
  <c r="F7796" i="1"/>
  <c r="E7796" i="1"/>
  <c r="D7796" i="1"/>
  <c r="C7796" i="1"/>
  <c r="B7796" i="1"/>
  <c r="G7795" i="1"/>
  <c r="F7795" i="1"/>
  <c r="E7795" i="1"/>
  <c r="D7795" i="1"/>
  <c r="C7795" i="1"/>
  <c r="B7795" i="1"/>
  <c r="G7794" i="1"/>
  <c r="F7794" i="1"/>
  <c r="E7794" i="1"/>
  <c r="D7794" i="1"/>
  <c r="C7794" i="1"/>
  <c r="B7794" i="1"/>
  <c r="G7793" i="1"/>
  <c r="F7793" i="1"/>
  <c r="E7793" i="1"/>
  <c r="D7793" i="1"/>
  <c r="C7793" i="1"/>
  <c r="B7793" i="1"/>
  <c r="G7792" i="1"/>
  <c r="F7792" i="1"/>
  <c r="E7792" i="1"/>
  <c r="D7792" i="1"/>
  <c r="C7792" i="1"/>
  <c r="B7792" i="1"/>
  <c r="G7791" i="1"/>
  <c r="F7791" i="1"/>
  <c r="E7791" i="1"/>
  <c r="D7791" i="1"/>
  <c r="C7791" i="1"/>
  <c r="B7791" i="1"/>
  <c r="G7790" i="1"/>
  <c r="F7790" i="1"/>
  <c r="E7790" i="1"/>
  <c r="D7790" i="1"/>
  <c r="C7790" i="1"/>
  <c r="B7790" i="1"/>
  <c r="G7789" i="1"/>
  <c r="F7789" i="1"/>
  <c r="E7789" i="1"/>
  <c r="D7789" i="1"/>
  <c r="C7789" i="1"/>
  <c r="B7789" i="1"/>
  <c r="G7788" i="1"/>
  <c r="F7788" i="1"/>
  <c r="E7788" i="1"/>
  <c r="D7788" i="1"/>
  <c r="C7788" i="1"/>
  <c r="B7788" i="1"/>
  <c r="G7787" i="1"/>
  <c r="F7787" i="1"/>
  <c r="E7787" i="1"/>
  <c r="D7787" i="1"/>
  <c r="C7787" i="1"/>
  <c r="B7787" i="1"/>
  <c r="G7786" i="1"/>
  <c r="F7786" i="1"/>
  <c r="E7786" i="1"/>
  <c r="D7786" i="1"/>
  <c r="C7786" i="1"/>
  <c r="B7786" i="1"/>
  <c r="G7785" i="1"/>
  <c r="F7785" i="1"/>
  <c r="E7785" i="1"/>
  <c r="D7785" i="1"/>
  <c r="C7785" i="1"/>
  <c r="B7785" i="1"/>
  <c r="G7784" i="1"/>
  <c r="F7784" i="1"/>
  <c r="E7784" i="1"/>
  <c r="D7784" i="1"/>
  <c r="C7784" i="1"/>
  <c r="B7784" i="1"/>
  <c r="G7783" i="1"/>
  <c r="F7783" i="1"/>
  <c r="E7783" i="1"/>
  <c r="D7783" i="1"/>
  <c r="C7783" i="1"/>
  <c r="B7783" i="1"/>
  <c r="G7782" i="1"/>
  <c r="F7782" i="1"/>
  <c r="E7782" i="1"/>
  <c r="D7782" i="1"/>
  <c r="C7782" i="1"/>
  <c r="B7782" i="1"/>
  <c r="G7781" i="1"/>
  <c r="F7781" i="1"/>
  <c r="E7781" i="1"/>
  <c r="D7781" i="1"/>
  <c r="C7781" i="1"/>
  <c r="B7781" i="1"/>
  <c r="G7780" i="1"/>
  <c r="F7780" i="1"/>
  <c r="E7780" i="1"/>
  <c r="D7780" i="1"/>
  <c r="C7780" i="1"/>
  <c r="B7780" i="1"/>
  <c r="G7779" i="1"/>
  <c r="F7779" i="1"/>
  <c r="E7779" i="1"/>
  <c r="D7779" i="1"/>
  <c r="C7779" i="1"/>
  <c r="B7779" i="1"/>
  <c r="G7778" i="1"/>
  <c r="F7778" i="1"/>
  <c r="E7778" i="1"/>
  <c r="D7778" i="1"/>
  <c r="C7778" i="1"/>
  <c r="B7778" i="1"/>
  <c r="G7777" i="1"/>
  <c r="F7777" i="1"/>
  <c r="E7777" i="1"/>
  <c r="D7777" i="1"/>
  <c r="C7777" i="1"/>
  <c r="B7777" i="1"/>
  <c r="G7776" i="1"/>
  <c r="F7776" i="1"/>
  <c r="E7776" i="1"/>
  <c r="D7776" i="1"/>
  <c r="C7776" i="1"/>
  <c r="B7776" i="1"/>
  <c r="G7775" i="1"/>
  <c r="F7775" i="1"/>
  <c r="E7775" i="1"/>
  <c r="D7775" i="1"/>
  <c r="C7775" i="1"/>
  <c r="B7775" i="1"/>
  <c r="G7774" i="1"/>
  <c r="F7774" i="1"/>
  <c r="E7774" i="1"/>
  <c r="D7774" i="1"/>
  <c r="C7774" i="1"/>
  <c r="B7774" i="1"/>
  <c r="G7773" i="1"/>
  <c r="F7773" i="1"/>
  <c r="E7773" i="1"/>
  <c r="D7773" i="1"/>
  <c r="C7773" i="1"/>
  <c r="B7773" i="1"/>
  <c r="G7772" i="1"/>
  <c r="F7772" i="1"/>
  <c r="E7772" i="1"/>
  <c r="D7772" i="1"/>
  <c r="C7772" i="1"/>
  <c r="B7772" i="1"/>
  <c r="G7771" i="1"/>
  <c r="F7771" i="1"/>
  <c r="E7771" i="1"/>
  <c r="D7771" i="1"/>
  <c r="C7771" i="1"/>
  <c r="B7771" i="1"/>
  <c r="G7770" i="1"/>
  <c r="F7770" i="1"/>
  <c r="E7770" i="1"/>
  <c r="D7770" i="1"/>
  <c r="C7770" i="1"/>
  <c r="B7770" i="1"/>
  <c r="G7769" i="1"/>
  <c r="F7769" i="1"/>
  <c r="E7769" i="1"/>
  <c r="D7769" i="1"/>
  <c r="C7769" i="1"/>
  <c r="B7769" i="1"/>
  <c r="G7768" i="1"/>
  <c r="F7768" i="1"/>
  <c r="E7768" i="1"/>
  <c r="D7768" i="1"/>
  <c r="C7768" i="1"/>
  <c r="B7768" i="1"/>
  <c r="G7767" i="1"/>
  <c r="F7767" i="1"/>
  <c r="E7767" i="1"/>
  <c r="D7767" i="1"/>
  <c r="C7767" i="1"/>
  <c r="B7767" i="1"/>
  <c r="G7766" i="1"/>
  <c r="F7766" i="1"/>
  <c r="E7766" i="1"/>
  <c r="D7766" i="1"/>
  <c r="C7766" i="1"/>
  <c r="B7766" i="1"/>
  <c r="G7765" i="1"/>
  <c r="F7765" i="1"/>
  <c r="E7765" i="1"/>
  <c r="D7765" i="1"/>
  <c r="C7765" i="1"/>
  <c r="B7765" i="1"/>
  <c r="G7764" i="1"/>
  <c r="F7764" i="1"/>
  <c r="E7764" i="1"/>
  <c r="D7764" i="1"/>
  <c r="C7764" i="1"/>
  <c r="B7764" i="1"/>
  <c r="G7763" i="1"/>
  <c r="F7763" i="1"/>
  <c r="E7763" i="1"/>
  <c r="D7763" i="1"/>
  <c r="C7763" i="1"/>
  <c r="B7763" i="1"/>
  <c r="G7762" i="1"/>
  <c r="F7762" i="1"/>
  <c r="E7762" i="1"/>
  <c r="D7762" i="1"/>
  <c r="C7762" i="1"/>
  <c r="B7762" i="1"/>
  <c r="G7761" i="1"/>
  <c r="F7761" i="1"/>
  <c r="E7761" i="1"/>
  <c r="D7761" i="1"/>
  <c r="C7761" i="1"/>
  <c r="B7761" i="1"/>
  <c r="G7760" i="1"/>
  <c r="F7760" i="1"/>
  <c r="E7760" i="1"/>
  <c r="D7760" i="1"/>
  <c r="C7760" i="1"/>
  <c r="B7760" i="1"/>
  <c r="G7759" i="1"/>
  <c r="F7759" i="1"/>
  <c r="E7759" i="1"/>
  <c r="D7759" i="1"/>
  <c r="C7759" i="1"/>
  <c r="B7759" i="1"/>
  <c r="G7758" i="1"/>
  <c r="F7758" i="1"/>
  <c r="E7758" i="1"/>
  <c r="D7758" i="1"/>
  <c r="C7758" i="1"/>
  <c r="B7758" i="1"/>
  <c r="G7757" i="1"/>
  <c r="F7757" i="1"/>
  <c r="E7757" i="1"/>
  <c r="D7757" i="1"/>
  <c r="C7757" i="1"/>
  <c r="B7757" i="1"/>
  <c r="G7756" i="1"/>
  <c r="F7756" i="1"/>
  <c r="E7756" i="1"/>
  <c r="D7756" i="1"/>
  <c r="C7756" i="1"/>
  <c r="B7756" i="1"/>
  <c r="G7755" i="1"/>
  <c r="F7755" i="1"/>
  <c r="E7755" i="1"/>
  <c r="D7755" i="1"/>
  <c r="C7755" i="1"/>
  <c r="B7755" i="1"/>
  <c r="G7754" i="1"/>
  <c r="F7754" i="1"/>
  <c r="E7754" i="1"/>
  <c r="D7754" i="1"/>
  <c r="C7754" i="1"/>
  <c r="B7754" i="1"/>
  <c r="G7753" i="1"/>
  <c r="F7753" i="1"/>
  <c r="E7753" i="1"/>
  <c r="D7753" i="1"/>
  <c r="C7753" i="1"/>
  <c r="B7753" i="1"/>
  <c r="G7752" i="1"/>
  <c r="F7752" i="1"/>
  <c r="E7752" i="1"/>
  <c r="D7752" i="1"/>
  <c r="C7752" i="1"/>
  <c r="B7752" i="1"/>
  <c r="G7751" i="1"/>
  <c r="F7751" i="1"/>
  <c r="E7751" i="1"/>
  <c r="D7751" i="1"/>
  <c r="C7751" i="1"/>
  <c r="B7751" i="1"/>
  <c r="G7750" i="1"/>
  <c r="F7750" i="1"/>
  <c r="E7750" i="1"/>
  <c r="D7750" i="1"/>
  <c r="C7750" i="1"/>
  <c r="B7750" i="1"/>
  <c r="G7749" i="1"/>
  <c r="F7749" i="1"/>
  <c r="E7749" i="1"/>
  <c r="D7749" i="1"/>
  <c r="C7749" i="1"/>
  <c r="B7749" i="1"/>
  <c r="G7748" i="1"/>
  <c r="F7748" i="1"/>
  <c r="E7748" i="1"/>
  <c r="D7748" i="1"/>
  <c r="C7748" i="1"/>
  <c r="B7748" i="1"/>
  <c r="G7747" i="1"/>
  <c r="F7747" i="1"/>
  <c r="E7747" i="1"/>
  <c r="D7747" i="1"/>
  <c r="C7747" i="1"/>
  <c r="B7747" i="1"/>
  <c r="G7746" i="1"/>
  <c r="F7746" i="1"/>
  <c r="E7746" i="1"/>
  <c r="D7746" i="1"/>
  <c r="C7746" i="1"/>
  <c r="B7746" i="1"/>
  <c r="G7745" i="1"/>
  <c r="F7745" i="1"/>
  <c r="E7745" i="1"/>
  <c r="D7745" i="1"/>
  <c r="C7745" i="1"/>
  <c r="B7745" i="1"/>
  <c r="G7744" i="1"/>
  <c r="F7744" i="1"/>
  <c r="E7744" i="1"/>
  <c r="D7744" i="1"/>
  <c r="C7744" i="1"/>
  <c r="B7744" i="1"/>
  <c r="G7743" i="1"/>
  <c r="F7743" i="1"/>
  <c r="E7743" i="1"/>
  <c r="D7743" i="1"/>
  <c r="C7743" i="1"/>
  <c r="B7743" i="1"/>
  <c r="G7742" i="1"/>
  <c r="F7742" i="1"/>
  <c r="E7742" i="1"/>
  <c r="D7742" i="1"/>
  <c r="C7742" i="1"/>
  <c r="B7742" i="1"/>
  <c r="G7741" i="1"/>
  <c r="F7741" i="1"/>
  <c r="E7741" i="1"/>
  <c r="D7741" i="1"/>
  <c r="C7741" i="1"/>
  <c r="B7741" i="1"/>
  <c r="G7740" i="1"/>
  <c r="F7740" i="1"/>
  <c r="E7740" i="1"/>
  <c r="D7740" i="1"/>
  <c r="C7740" i="1"/>
  <c r="B7740" i="1"/>
  <c r="G7739" i="1"/>
  <c r="F7739" i="1"/>
  <c r="E7739" i="1"/>
  <c r="D7739" i="1"/>
  <c r="C7739" i="1"/>
  <c r="B7739" i="1"/>
  <c r="G7738" i="1"/>
  <c r="F7738" i="1"/>
  <c r="E7738" i="1"/>
  <c r="D7738" i="1"/>
  <c r="C7738" i="1"/>
  <c r="B7738" i="1"/>
  <c r="G7737" i="1"/>
  <c r="F7737" i="1"/>
  <c r="E7737" i="1"/>
  <c r="D7737" i="1"/>
  <c r="C7737" i="1"/>
  <c r="B7737" i="1"/>
  <c r="G7736" i="1"/>
  <c r="F7736" i="1"/>
  <c r="E7736" i="1"/>
  <c r="D7736" i="1"/>
  <c r="C7736" i="1"/>
  <c r="B7736" i="1"/>
  <c r="G7735" i="1"/>
  <c r="F7735" i="1"/>
  <c r="E7735" i="1"/>
  <c r="D7735" i="1"/>
  <c r="C7735" i="1"/>
  <c r="B7735" i="1"/>
  <c r="G7734" i="1"/>
  <c r="F7734" i="1"/>
  <c r="E7734" i="1"/>
  <c r="D7734" i="1"/>
  <c r="C7734" i="1"/>
  <c r="B7734" i="1"/>
  <c r="G7733" i="1"/>
  <c r="F7733" i="1"/>
  <c r="E7733" i="1"/>
  <c r="D7733" i="1"/>
  <c r="C7733" i="1"/>
  <c r="B7733" i="1"/>
  <c r="G7732" i="1"/>
  <c r="F7732" i="1"/>
  <c r="E7732" i="1"/>
  <c r="D7732" i="1"/>
  <c r="C7732" i="1"/>
  <c r="B7732" i="1"/>
  <c r="G7731" i="1"/>
  <c r="F7731" i="1"/>
  <c r="E7731" i="1"/>
  <c r="D7731" i="1"/>
  <c r="C7731" i="1"/>
  <c r="B7731" i="1"/>
  <c r="G7730" i="1"/>
  <c r="F7730" i="1"/>
  <c r="E7730" i="1"/>
  <c r="D7730" i="1"/>
  <c r="C7730" i="1"/>
  <c r="B7730" i="1"/>
  <c r="G7729" i="1"/>
  <c r="F7729" i="1"/>
  <c r="E7729" i="1"/>
  <c r="D7729" i="1"/>
  <c r="C7729" i="1"/>
  <c r="B7729" i="1"/>
  <c r="G7728" i="1"/>
  <c r="F7728" i="1"/>
  <c r="E7728" i="1"/>
  <c r="D7728" i="1"/>
  <c r="C7728" i="1"/>
  <c r="B7728" i="1"/>
  <c r="G7727" i="1"/>
  <c r="F7727" i="1"/>
  <c r="E7727" i="1"/>
  <c r="D7727" i="1"/>
  <c r="C7727" i="1"/>
  <c r="B7727" i="1"/>
  <c r="G7726" i="1"/>
  <c r="F7726" i="1"/>
  <c r="E7726" i="1"/>
  <c r="D7726" i="1"/>
  <c r="C7726" i="1"/>
  <c r="B7726" i="1"/>
  <c r="G7725" i="1"/>
  <c r="F7725" i="1"/>
  <c r="E7725" i="1"/>
  <c r="D7725" i="1"/>
  <c r="C7725" i="1"/>
  <c r="B7725" i="1"/>
  <c r="G7724" i="1"/>
  <c r="F7724" i="1"/>
  <c r="E7724" i="1"/>
  <c r="D7724" i="1"/>
  <c r="C7724" i="1"/>
  <c r="B7724" i="1"/>
  <c r="G7723" i="1"/>
  <c r="F7723" i="1"/>
  <c r="E7723" i="1"/>
  <c r="D7723" i="1"/>
  <c r="C7723" i="1"/>
  <c r="B7723" i="1"/>
  <c r="G7722" i="1"/>
  <c r="F7722" i="1"/>
  <c r="E7722" i="1"/>
  <c r="D7722" i="1"/>
  <c r="C7722" i="1"/>
  <c r="B7722" i="1"/>
  <c r="G7721" i="1"/>
  <c r="F7721" i="1"/>
  <c r="E7721" i="1"/>
  <c r="D7721" i="1"/>
  <c r="C7721" i="1"/>
  <c r="B7721" i="1"/>
  <c r="G7720" i="1"/>
  <c r="F7720" i="1"/>
  <c r="E7720" i="1"/>
  <c r="D7720" i="1"/>
  <c r="C7720" i="1"/>
  <c r="B7720" i="1"/>
  <c r="G7719" i="1"/>
  <c r="F7719" i="1"/>
  <c r="E7719" i="1"/>
  <c r="D7719" i="1"/>
  <c r="C7719" i="1"/>
  <c r="B7719" i="1"/>
  <c r="G7718" i="1"/>
  <c r="F7718" i="1"/>
  <c r="E7718" i="1"/>
  <c r="D7718" i="1"/>
  <c r="C7718" i="1"/>
  <c r="B7718" i="1"/>
  <c r="G7717" i="1"/>
  <c r="F7717" i="1"/>
  <c r="E7717" i="1"/>
  <c r="D7717" i="1"/>
  <c r="C7717" i="1"/>
  <c r="B7717" i="1"/>
  <c r="G7716" i="1"/>
  <c r="F7716" i="1"/>
  <c r="E7716" i="1"/>
  <c r="D7716" i="1"/>
  <c r="C7716" i="1"/>
  <c r="B7716" i="1"/>
  <c r="G7715" i="1"/>
  <c r="F7715" i="1"/>
  <c r="E7715" i="1"/>
  <c r="D7715" i="1"/>
  <c r="C7715" i="1"/>
  <c r="B7715" i="1"/>
  <c r="G7714" i="1"/>
  <c r="F7714" i="1"/>
  <c r="E7714" i="1"/>
  <c r="D7714" i="1"/>
  <c r="C7714" i="1"/>
  <c r="B7714" i="1"/>
  <c r="G7713" i="1"/>
  <c r="F7713" i="1"/>
  <c r="E7713" i="1"/>
  <c r="D7713" i="1"/>
  <c r="C7713" i="1"/>
  <c r="B7713" i="1"/>
  <c r="G7712" i="1"/>
  <c r="F7712" i="1"/>
  <c r="E7712" i="1"/>
  <c r="D7712" i="1"/>
  <c r="C7712" i="1"/>
  <c r="B7712" i="1"/>
  <c r="G7711" i="1"/>
  <c r="F7711" i="1"/>
  <c r="E7711" i="1"/>
  <c r="D7711" i="1"/>
  <c r="C7711" i="1"/>
  <c r="B7711" i="1"/>
  <c r="G7710" i="1"/>
  <c r="F7710" i="1"/>
  <c r="E7710" i="1"/>
  <c r="D7710" i="1"/>
  <c r="C7710" i="1"/>
  <c r="B7710" i="1"/>
  <c r="G7709" i="1"/>
  <c r="F7709" i="1"/>
  <c r="E7709" i="1"/>
  <c r="D7709" i="1"/>
  <c r="C7709" i="1"/>
  <c r="B7709" i="1"/>
  <c r="G7708" i="1"/>
  <c r="F7708" i="1"/>
  <c r="E7708" i="1"/>
  <c r="D7708" i="1"/>
  <c r="C7708" i="1"/>
  <c r="B7708" i="1"/>
  <c r="G7707" i="1"/>
  <c r="F7707" i="1"/>
  <c r="E7707" i="1"/>
  <c r="D7707" i="1"/>
  <c r="C7707" i="1"/>
  <c r="B7707" i="1"/>
  <c r="G7706" i="1"/>
  <c r="F7706" i="1"/>
  <c r="E7706" i="1"/>
  <c r="D7706" i="1"/>
  <c r="C7706" i="1"/>
  <c r="B7706" i="1"/>
  <c r="G7705" i="1"/>
  <c r="F7705" i="1"/>
  <c r="E7705" i="1"/>
  <c r="D7705" i="1"/>
  <c r="C7705" i="1"/>
  <c r="B7705" i="1"/>
  <c r="G7704" i="1"/>
  <c r="F7704" i="1"/>
  <c r="E7704" i="1"/>
  <c r="D7704" i="1"/>
  <c r="C7704" i="1"/>
  <c r="B7704" i="1"/>
  <c r="G7703" i="1"/>
  <c r="F7703" i="1"/>
  <c r="E7703" i="1"/>
  <c r="D7703" i="1"/>
  <c r="C7703" i="1"/>
  <c r="B7703" i="1"/>
  <c r="G7702" i="1"/>
  <c r="F7702" i="1"/>
  <c r="E7702" i="1"/>
  <c r="D7702" i="1"/>
  <c r="C7702" i="1"/>
  <c r="B7702" i="1"/>
  <c r="G7701" i="1"/>
  <c r="F7701" i="1"/>
  <c r="E7701" i="1"/>
  <c r="D7701" i="1"/>
  <c r="C7701" i="1"/>
  <c r="B7701" i="1"/>
  <c r="G7700" i="1"/>
  <c r="F7700" i="1"/>
  <c r="E7700" i="1"/>
  <c r="D7700" i="1"/>
  <c r="C7700" i="1"/>
  <c r="B7700" i="1"/>
  <c r="G7699" i="1"/>
  <c r="F7699" i="1"/>
  <c r="E7699" i="1"/>
  <c r="D7699" i="1"/>
  <c r="C7699" i="1"/>
  <c r="B7699" i="1"/>
  <c r="G7698" i="1"/>
  <c r="F7698" i="1"/>
  <c r="E7698" i="1"/>
  <c r="D7698" i="1"/>
  <c r="C7698" i="1"/>
  <c r="B7698" i="1"/>
  <c r="G7697" i="1"/>
  <c r="F7697" i="1"/>
  <c r="E7697" i="1"/>
  <c r="D7697" i="1"/>
  <c r="C7697" i="1"/>
  <c r="B7697" i="1"/>
  <c r="G7696" i="1"/>
  <c r="F7696" i="1"/>
  <c r="E7696" i="1"/>
  <c r="D7696" i="1"/>
  <c r="C7696" i="1"/>
  <c r="B7696" i="1"/>
  <c r="G7695" i="1"/>
  <c r="F7695" i="1"/>
  <c r="E7695" i="1"/>
  <c r="D7695" i="1"/>
  <c r="C7695" i="1"/>
  <c r="B7695" i="1"/>
  <c r="G7694" i="1"/>
  <c r="F7694" i="1"/>
  <c r="E7694" i="1"/>
  <c r="D7694" i="1"/>
  <c r="C7694" i="1"/>
  <c r="B7694" i="1"/>
  <c r="G7693" i="1"/>
  <c r="F7693" i="1"/>
  <c r="E7693" i="1"/>
  <c r="D7693" i="1"/>
  <c r="C7693" i="1"/>
  <c r="B7693" i="1"/>
  <c r="G7692" i="1"/>
  <c r="F7692" i="1"/>
  <c r="E7692" i="1"/>
  <c r="D7692" i="1"/>
  <c r="C7692" i="1"/>
  <c r="B7692" i="1"/>
  <c r="G7691" i="1"/>
  <c r="F7691" i="1"/>
  <c r="E7691" i="1"/>
  <c r="D7691" i="1"/>
  <c r="C7691" i="1"/>
  <c r="B7691" i="1"/>
  <c r="G7690" i="1"/>
  <c r="F7690" i="1"/>
  <c r="E7690" i="1"/>
  <c r="D7690" i="1"/>
  <c r="C7690" i="1"/>
  <c r="B7690" i="1"/>
  <c r="G7689" i="1"/>
  <c r="F7689" i="1"/>
  <c r="E7689" i="1"/>
  <c r="D7689" i="1"/>
  <c r="C7689" i="1"/>
  <c r="B7689" i="1"/>
  <c r="G7688" i="1"/>
  <c r="F7688" i="1"/>
  <c r="E7688" i="1"/>
  <c r="D7688" i="1"/>
  <c r="C7688" i="1"/>
  <c r="B7688" i="1"/>
  <c r="G7687" i="1"/>
  <c r="F7687" i="1"/>
  <c r="E7687" i="1"/>
  <c r="D7687" i="1"/>
  <c r="C7687" i="1"/>
  <c r="B7687" i="1"/>
  <c r="G7686" i="1"/>
  <c r="F7686" i="1"/>
  <c r="E7686" i="1"/>
  <c r="D7686" i="1"/>
  <c r="C7686" i="1"/>
  <c r="B7686" i="1"/>
  <c r="G7685" i="1"/>
  <c r="F7685" i="1"/>
  <c r="E7685" i="1"/>
  <c r="D7685" i="1"/>
  <c r="C7685" i="1"/>
  <c r="B7685" i="1"/>
  <c r="G7684" i="1"/>
  <c r="F7684" i="1"/>
  <c r="E7684" i="1"/>
  <c r="D7684" i="1"/>
  <c r="C7684" i="1"/>
  <c r="B7684" i="1"/>
  <c r="G7683" i="1"/>
  <c r="F7683" i="1"/>
  <c r="E7683" i="1"/>
  <c r="D7683" i="1"/>
  <c r="C7683" i="1"/>
  <c r="B7683" i="1"/>
  <c r="G7682" i="1"/>
  <c r="F7682" i="1"/>
  <c r="E7682" i="1"/>
  <c r="D7682" i="1"/>
  <c r="C7682" i="1"/>
  <c r="B7682" i="1"/>
  <c r="G7681" i="1"/>
  <c r="F7681" i="1"/>
  <c r="E7681" i="1"/>
  <c r="D7681" i="1"/>
  <c r="C7681" i="1"/>
  <c r="B7681" i="1"/>
  <c r="G7680" i="1"/>
  <c r="F7680" i="1"/>
  <c r="E7680" i="1"/>
  <c r="D7680" i="1"/>
  <c r="C7680" i="1"/>
  <c r="B7680" i="1"/>
  <c r="G7679" i="1"/>
  <c r="F7679" i="1"/>
  <c r="E7679" i="1"/>
  <c r="D7679" i="1"/>
  <c r="C7679" i="1"/>
  <c r="B7679" i="1"/>
  <c r="G7678" i="1"/>
  <c r="F7678" i="1"/>
  <c r="E7678" i="1"/>
  <c r="D7678" i="1"/>
  <c r="C7678" i="1"/>
  <c r="B7678" i="1"/>
  <c r="G7677" i="1"/>
  <c r="F7677" i="1"/>
  <c r="E7677" i="1"/>
  <c r="D7677" i="1"/>
  <c r="C7677" i="1"/>
  <c r="B7677" i="1"/>
  <c r="G7676" i="1"/>
  <c r="F7676" i="1"/>
  <c r="E7676" i="1"/>
  <c r="D7676" i="1"/>
  <c r="C7676" i="1"/>
  <c r="B7676" i="1"/>
  <c r="G7675" i="1"/>
  <c r="F7675" i="1"/>
  <c r="E7675" i="1"/>
  <c r="D7675" i="1"/>
  <c r="C7675" i="1"/>
  <c r="B7675" i="1"/>
  <c r="G7674" i="1"/>
  <c r="F7674" i="1"/>
  <c r="E7674" i="1"/>
  <c r="D7674" i="1"/>
  <c r="C7674" i="1"/>
  <c r="B7674" i="1"/>
  <c r="G7673" i="1"/>
  <c r="F7673" i="1"/>
  <c r="E7673" i="1"/>
  <c r="D7673" i="1"/>
  <c r="C7673" i="1"/>
  <c r="B7673" i="1"/>
  <c r="G7672" i="1"/>
  <c r="F7672" i="1"/>
  <c r="E7672" i="1"/>
  <c r="D7672" i="1"/>
  <c r="C7672" i="1"/>
  <c r="B7672" i="1"/>
  <c r="G7671" i="1"/>
  <c r="F7671" i="1"/>
  <c r="E7671" i="1"/>
  <c r="D7671" i="1"/>
  <c r="C7671" i="1"/>
  <c r="B7671" i="1"/>
  <c r="G7670" i="1"/>
  <c r="F7670" i="1"/>
  <c r="E7670" i="1"/>
  <c r="D7670" i="1"/>
  <c r="C7670" i="1"/>
  <c r="B7670" i="1"/>
  <c r="G7669" i="1"/>
  <c r="F7669" i="1"/>
  <c r="E7669" i="1"/>
  <c r="D7669" i="1"/>
  <c r="C7669" i="1"/>
  <c r="B7669" i="1"/>
  <c r="G7668" i="1"/>
  <c r="F7668" i="1"/>
  <c r="E7668" i="1"/>
  <c r="D7668" i="1"/>
  <c r="C7668" i="1"/>
  <c r="B7668" i="1"/>
  <c r="G7667" i="1"/>
  <c r="F7667" i="1"/>
  <c r="E7667" i="1"/>
  <c r="D7667" i="1"/>
  <c r="C7667" i="1"/>
  <c r="B7667" i="1"/>
  <c r="G7666" i="1"/>
  <c r="F7666" i="1"/>
  <c r="E7666" i="1"/>
  <c r="D7666" i="1"/>
  <c r="C7666" i="1"/>
  <c r="B7666" i="1"/>
  <c r="G7665" i="1"/>
  <c r="F7665" i="1"/>
  <c r="E7665" i="1"/>
  <c r="D7665" i="1"/>
  <c r="C7665" i="1"/>
  <c r="B7665" i="1"/>
  <c r="G7664" i="1"/>
  <c r="F7664" i="1"/>
  <c r="E7664" i="1"/>
  <c r="D7664" i="1"/>
  <c r="C7664" i="1"/>
  <c r="B7664" i="1"/>
  <c r="G7663" i="1"/>
  <c r="F7663" i="1"/>
  <c r="E7663" i="1"/>
  <c r="D7663" i="1"/>
  <c r="C7663" i="1"/>
  <c r="B7663" i="1"/>
  <c r="G7662" i="1"/>
  <c r="F7662" i="1"/>
  <c r="E7662" i="1"/>
  <c r="D7662" i="1"/>
  <c r="C7662" i="1"/>
  <c r="B7662" i="1"/>
  <c r="G7661" i="1"/>
  <c r="F7661" i="1"/>
  <c r="E7661" i="1"/>
  <c r="D7661" i="1"/>
  <c r="C7661" i="1"/>
  <c r="B7661" i="1"/>
  <c r="G7660" i="1"/>
  <c r="F7660" i="1"/>
  <c r="E7660" i="1"/>
  <c r="D7660" i="1"/>
  <c r="C7660" i="1"/>
  <c r="B7660" i="1"/>
  <c r="G7659" i="1"/>
  <c r="F7659" i="1"/>
  <c r="E7659" i="1"/>
  <c r="D7659" i="1"/>
  <c r="C7659" i="1"/>
  <c r="B7659" i="1"/>
  <c r="G7658" i="1"/>
  <c r="F7658" i="1"/>
  <c r="E7658" i="1"/>
  <c r="D7658" i="1"/>
  <c r="C7658" i="1"/>
  <c r="B7658" i="1"/>
  <c r="G7657" i="1"/>
  <c r="F7657" i="1"/>
  <c r="E7657" i="1"/>
  <c r="D7657" i="1"/>
  <c r="C7657" i="1"/>
  <c r="B7657" i="1"/>
  <c r="G7656" i="1"/>
  <c r="F7656" i="1"/>
  <c r="E7656" i="1"/>
  <c r="D7656" i="1"/>
  <c r="C7656" i="1"/>
  <c r="B7656" i="1"/>
  <c r="G7655" i="1"/>
  <c r="F7655" i="1"/>
  <c r="E7655" i="1"/>
  <c r="D7655" i="1"/>
  <c r="C7655" i="1"/>
  <c r="B7655" i="1"/>
  <c r="G7654" i="1"/>
  <c r="F7654" i="1"/>
  <c r="E7654" i="1"/>
  <c r="D7654" i="1"/>
  <c r="C7654" i="1"/>
  <c r="B7654" i="1"/>
  <c r="G7653" i="1"/>
  <c r="F7653" i="1"/>
  <c r="E7653" i="1"/>
  <c r="D7653" i="1"/>
  <c r="C7653" i="1"/>
  <c r="B7653" i="1"/>
  <c r="G7652" i="1"/>
  <c r="F7652" i="1"/>
  <c r="E7652" i="1"/>
  <c r="D7652" i="1"/>
  <c r="C7652" i="1"/>
  <c r="B7652" i="1"/>
  <c r="G7651" i="1"/>
  <c r="F7651" i="1"/>
  <c r="E7651" i="1"/>
  <c r="D7651" i="1"/>
  <c r="C7651" i="1"/>
  <c r="B7651" i="1"/>
  <c r="G7650" i="1"/>
  <c r="F7650" i="1"/>
  <c r="E7650" i="1"/>
  <c r="D7650" i="1"/>
  <c r="C7650" i="1"/>
  <c r="B7650" i="1"/>
  <c r="G7649" i="1"/>
  <c r="F7649" i="1"/>
  <c r="E7649" i="1"/>
  <c r="D7649" i="1"/>
  <c r="C7649" i="1"/>
  <c r="B7649" i="1"/>
  <c r="G7648" i="1"/>
  <c r="F7648" i="1"/>
  <c r="E7648" i="1"/>
  <c r="D7648" i="1"/>
  <c r="C7648" i="1"/>
  <c r="B7648" i="1"/>
  <c r="G7647" i="1"/>
  <c r="F7647" i="1"/>
  <c r="E7647" i="1"/>
  <c r="D7647" i="1"/>
  <c r="C7647" i="1"/>
  <c r="B7647" i="1"/>
  <c r="G7646" i="1"/>
  <c r="F7646" i="1"/>
  <c r="E7646" i="1"/>
  <c r="D7646" i="1"/>
  <c r="C7646" i="1"/>
  <c r="B7646" i="1"/>
  <c r="G7645" i="1"/>
  <c r="F7645" i="1"/>
  <c r="E7645" i="1"/>
  <c r="D7645" i="1"/>
  <c r="C7645" i="1"/>
  <c r="B7645" i="1"/>
  <c r="G7644" i="1"/>
  <c r="F7644" i="1"/>
  <c r="E7644" i="1"/>
  <c r="D7644" i="1"/>
  <c r="C7644" i="1"/>
  <c r="B7644" i="1"/>
  <c r="G7643" i="1"/>
  <c r="F7643" i="1"/>
  <c r="E7643" i="1"/>
  <c r="D7643" i="1"/>
  <c r="C7643" i="1"/>
  <c r="B7643" i="1"/>
  <c r="G7642" i="1"/>
  <c r="F7642" i="1"/>
  <c r="E7642" i="1"/>
  <c r="D7642" i="1"/>
  <c r="C7642" i="1"/>
  <c r="B7642" i="1"/>
  <c r="G7641" i="1"/>
  <c r="F7641" i="1"/>
  <c r="E7641" i="1"/>
  <c r="D7641" i="1"/>
  <c r="C7641" i="1"/>
  <c r="B7641" i="1"/>
  <c r="G7640" i="1"/>
  <c r="F7640" i="1"/>
  <c r="E7640" i="1"/>
  <c r="D7640" i="1"/>
  <c r="C7640" i="1"/>
  <c r="B7640" i="1"/>
  <c r="G7639" i="1"/>
  <c r="F7639" i="1"/>
  <c r="E7639" i="1"/>
  <c r="D7639" i="1"/>
  <c r="C7639" i="1"/>
  <c r="B7639" i="1"/>
  <c r="G7638" i="1"/>
  <c r="F7638" i="1"/>
  <c r="E7638" i="1"/>
  <c r="D7638" i="1"/>
  <c r="C7638" i="1"/>
  <c r="B7638" i="1"/>
  <c r="G7637" i="1"/>
  <c r="F7637" i="1"/>
  <c r="E7637" i="1"/>
  <c r="D7637" i="1"/>
  <c r="C7637" i="1"/>
  <c r="B7637" i="1"/>
  <c r="G7636" i="1"/>
  <c r="F7636" i="1"/>
  <c r="E7636" i="1"/>
  <c r="D7636" i="1"/>
  <c r="C7636" i="1"/>
  <c r="B7636" i="1"/>
  <c r="G7635" i="1"/>
  <c r="F7635" i="1"/>
  <c r="E7635" i="1"/>
  <c r="D7635" i="1"/>
  <c r="C7635" i="1"/>
  <c r="B7635" i="1"/>
  <c r="G7634" i="1"/>
  <c r="F7634" i="1"/>
  <c r="E7634" i="1"/>
  <c r="D7634" i="1"/>
  <c r="C7634" i="1"/>
  <c r="B7634" i="1"/>
  <c r="G7633" i="1"/>
  <c r="F7633" i="1"/>
  <c r="E7633" i="1"/>
  <c r="D7633" i="1"/>
  <c r="C7633" i="1"/>
  <c r="B7633" i="1"/>
  <c r="G7632" i="1"/>
  <c r="F7632" i="1"/>
  <c r="E7632" i="1"/>
  <c r="D7632" i="1"/>
  <c r="C7632" i="1"/>
  <c r="B7632" i="1"/>
  <c r="G7631" i="1"/>
  <c r="F7631" i="1"/>
  <c r="E7631" i="1"/>
  <c r="D7631" i="1"/>
  <c r="C7631" i="1"/>
  <c r="B7631" i="1"/>
  <c r="G7630" i="1"/>
  <c r="F7630" i="1"/>
  <c r="E7630" i="1"/>
  <c r="D7630" i="1"/>
  <c r="C7630" i="1"/>
  <c r="B7630" i="1"/>
  <c r="G7629" i="1"/>
  <c r="F7629" i="1"/>
  <c r="E7629" i="1"/>
  <c r="D7629" i="1"/>
  <c r="C7629" i="1"/>
  <c r="B7629" i="1"/>
  <c r="G7628" i="1"/>
  <c r="F7628" i="1"/>
  <c r="E7628" i="1"/>
  <c r="D7628" i="1"/>
  <c r="C7628" i="1"/>
  <c r="B7628" i="1"/>
  <c r="G7627" i="1"/>
  <c r="F7627" i="1"/>
  <c r="E7627" i="1"/>
  <c r="D7627" i="1"/>
  <c r="C7627" i="1"/>
  <c r="B7627" i="1"/>
  <c r="G7626" i="1"/>
  <c r="F7626" i="1"/>
  <c r="E7626" i="1"/>
  <c r="D7626" i="1"/>
  <c r="C7626" i="1"/>
  <c r="B7626" i="1"/>
  <c r="G7625" i="1"/>
  <c r="F7625" i="1"/>
  <c r="E7625" i="1"/>
  <c r="D7625" i="1"/>
  <c r="C7625" i="1"/>
  <c r="B7625" i="1"/>
  <c r="G7624" i="1"/>
  <c r="F7624" i="1"/>
  <c r="E7624" i="1"/>
  <c r="D7624" i="1"/>
  <c r="C7624" i="1"/>
  <c r="B7624" i="1"/>
  <c r="G7623" i="1"/>
  <c r="F7623" i="1"/>
  <c r="E7623" i="1"/>
  <c r="D7623" i="1"/>
  <c r="C7623" i="1"/>
  <c r="B7623" i="1"/>
  <c r="G7622" i="1"/>
  <c r="F7622" i="1"/>
  <c r="E7622" i="1"/>
  <c r="D7622" i="1"/>
  <c r="C7622" i="1"/>
  <c r="B7622" i="1"/>
  <c r="G7621" i="1"/>
  <c r="F7621" i="1"/>
  <c r="E7621" i="1"/>
  <c r="D7621" i="1"/>
  <c r="C7621" i="1"/>
  <c r="B7621" i="1"/>
  <c r="G7620" i="1"/>
  <c r="F7620" i="1"/>
  <c r="E7620" i="1"/>
  <c r="D7620" i="1"/>
  <c r="C7620" i="1"/>
  <c r="B7620" i="1"/>
  <c r="G7619" i="1"/>
  <c r="F7619" i="1"/>
  <c r="E7619" i="1"/>
  <c r="D7619" i="1"/>
  <c r="C7619" i="1"/>
  <c r="B7619" i="1"/>
  <c r="G7618" i="1"/>
  <c r="F7618" i="1"/>
  <c r="E7618" i="1"/>
  <c r="D7618" i="1"/>
  <c r="C7618" i="1"/>
  <c r="B7618" i="1"/>
  <c r="G7617" i="1"/>
  <c r="F7617" i="1"/>
  <c r="E7617" i="1"/>
  <c r="D7617" i="1"/>
  <c r="C7617" i="1"/>
  <c r="B7617" i="1"/>
  <c r="G7616" i="1"/>
  <c r="F7616" i="1"/>
  <c r="E7616" i="1"/>
  <c r="D7616" i="1"/>
  <c r="C7616" i="1"/>
  <c r="B7616" i="1"/>
  <c r="G7615" i="1"/>
  <c r="F7615" i="1"/>
  <c r="E7615" i="1"/>
  <c r="D7615" i="1"/>
  <c r="C7615" i="1"/>
  <c r="B7615" i="1"/>
  <c r="G7614" i="1"/>
  <c r="F7614" i="1"/>
  <c r="E7614" i="1"/>
  <c r="D7614" i="1"/>
  <c r="C7614" i="1"/>
  <c r="B7614" i="1"/>
  <c r="G7613" i="1"/>
  <c r="F7613" i="1"/>
  <c r="E7613" i="1"/>
  <c r="D7613" i="1"/>
  <c r="C7613" i="1"/>
  <c r="B7613" i="1"/>
  <c r="G7612" i="1"/>
  <c r="F7612" i="1"/>
  <c r="E7612" i="1"/>
  <c r="D7612" i="1"/>
  <c r="C7612" i="1"/>
  <c r="B7612" i="1"/>
  <c r="G7611" i="1"/>
  <c r="F7611" i="1"/>
  <c r="E7611" i="1"/>
  <c r="D7611" i="1"/>
  <c r="C7611" i="1"/>
  <c r="B7611" i="1"/>
  <c r="G7610" i="1"/>
  <c r="F7610" i="1"/>
  <c r="E7610" i="1"/>
  <c r="D7610" i="1"/>
  <c r="C7610" i="1"/>
  <c r="B7610" i="1"/>
  <c r="G7609" i="1"/>
  <c r="F7609" i="1"/>
  <c r="E7609" i="1"/>
  <c r="D7609" i="1"/>
  <c r="C7609" i="1"/>
  <c r="B7609" i="1"/>
  <c r="G7608" i="1"/>
  <c r="F7608" i="1"/>
  <c r="E7608" i="1"/>
  <c r="D7608" i="1"/>
  <c r="C7608" i="1"/>
  <c r="B7608" i="1"/>
  <c r="G7607" i="1"/>
  <c r="F7607" i="1"/>
  <c r="E7607" i="1"/>
  <c r="D7607" i="1"/>
  <c r="C7607" i="1"/>
  <c r="B7607" i="1"/>
  <c r="G7606" i="1"/>
  <c r="F7606" i="1"/>
  <c r="E7606" i="1"/>
  <c r="D7606" i="1"/>
  <c r="C7606" i="1"/>
  <c r="B7606" i="1"/>
  <c r="G7605" i="1"/>
  <c r="F7605" i="1"/>
  <c r="E7605" i="1"/>
  <c r="D7605" i="1"/>
  <c r="C7605" i="1"/>
  <c r="B7605" i="1"/>
  <c r="G7604" i="1"/>
  <c r="F7604" i="1"/>
  <c r="E7604" i="1"/>
  <c r="D7604" i="1"/>
  <c r="C7604" i="1"/>
  <c r="B7604" i="1"/>
  <c r="G7603" i="1"/>
  <c r="F7603" i="1"/>
  <c r="E7603" i="1"/>
  <c r="D7603" i="1"/>
  <c r="C7603" i="1"/>
  <c r="B7603" i="1"/>
  <c r="G7602" i="1"/>
  <c r="F7602" i="1"/>
  <c r="E7602" i="1"/>
  <c r="D7602" i="1"/>
  <c r="C7602" i="1"/>
  <c r="B7602" i="1"/>
  <c r="G7601" i="1"/>
  <c r="F7601" i="1"/>
  <c r="E7601" i="1"/>
  <c r="D7601" i="1"/>
  <c r="C7601" i="1"/>
  <c r="B7601" i="1"/>
  <c r="G7600" i="1"/>
  <c r="F7600" i="1"/>
  <c r="E7600" i="1"/>
  <c r="D7600" i="1"/>
  <c r="C7600" i="1"/>
  <c r="B7600" i="1"/>
  <c r="G7599" i="1"/>
  <c r="F7599" i="1"/>
  <c r="E7599" i="1"/>
  <c r="D7599" i="1"/>
  <c r="C7599" i="1"/>
  <c r="B7599" i="1"/>
  <c r="G7598" i="1"/>
  <c r="F7598" i="1"/>
  <c r="E7598" i="1"/>
  <c r="D7598" i="1"/>
  <c r="C7598" i="1"/>
  <c r="B7598" i="1"/>
  <c r="G7597" i="1"/>
  <c r="F7597" i="1"/>
  <c r="E7597" i="1"/>
  <c r="D7597" i="1"/>
  <c r="C7597" i="1"/>
  <c r="B7597" i="1"/>
  <c r="G7596" i="1"/>
  <c r="F7596" i="1"/>
  <c r="E7596" i="1"/>
  <c r="D7596" i="1"/>
  <c r="C7596" i="1"/>
  <c r="B7596" i="1"/>
  <c r="G7595" i="1"/>
  <c r="F7595" i="1"/>
  <c r="E7595" i="1"/>
  <c r="D7595" i="1"/>
  <c r="C7595" i="1"/>
  <c r="B7595" i="1"/>
  <c r="G7594" i="1"/>
  <c r="F7594" i="1"/>
  <c r="E7594" i="1"/>
  <c r="D7594" i="1"/>
  <c r="C7594" i="1"/>
  <c r="B7594" i="1"/>
  <c r="G7593" i="1"/>
  <c r="F7593" i="1"/>
  <c r="E7593" i="1"/>
  <c r="D7593" i="1"/>
  <c r="C7593" i="1"/>
  <c r="B7593" i="1"/>
  <c r="G7592" i="1"/>
  <c r="F7592" i="1"/>
  <c r="E7592" i="1"/>
  <c r="D7592" i="1"/>
  <c r="C7592" i="1"/>
  <c r="B7592" i="1"/>
  <c r="G7591" i="1"/>
  <c r="F7591" i="1"/>
  <c r="E7591" i="1"/>
  <c r="D7591" i="1"/>
  <c r="C7591" i="1"/>
  <c r="B7591" i="1"/>
  <c r="G7590" i="1"/>
  <c r="F7590" i="1"/>
  <c r="E7590" i="1"/>
  <c r="D7590" i="1"/>
  <c r="C7590" i="1"/>
  <c r="B7590" i="1"/>
  <c r="G7589" i="1"/>
  <c r="F7589" i="1"/>
  <c r="E7589" i="1"/>
  <c r="D7589" i="1"/>
  <c r="C7589" i="1"/>
  <c r="B7589" i="1"/>
  <c r="G7588" i="1"/>
  <c r="F7588" i="1"/>
  <c r="E7588" i="1"/>
  <c r="D7588" i="1"/>
  <c r="C7588" i="1"/>
  <c r="B7588" i="1"/>
  <c r="G7587" i="1"/>
  <c r="F7587" i="1"/>
  <c r="E7587" i="1"/>
  <c r="D7587" i="1"/>
  <c r="C7587" i="1"/>
  <c r="B7587" i="1"/>
  <c r="G7586" i="1"/>
  <c r="F7586" i="1"/>
  <c r="E7586" i="1"/>
  <c r="D7586" i="1"/>
  <c r="C7586" i="1"/>
  <c r="B7586" i="1"/>
  <c r="G7585" i="1"/>
  <c r="F7585" i="1"/>
  <c r="E7585" i="1"/>
  <c r="D7585" i="1"/>
  <c r="C7585" i="1"/>
  <c r="B7585" i="1"/>
  <c r="G7584" i="1"/>
  <c r="F7584" i="1"/>
  <c r="E7584" i="1"/>
  <c r="D7584" i="1"/>
  <c r="C7584" i="1"/>
  <c r="B7584" i="1"/>
  <c r="G7583" i="1"/>
  <c r="F7583" i="1"/>
  <c r="E7583" i="1"/>
  <c r="D7583" i="1"/>
  <c r="C7583" i="1"/>
  <c r="B7583" i="1"/>
  <c r="G7582" i="1"/>
  <c r="F7582" i="1"/>
  <c r="E7582" i="1"/>
  <c r="D7582" i="1"/>
  <c r="C7582" i="1"/>
  <c r="B7582" i="1"/>
  <c r="G7581" i="1"/>
  <c r="F7581" i="1"/>
  <c r="E7581" i="1"/>
  <c r="D7581" i="1"/>
  <c r="C7581" i="1"/>
  <c r="B7581" i="1"/>
  <c r="G7580" i="1"/>
  <c r="F7580" i="1"/>
  <c r="E7580" i="1"/>
  <c r="D7580" i="1"/>
  <c r="C7580" i="1"/>
  <c r="B7580" i="1"/>
  <c r="G7579" i="1"/>
  <c r="F7579" i="1"/>
  <c r="E7579" i="1"/>
  <c r="D7579" i="1"/>
  <c r="C7579" i="1"/>
  <c r="B7579" i="1"/>
  <c r="G7578" i="1"/>
  <c r="F7578" i="1"/>
  <c r="E7578" i="1"/>
  <c r="D7578" i="1"/>
  <c r="C7578" i="1"/>
  <c r="B7578" i="1"/>
  <c r="G7577" i="1"/>
  <c r="F7577" i="1"/>
  <c r="E7577" i="1"/>
  <c r="D7577" i="1"/>
  <c r="C7577" i="1"/>
  <c r="B7577" i="1"/>
  <c r="G7576" i="1"/>
  <c r="F7576" i="1"/>
  <c r="E7576" i="1"/>
  <c r="D7576" i="1"/>
  <c r="C7576" i="1"/>
  <c r="B7576" i="1"/>
  <c r="G7575" i="1"/>
  <c r="F7575" i="1"/>
  <c r="E7575" i="1"/>
  <c r="D7575" i="1"/>
  <c r="C7575" i="1"/>
  <c r="B7575" i="1"/>
  <c r="G7574" i="1"/>
  <c r="F7574" i="1"/>
  <c r="E7574" i="1"/>
  <c r="D7574" i="1"/>
  <c r="C7574" i="1"/>
  <c r="B7574" i="1"/>
  <c r="G7573" i="1"/>
  <c r="F7573" i="1"/>
  <c r="E7573" i="1"/>
  <c r="D7573" i="1"/>
  <c r="C7573" i="1"/>
  <c r="B7573" i="1"/>
  <c r="G7572" i="1"/>
  <c r="F7572" i="1"/>
  <c r="E7572" i="1"/>
  <c r="D7572" i="1"/>
  <c r="C7572" i="1"/>
  <c r="B7572" i="1"/>
  <c r="G7571" i="1"/>
  <c r="F7571" i="1"/>
  <c r="E7571" i="1"/>
  <c r="D7571" i="1"/>
  <c r="C7571" i="1"/>
  <c r="B7571" i="1"/>
  <c r="G7570" i="1"/>
  <c r="F7570" i="1"/>
  <c r="E7570" i="1"/>
  <c r="D7570" i="1"/>
  <c r="C7570" i="1"/>
  <c r="B7570" i="1"/>
  <c r="G7569" i="1"/>
  <c r="F7569" i="1"/>
  <c r="E7569" i="1"/>
  <c r="D7569" i="1"/>
  <c r="C7569" i="1"/>
  <c r="B7569" i="1"/>
  <c r="G7568" i="1"/>
  <c r="F7568" i="1"/>
  <c r="E7568" i="1"/>
  <c r="D7568" i="1"/>
  <c r="C7568" i="1"/>
  <c r="B7568" i="1"/>
  <c r="G7567" i="1"/>
  <c r="F7567" i="1"/>
  <c r="E7567" i="1"/>
  <c r="D7567" i="1"/>
  <c r="C7567" i="1"/>
  <c r="B7567" i="1"/>
  <c r="G7566" i="1"/>
  <c r="F7566" i="1"/>
  <c r="E7566" i="1"/>
  <c r="D7566" i="1"/>
  <c r="C7566" i="1"/>
  <c r="B7566" i="1"/>
  <c r="G7565" i="1"/>
  <c r="F7565" i="1"/>
  <c r="E7565" i="1"/>
  <c r="D7565" i="1"/>
  <c r="C7565" i="1"/>
  <c r="B7565" i="1"/>
  <c r="G7564" i="1"/>
  <c r="F7564" i="1"/>
  <c r="E7564" i="1"/>
  <c r="D7564" i="1"/>
  <c r="C7564" i="1"/>
  <c r="B7564" i="1"/>
  <c r="G7563" i="1"/>
  <c r="F7563" i="1"/>
  <c r="E7563" i="1"/>
  <c r="D7563" i="1"/>
  <c r="C7563" i="1"/>
  <c r="B7563" i="1"/>
  <c r="G7562" i="1"/>
  <c r="F7562" i="1"/>
  <c r="E7562" i="1"/>
  <c r="D7562" i="1"/>
  <c r="C7562" i="1"/>
  <c r="B7562" i="1"/>
  <c r="G7561" i="1"/>
  <c r="F7561" i="1"/>
  <c r="E7561" i="1"/>
  <c r="D7561" i="1"/>
  <c r="C7561" i="1"/>
  <c r="B7561" i="1"/>
  <c r="G7560" i="1"/>
  <c r="F7560" i="1"/>
  <c r="E7560" i="1"/>
  <c r="D7560" i="1"/>
  <c r="C7560" i="1"/>
  <c r="B7560" i="1"/>
  <c r="G7559" i="1"/>
  <c r="F7559" i="1"/>
  <c r="E7559" i="1"/>
  <c r="D7559" i="1"/>
  <c r="C7559" i="1"/>
  <c r="B7559" i="1"/>
  <c r="G7558" i="1"/>
  <c r="F7558" i="1"/>
  <c r="E7558" i="1"/>
  <c r="D7558" i="1"/>
  <c r="C7558" i="1"/>
  <c r="B7558" i="1"/>
  <c r="G7557" i="1"/>
  <c r="F7557" i="1"/>
  <c r="E7557" i="1"/>
  <c r="D7557" i="1"/>
  <c r="C7557" i="1"/>
  <c r="B7557" i="1"/>
  <c r="G7556" i="1"/>
  <c r="F7556" i="1"/>
  <c r="E7556" i="1"/>
  <c r="D7556" i="1"/>
  <c r="C7556" i="1"/>
  <c r="B7556" i="1"/>
  <c r="G7555" i="1"/>
  <c r="F7555" i="1"/>
  <c r="E7555" i="1"/>
  <c r="D7555" i="1"/>
  <c r="C7555" i="1"/>
  <c r="B7555" i="1"/>
  <c r="G7554" i="1"/>
  <c r="F7554" i="1"/>
  <c r="E7554" i="1"/>
  <c r="D7554" i="1"/>
  <c r="C7554" i="1"/>
  <c r="B7554" i="1"/>
  <c r="G7553" i="1"/>
  <c r="F7553" i="1"/>
  <c r="E7553" i="1"/>
  <c r="D7553" i="1"/>
  <c r="C7553" i="1"/>
  <c r="B7553" i="1"/>
  <c r="G7552" i="1"/>
  <c r="F7552" i="1"/>
  <c r="E7552" i="1"/>
  <c r="D7552" i="1"/>
  <c r="C7552" i="1"/>
  <c r="B7552" i="1"/>
  <c r="G7551" i="1"/>
  <c r="F7551" i="1"/>
  <c r="E7551" i="1"/>
  <c r="D7551" i="1"/>
  <c r="C7551" i="1"/>
  <c r="B7551" i="1"/>
  <c r="G7550" i="1"/>
  <c r="F7550" i="1"/>
  <c r="E7550" i="1"/>
  <c r="D7550" i="1"/>
  <c r="C7550" i="1"/>
  <c r="B7550" i="1"/>
  <c r="G7549" i="1"/>
  <c r="F7549" i="1"/>
  <c r="E7549" i="1"/>
  <c r="D7549" i="1"/>
  <c r="C7549" i="1"/>
  <c r="B7549" i="1"/>
  <c r="G7548" i="1"/>
  <c r="F7548" i="1"/>
  <c r="E7548" i="1"/>
  <c r="D7548" i="1"/>
  <c r="C7548" i="1"/>
  <c r="B7548" i="1"/>
  <c r="G7547" i="1"/>
  <c r="F7547" i="1"/>
  <c r="E7547" i="1"/>
  <c r="D7547" i="1"/>
  <c r="C7547" i="1"/>
  <c r="B7547" i="1"/>
  <c r="G7546" i="1"/>
  <c r="F7546" i="1"/>
  <c r="E7546" i="1"/>
  <c r="D7546" i="1"/>
  <c r="C7546" i="1"/>
  <c r="B7546" i="1"/>
  <c r="G7545" i="1"/>
  <c r="F7545" i="1"/>
  <c r="E7545" i="1"/>
  <c r="D7545" i="1"/>
  <c r="C7545" i="1"/>
  <c r="B7545" i="1"/>
  <c r="G7544" i="1"/>
  <c r="F7544" i="1"/>
  <c r="E7544" i="1"/>
  <c r="D7544" i="1"/>
  <c r="C7544" i="1"/>
  <c r="B7544" i="1"/>
  <c r="G7543" i="1"/>
  <c r="F7543" i="1"/>
  <c r="E7543" i="1"/>
  <c r="D7543" i="1"/>
  <c r="C7543" i="1"/>
  <c r="B7543" i="1"/>
  <c r="G7542" i="1"/>
  <c r="F7542" i="1"/>
  <c r="E7542" i="1"/>
  <c r="D7542" i="1"/>
  <c r="C7542" i="1"/>
  <c r="B7542" i="1"/>
  <c r="G7541" i="1"/>
  <c r="F7541" i="1"/>
  <c r="E7541" i="1"/>
  <c r="D7541" i="1"/>
  <c r="C7541" i="1"/>
  <c r="B7541" i="1"/>
  <c r="G7540" i="1"/>
  <c r="F7540" i="1"/>
  <c r="E7540" i="1"/>
  <c r="D7540" i="1"/>
  <c r="C7540" i="1"/>
  <c r="B7540" i="1"/>
  <c r="G7539" i="1"/>
  <c r="F7539" i="1"/>
  <c r="E7539" i="1"/>
  <c r="D7539" i="1"/>
  <c r="C7539" i="1"/>
  <c r="B7539" i="1"/>
  <c r="G7538" i="1"/>
  <c r="F7538" i="1"/>
  <c r="E7538" i="1"/>
  <c r="D7538" i="1"/>
  <c r="C7538" i="1"/>
  <c r="B7538" i="1"/>
  <c r="G7537" i="1"/>
  <c r="F7537" i="1"/>
  <c r="E7537" i="1"/>
  <c r="D7537" i="1"/>
  <c r="C7537" i="1"/>
  <c r="B7537" i="1"/>
  <c r="G7536" i="1"/>
  <c r="F7536" i="1"/>
  <c r="E7536" i="1"/>
  <c r="D7536" i="1"/>
  <c r="C7536" i="1"/>
  <c r="B7536" i="1"/>
  <c r="G7535" i="1"/>
  <c r="F7535" i="1"/>
  <c r="E7535" i="1"/>
  <c r="D7535" i="1"/>
  <c r="C7535" i="1"/>
  <c r="B7535" i="1"/>
  <c r="G7534" i="1"/>
  <c r="F7534" i="1"/>
  <c r="E7534" i="1"/>
  <c r="D7534" i="1"/>
  <c r="C7534" i="1"/>
  <c r="B7534" i="1"/>
  <c r="G7533" i="1"/>
  <c r="F7533" i="1"/>
  <c r="E7533" i="1"/>
  <c r="D7533" i="1"/>
  <c r="C7533" i="1"/>
  <c r="B7533" i="1"/>
  <c r="G7532" i="1"/>
  <c r="F7532" i="1"/>
  <c r="E7532" i="1"/>
  <c r="D7532" i="1"/>
  <c r="C7532" i="1"/>
  <c r="B7532" i="1"/>
  <c r="G7531" i="1"/>
  <c r="F7531" i="1"/>
  <c r="E7531" i="1"/>
  <c r="D7531" i="1"/>
  <c r="C7531" i="1"/>
  <c r="B7531" i="1"/>
  <c r="G7530" i="1"/>
  <c r="F7530" i="1"/>
  <c r="E7530" i="1"/>
  <c r="D7530" i="1"/>
  <c r="C7530" i="1"/>
  <c r="B7530" i="1"/>
  <c r="G7529" i="1"/>
  <c r="F7529" i="1"/>
  <c r="E7529" i="1"/>
  <c r="D7529" i="1"/>
  <c r="C7529" i="1"/>
  <c r="B7529" i="1"/>
  <c r="G7528" i="1"/>
  <c r="F7528" i="1"/>
  <c r="E7528" i="1"/>
  <c r="D7528" i="1"/>
  <c r="C7528" i="1"/>
  <c r="B7528" i="1"/>
  <c r="G7527" i="1"/>
  <c r="F7527" i="1"/>
  <c r="E7527" i="1"/>
  <c r="D7527" i="1"/>
  <c r="C7527" i="1"/>
  <c r="B7527" i="1"/>
  <c r="G7526" i="1"/>
  <c r="F7526" i="1"/>
  <c r="E7526" i="1"/>
  <c r="D7526" i="1"/>
  <c r="C7526" i="1"/>
  <c r="B7526" i="1"/>
  <c r="G7525" i="1"/>
  <c r="F7525" i="1"/>
  <c r="E7525" i="1"/>
  <c r="D7525" i="1"/>
  <c r="C7525" i="1"/>
  <c r="B7525" i="1"/>
  <c r="G7524" i="1"/>
  <c r="F7524" i="1"/>
  <c r="E7524" i="1"/>
  <c r="D7524" i="1"/>
  <c r="C7524" i="1"/>
  <c r="B7524" i="1"/>
  <c r="G7523" i="1"/>
  <c r="F7523" i="1"/>
  <c r="E7523" i="1"/>
  <c r="D7523" i="1"/>
  <c r="C7523" i="1"/>
  <c r="B7523" i="1"/>
  <c r="G7522" i="1"/>
  <c r="F7522" i="1"/>
  <c r="E7522" i="1"/>
  <c r="D7522" i="1"/>
  <c r="C7522" i="1"/>
  <c r="B7522" i="1"/>
  <c r="G7521" i="1"/>
  <c r="F7521" i="1"/>
  <c r="E7521" i="1"/>
  <c r="D7521" i="1"/>
  <c r="C7521" i="1"/>
  <c r="B7521" i="1"/>
  <c r="G7520" i="1"/>
  <c r="F7520" i="1"/>
  <c r="E7520" i="1"/>
  <c r="D7520" i="1"/>
  <c r="C7520" i="1"/>
  <c r="B7520" i="1"/>
  <c r="G7519" i="1"/>
  <c r="F7519" i="1"/>
  <c r="E7519" i="1"/>
  <c r="D7519" i="1"/>
  <c r="C7519" i="1"/>
  <c r="B7519" i="1"/>
  <c r="G7518" i="1"/>
  <c r="F7518" i="1"/>
  <c r="E7518" i="1"/>
  <c r="D7518" i="1"/>
  <c r="C7518" i="1"/>
  <c r="B7518" i="1"/>
  <c r="G7517" i="1"/>
  <c r="F7517" i="1"/>
  <c r="E7517" i="1"/>
  <c r="D7517" i="1"/>
  <c r="C7517" i="1"/>
  <c r="B7517" i="1"/>
  <c r="G7516" i="1"/>
  <c r="F7516" i="1"/>
  <c r="E7516" i="1"/>
  <c r="D7516" i="1"/>
  <c r="C7516" i="1"/>
  <c r="B7516" i="1"/>
  <c r="G7515" i="1"/>
  <c r="F7515" i="1"/>
  <c r="E7515" i="1"/>
  <c r="D7515" i="1"/>
  <c r="C7515" i="1"/>
  <c r="B7515" i="1"/>
  <c r="G7514" i="1"/>
  <c r="F7514" i="1"/>
  <c r="E7514" i="1"/>
  <c r="D7514" i="1"/>
  <c r="C7514" i="1"/>
  <c r="B7514" i="1"/>
  <c r="G7513" i="1"/>
  <c r="F7513" i="1"/>
  <c r="E7513" i="1"/>
  <c r="D7513" i="1"/>
  <c r="C7513" i="1"/>
  <c r="B7513" i="1"/>
  <c r="G7512" i="1"/>
  <c r="F7512" i="1"/>
  <c r="E7512" i="1"/>
  <c r="D7512" i="1"/>
  <c r="C7512" i="1"/>
  <c r="B7512" i="1"/>
  <c r="G7511" i="1"/>
  <c r="F7511" i="1"/>
  <c r="E7511" i="1"/>
  <c r="D7511" i="1"/>
  <c r="C7511" i="1"/>
  <c r="B7511" i="1"/>
  <c r="G7510" i="1"/>
  <c r="F7510" i="1"/>
  <c r="E7510" i="1"/>
  <c r="D7510" i="1"/>
  <c r="C7510" i="1"/>
  <c r="B7510" i="1"/>
  <c r="G7509" i="1"/>
  <c r="F7509" i="1"/>
  <c r="E7509" i="1"/>
  <c r="D7509" i="1"/>
  <c r="C7509" i="1"/>
  <c r="B7509" i="1"/>
  <c r="G7508" i="1"/>
  <c r="F7508" i="1"/>
  <c r="E7508" i="1"/>
  <c r="D7508" i="1"/>
  <c r="C7508" i="1"/>
  <c r="B7508" i="1"/>
  <c r="G7507" i="1"/>
  <c r="F7507" i="1"/>
  <c r="E7507" i="1"/>
  <c r="D7507" i="1"/>
  <c r="C7507" i="1"/>
  <c r="B7507" i="1"/>
  <c r="G7506" i="1"/>
  <c r="F7506" i="1"/>
  <c r="E7506" i="1"/>
  <c r="D7506" i="1"/>
  <c r="C7506" i="1"/>
  <c r="B7506" i="1"/>
  <c r="G7505" i="1"/>
  <c r="F7505" i="1"/>
  <c r="E7505" i="1"/>
  <c r="D7505" i="1"/>
  <c r="C7505" i="1"/>
  <c r="B7505" i="1"/>
  <c r="G7504" i="1"/>
  <c r="F7504" i="1"/>
  <c r="E7504" i="1"/>
  <c r="D7504" i="1"/>
  <c r="C7504" i="1"/>
  <c r="B7504" i="1"/>
  <c r="G7503" i="1"/>
  <c r="F7503" i="1"/>
  <c r="E7503" i="1"/>
  <c r="D7503" i="1"/>
  <c r="C7503" i="1"/>
  <c r="B7503" i="1"/>
  <c r="G7502" i="1"/>
  <c r="F7502" i="1"/>
  <c r="E7502" i="1"/>
  <c r="D7502" i="1"/>
  <c r="C7502" i="1"/>
  <c r="B7502" i="1"/>
  <c r="G7501" i="1"/>
  <c r="F7501" i="1"/>
  <c r="E7501" i="1"/>
  <c r="D7501" i="1"/>
  <c r="C7501" i="1"/>
  <c r="B7501" i="1"/>
  <c r="G7500" i="1"/>
  <c r="F7500" i="1"/>
  <c r="E7500" i="1"/>
  <c r="D7500" i="1"/>
  <c r="C7500" i="1"/>
  <c r="B7500" i="1"/>
  <c r="G7499" i="1"/>
  <c r="F7499" i="1"/>
  <c r="E7499" i="1"/>
  <c r="D7499" i="1"/>
  <c r="C7499" i="1"/>
  <c r="B7499" i="1"/>
  <c r="G7498" i="1"/>
  <c r="F7498" i="1"/>
  <c r="E7498" i="1"/>
  <c r="D7498" i="1"/>
  <c r="C7498" i="1"/>
  <c r="B7498" i="1"/>
  <c r="G7497" i="1"/>
  <c r="F7497" i="1"/>
  <c r="E7497" i="1"/>
  <c r="D7497" i="1"/>
  <c r="C7497" i="1"/>
  <c r="B7497" i="1"/>
  <c r="G7496" i="1"/>
  <c r="F7496" i="1"/>
  <c r="E7496" i="1"/>
  <c r="D7496" i="1"/>
  <c r="C7496" i="1"/>
  <c r="B7496" i="1"/>
  <c r="G7495" i="1"/>
  <c r="F7495" i="1"/>
  <c r="E7495" i="1"/>
  <c r="D7495" i="1"/>
  <c r="C7495" i="1"/>
  <c r="B7495" i="1"/>
  <c r="G7494" i="1"/>
  <c r="F7494" i="1"/>
  <c r="E7494" i="1"/>
  <c r="D7494" i="1"/>
  <c r="C7494" i="1"/>
  <c r="B7494" i="1"/>
  <c r="G7493" i="1"/>
  <c r="F7493" i="1"/>
  <c r="E7493" i="1"/>
  <c r="D7493" i="1"/>
  <c r="C7493" i="1"/>
  <c r="B7493" i="1"/>
  <c r="G7492" i="1"/>
  <c r="F7492" i="1"/>
  <c r="E7492" i="1"/>
  <c r="D7492" i="1"/>
  <c r="C7492" i="1"/>
  <c r="B7492" i="1"/>
  <c r="G7491" i="1"/>
  <c r="F7491" i="1"/>
  <c r="E7491" i="1"/>
  <c r="D7491" i="1"/>
  <c r="C7491" i="1"/>
  <c r="B7491" i="1"/>
  <c r="G7490" i="1"/>
  <c r="F7490" i="1"/>
  <c r="E7490" i="1"/>
  <c r="D7490" i="1"/>
  <c r="C7490" i="1"/>
  <c r="B7490" i="1"/>
  <c r="G7489" i="1"/>
  <c r="F7489" i="1"/>
  <c r="E7489" i="1"/>
  <c r="D7489" i="1"/>
  <c r="C7489" i="1"/>
  <c r="B7489" i="1"/>
  <c r="G7488" i="1"/>
  <c r="F7488" i="1"/>
  <c r="E7488" i="1"/>
  <c r="D7488" i="1"/>
  <c r="C7488" i="1"/>
  <c r="B7488" i="1"/>
  <c r="G7487" i="1"/>
  <c r="F7487" i="1"/>
  <c r="E7487" i="1"/>
  <c r="D7487" i="1"/>
  <c r="C7487" i="1"/>
  <c r="B7487" i="1"/>
  <c r="G7486" i="1"/>
  <c r="F7486" i="1"/>
  <c r="E7486" i="1"/>
  <c r="D7486" i="1"/>
  <c r="C7486" i="1"/>
  <c r="B7486" i="1"/>
  <c r="G7485" i="1"/>
  <c r="F7485" i="1"/>
  <c r="E7485" i="1"/>
  <c r="D7485" i="1"/>
  <c r="C7485" i="1"/>
  <c r="B7485" i="1"/>
  <c r="G7484" i="1"/>
  <c r="F7484" i="1"/>
  <c r="E7484" i="1"/>
  <c r="D7484" i="1"/>
  <c r="C7484" i="1"/>
  <c r="B7484" i="1"/>
  <c r="G7483" i="1"/>
  <c r="F7483" i="1"/>
  <c r="E7483" i="1"/>
  <c r="D7483" i="1"/>
  <c r="C7483" i="1"/>
  <c r="B7483" i="1"/>
  <c r="G7482" i="1"/>
  <c r="F7482" i="1"/>
  <c r="E7482" i="1"/>
  <c r="D7482" i="1"/>
  <c r="C7482" i="1"/>
  <c r="B7482" i="1"/>
  <c r="G7481" i="1"/>
  <c r="F7481" i="1"/>
  <c r="E7481" i="1"/>
  <c r="D7481" i="1"/>
  <c r="C7481" i="1"/>
  <c r="B7481" i="1"/>
  <c r="G7480" i="1"/>
  <c r="F7480" i="1"/>
  <c r="E7480" i="1"/>
  <c r="D7480" i="1"/>
  <c r="C7480" i="1"/>
  <c r="B7480" i="1"/>
  <c r="G7479" i="1"/>
  <c r="F7479" i="1"/>
  <c r="E7479" i="1"/>
  <c r="D7479" i="1"/>
  <c r="C7479" i="1"/>
  <c r="B7479" i="1"/>
  <c r="G7478" i="1"/>
  <c r="F7478" i="1"/>
  <c r="E7478" i="1"/>
  <c r="D7478" i="1"/>
  <c r="C7478" i="1"/>
  <c r="B7478" i="1"/>
  <c r="G7477" i="1"/>
  <c r="F7477" i="1"/>
  <c r="E7477" i="1"/>
  <c r="D7477" i="1"/>
  <c r="C7477" i="1"/>
  <c r="B7477" i="1"/>
  <c r="G7476" i="1"/>
  <c r="F7476" i="1"/>
  <c r="E7476" i="1"/>
  <c r="D7476" i="1"/>
  <c r="C7476" i="1"/>
  <c r="B7476" i="1"/>
  <c r="G7475" i="1"/>
  <c r="F7475" i="1"/>
  <c r="E7475" i="1"/>
  <c r="D7475" i="1"/>
  <c r="C7475" i="1"/>
  <c r="B7475" i="1"/>
  <c r="G7474" i="1"/>
  <c r="F7474" i="1"/>
  <c r="E7474" i="1"/>
  <c r="D7474" i="1"/>
  <c r="C7474" i="1"/>
  <c r="B7474" i="1"/>
  <c r="G7473" i="1"/>
  <c r="F7473" i="1"/>
  <c r="E7473" i="1"/>
  <c r="D7473" i="1"/>
  <c r="C7473" i="1"/>
  <c r="B7473" i="1"/>
  <c r="G7472" i="1"/>
  <c r="F7472" i="1"/>
  <c r="E7472" i="1"/>
  <c r="D7472" i="1"/>
  <c r="C7472" i="1"/>
  <c r="B7472" i="1"/>
  <c r="G7471" i="1"/>
  <c r="F7471" i="1"/>
  <c r="E7471" i="1"/>
  <c r="D7471" i="1"/>
  <c r="C7471" i="1"/>
  <c r="B7471" i="1"/>
  <c r="G7470" i="1"/>
  <c r="F7470" i="1"/>
  <c r="E7470" i="1"/>
  <c r="D7470" i="1"/>
  <c r="C7470" i="1"/>
  <c r="B7470" i="1"/>
  <c r="G7469" i="1"/>
  <c r="F7469" i="1"/>
  <c r="E7469" i="1"/>
  <c r="D7469" i="1"/>
  <c r="C7469" i="1"/>
  <c r="B7469" i="1"/>
  <c r="G7468" i="1"/>
  <c r="F7468" i="1"/>
  <c r="E7468" i="1"/>
  <c r="D7468" i="1"/>
  <c r="C7468" i="1"/>
  <c r="B7468" i="1"/>
  <c r="G7467" i="1"/>
  <c r="F7467" i="1"/>
  <c r="E7467" i="1"/>
  <c r="D7467" i="1"/>
  <c r="C7467" i="1"/>
  <c r="B7467" i="1"/>
  <c r="G7466" i="1"/>
  <c r="F7466" i="1"/>
  <c r="E7466" i="1"/>
  <c r="D7466" i="1"/>
  <c r="C7466" i="1"/>
  <c r="B7466" i="1"/>
  <c r="G7465" i="1"/>
  <c r="F7465" i="1"/>
  <c r="E7465" i="1"/>
  <c r="D7465" i="1"/>
  <c r="C7465" i="1"/>
  <c r="B7465" i="1"/>
  <c r="G7464" i="1"/>
  <c r="F7464" i="1"/>
  <c r="E7464" i="1"/>
  <c r="D7464" i="1"/>
  <c r="C7464" i="1"/>
  <c r="B7464" i="1"/>
  <c r="G7463" i="1"/>
  <c r="F7463" i="1"/>
  <c r="E7463" i="1"/>
  <c r="D7463" i="1"/>
  <c r="C7463" i="1"/>
  <c r="B7463" i="1"/>
  <c r="G7462" i="1"/>
  <c r="F7462" i="1"/>
  <c r="E7462" i="1"/>
  <c r="D7462" i="1"/>
  <c r="C7462" i="1"/>
  <c r="B7462" i="1"/>
  <c r="G7461" i="1"/>
  <c r="F7461" i="1"/>
  <c r="E7461" i="1"/>
  <c r="D7461" i="1"/>
  <c r="C7461" i="1"/>
  <c r="B7461" i="1"/>
  <c r="G7460" i="1"/>
  <c r="F7460" i="1"/>
  <c r="E7460" i="1"/>
  <c r="D7460" i="1"/>
  <c r="C7460" i="1"/>
  <c r="B7460" i="1"/>
  <c r="G7459" i="1"/>
  <c r="F7459" i="1"/>
  <c r="E7459" i="1"/>
  <c r="D7459" i="1"/>
  <c r="C7459" i="1"/>
  <c r="B7459" i="1"/>
  <c r="G7458" i="1"/>
  <c r="F7458" i="1"/>
  <c r="E7458" i="1"/>
  <c r="D7458" i="1"/>
  <c r="C7458" i="1"/>
  <c r="B7458" i="1"/>
  <c r="G7457" i="1"/>
  <c r="F7457" i="1"/>
  <c r="E7457" i="1"/>
  <c r="D7457" i="1"/>
  <c r="C7457" i="1"/>
  <c r="B7457" i="1"/>
  <c r="G7456" i="1"/>
  <c r="F7456" i="1"/>
  <c r="E7456" i="1"/>
  <c r="D7456" i="1"/>
  <c r="C7456" i="1"/>
  <c r="B7456" i="1"/>
  <c r="G7455" i="1"/>
  <c r="F7455" i="1"/>
  <c r="E7455" i="1"/>
  <c r="D7455" i="1"/>
  <c r="C7455" i="1"/>
  <c r="B7455" i="1"/>
  <c r="G7454" i="1"/>
  <c r="F7454" i="1"/>
  <c r="E7454" i="1"/>
  <c r="D7454" i="1"/>
  <c r="C7454" i="1"/>
  <c r="B7454" i="1"/>
  <c r="G7453" i="1"/>
  <c r="F7453" i="1"/>
  <c r="E7453" i="1"/>
  <c r="D7453" i="1"/>
  <c r="C7453" i="1"/>
  <c r="B7453" i="1"/>
  <c r="G7452" i="1"/>
  <c r="F7452" i="1"/>
  <c r="E7452" i="1"/>
  <c r="D7452" i="1"/>
  <c r="C7452" i="1"/>
  <c r="B7452" i="1"/>
  <c r="G7451" i="1"/>
  <c r="F7451" i="1"/>
  <c r="E7451" i="1"/>
  <c r="D7451" i="1"/>
  <c r="C7451" i="1"/>
  <c r="B7451" i="1"/>
  <c r="G7450" i="1"/>
  <c r="F7450" i="1"/>
  <c r="E7450" i="1"/>
  <c r="D7450" i="1"/>
  <c r="C7450" i="1"/>
  <c r="B7450" i="1"/>
  <c r="G7449" i="1"/>
  <c r="F7449" i="1"/>
  <c r="E7449" i="1"/>
  <c r="D7449" i="1"/>
  <c r="C7449" i="1"/>
  <c r="B7449" i="1"/>
  <c r="G7448" i="1"/>
  <c r="F7448" i="1"/>
  <c r="E7448" i="1"/>
  <c r="D7448" i="1"/>
  <c r="C7448" i="1"/>
  <c r="B7448" i="1"/>
  <c r="G7447" i="1"/>
  <c r="F7447" i="1"/>
  <c r="E7447" i="1"/>
  <c r="D7447" i="1"/>
  <c r="C7447" i="1"/>
  <c r="B7447" i="1"/>
  <c r="G7446" i="1"/>
  <c r="F7446" i="1"/>
  <c r="E7446" i="1"/>
  <c r="D7446" i="1"/>
  <c r="C7446" i="1"/>
  <c r="B7446" i="1"/>
  <c r="G7445" i="1"/>
  <c r="F7445" i="1"/>
  <c r="E7445" i="1"/>
  <c r="D7445" i="1"/>
  <c r="C7445" i="1"/>
  <c r="B7445" i="1"/>
  <c r="G7444" i="1"/>
  <c r="F7444" i="1"/>
  <c r="E7444" i="1"/>
  <c r="D7444" i="1"/>
  <c r="C7444" i="1"/>
  <c r="B7444" i="1"/>
  <c r="G7443" i="1"/>
  <c r="F7443" i="1"/>
  <c r="E7443" i="1"/>
  <c r="D7443" i="1"/>
  <c r="C7443" i="1"/>
  <c r="B7443" i="1"/>
  <c r="G7442" i="1"/>
  <c r="F7442" i="1"/>
  <c r="E7442" i="1"/>
  <c r="D7442" i="1"/>
  <c r="C7442" i="1"/>
  <c r="B7442" i="1"/>
  <c r="G7441" i="1"/>
  <c r="F7441" i="1"/>
  <c r="E7441" i="1"/>
  <c r="D7441" i="1"/>
  <c r="C7441" i="1"/>
  <c r="B7441" i="1"/>
  <c r="G7440" i="1"/>
  <c r="F7440" i="1"/>
  <c r="E7440" i="1"/>
  <c r="D7440" i="1"/>
  <c r="C7440" i="1"/>
  <c r="B7440" i="1"/>
  <c r="G7439" i="1"/>
  <c r="F7439" i="1"/>
  <c r="E7439" i="1"/>
  <c r="D7439" i="1"/>
  <c r="C7439" i="1"/>
  <c r="B7439" i="1"/>
  <c r="G7438" i="1"/>
  <c r="F7438" i="1"/>
  <c r="E7438" i="1"/>
  <c r="D7438" i="1"/>
  <c r="C7438" i="1"/>
  <c r="B7438" i="1"/>
  <c r="G7437" i="1"/>
  <c r="F7437" i="1"/>
  <c r="E7437" i="1"/>
  <c r="D7437" i="1"/>
  <c r="C7437" i="1"/>
  <c r="B7437" i="1"/>
  <c r="G7436" i="1"/>
  <c r="F7436" i="1"/>
  <c r="E7436" i="1"/>
  <c r="D7436" i="1"/>
  <c r="C7436" i="1"/>
  <c r="B7436" i="1"/>
  <c r="G7435" i="1"/>
  <c r="F7435" i="1"/>
  <c r="E7435" i="1"/>
  <c r="D7435" i="1"/>
  <c r="C7435" i="1"/>
  <c r="B7435" i="1"/>
  <c r="G7434" i="1"/>
  <c r="F7434" i="1"/>
  <c r="E7434" i="1"/>
  <c r="D7434" i="1"/>
  <c r="C7434" i="1"/>
  <c r="B7434" i="1"/>
  <c r="G7433" i="1"/>
  <c r="F7433" i="1"/>
  <c r="E7433" i="1"/>
  <c r="D7433" i="1"/>
  <c r="C7433" i="1"/>
  <c r="B7433" i="1"/>
  <c r="G7432" i="1"/>
  <c r="F7432" i="1"/>
  <c r="E7432" i="1"/>
  <c r="D7432" i="1"/>
  <c r="C7432" i="1"/>
  <c r="B7432" i="1"/>
  <c r="G7431" i="1"/>
  <c r="F7431" i="1"/>
  <c r="E7431" i="1"/>
  <c r="D7431" i="1"/>
  <c r="C7431" i="1"/>
  <c r="B7431" i="1"/>
  <c r="G7430" i="1"/>
  <c r="F7430" i="1"/>
  <c r="E7430" i="1"/>
  <c r="D7430" i="1"/>
  <c r="C7430" i="1"/>
  <c r="B7430" i="1"/>
  <c r="G7429" i="1"/>
  <c r="F7429" i="1"/>
  <c r="E7429" i="1"/>
  <c r="D7429" i="1"/>
  <c r="C7429" i="1"/>
  <c r="B7429" i="1"/>
  <c r="G7428" i="1"/>
  <c r="F7428" i="1"/>
  <c r="E7428" i="1"/>
  <c r="D7428" i="1"/>
  <c r="C7428" i="1"/>
  <c r="B7428" i="1"/>
  <c r="G7427" i="1"/>
  <c r="F7427" i="1"/>
  <c r="E7427" i="1"/>
  <c r="D7427" i="1"/>
  <c r="C7427" i="1"/>
  <c r="B7427" i="1"/>
  <c r="G7426" i="1"/>
  <c r="F7426" i="1"/>
  <c r="E7426" i="1"/>
  <c r="D7426" i="1"/>
  <c r="C7426" i="1"/>
  <c r="B7426" i="1"/>
  <c r="G7425" i="1"/>
  <c r="F7425" i="1"/>
  <c r="E7425" i="1"/>
  <c r="D7425" i="1"/>
  <c r="C7425" i="1"/>
  <c r="B7425" i="1"/>
  <c r="G7424" i="1"/>
  <c r="F7424" i="1"/>
  <c r="E7424" i="1"/>
  <c r="D7424" i="1"/>
  <c r="C7424" i="1"/>
  <c r="B7424" i="1"/>
  <c r="G7423" i="1"/>
  <c r="F7423" i="1"/>
  <c r="E7423" i="1"/>
  <c r="D7423" i="1"/>
  <c r="C7423" i="1"/>
  <c r="B7423" i="1"/>
  <c r="G7422" i="1"/>
  <c r="F7422" i="1"/>
  <c r="E7422" i="1"/>
  <c r="D7422" i="1"/>
  <c r="C7422" i="1"/>
  <c r="B7422" i="1"/>
  <c r="G7421" i="1"/>
  <c r="F7421" i="1"/>
  <c r="E7421" i="1"/>
  <c r="D7421" i="1"/>
  <c r="C7421" i="1"/>
  <c r="B7421" i="1"/>
  <c r="G7420" i="1"/>
  <c r="F7420" i="1"/>
  <c r="E7420" i="1"/>
  <c r="D7420" i="1"/>
  <c r="C7420" i="1"/>
  <c r="B7420" i="1"/>
  <c r="G7419" i="1"/>
  <c r="F7419" i="1"/>
  <c r="E7419" i="1"/>
  <c r="D7419" i="1"/>
  <c r="C7419" i="1"/>
  <c r="B7419" i="1"/>
  <c r="G7418" i="1"/>
  <c r="F7418" i="1"/>
  <c r="E7418" i="1"/>
  <c r="D7418" i="1"/>
  <c r="C7418" i="1"/>
  <c r="B7418" i="1"/>
  <c r="G7417" i="1"/>
  <c r="F7417" i="1"/>
  <c r="E7417" i="1"/>
  <c r="D7417" i="1"/>
  <c r="C7417" i="1"/>
  <c r="B7417" i="1"/>
  <c r="G7416" i="1"/>
  <c r="F7416" i="1"/>
  <c r="E7416" i="1"/>
  <c r="D7416" i="1"/>
  <c r="C7416" i="1"/>
  <c r="B7416" i="1"/>
  <c r="G7415" i="1"/>
  <c r="F7415" i="1"/>
  <c r="E7415" i="1"/>
  <c r="D7415" i="1"/>
  <c r="C7415" i="1"/>
  <c r="B7415" i="1"/>
  <c r="G7414" i="1"/>
  <c r="F7414" i="1"/>
  <c r="E7414" i="1"/>
  <c r="D7414" i="1"/>
  <c r="C7414" i="1"/>
  <c r="B7414" i="1"/>
  <c r="G7413" i="1"/>
  <c r="F7413" i="1"/>
  <c r="E7413" i="1"/>
  <c r="D7413" i="1"/>
  <c r="C7413" i="1"/>
  <c r="B7413" i="1"/>
  <c r="G7412" i="1"/>
  <c r="F7412" i="1"/>
  <c r="E7412" i="1"/>
  <c r="D7412" i="1"/>
  <c r="C7412" i="1"/>
  <c r="B7412" i="1"/>
  <c r="G7411" i="1"/>
  <c r="F7411" i="1"/>
  <c r="E7411" i="1"/>
  <c r="D7411" i="1"/>
  <c r="C7411" i="1"/>
  <c r="B7411" i="1"/>
  <c r="G7410" i="1"/>
  <c r="F7410" i="1"/>
  <c r="E7410" i="1"/>
  <c r="D7410" i="1"/>
  <c r="C7410" i="1"/>
  <c r="B7410" i="1"/>
  <c r="G7409" i="1"/>
  <c r="F7409" i="1"/>
  <c r="E7409" i="1"/>
  <c r="D7409" i="1"/>
  <c r="C7409" i="1"/>
  <c r="B7409" i="1"/>
  <c r="G7408" i="1"/>
  <c r="F7408" i="1"/>
  <c r="E7408" i="1"/>
  <c r="D7408" i="1"/>
  <c r="C7408" i="1"/>
  <c r="B7408" i="1"/>
  <c r="G7407" i="1"/>
  <c r="F7407" i="1"/>
  <c r="E7407" i="1"/>
  <c r="D7407" i="1"/>
  <c r="C7407" i="1"/>
  <c r="B7407" i="1"/>
  <c r="G7406" i="1"/>
  <c r="F7406" i="1"/>
  <c r="E7406" i="1"/>
  <c r="D7406" i="1"/>
  <c r="C7406" i="1"/>
  <c r="B7406" i="1"/>
  <c r="G7405" i="1"/>
  <c r="F7405" i="1"/>
  <c r="E7405" i="1"/>
  <c r="D7405" i="1"/>
  <c r="C7405" i="1"/>
  <c r="B7405" i="1"/>
  <c r="G7404" i="1"/>
  <c r="F7404" i="1"/>
  <c r="E7404" i="1"/>
  <c r="D7404" i="1"/>
  <c r="C7404" i="1"/>
  <c r="B7404" i="1"/>
  <c r="G7403" i="1"/>
  <c r="F7403" i="1"/>
  <c r="E7403" i="1"/>
  <c r="D7403" i="1"/>
  <c r="C7403" i="1"/>
  <c r="B7403" i="1"/>
  <c r="G7402" i="1"/>
  <c r="F7402" i="1"/>
  <c r="E7402" i="1"/>
  <c r="D7402" i="1"/>
  <c r="C7402" i="1"/>
  <c r="B7402" i="1"/>
  <c r="G7401" i="1"/>
  <c r="F7401" i="1"/>
  <c r="E7401" i="1"/>
  <c r="D7401" i="1"/>
  <c r="C7401" i="1"/>
  <c r="B7401" i="1"/>
  <c r="G7400" i="1"/>
  <c r="F7400" i="1"/>
  <c r="E7400" i="1"/>
  <c r="D7400" i="1"/>
  <c r="C7400" i="1"/>
  <c r="B7400" i="1"/>
  <c r="G7399" i="1"/>
  <c r="F7399" i="1"/>
  <c r="E7399" i="1"/>
  <c r="D7399" i="1"/>
  <c r="C7399" i="1"/>
  <c r="B7399" i="1"/>
  <c r="G7398" i="1"/>
  <c r="F7398" i="1"/>
  <c r="E7398" i="1"/>
  <c r="D7398" i="1"/>
  <c r="C7398" i="1"/>
  <c r="B7398" i="1"/>
  <c r="G7397" i="1"/>
  <c r="F7397" i="1"/>
  <c r="E7397" i="1"/>
  <c r="D7397" i="1"/>
  <c r="C7397" i="1"/>
  <c r="B7397" i="1"/>
  <c r="G7396" i="1"/>
  <c r="F7396" i="1"/>
  <c r="E7396" i="1"/>
  <c r="D7396" i="1"/>
  <c r="C7396" i="1"/>
  <c r="B7396" i="1"/>
  <c r="G7395" i="1"/>
  <c r="F7395" i="1"/>
  <c r="E7395" i="1"/>
  <c r="D7395" i="1"/>
  <c r="C7395" i="1"/>
  <c r="B7395" i="1"/>
  <c r="G7394" i="1"/>
  <c r="F7394" i="1"/>
  <c r="E7394" i="1"/>
  <c r="D7394" i="1"/>
  <c r="C7394" i="1"/>
  <c r="B7394" i="1"/>
  <c r="G7393" i="1"/>
  <c r="F7393" i="1"/>
  <c r="E7393" i="1"/>
  <c r="D7393" i="1"/>
  <c r="C7393" i="1"/>
  <c r="B7393" i="1"/>
  <c r="G7392" i="1"/>
  <c r="F7392" i="1"/>
  <c r="E7392" i="1"/>
  <c r="D7392" i="1"/>
  <c r="C7392" i="1"/>
  <c r="B7392" i="1"/>
  <c r="G7391" i="1"/>
  <c r="F7391" i="1"/>
  <c r="E7391" i="1"/>
  <c r="D7391" i="1"/>
  <c r="C7391" i="1"/>
  <c r="B7391" i="1"/>
  <c r="G7390" i="1"/>
  <c r="F7390" i="1"/>
  <c r="E7390" i="1"/>
  <c r="D7390" i="1"/>
  <c r="C7390" i="1"/>
  <c r="B7390" i="1"/>
  <c r="G7389" i="1"/>
  <c r="F7389" i="1"/>
  <c r="E7389" i="1"/>
  <c r="D7389" i="1"/>
  <c r="C7389" i="1"/>
  <c r="B7389" i="1"/>
  <c r="G7388" i="1"/>
  <c r="F7388" i="1"/>
  <c r="E7388" i="1"/>
  <c r="D7388" i="1"/>
  <c r="C7388" i="1"/>
  <c r="B7388" i="1"/>
  <c r="G7387" i="1"/>
  <c r="F7387" i="1"/>
  <c r="E7387" i="1"/>
  <c r="D7387" i="1"/>
  <c r="C7387" i="1"/>
  <c r="B7387" i="1"/>
  <c r="G7386" i="1"/>
  <c r="F7386" i="1"/>
  <c r="E7386" i="1"/>
  <c r="D7386" i="1"/>
  <c r="C7386" i="1"/>
  <c r="B7386" i="1"/>
  <c r="G7385" i="1"/>
  <c r="F7385" i="1"/>
  <c r="E7385" i="1"/>
  <c r="D7385" i="1"/>
  <c r="C7385" i="1"/>
  <c r="B7385" i="1"/>
  <c r="G7384" i="1"/>
  <c r="F7384" i="1"/>
  <c r="E7384" i="1"/>
  <c r="D7384" i="1"/>
  <c r="C7384" i="1"/>
  <c r="B7384" i="1"/>
  <c r="G7383" i="1"/>
  <c r="F7383" i="1"/>
  <c r="E7383" i="1"/>
  <c r="D7383" i="1"/>
  <c r="C7383" i="1"/>
  <c r="B7383" i="1"/>
  <c r="G7382" i="1"/>
  <c r="F7382" i="1"/>
  <c r="E7382" i="1"/>
  <c r="D7382" i="1"/>
  <c r="C7382" i="1"/>
  <c r="B7382" i="1"/>
  <c r="G7381" i="1"/>
  <c r="F7381" i="1"/>
  <c r="E7381" i="1"/>
  <c r="D7381" i="1"/>
  <c r="C7381" i="1"/>
  <c r="B7381" i="1"/>
  <c r="G7380" i="1"/>
  <c r="F7380" i="1"/>
  <c r="E7380" i="1"/>
  <c r="D7380" i="1"/>
  <c r="C7380" i="1"/>
  <c r="B7380" i="1"/>
  <c r="G7379" i="1"/>
  <c r="F7379" i="1"/>
  <c r="E7379" i="1"/>
  <c r="D7379" i="1"/>
  <c r="C7379" i="1"/>
  <c r="B7379" i="1"/>
  <c r="G7378" i="1"/>
  <c r="F7378" i="1"/>
  <c r="E7378" i="1"/>
  <c r="D7378" i="1"/>
  <c r="C7378" i="1"/>
  <c r="B7378" i="1"/>
  <c r="G7377" i="1"/>
  <c r="F7377" i="1"/>
  <c r="E7377" i="1"/>
  <c r="D7377" i="1"/>
  <c r="C7377" i="1"/>
  <c r="B7377" i="1"/>
  <c r="G7376" i="1"/>
  <c r="F7376" i="1"/>
  <c r="E7376" i="1"/>
  <c r="D7376" i="1"/>
  <c r="C7376" i="1"/>
  <c r="B7376" i="1"/>
  <c r="G7375" i="1"/>
  <c r="F7375" i="1"/>
  <c r="E7375" i="1"/>
  <c r="D7375" i="1"/>
  <c r="C7375" i="1"/>
  <c r="B7375" i="1"/>
  <c r="G7374" i="1"/>
  <c r="F7374" i="1"/>
  <c r="E7374" i="1"/>
  <c r="D7374" i="1"/>
  <c r="C7374" i="1"/>
  <c r="B7374" i="1"/>
  <c r="G7373" i="1"/>
  <c r="F7373" i="1"/>
  <c r="E7373" i="1"/>
  <c r="D7373" i="1"/>
  <c r="C7373" i="1"/>
  <c r="B7373" i="1"/>
  <c r="G7372" i="1"/>
  <c r="F7372" i="1"/>
  <c r="E7372" i="1"/>
  <c r="D7372" i="1"/>
  <c r="C7372" i="1"/>
  <c r="B7372" i="1"/>
  <c r="G7371" i="1"/>
  <c r="F7371" i="1"/>
  <c r="E7371" i="1"/>
  <c r="D7371" i="1"/>
  <c r="C7371" i="1"/>
  <c r="B7371" i="1"/>
  <c r="G7370" i="1"/>
  <c r="F7370" i="1"/>
  <c r="E7370" i="1"/>
  <c r="D7370" i="1"/>
  <c r="C7370" i="1"/>
  <c r="B7370" i="1"/>
  <c r="G7369" i="1"/>
  <c r="F7369" i="1"/>
  <c r="E7369" i="1"/>
  <c r="D7369" i="1"/>
  <c r="C7369" i="1"/>
  <c r="B7369" i="1"/>
  <c r="G7368" i="1"/>
  <c r="F7368" i="1"/>
  <c r="E7368" i="1"/>
  <c r="D7368" i="1"/>
  <c r="C7368" i="1"/>
  <c r="B7368" i="1"/>
  <c r="G7367" i="1"/>
  <c r="F7367" i="1"/>
  <c r="E7367" i="1"/>
  <c r="D7367" i="1"/>
  <c r="C7367" i="1"/>
  <c r="B7367" i="1"/>
  <c r="G7366" i="1"/>
  <c r="F7366" i="1"/>
  <c r="E7366" i="1"/>
  <c r="D7366" i="1"/>
  <c r="C7366" i="1"/>
  <c r="B7366" i="1"/>
  <c r="G7365" i="1"/>
  <c r="F7365" i="1"/>
  <c r="E7365" i="1"/>
  <c r="D7365" i="1"/>
  <c r="C7365" i="1"/>
  <c r="B7365" i="1"/>
  <c r="G7364" i="1"/>
  <c r="F7364" i="1"/>
  <c r="E7364" i="1"/>
  <c r="D7364" i="1"/>
  <c r="C7364" i="1"/>
  <c r="B7364" i="1"/>
  <c r="G7363" i="1"/>
  <c r="F7363" i="1"/>
  <c r="E7363" i="1"/>
  <c r="D7363" i="1"/>
  <c r="C7363" i="1"/>
  <c r="B7363" i="1"/>
  <c r="G7362" i="1"/>
  <c r="F7362" i="1"/>
  <c r="E7362" i="1"/>
  <c r="D7362" i="1"/>
  <c r="C7362" i="1"/>
  <c r="B7362" i="1"/>
  <c r="G7361" i="1"/>
  <c r="F7361" i="1"/>
  <c r="E7361" i="1"/>
  <c r="D7361" i="1"/>
  <c r="C7361" i="1"/>
  <c r="B7361" i="1"/>
  <c r="G7360" i="1"/>
  <c r="F7360" i="1"/>
  <c r="E7360" i="1"/>
  <c r="D7360" i="1"/>
  <c r="C7360" i="1"/>
  <c r="B7360" i="1"/>
  <c r="G7359" i="1"/>
  <c r="F7359" i="1"/>
  <c r="E7359" i="1"/>
  <c r="D7359" i="1"/>
  <c r="C7359" i="1"/>
  <c r="B7359" i="1"/>
  <c r="G7358" i="1"/>
  <c r="F7358" i="1"/>
  <c r="E7358" i="1"/>
  <c r="D7358" i="1"/>
  <c r="C7358" i="1"/>
  <c r="B7358" i="1"/>
  <c r="G7357" i="1"/>
  <c r="F7357" i="1"/>
  <c r="E7357" i="1"/>
  <c r="D7357" i="1"/>
  <c r="C7357" i="1"/>
  <c r="B7357" i="1"/>
  <c r="G7356" i="1"/>
  <c r="F7356" i="1"/>
  <c r="E7356" i="1"/>
  <c r="D7356" i="1"/>
  <c r="C7356" i="1"/>
  <c r="B7356" i="1"/>
  <c r="G7355" i="1"/>
  <c r="F7355" i="1"/>
  <c r="E7355" i="1"/>
  <c r="D7355" i="1"/>
  <c r="C7355" i="1"/>
  <c r="B7355" i="1"/>
  <c r="G7354" i="1"/>
  <c r="F7354" i="1"/>
  <c r="E7354" i="1"/>
  <c r="D7354" i="1"/>
  <c r="C7354" i="1"/>
  <c r="B7354" i="1"/>
  <c r="G7353" i="1"/>
  <c r="F7353" i="1"/>
  <c r="E7353" i="1"/>
  <c r="D7353" i="1"/>
  <c r="C7353" i="1"/>
  <c r="B7353" i="1"/>
  <c r="G7352" i="1"/>
  <c r="F7352" i="1"/>
  <c r="E7352" i="1"/>
  <c r="D7352" i="1"/>
  <c r="C7352" i="1"/>
  <c r="B7352" i="1"/>
  <c r="G7351" i="1"/>
  <c r="F7351" i="1"/>
  <c r="E7351" i="1"/>
  <c r="D7351" i="1"/>
  <c r="C7351" i="1"/>
  <c r="B7351" i="1"/>
  <c r="G7350" i="1"/>
  <c r="F7350" i="1"/>
  <c r="E7350" i="1"/>
  <c r="D7350" i="1"/>
  <c r="C7350" i="1"/>
  <c r="B7350" i="1"/>
  <c r="G7349" i="1"/>
  <c r="F7349" i="1"/>
  <c r="E7349" i="1"/>
  <c r="D7349" i="1"/>
  <c r="C7349" i="1"/>
  <c r="B7349" i="1"/>
  <c r="G7348" i="1"/>
  <c r="F7348" i="1"/>
  <c r="E7348" i="1"/>
  <c r="D7348" i="1"/>
  <c r="C7348" i="1"/>
  <c r="B7348" i="1"/>
  <c r="G7347" i="1"/>
  <c r="F7347" i="1"/>
  <c r="E7347" i="1"/>
  <c r="D7347" i="1"/>
  <c r="C7347" i="1"/>
  <c r="B7347" i="1"/>
  <c r="G7346" i="1"/>
  <c r="F7346" i="1"/>
  <c r="E7346" i="1"/>
  <c r="D7346" i="1"/>
  <c r="C7346" i="1"/>
  <c r="B7346" i="1"/>
  <c r="G7345" i="1"/>
  <c r="F7345" i="1"/>
  <c r="E7345" i="1"/>
  <c r="D7345" i="1"/>
  <c r="C7345" i="1"/>
  <c r="B7345" i="1"/>
  <c r="G7344" i="1"/>
  <c r="F7344" i="1"/>
  <c r="E7344" i="1"/>
  <c r="D7344" i="1"/>
  <c r="C7344" i="1"/>
  <c r="B7344" i="1"/>
  <c r="G7343" i="1"/>
  <c r="F7343" i="1"/>
  <c r="E7343" i="1"/>
  <c r="D7343" i="1"/>
  <c r="C7343" i="1"/>
  <c r="B7343" i="1"/>
  <c r="G7342" i="1"/>
  <c r="F7342" i="1"/>
  <c r="E7342" i="1"/>
  <c r="D7342" i="1"/>
  <c r="C7342" i="1"/>
  <c r="B7342" i="1"/>
  <c r="G7341" i="1"/>
  <c r="F7341" i="1"/>
  <c r="E7341" i="1"/>
  <c r="D7341" i="1"/>
  <c r="C7341" i="1"/>
  <c r="B7341" i="1"/>
  <c r="G7340" i="1"/>
  <c r="F7340" i="1"/>
  <c r="E7340" i="1"/>
  <c r="D7340" i="1"/>
  <c r="C7340" i="1"/>
  <c r="B7340" i="1"/>
  <c r="G7339" i="1"/>
  <c r="F7339" i="1"/>
  <c r="E7339" i="1"/>
  <c r="D7339" i="1"/>
  <c r="C7339" i="1"/>
  <c r="B7339" i="1"/>
  <c r="G7338" i="1"/>
  <c r="F7338" i="1"/>
  <c r="E7338" i="1"/>
  <c r="D7338" i="1"/>
  <c r="C7338" i="1"/>
  <c r="B7338" i="1"/>
  <c r="G7337" i="1"/>
  <c r="F7337" i="1"/>
  <c r="E7337" i="1"/>
  <c r="D7337" i="1"/>
  <c r="C7337" i="1"/>
  <c r="B7337" i="1"/>
  <c r="G7336" i="1"/>
  <c r="F7336" i="1"/>
  <c r="E7336" i="1"/>
  <c r="D7336" i="1"/>
  <c r="C7336" i="1"/>
  <c r="B7336" i="1"/>
  <c r="G7335" i="1"/>
  <c r="F7335" i="1"/>
  <c r="E7335" i="1"/>
  <c r="D7335" i="1"/>
  <c r="C7335" i="1"/>
  <c r="B7335" i="1"/>
  <c r="G7334" i="1"/>
  <c r="F7334" i="1"/>
  <c r="E7334" i="1"/>
  <c r="D7334" i="1"/>
  <c r="C7334" i="1"/>
  <c r="B7334" i="1"/>
  <c r="G7333" i="1"/>
  <c r="F7333" i="1"/>
  <c r="E7333" i="1"/>
  <c r="D7333" i="1"/>
  <c r="C7333" i="1"/>
  <c r="B7333" i="1"/>
  <c r="G7332" i="1"/>
  <c r="F7332" i="1"/>
  <c r="E7332" i="1"/>
  <c r="D7332" i="1"/>
  <c r="C7332" i="1"/>
  <c r="B7332" i="1"/>
  <c r="G7331" i="1"/>
  <c r="F7331" i="1"/>
  <c r="E7331" i="1"/>
  <c r="D7331" i="1"/>
  <c r="C7331" i="1"/>
  <c r="B7331" i="1"/>
  <c r="G7330" i="1"/>
  <c r="F7330" i="1"/>
  <c r="E7330" i="1"/>
  <c r="D7330" i="1"/>
  <c r="C7330" i="1"/>
  <c r="B7330" i="1"/>
  <c r="G7329" i="1"/>
  <c r="F7329" i="1"/>
  <c r="E7329" i="1"/>
  <c r="D7329" i="1"/>
  <c r="C7329" i="1"/>
  <c r="B7329" i="1"/>
  <c r="G7328" i="1"/>
  <c r="F7328" i="1"/>
  <c r="E7328" i="1"/>
  <c r="D7328" i="1"/>
  <c r="C7328" i="1"/>
  <c r="B7328" i="1"/>
  <c r="G7327" i="1"/>
  <c r="F7327" i="1"/>
  <c r="E7327" i="1"/>
  <c r="D7327" i="1"/>
  <c r="C7327" i="1"/>
  <c r="B7327" i="1"/>
  <c r="G7326" i="1"/>
  <c r="F7326" i="1"/>
  <c r="E7326" i="1"/>
  <c r="D7326" i="1"/>
  <c r="C7326" i="1"/>
  <c r="B7326" i="1"/>
  <c r="G7325" i="1"/>
  <c r="F7325" i="1"/>
  <c r="E7325" i="1"/>
  <c r="D7325" i="1"/>
  <c r="C7325" i="1"/>
  <c r="B7325" i="1"/>
  <c r="G7324" i="1"/>
  <c r="F7324" i="1"/>
  <c r="E7324" i="1"/>
  <c r="D7324" i="1"/>
  <c r="C7324" i="1"/>
  <c r="B7324" i="1"/>
  <c r="G7323" i="1"/>
  <c r="F7323" i="1"/>
  <c r="E7323" i="1"/>
  <c r="D7323" i="1"/>
  <c r="C7323" i="1"/>
  <c r="B7323" i="1"/>
  <c r="G7322" i="1"/>
  <c r="F7322" i="1"/>
  <c r="E7322" i="1"/>
  <c r="D7322" i="1"/>
  <c r="C7322" i="1"/>
  <c r="B7322" i="1"/>
  <c r="G7321" i="1"/>
  <c r="F7321" i="1"/>
  <c r="E7321" i="1"/>
  <c r="D7321" i="1"/>
  <c r="C7321" i="1"/>
  <c r="B7321" i="1"/>
  <c r="G7320" i="1"/>
  <c r="F7320" i="1"/>
  <c r="E7320" i="1"/>
  <c r="D7320" i="1"/>
  <c r="C7320" i="1"/>
  <c r="B7320" i="1"/>
  <c r="G7319" i="1"/>
  <c r="F7319" i="1"/>
  <c r="E7319" i="1"/>
  <c r="D7319" i="1"/>
  <c r="C7319" i="1"/>
  <c r="B7319" i="1"/>
  <c r="G7318" i="1"/>
  <c r="F7318" i="1"/>
  <c r="E7318" i="1"/>
  <c r="D7318" i="1"/>
  <c r="C7318" i="1"/>
  <c r="B7318" i="1"/>
  <c r="G7317" i="1"/>
  <c r="F7317" i="1"/>
  <c r="E7317" i="1"/>
  <c r="D7317" i="1"/>
  <c r="C7317" i="1"/>
  <c r="B7317" i="1"/>
  <c r="G7316" i="1"/>
  <c r="F7316" i="1"/>
  <c r="E7316" i="1"/>
  <c r="D7316" i="1"/>
  <c r="C7316" i="1"/>
  <c r="B7316" i="1"/>
  <c r="G7315" i="1"/>
  <c r="F7315" i="1"/>
  <c r="E7315" i="1"/>
  <c r="D7315" i="1"/>
  <c r="C7315" i="1"/>
  <c r="B7315" i="1"/>
  <c r="G7314" i="1"/>
  <c r="F7314" i="1"/>
  <c r="E7314" i="1"/>
  <c r="D7314" i="1"/>
  <c r="C7314" i="1"/>
  <c r="B7314" i="1"/>
  <c r="G7313" i="1"/>
  <c r="F7313" i="1"/>
  <c r="E7313" i="1"/>
  <c r="D7313" i="1"/>
  <c r="C7313" i="1"/>
  <c r="B7313" i="1"/>
  <c r="G7312" i="1"/>
  <c r="F7312" i="1"/>
  <c r="E7312" i="1"/>
  <c r="D7312" i="1"/>
  <c r="C7312" i="1"/>
  <c r="B7312" i="1"/>
  <c r="G7311" i="1"/>
  <c r="F7311" i="1"/>
  <c r="E7311" i="1"/>
  <c r="D7311" i="1"/>
  <c r="C7311" i="1"/>
  <c r="B7311" i="1"/>
  <c r="G7310" i="1"/>
  <c r="F7310" i="1"/>
  <c r="E7310" i="1"/>
  <c r="D7310" i="1"/>
  <c r="C7310" i="1"/>
  <c r="B7310" i="1"/>
  <c r="G7309" i="1"/>
  <c r="F7309" i="1"/>
  <c r="E7309" i="1"/>
  <c r="D7309" i="1"/>
  <c r="C7309" i="1"/>
  <c r="B7309" i="1"/>
  <c r="G7308" i="1"/>
  <c r="F7308" i="1"/>
  <c r="E7308" i="1"/>
  <c r="D7308" i="1"/>
  <c r="C7308" i="1"/>
  <c r="B7308" i="1"/>
  <c r="G7307" i="1"/>
  <c r="F7307" i="1"/>
  <c r="E7307" i="1"/>
  <c r="D7307" i="1"/>
  <c r="C7307" i="1"/>
  <c r="B7307" i="1"/>
  <c r="G7306" i="1"/>
  <c r="F7306" i="1"/>
  <c r="E7306" i="1"/>
  <c r="D7306" i="1"/>
  <c r="C7306" i="1"/>
  <c r="B7306" i="1"/>
  <c r="G7305" i="1"/>
  <c r="F7305" i="1"/>
  <c r="E7305" i="1"/>
  <c r="D7305" i="1"/>
  <c r="C7305" i="1"/>
  <c r="B7305" i="1"/>
  <c r="G7304" i="1"/>
  <c r="F7304" i="1"/>
  <c r="E7304" i="1"/>
  <c r="D7304" i="1"/>
  <c r="C7304" i="1"/>
  <c r="B7304" i="1"/>
  <c r="G7303" i="1"/>
  <c r="F7303" i="1"/>
  <c r="E7303" i="1"/>
  <c r="D7303" i="1"/>
  <c r="C7303" i="1"/>
  <c r="B7303" i="1"/>
  <c r="G7302" i="1"/>
  <c r="F7302" i="1"/>
  <c r="E7302" i="1"/>
  <c r="D7302" i="1"/>
  <c r="C7302" i="1"/>
  <c r="B7302" i="1"/>
  <c r="G7301" i="1"/>
  <c r="F7301" i="1"/>
  <c r="E7301" i="1"/>
  <c r="D7301" i="1"/>
  <c r="C7301" i="1"/>
  <c r="B7301" i="1"/>
  <c r="G7300" i="1"/>
  <c r="F7300" i="1"/>
  <c r="E7300" i="1"/>
  <c r="D7300" i="1"/>
  <c r="C7300" i="1"/>
  <c r="B7300" i="1"/>
  <c r="G7299" i="1"/>
  <c r="F7299" i="1"/>
  <c r="E7299" i="1"/>
  <c r="D7299" i="1"/>
  <c r="C7299" i="1"/>
  <c r="B7299" i="1"/>
  <c r="G7298" i="1"/>
  <c r="F7298" i="1"/>
  <c r="E7298" i="1"/>
  <c r="D7298" i="1"/>
  <c r="C7298" i="1"/>
  <c r="B7298" i="1"/>
  <c r="G7297" i="1"/>
  <c r="F7297" i="1"/>
  <c r="E7297" i="1"/>
  <c r="D7297" i="1"/>
  <c r="C7297" i="1"/>
  <c r="B7297" i="1"/>
  <c r="G7296" i="1"/>
  <c r="F7296" i="1"/>
  <c r="E7296" i="1"/>
  <c r="D7296" i="1"/>
  <c r="C7296" i="1"/>
  <c r="B7296" i="1"/>
  <c r="G7295" i="1"/>
  <c r="F7295" i="1"/>
  <c r="E7295" i="1"/>
  <c r="D7295" i="1"/>
  <c r="C7295" i="1"/>
  <c r="B7295" i="1"/>
  <c r="G7294" i="1"/>
  <c r="F7294" i="1"/>
  <c r="E7294" i="1"/>
  <c r="D7294" i="1"/>
  <c r="C7294" i="1"/>
  <c r="B7294" i="1"/>
  <c r="G7293" i="1"/>
  <c r="F7293" i="1"/>
  <c r="E7293" i="1"/>
  <c r="D7293" i="1"/>
  <c r="C7293" i="1"/>
  <c r="B7293" i="1"/>
  <c r="G7292" i="1"/>
  <c r="F7292" i="1"/>
  <c r="E7292" i="1"/>
  <c r="D7292" i="1"/>
  <c r="C7292" i="1"/>
  <c r="B7292" i="1"/>
  <c r="G7291" i="1"/>
  <c r="F7291" i="1"/>
  <c r="E7291" i="1"/>
  <c r="D7291" i="1"/>
  <c r="C7291" i="1"/>
  <c r="B7291" i="1"/>
  <c r="G7290" i="1"/>
  <c r="F7290" i="1"/>
  <c r="E7290" i="1"/>
  <c r="D7290" i="1"/>
  <c r="C7290" i="1"/>
  <c r="B7290" i="1"/>
  <c r="G7289" i="1"/>
  <c r="F7289" i="1"/>
  <c r="E7289" i="1"/>
  <c r="D7289" i="1"/>
  <c r="C7289" i="1"/>
  <c r="B7289" i="1"/>
  <c r="G7288" i="1"/>
  <c r="F7288" i="1"/>
  <c r="E7288" i="1"/>
  <c r="D7288" i="1"/>
  <c r="C7288" i="1"/>
  <c r="B7288" i="1"/>
  <c r="G7287" i="1"/>
  <c r="F7287" i="1"/>
  <c r="E7287" i="1"/>
  <c r="D7287" i="1"/>
  <c r="C7287" i="1"/>
  <c r="B7287" i="1"/>
  <c r="G7286" i="1"/>
  <c r="F7286" i="1"/>
  <c r="E7286" i="1"/>
  <c r="D7286" i="1"/>
  <c r="C7286" i="1"/>
  <c r="B7286" i="1"/>
  <c r="G7285" i="1"/>
  <c r="F7285" i="1"/>
  <c r="E7285" i="1"/>
  <c r="D7285" i="1"/>
  <c r="C7285" i="1"/>
  <c r="B7285" i="1"/>
  <c r="G7284" i="1"/>
  <c r="F7284" i="1"/>
  <c r="E7284" i="1"/>
  <c r="D7284" i="1"/>
  <c r="C7284" i="1"/>
  <c r="B7284" i="1"/>
  <c r="G7283" i="1"/>
  <c r="F7283" i="1"/>
  <c r="E7283" i="1"/>
  <c r="D7283" i="1"/>
  <c r="C7283" i="1"/>
  <c r="B7283" i="1"/>
  <c r="G7282" i="1"/>
  <c r="F7282" i="1"/>
  <c r="E7282" i="1"/>
  <c r="D7282" i="1"/>
  <c r="C7282" i="1"/>
  <c r="B7282" i="1"/>
  <c r="G7281" i="1"/>
  <c r="F7281" i="1"/>
  <c r="E7281" i="1"/>
  <c r="D7281" i="1"/>
  <c r="C7281" i="1"/>
  <c r="B7281" i="1"/>
  <c r="G7280" i="1"/>
  <c r="F7280" i="1"/>
  <c r="E7280" i="1"/>
  <c r="D7280" i="1"/>
  <c r="C7280" i="1"/>
  <c r="B7280" i="1"/>
  <c r="G7279" i="1"/>
  <c r="F7279" i="1"/>
  <c r="E7279" i="1"/>
  <c r="D7279" i="1"/>
  <c r="C7279" i="1"/>
  <c r="B7279" i="1"/>
  <c r="G7278" i="1"/>
  <c r="F7278" i="1"/>
  <c r="E7278" i="1"/>
  <c r="D7278" i="1"/>
  <c r="C7278" i="1"/>
  <c r="B7278" i="1"/>
  <c r="G7277" i="1"/>
  <c r="F7277" i="1"/>
  <c r="E7277" i="1"/>
  <c r="D7277" i="1"/>
  <c r="C7277" i="1"/>
  <c r="B7277" i="1"/>
  <c r="G7276" i="1"/>
  <c r="F7276" i="1"/>
  <c r="E7276" i="1"/>
  <c r="D7276" i="1"/>
  <c r="C7276" i="1"/>
  <c r="B7276" i="1"/>
  <c r="G7275" i="1"/>
  <c r="F7275" i="1"/>
  <c r="E7275" i="1"/>
  <c r="D7275" i="1"/>
  <c r="C7275" i="1"/>
  <c r="B7275" i="1"/>
  <c r="G7274" i="1"/>
  <c r="F7274" i="1"/>
  <c r="E7274" i="1"/>
  <c r="D7274" i="1"/>
  <c r="C7274" i="1"/>
  <c r="B7274" i="1"/>
  <c r="G7273" i="1"/>
  <c r="F7273" i="1"/>
  <c r="E7273" i="1"/>
  <c r="D7273" i="1"/>
  <c r="C7273" i="1"/>
  <c r="B7273" i="1"/>
  <c r="G7272" i="1"/>
  <c r="F7272" i="1"/>
  <c r="E7272" i="1"/>
  <c r="D7272" i="1"/>
  <c r="C7272" i="1"/>
  <c r="B7272" i="1"/>
  <c r="G7271" i="1"/>
  <c r="F7271" i="1"/>
  <c r="E7271" i="1"/>
  <c r="D7271" i="1"/>
  <c r="C7271" i="1"/>
  <c r="B7271" i="1"/>
  <c r="G7270" i="1"/>
  <c r="F7270" i="1"/>
  <c r="E7270" i="1"/>
  <c r="D7270" i="1"/>
  <c r="C7270" i="1"/>
  <c r="B7270" i="1"/>
  <c r="G7269" i="1"/>
  <c r="F7269" i="1"/>
  <c r="E7269" i="1"/>
  <c r="D7269" i="1"/>
  <c r="C7269" i="1"/>
  <c r="B7269" i="1"/>
  <c r="G7268" i="1"/>
  <c r="F7268" i="1"/>
  <c r="E7268" i="1"/>
  <c r="D7268" i="1"/>
  <c r="C7268" i="1"/>
  <c r="B7268" i="1"/>
  <c r="G7267" i="1"/>
  <c r="F7267" i="1"/>
  <c r="E7267" i="1"/>
  <c r="D7267" i="1"/>
  <c r="C7267" i="1"/>
  <c r="B7267" i="1"/>
  <c r="G7266" i="1"/>
  <c r="F7266" i="1"/>
  <c r="E7266" i="1"/>
  <c r="D7266" i="1"/>
  <c r="C7266" i="1"/>
  <c r="B7266" i="1"/>
  <c r="G7265" i="1"/>
  <c r="F7265" i="1"/>
  <c r="E7265" i="1"/>
  <c r="D7265" i="1"/>
  <c r="C7265" i="1"/>
  <c r="B7265" i="1"/>
  <c r="G7264" i="1"/>
  <c r="F7264" i="1"/>
  <c r="E7264" i="1"/>
  <c r="D7264" i="1"/>
  <c r="C7264" i="1"/>
  <c r="B7264" i="1"/>
  <c r="G7263" i="1"/>
  <c r="F7263" i="1"/>
  <c r="E7263" i="1"/>
  <c r="D7263" i="1"/>
  <c r="C7263" i="1"/>
  <c r="B7263" i="1"/>
  <c r="G7262" i="1"/>
  <c r="F7262" i="1"/>
  <c r="E7262" i="1"/>
  <c r="D7262" i="1"/>
  <c r="C7262" i="1"/>
  <c r="B7262" i="1"/>
  <c r="G7261" i="1"/>
  <c r="F7261" i="1"/>
  <c r="E7261" i="1"/>
  <c r="D7261" i="1"/>
  <c r="C7261" i="1"/>
  <c r="B7261" i="1"/>
  <c r="G7260" i="1"/>
  <c r="F7260" i="1"/>
  <c r="E7260" i="1"/>
  <c r="D7260" i="1"/>
  <c r="C7260" i="1"/>
  <c r="B7260" i="1"/>
  <c r="G7259" i="1"/>
  <c r="F7259" i="1"/>
  <c r="E7259" i="1"/>
  <c r="D7259" i="1"/>
  <c r="C7259" i="1"/>
  <c r="B7259" i="1"/>
  <c r="G7258" i="1"/>
  <c r="F7258" i="1"/>
  <c r="E7258" i="1"/>
  <c r="D7258" i="1"/>
  <c r="C7258" i="1"/>
  <c r="B7258" i="1"/>
  <c r="G7257" i="1"/>
  <c r="F7257" i="1"/>
  <c r="E7257" i="1"/>
  <c r="D7257" i="1"/>
  <c r="C7257" i="1"/>
  <c r="B7257" i="1"/>
  <c r="G7256" i="1"/>
  <c r="F7256" i="1"/>
  <c r="E7256" i="1"/>
  <c r="D7256" i="1"/>
  <c r="C7256" i="1"/>
  <c r="B7256" i="1"/>
  <c r="G7255" i="1"/>
  <c r="F7255" i="1"/>
  <c r="E7255" i="1"/>
  <c r="D7255" i="1"/>
  <c r="C7255" i="1"/>
  <c r="B7255" i="1"/>
  <c r="G7254" i="1"/>
  <c r="F7254" i="1"/>
  <c r="E7254" i="1"/>
  <c r="D7254" i="1"/>
  <c r="C7254" i="1"/>
  <c r="B7254" i="1"/>
  <c r="G7253" i="1"/>
  <c r="F7253" i="1"/>
  <c r="E7253" i="1"/>
  <c r="D7253" i="1"/>
  <c r="C7253" i="1"/>
  <c r="B7253" i="1"/>
  <c r="G7252" i="1"/>
  <c r="F7252" i="1"/>
  <c r="E7252" i="1"/>
  <c r="D7252" i="1"/>
  <c r="C7252" i="1"/>
  <c r="B7252" i="1"/>
  <c r="G7251" i="1"/>
  <c r="F7251" i="1"/>
  <c r="E7251" i="1"/>
  <c r="D7251" i="1"/>
  <c r="C7251" i="1"/>
  <c r="B7251" i="1"/>
  <c r="G7250" i="1"/>
  <c r="F7250" i="1"/>
  <c r="E7250" i="1"/>
  <c r="D7250" i="1"/>
  <c r="C7250" i="1"/>
  <c r="B7250" i="1"/>
  <c r="G7249" i="1"/>
  <c r="F7249" i="1"/>
  <c r="E7249" i="1"/>
  <c r="D7249" i="1"/>
  <c r="C7249" i="1"/>
  <c r="B7249" i="1"/>
  <c r="G7248" i="1"/>
  <c r="F7248" i="1"/>
  <c r="E7248" i="1"/>
  <c r="D7248" i="1"/>
  <c r="C7248" i="1"/>
  <c r="B7248" i="1"/>
  <c r="G7247" i="1"/>
  <c r="F7247" i="1"/>
  <c r="E7247" i="1"/>
  <c r="D7247" i="1"/>
  <c r="C7247" i="1"/>
  <c r="B7247" i="1"/>
  <c r="G7246" i="1"/>
  <c r="F7246" i="1"/>
  <c r="E7246" i="1"/>
  <c r="D7246" i="1"/>
  <c r="C7246" i="1"/>
  <c r="B7246" i="1"/>
  <c r="G7245" i="1"/>
  <c r="F7245" i="1"/>
  <c r="E7245" i="1"/>
  <c r="D7245" i="1"/>
  <c r="C7245" i="1"/>
  <c r="B7245" i="1"/>
  <c r="G7244" i="1"/>
  <c r="F7244" i="1"/>
  <c r="E7244" i="1"/>
  <c r="D7244" i="1"/>
  <c r="C7244" i="1"/>
  <c r="B7244" i="1"/>
  <c r="G7243" i="1"/>
  <c r="F7243" i="1"/>
  <c r="E7243" i="1"/>
  <c r="D7243" i="1"/>
  <c r="C7243" i="1"/>
  <c r="B7243" i="1"/>
  <c r="G7242" i="1"/>
  <c r="F7242" i="1"/>
  <c r="E7242" i="1"/>
  <c r="D7242" i="1"/>
  <c r="C7242" i="1"/>
  <c r="B7242" i="1"/>
  <c r="G7241" i="1"/>
  <c r="F7241" i="1"/>
  <c r="E7241" i="1"/>
  <c r="D7241" i="1"/>
  <c r="C7241" i="1"/>
  <c r="B7241" i="1"/>
  <c r="G7240" i="1"/>
  <c r="F7240" i="1"/>
  <c r="E7240" i="1"/>
  <c r="D7240" i="1"/>
  <c r="C7240" i="1"/>
  <c r="B7240" i="1"/>
  <c r="G7239" i="1"/>
  <c r="F7239" i="1"/>
  <c r="E7239" i="1"/>
  <c r="D7239" i="1"/>
  <c r="C7239" i="1"/>
  <c r="B7239" i="1"/>
  <c r="G7238" i="1"/>
  <c r="F7238" i="1"/>
  <c r="E7238" i="1"/>
  <c r="D7238" i="1"/>
  <c r="C7238" i="1"/>
  <c r="B7238" i="1"/>
  <c r="G7237" i="1"/>
  <c r="F7237" i="1"/>
  <c r="E7237" i="1"/>
  <c r="D7237" i="1"/>
  <c r="C7237" i="1"/>
  <c r="B7237" i="1"/>
  <c r="G7236" i="1"/>
  <c r="F7236" i="1"/>
  <c r="E7236" i="1"/>
  <c r="D7236" i="1"/>
  <c r="C7236" i="1"/>
  <c r="B7236" i="1"/>
  <c r="G7235" i="1"/>
  <c r="F7235" i="1"/>
  <c r="E7235" i="1"/>
  <c r="D7235" i="1"/>
  <c r="C7235" i="1"/>
  <c r="B7235" i="1"/>
  <c r="G7234" i="1"/>
  <c r="F7234" i="1"/>
  <c r="E7234" i="1"/>
  <c r="D7234" i="1"/>
  <c r="C7234" i="1"/>
  <c r="B7234" i="1"/>
  <c r="G7233" i="1"/>
  <c r="F7233" i="1"/>
  <c r="E7233" i="1"/>
  <c r="D7233" i="1"/>
  <c r="C7233" i="1"/>
  <c r="B7233" i="1"/>
  <c r="G7232" i="1"/>
  <c r="F7232" i="1"/>
  <c r="E7232" i="1"/>
  <c r="D7232" i="1"/>
  <c r="C7232" i="1"/>
  <c r="B7232" i="1"/>
  <c r="G7231" i="1"/>
  <c r="F7231" i="1"/>
  <c r="E7231" i="1"/>
  <c r="D7231" i="1"/>
  <c r="C7231" i="1"/>
  <c r="B7231" i="1"/>
  <c r="G7230" i="1"/>
  <c r="F7230" i="1"/>
  <c r="E7230" i="1"/>
  <c r="D7230" i="1"/>
  <c r="C7230" i="1"/>
  <c r="B7230" i="1"/>
  <c r="G7229" i="1"/>
  <c r="F7229" i="1"/>
  <c r="E7229" i="1"/>
  <c r="D7229" i="1"/>
  <c r="C7229" i="1"/>
  <c r="B7229" i="1"/>
  <c r="G7228" i="1"/>
  <c r="F7228" i="1"/>
  <c r="E7228" i="1"/>
  <c r="D7228" i="1"/>
  <c r="C7228" i="1"/>
  <c r="B7228" i="1"/>
  <c r="G7227" i="1"/>
  <c r="F7227" i="1"/>
  <c r="E7227" i="1"/>
  <c r="D7227" i="1"/>
  <c r="C7227" i="1"/>
  <c r="B7227" i="1"/>
  <c r="G7226" i="1"/>
  <c r="F7226" i="1"/>
  <c r="E7226" i="1"/>
  <c r="D7226" i="1"/>
  <c r="C7226" i="1"/>
  <c r="B7226" i="1"/>
  <c r="G7225" i="1"/>
  <c r="F7225" i="1"/>
  <c r="E7225" i="1"/>
  <c r="D7225" i="1"/>
  <c r="C7225" i="1"/>
  <c r="B7225" i="1"/>
  <c r="G7224" i="1"/>
  <c r="F7224" i="1"/>
  <c r="E7224" i="1"/>
  <c r="D7224" i="1"/>
  <c r="C7224" i="1"/>
  <c r="B7224" i="1"/>
  <c r="G7223" i="1"/>
  <c r="F7223" i="1"/>
  <c r="E7223" i="1"/>
  <c r="D7223" i="1"/>
  <c r="C7223" i="1"/>
  <c r="B7223" i="1"/>
  <c r="G7222" i="1"/>
  <c r="F7222" i="1"/>
  <c r="E7222" i="1"/>
  <c r="D7222" i="1"/>
  <c r="C7222" i="1"/>
  <c r="B7222" i="1"/>
  <c r="G7221" i="1"/>
  <c r="F7221" i="1"/>
  <c r="E7221" i="1"/>
  <c r="D7221" i="1"/>
  <c r="C7221" i="1"/>
  <c r="B7221" i="1"/>
  <c r="G7220" i="1"/>
  <c r="F7220" i="1"/>
  <c r="E7220" i="1"/>
  <c r="D7220" i="1"/>
  <c r="C7220" i="1"/>
  <c r="B7220" i="1"/>
  <c r="G7219" i="1"/>
  <c r="F7219" i="1"/>
  <c r="E7219" i="1"/>
  <c r="D7219" i="1"/>
  <c r="C7219" i="1"/>
  <c r="B7219" i="1"/>
  <c r="G7218" i="1"/>
  <c r="F7218" i="1"/>
  <c r="E7218" i="1"/>
  <c r="D7218" i="1"/>
  <c r="C7218" i="1"/>
  <c r="B7218" i="1"/>
  <c r="G7217" i="1"/>
  <c r="F7217" i="1"/>
  <c r="E7217" i="1"/>
  <c r="D7217" i="1"/>
  <c r="C7217" i="1"/>
  <c r="B7217" i="1"/>
  <c r="G7216" i="1"/>
  <c r="F7216" i="1"/>
  <c r="E7216" i="1"/>
  <c r="D7216" i="1"/>
  <c r="C7216" i="1"/>
  <c r="B7216" i="1"/>
  <c r="G7215" i="1"/>
  <c r="F7215" i="1"/>
  <c r="E7215" i="1"/>
  <c r="D7215" i="1"/>
  <c r="C7215" i="1"/>
  <c r="B7215" i="1"/>
  <c r="G7214" i="1"/>
  <c r="F7214" i="1"/>
  <c r="E7214" i="1"/>
  <c r="D7214" i="1"/>
  <c r="C7214" i="1"/>
  <c r="B7214" i="1"/>
  <c r="G7213" i="1"/>
  <c r="F7213" i="1"/>
  <c r="E7213" i="1"/>
  <c r="D7213" i="1"/>
  <c r="C7213" i="1"/>
  <c r="B7213" i="1"/>
  <c r="G7212" i="1"/>
  <c r="F7212" i="1"/>
  <c r="E7212" i="1"/>
  <c r="D7212" i="1"/>
  <c r="C7212" i="1"/>
  <c r="B7212" i="1"/>
  <c r="G7211" i="1"/>
  <c r="F7211" i="1"/>
  <c r="E7211" i="1"/>
  <c r="D7211" i="1"/>
  <c r="C7211" i="1"/>
  <c r="B7211" i="1"/>
  <c r="G7210" i="1"/>
  <c r="F7210" i="1"/>
  <c r="E7210" i="1"/>
  <c r="D7210" i="1"/>
  <c r="C7210" i="1"/>
  <c r="B7210" i="1"/>
  <c r="G7209" i="1"/>
  <c r="F7209" i="1"/>
  <c r="E7209" i="1"/>
  <c r="D7209" i="1"/>
  <c r="C7209" i="1"/>
  <c r="B7209" i="1"/>
  <c r="G7208" i="1"/>
  <c r="F7208" i="1"/>
  <c r="E7208" i="1"/>
  <c r="D7208" i="1"/>
  <c r="C7208" i="1"/>
  <c r="B7208" i="1"/>
  <c r="G7207" i="1"/>
  <c r="F7207" i="1"/>
  <c r="E7207" i="1"/>
  <c r="D7207" i="1"/>
  <c r="C7207" i="1"/>
  <c r="B7207" i="1"/>
  <c r="G7206" i="1"/>
  <c r="F7206" i="1"/>
  <c r="E7206" i="1"/>
  <c r="D7206" i="1"/>
  <c r="C7206" i="1"/>
  <c r="B7206" i="1"/>
  <c r="G7205" i="1"/>
  <c r="F7205" i="1"/>
  <c r="E7205" i="1"/>
  <c r="D7205" i="1"/>
  <c r="C7205" i="1"/>
  <c r="B7205" i="1"/>
  <c r="G7204" i="1"/>
  <c r="F7204" i="1"/>
  <c r="E7204" i="1"/>
  <c r="D7204" i="1"/>
  <c r="C7204" i="1"/>
  <c r="B7204" i="1"/>
  <c r="G7203" i="1"/>
  <c r="F7203" i="1"/>
  <c r="E7203" i="1"/>
  <c r="D7203" i="1"/>
  <c r="C7203" i="1"/>
  <c r="B7203" i="1"/>
  <c r="G7202" i="1"/>
  <c r="F7202" i="1"/>
  <c r="E7202" i="1"/>
  <c r="D7202" i="1"/>
  <c r="C7202" i="1"/>
  <c r="B7202" i="1"/>
  <c r="G7201" i="1"/>
  <c r="F7201" i="1"/>
  <c r="E7201" i="1"/>
  <c r="D7201" i="1"/>
  <c r="C7201" i="1"/>
  <c r="B7201" i="1"/>
  <c r="G7200" i="1"/>
  <c r="F7200" i="1"/>
  <c r="E7200" i="1"/>
  <c r="D7200" i="1"/>
  <c r="C7200" i="1"/>
  <c r="B7200" i="1"/>
  <c r="G7199" i="1"/>
  <c r="F7199" i="1"/>
  <c r="E7199" i="1"/>
  <c r="D7199" i="1"/>
  <c r="C7199" i="1"/>
  <c r="B7199" i="1"/>
  <c r="G7198" i="1"/>
  <c r="F7198" i="1"/>
  <c r="E7198" i="1"/>
  <c r="D7198" i="1"/>
  <c r="C7198" i="1"/>
  <c r="B7198" i="1"/>
  <c r="G7197" i="1"/>
  <c r="F7197" i="1"/>
  <c r="E7197" i="1"/>
  <c r="D7197" i="1"/>
  <c r="C7197" i="1"/>
  <c r="B7197" i="1"/>
  <c r="G7196" i="1"/>
  <c r="F7196" i="1"/>
  <c r="E7196" i="1"/>
  <c r="D7196" i="1"/>
  <c r="C7196" i="1"/>
  <c r="B7196" i="1"/>
  <c r="G7195" i="1"/>
  <c r="F7195" i="1"/>
  <c r="E7195" i="1"/>
  <c r="D7195" i="1"/>
  <c r="C7195" i="1"/>
  <c r="B7195" i="1"/>
  <c r="G7194" i="1"/>
  <c r="F7194" i="1"/>
  <c r="E7194" i="1"/>
  <c r="D7194" i="1"/>
  <c r="C7194" i="1"/>
  <c r="B7194" i="1"/>
  <c r="G7193" i="1"/>
  <c r="F7193" i="1"/>
  <c r="E7193" i="1"/>
  <c r="D7193" i="1"/>
  <c r="C7193" i="1"/>
  <c r="B7193" i="1"/>
  <c r="G7192" i="1"/>
  <c r="F7192" i="1"/>
  <c r="E7192" i="1"/>
  <c r="D7192" i="1"/>
  <c r="C7192" i="1"/>
  <c r="B7192" i="1"/>
  <c r="G7191" i="1"/>
  <c r="F7191" i="1"/>
  <c r="E7191" i="1"/>
  <c r="D7191" i="1"/>
  <c r="C7191" i="1"/>
  <c r="B7191" i="1"/>
  <c r="G7190" i="1"/>
  <c r="F7190" i="1"/>
  <c r="E7190" i="1"/>
  <c r="D7190" i="1"/>
  <c r="C7190" i="1"/>
  <c r="B7190" i="1"/>
  <c r="G7189" i="1"/>
  <c r="F7189" i="1"/>
  <c r="E7189" i="1"/>
  <c r="D7189" i="1"/>
  <c r="C7189" i="1"/>
  <c r="B7189" i="1"/>
  <c r="G7188" i="1"/>
  <c r="F7188" i="1"/>
  <c r="E7188" i="1"/>
  <c r="D7188" i="1"/>
  <c r="C7188" i="1"/>
  <c r="B7188" i="1"/>
  <c r="G7187" i="1"/>
  <c r="F7187" i="1"/>
  <c r="E7187" i="1"/>
  <c r="D7187" i="1"/>
  <c r="C7187" i="1"/>
  <c r="B7187" i="1"/>
  <c r="G7186" i="1"/>
  <c r="F7186" i="1"/>
  <c r="E7186" i="1"/>
  <c r="D7186" i="1"/>
  <c r="C7186" i="1"/>
  <c r="B7186" i="1"/>
  <c r="G7185" i="1"/>
  <c r="F7185" i="1"/>
  <c r="E7185" i="1"/>
  <c r="D7185" i="1"/>
  <c r="C7185" i="1"/>
  <c r="B7185" i="1"/>
  <c r="G7184" i="1"/>
  <c r="F7184" i="1"/>
  <c r="E7184" i="1"/>
  <c r="D7184" i="1"/>
  <c r="C7184" i="1"/>
  <c r="B7184" i="1"/>
  <c r="G7183" i="1"/>
  <c r="F7183" i="1"/>
  <c r="E7183" i="1"/>
  <c r="D7183" i="1"/>
  <c r="C7183" i="1"/>
  <c r="B7183" i="1"/>
  <c r="G7182" i="1"/>
  <c r="F7182" i="1"/>
  <c r="E7182" i="1"/>
  <c r="D7182" i="1"/>
  <c r="C7182" i="1"/>
  <c r="B7182" i="1"/>
  <c r="G7181" i="1"/>
  <c r="F7181" i="1"/>
  <c r="E7181" i="1"/>
  <c r="D7181" i="1"/>
  <c r="C7181" i="1"/>
  <c r="B7181" i="1"/>
  <c r="G7180" i="1"/>
  <c r="F7180" i="1"/>
  <c r="E7180" i="1"/>
  <c r="D7180" i="1"/>
  <c r="C7180" i="1"/>
  <c r="B7180" i="1"/>
  <c r="G7179" i="1"/>
  <c r="F7179" i="1"/>
  <c r="E7179" i="1"/>
  <c r="D7179" i="1"/>
  <c r="C7179" i="1"/>
  <c r="B7179" i="1"/>
  <c r="G7178" i="1"/>
  <c r="F7178" i="1"/>
  <c r="E7178" i="1"/>
  <c r="D7178" i="1"/>
  <c r="C7178" i="1"/>
  <c r="B7178" i="1"/>
  <c r="G7177" i="1"/>
  <c r="F7177" i="1"/>
  <c r="E7177" i="1"/>
  <c r="D7177" i="1"/>
  <c r="C7177" i="1"/>
  <c r="B7177" i="1"/>
  <c r="G7176" i="1"/>
  <c r="F7176" i="1"/>
  <c r="E7176" i="1"/>
  <c r="D7176" i="1"/>
  <c r="C7176" i="1"/>
  <c r="B7176" i="1"/>
  <c r="G7175" i="1"/>
  <c r="F7175" i="1"/>
  <c r="E7175" i="1"/>
  <c r="D7175" i="1"/>
  <c r="C7175" i="1"/>
  <c r="B7175" i="1"/>
  <c r="G7174" i="1"/>
  <c r="F7174" i="1"/>
  <c r="E7174" i="1"/>
  <c r="D7174" i="1"/>
  <c r="C7174" i="1"/>
  <c r="B7174" i="1"/>
  <c r="G7173" i="1"/>
  <c r="F7173" i="1"/>
  <c r="E7173" i="1"/>
  <c r="D7173" i="1"/>
  <c r="C7173" i="1"/>
  <c r="B7173" i="1"/>
  <c r="G7172" i="1"/>
  <c r="F7172" i="1"/>
  <c r="E7172" i="1"/>
  <c r="D7172" i="1"/>
  <c r="C7172" i="1"/>
  <c r="B7172" i="1"/>
  <c r="G7171" i="1"/>
  <c r="F7171" i="1"/>
  <c r="E7171" i="1"/>
  <c r="D7171" i="1"/>
  <c r="C7171" i="1"/>
  <c r="B7171" i="1"/>
  <c r="G7170" i="1"/>
  <c r="F7170" i="1"/>
  <c r="E7170" i="1"/>
  <c r="D7170" i="1"/>
  <c r="C7170" i="1"/>
  <c r="B7170" i="1"/>
  <c r="G7169" i="1"/>
  <c r="F7169" i="1"/>
  <c r="E7169" i="1"/>
  <c r="D7169" i="1"/>
  <c r="C7169" i="1"/>
  <c r="B7169" i="1"/>
  <c r="G7168" i="1"/>
  <c r="F7168" i="1"/>
  <c r="E7168" i="1"/>
  <c r="D7168" i="1"/>
  <c r="C7168" i="1"/>
  <c r="B7168" i="1"/>
  <c r="G7167" i="1"/>
  <c r="F7167" i="1"/>
  <c r="E7167" i="1"/>
  <c r="D7167" i="1"/>
  <c r="C7167" i="1"/>
  <c r="B7167" i="1"/>
  <c r="G7166" i="1"/>
  <c r="F7166" i="1"/>
  <c r="E7166" i="1"/>
  <c r="D7166" i="1"/>
  <c r="C7166" i="1"/>
  <c r="B7166" i="1"/>
  <c r="G7165" i="1"/>
  <c r="F7165" i="1"/>
  <c r="E7165" i="1"/>
  <c r="D7165" i="1"/>
  <c r="C7165" i="1"/>
  <c r="B7165" i="1"/>
  <c r="G7164" i="1"/>
  <c r="F7164" i="1"/>
  <c r="E7164" i="1"/>
  <c r="D7164" i="1"/>
  <c r="C7164" i="1"/>
  <c r="B7164" i="1"/>
  <c r="G7163" i="1"/>
  <c r="F7163" i="1"/>
  <c r="E7163" i="1"/>
  <c r="D7163" i="1"/>
  <c r="C7163" i="1"/>
  <c r="B7163" i="1"/>
  <c r="G7162" i="1"/>
  <c r="F7162" i="1"/>
  <c r="E7162" i="1"/>
  <c r="D7162" i="1"/>
  <c r="C7162" i="1"/>
  <c r="B7162" i="1"/>
  <c r="G7161" i="1"/>
  <c r="F7161" i="1"/>
  <c r="E7161" i="1"/>
  <c r="D7161" i="1"/>
  <c r="C7161" i="1"/>
  <c r="B7161" i="1"/>
  <c r="G7160" i="1"/>
  <c r="F7160" i="1"/>
  <c r="E7160" i="1"/>
  <c r="D7160" i="1"/>
  <c r="C7160" i="1"/>
  <c r="B7160" i="1"/>
  <c r="G7159" i="1"/>
  <c r="F7159" i="1"/>
  <c r="E7159" i="1"/>
  <c r="D7159" i="1"/>
  <c r="C7159" i="1"/>
  <c r="B7159" i="1"/>
  <c r="G7158" i="1"/>
  <c r="F7158" i="1"/>
  <c r="E7158" i="1"/>
  <c r="D7158" i="1"/>
  <c r="C7158" i="1"/>
  <c r="B7158" i="1"/>
  <c r="G7157" i="1"/>
  <c r="F7157" i="1"/>
  <c r="E7157" i="1"/>
  <c r="D7157" i="1"/>
  <c r="C7157" i="1"/>
  <c r="B7157" i="1"/>
  <c r="G7156" i="1"/>
  <c r="F7156" i="1"/>
  <c r="E7156" i="1"/>
  <c r="D7156" i="1"/>
  <c r="C7156" i="1"/>
  <c r="B7156" i="1"/>
  <c r="G7155" i="1"/>
  <c r="F7155" i="1"/>
  <c r="E7155" i="1"/>
  <c r="D7155" i="1"/>
  <c r="C7155" i="1"/>
  <c r="B7155" i="1"/>
  <c r="G7154" i="1"/>
  <c r="F7154" i="1"/>
  <c r="E7154" i="1"/>
  <c r="D7154" i="1"/>
  <c r="C7154" i="1"/>
  <c r="B7154" i="1"/>
  <c r="G7153" i="1"/>
  <c r="F7153" i="1"/>
  <c r="E7153" i="1"/>
  <c r="D7153" i="1"/>
  <c r="C7153" i="1"/>
  <c r="B7153" i="1"/>
  <c r="G7152" i="1"/>
  <c r="F7152" i="1"/>
  <c r="E7152" i="1"/>
  <c r="D7152" i="1"/>
  <c r="C7152" i="1"/>
  <c r="B7152" i="1"/>
  <c r="G7151" i="1"/>
  <c r="F7151" i="1"/>
  <c r="E7151" i="1"/>
  <c r="D7151" i="1"/>
  <c r="C7151" i="1"/>
  <c r="B7151" i="1"/>
  <c r="G7150" i="1"/>
  <c r="F7150" i="1"/>
  <c r="E7150" i="1"/>
  <c r="D7150" i="1"/>
  <c r="C7150" i="1"/>
  <c r="B7150" i="1"/>
  <c r="G7149" i="1"/>
  <c r="F7149" i="1"/>
  <c r="E7149" i="1"/>
  <c r="D7149" i="1"/>
  <c r="C7149" i="1"/>
  <c r="B7149" i="1"/>
  <c r="G7148" i="1"/>
  <c r="F7148" i="1"/>
  <c r="E7148" i="1"/>
  <c r="D7148" i="1"/>
  <c r="C7148" i="1"/>
  <c r="B7148" i="1"/>
  <c r="G7147" i="1"/>
  <c r="F7147" i="1"/>
  <c r="E7147" i="1"/>
  <c r="D7147" i="1"/>
  <c r="C7147" i="1"/>
  <c r="B7147" i="1"/>
  <c r="G7146" i="1"/>
  <c r="F7146" i="1"/>
  <c r="E7146" i="1"/>
  <c r="D7146" i="1"/>
  <c r="C7146" i="1"/>
  <c r="B7146" i="1"/>
  <c r="G7145" i="1"/>
  <c r="F7145" i="1"/>
  <c r="E7145" i="1"/>
  <c r="D7145" i="1"/>
  <c r="C7145" i="1"/>
  <c r="B7145" i="1"/>
  <c r="G7144" i="1"/>
  <c r="F7144" i="1"/>
  <c r="E7144" i="1"/>
  <c r="D7144" i="1"/>
  <c r="C7144" i="1"/>
  <c r="B7144" i="1"/>
  <c r="G7143" i="1"/>
  <c r="F7143" i="1"/>
  <c r="E7143" i="1"/>
  <c r="D7143" i="1"/>
  <c r="C7143" i="1"/>
  <c r="B7143" i="1"/>
  <c r="G7142" i="1"/>
  <c r="F7142" i="1"/>
  <c r="E7142" i="1"/>
  <c r="D7142" i="1"/>
  <c r="C7142" i="1"/>
  <c r="B7142" i="1"/>
  <c r="G7141" i="1"/>
  <c r="F7141" i="1"/>
  <c r="E7141" i="1"/>
  <c r="D7141" i="1"/>
  <c r="C7141" i="1"/>
  <c r="B7141" i="1"/>
  <c r="G7140" i="1"/>
  <c r="F7140" i="1"/>
  <c r="E7140" i="1"/>
  <c r="D7140" i="1"/>
  <c r="C7140" i="1"/>
  <c r="B7140" i="1"/>
  <c r="G7139" i="1"/>
  <c r="F7139" i="1"/>
  <c r="E7139" i="1"/>
  <c r="D7139" i="1"/>
  <c r="C7139" i="1"/>
  <c r="B7139" i="1"/>
  <c r="G7138" i="1"/>
  <c r="F7138" i="1"/>
  <c r="E7138" i="1"/>
  <c r="D7138" i="1"/>
  <c r="C7138" i="1"/>
  <c r="B7138" i="1"/>
  <c r="G7137" i="1"/>
  <c r="F7137" i="1"/>
  <c r="E7137" i="1"/>
  <c r="D7137" i="1"/>
  <c r="C7137" i="1"/>
  <c r="B7137" i="1"/>
  <c r="G7136" i="1"/>
  <c r="F7136" i="1"/>
  <c r="E7136" i="1"/>
  <c r="D7136" i="1"/>
  <c r="C7136" i="1"/>
  <c r="B7136" i="1"/>
  <c r="G7135" i="1"/>
  <c r="F7135" i="1"/>
  <c r="E7135" i="1"/>
  <c r="D7135" i="1"/>
  <c r="C7135" i="1"/>
  <c r="B7135" i="1"/>
  <c r="G7134" i="1"/>
  <c r="F7134" i="1"/>
  <c r="E7134" i="1"/>
  <c r="D7134" i="1"/>
  <c r="C7134" i="1"/>
  <c r="B7134" i="1"/>
  <c r="G7133" i="1"/>
  <c r="F7133" i="1"/>
  <c r="E7133" i="1"/>
  <c r="D7133" i="1"/>
  <c r="C7133" i="1"/>
  <c r="B7133" i="1"/>
  <c r="G7132" i="1"/>
  <c r="F7132" i="1"/>
  <c r="E7132" i="1"/>
  <c r="D7132" i="1"/>
  <c r="C7132" i="1"/>
  <c r="B7132" i="1"/>
  <c r="G7131" i="1"/>
  <c r="F7131" i="1"/>
  <c r="E7131" i="1"/>
  <c r="D7131" i="1"/>
  <c r="C7131" i="1"/>
  <c r="B7131" i="1"/>
  <c r="G7130" i="1"/>
  <c r="F7130" i="1"/>
  <c r="E7130" i="1"/>
  <c r="D7130" i="1"/>
  <c r="C7130" i="1"/>
  <c r="B7130" i="1"/>
  <c r="G7129" i="1"/>
  <c r="F7129" i="1"/>
  <c r="E7129" i="1"/>
  <c r="D7129" i="1"/>
  <c r="C7129" i="1"/>
  <c r="B7129" i="1"/>
  <c r="G7128" i="1"/>
  <c r="F7128" i="1"/>
  <c r="E7128" i="1"/>
  <c r="D7128" i="1"/>
  <c r="C7128" i="1"/>
  <c r="B7128" i="1"/>
  <c r="G7127" i="1"/>
  <c r="F7127" i="1"/>
  <c r="E7127" i="1"/>
  <c r="D7127" i="1"/>
  <c r="C7127" i="1"/>
  <c r="B7127" i="1"/>
  <c r="G7126" i="1"/>
  <c r="F7126" i="1"/>
  <c r="E7126" i="1"/>
  <c r="D7126" i="1"/>
  <c r="C7126" i="1"/>
  <c r="B7126" i="1"/>
  <c r="G7125" i="1"/>
  <c r="F7125" i="1"/>
  <c r="E7125" i="1"/>
  <c r="D7125" i="1"/>
  <c r="C7125" i="1"/>
  <c r="B7125" i="1"/>
  <c r="G7124" i="1"/>
  <c r="F7124" i="1"/>
  <c r="E7124" i="1"/>
  <c r="D7124" i="1"/>
  <c r="C7124" i="1"/>
  <c r="B7124" i="1"/>
  <c r="G7123" i="1"/>
  <c r="F7123" i="1"/>
  <c r="E7123" i="1"/>
  <c r="D7123" i="1"/>
  <c r="C7123" i="1"/>
  <c r="B7123" i="1"/>
  <c r="G7122" i="1"/>
  <c r="F7122" i="1"/>
  <c r="E7122" i="1"/>
  <c r="D7122" i="1"/>
  <c r="C7122" i="1"/>
  <c r="B7122" i="1"/>
  <c r="G7121" i="1"/>
  <c r="F7121" i="1"/>
  <c r="E7121" i="1"/>
  <c r="D7121" i="1"/>
  <c r="C7121" i="1"/>
  <c r="B7121" i="1"/>
  <c r="G7120" i="1"/>
  <c r="F7120" i="1"/>
  <c r="E7120" i="1"/>
  <c r="D7120" i="1"/>
  <c r="C7120" i="1"/>
  <c r="B7120" i="1"/>
  <c r="G7119" i="1"/>
  <c r="F7119" i="1"/>
  <c r="E7119" i="1"/>
  <c r="D7119" i="1"/>
  <c r="C7119" i="1"/>
  <c r="B7119" i="1"/>
  <c r="G7118" i="1"/>
  <c r="F7118" i="1"/>
  <c r="E7118" i="1"/>
  <c r="D7118" i="1"/>
  <c r="C7118" i="1"/>
  <c r="B7118" i="1"/>
  <c r="G7117" i="1"/>
  <c r="F7117" i="1"/>
  <c r="E7117" i="1"/>
  <c r="D7117" i="1"/>
  <c r="C7117" i="1"/>
  <c r="B7117" i="1"/>
  <c r="G7116" i="1"/>
  <c r="F7116" i="1"/>
  <c r="E7116" i="1"/>
  <c r="D7116" i="1"/>
  <c r="C7116" i="1"/>
  <c r="B7116" i="1"/>
  <c r="G7115" i="1"/>
  <c r="F7115" i="1"/>
  <c r="E7115" i="1"/>
  <c r="D7115" i="1"/>
  <c r="C7115" i="1"/>
  <c r="B7115" i="1"/>
  <c r="G7114" i="1"/>
  <c r="F7114" i="1"/>
  <c r="E7114" i="1"/>
  <c r="D7114" i="1"/>
  <c r="C7114" i="1"/>
  <c r="B7114" i="1"/>
  <c r="G7113" i="1"/>
  <c r="F7113" i="1"/>
  <c r="E7113" i="1"/>
  <c r="D7113" i="1"/>
  <c r="C7113" i="1"/>
  <c r="B7113" i="1"/>
  <c r="G7112" i="1"/>
  <c r="F7112" i="1"/>
  <c r="E7112" i="1"/>
  <c r="D7112" i="1"/>
  <c r="C7112" i="1"/>
  <c r="B7112" i="1"/>
  <c r="G7111" i="1"/>
  <c r="F7111" i="1"/>
  <c r="E7111" i="1"/>
  <c r="D7111" i="1"/>
  <c r="C7111" i="1"/>
  <c r="B7111" i="1"/>
  <c r="G7110" i="1"/>
  <c r="F7110" i="1"/>
  <c r="E7110" i="1"/>
  <c r="D7110" i="1"/>
  <c r="C7110" i="1"/>
  <c r="B7110" i="1"/>
  <c r="G7109" i="1"/>
  <c r="F7109" i="1"/>
  <c r="E7109" i="1"/>
  <c r="D7109" i="1"/>
  <c r="C7109" i="1"/>
  <c r="B7109" i="1"/>
  <c r="G7108" i="1"/>
  <c r="F7108" i="1"/>
  <c r="E7108" i="1"/>
  <c r="D7108" i="1"/>
  <c r="C7108" i="1"/>
  <c r="B7108" i="1"/>
  <c r="G7107" i="1"/>
  <c r="F7107" i="1"/>
  <c r="E7107" i="1"/>
  <c r="D7107" i="1"/>
  <c r="C7107" i="1"/>
  <c r="B7107" i="1"/>
  <c r="G7106" i="1"/>
  <c r="F7106" i="1"/>
  <c r="E7106" i="1"/>
  <c r="D7106" i="1"/>
  <c r="C7106" i="1"/>
  <c r="B7106" i="1"/>
  <c r="G7105" i="1"/>
  <c r="F7105" i="1"/>
  <c r="E7105" i="1"/>
  <c r="D7105" i="1"/>
  <c r="C7105" i="1"/>
  <c r="B7105" i="1"/>
  <c r="G7104" i="1"/>
  <c r="F7104" i="1"/>
  <c r="E7104" i="1"/>
  <c r="D7104" i="1"/>
  <c r="C7104" i="1"/>
  <c r="B7104" i="1"/>
  <c r="G7103" i="1"/>
  <c r="F7103" i="1"/>
  <c r="E7103" i="1"/>
  <c r="D7103" i="1"/>
  <c r="C7103" i="1"/>
  <c r="B7103" i="1"/>
  <c r="G7102" i="1"/>
  <c r="F7102" i="1"/>
  <c r="E7102" i="1"/>
  <c r="D7102" i="1"/>
  <c r="C7102" i="1"/>
  <c r="B7102" i="1"/>
  <c r="G7101" i="1"/>
  <c r="F7101" i="1"/>
  <c r="E7101" i="1"/>
  <c r="D7101" i="1"/>
  <c r="C7101" i="1"/>
  <c r="B7101" i="1"/>
  <c r="G7100" i="1"/>
  <c r="F7100" i="1"/>
  <c r="E7100" i="1"/>
  <c r="D7100" i="1"/>
  <c r="C7100" i="1"/>
  <c r="B7100" i="1"/>
  <c r="G7099" i="1"/>
  <c r="F7099" i="1"/>
  <c r="E7099" i="1"/>
  <c r="D7099" i="1"/>
  <c r="C7099" i="1"/>
  <c r="B7099" i="1"/>
  <c r="G7098" i="1"/>
  <c r="F7098" i="1"/>
  <c r="E7098" i="1"/>
  <c r="D7098" i="1"/>
  <c r="C7098" i="1"/>
  <c r="B7098" i="1"/>
  <c r="G7097" i="1"/>
  <c r="F7097" i="1"/>
  <c r="E7097" i="1"/>
  <c r="D7097" i="1"/>
  <c r="C7097" i="1"/>
  <c r="B7097" i="1"/>
  <c r="G7096" i="1"/>
  <c r="F7096" i="1"/>
  <c r="E7096" i="1"/>
  <c r="D7096" i="1"/>
  <c r="C7096" i="1"/>
  <c r="B7096" i="1"/>
  <c r="G7095" i="1"/>
  <c r="F7095" i="1"/>
  <c r="E7095" i="1"/>
  <c r="D7095" i="1"/>
  <c r="C7095" i="1"/>
  <c r="B7095" i="1"/>
  <c r="G7094" i="1"/>
  <c r="F7094" i="1"/>
  <c r="E7094" i="1"/>
  <c r="D7094" i="1"/>
  <c r="C7094" i="1"/>
  <c r="B7094" i="1"/>
  <c r="G7093" i="1"/>
  <c r="F7093" i="1"/>
  <c r="E7093" i="1"/>
  <c r="D7093" i="1"/>
  <c r="C7093" i="1"/>
  <c r="B7093" i="1"/>
  <c r="G7092" i="1"/>
  <c r="F7092" i="1"/>
  <c r="E7092" i="1"/>
  <c r="D7092" i="1"/>
  <c r="C7092" i="1"/>
  <c r="B7092" i="1"/>
  <c r="G7091" i="1"/>
  <c r="F7091" i="1"/>
  <c r="E7091" i="1"/>
  <c r="D7091" i="1"/>
  <c r="C7091" i="1"/>
  <c r="B7091" i="1"/>
  <c r="G7090" i="1"/>
  <c r="F7090" i="1"/>
  <c r="E7090" i="1"/>
  <c r="D7090" i="1"/>
  <c r="C7090" i="1"/>
  <c r="B7090" i="1"/>
  <c r="G7089" i="1"/>
  <c r="F7089" i="1"/>
  <c r="E7089" i="1"/>
  <c r="D7089" i="1"/>
  <c r="C7089" i="1"/>
  <c r="B7089" i="1"/>
  <c r="G7088" i="1"/>
  <c r="F7088" i="1"/>
  <c r="E7088" i="1"/>
  <c r="D7088" i="1"/>
  <c r="C7088" i="1"/>
  <c r="B7088" i="1"/>
  <c r="G7087" i="1"/>
  <c r="F7087" i="1"/>
  <c r="E7087" i="1"/>
  <c r="D7087" i="1"/>
  <c r="C7087" i="1"/>
  <c r="B7087" i="1"/>
  <c r="G7086" i="1"/>
  <c r="F7086" i="1"/>
  <c r="E7086" i="1"/>
  <c r="D7086" i="1"/>
  <c r="C7086" i="1"/>
  <c r="B7086" i="1"/>
  <c r="G7085" i="1"/>
  <c r="F7085" i="1"/>
  <c r="E7085" i="1"/>
  <c r="D7085" i="1"/>
  <c r="C7085" i="1"/>
  <c r="B7085" i="1"/>
  <c r="G7084" i="1"/>
  <c r="F7084" i="1"/>
  <c r="E7084" i="1"/>
  <c r="D7084" i="1"/>
  <c r="C7084" i="1"/>
  <c r="B7084" i="1"/>
  <c r="G7083" i="1"/>
  <c r="F7083" i="1"/>
  <c r="E7083" i="1"/>
  <c r="D7083" i="1"/>
  <c r="C7083" i="1"/>
  <c r="B7083" i="1"/>
  <c r="G7082" i="1"/>
  <c r="F7082" i="1"/>
  <c r="E7082" i="1"/>
  <c r="D7082" i="1"/>
  <c r="C7082" i="1"/>
  <c r="B7082" i="1"/>
  <c r="G7081" i="1"/>
  <c r="F7081" i="1"/>
  <c r="E7081" i="1"/>
  <c r="D7081" i="1"/>
  <c r="C7081" i="1"/>
  <c r="B7081" i="1"/>
  <c r="G7080" i="1"/>
  <c r="F7080" i="1"/>
  <c r="E7080" i="1"/>
  <c r="D7080" i="1"/>
  <c r="C7080" i="1"/>
  <c r="B7080" i="1"/>
  <c r="G7079" i="1"/>
  <c r="F7079" i="1"/>
  <c r="E7079" i="1"/>
  <c r="D7079" i="1"/>
  <c r="C7079" i="1"/>
  <c r="B7079" i="1"/>
  <c r="G7078" i="1"/>
  <c r="F7078" i="1"/>
  <c r="E7078" i="1"/>
  <c r="D7078" i="1"/>
  <c r="C7078" i="1"/>
  <c r="B7078" i="1"/>
  <c r="G7077" i="1"/>
  <c r="F7077" i="1"/>
  <c r="E7077" i="1"/>
  <c r="D7077" i="1"/>
  <c r="C7077" i="1"/>
  <c r="B7077" i="1"/>
  <c r="G7076" i="1"/>
  <c r="F7076" i="1"/>
  <c r="E7076" i="1"/>
  <c r="D7076" i="1"/>
  <c r="C7076" i="1"/>
  <c r="B7076" i="1"/>
  <c r="G7075" i="1"/>
  <c r="F7075" i="1"/>
  <c r="E7075" i="1"/>
  <c r="D7075" i="1"/>
  <c r="C7075" i="1"/>
  <c r="B7075" i="1"/>
  <c r="G7074" i="1"/>
  <c r="F7074" i="1"/>
  <c r="E7074" i="1"/>
  <c r="D7074" i="1"/>
  <c r="C7074" i="1"/>
  <c r="B7074" i="1"/>
  <c r="G7073" i="1"/>
  <c r="F7073" i="1"/>
  <c r="E7073" i="1"/>
  <c r="D7073" i="1"/>
  <c r="C7073" i="1"/>
  <c r="B7073" i="1"/>
  <c r="G7072" i="1"/>
  <c r="F7072" i="1"/>
  <c r="E7072" i="1"/>
  <c r="D7072" i="1"/>
  <c r="C7072" i="1"/>
  <c r="B7072" i="1"/>
  <c r="G7071" i="1"/>
  <c r="F7071" i="1"/>
  <c r="E7071" i="1"/>
  <c r="D7071" i="1"/>
  <c r="C7071" i="1"/>
  <c r="B7071" i="1"/>
  <c r="G7070" i="1"/>
  <c r="F7070" i="1"/>
  <c r="E7070" i="1"/>
  <c r="D7070" i="1"/>
  <c r="C7070" i="1"/>
  <c r="B7070" i="1"/>
  <c r="G7069" i="1"/>
  <c r="F7069" i="1"/>
  <c r="E7069" i="1"/>
  <c r="D7069" i="1"/>
  <c r="C7069" i="1"/>
  <c r="B7069" i="1"/>
  <c r="G7068" i="1"/>
  <c r="F7068" i="1"/>
  <c r="E7068" i="1"/>
  <c r="D7068" i="1"/>
  <c r="C7068" i="1"/>
  <c r="B7068" i="1"/>
  <c r="G7067" i="1"/>
  <c r="F7067" i="1"/>
  <c r="E7067" i="1"/>
  <c r="D7067" i="1"/>
  <c r="C7067" i="1"/>
  <c r="B7067" i="1"/>
  <c r="G7066" i="1"/>
  <c r="F7066" i="1"/>
  <c r="E7066" i="1"/>
  <c r="D7066" i="1"/>
  <c r="C7066" i="1"/>
  <c r="B7066" i="1"/>
  <c r="G7065" i="1"/>
  <c r="F7065" i="1"/>
  <c r="E7065" i="1"/>
  <c r="D7065" i="1"/>
  <c r="C7065" i="1"/>
  <c r="B7065" i="1"/>
  <c r="G7064" i="1"/>
  <c r="F7064" i="1"/>
  <c r="E7064" i="1"/>
  <c r="D7064" i="1"/>
  <c r="C7064" i="1"/>
  <c r="B7064" i="1"/>
  <c r="G7063" i="1"/>
  <c r="F7063" i="1"/>
  <c r="E7063" i="1"/>
  <c r="D7063" i="1"/>
  <c r="C7063" i="1"/>
  <c r="B7063" i="1"/>
  <c r="G7062" i="1"/>
  <c r="F7062" i="1"/>
  <c r="E7062" i="1"/>
  <c r="D7062" i="1"/>
  <c r="C7062" i="1"/>
  <c r="B7062" i="1"/>
  <c r="G7061" i="1"/>
  <c r="F7061" i="1"/>
  <c r="E7061" i="1"/>
  <c r="D7061" i="1"/>
  <c r="C7061" i="1"/>
  <c r="B7061" i="1"/>
  <c r="G7060" i="1"/>
  <c r="F7060" i="1"/>
  <c r="E7060" i="1"/>
  <c r="D7060" i="1"/>
  <c r="C7060" i="1"/>
  <c r="B7060" i="1"/>
  <c r="G7059" i="1"/>
  <c r="F7059" i="1"/>
  <c r="E7059" i="1"/>
  <c r="D7059" i="1"/>
  <c r="C7059" i="1"/>
  <c r="B7059" i="1"/>
  <c r="G7058" i="1"/>
  <c r="F7058" i="1"/>
  <c r="E7058" i="1"/>
  <c r="D7058" i="1"/>
  <c r="C7058" i="1"/>
  <c r="B7058" i="1"/>
  <c r="G7057" i="1"/>
  <c r="F7057" i="1"/>
  <c r="E7057" i="1"/>
  <c r="D7057" i="1"/>
  <c r="C7057" i="1"/>
  <c r="B7057" i="1"/>
  <c r="G7056" i="1"/>
  <c r="F7056" i="1"/>
  <c r="E7056" i="1"/>
  <c r="D7056" i="1"/>
  <c r="C7056" i="1"/>
  <c r="B7056" i="1"/>
  <c r="G7055" i="1"/>
  <c r="F7055" i="1"/>
  <c r="E7055" i="1"/>
  <c r="D7055" i="1"/>
  <c r="C7055" i="1"/>
  <c r="B7055" i="1"/>
  <c r="G7054" i="1"/>
  <c r="F7054" i="1"/>
  <c r="E7054" i="1"/>
  <c r="D7054" i="1"/>
  <c r="C7054" i="1"/>
  <c r="B7054" i="1"/>
  <c r="G7053" i="1"/>
  <c r="F7053" i="1"/>
  <c r="E7053" i="1"/>
  <c r="D7053" i="1"/>
  <c r="C7053" i="1"/>
  <c r="B7053" i="1"/>
  <c r="G7052" i="1"/>
  <c r="F7052" i="1"/>
  <c r="E7052" i="1"/>
  <c r="D7052" i="1"/>
  <c r="C7052" i="1"/>
  <c r="B7052" i="1"/>
  <c r="G7051" i="1"/>
  <c r="F7051" i="1"/>
  <c r="E7051" i="1"/>
  <c r="D7051" i="1"/>
  <c r="C7051" i="1"/>
  <c r="B7051" i="1"/>
  <c r="G7050" i="1"/>
  <c r="F7050" i="1"/>
  <c r="E7050" i="1"/>
  <c r="D7050" i="1"/>
  <c r="C7050" i="1"/>
  <c r="B7050" i="1"/>
  <c r="G7049" i="1"/>
  <c r="F7049" i="1"/>
  <c r="E7049" i="1"/>
  <c r="D7049" i="1"/>
  <c r="C7049" i="1"/>
  <c r="B7049" i="1"/>
  <c r="G7048" i="1"/>
  <c r="F7048" i="1"/>
  <c r="E7048" i="1"/>
  <c r="D7048" i="1"/>
  <c r="C7048" i="1"/>
  <c r="B7048" i="1"/>
  <c r="G7047" i="1"/>
  <c r="F7047" i="1"/>
  <c r="E7047" i="1"/>
  <c r="D7047" i="1"/>
  <c r="C7047" i="1"/>
  <c r="B7047" i="1"/>
  <c r="G7046" i="1"/>
  <c r="F7046" i="1"/>
  <c r="E7046" i="1"/>
  <c r="D7046" i="1"/>
  <c r="C7046" i="1"/>
  <c r="B7046" i="1"/>
  <c r="G7045" i="1"/>
  <c r="F7045" i="1"/>
  <c r="E7045" i="1"/>
  <c r="D7045" i="1"/>
  <c r="C7045" i="1"/>
  <c r="B7045" i="1"/>
  <c r="G7044" i="1"/>
  <c r="F7044" i="1"/>
  <c r="E7044" i="1"/>
  <c r="D7044" i="1"/>
  <c r="C7044" i="1"/>
  <c r="B7044" i="1"/>
  <c r="G7043" i="1"/>
  <c r="F7043" i="1"/>
  <c r="E7043" i="1"/>
  <c r="D7043" i="1"/>
  <c r="C7043" i="1"/>
  <c r="B7043" i="1"/>
  <c r="G7042" i="1"/>
  <c r="F7042" i="1"/>
  <c r="E7042" i="1"/>
  <c r="D7042" i="1"/>
  <c r="C7042" i="1"/>
  <c r="B7042" i="1"/>
  <c r="G7041" i="1"/>
  <c r="F7041" i="1"/>
  <c r="E7041" i="1"/>
  <c r="D7041" i="1"/>
  <c r="C7041" i="1"/>
  <c r="B7041" i="1"/>
  <c r="G7040" i="1"/>
  <c r="F7040" i="1"/>
  <c r="E7040" i="1"/>
  <c r="D7040" i="1"/>
  <c r="C7040" i="1"/>
  <c r="B7040" i="1"/>
  <c r="G7039" i="1"/>
  <c r="F7039" i="1"/>
  <c r="E7039" i="1"/>
  <c r="D7039" i="1"/>
  <c r="C7039" i="1"/>
  <c r="B7039" i="1"/>
  <c r="G7038" i="1"/>
  <c r="F7038" i="1"/>
  <c r="E7038" i="1"/>
  <c r="D7038" i="1"/>
  <c r="C7038" i="1"/>
  <c r="B7038" i="1"/>
  <c r="G7037" i="1"/>
  <c r="F7037" i="1"/>
  <c r="E7037" i="1"/>
  <c r="D7037" i="1"/>
  <c r="C7037" i="1"/>
  <c r="B7037" i="1"/>
  <c r="G7036" i="1"/>
  <c r="F7036" i="1"/>
  <c r="E7036" i="1"/>
  <c r="D7036" i="1"/>
  <c r="C7036" i="1"/>
  <c r="B7036" i="1"/>
  <c r="G7035" i="1"/>
  <c r="F7035" i="1"/>
  <c r="E7035" i="1"/>
  <c r="D7035" i="1"/>
  <c r="C7035" i="1"/>
  <c r="B7035" i="1"/>
  <c r="G7034" i="1"/>
  <c r="F7034" i="1"/>
  <c r="E7034" i="1"/>
  <c r="D7034" i="1"/>
  <c r="C7034" i="1"/>
  <c r="B7034" i="1"/>
  <c r="G7033" i="1"/>
  <c r="F7033" i="1"/>
  <c r="E7033" i="1"/>
  <c r="D7033" i="1"/>
  <c r="C7033" i="1"/>
  <c r="B7033" i="1"/>
  <c r="G7032" i="1"/>
  <c r="F7032" i="1"/>
  <c r="E7032" i="1"/>
  <c r="D7032" i="1"/>
  <c r="C7032" i="1"/>
  <c r="B7032" i="1"/>
  <c r="D7031" i="1"/>
  <c r="C7031" i="1"/>
  <c r="B7031" i="1"/>
  <c r="G7030" i="1"/>
  <c r="F7030" i="1"/>
  <c r="E7030" i="1"/>
  <c r="D7030" i="1"/>
  <c r="C7030" i="1"/>
  <c r="B7030" i="1"/>
  <c r="G7029" i="1"/>
  <c r="F7029" i="1"/>
  <c r="E7029" i="1"/>
  <c r="D7029" i="1"/>
  <c r="C7029" i="1"/>
  <c r="B7029" i="1"/>
  <c r="G7028" i="1"/>
  <c r="F7028" i="1"/>
  <c r="E7028" i="1"/>
  <c r="D7028" i="1"/>
  <c r="C7028" i="1"/>
  <c r="B7028" i="1"/>
  <c r="G7027" i="1"/>
  <c r="F7027" i="1"/>
  <c r="E7027" i="1"/>
  <c r="D7027" i="1"/>
  <c r="C7027" i="1"/>
  <c r="B7027" i="1"/>
  <c r="G7026" i="1"/>
  <c r="F7026" i="1"/>
  <c r="E7026" i="1"/>
  <c r="D7026" i="1"/>
  <c r="C7026" i="1"/>
  <c r="B7026" i="1"/>
  <c r="G7025" i="1"/>
  <c r="F7025" i="1"/>
  <c r="E7025" i="1"/>
  <c r="D7025" i="1"/>
  <c r="C7025" i="1"/>
  <c r="B7025" i="1"/>
  <c r="G7024" i="1"/>
  <c r="F7024" i="1"/>
  <c r="E7024" i="1"/>
  <c r="D7024" i="1"/>
  <c r="C7024" i="1"/>
  <c r="B7024" i="1"/>
  <c r="G7023" i="1"/>
  <c r="F7023" i="1"/>
  <c r="E7023" i="1"/>
  <c r="D7023" i="1"/>
  <c r="C7023" i="1"/>
  <c r="B7023" i="1"/>
  <c r="G7022" i="1"/>
  <c r="F7022" i="1"/>
  <c r="E7022" i="1"/>
  <c r="D7022" i="1"/>
  <c r="C7022" i="1"/>
  <c r="B7022" i="1"/>
  <c r="G7021" i="1"/>
  <c r="F7021" i="1"/>
  <c r="E7021" i="1"/>
  <c r="D7021" i="1"/>
  <c r="C7021" i="1"/>
  <c r="B7021" i="1"/>
  <c r="G7020" i="1"/>
  <c r="F7020" i="1"/>
  <c r="E7020" i="1"/>
  <c r="D7020" i="1"/>
  <c r="C7020" i="1"/>
  <c r="B7020" i="1"/>
  <c r="G7019" i="1"/>
  <c r="F7019" i="1"/>
  <c r="E7019" i="1"/>
  <c r="D7019" i="1"/>
  <c r="C7019" i="1"/>
  <c r="B7019" i="1"/>
  <c r="G7018" i="1"/>
  <c r="F7018" i="1"/>
  <c r="E7018" i="1"/>
  <c r="D7018" i="1"/>
  <c r="C7018" i="1"/>
  <c r="B7018" i="1"/>
  <c r="G7017" i="1"/>
  <c r="F7017" i="1"/>
  <c r="E7017" i="1"/>
  <c r="D7017" i="1"/>
  <c r="C7017" i="1"/>
  <c r="B7017" i="1"/>
  <c r="G7016" i="1"/>
  <c r="F7016" i="1"/>
  <c r="E7016" i="1"/>
  <c r="D7016" i="1"/>
  <c r="C7016" i="1"/>
  <c r="B7016" i="1"/>
  <c r="G7015" i="1"/>
  <c r="F7015" i="1"/>
  <c r="E7015" i="1"/>
  <c r="D7015" i="1"/>
  <c r="C7015" i="1"/>
  <c r="B7015" i="1"/>
  <c r="G7014" i="1"/>
  <c r="F7014" i="1"/>
  <c r="E7014" i="1"/>
  <c r="D7014" i="1"/>
  <c r="C7014" i="1"/>
  <c r="B7014" i="1"/>
  <c r="G7013" i="1"/>
  <c r="F7013" i="1"/>
  <c r="E7013" i="1"/>
  <c r="D7013" i="1"/>
  <c r="C7013" i="1"/>
  <c r="B7013" i="1"/>
  <c r="G7012" i="1"/>
  <c r="F7012" i="1"/>
  <c r="E7012" i="1"/>
  <c r="D7012" i="1"/>
  <c r="C7012" i="1"/>
  <c r="B7012" i="1"/>
  <c r="G7011" i="1"/>
  <c r="F7011" i="1"/>
  <c r="E7011" i="1"/>
  <c r="D7011" i="1"/>
  <c r="C7011" i="1"/>
  <c r="B7011" i="1"/>
  <c r="G7010" i="1"/>
  <c r="F7010" i="1"/>
  <c r="E7010" i="1"/>
  <c r="D7010" i="1"/>
  <c r="C7010" i="1"/>
  <c r="B7010" i="1"/>
  <c r="G7009" i="1"/>
  <c r="F7009" i="1"/>
  <c r="E7009" i="1"/>
  <c r="D7009" i="1"/>
  <c r="C7009" i="1"/>
  <c r="B7009" i="1"/>
  <c r="G7008" i="1"/>
  <c r="F7008" i="1"/>
  <c r="E7008" i="1"/>
  <c r="D7008" i="1"/>
  <c r="C7008" i="1"/>
  <c r="B7008" i="1"/>
  <c r="G7007" i="1"/>
  <c r="F7007" i="1"/>
  <c r="E7007" i="1"/>
  <c r="D7007" i="1"/>
  <c r="C7007" i="1"/>
  <c r="B7007" i="1"/>
  <c r="G7006" i="1"/>
  <c r="F7006" i="1"/>
  <c r="E7006" i="1"/>
  <c r="D7006" i="1"/>
  <c r="C7006" i="1"/>
  <c r="B7006" i="1"/>
  <c r="G7005" i="1"/>
  <c r="F7005" i="1"/>
  <c r="E7005" i="1"/>
  <c r="D7005" i="1"/>
  <c r="C7005" i="1"/>
  <c r="B7005" i="1"/>
  <c r="G7004" i="1"/>
  <c r="F7004" i="1"/>
  <c r="E7004" i="1"/>
  <c r="D7004" i="1"/>
  <c r="C7004" i="1"/>
  <c r="B7004" i="1"/>
  <c r="G7003" i="1"/>
  <c r="F7003" i="1"/>
  <c r="E7003" i="1"/>
  <c r="D7003" i="1"/>
  <c r="C7003" i="1"/>
  <c r="B7003" i="1"/>
  <c r="G7002" i="1"/>
  <c r="F7002" i="1"/>
  <c r="E7002" i="1"/>
  <c r="D7002" i="1"/>
  <c r="C7002" i="1"/>
  <c r="B7002" i="1"/>
  <c r="G7001" i="1"/>
  <c r="F7001" i="1"/>
  <c r="E7001" i="1"/>
  <c r="D7001" i="1"/>
  <c r="C7001" i="1"/>
  <c r="B7001" i="1"/>
  <c r="G7000" i="1"/>
  <c r="F7000" i="1"/>
  <c r="E7000" i="1"/>
  <c r="D7000" i="1"/>
  <c r="C7000" i="1"/>
  <c r="B7000" i="1"/>
  <c r="G6999" i="1"/>
  <c r="F6999" i="1"/>
  <c r="E6999" i="1"/>
  <c r="D6999" i="1"/>
  <c r="C6999" i="1"/>
  <c r="B6999" i="1"/>
  <c r="G6998" i="1"/>
  <c r="F6998" i="1"/>
  <c r="E6998" i="1"/>
  <c r="D6998" i="1"/>
  <c r="C6998" i="1"/>
  <c r="B6998" i="1"/>
  <c r="G6997" i="1"/>
  <c r="F6997" i="1"/>
  <c r="E6997" i="1"/>
  <c r="D6997" i="1"/>
  <c r="C6997" i="1"/>
  <c r="B6997" i="1"/>
  <c r="G6996" i="1"/>
  <c r="F6996" i="1"/>
  <c r="E6996" i="1"/>
  <c r="D6996" i="1"/>
  <c r="C6996" i="1"/>
  <c r="B6996" i="1"/>
  <c r="G6995" i="1"/>
  <c r="F6995" i="1"/>
  <c r="E6995" i="1"/>
  <c r="D6995" i="1"/>
  <c r="C6995" i="1"/>
  <c r="B6995" i="1"/>
  <c r="G6994" i="1"/>
  <c r="F6994" i="1"/>
  <c r="E6994" i="1"/>
  <c r="D6994" i="1"/>
  <c r="C6994" i="1"/>
  <c r="B6994" i="1"/>
  <c r="G6993" i="1"/>
  <c r="F6993" i="1"/>
  <c r="E6993" i="1"/>
  <c r="D6993" i="1"/>
  <c r="C6993" i="1"/>
  <c r="B6993" i="1"/>
  <c r="G6992" i="1"/>
  <c r="F6992" i="1"/>
  <c r="E6992" i="1"/>
  <c r="D6992" i="1"/>
  <c r="C6992" i="1"/>
  <c r="B6992" i="1"/>
  <c r="G6991" i="1"/>
  <c r="F6991" i="1"/>
  <c r="E6991" i="1"/>
  <c r="D6991" i="1"/>
  <c r="C6991" i="1"/>
  <c r="B6991" i="1"/>
  <c r="G6990" i="1"/>
  <c r="F6990" i="1"/>
  <c r="E6990" i="1"/>
  <c r="D6990" i="1"/>
  <c r="C6990" i="1"/>
  <c r="B6990" i="1"/>
  <c r="G6989" i="1"/>
  <c r="F6989" i="1"/>
  <c r="E6989" i="1"/>
  <c r="D6989" i="1"/>
  <c r="C6989" i="1"/>
  <c r="B6989" i="1"/>
  <c r="G6988" i="1"/>
  <c r="F6988" i="1"/>
  <c r="E6988" i="1"/>
  <c r="D6988" i="1"/>
  <c r="C6988" i="1"/>
  <c r="B6988" i="1"/>
  <c r="G6987" i="1"/>
  <c r="F6987" i="1"/>
  <c r="E6987" i="1"/>
  <c r="D6987" i="1"/>
  <c r="C6987" i="1"/>
  <c r="B6987" i="1"/>
  <c r="G6986" i="1"/>
  <c r="F6986" i="1"/>
  <c r="E6986" i="1"/>
  <c r="D6986" i="1"/>
  <c r="C6986" i="1"/>
  <c r="B6986" i="1"/>
  <c r="G6985" i="1"/>
  <c r="F6985" i="1"/>
  <c r="E6985" i="1"/>
  <c r="D6985" i="1"/>
  <c r="C6985" i="1"/>
  <c r="B6985" i="1"/>
  <c r="G6984" i="1"/>
  <c r="F6984" i="1"/>
  <c r="E6984" i="1"/>
  <c r="D6984" i="1"/>
  <c r="C6984" i="1"/>
  <c r="B6984" i="1"/>
  <c r="G6983" i="1"/>
  <c r="F6983" i="1"/>
  <c r="E6983" i="1"/>
  <c r="D6983" i="1"/>
  <c r="C6983" i="1"/>
  <c r="B6983" i="1"/>
  <c r="G6982" i="1"/>
  <c r="F6982" i="1"/>
  <c r="E6982" i="1"/>
  <c r="D6982" i="1"/>
  <c r="C6982" i="1"/>
  <c r="B6982" i="1"/>
  <c r="G6981" i="1"/>
  <c r="F6981" i="1"/>
  <c r="E6981" i="1"/>
  <c r="D6981" i="1"/>
  <c r="C6981" i="1"/>
  <c r="B6981" i="1"/>
  <c r="G6980" i="1"/>
  <c r="F6980" i="1"/>
  <c r="E6980" i="1"/>
  <c r="D6980" i="1"/>
  <c r="C6980" i="1"/>
  <c r="B6980" i="1"/>
  <c r="G6979" i="1"/>
  <c r="F6979" i="1"/>
  <c r="E6979" i="1"/>
  <c r="D6979" i="1"/>
  <c r="C6979" i="1"/>
  <c r="B6979" i="1"/>
  <c r="G6978" i="1"/>
  <c r="F6978" i="1"/>
  <c r="E6978" i="1"/>
  <c r="D6978" i="1"/>
  <c r="C6978" i="1"/>
  <c r="B6978" i="1"/>
  <c r="G6977" i="1"/>
  <c r="F6977" i="1"/>
  <c r="E6977" i="1"/>
  <c r="D6977" i="1"/>
  <c r="C6977" i="1"/>
  <c r="B6977" i="1"/>
  <c r="G6976" i="1"/>
  <c r="F6976" i="1"/>
  <c r="E6976" i="1"/>
  <c r="D6976" i="1"/>
  <c r="C6976" i="1"/>
  <c r="B6976" i="1"/>
  <c r="G6975" i="1"/>
  <c r="F6975" i="1"/>
  <c r="E6975" i="1"/>
  <c r="D6975" i="1"/>
  <c r="C6975" i="1"/>
  <c r="B6975" i="1"/>
  <c r="G6974" i="1"/>
  <c r="F6974" i="1"/>
  <c r="E6974" i="1"/>
  <c r="D6974" i="1"/>
  <c r="C6974" i="1"/>
  <c r="B6974" i="1"/>
  <c r="G6973" i="1"/>
  <c r="F6973" i="1"/>
  <c r="E6973" i="1"/>
  <c r="D6973" i="1"/>
  <c r="C6973" i="1"/>
  <c r="B6973" i="1"/>
  <c r="G6972" i="1"/>
  <c r="F6972" i="1"/>
  <c r="E6972" i="1"/>
  <c r="D6972" i="1"/>
  <c r="C6972" i="1"/>
  <c r="B6972" i="1"/>
  <c r="G6971" i="1"/>
  <c r="F6971" i="1"/>
  <c r="E6971" i="1"/>
  <c r="D6971" i="1"/>
  <c r="C6971" i="1"/>
  <c r="B6971" i="1"/>
  <c r="G6970" i="1"/>
  <c r="F6970" i="1"/>
  <c r="E6970" i="1"/>
  <c r="D6970" i="1"/>
  <c r="C6970" i="1"/>
  <c r="B6970" i="1"/>
  <c r="G6969" i="1"/>
  <c r="F6969" i="1"/>
  <c r="E6969" i="1"/>
  <c r="D6969" i="1"/>
  <c r="C6969" i="1"/>
  <c r="B6969" i="1"/>
  <c r="G6968" i="1"/>
  <c r="F6968" i="1"/>
  <c r="E6968" i="1"/>
  <c r="D6968" i="1"/>
  <c r="C6968" i="1"/>
  <c r="B6968" i="1"/>
  <c r="G6967" i="1"/>
  <c r="F6967" i="1"/>
  <c r="E6967" i="1"/>
  <c r="D6967" i="1"/>
  <c r="C6967" i="1"/>
  <c r="B6967" i="1"/>
  <c r="G6966" i="1"/>
  <c r="F6966" i="1"/>
  <c r="E6966" i="1"/>
  <c r="D6966" i="1"/>
  <c r="C6966" i="1"/>
  <c r="B6966" i="1"/>
  <c r="G6965" i="1"/>
  <c r="F6965" i="1"/>
  <c r="E6965" i="1"/>
  <c r="D6965" i="1"/>
  <c r="C6965" i="1"/>
  <c r="B6965" i="1"/>
  <c r="G6964" i="1"/>
  <c r="F6964" i="1"/>
  <c r="E6964" i="1"/>
  <c r="D6964" i="1"/>
  <c r="C6964" i="1"/>
  <c r="B6964" i="1"/>
  <c r="G6963" i="1"/>
  <c r="F6963" i="1"/>
  <c r="E6963" i="1"/>
  <c r="D6963" i="1"/>
  <c r="C6963" i="1"/>
  <c r="B6963" i="1"/>
  <c r="G6962" i="1"/>
  <c r="F6962" i="1"/>
  <c r="E6962" i="1"/>
  <c r="D6962" i="1"/>
  <c r="C6962" i="1"/>
  <c r="B6962" i="1"/>
  <c r="G6961" i="1"/>
  <c r="F6961" i="1"/>
  <c r="E6961" i="1"/>
  <c r="D6961" i="1"/>
  <c r="C6961" i="1"/>
  <c r="B6961" i="1"/>
  <c r="G6960" i="1"/>
  <c r="F6960" i="1"/>
  <c r="E6960" i="1"/>
  <c r="D6960" i="1"/>
  <c r="C6960" i="1"/>
  <c r="B6960" i="1"/>
  <c r="G6959" i="1"/>
  <c r="F6959" i="1"/>
  <c r="E6959" i="1"/>
  <c r="D6959" i="1"/>
  <c r="C6959" i="1"/>
  <c r="B6959" i="1"/>
  <c r="G6958" i="1"/>
  <c r="F6958" i="1"/>
  <c r="E6958" i="1"/>
  <c r="D6958" i="1"/>
  <c r="C6958" i="1"/>
  <c r="B6958" i="1"/>
  <c r="G6957" i="1"/>
  <c r="F6957" i="1"/>
  <c r="E6957" i="1"/>
  <c r="D6957" i="1"/>
  <c r="C6957" i="1"/>
  <c r="B6957" i="1"/>
  <c r="G6956" i="1"/>
  <c r="F6956" i="1"/>
  <c r="E6956" i="1"/>
  <c r="D6956" i="1"/>
  <c r="C6956" i="1"/>
  <c r="B6956" i="1"/>
  <c r="G6955" i="1"/>
  <c r="F6955" i="1"/>
  <c r="E6955" i="1"/>
  <c r="D6955" i="1"/>
  <c r="C6955" i="1"/>
  <c r="B6955" i="1"/>
  <c r="G6954" i="1"/>
  <c r="F6954" i="1"/>
  <c r="E6954" i="1"/>
  <c r="D6954" i="1"/>
  <c r="C6954" i="1"/>
  <c r="B6954" i="1"/>
  <c r="G6953" i="1"/>
  <c r="F6953" i="1"/>
  <c r="E6953" i="1"/>
  <c r="D6953" i="1"/>
  <c r="C6953" i="1"/>
  <c r="B6953" i="1"/>
  <c r="G6952" i="1"/>
  <c r="F6952" i="1"/>
  <c r="E6952" i="1"/>
  <c r="D6952" i="1"/>
  <c r="C6952" i="1"/>
  <c r="B6952" i="1"/>
  <c r="G6951" i="1"/>
  <c r="F6951" i="1"/>
  <c r="E6951" i="1"/>
  <c r="D6951" i="1"/>
  <c r="C6951" i="1"/>
  <c r="B6951" i="1"/>
  <c r="G6950" i="1"/>
  <c r="F6950" i="1"/>
  <c r="E6950" i="1"/>
  <c r="D6950" i="1"/>
  <c r="C6950" i="1"/>
  <c r="B6950" i="1"/>
  <c r="G6949" i="1"/>
  <c r="F6949" i="1"/>
  <c r="E6949" i="1"/>
  <c r="D6949" i="1"/>
  <c r="C6949" i="1"/>
  <c r="B6949" i="1"/>
  <c r="G6948" i="1"/>
  <c r="F6948" i="1"/>
  <c r="E6948" i="1"/>
  <c r="D6948" i="1"/>
  <c r="C6948" i="1"/>
  <c r="B6948" i="1"/>
  <c r="G6947" i="1"/>
  <c r="F6947" i="1"/>
  <c r="E6947" i="1"/>
  <c r="D6947" i="1"/>
  <c r="C6947" i="1"/>
  <c r="B6947" i="1"/>
  <c r="G6946" i="1"/>
  <c r="F6946" i="1"/>
  <c r="E6946" i="1"/>
  <c r="D6946" i="1"/>
  <c r="C6946" i="1"/>
  <c r="B6946" i="1"/>
  <c r="G6945" i="1"/>
  <c r="F6945" i="1"/>
  <c r="E6945" i="1"/>
  <c r="D6945" i="1"/>
  <c r="C6945" i="1"/>
  <c r="B6945" i="1"/>
  <c r="G6944" i="1"/>
  <c r="F6944" i="1"/>
  <c r="E6944" i="1"/>
  <c r="D6944" i="1"/>
  <c r="C6944" i="1"/>
  <c r="B6944" i="1"/>
  <c r="G6943" i="1"/>
  <c r="F6943" i="1"/>
  <c r="E6943" i="1"/>
  <c r="D6943" i="1"/>
  <c r="C6943" i="1"/>
  <c r="B6943" i="1"/>
  <c r="G6942" i="1"/>
  <c r="F6942" i="1"/>
  <c r="E6942" i="1"/>
  <c r="D6942" i="1"/>
  <c r="C6942" i="1"/>
  <c r="B6942" i="1"/>
  <c r="G6941" i="1"/>
  <c r="F6941" i="1"/>
  <c r="E6941" i="1"/>
  <c r="D6941" i="1"/>
  <c r="C6941" i="1"/>
  <c r="B6941" i="1"/>
  <c r="G6940" i="1"/>
  <c r="F6940" i="1"/>
  <c r="E6940" i="1"/>
  <c r="D6940" i="1"/>
  <c r="C6940" i="1"/>
  <c r="B6940" i="1"/>
  <c r="G6939" i="1"/>
  <c r="F6939" i="1"/>
  <c r="E6939" i="1"/>
  <c r="D6939" i="1"/>
  <c r="C6939" i="1"/>
  <c r="B6939" i="1"/>
  <c r="G6938" i="1"/>
  <c r="F6938" i="1"/>
  <c r="E6938" i="1"/>
  <c r="D6938" i="1"/>
  <c r="C6938" i="1"/>
  <c r="B6938" i="1"/>
  <c r="G6937" i="1"/>
  <c r="F6937" i="1"/>
  <c r="E6937" i="1"/>
  <c r="D6937" i="1"/>
  <c r="C6937" i="1"/>
  <c r="B6937" i="1"/>
  <c r="G6936" i="1"/>
  <c r="F6936" i="1"/>
  <c r="E6936" i="1"/>
  <c r="D6936" i="1"/>
  <c r="C6936" i="1"/>
  <c r="B6936" i="1"/>
  <c r="G6935" i="1"/>
  <c r="F6935" i="1"/>
  <c r="E6935" i="1"/>
  <c r="D6935" i="1"/>
  <c r="C6935" i="1"/>
  <c r="B6935" i="1"/>
  <c r="G6934" i="1"/>
  <c r="F6934" i="1"/>
  <c r="E6934" i="1"/>
  <c r="D6934" i="1"/>
  <c r="C6934" i="1"/>
  <c r="B6934" i="1"/>
  <c r="G6933" i="1"/>
  <c r="F6933" i="1"/>
  <c r="E6933" i="1"/>
  <c r="D6933" i="1"/>
  <c r="C6933" i="1"/>
  <c r="B6933" i="1"/>
  <c r="G6932" i="1"/>
  <c r="F6932" i="1"/>
  <c r="E6932" i="1"/>
  <c r="D6932" i="1"/>
  <c r="C6932" i="1"/>
  <c r="B6932" i="1"/>
  <c r="G6931" i="1"/>
  <c r="F6931" i="1"/>
  <c r="E6931" i="1"/>
  <c r="D6931" i="1"/>
  <c r="C6931" i="1"/>
  <c r="B6931" i="1"/>
  <c r="G6930" i="1"/>
  <c r="F6930" i="1"/>
  <c r="E6930" i="1"/>
  <c r="D6930" i="1"/>
  <c r="C6930" i="1"/>
  <c r="B6930" i="1"/>
  <c r="G6929" i="1"/>
  <c r="F6929" i="1"/>
  <c r="E6929" i="1"/>
  <c r="D6929" i="1"/>
  <c r="C6929" i="1"/>
  <c r="B6929" i="1"/>
  <c r="G6928" i="1"/>
  <c r="F6928" i="1"/>
  <c r="E6928" i="1"/>
  <c r="D6928" i="1"/>
  <c r="C6928" i="1"/>
  <c r="B6928" i="1"/>
  <c r="G6927" i="1"/>
  <c r="F6927" i="1"/>
  <c r="E6927" i="1"/>
  <c r="D6927" i="1"/>
  <c r="C6927" i="1"/>
  <c r="B6927" i="1"/>
  <c r="G6926" i="1"/>
  <c r="F6926" i="1"/>
  <c r="E6926" i="1"/>
  <c r="D6926" i="1"/>
  <c r="C6926" i="1"/>
  <c r="B6926" i="1"/>
  <c r="G6925" i="1"/>
  <c r="F6925" i="1"/>
  <c r="E6925" i="1"/>
  <c r="D6925" i="1"/>
  <c r="C6925" i="1"/>
  <c r="B6925" i="1"/>
  <c r="G6924" i="1"/>
  <c r="F6924" i="1"/>
  <c r="E6924" i="1"/>
  <c r="D6924" i="1"/>
  <c r="C6924" i="1"/>
  <c r="B6924" i="1"/>
  <c r="G6923" i="1"/>
  <c r="F6923" i="1"/>
  <c r="E6923" i="1"/>
  <c r="D6923" i="1"/>
  <c r="C6923" i="1"/>
  <c r="B6923" i="1"/>
  <c r="G6922" i="1"/>
  <c r="F6922" i="1"/>
  <c r="E6922" i="1"/>
  <c r="D6922" i="1"/>
  <c r="C6922" i="1"/>
  <c r="B6922" i="1"/>
  <c r="G6921" i="1"/>
  <c r="F6921" i="1"/>
  <c r="E6921" i="1"/>
  <c r="D6921" i="1"/>
  <c r="C6921" i="1"/>
  <c r="B6921" i="1"/>
  <c r="G6920" i="1"/>
  <c r="F6920" i="1"/>
  <c r="E6920" i="1"/>
  <c r="D6920" i="1"/>
  <c r="C6920" i="1"/>
  <c r="B6920" i="1"/>
  <c r="G6919" i="1"/>
  <c r="F6919" i="1"/>
  <c r="E6919" i="1"/>
  <c r="D6919" i="1"/>
  <c r="C6919" i="1"/>
  <c r="B6919" i="1"/>
  <c r="G6918" i="1"/>
  <c r="F6918" i="1"/>
  <c r="E6918" i="1"/>
  <c r="D6918" i="1"/>
  <c r="C6918" i="1"/>
  <c r="B6918" i="1"/>
  <c r="G6917" i="1"/>
  <c r="F6917" i="1"/>
  <c r="E6917" i="1"/>
  <c r="D6917" i="1"/>
  <c r="C6917" i="1"/>
  <c r="B6917" i="1"/>
  <c r="G6916" i="1"/>
  <c r="F6916" i="1"/>
  <c r="E6916" i="1"/>
  <c r="D6916" i="1"/>
  <c r="C6916" i="1"/>
  <c r="B6916" i="1"/>
  <c r="G6915" i="1"/>
  <c r="F6915" i="1"/>
  <c r="E6915" i="1"/>
  <c r="D6915" i="1"/>
  <c r="C6915" i="1"/>
  <c r="B6915" i="1"/>
  <c r="G6914" i="1"/>
  <c r="F6914" i="1"/>
  <c r="E6914" i="1"/>
  <c r="D6914" i="1"/>
  <c r="C6914" i="1"/>
  <c r="B6914" i="1"/>
  <c r="G6913" i="1"/>
  <c r="F6913" i="1"/>
  <c r="E6913" i="1"/>
  <c r="D6913" i="1"/>
  <c r="C6913" i="1"/>
  <c r="B6913" i="1"/>
  <c r="G6912" i="1"/>
  <c r="F6912" i="1"/>
  <c r="E6912" i="1"/>
  <c r="D6912" i="1"/>
  <c r="C6912" i="1"/>
  <c r="B6912" i="1"/>
  <c r="G6911" i="1"/>
  <c r="F6911" i="1"/>
  <c r="E6911" i="1"/>
  <c r="D6911" i="1"/>
  <c r="C6911" i="1"/>
  <c r="B6911" i="1"/>
  <c r="G6910" i="1"/>
  <c r="F6910" i="1"/>
  <c r="E6910" i="1"/>
  <c r="D6910" i="1"/>
  <c r="C6910" i="1"/>
  <c r="B6910" i="1"/>
  <c r="G6909" i="1"/>
  <c r="F6909" i="1"/>
  <c r="E6909" i="1"/>
  <c r="D6909" i="1"/>
  <c r="C6909" i="1"/>
  <c r="B6909" i="1"/>
  <c r="G6908" i="1"/>
  <c r="F6908" i="1"/>
  <c r="E6908" i="1"/>
  <c r="D6908" i="1"/>
  <c r="C6908" i="1"/>
  <c r="B6908" i="1"/>
  <c r="G6907" i="1"/>
  <c r="F6907" i="1"/>
  <c r="E6907" i="1"/>
  <c r="D6907" i="1"/>
  <c r="C6907" i="1"/>
  <c r="B6907" i="1"/>
  <c r="G6906" i="1"/>
  <c r="F6906" i="1"/>
  <c r="E6906" i="1"/>
  <c r="D6906" i="1"/>
  <c r="C6906" i="1"/>
  <c r="B6906" i="1"/>
  <c r="G6905" i="1"/>
  <c r="F6905" i="1"/>
  <c r="E6905" i="1"/>
  <c r="D6905" i="1"/>
  <c r="C6905" i="1"/>
  <c r="B6905" i="1"/>
  <c r="G6904" i="1"/>
  <c r="F6904" i="1"/>
  <c r="E6904" i="1"/>
  <c r="D6904" i="1"/>
  <c r="C6904" i="1"/>
  <c r="B6904" i="1"/>
  <c r="G6903" i="1"/>
  <c r="F6903" i="1"/>
  <c r="E6903" i="1"/>
  <c r="D6903" i="1"/>
  <c r="C6903" i="1"/>
  <c r="B6903" i="1"/>
  <c r="G6902" i="1"/>
  <c r="F6902" i="1"/>
  <c r="E6902" i="1"/>
  <c r="D6902" i="1"/>
  <c r="C6902" i="1"/>
  <c r="B6902" i="1"/>
  <c r="G6901" i="1"/>
  <c r="F6901" i="1"/>
  <c r="E6901" i="1"/>
  <c r="D6901" i="1"/>
  <c r="C6901" i="1"/>
  <c r="B6901" i="1"/>
  <c r="G6900" i="1"/>
  <c r="F6900" i="1"/>
  <c r="E6900" i="1"/>
  <c r="D6900" i="1"/>
  <c r="C6900" i="1"/>
  <c r="B6900" i="1"/>
  <c r="G6899" i="1"/>
  <c r="F6899" i="1"/>
  <c r="E6899" i="1"/>
  <c r="D6899" i="1"/>
  <c r="C6899" i="1"/>
  <c r="B6899" i="1"/>
  <c r="G6898" i="1"/>
  <c r="F6898" i="1"/>
  <c r="E6898" i="1"/>
  <c r="D6898" i="1"/>
  <c r="C6898" i="1"/>
  <c r="B6898" i="1"/>
  <c r="G6897" i="1"/>
  <c r="F6897" i="1"/>
  <c r="E6897" i="1"/>
  <c r="D6897" i="1"/>
  <c r="C6897" i="1"/>
  <c r="B6897" i="1"/>
  <c r="G6896" i="1"/>
  <c r="F6896" i="1"/>
  <c r="E6896" i="1"/>
  <c r="D6896" i="1"/>
  <c r="C6896" i="1"/>
  <c r="B6896" i="1"/>
  <c r="G6895" i="1"/>
  <c r="F6895" i="1"/>
  <c r="E6895" i="1"/>
  <c r="D6895" i="1"/>
  <c r="C6895" i="1"/>
  <c r="B6895" i="1"/>
  <c r="G6894" i="1"/>
  <c r="F6894" i="1"/>
  <c r="E6894" i="1"/>
  <c r="D6894" i="1"/>
  <c r="C6894" i="1"/>
  <c r="B6894" i="1"/>
  <c r="G6893" i="1"/>
  <c r="F6893" i="1"/>
  <c r="E6893" i="1"/>
  <c r="D6893" i="1"/>
  <c r="C6893" i="1"/>
  <c r="B6893" i="1"/>
  <c r="G6892" i="1"/>
  <c r="F6892" i="1"/>
  <c r="E6892" i="1"/>
  <c r="D6892" i="1"/>
  <c r="C6892" i="1"/>
  <c r="B6892" i="1"/>
  <c r="G6891" i="1"/>
  <c r="F6891" i="1"/>
  <c r="E6891" i="1"/>
  <c r="D6891" i="1"/>
  <c r="C6891" i="1"/>
  <c r="B6891" i="1"/>
  <c r="G6890" i="1"/>
  <c r="F6890" i="1"/>
  <c r="E6890" i="1"/>
  <c r="D6890" i="1"/>
  <c r="C6890" i="1"/>
  <c r="B6890" i="1"/>
  <c r="G6889" i="1"/>
  <c r="F6889" i="1"/>
  <c r="E6889" i="1"/>
  <c r="D6889" i="1"/>
  <c r="C6889" i="1"/>
  <c r="B6889" i="1"/>
  <c r="G6888" i="1"/>
  <c r="F6888" i="1"/>
  <c r="E6888" i="1"/>
  <c r="D6888" i="1"/>
  <c r="C6888" i="1"/>
  <c r="B6888" i="1"/>
  <c r="G6887" i="1"/>
  <c r="F6887" i="1"/>
  <c r="E6887" i="1"/>
  <c r="D6887" i="1"/>
  <c r="C6887" i="1"/>
  <c r="B6887" i="1"/>
  <c r="G6886" i="1"/>
  <c r="F6886" i="1"/>
  <c r="E6886" i="1"/>
  <c r="D6886" i="1"/>
  <c r="C6886" i="1"/>
  <c r="B6886" i="1"/>
  <c r="G6885" i="1"/>
  <c r="F6885" i="1"/>
  <c r="E6885" i="1"/>
  <c r="D6885" i="1"/>
  <c r="C6885" i="1"/>
  <c r="B6885" i="1"/>
  <c r="G6884" i="1"/>
  <c r="F6884" i="1"/>
  <c r="E6884" i="1"/>
  <c r="D6884" i="1"/>
  <c r="C6884" i="1"/>
  <c r="B6884" i="1"/>
  <c r="G6883" i="1"/>
  <c r="F6883" i="1"/>
  <c r="E6883" i="1"/>
  <c r="D6883" i="1"/>
  <c r="C6883" i="1"/>
  <c r="B6883" i="1"/>
  <c r="G6882" i="1"/>
  <c r="F6882" i="1"/>
  <c r="E6882" i="1"/>
  <c r="D6882" i="1"/>
  <c r="C6882" i="1"/>
  <c r="B6882" i="1"/>
  <c r="G6881" i="1"/>
  <c r="F6881" i="1"/>
  <c r="E6881" i="1"/>
  <c r="D6881" i="1"/>
  <c r="C6881" i="1"/>
  <c r="B6881" i="1"/>
  <c r="G6880" i="1"/>
  <c r="F6880" i="1"/>
  <c r="E6880" i="1"/>
  <c r="D6880" i="1"/>
  <c r="C6880" i="1"/>
  <c r="B6880" i="1"/>
  <c r="G6879" i="1"/>
  <c r="F6879" i="1"/>
  <c r="E6879" i="1"/>
  <c r="D6879" i="1"/>
  <c r="C6879" i="1"/>
  <c r="B6879" i="1"/>
  <c r="G6878" i="1"/>
  <c r="F6878" i="1"/>
  <c r="E6878" i="1"/>
  <c r="D6878" i="1"/>
  <c r="C6878" i="1"/>
  <c r="B6878" i="1"/>
  <c r="G6877" i="1"/>
  <c r="F6877" i="1"/>
  <c r="E6877" i="1"/>
  <c r="D6877" i="1"/>
  <c r="C6877" i="1"/>
  <c r="B6877" i="1"/>
  <c r="G6876" i="1"/>
  <c r="F6876" i="1"/>
  <c r="E6876" i="1"/>
  <c r="D6876" i="1"/>
  <c r="C6876" i="1"/>
  <c r="B6876" i="1"/>
  <c r="G6875" i="1"/>
  <c r="F6875" i="1"/>
  <c r="E6875" i="1"/>
  <c r="D6875" i="1"/>
  <c r="C6875" i="1"/>
  <c r="B6875" i="1"/>
  <c r="G6874" i="1"/>
  <c r="F6874" i="1"/>
  <c r="E6874" i="1"/>
  <c r="D6874" i="1"/>
  <c r="C6874" i="1"/>
  <c r="B6874" i="1"/>
  <c r="G6873" i="1"/>
  <c r="F6873" i="1"/>
  <c r="E6873" i="1"/>
  <c r="D6873" i="1"/>
  <c r="C6873" i="1"/>
  <c r="B6873" i="1"/>
  <c r="G6872" i="1"/>
  <c r="F6872" i="1"/>
  <c r="E6872" i="1"/>
  <c r="D6872" i="1"/>
  <c r="C6872" i="1"/>
  <c r="B6872" i="1"/>
  <c r="G6871" i="1"/>
  <c r="F6871" i="1"/>
  <c r="E6871" i="1"/>
  <c r="D6871" i="1"/>
  <c r="C6871" i="1"/>
  <c r="B6871" i="1"/>
  <c r="G6870" i="1"/>
  <c r="F6870" i="1"/>
  <c r="E6870" i="1"/>
  <c r="D6870" i="1"/>
  <c r="C6870" i="1"/>
  <c r="B6870" i="1"/>
  <c r="G6869" i="1"/>
  <c r="F6869" i="1"/>
  <c r="E6869" i="1"/>
  <c r="D6869" i="1"/>
  <c r="C6869" i="1"/>
  <c r="B6869" i="1"/>
  <c r="G6868" i="1"/>
  <c r="F6868" i="1"/>
  <c r="E6868" i="1"/>
  <c r="D6868" i="1"/>
  <c r="C6868" i="1"/>
  <c r="B6868" i="1"/>
  <c r="G6867" i="1"/>
  <c r="F6867" i="1"/>
  <c r="E6867" i="1"/>
  <c r="D6867" i="1"/>
  <c r="C6867" i="1"/>
  <c r="B6867" i="1"/>
  <c r="G6866" i="1"/>
  <c r="F6866" i="1"/>
  <c r="E6866" i="1"/>
  <c r="D6866" i="1"/>
  <c r="C6866" i="1"/>
  <c r="B6866" i="1"/>
  <c r="G6865" i="1"/>
  <c r="F6865" i="1"/>
  <c r="E6865" i="1"/>
  <c r="D6865" i="1"/>
  <c r="C6865" i="1"/>
  <c r="B6865" i="1"/>
  <c r="G6864" i="1"/>
  <c r="F6864" i="1"/>
  <c r="E6864" i="1"/>
  <c r="D6864" i="1"/>
  <c r="C6864" i="1"/>
  <c r="B6864" i="1"/>
  <c r="G6863" i="1"/>
  <c r="F6863" i="1"/>
  <c r="E6863" i="1"/>
  <c r="D6863" i="1"/>
  <c r="C6863" i="1"/>
  <c r="B6863" i="1"/>
  <c r="G6862" i="1"/>
  <c r="F6862" i="1"/>
  <c r="E6862" i="1"/>
  <c r="D6862" i="1"/>
  <c r="C6862" i="1"/>
  <c r="B6862" i="1"/>
  <c r="G6861" i="1"/>
  <c r="F6861" i="1"/>
  <c r="E6861" i="1"/>
  <c r="D6861" i="1"/>
  <c r="C6861" i="1"/>
  <c r="B6861" i="1"/>
  <c r="G6860" i="1"/>
  <c r="F6860" i="1"/>
  <c r="E6860" i="1"/>
  <c r="D6860" i="1"/>
  <c r="C6860" i="1"/>
  <c r="B6860" i="1"/>
  <c r="G6859" i="1"/>
  <c r="F6859" i="1"/>
  <c r="E6859" i="1"/>
  <c r="D6859" i="1"/>
  <c r="C6859" i="1"/>
  <c r="B6859" i="1"/>
  <c r="G6858" i="1"/>
  <c r="F6858" i="1"/>
  <c r="E6858" i="1"/>
  <c r="D6858" i="1"/>
  <c r="C6858" i="1"/>
  <c r="B6858" i="1"/>
  <c r="G6857" i="1"/>
  <c r="F6857" i="1"/>
  <c r="E6857" i="1"/>
  <c r="D6857" i="1"/>
  <c r="C6857" i="1"/>
  <c r="B6857" i="1"/>
  <c r="G6856" i="1"/>
  <c r="F6856" i="1"/>
  <c r="E6856" i="1"/>
  <c r="D6856" i="1"/>
  <c r="C6856" i="1"/>
  <c r="B6856" i="1"/>
  <c r="G6855" i="1"/>
  <c r="F6855" i="1"/>
  <c r="E6855" i="1"/>
  <c r="D6855" i="1"/>
  <c r="C6855" i="1"/>
  <c r="B6855" i="1"/>
  <c r="G6854" i="1"/>
  <c r="F6854" i="1"/>
  <c r="E6854" i="1"/>
  <c r="D6854" i="1"/>
  <c r="C6854" i="1"/>
  <c r="B6854" i="1"/>
  <c r="G6853" i="1"/>
  <c r="F6853" i="1"/>
  <c r="E6853" i="1"/>
  <c r="D6853" i="1"/>
  <c r="C6853" i="1"/>
  <c r="B6853" i="1"/>
  <c r="G6852" i="1"/>
  <c r="F6852" i="1"/>
  <c r="E6852" i="1"/>
  <c r="D6852" i="1"/>
  <c r="C6852" i="1"/>
  <c r="B6852" i="1"/>
  <c r="G6851" i="1"/>
  <c r="F6851" i="1"/>
  <c r="E6851" i="1"/>
  <c r="D6851" i="1"/>
  <c r="C6851" i="1"/>
  <c r="B6851" i="1"/>
  <c r="G6850" i="1"/>
  <c r="F6850" i="1"/>
  <c r="E6850" i="1"/>
  <c r="D6850" i="1"/>
  <c r="C6850" i="1"/>
  <c r="B6850" i="1"/>
  <c r="G6849" i="1"/>
  <c r="F6849" i="1"/>
  <c r="E6849" i="1"/>
  <c r="D6849" i="1"/>
  <c r="C6849" i="1"/>
  <c r="B6849" i="1"/>
  <c r="G6848" i="1"/>
  <c r="F6848" i="1"/>
  <c r="E6848" i="1"/>
  <c r="D6848" i="1"/>
  <c r="C6848" i="1"/>
  <c r="B6848" i="1"/>
  <c r="G6847" i="1"/>
  <c r="F6847" i="1"/>
  <c r="E6847" i="1"/>
  <c r="D6847" i="1"/>
  <c r="C6847" i="1"/>
  <c r="B6847" i="1"/>
  <c r="G6846" i="1"/>
  <c r="F6846" i="1"/>
  <c r="E6846" i="1"/>
  <c r="D6846" i="1"/>
  <c r="C6846" i="1"/>
  <c r="B6846" i="1"/>
  <c r="G6845" i="1"/>
  <c r="F6845" i="1"/>
  <c r="E6845" i="1"/>
  <c r="D6845" i="1"/>
  <c r="C6845" i="1"/>
  <c r="B6845" i="1"/>
  <c r="G6844" i="1"/>
  <c r="F6844" i="1"/>
  <c r="E6844" i="1"/>
  <c r="D6844" i="1"/>
  <c r="C6844" i="1"/>
  <c r="B6844" i="1"/>
  <c r="G6843" i="1"/>
  <c r="F6843" i="1"/>
  <c r="E6843" i="1"/>
  <c r="D6843" i="1"/>
  <c r="C6843" i="1"/>
  <c r="B6843" i="1"/>
  <c r="G6842" i="1"/>
  <c r="F6842" i="1"/>
  <c r="E6842" i="1"/>
  <c r="D6842" i="1"/>
  <c r="C6842" i="1"/>
  <c r="B6842" i="1"/>
  <c r="G6841" i="1"/>
  <c r="F6841" i="1"/>
  <c r="E6841" i="1"/>
  <c r="D6841" i="1"/>
  <c r="C6841" i="1"/>
  <c r="B6841" i="1"/>
  <c r="G6840" i="1"/>
  <c r="F6840" i="1"/>
  <c r="E6840" i="1"/>
  <c r="D6840" i="1"/>
  <c r="C6840" i="1"/>
  <c r="B6840" i="1"/>
  <c r="G6839" i="1"/>
  <c r="F6839" i="1"/>
  <c r="E6839" i="1"/>
  <c r="D6839" i="1"/>
  <c r="C6839" i="1"/>
  <c r="B6839" i="1"/>
  <c r="G6838" i="1"/>
  <c r="F6838" i="1"/>
  <c r="E6838" i="1"/>
  <c r="D6838" i="1"/>
  <c r="C6838" i="1"/>
  <c r="B6838" i="1"/>
  <c r="G6837" i="1"/>
  <c r="F6837" i="1"/>
  <c r="E6837" i="1"/>
  <c r="D6837" i="1"/>
  <c r="C6837" i="1"/>
  <c r="B6837" i="1"/>
  <c r="G6836" i="1"/>
  <c r="F6836" i="1"/>
  <c r="E6836" i="1"/>
  <c r="D6836" i="1"/>
  <c r="C6836" i="1"/>
  <c r="B6836" i="1"/>
  <c r="G6835" i="1"/>
  <c r="F6835" i="1"/>
  <c r="E6835" i="1"/>
  <c r="D6835" i="1"/>
  <c r="C6835" i="1"/>
  <c r="B6835" i="1"/>
  <c r="G6834" i="1"/>
  <c r="F6834" i="1"/>
  <c r="E6834" i="1"/>
  <c r="D6834" i="1"/>
  <c r="C6834" i="1"/>
  <c r="B6834" i="1"/>
  <c r="G6833" i="1"/>
  <c r="F6833" i="1"/>
  <c r="E6833" i="1"/>
  <c r="D6833" i="1"/>
  <c r="C6833" i="1"/>
  <c r="B6833" i="1"/>
  <c r="G6832" i="1"/>
  <c r="F6832" i="1"/>
  <c r="E6832" i="1"/>
  <c r="D6832" i="1"/>
  <c r="C6832" i="1"/>
  <c r="B6832" i="1"/>
  <c r="G6831" i="1"/>
  <c r="F6831" i="1"/>
  <c r="E6831" i="1"/>
  <c r="D6831" i="1"/>
  <c r="C6831" i="1"/>
  <c r="B6831" i="1"/>
  <c r="G6830" i="1"/>
  <c r="F6830" i="1"/>
  <c r="E6830" i="1"/>
  <c r="D6830" i="1"/>
  <c r="C6830" i="1"/>
  <c r="B6830" i="1"/>
  <c r="G6829" i="1"/>
  <c r="F6829" i="1"/>
  <c r="E6829" i="1"/>
  <c r="D6829" i="1"/>
  <c r="C6829" i="1"/>
  <c r="B6829" i="1"/>
  <c r="G6828" i="1"/>
  <c r="F6828" i="1"/>
  <c r="E6828" i="1"/>
  <c r="D6828" i="1"/>
  <c r="C6828" i="1"/>
  <c r="B6828" i="1"/>
  <c r="G6827" i="1"/>
  <c r="F6827" i="1"/>
  <c r="E6827" i="1"/>
  <c r="D6827" i="1"/>
  <c r="C6827" i="1"/>
  <c r="B6827" i="1"/>
  <c r="G6826" i="1"/>
  <c r="F6826" i="1"/>
  <c r="E6826" i="1"/>
  <c r="D6826" i="1"/>
  <c r="C6826" i="1"/>
  <c r="B6826" i="1"/>
  <c r="G6825" i="1"/>
  <c r="F6825" i="1"/>
  <c r="E6825" i="1"/>
  <c r="D6825" i="1"/>
  <c r="C6825" i="1"/>
  <c r="B6825" i="1"/>
  <c r="G6824" i="1"/>
  <c r="F6824" i="1"/>
  <c r="E6824" i="1"/>
  <c r="D6824" i="1"/>
  <c r="C6824" i="1"/>
  <c r="B6824" i="1"/>
  <c r="G6823" i="1"/>
  <c r="F6823" i="1"/>
  <c r="E6823" i="1"/>
  <c r="D6823" i="1"/>
  <c r="C6823" i="1"/>
  <c r="B6823" i="1"/>
  <c r="G6822" i="1"/>
  <c r="F6822" i="1"/>
  <c r="E6822" i="1"/>
  <c r="D6822" i="1"/>
  <c r="C6822" i="1"/>
  <c r="B6822" i="1"/>
  <c r="G6821" i="1"/>
  <c r="F6821" i="1"/>
  <c r="E6821" i="1"/>
  <c r="D6821" i="1"/>
  <c r="C6821" i="1"/>
  <c r="B6821" i="1"/>
  <c r="G6820" i="1"/>
  <c r="F6820" i="1"/>
  <c r="E6820" i="1"/>
  <c r="D6820" i="1"/>
  <c r="C6820" i="1"/>
  <c r="B6820" i="1"/>
  <c r="G6819" i="1"/>
  <c r="F6819" i="1"/>
  <c r="E6819" i="1"/>
  <c r="D6819" i="1"/>
  <c r="C6819" i="1"/>
  <c r="B6819" i="1"/>
  <c r="G6818" i="1"/>
  <c r="F6818" i="1"/>
  <c r="E6818" i="1"/>
  <c r="D6818" i="1"/>
  <c r="C6818" i="1"/>
  <c r="B6818" i="1"/>
  <c r="G6817" i="1"/>
  <c r="F6817" i="1"/>
  <c r="E6817" i="1"/>
  <c r="D6817" i="1"/>
  <c r="C6817" i="1"/>
  <c r="B6817" i="1"/>
  <c r="G6816" i="1"/>
  <c r="F6816" i="1"/>
  <c r="E6816" i="1"/>
  <c r="D6816" i="1"/>
  <c r="C6816" i="1"/>
  <c r="B6816" i="1"/>
  <c r="G6815" i="1"/>
  <c r="F6815" i="1"/>
  <c r="E6815" i="1"/>
  <c r="D6815" i="1"/>
  <c r="C6815" i="1"/>
  <c r="B6815" i="1"/>
  <c r="G6814" i="1"/>
  <c r="F6814" i="1"/>
  <c r="E6814" i="1"/>
  <c r="D6814" i="1"/>
  <c r="C6814" i="1"/>
  <c r="B6814" i="1"/>
  <c r="G6813" i="1"/>
  <c r="F6813" i="1"/>
  <c r="E6813" i="1"/>
  <c r="D6813" i="1"/>
  <c r="C6813" i="1"/>
  <c r="B6813" i="1"/>
  <c r="G6812" i="1"/>
  <c r="F6812" i="1"/>
  <c r="E6812" i="1"/>
  <c r="D6812" i="1"/>
  <c r="C6812" i="1"/>
  <c r="B6812" i="1"/>
  <c r="G6811" i="1"/>
  <c r="F6811" i="1"/>
  <c r="E6811" i="1"/>
  <c r="D6811" i="1"/>
  <c r="C6811" i="1"/>
  <c r="B6811" i="1"/>
  <c r="G6810" i="1"/>
  <c r="F6810" i="1"/>
  <c r="E6810" i="1"/>
  <c r="D6810" i="1"/>
  <c r="C6810" i="1"/>
  <c r="B6810" i="1"/>
  <c r="G6809" i="1"/>
  <c r="F6809" i="1"/>
  <c r="E6809" i="1"/>
  <c r="D6809" i="1"/>
  <c r="C6809" i="1"/>
  <c r="B6809" i="1"/>
  <c r="G6808" i="1"/>
  <c r="F6808" i="1"/>
  <c r="E6808" i="1"/>
  <c r="D6808" i="1"/>
  <c r="C6808" i="1"/>
  <c r="B6808" i="1"/>
  <c r="G6807" i="1"/>
  <c r="F6807" i="1"/>
  <c r="E6807" i="1"/>
  <c r="D6807" i="1"/>
  <c r="C6807" i="1"/>
  <c r="B6807" i="1"/>
  <c r="G6806" i="1"/>
  <c r="F6806" i="1"/>
  <c r="E6806" i="1"/>
  <c r="D6806" i="1"/>
  <c r="C6806" i="1"/>
  <c r="B6806" i="1"/>
  <c r="G6805" i="1"/>
  <c r="F6805" i="1"/>
  <c r="E6805" i="1"/>
  <c r="D6805" i="1"/>
  <c r="C6805" i="1"/>
  <c r="B6805" i="1"/>
  <c r="G6804" i="1"/>
  <c r="F6804" i="1"/>
  <c r="E6804" i="1"/>
  <c r="D6804" i="1"/>
  <c r="C6804" i="1"/>
  <c r="B6804" i="1"/>
  <c r="G6803" i="1"/>
  <c r="F6803" i="1"/>
  <c r="E6803" i="1"/>
  <c r="D6803" i="1"/>
  <c r="C6803" i="1"/>
  <c r="B6803" i="1"/>
  <c r="G6802" i="1"/>
  <c r="F6802" i="1"/>
  <c r="E6802" i="1"/>
  <c r="D6802" i="1"/>
  <c r="C6802" i="1"/>
  <c r="B6802" i="1"/>
  <c r="G6801" i="1"/>
  <c r="F6801" i="1"/>
  <c r="E6801" i="1"/>
  <c r="D6801" i="1"/>
  <c r="C6801" i="1"/>
  <c r="B6801" i="1"/>
  <c r="G6800" i="1"/>
  <c r="F6800" i="1"/>
  <c r="E6800" i="1"/>
  <c r="D6800" i="1"/>
  <c r="C6800" i="1"/>
  <c r="B6800" i="1"/>
  <c r="G6799" i="1"/>
  <c r="F6799" i="1"/>
  <c r="E6799" i="1"/>
  <c r="D6799" i="1"/>
  <c r="C6799" i="1"/>
  <c r="B6799" i="1"/>
  <c r="G6798" i="1"/>
  <c r="F6798" i="1"/>
  <c r="E6798" i="1"/>
  <c r="D6798" i="1"/>
  <c r="C6798" i="1"/>
  <c r="B6798" i="1"/>
  <c r="G6797" i="1"/>
  <c r="F6797" i="1"/>
  <c r="E6797" i="1"/>
  <c r="D6797" i="1"/>
  <c r="C6797" i="1"/>
  <c r="B6797" i="1"/>
  <c r="G6796" i="1"/>
  <c r="F6796" i="1"/>
  <c r="E6796" i="1"/>
  <c r="D6796" i="1"/>
  <c r="C6796" i="1"/>
  <c r="B6796" i="1"/>
  <c r="G6795" i="1"/>
  <c r="F6795" i="1"/>
  <c r="E6795" i="1"/>
  <c r="D6795" i="1"/>
  <c r="C6795" i="1"/>
  <c r="B6795" i="1"/>
  <c r="G6794" i="1"/>
  <c r="F6794" i="1"/>
  <c r="E6794" i="1"/>
  <c r="D6794" i="1"/>
  <c r="C6794" i="1"/>
  <c r="B6794" i="1"/>
  <c r="G6793" i="1"/>
  <c r="F6793" i="1"/>
  <c r="E6793" i="1"/>
  <c r="D6793" i="1"/>
  <c r="C6793" i="1"/>
  <c r="B6793" i="1"/>
  <c r="G6792" i="1"/>
  <c r="F6792" i="1"/>
  <c r="E6792" i="1"/>
  <c r="D6792" i="1"/>
  <c r="C6792" i="1"/>
  <c r="B6792" i="1"/>
  <c r="G6791" i="1"/>
  <c r="F6791" i="1"/>
  <c r="E6791" i="1"/>
  <c r="D6791" i="1"/>
  <c r="C6791" i="1"/>
  <c r="B6791" i="1"/>
  <c r="G6790" i="1"/>
  <c r="F6790" i="1"/>
  <c r="E6790" i="1"/>
  <c r="D6790" i="1"/>
  <c r="C6790" i="1"/>
  <c r="B6790" i="1"/>
  <c r="G6789" i="1"/>
  <c r="F6789" i="1"/>
  <c r="E6789" i="1"/>
  <c r="D6789" i="1"/>
  <c r="C6789" i="1"/>
  <c r="B6789" i="1"/>
  <c r="G6788" i="1"/>
  <c r="F6788" i="1"/>
  <c r="E6788" i="1"/>
  <c r="D6788" i="1"/>
  <c r="C6788" i="1"/>
  <c r="B6788" i="1"/>
  <c r="G6787" i="1"/>
  <c r="F6787" i="1"/>
  <c r="E6787" i="1"/>
  <c r="D6787" i="1"/>
  <c r="C6787" i="1"/>
  <c r="B6787" i="1"/>
  <c r="G6786" i="1"/>
  <c r="F6786" i="1"/>
  <c r="E6786" i="1"/>
  <c r="D6786" i="1"/>
  <c r="C6786" i="1"/>
  <c r="B6786" i="1"/>
  <c r="G6785" i="1"/>
  <c r="F6785" i="1"/>
  <c r="E6785" i="1"/>
  <c r="D6785" i="1"/>
  <c r="C6785" i="1"/>
  <c r="B6785" i="1"/>
  <c r="G6784" i="1"/>
  <c r="F6784" i="1"/>
  <c r="E6784" i="1"/>
  <c r="D6784" i="1"/>
  <c r="C6784" i="1"/>
  <c r="B6784" i="1"/>
  <c r="G6783" i="1"/>
  <c r="F6783" i="1"/>
  <c r="E6783" i="1"/>
  <c r="D6783" i="1"/>
  <c r="C6783" i="1"/>
  <c r="B6783" i="1"/>
  <c r="G6782" i="1"/>
  <c r="F6782" i="1"/>
  <c r="E6782" i="1"/>
  <c r="D6782" i="1"/>
  <c r="C6782" i="1"/>
  <c r="B6782" i="1"/>
  <c r="G6781" i="1"/>
  <c r="F6781" i="1"/>
  <c r="E6781" i="1"/>
  <c r="D6781" i="1"/>
  <c r="C6781" i="1"/>
  <c r="B6781" i="1"/>
  <c r="G6780" i="1"/>
  <c r="F6780" i="1"/>
  <c r="E6780" i="1"/>
  <c r="D6780" i="1"/>
  <c r="C6780" i="1"/>
  <c r="B6780" i="1"/>
  <c r="G6779" i="1"/>
  <c r="F6779" i="1"/>
  <c r="E6779" i="1"/>
  <c r="D6779" i="1"/>
  <c r="C6779" i="1"/>
  <c r="B6779" i="1"/>
  <c r="G6778" i="1"/>
  <c r="F6778" i="1"/>
  <c r="E6778" i="1"/>
  <c r="D6778" i="1"/>
  <c r="C6778" i="1"/>
  <c r="B6778" i="1"/>
  <c r="G6777" i="1"/>
  <c r="F6777" i="1"/>
  <c r="E6777" i="1"/>
  <c r="D6777" i="1"/>
  <c r="C6777" i="1"/>
  <c r="B6777" i="1"/>
  <c r="G6776" i="1"/>
  <c r="F6776" i="1"/>
  <c r="E6776" i="1"/>
  <c r="D6776" i="1"/>
  <c r="C6776" i="1"/>
  <c r="B6776" i="1"/>
  <c r="G6775" i="1"/>
  <c r="F6775" i="1"/>
  <c r="E6775" i="1"/>
  <c r="D6775" i="1"/>
  <c r="C6775" i="1"/>
  <c r="B6775" i="1"/>
  <c r="G6774" i="1"/>
  <c r="F6774" i="1"/>
  <c r="E6774" i="1"/>
  <c r="D6774" i="1"/>
  <c r="C6774" i="1"/>
  <c r="B6774" i="1"/>
  <c r="G6773" i="1"/>
  <c r="F6773" i="1"/>
  <c r="E6773" i="1"/>
  <c r="D6773" i="1"/>
  <c r="C6773" i="1"/>
  <c r="B6773" i="1"/>
  <c r="G6772" i="1"/>
  <c r="F6772" i="1"/>
  <c r="E6772" i="1"/>
  <c r="D6772" i="1"/>
  <c r="C6772" i="1"/>
  <c r="B6772" i="1"/>
  <c r="G6771" i="1"/>
  <c r="F6771" i="1"/>
  <c r="E6771" i="1"/>
  <c r="D6771" i="1"/>
  <c r="C6771" i="1"/>
  <c r="B6771" i="1"/>
  <c r="G6770" i="1"/>
  <c r="F6770" i="1"/>
  <c r="E6770" i="1"/>
  <c r="D6770" i="1"/>
  <c r="C6770" i="1"/>
  <c r="B6770" i="1"/>
  <c r="G6769" i="1"/>
  <c r="F6769" i="1"/>
  <c r="E6769" i="1"/>
  <c r="D6769" i="1"/>
  <c r="C6769" i="1"/>
  <c r="B6769" i="1"/>
  <c r="G6768" i="1"/>
  <c r="F6768" i="1"/>
  <c r="E6768" i="1"/>
  <c r="D6768" i="1"/>
  <c r="C6768" i="1"/>
  <c r="B6768" i="1"/>
  <c r="G6767" i="1"/>
  <c r="F6767" i="1"/>
  <c r="E6767" i="1"/>
  <c r="D6767" i="1"/>
  <c r="C6767" i="1"/>
  <c r="B6767" i="1"/>
  <c r="G6766" i="1"/>
  <c r="F6766" i="1"/>
  <c r="E6766" i="1"/>
  <c r="D6766" i="1"/>
  <c r="C6766" i="1"/>
  <c r="B6766" i="1"/>
  <c r="G6765" i="1"/>
  <c r="F6765" i="1"/>
  <c r="E6765" i="1"/>
  <c r="D6765" i="1"/>
  <c r="C6765" i="1"/>
  <c r="B6765" i="1"/>
  <c r="G6764" i="1"/>
  <c r="F6764" i="1"/>
  <c r="E6764" i="1"/>
  <c r="D6764" i="1"/>
  <c r="C6764" i="1"/>
  <c r="B6764" i="1"/>
  <c r="G6763" i="1"/>
  <c r="F6763" i="1"/>
  <c r="E6763" i="1"/>
  <c r="D6763" i="1"/>
  <c r="C6763" i="1"/>
  <c r="B6763" i="1"/>
  <c r="G6762" i="1"/>
  <c r="F6762" i="1"/>
  <c r="E6762" i="1"/>
  <c r="D6762" i="1"/>
  <c r="C6762" i="1"/>
  <c r="B6762" i="1"/>
  <c r="G6761" i="1"/>
  <c r="F6761" i="1"/>
  <c r="E6761" i="1"/>
  <c r="D6761" i="1"/>
  <c r="C6761" i="1"/>
  <c r="B6761" i="1"/>
  <c r="G6760" i="1"/>
  <c r="F6760" i="1"/>
  <c r="E6760" i="1"/>
  <c r="D6760" i="1"/>
  <c r="C6760" i="1"/>
  <c r="B6760" i="1"/>
  <c r="G6759" i="1"/>
  <c r="F6759" i="1"/>
  <c r="E6759" i="1"/>
  <c r="D6759" i="1"/>
  <c r="C6759" i="1"/>
  <c r="B6759" i="1"/>
  <c r="G6758" i="1"/>
  <c r="F6758" i="1"/>
  <c r="E6758" i="1"/>
  <c r="D6758" i="1"/>
  <c r="C6758" i="1"/>
  <c r="B6758" i="1"/>
  <c r="G6757" i="1"/>
  <c r="F6757" i="1"/>
  <c r="E6757" i="1"/>
  <c r="D6757" i="1"/>
  <c r="C6757" i="1"/>
  <c r="B6757" i="1"/>
  <c r="G6756" i="1"/>
  <c r="F6756" i="1"/>
  <c r="E6756" i="1"/>
  <c r="D6756" i="1"/>
  <c r="C6756" i="1"/>
  <c r="B6756" i="1"/>
  <c r="G6755" i="1"/>
  <c r="F6755" i="1"/>
  <c r="E6755" i="1"/>
  <c r="D6755" i="1"/>
  <c r="C6755" i="1"/>
  <c r="B6755" i="1"/>
  <c r="G6754" i="1"/>
  <c r="F6754" i="1"/>
  <c r="E6754" i="1"/>
  <c r="D6754" i="1"/>
  <c r="C6754" i="1"/>
  <c r="B6754" i="1"/>
  <c r="G6753" i="1"/>
  <c r="F6753" i="1"/>
  <c r="E6753" i="1"/>
  <c r="D6753" i="1"/>
  <c r="C6753" i="1"/>
  <c r="B6753" i="1"/>
  <c r="G6752" i="1"/>
  <c r="F6752" i="1"/>
  <c r="E6752" i="1"/>
  <c r="D6752" i="1"/>
  <c r="C6752" i="1"/>
  <c r="B6752" i="1"/>
  <c r="G6751" i="1"/>
  <c r="F6751" i="1"/>
  <c r="E6751" i="1"/>
  <c r="D6751" i="1"/>
  <c r="C6751" i="1"/>
  <c r="B6751" i="1"/>
  <c r="G6750" i="1"/>
  <c r="F6750" i="1"/>
  <c r="E6750" i="1"/>
  <c r="D6750" i="1"/>
  <c r="C6750" i="1"/>
  <c r="B6750" i="1"/>
  <c r="G6749" i="1"/>
  <c r="F6749" i="1"/>
  <c r="E6749" i="1"/>
  <c r="D6749" i="1"/>
  <c r="C6749" i="1"/>
  <c r="B6749" i="1"/>
  <c r="G6748" i="1"/>
  <c r="F6748" i="1"/>
  <c r="E6748" i="1"/>
  <c r="D6748" i="1"/>
  <c r="C6748" i="1"/>
  <c r="B6748" i="1"/>
  <c r="G6747" i="1"/>
  <c r="F6747" i="1"/>
  <c r="E6747" i="1"/>
  <c r="D6747" i="1"/>
  <c r="C6747" i="1"/>
  <c r="B6747" i="1"/>
  <c r="G6746" i="1"/>
  <c r="F6746" i="1"/>
  <c r="E6746" i="1"/>
  <c r="D6746" i="1"/>
  <c r="C6746" i="1"/>
  <c r="B6746" i="1"/>
  <c r="G6745" i="1"/>
  <c r="F6745" i="1"/>
  <c r="E6745" i="1"/>
  <c r="D6745" i="1"/>
  <c r="C6745" i="1"/>
  <c r="B6745" i="1"/>
  <c r="G6744" i="1"/>
  <c r="F6744" i="1"/>
  <c r="E6744" i="1"/>
  <c r="D6744" i="1"/>
  <c r="C6744" i="1"/>
  <c r="B6744" i="1"/>
  <c r="G6743" i="1"/>
  <c r="F6743" i="1"/>
  <c r="E6743" i="1"/>
  <c r="D6743" i="1"/>
  <c r="C6743" i="1"/>
  <c r="B6743" i="1"/>
  <c r="G6742" i="1"/>
  <c r="F6742" i="1"/>
  <c r="E6742" i="1"/>
  <c r="D6742" i="1"/>
  <c r="C6742" i="1"/>
  <c r="B6742" i="1"/>
  <c r="G6741" i="1"/>
  <c r="F6741" i="1"/>
  <c r="E6741" i="1"/>
  <c r="D6741" i="1"/>
  <c r="C6741" i="1"/>
  <c r="B6741" i="1"/>
  <c r="G6740" i="1"/>
  <c r="F6740" i="1"/>
  <c r="E6740" i="1"/>
  <c r="D6740" i="1"/>
  <c r="C6740" i="1"/>
  <c r="B6740" i="1"/>
  <c r="G6739" i="1"/>
  <c r="F6739" i="1"/>
  <c r="E6739" i="1"/>
  <c r="D6739" i="1"/>
  <c r="C6739" i="1"/>
  <c r="B6739" i="1"/>
  <c r="G6738" i="1"/>
  <c r="F6738" i="1"/>
  <c r="E6738" i="1"/>
  <c r="D6738" i="1"/>
  <c r="C6738" i="1"/>
  <c r="B6738" i="1"/>
  <c r="G6737" i="1"/>
  <c r="F6737" i="1"/>
  <c r="E6737" i="1"/>
  <c r="D6737" i="1"/>
  <c r="C6737" i="1"/>
  <c r="B6737" i="1"/>
  <c r="G6736" i="1"/>
  <c r="F6736" i="1"/>
  <c r="E6736" i="1"/>
  <c r="D6736" i="1"/>
  <c r="C6736" i="1"/>
  <c r="B6736" i="1"/>
  <c r="G6735" i="1"/>
  <c r="F6735" i="1"/>
  <c r="E6735" i="1"/>
  <c r="D6735" i="1"/>
  <c r="C6735" i="1"/>
  <c r="B6735" i="1"/>
  <c r="G6734" i="1"/>
  <c r="F6734" i="1"/>
  <c r="E6734" i="1"/>
  <c r="D6734" i="1"/>
  <c r="C6734" i="1"/>
  <c r="B6734" i="1"/>
  <c r="G6733" i="1"/>
  <c r="F6733" i="1"/>
  <c r="E6733" i="1"/>
  <c r="D6733" i="1"/>
  <c r="C6733" i="1"/>
  <c r="B6733" i="1"/>
  <c r="G6732" i="1"/>
  <c r="F6732" i="1"/>
  <c r="E6732" i="1"/>
  <c r="D6732" i="1"/>
  <c r="C6732" i="1"/>
  <c r="B6732" i="1"/>
  <c r="G6731" i="1"/>
  <c r="F6731" i="1"/>
  <c r="E6731" i="1"/>
  <c r="D6731" i="1"/>
  <c r="C6731" i="1"/>
  <c r="B6731" i="1"/>
  <c r="G6730" i="1"/>
  <c r="F6730" i="1"/>
  <c r="E6730" i="1"/>
  <c r="D6730" i="1"/>
  <c r="C6730" i="1"/>
  <c r="B6730" i="1"/>
  <c r="G6729" i="1"/>
  <c r="F6729" i="1"/>
  <c r="E6729" i="1"/>
  <c r="D6729" i="1"/>
  <c r="C6729" i="1"/>
  <c r="B6729" i="1"/>
  <c r="G6728" i="1"/>
  <c r="F6728" i="1"/>
  <c r="E6728" i="1"/>
  <c r="D6728" i="1"/>
  <c r="C6728" i="1"/>
  <c r="B6728" i="1"/>
  <c r="G6727" i="1"/>
  <c r="F6727" i="1"/>
  <c r="E6727" i="1"/>
  <c r="D6727" i="1"/>
  <c r="C6727" i="1"/>
  <c r="B6727" i="1"/>
  <c r="G6726" i="1"/>
  <c r="F6726" i="1"/>
  <c r="E6726" i="1"/>
  <c r="D6726" i="1"/>
  <c r="C6726" i="1"/>
  <c r="B6726" i="1"/>
  <c r="G6725" i="1"/>
  <c r="F6725" i="1"/>
  <c r="E6725" i="1"/>
  <c r="D6725" i="1"/>
  <c r="C6725" i="1"/>
  <c r="B6725" i="1"/>
  <c r="G6724" i="1"/>
  <c r="F6724" i="1"/>
  <c r="E6724" i="1"/>
  <c r="D6724" i="1"/>
  <c r="C6724" i="1"/>
  <c r="B6724" i="1"/>
  <c r="G6723" i="1"/>
  <c r="F6723" i="1"/>
  <c r="E6723" i="1"/>
  <c r="D6723" i="1"/>
  <c r="C6723" i="1"/>
  <c r="B6723" i="1"/>
  <c r="G6722" i="1"/>
  <c r="F6722" i="1"/>
  <c r="E6722" i="1"/>
  <c r="D6722" i="1"/>
  <c r="C6722" i="1"/>
  <c r="B6722" i="1"/>
  <c r="G6721" i="1"/>
  <c r="F6721" i="1"/>
  <c r="E6721" i="1"/>
  <c r="D6721" i="1"/>
  <c r="C6721" i="1"/>
  <c r="B6721" i="1"/>
  <c r="G6720" i="1"/>
  <c r="F6720" i="1"/>
  <c r="E6720" i="1"/>
  <c r="D6720" i="1"/>
  <c r="C6720" i="1"/>
  <c r="B6720" i="1"/>
  <c r="G6719" i="1"/>
  <c r="F6719" i="1"/>
  <c r="E6719" i="1"/>
  <c r="D6719" i="1"/>
  <c r="C6719" i="1"/>
  <c r="B6719" i="1"/>
  <c r="G6718" i="1"/>
  <c r="F6718" i="1"/>
  <c r="E6718" i="1"/>
  <c r="D6718" i="1"/>
  <c r="C6718" i="1"/>
  <c r="B6718" i="1"/>
  <c r="G6717" i="1"/>
  <c r="F6717" i="1"/>
  <c r="E6717" i="1"/>
  <c r="D6717" i="1"/>
  <c r="C6717" i="1"/>
  <c r="B6717" i="1"/>
  <c r="G6716" i="1"/>
  <c r="F6716" i="1"/>
  <c r="E6716" i="1"/>
  <c r="D6716" i="1"/>
  <c r="C6716" i="1"/>
  <c r="B6716" i="1"/>
  <c r="G6715" i="1"/>
  <c r="F6715" i="1"/>
  <c r="E6715" i="1"/>
  <c r="D6715" i="1"/>
  <c r="C6715" i="1"/>
  <c r="B6715" i="1"/>
  <c r="G6714" i="1"/>
  <c r="F6714" i="1"/>
  <c r="E6714" i="1"/>
  <c r="D6714" i="1"/>
  <c r="C6714" i="1"/>
  <c r="B6714" i="1"/>
  <c r="G6713" i="1"/>
  <c r="F6713" i="1"/>
  <c r="E6713" i="1"/>
  <c r="D6713" i="1"/>
  <c r="C6713" i="1"/>
  <c r="B6713" i="1"/>
  <c r="G6712" i="1"/>
  <c r="F6712" i="1"/>
  <c r="E6712" i="1"/>
  <c r="D6712" i="1"/>
  <c r="C6712" i="1"/>
  <c r="B6712" i="1"/>
  <c r="G6711" i="1"/>
  <c r="F6711" i="1"/>
  <c r="E6711" i="1"/>
  <c r="D6711" i="1"/>
  <c r="C6711" i="1"/>
  <c r="B6711" i="1"/>
  <c r="G6710" i="1"/>
  <c r="F6710" i="1"/>
  <c r="E6710" i="1"/>
  <c r="D6710" i="1"/>
  <c r="C6710" i="1"/>
  <c r="B6710" i="1"/>
  <c r="G6709" i="1"/>
  <c r="F6709" i="1"/>
  <c r="E6709" i="1"/>
  <c r="D6709" i="1"/>
  <c r="C6709" i="1"/>
  <c r="B6709" i="1"/>
  <c r="G6708" i="1"/>
  <c r="F6708" i="1"/>
  <c r="E6708" i="1"/>
  <c r="D6708" i="1"/>
  <c r="C6708" i="1"/>
  <c r="B6708" i="1"/>
  <c r="G6707" i="1"/>
  <c r="F6707" i="1"/>
  <c r="E6707" i="1"/>
  <c r="D6707" i="1"/>
  <c r="C6707" i="1"/>
  <c r="B6707" i="1"/>
  <c r="G6706" i="1"/>
  <c r="F6706" i="1"/>
  <c r="E6706" i="1"/>
  <c r="D6706" i="1"/>
  <c r="C6706" i="1"/>
  <c r="B6706" i="1"/>
  <c r="G6705" i="1"/>
  <c r="F6705" i="1"/>
  <c r="E6705" i="1"/>
  <c r="D6705" i="1"/>
  <c r="C6705" i="1"/>
  <c r="B6705" i="1"/>
  <c r="G6704" i="1"/>
  <c r="F6704" i="1"/>
  <c r="E6704" i="1"/>
  <c r="D6704" i="1"/>
  <c r="C6704" i="1"/>
  <c r="B6704" i="1"/>
  <c r="G6703" i="1"/>
  <c r="F6703" i="1"/>
  <c r="E6703" i="1"/>
  <c r="D6703" i="1"/>
  <c r="C6703" i="1"/>
  <c r="B6703" i="1"/>
  <c r="G6702" i="1"/>
  <c r="F6702" i="1"/>
  <c r="E6702" i="1"/>
  <c r="D6702" i="1"/>
  <c r="C6702" i="1"/>
  <c r="B6702" i="1"/>
  <c r="G6701" i="1"/>
  <c r="F6701" i="1"/>
  <c r="E6701" i="1"/>
  <c r="D6701" i="1"/>
  <c r="C6701" i="1"/>
  <c r="B6701" i="1"/>
  <c r="G6700" i="1"/>
  <c r="F6700" i="1"/>
  <c r="E6700" i="1"/>
  <c r="D6700" i="1"/>
  <c r="C6700" i="1"/>
  <c r="B6700" i="1"/>
  <c r="G6699" i="1"/>
  <c r="F6699" i="1"/>
  <c r="E6699" i="1"/>
  <c r="D6699" i="1"/>
  <c r="C6699" i="1"/>
  <c r="B6699" i="1"/>
  <c r="G6698" i="1"/>
  <c r="F6698" i="1"/>
  <c r="E6698" i="1"/>
  <c r="D6698" i="1"/>
  <c r="C6698" i="1"/>
  <c r="B6698" i="1"/>
  <c r="G6697" i="1"/>
  <c r="F6697" i="1"/>
  <c r="E6697" i="1"/>
  <c r="D6697" i="1"/>
  <c r="C6697" i="1"/>
  <c r="B6697" i="1"/>
  <c r="G6696" i="1"/>
  <c r="F6696" i="1"/>
  <c r="E6696" i="1"/>
  <c r="D6696" i="1"/>
  <c r="C6696" i="1"/>
  <c r="B6696" i="1"/>
  <c r="G6695" i="1"/>
  <c r="F6695" i="1"/>
  <c r="E6695" i="1"/>
  <c r="D6695" i="1"/>
  <c r="C6695" i="1"/>
  <c r="B6695" i="1"/>
  <c r="G6694" i="1"/>
  <c r="F6694" i="1"/>
  <c r="E6694" i="1"/>
  <c r="D6694" i="1"/>
  <c r="C6694" i="1"/>
  <c r="B6694" i="1"/>
  <c r="G6693" i="1"/>
  <c r="F6693" i="1"/>
  <c r="E6693" i="1"/>
  <c r="D6693" i="1"/>
  <c r="C6693" i="1"/>
  <c r="B6693" i="1"/>
  <c r="G6692" i="1"/>
  <c r="F6692" i="1"/>
  <c r="E6692" i="1"/>
  <c r="D6692" i="1"/>
  <c r="C6692" i="1"/>
  <c r="B6692" i="1"/>
  <c r="F6691" i="1"/>
  <c r="E6691" i="1"/>
  <c r="D6691" i="1"/>
  <c r="C6691" i="1"/>
  <c r="B6691" i="1"/>
  <c r="G6690" i="1"/>
  <c r="F6690" i="1"/>
  <c r="E6690" i="1"/>
  <c r="D6690" i="1"/>
  <c r="C6690" i="1"/>
  <c r="B6690" i="1"/>
  <c r="G6689" i="1"/>
  <c r="F6689" i="1"/>
  <c r="E6689" i="1"/>
  <c r="D6689" i="1"/>
  <c r="C6689" i="1"/>
  <c r="B6689" i="1"/>
  <c r="G6688" i="1"/>
  <c r="F6688" i="1"/>
  <c r="E6688" i="1"/>
  <c r="D6688" i="1"/>
  <c r="C6688" i="1"/>
  <c r="B6688" i="1"/>
  <c r="G6687" i="1"/>
  <c r="F6687" i="1"/>
  <c r="E6687" i="1"/>
  <c r="D6687" i="1"/>
  <c r="C6687" i="1"/>
  <c r="B6687" i="1"/>
  <c r="G6686" i="1"/>
  <c r="F6686" i="1"/>
  <c r="E6686" i="1"/>
  <c r="D6686" i="1"/>
  <c r="C6686" i="1"/>
  <c r="B6686" i="1"/>
  <c r="G6685" i="1"/>
  <c r="F6685" i="1"/>
  <c r="E6685" i="1"/>
  <c r="D6685" i="1"/>
  <c r="C6685" i="1"/>
  <c r="B6685" i="1"/>
  <c r="G6684" i="1"/>
  <c r="F6684" i="1"/>
  <c r="E6684" i="1"/>
  <c r="D6684" i="1"/>
  <c r="C6684" i="1"/>
  <c r="B6684" i="1"/>
  <c r="G6683" i="1"/>
  <c r="F6683" i="1"/>
  <c r="E6683" i="1"/>
  <c r="D6683" i="1"/>
  <c r="C6683" i="1"/>
  <c r="B6683" i="1"/>
  <c r="G6682" i="1"/>
  <c r="F6682" i="1"/>
  <c r="E6682" i="1"/>
  <c r="D6682" i="1"/>
  <c r="C6682" i="1"/>
  <c r="B6682" i="1"/>
  <c r="G6681" i="1"/>
  <c r="F6681" i="1"/>
  <c r="E6681" i="1"/>
  <c r="D6681" i="1"/>
  <c r="C6681" i="1"/>
  <c r="B6681" i="1"/>
  <c r="G6680" i="1"/>
  <c r="F6680" i="1"/>
  <c r="E6680" i="1"/>
  <c r="D6680" i="1"/>
  <c r="C6680" i="1"/>
  <c r="B6680" i="1"/>
  <c r="G6679" i="1"/>
  <c r="F6679" i="1"/>
  <c r="E6679" i="1"/>
  <c r="D6679" i="1"/>
  <c r="C6679" i="1"/>
  <c r="B6679" i="1"/>
  <c r="G6678" i="1"/>
  <c r="F6678" i="1"/>
  <c r="E6678" i="1"/>
  <c r="D6678" i="1"/>
  <c r="C6678" i="1"/>
  <c r="B6678" i="1"/>
  <c r="G6677" i="1"/>
  <c r="F6677" i="1"/>
  <c r="E6677" i="1"/>
  <c r="D6677" i="1"/>
  <c r="C6677" i="1"/>
  <c r="B6677" i="1"/>
  <c r="G6676" i="1"/>
  <c r="F6676" i="1"/>
  <c r="E6676" i="1"/>
  <c r="D6676" i="1"/>
  <c r="C6676" i="1"/>
  <c r="B6676" i="1"/>
  <c r="G6675" i="1"/>
  <c r="F6675" i="1"/>
  <c r="E6675" i="1"/>
  <c r="D6675" i="1"/>
  <c r="C6675" i="1"/>
  <c r="B6675" i="1"/>
  <c r="G6674" i="1"/>
  <c r="F6674" i="1"/>
  <c r="E6674" i="1"/>
  <c r="D6674" i="1"/>
  <c r="C6674" i="1"/>
  <c r="B6674" i="1"/>
  <c r="G6673" i="1"/>
  <c r="F6673" i="1"/>
  <c r="E6673" i="1"/>
  <c r="D6673" i="1"/>
  <c r="C6673" i="1"/>
  <c r="B6673" i="1"/>
  <c r="G6672" i="1"/>
  <c r="F6672" i="1"/>
  <c r="E6672" i="1"/>
  <c r="D6672" i="1"/>
  <c r="C6672" i="1"/>
  <c r="B6672" i="1"/>
  <c r="G6671" i="1"/>
  <c r="F6671" i="1"/>
  <c r="E6671" i="1"/>
  <c r="D6671" i="1"/>
  <c r="C6671" i="1"/>
  <c r="B6671" i="1"/>
  <c r="G6670" i="1"/>
  <c r="F6670" i="1"/>
  <c r="E6670" i="1"/>
  <c r="D6670" i="1"/>
  <c r="C6670" i="1"/>
  <c r="B6670" i="1"/>
  <c r="G6669" i="1"/>
  <c r="F6669" i="1"/>
  <c r="E6669" i="1"/>
  <c r="D6669" i="1"/>
  <c r="C6669" i="1"/>
  <c r="B6669" i="1"/>
  <c r="G6668" i="1"/>
  <c r="F6668" i="1"/>
  <c r="E6668" i="1"/>
  <c r="D6668" i="1"/>
  <c r="C6668" i="1"/>
  <c r="B6668" i="1"/>
  <c r="G6667" i="1"/>
  <c r="F6667" i="1"/>
  <c r="E6667" i="1"/>
  <c r="D6667" i="1"/>
  <c r="C6667" i="1"/>
  <c r="B6667" i="1"/>
  <c r="G6666" i="1"/>
  <c r="F6666" i="1"/>
  <c r="E6666" i="1"/>
  <c r="D6666" i="1"/>
  <c r="C6666" i="1"/>
  <c r="B6666" i="1"/>
  <c r="G6665" i="1"/>
  <c r="F6665" i="1"/>
  <c r="E6665" i="1"/>
  <c r="D6665" i="1"/>
  <c r="C6665" i="1"/>
  <c r="B6665" i="1"/>
  <c r="G6664" i="1"/>
  <c r="F6664" i="1"/>
  <c r="E6664" i="1"/>
  <c r="D6664" i="1"/>
  <c r="C6664" i="1"/>
  <c r="B6664" i="1"/>
  <c r="G6663" i="1"/>
  <c r="F6663" i="1"/>
  <c r="E6663" i="1"/>
  <c r="D6663" i="1"/>
  <c r="C6663" i="1"/>
  <c r="B6663" i="1"/>
  <c r="G6662" i="1"/>
  <c r="F6662" i="1"/>
  <c r="E6662" i="1"/>
  <c r="D6662" i="1"/>
  <c r="C6662" i="1"/>
  <c r="B6662" i="1"/>
  <c r="G6661" i="1"/>
  <c r="F6661" i="1"/>
  <c r="E6661" i="1"/>
  <c r="D6661" i="1"/>
  <c r="C6661" i="1"/>
  <c r="B6661" i="1"/>
  <c r="G6660" i="1"/>
  <c r="F6660" i="1"/>
  <c r="E6660" i="1"/>
  <c r="D6660" i="1"/>
  <c r="C6660" i="1"/>
  <c r="B6660" i="1"/>
  <c r="G6659" i="1"/>
  <c r="F6659" i="1"/>
  <c r="E6659" i="1"/>
  <c r="D6659" i="1"/>
  <c r="C6659" i="1"/>
  <c r="B6659" i="1"/>
  <c r="G6658" i="1"/>
  <c r="F6658" i="1"/>
  <c r="E6658" i="1"/>
  <c r="D6658" i="1"/>
  <c r="C6658" i="1"/>
  <c r="B6658" i="1"/>
  <c r="G6657" i="1"/>
  <c r="F6657" i="1"/>
  <c r="E6657" i="1"/>
  <c r="D6657" i="1"/>
  <c r="C6657" i="1"/>
  <c r="B6657" i="1"/>
  <c r="G6656" i="1"/>
  <c r="F6656" i="1"/>
  <c r="E6656" i="1"/>
  <c r="D6656" i="1"/>
  <c r="C6656" i="1"/>
  <c r="B6656" i="1"/>
  <c r="G6655" i="1"/>
  <c r="F6655" i="1"/>
  <c r="E6655" i="1"/>
  <c r="D6655" i="1"/>
  <c r="C6655" i="1"/>
  <c r="B6655" i="1"/>
  <c r="G6654" i="1"/>
  <c r="F6654" i="1"/>
  <c r="E6654" i="1"/>
  <c r="D6654" i="1"/>
  <c r="C6654" i="1"/>
  <c r="B6654" i="1"/>
  <c r="G6653" i="1"/>
  <c r="F6653" i="1"/>
  <c r="E6653" i="1"/>
  <c r="D6653" i="1"/>
  <c r="C6653" i="1"/>
  <c r="B6653" i="1"/>
  <c r="G6652" i="1"/>
  <c r="F6652" i="1"/>
  <c r="E6652" i="1"/>
  <c r="D6652" i="1"/>
  <c r="C6652" i="1"/>
  <c r="B6652" i="1"/>
  <c r="G6651" i="1"/>
  <c r="F6651" i="1"/>
  <c r="E6651" i="1"/>
  <c r="D6651" i="1"/>
  <c r="C6651" i="1"/>
  <c r="B6651" i="1"/>
  <c r="G6650" i="1"/>
  <c r="F6650" i="1"/>
  <c r="E6650" i="1"/>
  <c r="D6650" i="1"/>
  <c r="C6650" i="1"/>
  <c r="B6650" i="1"/>
  <c r="G6649" i="1"/>
  <c r="F6649" i="1"/>
  <c r="E6649" i="1"/>
  <c r="D6649" i="1"/>
  <c r="C6649" i="1"/>
  <c r="B6649" i="1"/>
  <c r="G6648" i="1"/>
  <c r="F6648" i="1"/>
  <c r="E6648" i="1"/>
  <c r="D6648" i="1"/>
  <c r="C6648" i="1"/>
  <c r="B6648" i="1"/>
  <c r="G6647" i="1"/>
  <c r="F6647" i="1"/>
  <c r="E6647" i="1"/>
  <c r="D6647" i="1"/>
  <c r="C6647" i="1"/>
  <c r="B6647" i="1"/>
  <c r="G6646" i="1"/>
  <c r="F6646" i="1"/>
  <c r="E6646" i="1"/>
  <c r="D6646" i="1"/>
  <c r="C6646" i="1"/>
  <c r="B6646" i="1"/>
  <c r="G6645" i="1"/>
  <c r="F6645" i="1"/>
  <c r="E6645" i="1"/>
  <c r="D6645" i="1"/>
  <c r="C6645" i="1"/>
  <c r="B6645" i="1"/>
  <c r="G6644" i="1"/>
  <c r="F6644" i="1"/>
  <c r="E6644" i="1"/>
  <c r="D6644" i="1"/>
  <c r="C6644" i="1"/>
  <c r="B6644" i="1"/>
  <c r="G6643" i="1"/>
  <c r="F6643" i="1"/>
  <c r="E6643" i="1"/>
  <c r="D6643" i="1"/>
  <c r="C6643" i="1"/>
  <c r="B6643" i="1"/>
  <c r="G6642" i="1"/>
  <c r="F6642" i="1"/>
  <c r="E6642" i="1"/>
  <c r="D6642" i="1"/>
  <c r="C6642" i="1"/>
  <c r="B6642" i="1"/>
  <c r="G6641" i="1"/>
  <c r="F6641" i="1"/>
  <c r="E6641" i="1"/>
  <c r="D6641" i="1"/>
  <c r="C6641" i="1"/>
  <c r="B6641" i="1"/>
  <c r="G6640" i="1"/>
  <c r="F6640" i="1"/>
  <c r="E6640" i="1"/>
  <c r="D6640" i="1"/>
  <c r="C6640" i="1"/>
  <c r="B6640" i="1"/>
  <c r="G6639" i="1"/>
  <c r="F6639" i="1"/>
  <c r="E6639" i="1"/>
  <c r="D6639" i="1"/>
  <c r="C6639" i="1"/>
  <c r="B6639" i="1"/>
  <c r="G6638" i="1"/>
  <c r="F6638" i="1"/>
  <c r="E6638" i="1"/>
  <c r="D6638" i="1"/>
  <c r="C6638" i="1"/>
  <c r="B6638" i="1"/>
  <c r="G6637" i="1"/>
  <c r="F6637" i="1"/>
  <c r="E6637" i="1"/>
  <c r="D6637" i="1"/>
  <c r="C6637" i="1"/>
  <c r="B6637" i="1"/>
  <c r="G6636" i="1"/>
  <c r="F6636" i="1"/>
  <c r="E6636" i="1"/>
  <c r="D6636" i="1"/>
  <c r="C6636" i="1"/>
  <c r="B6636" i="1"/>
  <c r="G6635" i="1"/>
  <c r="F6635" i="1"/>
  <c r="E6635" i="1"/>
  <c r="D6635" i="1"/>
  <c r="C6635" i="1"/>
  <c r="B6635" i="1"/>
  <c r="G6634" i="1"/>
  <c r="F6634" i="1"/>
  <c r="E6634" i="1"/>
  <c r="D6634" i="1"/>
  <c r="C6634" i="1"/>
  <c r="B6634" i="1"/>
  <c r="G6633" i="1"/>
  <c r="F6633" i="1"/>
  <c r="E6633" i="1"/>
  <c r="D6633" i="1"/>
  <c r="C6633" i="1"/>
  <c r="B6633" i="1"/>
  <c r="G6632" i="1"/>
  <c r="F6632" i="1"/>
  <c r="E6632" i="1"/>
  <c r="D6632" i="1"/>
  <c r="C6632" i="1"/>
  <c r="B6632" i="1"/>
  <c r="G6631" i="1"/>
  <c r="F6631" i="1"/>
  <c r="E6631" i="1"/>
  <c r="D6631" i="1"/>
  <c r="C6631" i="1"/>
  <c r="B6631" i="1"/>
  <c r="G6630" i="1"/>
  <c r="F6630" i="1"/>
  <c r="E6630" i="1"/>
  <c r="D6630" i="1"/>
  <c r="C6630" i="1"/>
  <c r="B6630" i="1"/>
  <c r="G6629" i="1"/>
  <c r="F6629" i="1"/>
  <c r="E6629" i="1"/>
  <c r="D6629" i="1"/>
  <c r="C6629" i="1"/>
  <c r="B6629" i="1"/>
  <c r="G6628" i="1"/>
  <c r="F6628" i="1"/>
  <c r="E6628" i="1"/>
  <c r="D6628" i="1"/>
  <c r="C6628" i="1"/>
  <c r="B6628" i="1"/>
  <c r="G6627" i="1"/>
  <c r="F6627" i="1"/>
  <c r="E6627" i="1"/>
  <c r="D6627" i="1"/>
  <c r="C6627" i="1"/>
  <c r="B6627" i="1"/>
  <c r="G6626" i="1"/>
  <c r="F6626" i="1"/>
  <c r="E6626" i="1"/>
  <c r="D6626" i="1"/>
  <c r="C6626" i="1"/>
  <c r="B6626" i="1"/>
  <c r="G6625" i="1"/>
  <c r="F6625" i="1"/>
  <c r="E6625" i="1"/>
  <c r="D6625" i="1"/>
  <c r="C6625" i="1"/>
  <c r="B6625" i="1"/>
  <c r="G6624" i="1"/>
  <c r="F6624" i="1"/>
  <c r="E6624" i="1"/>
  <c r="D6624" i="1"/>
  <c r="C6624" i="1"/>
  <c r="B6624" i="1"/>
  <c r="G6623" i="1"/>
  <c r="F6623" i="1"/>
  <c r="E6623" i="1"/>
  <c r="D6623" i="1"/>
  <c r="C6623" i="1"/>
  <c r="B6623" i="1"/>
  <c r="G6622" i="1"/>
  <c r="F6622" i="1"/>
  <c r="E6622" i="1"/>
  <c r="D6622" i="1"/>
  <c r="C6622" i="1"/>
  <c r="B6622" i="1"/>
  <c r="G6621" i="1"/>
  <c r="F6621" i="1"/>
  <c r="E6621" i="1"/>
  <c r="D6621" i="1"/>
  <c r="C6621" i="1"/>
  <c r="B6621" i="1"/>
  <c r="G6620" i="1"/>
  <c r="F6620" i="1"/>
  <c r="E6620" i="1"/>
  <c r="D6620" i="1"/>
  <c r="C6620" i="1"/>
  <c r="B6620" i="1"/>
  <c r="G6619" i="1"/>
  <c r="F6619" i="1"/>
  <c r="E6619" i="1"/>
  <c r="D6619" i="1"/>
  <c r="C6619" i="1"/>
  <c r="B6619" i="1"/>
  <c r="G6618" i="1"/>
  <c r="F6618" i="1"/>
  <c r="E6618" i="1"/>
  <c r="D6618" i="1"/>
  <c r="C6618" i="1"/>
  <c r="B6618" i="1"/>
  <c r="G6617" i="1"/>
  <c r="F6617" i="1"/>
  <c r="E6617" i="1"/>
  <c r="D6617" i="1"/>
  <c r="C6617" i="1"/>
  <c r="B6617" i="1"/>
  <c r="G6616" i="1"/>
  <c r="F6616" i="1"/>
  <c r="E6616" i="1"/>
  <c r="D6616" i="1"/>
  <c r="C6616" i="1"/>
  <c r="B6616" i="1"/>
  <c r="G6615" i="1"/>
  <c r="F6615" i="1"/>
  <c r="E6615" i="1"/>
  <c r="D6615" i="1"/>
  <c r="C6615" i="1"/>
  <c r="B6615" i="1"/>
  <c r="G6614" i="1"/>
  <c r="F6614" i="1"/>
  <c r="E6614" i="1"/>
  <c r="D6614" i="1"/>
  <c r="C6614" i="1"/>
  <c r="B6614" i="1"/>
  <c r="G6613" i="1"/>
  <c r="F6613" i="1"/>
  <c r="E6613" i="1"/>
  <c r="D6613" i="1"/>
  <c r="C6613" i="1"/>
  <c r="B6613" i="1"/>
  <c r="G6612" i="1"/>
  <c r="F6612" i="1"/>
  <c r="E6612" i="1"/>
  <c r="D6612" i="1"/>
  <c r="C6612" i="1"/>
  <c r="B6612" i="1"/>
  <c r="G6611" i="1"/>
  <c r="F6611" i="1"/>
  <c r="E6611" i="1"/>
  <c r="D6611" i="1"/>
  <c r="C6611" i="1"/>
  <c r="B6611" i="1"/>
  <c r="G6610" i="1"/>
  <c r="F6610" i="1"/>
  <c r="E6610" i="1"/>
  <c r="D6610" i="1"/>
  <c r="C6610" i="1"/>
  <c r="B6610" i="1"/>
  <c r="G6609" i="1"/>
  <c r="F6609" i="1"/>
  <c r="E6609" i="1"/>
  <c r="D6609" i="1"/>
  <c r="C6609" i="1"/>
  <c r="B6609" i="1"/>
  <c r="G6608" i="1"/>
  <c r="F6608" i="1"/>
  <c r="E6608" i="1"/>
  <c r="D6608" i="1"/>
  <c r="C6608" i="1"/>
  <c r="B6608" i="1"/>
  <c r="G6607" i="1"/>
  <c r="F6607" i="1"/>
  <c r="E6607" i="1"/>
  <c r="D6607" i="1"/>
  <c r="C6607" i="1"/>
  <c r="B6607" i="1"/>
  <c r="G6606" i="1"/>
  <c r="F6606" i="1"/>
  <c r="E6606" i="1"/>
  <c r="D6606" i="1"/>
  <c r="C6606" i="1"/>
  <c r="B6606" i="1"/>
  <c r="G6605" i="1"/>
  <c r="F6605" i="1"/>
  <c r="E6605" i="1"/>
  <c r="D6605" i="1"/>
  <c r="C6605" i="1"/>
  <c r="B6605" i="1"/>
  <c r="G6604" i="1"/>
  <c r="F6604" i="1"/>
  <c r="E6604" i="1"/>
  <c r="D6604" i="1"/>
  <c r="C6604" i="1"/>
  <c r="B6604" i="1"/>
  <c r="G6603" i="1"/>
  <c r="F6603" i="1"/>
  <c r="E6603" i="1"/>
  <c r="D6603" i="1"/>
  <c r="C6603" i="1"/>
  <c r="B6603" i="1"/>
  <c r="G6602" i="1"/>
  <c r="F6602" i="1"/>
  <c r="E6602" i="1"/>
  <c r="D6602" i="1"/>
  <c r="C6602" i="1"/>
  <c r="B6602" i="1"/>
  <c r="G6601" i="1"/>
  <c r="F6601" i="1"/>
  <c r="E6601" i="1"/>
  <c r="D6601" i="1"/>
  <c r="C6601" i="1"/>
  <c r="B6601" i="1"/>
  <c r="G6600" i="1"/>
  <c r="F6600" i="1"/>
  <c r="E6600" i="1"/>
  <c r="D6600" i="1"/>
  <c r="C6600" i="1"/>
  <c r="B6600" i="1"/>
  <c r="G6599" i="1"/>
  <c r="F6599" i="1"/>
  <c r="E6599" i="1"/>
  <c r="D6599" i="1"/>
  <c r="C6599" i="1"/>
  <c r="B6599" i="1"/>
  <c r="G6598" i="1"/>
  <c r="F6598" i="1"/>
  <c r="E6598" i="1"/>
  <c r="D6598" i="1"/>
  <c r="C6598" i="1"/>
  <c r="B6598" i="1"/>
  <c r="G6597" i="1"/>
  <c r="F6597" i="1"/>
  <c r="E6597" i="1"/>
  <c r="D6597" i="1"/>
  <c r="C6597" i="1"/>
  <c r="B6597" i="1"/>
  <c r="G6596" i="1"/>
  <c r="F6596" i="1"/>
  <c r="E6596" i="1"/>
  <c r="D6596" i="1"/>
  <c r="C6596" i="1"/>
  <c r="B6596" i="1"/>
  <c r="G6595" i="1"/>
  <c r="F6595" i="1"/>
  <c r="E6595" i="1"/>
  <c r="D6595" i="1"/>
  <c r="C6595" i="1"/>
  <c r="B6595" i="1"/>
  <c r="G6594" i="1"/>
  <c r="F6594" i="1"/>
  <c r="E6594" i="1"/>
  <c r="D6594" i="1"/>
  <c r="C6594" i="1"/>
  <c r="B6594" i="1"/>
  <c r="G6593" i="1"/>
  <c r="F6593" i="1"/>
  <c r="E6593" i="1"/>
  <c r="D6593" i="1"/>
  <c r="C6593" i="1"/>
  <c r="B6593" i="1"/>
  <c r="G6592" i="1"/>
  <c r="F6592" i="1"/>
  <c r="E6592" i="1"/>
  <c r="D6592" i="1"/>
  <c r="C6592" i="1"/>
  <c r="B6592" i="1"/>
  <c r="G6591" i="1"/>
  <c r="F6591" i="1"/>
  <c r="E6591" i="1"/>
  <c r="D6591" i="1"/>
  <c r="C6591" i="1"/>
  <c r="B6591" i="1"/>
  <c r="G6590" i="1"/>
  <c r="F6590" i="1"/>
  <c r="E6590" i="1"/>
  <c r="D6590" i="1"/>
  <c r="C6590" i="1"/>
  <c r="B6590" i="1"/>
  <c r="G6589" i="1"/>
  <c r="F6589" i="1"/>
  <c r="E6589" i="1"/>
  <c r="D6589" i="1"/>
  <c r="C6589" i="1"/>
  <c r="B6589" i="1"/>
  <c r="G6588" i="1"/>
  <c r="F6588" i="1"/>
  <c r="E6588" i="1"/>
  <c r="D6588" i="1"/>
  <c r="C6588" i="1"/>
  <c r="B6588" i="1"/>
  <c r="G6587" i="1"/>
  <c r="F6587" i="1"/>
  <c r="E6587" i="1"/>
  <c r="D6587" i="1"/>
  <c r="C6587" i="1"/>
  <c r="B6587" i="1"/>
  <c r="G6586" i="1"/>
  <c r="F6586" i="1"/>
  <c r="E6586" i="1"/>
  <c r="D6586" i="1"/>
  <c r="C6586" i="1"/>
  <c r="B6586" i="1"/>
  <c r="G6585" i="1"/>
  <c r="F6585" i="1"/>
  <c r="E6585" i="1"/>
  <c r="D6585" i="1"/>
  <c r="C6585" i="1"/>
  <c r="B6585" i="1"/>
  <c r="G6584" i="1"/>
  <c r="F6584" i="1"/>
  <c r="E6584" i="1"/>
  <c r="D6584" i="1"/>
  <c r="C6584" i="1"/>
  <c r="B6584" i="1"/>
  <c r="G6583" i="1"/>
  <c r="F6583" i="1"/>
  <c r="E6583" i="1"/>
  <c r="D6583" i="1"/>
  <c r="C6583" i="1"/>
  <c r="B6583" i="1"/>
  <c r="G6582" i="1"/>
  <c r="F6582" i="1"/>
  <c r="E6582" i="1"/>
  <c r="D6582" i="1"/>
  <c r="C6582" i="1"/>
  <c r="B6582" i="1"/>
  <c r="G6581" i="1"/>
  <c r="F6581" i="1"/>
  <c r="E6581" i="1"/>
  <c r="D6581" i="1"/>
  <c r="C6581" i="1"/>
  <c r="B6581" i="1"/>
  <c r="G6580" i="1"/>
  <c r="F6580" i="1"/>
  <c r="E6580" i="1"/>
  <c r="D6580" i="1"/>
  <c r="C6580" i="1"/>
  <c r="B6580" i="1"/>
  <c r="G6579" i="1"/>
  <c r="F6579" i="1"/>
  <c r="E6579" i="1"/>
  <c r="D6579" i="1"/>
  <c r="C6579" i="1"/>
  <c r="B6579" i="1"/>
  <c r="G6578" i="1"/>
  <c r="F6578" i="1"/>
  <c r="E6578" i="1"/>
  <c r="D6578" i="1"/>
  <c r="C6578" i="1"/>
  <c r="B6578" i="1"/>
  <c r="G6577" i="1"/>
  <c r="F6577" i="1"/>
  <c r="E6577" i="1"/>
  <c r="D6577" i="1"/>
  <c r="C6577" i="1"/>
  <c r="B6577" i="1"/>
  <c r="G6576" i="1"/>
  <c r="F6576" i="1"/>
  <c r="E6576" i="1"/>
  <c r="D6576" i="1"/>
  <c r="C6576" i="1"/>
  <c r="B6576" i="1"/>
  <c r="G6575" i="1"/>
  <c r="F6575" i="1"/>
  <c r="E6575" i="1"/>
  <c r="D6575" i="1"/>
  <c r="C6575" i="1"/>
  <c r="B6575" i="1"/>
  <c r="G6574" i="1"/>
  <c r="F6574" i="1"/>
  <c r="E6574" i="1"/>
  <c r="D6574" i="1"/>
  <c r="C6574" i="1"/>
  <c r="B6574" i="1"/>
  <c r="G6573" i="1"/>
  <c r="F6573" i="1"/>
  <c r="E6573" i="1"/>
  <c r="D6573" i="1"/>
  <c r="C6573" i="1"/>
  <c r="B6573" i="1"/>
  <c r="G6572" i="1"/>
  <c r="F6572" i="1"/>
  <c r="E6572" i="1"/>
  <c r="D6572" i="1"/>
  <c r="C6572" i="1"/>
  <c r="B6572" i="1"/>
  <c r="G6571" i="1"/>
  <c r="F6571" i="1"/>
  <c r="E6571" i="1"/>
  <c r="D6571" i="1"/>
  <c r="C6571" i="1"/>
  <c r="B6571" i="1"/>
  <c r="G6570" i="1"/>
  <c r="F6570" i="1"/>
  <c r="E6570" i="1"/>
  <c r="D6570" i="1"/>
  <c r="C6570" i="1"/>
  <c r="B6570" i="1"/>
  <c r="G6569" i="1"/>
  <c r="F6569" i="1"/>
  <c r="E6569" i="1"/>
  <c r="D6569" i="1"/>
  <c r="C6569" i="1"/>
  <c r="B6569" i="1"/>
  <c r="G6568" i="1"/>
  <c r="F6568" i="1"/>
  <c r="E6568" i="1"/>
  <c r="D6568" i="1"/>
  <c r="C6568" i="1"/>
  <c r="B6568" i="1"/>
  <c r="G6567" i="1"/>
  <c r="F6567" i="1"/>
  <c r="E6567" i="1"/>
  <c r="D6567" i="1"/>
  <c r="C6567" i="1"/>
  <c r="B6567" i="1"/>
  <c r="G6566" i="1"/>
  <c r="F6566" i="1"/>
  <c r="E6566" i="1"/>
  <c r="D6566" i="1"/>
  <c r="C6566" i="1"/>
  <c r="B6566" i="1"/>
  <c r="F6565" i="1"/>
  <c r="E6565" i="1"/>
  <c r="D6565" i="1"/>
  <c r="C6565" i="1"/>
  <c r="B6565" i="1"/>
  <c r="G6564" i="1"/>
  <c r="F6564" i="1"/>
  <c r="E6564" i="1"/>
  <c r="D6564" i="1"/>
  <c r="C6564" i="1"/>
  <c r="B6564" i="1"/>
  <c r="G6563" i="1"/>
  <c r="F6563" i="1"/>
  <c r="E6563" i="1"/>
  <c r="D6563" i="1"/>
  <c r="C6563" i="1"/>
  <c r="B6563" i="1"/>
  <c r="G6562" i="1"/>
  <c r="F6562" i="1"/>
  <c r="E6562" i="1"/>
  <c r="D6562" i="1"/>
  <c r="C6562" i="1"/>
  <c r="B6562" i="1"/>
  <c r="G6561" i="1"/>
  <c r="F6561" i="1"/>
  <c r="E6561" i="1"/>
  <c r="D6561" i="1"/>
  <c r="C6561" i="1"/>
  <c r="B6561" i="1"/>
  <c r="G6560" i="1"/>
  <c r="F6560" i="1"/>
  <c r="E6560" i="1"/>
  <c r="D6560" i="1"/>
  <c r="C6560" i="1"/>
  <c r="B6560" i="1"/>
  <c r="G6559" i="1"/>
  <c r="F6559" i="1"/>
  <c r="E6559" i="1"/>
  <c r="D6559" i="1"/>
  <c r="C6559" i="1"/>
  <c r="B6559" i="1"/>
  <c r="G6558" i="1"/>
  <c r="F6558" i="1"/>
  <c r="E6558" i="1"/>
  <c r="D6558" i="1"/>
  <c r="C6558" i="1"/>
  <c r="B6558" i="1"/>
  <c r="G6557" i="1"/>
  <c r="F6557" i="1"/>
  <c r="E6557" i="1"/>
  <c r="D6557" i="1"/>
  <c r="C6557" i="1"/>
  <c r="B6557" i="1"/>
  <c r="G6556" i="1"/>
  <c r="F6556" i="1"/>
  <c r="E6556" i="1"/>
  <c r="D6556" i="1"/>
  <c r="C6556" i="1"/>
  <c r="B6556" i="1"/>
  <c r="G6555" i="1"/>
  <c r="F6555" i="1"/>
  <c r="E6555" i="1"/>
  <c r="D6555" i="1"/>
  <c r="C6555" i="1"/>
  <c r="B6555" i="1"/>
  <c r="G6554" i="1"/>
  <c r="F6554" i="1"/>
  <c r="E6554" i="1"/>
  <c r="D6554" i="1"/>
  <c r="C6554" i="1"/>
  <c r="B6554" i="1"/>
  <c r="G6553" i="1"/>
  <c r="F6553" i="1"/>
  <c r="E6553" i="1"/>
  <c r="D6553" i="1"/>
  <c r="C6553" i="1"/>
  <c r="B6553" i="1"/>
  <c r="G6552" i="1"/>
  <c r="F6552" i="1"/>
  <c r="E6552" i="1"/>
  <c r="D6552" i="1"/>
  <c r="C6552" i="1"/>
  <c r="B6552" i="1"/>
  <c r="G6551" i="1"/>
  <c r="F6551" i="1"/>
  <c r="E6551" i="1"/>
  <c r="D6551" i="1"/>
  <c r="C6551" i="1"/>
  <c r="B6551" i="1"/>
  <c r="G6550" i="1"/>
  <c r="F6550" i="1"/>
  <c r="E6550" i="1"/>
  <c r="D6550" i="1"/>
  <c r="C6550" i="1"/>
  <c r="B6550" i="1"/>
  <c r="G6549" i="1"/>
  <c r="F6549" i="1"/>
  <c r="E6549" i="1"/>
  <c r="D6549" i="1"/>
  <c r="C6549" i="1"/>
  <c r="B6549" i="1"/>
  <c r="G6548" i="1"/>
  <c r="F6548" i="1"/>
  <c r="E6548" i="1"/>
  <c r="D6548" i="1"/>
  <c r="C6548" i="1"/>
  <c r="B6548" i="1"/>
  <c r="G6547" i="1"/>
  <c r="F6547" i="1"/>
  <c r="E6547" i="1"/>
  <c r="D6547" i="1"/>
  <c r="C6547" i="1"/>
  <c r="B6547" i="1"/>
  <c r="G6546" i="1"/>
  <c r="F6546" i="1"/>
  <c r="E6546" i="1"/>
  <c r="D6546" i="1"/>
  <c r="C6546" i="1"/>
  <c r="B6546" i="1"/>
  <c r="G6545" i="1"/>
  <c r="F6545" i="1"/>
  <c r="E6545" i="1"/>
  <c r="D6545" i="1"/>
  <c r="C6545" i="1"/>
  <c r="B6545" i="1"/>
  <c r="G6544" i="1"/>
  <c r="F6544" i="1"/>
  <c r="E6544" i="1"/>
  <c r="D6544" i="1"/>
  <c r="C6544" i="1"/>
  <c r="B6544" i="1"/>
  <c r="G6543" i="1"/>
  <c r="F6543" i="1"/>
  <c r="E6543" i="1"/>
  <c r="D6543" i="1"/>
  <c r="C6543" i="1"/>
  <c r="B6543" i="1"/>
  <c r="G6542" i="1"/>
  <c r="F6542" i="1"/>
  <c r="E6542" i="1"/>
  <c r="D6542" i="1"/>
  <c r="C6542" i="1"/>
  <c r="B6542" i="1"/>
  <c r="G6541" i="1"/>
  <c r="F6541" i="1"/>
  <c r="E6541" i="1"/>
  <c r="D6541" i="1"/>
  <c r="C6541" i="1"/>
  <c r="B6541" i="1"/>
  <c r="G6540" i="1"/>
  <c r="F6540" i="1"/>
  <c r="E6540" i="1"/>
  <c r="D6540" i="1"/>
  <c r="C6540" i="1"/>
  <c r="B6540" i="1"/>
  <c r="G6539" i="1"/>
  <c r="F6539" i="1"/>
  <c r="E6539" i="1"/>
  <c r="D6539" i="1"/>
  <c r="C6539" i="1"/>
  <c r="B6539" i="1"/>
  <c r="G6538" i="1"/>
  <c r="F6538" i="1"/>
  <c r="E6538" i="1"/>
  <c r="D6538" i="1"/>
  <c r="C6538" i="1"/>
  <c r="B6538" i="1"/>
  <c r="G6537" i="1"/>
  <c r="F6537" i="1"/>
  <c r="E6537" i="1"/>
  <c r="D6537" i="1"/>
  <c r="C6537" i="1"/>
  <c r="B6537" i="1"/>
  <c r="G6536" i="1"/>
  <c r="F6536" i="1"/>
  <c r="E6536" i="1"/>
  <c r="D6536" i="1"/>
  <c r="C6536" i="1"/>
  <c r="B6536" i="1"/>
  <c r="G6535" i="1"/>
  <c r="F6535" i="1"/>
  <c r="E6535" i="1"/>
  <c r="D6535" i="1"/>
  <c r="C6535" i="1"/>
  <c r="B6535" i="1"/>
  <c r="G6534" i="1"/>
  <c r="F6534" i="1"/>
  <c r="E6534" i="1"/>
  <c r="D6534" i="1"/>
  <c r="C6534" i="1"/>
  <c r="B6534" i="1"/>
  <c r="G6533" i="1"/>
  <c r="F6533" i="1"/>
  <c r="E6533" i="1"/>
  <c r="D6533" i="1"/>
  <c r="C6533" i="1"/>
  <c r="B6533" i="1"/>
  <c r="G6532" i="1"/>
  <c r="F6532" i="1"/>
  <c r="E6532" i="1"/>
  <c r="D6532" i="1"/>
  <c r="C6532" i="1"/>
  <c r="B6532" i="1"/>
  <c r="G6531" i="1"/>
  <c r="F6531" i="1"/>
  <c r="E6531" i="1"/>
  <c r="D6531" i="1"/>
  <c r="C6531" i="1"/>
  <c r="B6531" i="1"/>
  <c r="G6530" i="1"/>
  <c r="F6530" i="1"/>
  <c r="E6530" i="1"/>
  <c r="D6530" i="1"/>
  <c r="C6530" i="1"/>
  <c r="B6530" i="1"/>
  <c r="G6529" i="1"/>
  <c r="F6529" i="1"/>
  <c r="E6529" i="1"/>
  <c r="D6529" i="1"/>
  <c r="C6529" i="1"/>
  <c r="B6529" i="1"/>
  <c r="G6528" i="1"/>
  <c r="F6528" i="1"/>
  <c r="E6528" i="1"/>
  <c r="D6528" i="1"/>
  <c r="C6528" i="1"/>
  <c r="B6528" i="1"/>
  <c r="G6527" i="1"/>
  <c r="F6527" i="1"/>
  <c r="E6527" i="1"/>
  <c r="D6527" i="1"/>
  <c r="C6527" i="1"/>
  <c r="B6527" i="1"/>
  <c r="G6526" i="1"/>
  <c r="F6526" i="1"/>
  <c r="E6526" i="1"/>
  <c r="D6526" i="1"/>
  <c r="C6526" i="1"/>
  <c r="B6526" i="1"/>
  <c r="G6525" i="1"/>
  <c r="F6525" i="1"/>
  <c r="E6525" i="1"/>
  <c r="D6525" i="1"/>
  <c r="C6525" i="1"/>
  <c r="B6525" i="1"/>
  <c r="G6524" i="1"/>
  <c r="F6524" i="1"/>
  <c r="E6524" i="1"/>
  <c r="D6524" i="1"/>
  <c r="C6524" i="1"/>
  <c r="B6524" i="1"/>
  <c r="G6523" i="1"/>
  <c r="F6523" i="1"/>
  <c r="E6523" i="1"/>
  <c r="D6523" i="1"/>
  <c r="C6523" i="1"/>
  <c r="B6523" i="1"/>
  <c r="G6522" i="1"/>
  <c r="F6522" i="1"/>
  <c r="E6522" i="1"/>
  <c r="D6522" i="1"/>
  <c r="C6522" i="1"/>
  <c r="B6522" i="1"/>
  <c r="G6521" i="1"/>
  <c r="F6521" i="1"/>
  <c r="E6521" i="1"/>
  <c r="D6521" i="1"/>
  <c r="C6521" i="1"/>
  <c r="B6521" i="1"/>
  <c r="G6520" i="1"/>
  <c r="F6520" i="1"/>
  <c r="E6520" i="1"/>
  <c r="D6520" i="1"/>
  <c r="C6520" i="1"/>
  <c r="B6520" i="1"/>
  <c r="G6519" i="1"/>
  <c r="F6519" i="1"/>
  <c r="E6519" i="1"/>
  <c r="D6519" i="1"/>
  <c r="C6519" i="1"/>
  <c r="B6519" i="1"/>
  <c r="G6518" i="1"/>
  <c r="F6518" i="1"/>
  <c r="E6518" i="1"/>
  <c r="D6518" i="1"/>
  <c r="C6518" i="1"/>
  <c r="B6518" i="1"/>
  <c r="G6517" i="1"/>
  <c r="F6517" i="1"/>
  <c r="E6517" i="1"/>
  <c r="D6517" i="1"/>
  <c r="C6517" i="1"/>
  <c r="B6517" i="1"/>
  <c r="G6516" i="1"/>
  <c r="F6516" i="1"/>
  <c r="E6516" i="1"/>
  <c r="D6516" i="1"/>
  <c r="C6516" i="1"/>
  <c r="B6516" i="1"/>
  <c r="G6515" i="1"/>
  <c r="F6515" i="1"/>
  <c r="E6515" i="1"/>
  <c r="D6515" i="1"/>
  <c r="C6515" i="1"/>
  <c r="B6515" i="1"/>
  <c r="G6514" i="1"/>
  <c r="F6514" i="1"/>
  <c r="E6514" i="1"/>
  <c r="D6514" i="1"/>
  <c r="C6514" i="1"/>
  <c r="B6514" i="1"/>
  <c r="G6513" i="1"/>
  <c r="F6513" i="1"/>
  <c r="E6513" i="1"/>
  <c r="D6513" i="1"/>
  <c r="C6513" i="1"/>
  <c r="B6513" i="1"/>
  <c r="G6512" i="1"/>
  <c r="F6512" i="1"/>
  <c r="E6512" i="1"/>
  <c r="D6512" i="1"/>
  <c r="C6512" i="1"/>
  <c r="B6512" i="1"/>
  <c r="G6511" i="1"/>
  <c r="F6511" i="1"/>
  <c r="E6511" i="1"/>
  <c r="D6511" i="1"/>
  <c r="C6511" i="1"/>
  <c r="B6511" i="1"/>
  <c r="G6510" i="1"/>
  <c r="F6510" i="1"/>
  <c r="E6510" i="1"/>
  <c r="D6510" i="1"/>
  <c r="C6510" i="1"/>
  <c r="B6510" i="1"/>
  <c r="G6509" i="1"/>
  <c r="F6509" i="1"/>
  <c r="E6509" i="1"/>
  <c r="D6509" i="1"/>
  <c r="C6509" i="1"/>
  <c r="B6509" i="1"/>
  <c r="G6508" i="1"/>
  <c r="F6508" i="1"/>
  <c r="E6508" i="1"/>
  <c r="D6508" i="1"/>
  <c r="C6508" i="1"/>
  <c r="B6508" i="1"/>
  <c r="G6507" i="1"/>
  <c r="F6507" i="1"/>
  <c r="E6507" i="1"/>
  <c r="D6507" i="1"/>
  <c r="C6507" i="1"/>
  <c r="B6507" i="1"/>
  <c r="G6506" i="1"/>
  <c r="F6506" i="1"/>
  <c r="E6506" i="1"/>
  <c r="D6506" i="1"/>
  <c r="C6506" i="1"/>
  <c r="B6506" i="1"/>
  <c r="G6505" i="1"/>
  <c r="F6505" i="1"/>
  <c r="E6505" i="1"/>
  <c r="D6505" i="1"/>
  <c r="C6505" i="1"/>
  <c r="B6505" i="1"/>
  <c r="G6504" i="1"/>
  <c r="F6504" i="1"/>
  <c r="E6504" i="1"/>
  <c r="D6504" i="1"/>
  <c r="C6504" i="1"/>
  <c r="B6504" i="1"/>
  <c r="G6503" i="1"/>
  <c r="F6503" i="1"/>
  <c r="E6503" i="1"/>
  <c r="D6503" i="1"/>
  <c r="C6503" i="1"/>
  <c r="B6503" i="1"/>
  <c r="G6502" i="1"/>
  <c r="F6502" i="1"/>
  <c r="E6502" i="1"/>
  <c r="D6502" i="1"/>
  <c r="C6502" i="1"/>
  <c r="B6502" i="1"/>
  <c r="G6501" i="1"/>
  <c r="F6501" i="1"/>
  <c r="E6501" i="1"/>
  <c r="D6501" i="1"/>
  <c r="C6501" i="1"/>
  <c r="B6501" i="1"/>
  <c r="G6500" i="1"/>
  <c r="F6500" i="1"/>
  <c r="E6500" i="1"/>
  <c r="D6500" i="1"/>
  <c r="C6500" i="1"/>
  <c r="B6500" i="1"/>
  <c r="G6499" i="1"/>
  <c r="F6499" i="1"/>
  <c r="E6499" i="1"/>
  <c r="D6499" i="1"/>
  <c r="C6499" i="1"/>
  <c r="B6499" i="1"/>
  <c r="G6498" i="1"/>
  <c r="F6498" i="1"/>
  <c r="E6498" i="1"/>
  <c r="D6498" i="1"/>
  <c r="C6498" i="1"/>
  <c r="B6498" i="1"/>
  <c r="G6497" i="1"/>
  <c r="F6497" i="1"/>
  <c r="E6497" i="1"/>
  <c r="D6497" i="1"/>
  <c r="C6497" i="1"/>
  <c r="B6497" i="1"/>
  <c r="G6496" i="1"/>
  <c r="F6496" i="1"/>
  <c r="E6496" i="1"/>
  <c r="D6496" i="1"/>
  <c r="C6496" i="1"/>
  <c r="B6496" i="1"/>
  <c r="G6495" i="1"/>
  <c r="F6495" i="1"/>
  <c r="E6495" i="1"/>
  <c r="D6495" i="1"/>
  <c r="C6495" i="1"/>
  <c r="B6495" i="1"/>
  <c r="G6494" i="1"/>
  <c r="F6494" i="1"/>
  <c r="E6494" i="1"/>
  <c r="D6494" i="1"/>
  <c r="C6494" i="1"/>
  <c r="B6494" i="1"/>
  <c r="G6493" i="1"/>
  <c r="F6493" i="1"/>
  <c r="E6493" i="1"/>
  <c r="D6493" i="1"/>
  <c r="C6493" i="1"/>
  <c r="B6493" i="1"/>
  <c r="G6492" i="1"/>
  <c r="F6492" i="1"/>
  <c r="E6492" i="1"/>
  <c r="D6492" i="1"/>
  <c r="C6492" i="1"/>
  <c r="B6492" i="1"/>
  <c r="G6491" i="1"/>
  <c r="F6491" i="1"/>
  <c r="E6491" i="1"/>
  <c r="D6491" i="1"/>
  <c r="C6491" i="1"/>
  <c r="B6491" i="1"/>
  <c r="G6490" i="1"/>
  <c r="F6490" i="1"/>
  <c r="E6490" i="1"/>
  <c r="D6490" i="1"/>
  <c r="C6490" i="1"/>
  <c r="B6490" i="1"/>
  <c r="G6489" i="1"/>
  <c r="F6489" i="1"/>
  <c r="E6489" i="1"/>
  <c r="D6489" i="1"/>
  <c r="C6489" i="1"/>
  <c r="B6489" i="1"/>
  <c r="G6488" i="1"/>
  <c r="F6488" i="1"/>
  <c r="E6488" i="1"/>
  <c r="D6488" i="1"/>
  <c r="C6488" i="1"/>
  <c r="B6488" i="1"/>
  <c r="G6487" i="1"/>
  <c r="F6487" i="1"/>
  <c r="E6487" i="1"/>
  <c r="D6487" i="1"/>
  <c r="C6487" i="1"/>
  <c r="B6487" i="1"/>
  <c r="G6486" i="1"/>
  <c r="F6486" i="1"/>
  <c r="E6486" i="1"/>
  <c r="D6486" i="1"/>
  <c r="C6486" i="1"/>
  <c r="B6486" i="1"/>
  <c r="G6485" i="1"/>
  <c r="F6485" i="1"/>
  <c r="E6485" i="1"/>
  <c r="D6485" i="1"/>
  <c r="C6485" i="1"/>
  <c r="B6485" i="1"/>
  <c r="G6484" i="1"/>
  <c r="F6484" i="1"/>
  <c r="E6484" i="1"/>
  <c r="D6484" i="1"/>
  <c r="C6484" i="1"/>
  <c r="B6484" i="1"/>
  <c r="G6483" i="1"/>
  <c r="F6483" i="1"/>
  <c r="E6483" i="1"/>
  <c r="D6483" i="1"/>
  <c r="C6483" i="1"/>
  <c r="B6483" i="1"/>
  <c r="G6482" i="1"/>
  <c r="F6482" i="1"/>
  <c r="E6482" i="1"/>
  <c r="D6482" i="1"/>
  <c r="C6482" i="1"/>
  <c r="B6482" i="1"/>
  <c r="G6481" i="1"/>
  <c r="F6481" i="1"/>
  <c r="E6481" i="1"/>
  <c r="D6481" i="1"/>
  <c r="C6481" i="1"/>
  <c r="B6481" i="1"/>
  <c r="G6480" i="1"/>
  <c r="F6480" i="1"/>
  <c r="E6480" i="1"/>
  <c r="D6480" i="1"/>
  <c r="C6480" i="1"/>
  <c r="B6480" i="1"/>
  <c r="G6479" i="1"/>
  <c r="F6479" i="1"/>
  <c r="E6479" i="1"/>
  <c r="D6479" i="1"/>
  <c r="C6479" i="1"/>
  <c r="B6479" i="1"/>
  <c r="G6478" i="1"/>
  <c r="F6478" i="1"/>
  <c r="E6478" i="1"/>
  <c r="D6478" i="1"/>
  <c r="C6478" i="1"/>
  <c r="B6478" i="1"/>
  <c r="G6477" i="1"/>
  <c r="F6477" i="1"/>
  <c r="E6477" i="1"/>
  <c r="D6477" i="1"/>
  <c r="C6477" i="1"/>
  <c r="B6477" i="1"/>
  <c r="G6476" i="1"/>
  <c r="F6476" i="1"/>
  <c r="E6476" i="1"/>
  <c r="D6476" i="1"/>
  <c r="C6476" i="1"/>
  <c r="B6476" i="1"/>
  <c r="G6475" i="1"/>
  <c r="F6475" i="1"/>
  <c r="E6475" i="1"/>
  <c r="D6475" i="1"/>
  <c r="C6475" i="1"/>
  <c r="B6475" i="1"/>
  <c r="G6474" i="1"/>
  <c r="F6474" i="1"/>
  <c r="E6474" i="1"/>
  <c r="D6474" i="1"/>
  <c r="C6474" i="1"/>
  <c r="B6474" i="1"/>
  <c r="G6473" i="1"/>
  <c r="F6473" i="1"/>
  <c r="E6473" i="1"/>
  <c r="D6473" i="1"/>
  <c r="C6473" i="1"/>
  <c r="B6473" i="1"/>
  <c r="G6472" i="1"/>
  <c r="F6472" i="1"/>
  <c r="E6472" i="1"/>
  <c r="D6472" i="1"/>
  <c r="C6472" i="1"/>
  <c r="B6472" i="1"/>
  <c r="G6471" i="1"/>
  <c r="F6471" i="1"/>
  <c r="E6471" i="1"/>
  <c r="D6471" i="1"/>
  <c r="C6471" i="1"/>
  <c r="B6471" i="1"/>
  <c r="G6470" i="1"/>
  <c r="F6470" i="1"/>
  <c r="E6470" i="1"/>
  <c r="D6470" i="1"/>
  <c r="C6470" i="1"/>
  <c r="B6470" i="1"/>
  <c r="G6469" i="1"/>
  <c r="F6469" i="1"/>
  <c r="E6469" i="1"/>
  <c r="D6469" i="1"/>
  <c r="C6469" i="1"/>
  <c r="B6469" i="1"/>
  <c r="G6468" i="1"/>
  <c r="F6468" i="1"/>
  <c r="E6468" i="1"/>
  <c r="D6468" i="1"/>
  <c r="C6468" i="1"/>
  <c r="B6468" i="1"/>
  <c r="G6467" i="1"/>
  <c r="F6467" i="1"/>
  <c r="E6467" i="1"/>
  <c r="D6467" i="1"/>
  <c r="C6467" i="1"/>
  <c r="B6467" i="1"/>
  <c r="G6466" i="1"/>
  <c r="F6466" i="1"/>
  <c r="E6466" i="1"/>
  <c r="D6466" i="1"/>
  <c r="C6466" i="1"/>
  <c r="B6466" i="1"/>
  <c r="G6465" i="1"/>
  <c r="F6465" i="1"/>
  <c r="E6465" i="1"/>
  <c r="D6465" i="1"/>
  <c r="C6465" i="1"/>
  <c r="B6465" i="1"/>
  <c r="G6464" i="1"/>
  <c r="F6464" i="1"/>
  <c r="E6464" i="1"/>
  <c r="D6464" i="1"/>
  <c r="C6464" i="1"/>
  <c r="B6464" i="1"/>
  <c r="G6463" i="1"/>
  <c r="F6463" i="1"/>
  <c r="E6463" i="1"/>
  <c r="D6463" i="1"/>
  <c r="C6463" i="1"/>
  <c r="B6463" i="1"/>
  <c r="G6462" i="1"/>
  <c r="F6462" i="1"/>
  <c r="E6462" i="1"/>
  <c r="D6462" i="1"/>
  <c r="C6462" i="1"/>
  <c r="B6462" i="1"/>
  <c r="G6461" i="1"/>
  <c r="F6461" i="1"/>
  <c r="E6461" i="1"/>
  <c r="D6461" i="1"/>
  <c r="C6461" i="1"/>
  <c r="B6461" i="1"/>
  <c r="G6460" i="1"/>
  <c r="F6460" i="1"/>
  <c r="E6460" i="1"/>
  <c r="D6460" i="1"/>
  <c r="C6460" i="1"/>
  <c r="B6460" i="1"/>
  <c r="G6459" i="1"/>
  <c r="F6459" i="1"/>
  <c r="E6459" i="1"/>
  <c r="D6459" i="1"/>
  <c r="C6459" i="1"/>
  <c r="B6459" i="1"/>
  <c r="G6458" i="1"/>
  <c r="F6458" i="1"/>
  <c r="E6458" i="1"/>
  <c r="D6458" i="1"/>
  <c r="C6458" i="1"/>
  <c r="B6458" i="1"/>
  <c r="G6457" i="1"/>
  <c r="F6457" i="1"/>
  <c r="E6457" i="1"/>
  <c r="D6457" i="1"/>
  <c r="C6457" i="1"/>
  <c r="B6457" i="1"/>
  <c r="G6456" i="1"/>
  <c r="F6456" i="1"/>
  <c r="E6456" i="1"/>
  <c r="D6456" i="1"/>
  <c r="C6456" i="1"/>
  <c r="B6456" i="1"/>
  <c r="G6455" i="1"/>
  <c r="F6455" i="1"/>
  <c r="E6455" i="1"/>
  <c r="D6455" i="1"/>
  <c r="C6455" i="1"/>
  <c r="B6455" i="1"/>
  <c r="G6454" i="1"/>
  <c r="F6454" i="1"/>
  <c r="E6454" i="1"/>
  <c r="D6454" i="1"/>
  <c r="C6454" i="1"/>
  <c r="B6454" i="1"/>
  <c r="G6453" i="1"/>
  <c r="F6453" i="1"/>
  <c r="E6453" i="1"/>
  <c r="D6453" i="1"/>
  <c r="C6453" i="1"/>
  <c r="B6453" i="1"/>
  <c r="G6452" i="1"/>
  <c r="F6452" i="1"/>
  <c r="E6452" i="1"/>
  <c r="D6452" i="1"/>
  <c r="C6452" i="1"/>
  <c r="B6452" i="1"/>
  <c r="G6451" i="1"/>
  <c r="F6451" i="1"/>
  <c r="E6451" i="1"/>
  <c r="D6451" i="1"/>
  <c r="C6451" i="1"/>
  <c r="B6451" i="1"/>
  <c r="G6450" i="1"/>
  <c r="F6450" i="1"/>
  <c r="E6450" i="1"/>
  <c r="D6450" i="1"/>
  <c r="C6450" i="1"/>
  <c r="B6450" i="1"/>
  <c r="G6449" i="1"/>
  <c r="F6449" i="1"/>
  <c r="E6449" i="1"/>
  <c r="D6449" i="1"/>
  <c r="C6449" i="1"/>
  <c r="B6449" i="1"/>
  <c r="G6448" i="1"/>
  <c r="F6448" i="1"/>
  <c r="E6448" i="1"/>
  <c r="D6448" i="1"/>
  <c r="C6448" i="1"/>
  <c r="B6448" i="1"/>
  <c r="G6447" i="1"/>
  <c r="F6447" i="1"/>
  <c r="E6447" i="1"/>
  <c r="D6447" i="1"/>
  <c r="C6447" i="1"/>
  <c r="B6447" i="1"/>
  <c r="G6446" i="1"/>
  <c r="F6446" i="1"/>
  <c r="E6446" i="1"/>
  <c r="D6446" i="1"/>
  <c r="C6446" i="1"/>
  <c r="B6446" i="1"/>
  <c r="G6445" i="1"/>
  <c r="F6445" i="1"/>
  <c r="E6445" i="1"/>
  <c r="D6445" i="1"/>
  <c r="C6445" i="1"/>
  <c r="B6445" i="1"/>
  <c r="G6444" i="1"/>
  <c r="F6444" i="1"/>
  <c r="E6444" i="1"/>
  <c r="D6444" i="1"/>
  <c r="C6444" i="1"/>
  <c r="B6444" i="1"/>
  <c r="G6443" i="1"/>
  <c r="F6443" i="1"/>
  <c r="E6443" i="1"/>
  <c r="D6443" i="1"/>
  <c r="C6443" i="1"/>
  <c r="B6443" i="1"/>
  <c r="G6442" i="1"/>
  <c r="F6442" i="1"/>
  <c r="E6442" i="1"/>
  <c r="D6442" i="1"/>
  <c r="C6442" i="1"/>
  <c r="B6442" i="1"/>
  <c r="G6441" i="1"/>
  <c r="F6441" i="1"/>
  <c r="E6441" i="1"/>
  <c r="D6441" i="1"/>
  <c r="C6441" i="1"/>
  <c r="B6441" i="1"/>
  <c r="G6440" i="1"/>
  <c r="F6440" i="1"/>
  <c r="E6440" i="1"/>
  <c r="D6440" i="1"/>
  <c r="C6440" i="1"/>
  <c r="B6440" i="1"/>
  <c r="G6439" i="1"/>
  <c r="F6439" i="1"/>
  <c r="E6439" i="1"/>
  <c r="D6439" i="1"/>
  <c r="C6439" i="1"/>
  <c r="B6439" i="1"/>
  <c r="G6438" i="1"/>
  <c r="F6438" i="1"/>
  <c r="E6438" i="1"/>
  <c r="D6438" i="1"/>
  <c r="C6438" i="1"/>
  <c r="B6438" i="1"/>
  <c r="G6437" i="1"/>
  <c r="F6437" i="1"/>
  <c r="E6437" i="1"/>
  <c r="D6437" i="1"/>
  <c r="C6437" i="1"/>
  <c r="B6437" i="1"/>
  <c r="G6436" i="1"/>
  <c r="F6436" i="1"/>
  <c r="E6436" i="1"/>
  <c r="D6436" i="1"/>
  <c r="C6436" i="1"/>
  <c r="B6436" i="1"/>
  <c r="G6435" i="1"/>
  <c r="F6435" i="1"/>
  <c r="E6435" i="1"/>
  <c r="D6435" i="1"/>
  <c r="C6435" i="1"/>
  <c r="B6435" i="1"/>
  <c r="G6434" i="1"/>
  <c r="F6434" i="1"/>
  <c r="E6434" i="1"/>
  <c r="D6434" i="1"/>
  <c r="C6434" i="1"/>
  <c r="B6434" i="1"/>
  <c r="G6433" i="1"/>
  <c r="F6433" i="1"/>
  <c r="E6433" i="1"/>
  <c r="D6433" i="1"/>
  <c r="C6433" i="1"/>
  <c r="B6433" i="1"/>
  <c r="G6432" i="1"/>
  <c r="F6432" i="1"/>
  <c r="E6432" i="1"/>
  <c r="D6432" i="1"/>
  <c r="C6432" i="1"/>
  <c r="B6432" i="1"/>
  <c r="G6431" i="1"/>
  <c r="F6431" i="1"/>
  <c r="E6431" i="1"/>
  <c r="D6431" i="1"/>
  <c r="C6431" i="1"/>
  <c r="B6431" i="1"/>
  <c r="G6430" i="1"/>
  <c r="F6430" i="1"/>
  <c r="E6430" i="1"/>
  <c r="D6430" i="1"/>
  <c r="C6430" i="1"/>
  <c r="B6430" i="1"/>
  <c r="G6429" i="1"/>
  <c r="F6429" i="1"/>
  <c r="E6429" i="1"/>
  <c r="D6429" i="1"/>
  <c r="C6429" i="1"/>
  <c r="B6429" i="1"/>
  <c r="G6428" i="1"/>
  <c r="F6428" i="1"/>
  <c r="E6428" i="1"/>
  <c r="D6428" i="1"/>
  <c r="C6428" i="1"/>
  <c r="B6428" i="1"/>
  <c r="G6427" i="1"/>
  <c r="F6427" i="1"/>
  <c r="E6427" i="1"/>
  <c r="D6427" i="1"/>
  <c r="C6427" i="1"/>
  <c r="B6427" i="1"/>
  <c r="G6426" i="1"/>
  <c r="F6426" i="1"/>
  <c r="E6426" i="1"/>
  <c r="D6426" i="1"/>
  <c r="C6426" i="1"/>
  <c r="B6426" i="1"/>
  <c r="G6425" i="1"/>
  <c r="F6425" i="1"/>
  <c r="E6425" i="1"/>
  <c r="D6425" i="1"/>
  <c r="C6425" i="1"/>
  <c r="B6425" i="1"/>
  <c r="G6424" i="1"/>
  <c r="F6424" i="1"/>
  <c r="E6424" i="1"/>
  <c r="D6424" i="1"/>
  <c r="C6424" i="1"/>
  <c r="B6424" i="1"/>
  <c r="G6423" i="1"/>
  <c r="F6423" i="1"/>
  <c r="E6423" i="1"/>
  <c r="D6423" i="1"/>
  <c r="C6423" i="1"/>
  <c r="B6423" i="1"/>
  <c r="G6422" i="1"/>
  <c r="F6422" i="1"/>
  <c r="E6422" i="1"/>
  <c r="D6422" i="1"/>
  <c r="C6422" i="1"/>
  <c r="B6422" i="1"/>
  <c r="G6421" i="1"/>
  <c r="F6421" i="1"/>
  <c r="E6421" i="1"/>
  <c r="D6421" i="1"/>
  <c r="C6421" i="1"/>
  <c r="B6421" i="1"/>
  <c r="G6420" i="1"/>
  <c r="F6420" i="1"/>
  <c r="E6420" i="1"/>
  <c r="D6420" i="1"/>
  <c r="C6420" i="1"/>
  <c r="B6420" i="1"/>
  <c r="G6419" i="1"/>
  <c r="F6419" i="1"/>
  <c r="E6419" i="1"/>
  <c r="D6419" i="1"/>
  <c r="C6419" i="1"/>
  <c r="B6419" i="1"/>
  <c r="G6418" i="1"/>
  <c r="F6418" i="1"/>
  <c r="E6418" i="1"/>
  <c r="D6418" i="1"/>
  <c r="C6418" i="1"/>
  <c r="B6418" i="1"/>
  <c r="G6417" i="1"/>
  <c r="F6417" i="1"/>
  <c r="E6417" i="1"/>
  <c r="D6417" i="1"/>
  <c r="C6417" i="1"/>
  <c r="B6417" i="1"/>
  <c r="G6416" i="1"/>
  <c r="F6416" i="1"/>
  <c r="E6416" i="1"/>
  <c r="D6416" i="1"/>
  <c r="C6416" i="1"/>
  <c r="B6416" i="1"/>
  <c r="G6415" i="1"/>
  <c r="F6415" i="1"/>
  <c r="E6415" i="1"/>
  <c r="D6415" i="1"/>
  <c r="C6415" i="1"/>
  <c r="B6415" i="1"/>
  <c r="G6414" i="1"/>
  <c r="F6414" i="1"/>
  <c r="E6414" i="1"/>
  <c r="D6414" i="1"/>
  <c r="C6414" i="1"/>
  <c r="B6414" i="1"/>
  <c r="G6413" i="1"/>
  <c r="F6413" i="1"/>
  <c r="E6413" i="1"/>
  <c r="D6413" i="1"/>
  <c r="C6413" i="1"/>
  <c r="B6413" i="1"/>
  <c r="G6412" i="1"/>
  <c r="F6412" i="1"/>
  <c r="E6412" i="1"/>
  <c r="D6412" i="1"/>
  <c r="C6412" i="1"/>
  <c r="B6412" i="1"/>
  <c r="G6411" i="1"/>
  <c r="F6411" i="1"/>
  <c r="E6411" i="1"/>
  <c r="D6411" i="1"/>
  <c r="C6411" i="1"/>
  <c r="B6411" i="1"/>
  <c r="G6410" i="1"/>
  <c r="F6410" i="1"/>
  <c r="E6410" i="1"/>
  <c r="D6410" i="1"/>
  <c r="C6410" i="1"/>
  <c r="B6410" i="1"/>
  <c r="G6409" i="1"/>
  <c r="F6409" i="1"/>
  <c r="E6409" i="1"/>
  <c r="D6409" i="1"/>
  <c r="C6409" i="1"/>
  <c r="B6409" i="1"/>
  <c r="G6408" i="1"/>
  <c r="F6408" i="1"/>
  <c r="E6408" i="1"/>
  <c r="D6408" i="1"/>
  <c r="C6408" i="1"/>
  <c r="B6408" i="1"/>
  <c r="G6407" i="1"/>
  <c r="F6407" i="1"/>
  <c r="E6407" i="1"/>
  <c r="D6407" i="1"/>
  <c r="C6407" i="1"/>
  <c r="B6407" i="1"/>
  <c r="G6406" i="1"/>
  <c r="F6406" i="1"/>
  <c r="E6406" i="1"/>
  <c r="D6406" i="1"/>
  <c r="C6406" i="1"/>
  <c r="B6406" i="1"/>
  <c r="G6405" i="1"/>
  <c r="F6405" i="1"/>
  <c r="E6405" i="1"/>
  <c r="D6405" i="1"/>
  <c r="C6405" i="1"/>
  <c r="B6405" i="1"/>
  <c r="G6404" i="1"/>
  <c r="F6404" i="1"/>
  <c r="E6404" i="1"/>
  <c r="D6404" i="1"/>
  <c r="C6404" i="1"/>
  <c r="B6404" i="1"/>
  <c r="G6403" i="1"/>
  <c r="F6403" i="1"/>
  <c r="E6403" i="1"/>
  <c r="D6403" i="1"/>
  <c r="C6403" i="1"/>
  <c r="B6403" i="1"/>
  <c r="G6402" i="1"/>
  <c r="D6402" i="1"/>
  <c r="C6402" i="1"/>
  <c r="B6402" i="1"/>
  <c r="G6401" i="1"/>
  <c r="D6401" i="1"/>
  <c r="C6401" i="1"/>
  <c r="B6401" i="1"/>
  <c r="G6400" i="1"/>
  <c r="D6400" i="1"/>
  <c r="C6400" i="1"/>
  <c r="B6400" i="1"/>
  <c r="G6399" i="1"/>
  <c r="F6399" i="1"/>
  <c r="E6399" i="1"/>
  <c r="D6399" i="1"/>
  <c r="C6399" i="1"/>
  <c r="B6399" i="1"/>
  <c r="G6398" i="1"/>
  <c r="F6398" i="1"/>
  <c r="E6398" i="1"/>
  <c r="D6398" i="1"/>
  <c r="C6398" i="1"/>
  <c r="B6398" i="1"/>
  <c r="G6397" i="1"/>
  <c r="F6397" i="1"/>
  <c r="E6397" i="1"/>
  <c r="D6397" i="1"/>
  <c r="C6397" i="1"/>
  <c r="B6397" i="1"/>
  <c r="G6396" i="1"/>
  <c r="F6396" i="1"/>
  <c r="E6396" i="1"/>
  <c r="D6396" i="1"/>
  <c r="C6396" i="1"/>
  <c r="B6396" i="1"/>
  <c r="G6395" i="1"/>
  <c r="F6395" i="1"/>
  <c r="E6395" i="1"/>
  <c r="D6395" i="1"/>
  <c r="C6395" i="1"/>
  <c r="B6395" i="1"/>
  <c r="G6394" i="1"/>
  <c r="F6394" i="1"/>
  <c r="E6394" i="1"/>
  <c r="D6394" i="1"/>
  <c r="C6394" i="1"/>
  <c r="B6394" i="1"/>
  <c r="G6393" i="1"/>
  <c r="F6393" i="1"/>
  <c r="E6393" i="1"/>
  <c r="D6393" i="1"/>
  <c r="C6393" i="1"/>
  <c r="B6393" i="1"/>
  <c r="G6392" i="1"/>
  <c r="F6392" i="1"/>
  <c r="E6392" i="1"/>
  <c r="D6392" i="1"/>
  <c r="C6392" i="1"/>
  <c r="B6392" i="1"/>
  <c r="G6391" i="1"/>
  <c r="F6391" i="1"/>
  <c r="E6391" i="1"/>
  <c r="D6391" i="1"/>
  <c r="C6391" i="1"/>
  <c r="B6391" i="1"/>
  <c r="G6390" i="1"/>
  <c r="F6390" i="1"/>
  <c r="E6390" i="1"/>
  <c r="D6390" i="1"/>
  <c r="C6390" i="1"/>
  <c r="B6390" i="1"/>
  <c r="G6389" i="1"/>
  <c r="F6389" i="1"/>
  <c r="E6389" i="1"/>
  <c r="D6389" i="1"/>
  <c r="C6389" i="1"/>
  <c r="B6389" i="1"/>
  <c r="G6388" i="1"/>
  <c r="F6388" i="1"/>
  <c r="E6388" i="1"/>
  <c r="D6388" i="1"/>
  <c r="C6388" i="1"/>
  <c r="B6388" i="1"/>
  <c r="G6387" i="1"/>
  <c r="F6387" i="1"/>
  <c r="E6387" i="1"/>
  <c r="D6387" i="1"/>
  <c r="C6387" i="1"/>
  <c r="B6387" i="1"/>
  <c r="G6386" i="1"/>
  <c r="F6386" i="1"/>
  <c r="E6386" i="1"/>
  <c r="D6386" i="1"/>
  <c r="C6386" i="1"/>
  <c r="B6386" i="1"/>
  <c r="G6385" i="1"/>
  <c r="F6385" i="1"/>
  <c r="E6385" i="1"/>
  <c r="D6385" i="1"/>
  <c r="C6385" i="1"/>
  <c r="B6385" i="1"/>
  <c r="G6384" i="1"/>
  <c r="F6384" i="1"/>
  <c r="E6384" i="1"/>
  <c r="D6384" i="1"/>
  <c r="C6384" i="1"/>
  <c r="B6384" i="1"/>
  <c r="G6383" i="1"/>
  <c r="F6383" i="1"/>
  <c r="E6383" i="1"/>
  <c r="D6383" i="1"/>
  <c r="C6383" i="1"/>
  <c r="B6383" i="1"/>
  <c r="G6382" i="1"/>
  <c r="F6382" i="1"/>
  <c r="E6382" i="1"/>
  <c r="D6382" i="1"/>
  <c r="C6382" i="1"/>
  <c r="B6382" i="1"/>
  <c r="G6381" i="1"/>
  <c r="F6381" i="1"/>
  <c r="E6381" i="1"/>
  <c r="D6381" i="1"/>
  <c r="C6381" i="1"/>
  <c r="B6381" i="1"/>
  <c r="G6380" i="1"/>
  <c r="F6380" i="1"/>
  <c r="E6380" i="1"/>
  <c r="D6380" i="1"/>
  <c r="C6380" i="1"/>
  <c r="B6380" i="1"/>
  <c r="G6379" i="1"/>
  <c r="F6379" i="1"/>
  <c r="E6379" i="1"/>
  <c r="D6379" i="1"/>
  <c r="C6379" i="1"/>
  <c r="B6379" i="1"/>
  <c r="G6378" i="1"/>
  <c r="F6378" i="1"/>
  <c r="E6378" i="1"/>
  <c r="D6378" i="1"/>
  <c r="C6378" i="1"/>
  <c r="B6378" i="1"/>
  <c r="G6377" i="1"/>
  <c r="F6377" i="1"/>
  <c r="E6377" i="1"/>
  <c r="D6377" i="1"/>
  <c r="C6377" i="1"/>
  <c r="B6377" i="1"/>
  <c r="G6376" i="1"/>
  <c r="F6376" i="1"/>
  <c r="E6376" i="1"/>
  <c r="D6376" i="1"/>
  <c r="C6376" i="1"/>
  <c r="B6376" i="1"/>
  <c r="G6375" i="1"/>
  <c r="F6375" i="1"/>
  <c r="E6375" i="1"/>
  <c r="D6375" i="1"/>
  <c r="C6375" i="1"/>
  <c r="B6375" i="1"/>
  <c r="G6374" i="1"/>
  <c r="F6374" i="1"/>
  <c r="E6374" i="1"/>
  <c r="D6374" i="1"/>
  <c r="C6374" i="1"/>
  <c r="B6374" i="1"/>
  <c r="G6373" i="1"/>
  <c r="F6373" i="1"/>
  <c r="E6373" i="1"/>
  <c r="D6373" i="1"/>
  <c r="C6373" i="1"/>
  <c r="B6373" i="1"/>
  <c r="G6372" i="1"/>
  <c r="F6372" i="1"/>
  <c r="E6372" i="1"/>
  <c r="D6372" i="1"/>
  <c r="C6372" i="1"/>
  <c r="B6372" i="1"/>
  <c r="G6371" i="1"/>
  <c r="F6371" i="1"/>
  <c r="E6371" i="1"/>
  <c r="D6371" i="1"/>
  <c r="C6371" i="1"/>
  <c r="B6371" i="1"/>
  <c r="G6370" i="1"/>
  <c r="F6370" i="1"/>
  <c r="E6370" i="1"/>
  <c r="D6370" i="1"/>
  <c r="C6370" i="1"/>
  <c r="B6370" i="1"/>
  <c r="G6369" i="1"/>
  <c r="F6369" i="1"/>
  <c r="E6369" i="1"/>
  <c r="D6369" i="1"/>
  <c r="C6369" i="1"/>
  <c r="B6369" i="1"/>
  <c r="G6368" i="1"/>
  <c r="F6368" i="1"/>
  <c r="E6368" i="1"/>
  <c r="D6368" i="1"/>
  <c r="C6368" i="1"/>
  <c r="B6368" i="1"/>
  <c r="G6367" i="1"/>
  <c r="F6367" i="1"/>
  <c r="E6367" i="1"/>
  <c r="D6367" i="1"/>
  <c r="C6367" i="1"/>
  <c r="B6367" i="1"/>
  <c r="G6366" i="1"/>
  <c r="F6366" i="1"/>
  <c r="E6366" i="1"/>
  <c r="D6366" i="1"/>
  <c r="C6366" i="1"/>
  <c r="B6366" i="1"/>
  <c r="G6365" i="1"/>
  <c r="F6365" i="1"/>
  <c r="E6365" i="1"/>
  <c r="D6365" i="1"/>
  <c r="C6365" i="1"/>
  <c r="B6365" i="1"/>
  <c r="G6364" i="1"/>
  <c r="F6364" i="1"/>
  <c r="E6364" i="1"/>
  <c r="D6364" i="1"/>
  <c r="C6364" i="1"/>
  <c r="B6364" i="1"/>
  <c r="G6363" i="1"/>
  <c r="F6363" i="1"/>
  <c r="E6363" i="1"/>
  <c r="D6363" i="1"/>
  <c r="C6363" i="1"/>
  <c r="B6363" i="1"/>
  <c r="G6362" i="1"/>
  <c r="F6362" i="1"/>
  <c r="E6362" i="1"/>
  <c r="D6362" i="1"/>
  <c r="C6362" i="1"/>
  <c r="B6362" i="1"/>
  <c r="G6361" i="1"/>
  <c r="F6361" i="1"/>
  <c r="E6361" i="1"/>
  <c r="D6361" i="1"/>
  <c r="C6361" i="1"/>
  <c r="B6361" i="1"/>
  <c r="G6360" i="1"/>
  <c r="F6360" i="1"/>
  <c r="E6360" i="1"/>
  <c r="D6360" i="1"/>
  <c r="C6360" i="1"/>
  <c r="B6360" i="1"/>
  <c r="G6359" i="1"/>
  <c r="F6359" i="1"/>
  <c r="E6359" i="1"/>
  <c r="D6359" i="1"/>
  <c r="C6359" i="1"/>
  <c r="B6359" i="1"/>
  <c r="G6358" i="1"/>
  <c r="F6358" i="1"/>
  <c r="E6358" i="1"/>
  <c r="D6358" i="1"/>
  <c r="C6358" i="1"/>
  <c r="B6358" i="1"/>
  <c r="G6357" i="1"/>
  <c r="F6357" i="1"/>
  <c r="E6357" i="1"/>
  <c r="D6357" i="1"/>
  <c r="C6357" i="1"/>
  <c r="B6357" i="1"/>
  <c r="G6356" i="1"/>
  <c r="F6356" i="1"/>
  <c r="E6356" i="1"/>
  <c r="D6356" i="1"/>
  <c r="C6356" i="1"/>
  <c r="B6356" i="1"/>
  <c r="G6355" i="1"/>
  <c r="F6355" i="1"/>
  <c r="E6355" i="1"/>
  <c r="D6355" i="1"/>
  <c r="C6355" i="1"/>
  <c r="B6355" i="1"/>
  <c r="G6354" i="1"/>
  <c r="F6354" i="1"/>
  <c r="E6354" i="1"/>
  <c r="D6354" i="1"/>
  <c r="C6354" i="1"/>
  <c r="B6354" i="1"/>
  <c r="G6353" i="1"/>
  <c r="F6353" i="1"/>
  <c r="E6353" i="1"/>
  <c r="D6353" i="1"/>
  <c r="C6353" i="1"/>
  <c r="B6353" i="1"/>
  <c r="G6352" i="1"/>
  <c r="F6352" i="1"/>
  <c r="E6352" i="1"/>
  <c r="D6352" i="1"/>
  <c r="C6352" i="1"/>
  <c r="B6352" i="1"/>
  <c r="G6351" i="1"/>
  <c r="F6351" i="1"/>
  <c r="E6351" i="1"/>
  <c r="D6351" i="1"/>
  <c r="C6351" i="1"/>
  <c r="B6351" i="1"/>
  <c r="G6350" i="1"/>
  <c r="F6350" i="1"/>
  <c r="E6350" i="1"/>
  <c r="D6350" i="1"/>
  <c r="C6350" i="1"/>
  <c r="B6350" i="1"/>
  <c r="G6349" i="1"/>
  <c r="F6349" i="1"/>
  <c r="E6349" i="1"/>
  <c r="D6349" i="1"/>
  <c r="C6349" i="1"/>
  <c r="B6349" i="1"/>
  <c r="G6348" i="1"/>
  <c r="F6348" i="1"/>
  <c r="E6348" i="1"/>
  <c r="D6348" i="1"/>
  <c r="C6348" i="1"/>
  <c r="B6348" i="1"/>
  <c r="G6347" i="1"/>
  <c r="F6347" i="1"/>
  <c r="E6347" i="1"/>
  <c r="D6347" i="1"/>
  <c r="C6347" i="1"/>
  <c r="B6347" i="1"/>
  <c r="G6346" i="1"/>
  <c r="F6346" i="1"/>
  <c r="E6346" i="1"/>
  <c r="D6346" i="1"/>
  <c r="C6346" i="1"/>
  <c r="B6346" i="1"/>
  <c r="G6345" i="1"/>
  <c r="F6345" i="1"/>
  <c r="E6345" i="1"/>
  <c r="D6345" i="1"/>
  <c r="C6345" i="1"/>
  <c r="B6345" i="1"/>
  <c r="G6344" i="1"/>
  <c r="F6344" i="1"/>
  <c r="E6344" i="1"/>
  <c r="D6344" i="1"/>
  <c r="C6344" i="1"/>
  <c r="B6344" i="1"/>
  <c r="G6343" i="1"/>
  <c r="F6343" i="1"/>
  <c r="E6343" i="1"/>
  <c r="D6343" i="1"/>
  <c r="C6343" i="1"/>
  <c r="B6343" i="1"/>
  <c r="G6342" i="1"/>
  <c r="F6342" i="1"/>
  <c r="E6342" i="1"/>
  <c r="D6342" i="1"/>
  <c r="C6342" i="1"/>
  <c r="B6342" i="1"/>
  <c r="G6341" i="1"/>
  <c r="F6341" i="1"/>
  <c r="E6341" i="1"/>
  <c r="D6341" i="1"/>
  <c r="C6341" i="1"/>
  <c r="B6341" i="1"/>
  <c r="G6340" i="1"/>
  <c r="F6340" i="1"/>
  <c r="E6340" i="1"/>
  <c r="D6340" i="1"/>
  <c r="C6340" i="1"/>
  <c r="B6340" i="1"/>
  <c r="G6339" i="1"/>
  <c r="F6339" i="1"/>
  <c r="E6339" i="1"/>
  <c r="D6339" i="1"/>
  <c r="C6339" i="1"/>
  <c r="B6339" i="1"/>
  <c r="G6338" i="1"/>
  <c r="F6338" i="1"/>
  <c r="E6338" i="1"/>
  <c r="D6338" i="1"/>
  <c r="C6338" i="1"/>
  <c r="B6338" i="1"/>
  <c r="G6337" i="1"/>
  <c r="F6337" i="1"/>
  <c r="E6337" i="1"/>
  <c r="D6337" i="1"/>
  <c r="C6337" i="1"/>
  <c r="B6337" i="1"/>
  <c r="G6336" i="1"/>
  <c r="F6336" i="1"/>
  <c r="E6336" i="1"/>
  <c r="D6336" i="1"/>
  <c r="C6336" i="1"/>
  <c r="B6336" i="1"/>
  <c r="G6335" i="1"/>
  <c r="F6335" i="1"/>
  <c r="E6335" i="1"/>
  <c r="D6335" i="1"/>
  <c r="C6335" i="1"/>
  <c r="B6335" i="1"/>
  <c r="G6334" i="1"/>
  <c r="F6334" i="1"/>
  <c r="E6334" i="1"/>
  <c r="D6334" i="1"/>
  <c r="C6334" i="1"/>
  <c r="B6334" i="1"/>
  <c r="G6333" i="1"/>
  <c r="F6333" i="1"/>
  <c r="E6333" i="1"/>
  <c r="D6333" i="1"/>
  <c r="C6333" i="1"/>
  <c r="B6333" i="1"/>
  <c r="G6332" i="1"/>
  <c r="F6332" i="1"/>
  <c r="E6332" i="1"/>
  <c r="D6332" i="1"/>
  <c r="C6332" i="1"/>
  <c r="B6332" i="1"/>
  <c r="G6331" i="1"/>
  <c r="F6331" i="1"/>
  <c r="E6331" i="1"/>
  <c r="D6331" i="1"/>
  <c r="C6331" i="1"/>
  <c r="B6331" i="1"/>
  <c r="G6330" i="1"/>
  <c r="F6330" i="1"/>
  <c r="E6330" i="1"/>
  <c r="D6330" i="1"/>
  <c r="C6330" i="1"/>
  <c r="B6330" i="1"/>
  <c r="G6329" i="1"/>
  <c r="F6329" i="1"/>
  <c r="E6329" i="1"/>
  <c r="D6329" i="1"/>
  <c r="C6329" i="1"/>
  <c r="B6329" i="1"/>
  <c r="G6328" i="1"/>
  <c r="F6328" i="1"/>
  <c r="E6328" i="1"/>
  <c r="D6328" i="1"/>
  <c r="C6328" i="1"/>
  <c r="B6328" i="1"/>
  <c r="G6327" i="1"/>
  <c r="F6327" i="1"/>
  <c r="E6327" i="1"/>
  <c r="D6327" i="1"/>
  <c r="C6327" i="1"/>
  <c r="B6327" i="1"/>
  <c r="G6326" i="1"/>
  <c r="F6326" i="1"/>
  <c r="E6326" i="1"/>
  <c r="D6326" i="1"/>
  <c r="C6326" i="1"/>
  <c r="B6326" i="1"/>
  <c r="G6325" i="1"/>
  <c r="F6325" i="1"/>
  <c r="E6325" i="1"/>
  <c r="D6325" i="1"/>
  <c r="C6325" i="1"/>
  <c r="B6325" i="1"/>
  <c r="G6324" i="1"/>
  <c r="F6324" i="1"/>
  <c r="E6324" i="1"/>
  <c r="D6324" i="1"/>
  <c r="C6324" i="1"/>
  <c r="B6324" i="1"/>
  <c r="G6323" i="1"/>
  <c r="F6323" i="1"/>
  <c r="E6323" i="1"/>
  <c r="D6323" i="1"/>
  <c r="C6323" i="1"/>
  <c r="B6323" i="1"/>
  <c r="G6322" i="1"/>
  <c r="F6322" i="1"/>
  <c r="E6322" i="1"/>
  <c r="D6322" i="1"/>
  <c r="C6322" i="1"/>
  <c r="B6322" i="1"/>
  <c r="G6321" i="1"/>
  <c r="F6321" i="1"/>
  <c r="E6321" i="1"/>
  <c r="D6321" i="1"/>
  <c r="C6321" i="1"/>
  <c r="B6321" i="1"/>
  <c r="G6320" i="1"/>
  <c r="F6320" i="1"/>
  <c r="E6320" i="1"/>
  <c r="D6320" i="1"/>
  <c r="C6320" i="1"/>
  <c r="B6320" i="1"/>
  <c r="G6319" i="1"/>
  <c r="F6319" i="1"/>
  <c r="E6319" i="1"/>
  <c r="D6319" i="1"/>
  <c r="C6319" i="1"/>
  <c r="B6319" i="1"/>
  <c r="G6318" i="1"/>
  <c r="F6318" i="1"/>
  <c r="E6318" i="1"/>
  <c r="D6318" i="1"/>
  <c r="C6318" i="1"/>
  <c r="B6318" i="1"/>
  <c r="G6317" i="1"/>
  <c r="F6317" i="1"/>
  <c r="E6317" i="1"/>
  <c r="D6317" i="1"/>
  <c r="C6317" i="1"/>
  <c r="B6317" i="1"/>
  <c r="G6316" i="1"/>
  <c r="F6316" i="1"/>
  <c r="E6316" i="1"/>
  <c r="D6316" i="1"/>
  <c r="C6316" i="1"/>
  <c r="B6316" i="1"/>
  <c r="G6315" i="1"/>
  <c r="F6315" i="1"/>
  <c r="E6315" i="1"/>
  <c r="D6315" i="1"/>
  <c r="C6315" i="1"/>
  <c r="B6315" i="1"/>
  <c r="G6314" i="1"/>
  <c r="F6314" i="1"/>
  <c r="E6314" i="1"/>
  <c r="D6314" i="1"/>
  <c r="C6314" i="1"/>
  <c r="B6314" i="1"/>
  <c r="G6313" i="1"/>
  <c r="F6313" i="1"/>
  <c r="E6313" i="1"/>
  <c r="D6313" i="1"/>
  <c r="C6313" i="1"/>
  <c r="B6313" i="1"/>
  <c r="G6312" i="1"/>
  <c r="F6312" i="1"/>
  <c r="E6312" i="1"/>
  <c r="D6312" i="1"/>
  <c r="C6312" i="1"/>
  <c r="B6312" i="1"/>
  <c r="G6311" i="1"/>
  <c r="F6311" i="1"/>
  <c r="E6311" i="1"/>
  <c r="D6311" i="1"/>
  <c r="C6311" i="1"/>
  <c r="B6311" i="1"/>
  <c r="G6310" i="1"/>
  <c r="F6310" i="1"/>
  <c r="E6310" i="1"/>
  <c r="D6310" i="1"/>
  <c r="C6310" i="1"/>
  <c r="B6310" i="1"/>
  <c r="G6309" i="1"/>
  <c r="F6309" i="1"/>
  <c r="E6309" i="1"/>
  <c r="D6309" i="1"/>
  <c r="C6309" i="1"/>
  <c r="B6309" i="1"/>
  <c r="G6308" i="1"/>
  <c r="F6308" i="1"/>
  <c r="E6308" i="1"/>
  <c r="D6308" i="1"/>
  <c r="C6308" i="1"/>
  <c r="B6308" i="1"/>
  <c r="G6307" i="1"/>
  <c r="F6307" i="1"/>
  <c r="E6307" i="1"/>
  <c r="D6307" i="1"/>
  <c r="C6307" i="1"/>
  <c r="B6307" i="1"/>
  <c r="G6306" i="1"/>
  <c r="F6306" i="1"/>
  <c r="E6306" i="1"/>
  <c r="D6306" i="1"/>
  <c r="C6306" i="1"/>
  <c r="B6306" i="1"/>
  <c r="G6305" i="1"/>
  <c r="F6305" i="1"/>
  <c r="E6305" i="1"/>
  <c r="D6305" i="1"/>
  <c r="C6305" i="1"/>
  <c r="B6305" i="1"/>
  <c r="G6304" i="1"/>
  <c r="F6304" i="1"/>
  <c r="E6304" i="1"/>
  <c r="D6304" i="1"/>
  <c r="C6304" i="1"/>
  <c r="B6304" i="1"/>
  <c r="G6303" i="1"/>
  <c r="F6303" i="1"/>
  <c r="E6303" i="1"/>
  <c r="D6303" i="1"/>
  <c r="C6303" i="1"/>
  <c r="B6303" i="1"/>
  <c r="G6302" i="1"/>
  <c r="F6302" i="1"/>
  <c r="E6302" i="1"/>
  <c r="D6302" i="1"/>
  <c r="C6302" i="1"/>
  <c r="B6302" i="1"/>
  <c r="G6301" i="1"/>
  <c r="F6301" i="1"/>
  <c r="E6301" i="1"/>
  <c r="D6301" i="1"/>
  <c r="C6301" i="1"/>
  <c r="B6301" i="1"/>
  <c r="G6300" i="1"/>
  <c r="F6300" i="1"/>
  <c r="E6300" i="1"/>
  <c r="D6300" i="1"/>
  <c r="C6300" i="1"/>
  <c r="B6300" i="1"/>
  <c r="G6299" i="1"/>
  <c r="F6299" i="1"/>
  <c r="E6299" i="1"/>
  <c r="D6299" i="1"/>
  <c r="C6299" i="1"/>
  <c r="B6299" i="1"/>
  <c r="G6298" i="1"/>
  <c r="F6298" i="1"/>
  <c r="E6298" i="1"/>
  <c r="D6298" i="1"/>
  <c r="C6298" i="1"/>
  <c r="B6298" i="1"/>
  <c r="G6297" i="1"/>
  <c r="F6297" i="1"/>
  <c r="E6297" i="1"/>
  <c r="D6297" i="1"/>
  <c r="C6297" i="1"/>
  <c r="B6297" i="1"/>
  <c r="G6296" i="1"/>
  <c r="F6296" i="1"/>
  <c r="E6296" i="1"/>
  <c r="D6296" i="1"/>
  <c r="C6296" i="1"/>
  <c r="B6296" i="1"/>
  <c r="G6295" i="1"/>
  <c r="F6295" i="1"/>
  <c r="E6295" i="1"/>
  <c r="D6295" i="1"/>
  <c r="C6295" i="1"/>
  <c r="B6295" i="1"/>
  <c r="G6294" i="1"/>
  <c r="F6294" i="1"/>
  <c r="E6294" i="1"/>
  <c r="D6294" i="1"/>
  <c r="C6294" i="1"/>
  <c r="B6294" i="1"/>
  <c r="G6293" i="1"/>
  <c r="F6293" i="1"/>
  <c r="E6293" i="1"/>
  <c r="D6293" i="1"/>
  <c r="C6293" i="1"/>
  <c r="B6293" i="1"/>
  <c r="G6292" i="1"/>
  <c r="F6292" i="1"/>
  <c r="E6292" i="1"/>
  <c r="D6292" i="1"/>
  <c r="C6292" i="1"/>
  <c r="B6292" i="1"/>
  <c r="G6291" i="1"/>
  <c r="F6291" i="1"/>
  <c r="E6291" i="1"/>
  <c r="D6291" i="1"/>
  <c r="C6291" i="1"/>
  <c r="B6291" i="1"/>
  <c r="G6290" i="1"/>
  <c r="F6290" i="1"/>
  <c r="E6290" i="1"/>
  <c r="D6290" i="1"/>
  <c r="C6290" i="1"/>
  <c r="B6290" i="1"/>
  <c r="G6289" i="1"/>
  <c r="F6289" i="1"/>
  <c r="E6289" i="1"/>
  <c r="D6289" i="1"/>
  <c r="C6289" i="1"/>
  <c r="B6289" i="1"/>
  <c r="G6288" i="1"/>
  <c r="F6288" i="1"/>
  <c r="E6288" i="1"/>
  <c r="D6288" i="1"/>
  <c r="C6288" i="1"/>
  <c r="B6288" i="1"/>
  <c r="G6287" i="1"/>
  <c r="F6287" i="1"/>
  <c r="E6287" i="1"/>
  <c r="D6287" i="1"/>
  <c r="C6287" i="1"/>
  <c r="B6287" i="1"/>
  <c r="G6286" i="1"/>
  <c r="F6286" i="1"/>
  <c r="E6286" i="1"/>
  <c r="D6286" i="1"/>
  <c r="C6286" i="1"/>
  <c r="B6286" i="1"/>
  <c r="G6285" i="1"/>
  <c r="F6285" i="1"/>
  <c r="E6285" i="1"/>
  <c r="D6285" i="1"/>
  <c r="C6285" i="1"/>
  <c r="B6285" i="1"/>
  <c r="G6284" i="1"/>
  <c r="F6284" i="1"/>
  <c r="E6284" i="1"/>
  <c r="D6284" i="1"/>
  <c r="C6284" i="1"/>
  <c r="B6284" i="1"/>
  <c r="G6283" i="1"/>
  <c r="F6283" i="1"/>
  <c r="E6283" i="1"/>
  <c r="D6283" i="1"/>
  <c r="C6283" i="1"/>
  <c r="B6283" i="1"/>
  <c r="G6282" i="1"/>
  <c r="F6282" i="1"/>
  <c r="E6282" i="1"/>
  <c r="D6282" i="1"/>
  <c r="C6282" i="1"/>
  <c r="B6282" i="1"/>
  <c r="G6281" i="1"/>
  <c r="F6281" i="1"/>
  <c r="E6281" i="1"/>
  <c r="D6281" i="1"/>
  <c r="C6281" i="1"/>
  <c r="B6281" i="1"/>
  <c r="G6280" i="1"/>
  <c r="F6280" i="1"/>
  <c r="E6280" i="1"/>
  <c r="D6280" i="1"/>
  <c r="C6280" i="1"/>
  <c r="B6280" i="1"/>
  <c r="G6279" i="1"/>
  <c r="F6279" i="1"/>
  <c r="E6279" i="1"/>
  <c r="D6279" i="1"/>
  <c r="C6279" i="1"/>
  <c r="B6279" i="1"/>
  <c r="G6278" i="1"/>
  <c r="F6278" i="1"/>
  <c r="E6278" i="1"/>
  <c r="D6278" i="1"/>
  <c r="C6278" i="1"/>
  <c r="B6278" i="1"/>
  <c r="G6277" i="1"/>
  <c r="F6277" i="1"/>
  <c r="E6277" i="1"/>
  <c r="D6277" i="1"/>
  <c r="C6277" i="1"/>
  <c r="B6277" i="1"/>
  <c r="G6276" i="1"/>
  <c r="F6276" i="1"/>
  <c r="E6276" i="1"/>
  <c r="D6276" i="1"/>
  <c r="C6276" i="1"/>
  <c r="B6276" i="1"/>
  <c r="G6275" i="1"/>
  <c r="F6275" i="1"/>
  <c r="E6275" i="1"/>
  <c r="D6275" i="1"/>
  <c r="C6275" i="1"/>
  <c r="B6275" i="1"/>
  <c r="G6274" i="1"/>
  <c r="F6274" i="1"/>
  <c r="E6274" i="1"/>
  <c r="D6274" i="1"/>
  <c r="C6274" i="1"/>
  <c r="B6274" i="1"/>
  <c r="G6273" i="1"/>
  <c r="F6273" i="1"/>
  <c r="E6273" i="1"/>
  <c r="D6273" i="1"/>
  <c r="C6273" i="1"/>
  <c r="B6273" i="1"/>
  <c r="G6272" i="1"/>
  <c r="F6272" i="1"/>
  <c r="E6272" i="1"/>
  <c r="D6272" i="1"/>
  <c r="C6272" i="1"/>
  <c r="B6272" i="1"/>
  <c r="G6271" i="1"/>
  <c r="F6271" i="1"/>
  <c r="E6271" i="1"/>
  <c r="D6271" i="1"/>
  <c r="C6271" i="1"/>
  <c r="B6271" i="1"/>
  <c r="G6270" i="1"/>
  <c r="F6270" i="1"/>
  <c r="E6270" i="1"/>
  <c r="D6270" i="1"/>
  <c r="C6270" i="1"/>
  <c r="B6270" i="1"/>
  <c r="G6269" i="1"/>
  <c r="F6269" i="1"/>
  <c r="E6269" i="1"/>
  <c r="D6269" i="1"/>
  <c r="C6269" i="1"/>
  <c r="B6269" i="1"/>
  <c r="G6268" i="1"/>
  <c r="F6268" i="1"/>
  <c r="E6268" i="1"/>
  <c r="D6268" i="1"/>
  <c r="C6268" i="1"/>
  <c r="B6268" i="1"/>
  <c r="G6267" i="1"/>
  <c r="F6267" i="1"/>
  <c r="E6267" i="1"/>
  <c r="D6267" i="1"/>
  <c r="C6267" i="1"/>
  <c r="B6267" i="1"/>
  <c r="G6266" i="1"/>
  <c r="F6266" i="1"/>
  <c r="E6266" i="1"/>
  <c r="D6266" i="1"/>
  <c r="C6266" i="1"/>
  <c r="B6266" i="1"/>
  <c r="G6265" i="1"/>
  <c r="F6265" i="1"/>
  <c r="E6265" i="1"/>
  <c r="D6265" i="1"/>
  <c r="C6265" i="1"/>
  <c r="B6265" i="1"/>
  <c r="G6264" i="1"/>
  <c r="F6264" i="1"/>
  <c r="E6264" i="1"/>
  <c r="D6264" i="1"/>
  <c r="C6264" i="1"/>
  <c r="B6264" i="1"/>
  <c r="G6263" i="1"/>
  <c r="F6263" i="1"/>
  <c r="E6263" i="1"/>
  <c r="D6263" i="1"/>
  <c r="C6263" i="1"/>
  <c r="B6263" i="1"/>
  <c r="G6262" i="1"/>
  <c r="F6262" i="1"/>
  <c r="E6262" i="1"/>
  <c r="D6262" i="1"/>
  <c r="C6262" i="1"/>
  <c r="B6262" i="1"/>
  <c r="G6261" i="1"/>
  <c r="F6261" i="1"/>
  <c r="E6261" i="1"/>
  <c r="D6261" i="1"/>
  <c r="C6261" i="1"/>
  <c r="B6261" i="1"/>
  <c r="G6260" i="1"/>
  <c r="F6260" i="1"/>
  <c r="E6260" i="1"/>
  <c r="D6260" i="1"/>
  <c r="C6260" i="1"/>
  <c r="B6260" i="1"/>
  <c r="G6259" i="1"/>
  <c r="F6259" i="1"/>
  <c r="E6259" i="1"/>
  <c r="D6259" i="1"/>
  <c r="C6259" i="1"/>
  <c r="B6259" i="1"/>
  <c r="G6258" i="1"/>
  <c r="F6258" i="1"/>
  <c r="E6258" i="1"/>
  <c r="D6258" i="1"/>
  <c r="C6258" i="1"/>
  <c r="B6258" i="1"/>
  <c r="G6257" i="1"/>
  <c r="F6257" i="1"/>
  <c r="E6257" i="1"/>
  <c r="D6257" i="1"/>
  <c r="C6257" i="1"/>
  <c r="B6257" i="1"/>
  <c r="G6256" i="1"/>
  <c r="F6256" i="1"/>
  <c r="E6256" i="1"/>
  <c r="D6256" i="1"/>
  <c r="C6256" i="1"/>
  <c r="B6256" i="1"/>
  <c r="G6255" i="1"/>
  <c r="F6255" i="1"/>
  <c r="E6255" i="1"/>
  <c r="D6255" i="1"/>
  <c r="C6255" i="1"/>
  <c r="B6255" i="1"/>
  <c r="G6254" i="1"/>
  <c r="F6254" i="1"/>
  <c r="E6254" i="1"/>
  <c r="D6254" i="1"/>
  <c r="C6254" i="1"/>
  <c r="B6254" i="1"/>
  <c r="G6253" i="1"/>
  <c r="F6253" i="1"/>
  <c r="E6253" i="1"/>
  <c r="D6253" i="1"/>
  <c r="C6253" i="1"/>
  <c r="B6253" i="1"/>
  <c r="G6252" i="1"/>
  <c r="F6252" i="1"/>
  <c r="E6252" i="1"/>
  <c r="D6252" i="1"/>
  <c r="C6252" i="1"/>
  <c r="B6252" i="1"/>
  <c r="G6251" i="1"/>
  <c r="F6251" i="1"/>
  <c r="E6251" i="1"/>
  <c r="D6251" i="1"/>
  <c r="C6251" i="1"/>
  <c r="B6251" i="1"/>
  <c r="G6250" i="1"/>
  <c r="F6250" i="1"/>
  <c r="E6250" i="1"/>
  <c r="D6250" i="1"/>
  <c r="C6250" i="1"/>
  <c r="B6250" i="1"/>
  <c r="G6249" i="1"/>
  <c r="F6249" i="1"/>
  <c r="E6249" i="1"/>
  <c r="D6249" i="1"/>
  <c r="C6249" i="1"/>
  <c r="B6249" i="1"/>
  <c r="G6248" i="1"/>
  <c r="F6248" i="1"/>
  <c r="E6248" i="1"/>
  <c r="D6248" i="1"/>
  <c r="C6248" i="1"/>
  <c r="B6248" i="1"/>
  <c r="G6247" i="1"/>
  <c r="F6247" i="1"/>
  <c r="E6247" i="1"/>
  <c r="D6247" i="1"/>
  <c r="C6247" i="1"/>
  <c r="B6247" i="1"/>
  <c r="G6246" i="1"/>
  <c r="F6246" i="1"/>
  <c r="E6246" i="1"/>
  <c r="D6246" i="1"/>
  <c r="C6246" i="1"/>
  <c r="B6246" i="1"/>
  <c r="G6245" i="1"/>
  <c r="F6245" i="1"/>
  <c r="E6245" i="1"/>
  <c r="D6245" i="1"/>
  <c r="C6245" i="1"/>
  <c r="B6245" i="1"/>
  <c r="G6244" i="1"/>
  <c r="F6244" i="1"/>
  <c r="E6244" i="1"/>
  <c r="D6244" i="1"/>
  <c r="C6244" i="1"/>
  <c r="B6244" i="1"/>
  <c r="G6243" i="1"/>
  <c r="F6243" i="1"/>
  <c r="E6243" i="1"/>
  <c r="D6243" i="1"/>
  <c r="C6243" i="1"/>
  <c r="B6243" i="1"/>
  <c r="G6242" i="1"/>
  <c r="F6242" i="1"/>
  <c r="E6242" i="1"/>
  <c r="D6242" i="1"/>
  <c r="C6242" i="1"/>
  <c r="B6242" i="1"/>
  <c r="G6241" i="1"/>
  <c r="F6241" i="1"/>
  <c r="E6241" i="1"/>
  <c r="D6241" i="1"/>
  <c r="C6241" i="1"/>
  <c r="B6241" i="1"/>
  <c r="G6240" i="1"/>
  <c r="F6240" i="1"/>
  <c r="E6240" i="1"/>
  <c r="D6240" i="1"/>
  <c r="C6240" i="1"/>
  <c r="B6240" i="1"/>
  <c r="G6239" i="1"/>
  <c r="F6239" i="1"/>
  <c r="E6239" i="1"/>
  <c r="D6239" i="1"/>
  <c r="C6239" i="1"/>
  <c r="B6239" i="1"/>
  <c r="G6238" i="1"/>
  <c r="F6238" i="1"/>
  <c r="E6238" i="1"/>
  <c r="D6238" i="1"/>
  <c r="C6238" i="1"/>
  <c r="B6238" i="1"/>
  <c r="G6237" i="1"/>
  <c r="F6237" i="1"/>
  <c r="E6237" i="1"/>
  <c r="D6237" i="1"/>
  <c r="C6237" i="1"/>
  <c r="B6237" i="1"/>
  <c r="G6236" i="1"/>
  <c r="F6236" i="1"/>
  <c r="E6236" i="1"/>
  <c r="D6236" i="1"/>
  <c r="C6236" i="1"/>
  <c r="B6236" i="1"/>
  <c r="G6235" i="1"/>
  <c r="F6235" i="1"/>
  <c r="E6235" i="1"/>
  <c r="D6235" i="1"/>
  <c r="C6235" i="1"/>
  <c r="B6235" i="1"/>
  <c r="G6234" i="1"/>
  <c r="F6234" i="1"/>
  <c r="E6234" i="1"/>
  <c r="D6234" i="1"/>
  <c r="C6234" i="1"/>
  <c r="B6234" i="1"/>
  <c r="G6233" i="1"/>
  <c r="F6233" i="1"/>
  <c r="E6233" i="1"/>
  <c r="D6233" i="1"/>
  <c r="C6233" i="1"/>
  <c r="B6233" i="1"/>
  <c r="G6232" i="1"/>
  <c r="F6232" i="1"/>
  <c r="E6232" i="1"/>
  <c r="D6232" i="1"/>
  <c r="C6232" i="1"/>
  <c r="B6232" i="1"/>
  <c r="G6231" i="1"/>
  <c r="F6231" i="1"/>
  <c r="E6231" i="1"/>
  <c r="D6231" i="1"/>
  <c r="C6231" i="1"/>
  <c r="B6231" i="1"/>
  <c r="G6230" i="1"/>
  <c r="F6230" i="1"/>
  <c r="E6230" i="1"/>
  <c r="D6230" i="1"/>
  <c r="C6230" i="1"/>
  <c r="B6230" i="1"/>
  <c r="G6229" i="1"/>
  <c r="F6229" i="1"/>
  <c r="E6229" i="1"/>
  <c r="D6229" i="1"/>
  <c r="C6229" i="1"/>
  <c r="B6229" i="1"/>
  <c r="G6228" i="1"/>
  <c r="F6228" i="1"/>
  <c r="E6228" i="1"/>
  <c r="D6228" i="1"/>
  <c r="C6228" i="1"/>
  <c r="B6228" i="1"/>
  <c r="G6227" i="1"/>
  <c r="F6227" i="1"/>
  <c r="E6227" i="1"/>
  <c r="D6227" i="1"/>
  <c r="C6227" i="1"/>
  <c r="B6227" i="1"/>
  <c r="G6226" i="1"/>
  <c r="F6226" i="1"/>
  <c r="E6226" i="1"/>
  <c r="D6226" i="1"/>
  <c r="C6226" i="1"/>
  <c r="B6226" i="1"/>
  <c r="G6225" i="1"/>
  <c r="F6225" i="1"/>
  <c r="E6225" i="1"/>
  <c r="D6225" i="1"/>
  <c r="C6225" i="1"/>
  <c r="B6225" i="1"/>
  <c r="G6224" i="1"/>
  <c r="F6224" i="1"/>
  <c r="E6224" i="1"/>
  <c r="D6224" i="1"/>
  <c r="C6224" i="1"/>
  <c r="B6224" i="1"/>
  <c r="G6223" i="1"/>
  <c r="F6223" i="1"/>
  <c r="E6223" i="1"/>
  <c r="D6223" i="1"/>
  <c r="C6223" i="1"/>
  <c r="B6223" i="1"/>
  <c r="G6222" i="1"/>
  <c r="F6222" i="1"/>
  <c r="E6222" i="1"/>
  <c r="D6222" i="1"/>
  <c r="C6222" i="1"/>
  <c r="B6222" i="1"/>
  <c r="G6221" i="1"/>
  <c r="F6221" i="1"/>
  <c r="E6221" i="1"/>
  <c r="D6221" i="1"/>
  <c r="C6221" i="1"/>
  <c r="B6221" i="1"/>
  <c r="G6220" i="1"/>
  <c r="F6220" i="1"/>
  <c r="E6220" i="1"/>
  <c r="D6220" i="1"/>
  <c r="C6220" i="1"/>
  <c r="B6220" i="1"/>
  <c r="G6219" i="1"/>
  <c r="F6219" i="1"/>
  <c r="E6219" i="1"/>
  <c r="D6219" i="1"/>
  <c r="C6219" i="1"/>
  <c r="B6219" i="1"/>
  <c r="G6218" i="1"/>
  <c r="F6218" i="1"/>
  <c r="E6218" i="1"/>
  <c r="D6218" i="1"/>
  <c r="C6218" i="1"/>
  <c r="B6218" i="1"/>
  <c r="G6217" i="1"/>
  <c r="F6217" i="1"/>
  <c r="E6217" i="1"/>
  <c r="D6217" i="1"/>
  <c r="C6217" i="1"/>
  <c r="B6217" i="1"/>
  <c r="G6216" i="1"/>
  <c r="F6216" i="1"/>
  <c r="E6216" i="1"/>
  <c r="D6216" i="1"/>
  <c r="C6216" i="1"/>
  <c r="B6216" i="1"/>
  <c r="G6215" i="1"/>
  <c r="F6215" i="1"/>
  <c r="E6215" i="1"/>
  <c r="D6215" i="1"/>
  <c r="C6215" i="1"/>
  <c r="B6215" i="1"/>
  <c r="G6214" i="1"/>
  <c r="F6214" i="1"/>
  <c r="E6214" i="1"/>
  <c r="D6214" i="1"/>
  <c r="C6214" i="1"/>
  <c r="B6214" i="1"/>
  <c r="G6213" i="1"/>
  <c r="F6213" i="1"/>
  <c r="E6213" i="1"/>
  <c r="D6213" i="1"/>
  <c r="C6213" i="1"/>
  <c r="B6213" i="1"/>
  <c r="G6212" i="1"/>
  <c r="F6212" i="1"/>
  <c r="E6212" i="1"/>
  <c r="D6212" i="1"/>
  <c r="C6212" i="1"/>
  <c r="B6212" i="1"/>
  <c r="G6211" i="1"/>
  <c r="F6211" i="1"/>
  <c r="E6211" i="1"/>
  <c r="D6211" i="1"/>
  <c r="C6211" i="1"/>
  <c r="B6211" i="1"/>
  <c r="G6210" i="1"/>
  <c r="F6210" i="1"/>
  <c r="E6210" i="1"/>
  <c r="D6210" i="1"/>
  <c r="C6210" i="1"/>
  <c r="B6210" i="1"/>
  <c r="G6209" i="1"/>
  <c r="F6209" i="1"/>
  <c r="E6209" i="1"/>
  <c r="D6209" i="1"/>
  <c r="C6209" i="1"/>
  <c r="B6209" i="1"/>
  <c r="G6208" i="1"/>
  <c r="F6208" i="1"/>
  <c r="E6208" i="1"/>
  <c r="D6208" i="1"/>
  <c r="C6208" i="1"/>
  <c r="B6208" i="1"/>
  <c r="G6207" i="1"/>
  <c r="F6207" i="1"/>
  <c r="E6207" i="1"/>
  <c r="D6207" i="1"/>
  <c r="C6207" i="1"/>
  <c r="B6207" i="1"/>
  <c r="G6206" i="1"/>
  <c r="F6206" i="1"/>
  <c r="E6206" i="1"/>
  <c r="D6206" i="1"/>
  <c r="C6206" i="1"/>
  <c r="B6206" i="1"/>
  <c r="G6205" i="1"/>
  <c r="F6205" i="1"/>
  <c r="E6205" i="1"/>
  <c r="D6205" i="1"/>
  <c r="C6205" i="1"/>
  <c r="B6205" i="1"/>
  <c r="G6204" i="1"/>
  <c r="F6204" i="1"/>
  <c r="E6204" i="1"/>
  <c r="D6204" i="1"/>
  <c r="C6204" i="1"/>
  <c r="B6204" i="1"/>
  <c r="G6203" i="1"/>
  <c r="F6203" i="1"/>
  <c r="E6203" i="1"/>
  <c r="D6203" i="1"/>
  <c r="C6203" i="1"/>
  <c r="B6203" i="1"/>
  <c r="G6202" i="1"/>
  <c r="F6202" i="1"/>
  <c r="E6202" i="1"/>
  <c r="D6202" i="1"/>
  <c r="C6202" i="1"/>
  <c r="B6202" i="1"/>
  <c r="G6201" i="1"/>
  <c r="F6201" i="1"/>
  <c r="E6201" i="1"/>
  <c r="D6201" i="1"/>
  <c r="C6201" i="1"/>
  <c r="B6201" i="1"/>
  <c r="G6200" i="1"/>
  <c r="F6200" i="1"/>
  <c r="E6200" i="1"/>
  <c r="D6200" i="1"/>
  <c r="C6200" i="1"/>
  <c r="B6200" i="1"/>
  <c r="G6199" i="1"/>
  <c r="F6199" i="1"/>
  <c r="E6199" i="1"/>
  <c r="D6199" i="1"/>
  <c r="C6199" i="1"/>
  <c r="B6199" i="1"/>
  <c r="G6198" i="1"/>
  <c r="F6198" i="1"/>
  <c r="E6198" i="1"/>
  <c r="D6198" i="1"/>
  <c r="C6198" i="1"/>
  <c r="B6198" i="1"/>
  <c r="D6197" i="1"/>
  <c r="C6197" i="1"/>
  <c r="B6197" i="1"/>
  <c r="G6196" i="1"/>
  <c r="F6196" i="1"/>
  <c r="E6196" i="1"/>
  <c r="D6196" i="1"/>
  <c r="C6196" i="1"/>
  <c r="B6196" i="1"/>
  <c r="G6195" i="1"/>
  <c r="F6195" i="1"/>
  <c r="E6195" i="1"/>
  <c r="D6195" i="1"/>
  <c r="C6195" i="1"/>
  <c r="B6195" i="1"/>
  <c r="G6194" i="1"/>
  <c r="F6194" i="1"/>
  <c r="E6194" i="1"/>
  <c r="D6194" i="1"/>
  <c r="C6194" i="1"/>
  <c r="B6194" i="1"/>
  <c r="G6193" i="1"/>
  <c r="F6193" i="1"/>
  <c r="E6193" i="1"/>
  <c r="D6193" i="1"/>
  <c r="C6193" i="1"/>
  <c r="B6193" i="1"/>
  <c r="G6192" i="1"/>
  <c r="F6192" i="1"/>
  <c r="E6192" i="1"/>
  <c r="D6192" i="1"/>
  <c r="C6192" i="1"/>
  <c r="B6192" i="1"/>
  <c r="G6191" i="1"/>
  <c r="F6191" i="1"/>
  <c r="E6191" i="1"/>
  <c r="D6191" i="1"/>
  <c r="C6191" i="1"/>
  <c r="B6191" i="1"/>
  <c r="G6190" i="1"/>
  <c r="F6190" i="1"/>
  <c r="E6190" i="1"/>
  <c r="D6190" i="1"/>
  <c r="C6190" i="1"/>
  <c r="B6190" i="1"/>
  <c r="G6189" i="1"/>
  <c r="F6189" i="1"/>
  <c r="E6189" i="1"/>
  <c r="D6189" i="1"/>
  <c r="C6189" i="1"/>
  <c r="B6189" i="1"/>
  <c r="G6188" i="1"/>
  <c r="F6188" i="1"/>
  <c r="E6188" i="1"/>
  <c r="D6188" i="1"/>
  <c r="C6188" i="1"/>
  <c r="B6188" i="1"/>
  <c r="G6187" i="1"/>
  <c r="F6187" i="1"/>
  <c r="E6187" i="1"/>
  <c r="D6187" i="1"/>
  <c r="C6187" i="1"/>
  <c r="B6187" i="1"/>
  <c r="G6186" i="1"/>
  <c r="F6186" i="1"/>
  <c r="E6186" i="1"/>
  <c r="D6186" i="1"/>
  <c r="C6186" i="1"/>
  <c r="B6186" i="1"/>
  <c r="G6185" i="1"/>
  <c r="F6185" i="1"/>
  <c r="E6185" i="1"/>
  <c r="D6185" i="1"/>
  <c r="C6185" i="1"/>
  <c r="B6185" i="1"/>
  <c r="G6184" i="1"/>
  <c r="F6184" i="1"/>
  <c r="E6184" i="1"/>
  <c r="D6184" i="1"/>
  <c r="C6184" i="1"/>
  <c r="B6184" i="1"/>
  <c r="G6183" i="1"/>
  <c r="F6183" i="1"/>
  <c r="E6183" i="1"/>
  <c r="D6183" i="1"/>
  <c r="C6183" i="1"/>
  <c r="B6183" i="1"/>
  <c r="G6182" i="1"/>
  <c r="F6182" i="1"/>
  <c r="E6182" i="1"/>
  <c r="D6182" i="1"/>
  <c r="C6182" i="1"/>
  <c r="B6182" i="1"/>
  <c r="G6181" i="1"/>
  <c r="F6181" i="1"/>
  <c r="E6181" i="1"/>
  <c r="D6181" i="1"/>
  <c r="C6181" i="1"/>
  <c r="B6181" i="1"/>
  <c r="D6180" i="1"/>
  <c r="C6180" i="1"/>
  <c r="B6180" i="1"/>
  <c r="D6179" i="1"/>
  <c r="C6179" i="1"/>
  <c r="B6179" i="1"/>
  <c r="G6178" i="1"/>
  <c r="F6178" i="1"/>
  <c r="E6178" i="1"/>
  <c r="D6178" i="1"/>
  <c r="C6178" i="1"/>
  <c r="B6178" i="1"/>
  <c r="G6177" i="1"/>
  <c r="F6177" i="1"/>
  <c r="E6177" i="1"/>
  <c r="D6177" i="1"/>
  <c r="C6177" i="1"/>
  <c r="B6177" i="1"/>
  <c r="G6176" i="1"/>
  <c r="F6176" i="1"/>
  <c r="E6176" i="1"/>
  <c r="D6176" i="1"/>
  <c r="C6176" i="1"/>
  <c r="B6176" i="1"/>
  <c r="G6175" i="1"/>
  <c r="F6175" i="1"/>
  <c r="E6175" i="1"/>
  <c r="D6175" i="1"/>
  <c r="C6175" i="1"/>
  <c r="B6175" i="1"/>
  <c r="G6174" i="1"/>
  <c r="F6174" i="1"/>
  <c r="E6174" i="1"/>
  <c r="D6174" i="1"/>
  <c r="C6174" i="1"/>
  <c r="B6174" i="1"/>
  <c r="G6173" i="1"/>
  <c r="F6173" i="1"/>
  <c r="E6173" i="1"/>
  <c r="D6173" i="1"/>
  <c r="C6173" i="1"/>
  <c r="B6173" i="1"/>
  <c r="G6172" i="1"/>
  <c r="F6172" i="1"/>
  <c r="E6172" i="1"/>
  <c r="D6172" i="1"/>
  <c r="C6172" i="1"/>
  <c r="B6172" i="1"/>
  <c r="G6171" i="1"/>
  <c r="F6171" i="1"/>
  <c r="E6171" i="1"/>
  <c r="D6171" i="1"/>
  <c r="C6171" i="1"/>
  <c r="B6171" i="1"/>
  <c r="G6170" i="1"/>
  <c r="F6170" i="1"/>
  <c r="E6170" i="1"/>
  <c r="D6170" i="1"/>
  <c r="C6170" i="1"/>
  <c r="B6170" i="1"/>
  <c r="G6169" i="1"/>
  <c r="F6169" i="1"/>
  <c r="E6169" i="1"/>
  <c r="D6169" i="1"/>
  <c r="C6169" i="1"/>
  <c r="B6169" i="1"/>
  <c r="G6168" i="1"/>
  <c r="F6168" i="1"/>
  <c r="E6168" i="1"/>
  <c r="D6168" i="1"/>
  <c r="C6168" i="1"/>
  <c r="B6168" i="1"/>
  <c r="G6167" i="1"/>
  <c r="F6167" i="1"/>
  <c r="E6167" i="1"/>
  <c r="D6167" i="1"/>
  <c r="C6167" i="1"/>
  <c r="B6167" i="1"/>
  <c r="G6166" i="1"/>
  <c r="F6166" i="1"/>
  <c r="E6166" i="1"/>
  <c r="D6166" i="1"/>
  <c r="C6166" i="1"/>
  <c r="B6166" i="1"/>
  <c r="G6165" i="1"/>
  <c r="F6165" i="1"/>
  <c r="E6165" i="1"/>
  <c r="D6165" i="1"/>
  <c r="C6165" i="1"/>
  <c r="B6165" i="1"/>
  <c r="G6164" i="1"/>
  <c r="F6164" i="1"/>
  <c r="E6164" i="1"/>
  <c r="D6164" i="1"/>
  <c r="C6164" i="1"/>
  <c r="B6164" i="1"/>
  <c r="G6163" i="1"/>
  <c r="F6163" i="1"/>
  <c r="E6163" i="1"/>
  <c r="D6163" i="1"/>
  <c r="C6163" i="1"/>
  <c r="B6163" i="1"/>
  <c r="G6162" i="1"/>
  <c r="F6162" i="1"/>
  <c r="E6162" i="1"/>
  <c r="D6162" i="1"/>
  <c r="C6162" i="1"/>
  <c r="B6162" i="1"/>
  <c r="G6161" i="1"/>
  <c r="F6161" i="1"/>
  <c r="E6161" i="1"/>
  <c r="D6161" i="1"/>
  <c r="C6161" i="1"/>
  <c r="B6161" i="1"/>
  <c r="G6160" i="1"/>
  <c r="F6160" i="1"/>
  <c r="E6160" i="1"/>
  <c r="D6160" i="1"/>
  <c r="C6160" i="1"/>
  <c r="B6160" i="1"/>
  <c r="G6159" i="1"/>
  <c r="F6159" i="1"/>
  <c r="E6159" i="1"/>
  <c r="D6159" i="1"/>
  <c r="C6159" i="1"/>
  <c r="B6159" i="1"/>
  <c r="G6158" i="1"/>
  <c r="F6158" i="1"/>
  <c r="E6158" i="1"/>
  <c r="D6158" i="1"/>
  <c r="C6158" i="1"/>
  <c r="B6158" i="1"/>
  <c r="G6157" i="1"/>
  <c r="F6157" i="1"/>
  <c r="E6157" i="1"/>
  <c r="D6157" i="1"/>
  <c r="C6157" i="1"/>
  <c r="B6157" i="1"/>
  <c r="G6156" i="1"/>
  <c r="F6156" i="1"/>
  <c r="E6156" i="1"/>
  <c r="D6156" i="1"/>
  <c r="C6156" i="1"/>
  <c r="B6156" i="1"/>
  <c r="G6155" i="1"/>
  <c r="F6155" i="1"/>
  <c r="E6155" i="1"/>
  <c r="D6155" i="1"/>
  <c r="C6155" i="1"/>
  <c r="B6155" i="1"/>
  <c r="G6154" i="1"/>
  <c r="F6154" i="1"/>
  <c r="E6154" i="1"/>
  <c r="D6154" i="1"/>
  <c r="C6154" i="1"/>
  <c r="B6154" i="1"/>
  <c r="G6153" i="1"/>
  <c r="F6153" i="1"/>
  <c r="E6153" i="1"/>
  <c r="D6153" i="1"/>
  <c r="C6153" i="1"/>
  <c r="B6153" i="1"/>
  <c r="G6152" i="1"/>
  <c r="F6152" i="1"/>
  <c r="E6152" i="1"/>
  <c r="D6152" i="1"/>
  <c r="C6152" i="1"/>
  <c r="B6152" i="1"/>
  <c r="G6151" i="1"/>
  <c r="F6151" i="1"/>
  <c r="E6151" i="1"/>
  <c r="D6151" i="1"/>
  <c r="C6151" i="1"/>
  <c r="B6151" i="1"/>
  <c r="G6150" i="1"/>
  <c r="F6150" i="1"/>
  <c r="E6150" i="1"/>
  <c r="D6150" i="1"/>
  <c r="C6150" i="1"/>
  <c r="B6150" i="1"/>
  <c r="G6149" i="1"/>
  <c r="F6149" i="1"/>
  <c r="E6149" i="1"/>
  <c r="D6149" i="1"/>
  <c r="C6149" i="1"/>
  <c r="B6149" i="1"/>
  <c r="G6148" i="1"/>
  <c r="F6148" i="1"/>
  <c r="E6148" i="1"/>
  <c r="D6148" i="1"/>
  <c r="C6148" i="1"/>
  <c r="B6148" i="1"/>
  <c r="G6147" i="1"/>
  <c r="F6147" i="1"/>
  <c r="E6147" i="1"/>
  <c r="D6147" i="1"/>
  <c r="C6147" i="1"/>
  <c r="B6147" i="1"/>
  <c r="G6146" i="1"/>
  <c r="F6146" i="1"/>
  <c r="E6146" i="1"/>
  <c r="D6146" i="1"/>
  <c r="C6146" i="1"/>
  <c r="B6146" i="1"/>
  <c r="G6145" i="1"/>
  <c r="F6145" i="1"/>
  <c r="E6145" i="1"/>
  <c r="D6145" i="1"/>
  <c r="C6145" i="1"/>
  <c r="B6145" i="1"/>
  <c r="G6144" i="1"/>
  <c r="F6144" i="1"/>
  <c r="E6144" i="1"/>
  <c r="D6144" i="1"/>
  <c r="C6144" i="1"/>
  <c r="B6144" i="1"/>
  <c r="G6143" i="1"/>
  <c r="F6143" i="1"/>
  <c r="E6143" i="1"/>
  <c r="D6143" i="1"/>
  <c r="C6143" i="1"/>
  <c r="B6143" i="1"/>
  <c r="G6142" i="1"/>
  <c r="F6142" i="1"/>
  <c r="E6142" i="1"/>
  <c r="D6142" i="1"/>
  <c r="C6142" i="1"/>
  <c r="B6142" i="1"/>
  <c r="G6141" i="1"/>
  <c r="F6141" i="1"/>
  <c r="E6141" i="1"/>
  <c r="D6141" i="1"/>
  <c r="C6141" i="1"/>
  <c r="B6141" i="1"/>
  <c r="G6140" i="1"/>
  <c r="F6140" i="1"/>
  <c r="E6140" i="1"/>
  <c r="D6140" i="1"/>
  <c r="C6140" i="1"/>
  <c r="B6140" i="1"/>
  <c r="G6139" i="1"/>
  <c r="F6139" i="1"/>
  <c r="E6139" i="1"/>
  <c r="D6139" i="1"/>
  <c r="C6139" i="1"/>
  <c r="B6139" i="1"/>
  <c r="G6138" i="1"/>
  <c r="F6138" i="1"/>
  <c r="E6138" i="1"/>
  <c r="D6138" i="1"/>
  <c r="C6138" i="1"/>
  <c r="B6138" i="1"/>
  <c r="G6137" i="1"/>
  <c r="F6137" i="1"/>
  <c r="E6137" i="1"/>
  <c r="D6137" i="1"/>
  <c r="C6137" i="1"/>
  <c r="B6137" i="1"/>
  <c r="G6136" i="1"/>
  <c r="F6136" i="1"/>
  <c r="E6136" i="1"/>
  <c r="D6136" i="1"/>
  <c r="C6136" i="1"/>
  <c r="B6136" i="1"/>
  <c r="G6135" i="1"/>
  <c r="F6135" i="1"/>
  <c r="E6135" i="1"/>
  <c r="D6135" i="1"/>
  <c r="C6135" i="1"/>
  <c r="B6135" i="1"/>
  <c r="G6134" i="1"/>
  <c r="F6134" i="1"/>
  <c r="E6134" i="1"/>
  <c r="D6134" i="1"/>
  <c r="C6134" i="1"/>
  <c r="B6134" i="1"/>
  <c r="G6133" i="1"/>
  <c r="F6133" i="1"/>
  <c r="E6133" i="1"/>
  <c r="D6133" i="1"/>
  <c r="C6133" i="1"/>
  <c r="B6133" i="1"/>
  <c r="G6132" i="1"/>
  <c r="F6132" i="1"/>
  <c r="E6132" i="1"/>
  <c r="D6132" i="1"/>
  <c r="C6132" i="1"/>
  <c r="B6132" i="1"/>
  <c r="G6131" i="1"/>
  <c r="F6131" i="1"/>
  <c r="E6131" i="1"/>
  <c r="D6131" i="1"/>
  <c r="C6131" i="1"/>
  <c r="B6131" i="1"/>
  <c r="G6130" i="1"/>
  <c r="F6130" i="1"/>
  <c r="E6130" i="1"/>
  <c r="D6130" i="1"/>
  <c r="C6130" i="1"/>
  <c r="B6130" i="1"/>
  <c r="G6129" i="1"/>
  <c r="F6129" i="1"/>
  <c r="E6129" i="1"/>
  <c r="D6129" i="1"/>
  <c r="C6129" i="1"/>
  <c r="B6129" i="1"/>
  <c r="G6128" i="1"/>
  <c r="F6128" i="1"/>
  <c r="E6128" i="1"/>
  <c r="D6128" i="1"/>
  <c r="C6128" i="1"/>
  <c r="B6128" i="1"/>
  <c r="G6127" i="1"/>
  <c r="F6127" i="1"/>
  <c r="E6127" i="1"/>
  <c r="D6127" i="1"/>
  <c r="C6127" i="1"/>
  <c r="B6127" i="1"/>
  <c r="G6126" i="1"/>
  <c r="F6126" i="1"/>
  <c r="E6126" i="1"/>
  <c r="D6126" i="1"/>
  <c r="C6126" i="1"/>
  <c r="B6126" i="1"/>
  <c r="G6125" i="1"/>
  <c r="F6125" i="1"/>
  <c r="E6125" i="1"/>
  <c r="D6125" i="1"/>
  <c r="C6125" i="1"/>
  <c r="B6125" i="1"/>
  <c r="G6124" i="1"/>
  <c r="F6124" i="1"/>
  <c r="E6124" i="1"/>
  <c r="D6124" i="1"/>
  <c r="C6124" i="1"/>
  <c r="B6124" i="1"/>
  <c r="G6123" i="1"/>
  <c r="F6123" i="1"/>
  <c r="E6123" i="1"/>
  <c r="D6123" i="1"/>
  <c r="C6123" i="1"/>
  <c r="B6123" i="1"/>
  <c r="G6122" i="1"/>
  <c r="F6122" i="1"/>
  <c r="E6122" i="1"/>
  <c r="D6122" i="1"/>
  <c r="C6122" i="1"/>
  <c r="B6122" i="1"/>
  <c r="G6121" i="1"/>
  <c r="F6121" i="1"/>
  <c r="E6121" i="1"/>
  <c r="D6121" i="1"/>
  <c r="C6121" i="1"/>
  <c r="B6121" i="1"/>
  <c r="G6120" i="1"/>
  <c r="F6120" i="1"/>
  <c r="E6120" i="1"/>
  <c r="D6120" i="1"/>
  <c r="C6120" i="1"/>
  <c r="B6120" i="1"/>
  <c r="G6119" i="1"/>
  <c r="F6119" i="1"/>
  <c r="E6119" i="1"/>
  <c r="D6119" i="1"/>
  <c r="C6119" i="1"/>
  <c r="B6119" i="1"/>
  <c r="G6118" i="1"/>
  <c r="F6118" i="1"/>
  <c r="E6118" i="1"/>
  <c r="D6118" i="1"/>
  <c r="C6118" i="1"/>
  <c r="B6118" i="1"/>
  <c r="G6117" i="1"/>
  <c r="F6117" i="1"/>
  <c r="E6117" i="1"/>
  <c r="D6117" i="1"/>
  <c r="C6117" i="1"/>
  <c r="B6117" i="1"/>
  <c r="G6116" i="1"/>
  <c r="F6116" i="1"/>
  <c r="E6116" i="1"/>
  <c r="D6116" i="1"/>
  <c r="C6116" i="1"/>
  <c r="B6116" i="1"/>
  <c r="G6115" i="1"/>
  <c r="F6115" i="1"/>
  <c r="E6115" i="1"/>
  <c r="D6115" i="1"/>
  <c r="C6115" i="1"/>
  <c r="B6115" i="1"/>
  <c r="G6114" i="1"/>
  <c r="F6114" i="1"/>
  <c r="E6114" i="1"/>
  <c r="D6114" i="1"/>
  <c r="C6114" i="1"/>
  <c r="B6114" i="1"/>
  <c r="G6113" i="1"/>
  <c r="F6113" i="1"/>
  <c r="E6113" i="1"/>
  <c r="D6113" i="1"/>
  <c r="C6113" i="1"/>
  <c r="B6113" i="1"/>
  <c r="G6112" i="1"/>
  <c r="F6112" i="1"/>
  <c r="E6112" i="1"/>
  <c r="D6112" i="1"/>
  <c r="C6112" i="1"/>
  <c r="B6112" i="1"/>
  <c r="G6111" i="1"/>
  <c r="F6111" i="1"/>
  <c r="E6111" i="1"/>
  <c r="D6111" i="1"/>
  <c r="C6111" i="1"/>
  <c r="B6111" i="1"/>
  <c r="G6110" i="1"/>
  <c r="F6110" i="1"/>
  <c r="E6110" i="1"/>
  <c r="D6110" i="1"/>
  <c r="C6110" i="1"/>
  <c r="B6110" i="1"/>
  <c r="G6109" i="1"/>
  <c r="F6109" i="1"/>
  <c r="E6109" i="1"/>
  <c r="D6109" i="1"/>
  <c r="C6109" i="1"/>
  <c r="B6109" i="1"/>
  <c r="G6108" i="1"/>
  <c r="F6108" i="1"/>
  <c r="E6108" i="1"/>
  <c r="D6108" i="1"/>
  <c r="C6108" i="1"/>
  <c r="B6108" i="1"/>
  <c r="G6107" i="1"/>
  <c r="F6107" i="1"/>
  <c r="E6107" i="1"/>
  <c r="D6107" i="1"/>
  <c r="C6107" i="1"/>
  <c r="B6107" i="1"/>
  <c r="F6106" i="1"/>
  <c r="E6106" i="1"/>
  <c r="D6106" i="1"/>
  <c r="C6106" i="1"/>
  <c r="B6106" i="1"/>
  <c r="G6105" i="1"/>
  <c r="F6105" i="1"/>
  <c r="E6105" i="1"/>
  <c r="D6105" i="1"/>
  <c r="C6105" i="1"/>
  <c r="B6105" i="1"/>
  <c r="G6104" i="1"/>
  <c r="F6104" i="1"/>
  <c r="E6104" i="1"/>
  <c r="D6104" i="1"/>
  <c r="C6104" i="1"/>
  <c r="B6104" i="1"/>
  <c r="G6103" i="1"/>
  <c r="F6103" i="1"/>
  <c r="E6103" i="1"/>
  <c r="D6103" i="1"/>
  <c r="C6103" i="1"/>
  <c r="B6103" i="1"/>
  <c r="G6102" i="1"/>
  <c r="F6102" i="1"/>
  <c r="E6102" i="1"/>
  <c r="D6102" i="1"/>
  <c r="C6102" i="1"/>
  <c r="B6102" i="1"/>
  <c r="G6101" i="1"/>
  <c r="F6101" i="1"/>
  <c r="E6101" i="1"/>
  <c r="D6101" i="1"/>
  <c r="C6101" i="1"/>
  <c r="B6101" i="1"/>
  <c r="G6100" i="1"/>
  <c r="F6100" i="1"/>
  <c r="E6100" i="1"/>
  <c r="D6100" i="1"/>
  <c r="C6100" i="1"/>
  <c r="B6100" i="1"/>
  <c r="G6099" i="1"/>
  <c r="F6099" i="1"/>
  <c r="E6099" i="1"/>
  <c r="D6099" i="1"/>
  <c r="C6099" i="1"/>
  <c r="B6099" i="1"/>
  <c r="G6098" i="1"/>
  <c r="F6098" i="1"/>
  <c r="E6098" i="1"/>
  <c r="D6098" i="1"/>
  <c r="C6098" i="1"/>
  <c r="B6098" i="1"/>
  <c r="G6097" i="1"/>
  <c r="F6097" i="1"/>
  <c r="E6097" i="1"/>
  <c r="D6097" i="1"/>
  <c r="C6097" i="1"/>
  <c r="B6097" i="1"/>
  <c r="G6096" i="1"/>
  <c r="F6096" i="1"/>
  <c r="E6096" i="1"/>
  <c r="D6096" i="1"/>
  <c r="C6096" i="1"/>
  <c r="B6096" i="1"/>
  <c r="G6095" i="1"/>
  <c r="F6095" i="1"/>
  <c r="E6095" i="1"/>
  <c r="D6095" i="1"/>
  <c r="C6095" i="1"/>
  <c r="B6095" i="1"/>
  <c r="G6094" i="1"/>
  <c r="F6094" i="1"/>
  <c r="E6094" i="1"/>
  <c r="D6094" i="1"/>
  <c r="C6094" i="1"/>
  <c r="B6094" i="1"/>
  <c r="G6093" i="1"/>
  <c r="F6093" i="1"/>
  <c r="E6093" i="1"/>
  <c r="D6093" i="1"/>
  <c r="C6093" i="1"/>
  <c r="B6093" i="1"/>
  <c r="G6092" i="1"/>
  <c r="F6092" i="1"/>
  <c r="E6092" i="1"/>
  <c r="D6092" i="1"/>
  <c r="C6092" i="1"/>
  <c r="B6092" i="1"/>
  <c r="G6091" i="1"/>
  <c r="F6091" i="1"/>
  <c r="E6091" i="1"/>
  <c r="D6091" i="1"/>
  <c r="C6091" i="1"/>
  <c r="B6091" i="1"/>
  <c r="G6090" i="1"/>
  <c r="F6090" i="1"/>
  <c r="E6090" i="1"/>
  <c r="D6090" i="1"/>
  <c r="C6090" i="1"/>
  <c r="B6090" i="1"/>
  <c r="G6089" i="1"/>
  <c r="F6089" i="1"/>
  <c r="E6089" i="1"/>
  <c r="D6089" i="1"/>
  <c r="C6089" i="1"/>
  <c r="B6089" i="1"/>
  <c r="G6088" i="1"/>
  <c r="F6088" i="1"/>
  <c r="E6088" i="1"/>
  <c r="D6088" i="1"/>
  <c r="C6088" i="1"/>
  <c r="B6088" i="1"/>
  <c r="G6087" i="1"/>
  <c r="F6087" i="1"/>
  <c r="E6087" i="1"/>
  <c r="D6087" i="1"/>
  <c r="C6087" i="1"/>
  <c r="B6087" i="1"/>
  <c r="G6086" i="1"/>
  <c r="F6086" i="1"/>
  <c r="E6086" i="1"/>
  <c r="D6086" i="1"/>
  <c r="C6086" i="1"/>
  <c r="B6086" i="1"/>
  <c r="G6085" i="1"/>
  <c r="F6085" i="1"/>
  <c r="E6085" i="1"/>
  <c r="D6085" i="1"/>
  <c r="C6085" i="1"/>
  <c r="B6085" i="1"/>
  <c r="G6084" i="1"/>
  <c r="F6084" i="1"/>
  <c r="E6084" i="1"/>
  <c r="D6084" i="1"/>
  <c r="C6084" i="1"/>
  <c r="B6084" i="1"/>
  <c r="G6083" i="1"/>
  <c r="F6083" i="1"/>
  <c r="E6083" i="1"/>
  <c r="D6083" i="1"/>
  <c r="C6083" i="1"/>
  <c r="B6083" i="1"/>
  <c r="G6082" i="1"/>
  <c r="F6082" i="1"/>
  <c r="E6082" i="1"/>
  <c r="D6082" i="1"/>
  <c r="C6082" i="1"/>
  <c r="B6082" i="1"/>
  <c r="G6081" i="1"/>
  <c r="F6081" i="1"/>
  <c r="E6081" i="1"/>
  <c r="D6081" i="1"/>
  <c r="C6081" i="1"/>
  <c r="B6081" i="1"/>
  <c r="G6080" i="1"/>
  <c r="F6080" i="1"/>
  <c r="E6080" i="1"/>
  <c r="D6080" i="1"/>
  <c r="C6080" i="1"/>
  <c r="B6080" i="1"/>
  <c r="G6079" i="1"/>
  <c r="F6079" i="1"/>
  <c r="E6079" i="1"/>
  <c r="D6079" i="1"/>
  <c r="C6079" i="1"/>
  <c r="B6079" i="1"/>
  <c r="G6078" i="1"/>
  <c r="F6078" i="1"/>
  <c r="E6078" i="1"/>
  <c r="D6078" i="1"/>
  <c r="C6078" i="1"/>
  <c r="B6078" i="1"/>
  <c r="G6077" i="1"/>
  <c r="F6077" i="1"/>
  <c r="E6077" i="1"/>
  <c r="D6077" i="1"/>
  <c r="C6077" i="1"/>
  <c r="B6077" i="1"/>
  <c r="F6076" i="1"/>
  <c r="E6076" i="1"/>
  <c r="D6076" i="1"/>
  <c r="C6076" i="1"/>
  <c r="B6076" i="1"/>
  <c r="F6075" i="1"/>
  <c r="E6075" i="1"/>
  <c r="D6075" i="1"/>
  <c r="C6075" i="1"/>
  <c r="B6075" i="1"/>
  <c r="G6074" i="1"/>
  <c r="F6074" i="1"/>
  <c r="E6074" i="1"/>
  <c r="D6074" i="1"/>
  <c r="C6074" i="1"/>
  <c r="B6074" i="1"/>
  <c r="G6073" i="1"/>
  <c r="F6073" i="1"/>
  <c r="E6073" i="1"/>
  <c r="D6073" i="1"/>
  <c r="C6073" i="1"/>
  <c r="B6073" i="1"/>
  <c r="G6072" i="1"/>
  <c r="F6072" i="1"/>
  <c r="E6072" i="1"/>
  <c r="D6072" i="1"/>
  <c r="C6072" i="1"/>
  <c r="B6072" i="1"/>
  <c r="G6071" i="1"/>
  <c r="F6071" i="1"/>
  <c r="E6071" i="1"/>
  <c r="D6071" i="1"/>
  <c r="C6071" i="1"/>
  <c r="B6071" i="1"/>
  <c r="G6070" i="1"/>
  <c r="F6070" i="1"/>
  <c r="E6070" i="1"/>
  <c r="D6070" i="1"/>
  <c r="C6070" i="1"/>
  <c r="B6070" i="1"/>
  <c r="G6069" i="1"/>
  <c r="F6069" i="1"/>
  <c r="E6069" i="1"/>
  <c r="D6069" i="1"/>
  <c r="C6069" i="1"/>
  <c r="B6069" i="1"/>
  <c r="G6068" i="1"/>
  <c r="F6068" i="1"/>
  <c r="E6068" i="1"/>
  <c r="D6068" i="1"/>
  <c r="C6068" i="1"/>
  <c r="B6068" i="1"/>
  <c r="G6067" i="1"/>
  <c r="F6067" i="1"/>
  <c r="E6067" i="1"/>
  <c r="D6067" i="1"/>
  <c r="C6067" i="1"/>
  <c r="B6067" i="1"/>
  <c r="G6066" i="1"/>
  <c r="F6066" i="1"/>
  <c r="E6066" i="1"/>
  <c r="D6066" i="1"/>
  <c r="C6066" i="1"/>
  <c r="B6066" i="1"/>
  <c r="G6065" i="1"/>
  <c r="F6065" i="1"/>
  <c r="E6065" i="1"/>
  <c r="D6065" i="1"/>
  <c r="C6065" i="1"/>
  <c r="B6065" i="1"/>
  <c r="G6064" i="1"/>
  <c r="F6064" i="1"/>
  <c r="E6064" i="1"/>
  <c r="D6064" i="1"/>
  <c r="C6064" i="1"/>
  <c r="B6064" i="1"/>
  <c r="G6063" i="1"/>
  <c r="F6063" i="1"/>
  <c r="E6063" i="1"/>
  <c r="D6063" i="1"/>
  <c r="C6063" i="1"/>
  <c r="B6063" i="1"/>
  <c r="G6062" i="1"/>
  <c r="F6062" i="1"/>
  <c r="E6062" i="1"/>
  <c r="D6062" i="1"/>
  <c r="C6062" i="1"/>
  <c r="B6062" i="1"/>
  <c r="G6061" i="1"/>
  <c r="F6061" i="1"/>
  <c r="E6061" i="1"/>
  <c r="D6061" i="1"/>
  <c r="C6061" i="1"/>
  <c r="B6061" i="1"/>
  <c r="G6060" i="1"/>
  <c r="F6060" i="1"/>
  <c r="E6060" i="1"/>
  <c r="D6060" i="1"/>
  <c r="C6060" i="1"/>
  <c r="B6060" i="1"/>
  <c r="G6059" i="1"/>
  <c r="F6059" i="1"/>
  <c r="E6059" i="1"/>
  <c r="D6059" i="1"/>
  <c r="C6059" i="1"/>
  <c r="B6059" i="1"/>
  <c r="G6058" i="1"/>
  <c r="F6058" i="1"/>
  <c r="E6058" i="1"/>
  <c r="D6058" i="1"/>
  <c r="C6058" i="1"/>
  <c r="B6058" i="1"/>
  <c r="G6057" i="1"/>
  <c r="F6057" i="1"/>
  <c r="E6057" i="1"/>
  <c r="D6057" i="1"/>
  <c r="C6057" i="1"/>
  <c r="B6057" i="1"/>
  <c r="G6056" i="1"/>
  <c r="F6056" i="1"/>
  <c r="E6056" i="1"/>
  <c r="D6056" i="1"/>
  <c r="C6056" i="1"/>
  <c r="B6056" i="1"/>
  <c r="G6055" i="1"/>
  <c r="F6055" i="1"/>
  <c r="E6055" i="1"/>
  <c r="D6055" i="1"/>
  <c r="C6055" i="1"/>
  <c r="B6055" i="1"/>
  <c r="G6054" i="1"/>
  <c r="F6054" i="1"/>
  <c r="E6054" i="1"/>
  <c r="D6054" i="1"/>
  <c r="C6054" i="1"/>
  <c r="B6054" i="1"/>
  <c r="G6053" i="1"/>
  <c r="F6053" i="1"/>
  <c r="E6053" i="1"/>
  <c r="D6053" i="1"/>
  <c r="C6053" i="1"/>
  <c r="B6053" i="1"/>
  <c r="G6052" i="1"/>
  <c r="F6052" i="1"/>
  <c r="E6052" i="1"/>
  <c r="D6052" i="1"/>
  <c r="C6052" i="1"/>
  <c r="B6052" i="1"/>
  <c r="G6051" i="1"/>
  <c r="F6051" i="1"/>
  <c r="E6051" i="1"/>
  <c r="D6051" i="1"/>
  <c r="C6051" i="1"/>
  <c r="B6051" i="1"/>
  <c r="G6050" i="1"/>
  <c r="F6050" i="1"/>
  <c r="E6050" i="1"/>
  <c r="D6050" i="1"/>
  <c r="C6050" i="1"/>
  <c r="B6050" i="1"/>
  <c r="G6049" i="1"/>
  <c r="F6049" i="1"/>
  <c r="E6049" i="1"/>
  <c r="D6049" i="1"/>
  <c r="C6049" i="1"/>
  <c r="B6049" i="1"/>
  <c r="G6048" i="1"/>
  <c r="F6048" i="1"/>
  <c r="E6048" i="1"/>
  <c r="D6048" i="1"/>
  <c r="C6048" i="1"/>
  <c r="B6048" i="1"/>
  <c r="G6047" i="1"/>
  <c r="F6047" i="1"/>
  <c r="E6047" i="1"/>
  <c r="D6047" i="1"/>
  <c r="C6047" i="1"/>
  <c r="B6047" i="1"/>
  <c r="G6046" i="1"/>
  <c r="F6046" i="1"/>
  <c r="E6046" i="1"/>
  <c r="D6046" i="1"/>
  <c r="C6046" i="1"/>
  <c r="B6046" i="1"/>
  <c r="G6045" i="1"/>
  <c r="F6045" i="1"/>
  <c r="E6045" i="1"/>
  <c r="D6045" i="1"/>
  <c r="C6045" i="1"/>
  <c r="B6045" i="1"/>
  <c r="G6044" i="1"/>
  <c r="F6044" i="1"/>
  <c r="E6044" i="1"/>
  <c r="D6044" i="1"/>
  <c r="C6044" i="1"/>
  <c r="B6044" i="1"/>
  <c r="G6043" i="1"/>
  <c r="F6043" i="1"/>
  <c r="E6043" i="1"/>
  <c r="D6043" i="1"/>
  <c r="C6043" i="1"/>
  <c r="B6043" i="1"/>
  <c r="G6042" i="1"/>
  <c r="F6042" i="1"/>
  <c r="E6042" i="1"/>
  <c r="D6042" i="1"/>
  <c r="C6042" i="1"/>
  <c r="B6042" i="1"/>
  <c r="G6041" i="1"/>
  <c r="F6041" i="1"/>
  <c r="E6041" i="1"/>
  <c r="D6041" i="1"/>
  <c r="C6041" i="1"/>
  <c r="B6041" i="1"/>
  <c r="G6040" i="1"/>
  <c r="F6040" i="1"/>
  <c r="E6040" i="1"/>
  <c r="D6040" i="1"/>
  <c r="C6040" i="1"/>
  <c r="B6040" i="1"/>
  <c r="G6039" i="1"/>
  <c r="F6039" i="1"/>
  <c r="E6039" i="1"/>
  <c r="D6039" i="1"/>
  <c r="C6039" i="1"/>
  <c r="B6039" i="1"/>
  <c r="G6038" i="1"/>
  <c r="F6038" i="1"/>
  <c r="E6038" i="1"/>
  <c r="D6038" i="1"/>
  <c r="C6038" i="1"/>
  <c r="B6038" i="1"/>
  <c r="G6037" i="1"/>
  <c r="F6037" i="1"/>
  <c r="E6037" i="1"/>
  <c r="D6037" i="1"/>
  <c r="C6037" i="1"/>
  <c r="B6037" i="1"/>
  <c r="G6036" i="1"/>
  <c r="F6036" i="1"/>
  <c r="E6036" i="1"/>
  <c r="D6036" i="1"/>
  <c r="C6036" i="1"/>
  <c r="B6036" i="1"/>
  <c r="G6035" i="1"/>
  <c r="F6035" i="1"/>
  <c r="E6035" i="1"/>
  <c r="D6035" i="1"/>
  <c r="C6035" i="1"/>
  <c r="B6035" i="1"/>
  <c r="G6034" i="1"/>
  <c r="F6034" i="1"/>
  <c r="E6034" i="1"/>
  <c r="D6034" i="1"/>
  <c r="C6034" i="1"/>
  <c r="B6034" i="1"/>
  <c r="G6033" i="1"/>
  <c r="F6033" i="1"/>
  <c r="E6033" i="1"/>
  <c r="D6033" i="1"/>
  <c r="C6033" i="1"/>
  <c r="B6033" i="1"/>
  <c r="G6032" i="1"/>
  <c r="F6032" i="1"/>
  <c r="E6032" i="1"/>
  <c r="D6032" i="1"/>
  <c r="C6032" i="1"/>
  <c r="B6032" i="1"/>
  <c r="G6031" i="1"/>
  <c r="F6031" i="1"/>
  <c r="E6031" i="1"/>
  <c r="D6031" i="1"/>
  <c r="C6031" i="1"/>
  <c r="B6031" i="1"/>
  <c r="G6030" i="1"/>
  <c r="F6030" i="1"/>
  <c r="E6030" i="1"/>
  <c r="D6030" i="1"/>
  <c r="C6030" i="1"/>
  <c r="B6030" i="1"/>
  <c r="G6029" i="1"/>
  <c r="D6029" i="1"/>
  <c r="C6029" i="1"/>
  <c r="B6029" i="1"/>
  <c r="G6028" i="1"/>
  <c r="D6028" i="1"/>
  <c r="C6028" i="1"/>
  <c r="B6028" i="1"/>
  <c r="G6027" i="1"/>
  <c r="F6027" i="1"/>
  <c r="E6027" i="1"/>
  <c r="D6027" i="1"/>
  <c r="C6027" i="1"/>
  <c r="B6027" i="1"/>
  <c r="G6026" i="1"/>
  <c r="F6026" i="1"/>
  <c r="E6026" i="1"/>
  <c r="D6026" i="1"/>
  <c r="C6026" i="1"/>
  <c r="B6026" i="1"/>
  <c r="G6025" i="1"/>
  <c r="F6025" i="1"/>
  <c r="E6025" i="1"/>
  <c r="D6025" i="1"/>
  <c r="C6025" i="1"/>
  <c r="B6025" i="1"/>
  <c r="G6024" i="1"/>
  <c r="F6024" i="1"/>
  <c r="E6024" i="1"/>
  <c r="D6024" i="1"/>
  <c r="C6024" i="1"/>
  <c r="B6024" i="1"/>
  <c r="G6023" i="1"/>
  <c r="F6023" i="1"/>
  <c r="E6023" i="1"/>
  <c r="D6023" i="1"/>
  <c r="C6023" i="1"/>
  <c r="B6023" i="1"/>
  <c r="G6022" i="1"/>
  <c r="F6022" i="1"/>
  <c r="E6022" i="1"/>
  <c r="D6022" i="1"/>
  <c r="C6022" i="1"/>
  <c r="B6022" i="1"/>
  <c r="G6021" i="1"/>
  <c r="F6021" i="1"/>
  <c r="E6021" i="1"/>
  <c r="D6021" i="1"/>
  <c r="C6021" i="1"/>
  <c r="B6021" i="1"/>
  <c r="G6020" i="1"/>
  <c r="F6020" i="1"/>
  <c r="E6020" i="1"/>
  <c r="D6020" i="1"/>
  <c r="C6020" i="1"/>
  <c r="B6020" i="1"/>
  <c r="G6019" i="1"/>
  <c r="F6019" i="1"/>
  <c r="E6019" i="1"/>
  <c r="D6019" i="1"/>
  <c r="C6019" i="1"/>
  <c r="B6019" i="1"/>
  <c r="G6018" i="1"/>
  <c r="F6018" i="1"/>
  <c r="E6018" i="1"/>
  <c r="D6018" i="1"/>
  <c r="C6018" i="1"/>
  <c r="B6018" i="1"/>
  <c r="G6017" i="1"/>
  <c r="F6017" i="1"/>
  <c r="E6017" i="1"/>
  <c r="D6017" i="1"/>
  <c r="C6017" i="1"/>
  <c r="B6017" i="1"/>
  <c r="G6016" i="1"/>
  <c r="F6016" i="1"/>
  <c r="E6016" i="1"/>
  <c r="D6016" i="1"/>
  <c r="C6016" i="1"/>
  <c r="B6016" i="1"/>
  <c r="G6015" i="1"/>
  <c r="F6015" i="1"/>
  <c r="E6015" i="1"/>
  <c r="D6015" i="1"/>
  <c r="C6015" i="1"/>
  <c r="B6015" i="1"/>
  <c r="G6014" i="1"/>
  <c r="D6014" i="1"/>
  <c r="C6014" i="1"/>
  <c r="B6014" i="1"/>
  <c r="G6013" i="1"/>
  <c r="F6013" i="1"/>
  <c r="E6013" i="1"/>
  <c r="D6013" i="1"/>
  <c r="C6013" i="1"/>
  <c r="B6013" i="1"/>
  <c r="G6012" i="1"/>
  <c r="F6012" i="1"/>
  <c r="E6012" i="1"/>
  <c r="D6012" i="1"/>
  <c r="C6012" i="1"/>
  <c r="B6012" i="1"/>
  <c r="G6011" i="1"/>
  <c r="F6011" i="1"/>
  <c r="E6011" i="1"/>
  <c r="D6011" i="1"/>
  <c r="C6011" i="1"/>
  <c r="B6011" i="1"/>
  <c r="G6010" i="1"/>
  <c r="F6010" i="1"/>
  <c r="E6010" i="1"/>
  <c r="D6010" i="1"/>
  <c r="C6010" i="1"/>
  <c r="B6010" i="1"/>
  <c r="G6009" i="1"/>
  <c r="F6009" i="1"/>
  <c r="E6009" i="1"/>
  <c r="D6009" i="1"/>
  <c r="C6009" i="1"/>
  <c r="B6009" i="1"/>
  <c r="G6008" i="1"/>
  <c r="F6008" i="1"/>
  <c r="E6008" i="1"/>
  <c r="D6008" i="1"/>
  <c r="C6008" i="1"/>
  <c r="B6008" i="1"/>
  <c r="G6007" i="1"/>
  <c r="F6007" i="1"/>
  <c r="E6007" i="1"/>
  <c r="D6007" i="1"/>
  <c r="C6007" i="1"/>
  <c r="B6007" i="1"/>
  <c r="G6006" i="1"/>
  <c r="F6006" i="1"/>
  <c r="E6006" i="1"/>
  <c r="D6006" i="1"/>
  <c r="C6006" i="1"/>
  <c r="B6006" i="1"/>
  <c r="G6005" i="1"/>
  <c r="F6005" i="1"/>
  <c r="E6005" i="1"/>
  <c r="D6005" i="1"/>
  <c r="C6005" i="1"/>
  <c r="B6005" i="1"/>
  <c r="G6004" i="1"/>
  <c r="F6004" i="1"/>
  <c r="E6004" i="1"/>
  <c r="D6004" i="1"/>
  <c r="C6004" i="1"/>
  <c r="B6004" i="1"/>
  <c r="G6003" i="1"/>
  <c r="F6003" i="1"/>
  <c r="E6003" i="1"/>
  <c r="D6003" i="1"/>
  <c r="C6003" i="1"/>
  <c r="B6003" i="1"/>
  <c r="F6002" i="1"/>
  <c r="E6002" i="1"/>
  <c r="D6002" i="1"/>
  <c r="C6002" i="1"/>
  <c r="B6002" i="1"/>
  <c r="G6001" i="1"/>
  <c r="F6001" i="1"/>
  <c r="E6001" i="1"/>
  <c r="D6001" i="1"/>
  <c r="C6001" i="1"/>
  <c r="B6001" i="1"/>
  <c r="G6000" i="1"/>
  <c r="F6000" i="1"/>
  <c r="E6000" i="1"/>
  <c r="D6000" i="1"/>
  <c r="C6000" i="1"/>
  <c r="B6000" i="1"/>
  <c r="G5999" i="1"/>
  <c r="F5999" i="1"/>
  <c r="E5999" i="1"/>
  <c r="D5999" i="1"/>
  <c r="C5999" i="1"/>
  <c r="B5999" i="1"/>
  <c r="G5998" i="1"/>
  <c r="F5998" i="1"/>
  <c r="E5998" i="1"/>
  <c r="D5998" i="1"/>
  <c r="C5998" i="1"/>
  <c r="B5998" i="1"/>
  <c r="F5997" i="1"/>
  <c r="E5997" i="1"/>
  <c r="D5997" i="1"/>
  <c r="C5997" i="1"/>
  <c r="B5997" i="1"/>
  <c r="G5996" i="1"/>
  <c r="F5996" i="1"/>
  <c r="E5996" i="1"/>
  <c r="D5996" i="1"/>
  <c r="C5996" i="1"/>
  <c r="B5996" i="1"/>
  <c r="G5995" i="1"/>
  <c r="F5995" i="1"/>
  <c r="E5995" i="1"/>
  <c r="D5995" i="1"/>
  <c r="C5995" i="1"/>
  <c r="B5995" i="1"/>
  <c r="G5994" i="1"/>
  <c r="F5994" i="1"/>
  <c r="E5994" i="1"/>
  <c r="D5994" i="1"/>
  <c r="C5994" i="1"/>
  <c r="B5994" i="1"/>
  <c r="G5993" i="1"/>
  <c r="F5993" i="1"/>
  <c r="E5993" i="1"/>
  <c r="D5993" i="1"/>
  <c r="C5993" i="1"/>
  <c r="B5993" i="1"/>
  <c r="G5992" i="1"/>
  <c r="F5992" i="1"/>
  <c r="E5992" i="1"/>
  <c r="D5992" i="1"/>
  <c r="C5992" i="1"/>
  <c r="B5992" i="1"/>
  <c r="G5991" i="1"/>
  <c r="F5991" i="1"/>
  <c r="E5991" i="1"/>
  <c r="D5991" i="1"/>
  <c r="C5991" i="1"/>
  <c r="B5991" i="1"/>
  <c r="G5990" i="1"/>
  <c r="F5990" i="1"/>
  <c r="E5990" i="1"/>
  <c r="D5990" i="1"/>
  <c r="C5990" i="1"/>
  <c r="B5990" i="1"/>
  <c r="G5989" i="1"/>
  <c r="F5989" i="1"/>
  <c r="E5989" i="1"/>
  <c r="D5989" i="1"/>
  <c r="C5989" i="1"/>
  <c r="B5989" i="1"/>
  <c r="G5988" i="1"/>
  <c r="F5988" i="1"/>
  <c r="E5988" i="1"/>
  <c r="D5988" i="1"/>
  <c r="C5988" i="1"/>
  <c r="B5988" i="1"/>
  <c r="G5987" i="1"/>
  <c r="F5987" i="1"/>
  <c r="E5987" i="1"/>
  <c r="D5987" i="1"/>
  <c r="C5987" i="1"/>
  <c r="B5987" i="1"/>
  <c r="G5986" i="1"/>
  <c r="F5986" i="1"/>
  <c r="E5986" i="1"/>
  <c r="D5986" i="1"/>
  <c r="C5986" i="1"/>
  <c r="B5986" i="1"/>
  <c r="G5985" i="1"/>
  <c r="F5985" i="1"/>
  <c r="E5985" i="1"/>
  <c r="D5985" i="1"/>
  <c r="C5985" i="1"/>
  <c r="B5985" i="1"/>
  <c r="G5984" i="1"/>
  <c r="F5984" i="1"/>
  <c r="E5984" i="1"/>
  <c r="D5984" i="1"/>
  <c r="C5984" i="1"/>
  <c r="B5984" i="1"/>
  <c r="G5983" i="1"/>
  <c r="F5983" i="1"/>
  <c r="E5983" i="1"/>
  <c r="D5983" i="1"/>
  <c r="C5983" i="1"/>
  <c r="B5983" i="1"/>
  <c r="G5982" i="1"/>
  <c r="F5982" i="1"/>
  <c r="E5982" i="1"/>
  <c r="D5982" i="1"/>
  <c r="C5982" i="1"/>
  <c r="B5982" i="1"/>
  <c r="G5981" i="1"/>
  <c r="F5981" i="1"/>
  <c r="E5981" i="1"/>
  <c r="D5981" i="1"/>
  <c r="C5981" i="1"/>
  <c r="B5981" i="1"/>
  <c r="G5980" i="1"/>
  <c r="F5980" i="1"/>
  <c r="E5980" i="1"/>
  <c r="D5980" i="1"/>
  <c r="C5980" i="1"/>
  <c r="B5980" i="1"/>
  <c r="G5979" i="1"/>
  <c r="F5979" i="1"/>
  <c r="E5979" i="1"/>
  <c r="D5979" i="1"/>
  <c r="C5979" i="1"/>
  <c r="B5979" i="1"/>
  <c r="G5978" i="1"/>
  <c r="F5978" i="1"/>
  <c r="E5978" i="1"/>
  <c r="D5978" i="1"/>
  <c r="C5978" i="1"/>
  <c r="B5978" i="1"/>
  <c r="G5977" i="1"/>
  <c r="F5977" i="1"/>
  <c r="E5977" i="1"/>
  <c r="D5977" i="1"/>
  <c r="C5977" i="1"/>
  <c r="B5977" i="1"/>
  <c r="G5976" i="1"/>
  <c r="F5976" i="1"/>
  <c r="E5976" i="1"/>
  <c r="D5976" i="1"/>
  <c r="C5976" i="1"/>
  <c r="B5976" i="1"/>
  <c r="G5975" i="1"/>
  <c r="F5975" i="1"/>
  <c r="E5975" i="1"/>
  <c r="D5975" i="1"/>
  <c r="C5975" i="1"/>
  <c r="B5975" i="1"/>
  <c r="G5974" i="1"/>
  <c r="F5974" i="1"/>
  <c r="E5974" i="1"/>
  <c r="D5974" i="1"/>
  <c r="C5974" i="1"/>
  <c r="B5974" i="1"/>
  <c r="G5973" i="1"/>
  <c r="F5973" i="1"/>
  <c r="E5973" i="1"/>
  <c r="D5973" i="1"/>
  <c r="C5973" i="1"/>
  <c r="B5973" i="1"/>
  <c r="G5972" i="1"/>
  <c r="F5972" i="1"/>
  <c r="E5972" i="1"/>
  <c r="D5972" i="1"/>
  <c r="C5972" i="1"/>
  <c r="B5972" i="1"/>
  <c r="G5971" i="1"/>
  <c r="F5971" i="1"/>
  <c r="E5971" i="1"/>
  <c r="D5971" i="1"/>
  <c r="C5971" i="1"/>
  <c r="B5971" i="1"/>
  <c r="G5970" i="1"/>
  <c r="F5970" i="1"/>
  <c r="E5970" i="1"/>
  <c r="D5970" i="1"/>
  <c r="C5970" i="1"/>
  <c r="B5970" i="1"/>
  <c r="G5969" i="1"/>
  <c r="F5969" i="1"/>
  <c r="E5969" i="1"/>
  <c r="D5969" i="1"/>
  <c r="C5969" i="1"/>
  <c r="B5969" i="1"/>
  <c r="G5968" i="1"/>
  <c r="F5968" i="1"/>
  <c r="E5968" i="1"/>
  <c r="D5968" i="1"/>
  <c r="C5968" i="1"/>
  <c r="B5968" i="1"/>
  <c r="G5967" i="1"/>
  <c r="F5967" i="1"/>
  <c r="E5967" i="1"/>
  <c r="D5967" i="1"/>
  <c r="C5967" i="1"/>
  <c r="B5967" i="1"/>
  <c r="G5966" i="1"/>
  <c r="F5966" i="1"/>
  <c r="E5966" i="1"/>
  <c r="D5966" i="1"/>
  <c r="C5966" i="1"/>
  <c r="B5966" i="1"/>
  <c r="G5965" i="1"/>
  <c r="F5965" i="1"/>
  <c r="E5965" i="1"/>
  <c r="D5965" i="1"/>
  <c r="C5965" i="1"/>
  <c r="B5965" i="1"/>
  <c r="G5964" i="1"/>
  <c r="F5964" i="1"/>
  <c r="E5964" i="1"/>
  <c r="D5964" i="1"/>
  <c r="C5964" i="1"/>
  <c r="B5964" i="1"/>
  <c r="G5963" i="1"/>
  <c r="F5963" i="1"/>
  <c r="E5963" i="1"/>
  <c r="D5963" i="1"/>
  <c r="C5963" i="1"/>
  <c r="B5963" i="1"/>
  <c r="G5962" i="1"/>
  <c r="F5962" i="1"/>
  <c r="E5962" i="1"/>
  <c r="D5962" i="1"/>
  <c r="C5962" i="1"/>
  <c r="B5962" i="1"/>
  <c r="G5961" i="1"/>
  <c r="F5961" i="1"/>
  <c r="E5961" i="1"/>
  <c r="D5961" i="1"/>
  <c r="C5961" i="1"/>
  <c r="B5961" i="1"/>
  <c r="G5960" i="1"/>
  <c r="F5960" i="1"/>
  <c r="E5960" i="1"/>
  <c r="D5960" i="1"/>
  <c r="C5960" i="1"/>
  <c r="B5960" i="1"/>
  <c r="G5959" i="1"/>
  <c r="F5959" i="1"/>
  <c r="E5959" i="1"/>
  <c r="D5959" i="1"/>
  <c r="C5959" i="1"/>
  <c r="B5959" i="1"/>
  <c r="G5958" i="1"/>
  <c r="F5958" i="1"/>
  <c r="E5958" i="1"/>
  <c r="D5958" i="1"/>
  <c r="C5958" i="1"/>
  <c r="B5958" i="1"/>
  <c r="G5957" i="1"/>
  <c r="F5957" i="1"/>
  <c r="E5957" i="1"/>
  <c r="D5957" i="1"/>
  <c r="C5957" i="1"/>
  <c r="B5957" i="1"/>
  <c r="G5956" i="1"/>
  <c r="F5956" i="1"/>
  <c r="E5956" i="1"/>
  <c r="D5956" i="1"/>
  <c r="C5956" i="1"/>
  <c r="B5956" i="1"/>
  <c r="G5955" i="1"/>
  <c r="F5955" i="1"/>
  <c r="E5955" i="1"/>
  <c r="D5955" i="1"/>
  <c r="C5955" i="1"/>
  <c r="B5955" i="1"/>
  <c r="G5954" i="1"/>
  <c r="F5954" i="1"/>
  <c r="E5954" i="1"/>
  <c r="D5954" i="1"/>
  <c r="C5954" i="1"/>
  <c r="B5954" i="1"/>
  <c r="G5953" i="1"/>
  <c r="F5953" i="1"/>
  <c r="E5953" i="1"/>
  <c r="D5953" i="1"/>
  <c r="C5953" i="1"/>
  <c r="B5953" i="1"/>
  <c r="G5952" i="1"/>
  <c r="F5952" i="1"/>
  <c r="E5952" i="1"/>
  <c r="D5952" i="1"/>
  <c r="C5952" i="1"/>
  <c r="B5952" i="1"/>
  <c r="G5951" i="1"/>
  <c r="F5951" i="1"/>
  <c r="E5951" i="1"/>
  <c r="D5951" i="1"/>
  <c r="C5951" i="1"/>
  <c r="B5951" i="1"/>
  <c r="G5950" i="1"/>
  <c r="F5950" i="1"/>
  <c r="E5950" i="1"/>
  <c r="D5950" i="1"/>
  <c r="C5950" i="1"/>
  <c r="B5950" i="1"/>
  <c r="G5949" i="1"/>
  <c r="F5949" i="1"/>
  <c r="E5949" i="1"/>
  <c r="D5949" i="1"/>
  <c r="C5949" i="1"/>
  <c r="B5949" i="1"/>
  <c r="G5948" i="1"/>
  <c r="F5948" i="1"/>
  <c r="E5948" i="1"/>
  <c r="D5948" i="1"/>
  <c r="C5948" i="1"/>
  <c r="B5948" i="1"/>
  <c r="G5947" i="1"/>
  <c r="F5947" i="1"/>
  <c r="E5947" i="1"/>
  <c r="D5947" i="1"/>
  <c r="C5947" i="1"/>
  <c r="B5947" i="1"/>
  <c r="G5946" i="1"/>
  <c r="F5946" i="1"/>
  <c r="E5946" i="1"/>
  <c r="D5946" i="1"/>
  <c r="C5946" i="1"/>
  <c r="B5946" i="1"/>
  <c r="G5945" i="1"/>
  <c r="F5945" i="1"/>
  <c r="E5945" i="1"/>
  <c r="D5945" i="1"/>
  <c r="C5945" i="1"/>
  <c r="B5945" i="1"/>
  <c r="G5944" i="1"/>
  <c r="F5944" i="1"/>
  <c r="E5944" i="1"/>
  <c r="D5944" i="1"/>
  <c r="C5944" i="1"/>
  <c r="B5944" i="1"/>
  <c r="G5943" i="1"/>
  <c r="F5943" i="1"/>
  <c r="E5943" i="1"/>
  <c r="D5943" i="1"/>
  <c r="C5943" i="1"/>
  <c r="B5943" i="1"/>
  <c r="G5942" i="1"/>
  <c r="F5942" i="1"/>
  <c r="E5942" i="1"/>
  <c r="D5942" i="1"/>
  <c r="C5942" i="1"/>
  <c r="B5942" i="1"/>
  <c r="G5941" i="1"/>
  <c r="F5941" i="1"/>
  <c r="E5941" i="1"/>
  <c r="D5941" i="1"/>
  <c r="C5941" i="1"/>
  <c r="B5941" i="1"/>
  <c r="G5940" i="1"/>
  <c r="F5940" i="1"/>
  <c r="E5940" i="1"/>
  <c r="D5940" i="1"/>
  <c r="C5940" i="1"/>
  <c r="B5940" i="1"/>
  <c r="G5939" i="1"/>
  <c r="F5939" i="1"/>
  <c r="E5939" i="1"/>
  <c r="D5939" i="1"/>
  <c r="C5939" i="1"/>
  <c r="B5939" i="1"/>
  <c r="G5938" i="1"/>
  <c r="F5938" i="1"/>
  <c r="E5938" i="1"/>
  <c r="D5938" i="1"/>
  <c r="C5938" i="1"/>
  <c r="B5938" i="1"/>
  <c r="G5937" i="1"/>
  <c r="F5937" i="1"/>
  <c r="E5937" i="1"/>
  <c r="D5937" i="1"/>
  <c r="C5937" i="1"/>
  <c r="B5937" i="1"/>
  <c r="F5936" i="1"/>
  <c r="E5936" i="1"/>
  <c r="D5936" i="1"/>
  <c r="C5936" i="1"/>
  <c r="B5936" i="1"/>
  <c r="G5935" i="1"/>
  <c r="F5935" i="1"/>
  <c r="E5935" i="1"/>
  <c r="D5935" i="1"/>
  <c r="C5935" i="1"/>
  <c r="B5935" i="1"/>
  <c r="G5934" i="1"/>
  <c r="F5934" i="1"/>
  <c r="E5934" i="1"/>
  <c r="D5934" i="1"/>
  <c r="C5934" i="1"/>
  <c r="B5934" i="1"/>
  <c r="G5933" i="1"/>
  <c r="F5933" i="1"/>
  <c r="E5933" i="1"/>
  <c r="D5933" i="1"/>
  <c r="C5933" i="1"/>
  <c r="B5933" i="1"/>
  <c r="G5932" i="1"/>
  <c r="F5932" i="1"/>
  <c r="E5932" i="1"/>
  <c r="D5932" i="1"/>
  <c r="C5932" i="1"/>
  <c r="B5932" i="1"/>
  <c r="G5931" i="1"/>
  <c r="F5931" i="1"/>
  <c r="E5931" i="1"/>
  <c r="D5931" i="1"/>
  <c r="C5931" i="1"/>
  <c r="B5931" i="1"/>
  <c r="G5930" i="1"/>
  <c r="F5930" i="1"/>
  <c r="E5930" i="1"/>
  <c r="D5930" i="1"/>
  <c r="C5930" i="1"/>
  <c r="B5930" i="1"/>
  <c r="G5929" i="1"/>
  <c r="F5929" i="1"/>
  <c r="E5929" i="1"/>
  <c r="D5929" i="1"/>
  <c r="C5929" i="1"/>
  <c r="B5929" i="1"/>
  <c r="G5928" i="1"/>
  <c r="F5928" i="1"/>
  <c r="E5928" i="1"/>
  <c r="D5928" i="1"/>
  <c r="C5928" i="1"/>
  <c r="B5928" i="1"/>
  <c r="G5927" i="1"/>
  <c r="F5927" i="1"/>
  <c r="E5927" i="1"/>
  <c r="D5927" i="1"/>
  <c r="C5927" i="1"/>
  <c r="B5927" i="1"/>
  <c r="G5926" i="1"/>
  <c r="F5926" i="1"/>
  <c r="E5926" i="1"/>
  <c r="D5926" i="1"/>
  <c r="C5926" i="1"/>
  <c r="B5926" i="1"/>
  <c r="G5925" i="1"/>
  <c r="F5925" i="1"/>
  <c r="E5925" i="1"/>
  <c r="D5925" i="1"/>
  <c r="C5925" i="1"/>
  <c r="B5925" i="1"/>
  <c r="G5924" i="1"/>
  <c r="F5924" i="1"/>
  <c r="E5924" i="1"/>
  <c r="D5924" i="1"/>
  <c r="C5924" i="1"/>
  <c r="B5924" i="1"/>
  <c r="F5923" i="1"/>
  <c r="E5923" i="1"/>
  <c r="D5923" i="1"/>
  <c r="C5923" i="1"/>
  <c r="B5923" i="1"/>
  <c r="G5922" i="1"/>
  <c r="F5922" i="1"/>
  <c r="E5922" i="1"/>
  <c r="D5922" i="1"/>
  <c r="C5922" i="1"/>
  <c r="B5922" i="1"/>
  <c r="G5921" i="1"/>
  <c r="F5921" i="1"/>
  <c r="E5921" i="1"/>
  <c r="D5921" i="1"/>
  <c r="C5921" i="1"/>
  <c r="B5921" i="1"/>
  <c r="G5920" i="1"/>
  <c r="F5920" i="1"/>
  <c r="E5920" i="1"/>
  <c r="D5920" i="1"/>
  <c r="C5920" i="1"/>
  <c r="B5920" i="1"/>
  <c r="G5919" i="1"/>
  <c r="F5919" i="1"/>
  <c r="E5919" i="1"/>
  <c r="D5919" i="1"/>
  <c r="C5919" i="1"/>
  <c r="B5919" i="1"/>
  <c r="G5918" i="1"/>
  <c r="F5918" i="1"/>
  <c r="E5918" i="1"/>
  <c r="D5918" i="1"/>
  <c r="C5918" i="1"/>
  <c r="B5918" i="1"/>
  <c r="G5917" i="1"/>
  <c r="F5917" i="1"/>
  <c r="E5917" i="1"/>
  <c r="D5917" i="1"/>
  <c r="C5917" i="1"/>
  <c r="B5917" i="1"/>
  <c r="G5916" i="1"/>
  <c r="F5916" i="1"/>
  <c r="E5916" i="1"/>
  <c r="D5916" i="1"/>
  <c r="C5916" i="1"/>
  <c r="B5916" i="1"/>
  <c r="G5915" i="1"/>
  <c r="F5915" i="1"/>
  <c r="E5915" i="1"/>
  <c r="D5915" i="1"/>
  <c r="C5915" i="1"/>
  <c r="B5915" i="1"/>
  <c r="G5914" i="1"/>
  <c r="F5914" i="1"/>
  <c r="E5914" i="1"/>
  <c r="D5914" i="1"/>
  <c r="C5914" i="1"/>
  <c r="B5914" i="1"/>
  <c r="G5913" i="1"/>
  <c r="F5913" i="1"/>
  <c r="E5913" i="1"/>
  <c r="D5913" i="1"/>
  <c r="C5913" i="1"/>
  <c r="B5913" i="1"/>
  <c r="G5912" i="1"/>
  <c r="F5912" i="1"/>
  <c r="E5912" i="1"/>
  <c r="D5912" i="1"/>
  <c r="C5912" i="1"/>
  <c r="B5912" i="1"/>
  <c r="G5911" i="1"/>
  <c r="F5911" i="1"/>
  <c r="E5911" i="1"/>
  <c r="D5911" i="1"/>
  <c r="C5911" i="1"/>
  <c r="B5911" i="1"/>
  <c r="G5910" i="1"/>
  <c r="F5910" i="1"/>
  <c r="E5910" i="1"/>
  <c r="D5910" i="1"/>
  <c r="C5910" i="1"/>
  <c r="B5910" i="1"/>
  <c r="G5909" i="1"/>
  <c r="F5909" i="1"/>
  <c r="E5909" i="1"/>
  <c r="D5909" i="1"/>
  <c r="C5909" i="1"/>
  <c r="B5909" i="1"/>
  <c r="G5908" i="1"/>
  <c r="F5908" i="1"/>
  <c r="E5908" i="1"/>
  <c r="D5908" i="1"/>
  <c r="C5908" i="1"/>
  <c r="B5908" i="1"/>
  <c r="G5907" i="1"/>
  <c r="F5907" i="1"/>
  <c r="E5907" i="1"/>
  <c r="D5907" i="1"/>
  <c r="C5907" i="1"/>
  <c r="B5907" i="1"/>
  <c r="G5906" i="1"/>
  <c r="F5906" i="1"/>
  <c r="E5906" i="1"/>
  <c r="D5906" i="1"/>
  <c r="C5906" i="1"/>
  <c r="B5906" i="1"/>
  <c r="G5905" i="1"/>
  <c r="F5905" i="1"/>
  <c r="E5905" i="1"/>
  <c r="D5905" i="1"/>
  <c r="C5905" i="1"/>
  <c r="B5905" i="1"/>
  <c r="G5904" i="1"/>
  <c r="F5904" i="1"/>
  <c r="E5904" i="1"/>
  <c r="D5904" i="1"/>
  <c r="C5904" i="1"/>
  <c r="B5904" i="1"/>
  <c r="G5903" i="1"/>
  <c r="F5903" i="1"/>
  <c r="E5903" i="1"/>
  <c r="D5903" i="1"/>
  <c r="C5903" i="1"/>
  <c r="B5903" i="1"/>
  <c r="G5902" i="1"/>
  <c r="F5902" i="1"/>
  <c r="E5902" i="1"/>
  <c r="D5902" i="1"/>
  <c r="C5902" i="1"/>
  <c r="B5902" i="1"/>
  <c r="G5901" i="1"/>
  <c r="F5901" i="1"/>
  <c r="E5901" i="1"/>
  <c r="D5901" i="1"/>
  <c r="C5901" i="1"/>
  <c r="B5901" i="1"/>
  <c r="G5900" i="1"/>
  <c r="F5900" i="1"/>
  <c r="E5900" i="1"/>
  <c r="D5900" i="1"/>
  <c r="C5900" i="1"/>
  <c r="B5900" i="1"/>
  <c r="G5899" i="1"/>
  <c r="F5899" i="1"/>
  <c r="E5899" i="1"/>
  <c r="D5899" i="1"/>
  <c r="C5899" i="1"/>
  <c r="B5899" i="1"/>
  <c r="G5898" i="1"/>
  <c r="F5898" i="1"/>
  <c r="E5898" i="1"/>
  <c r="D5898" i="1"/>
  <c r="C5898" i="1"/>
  <c r="B5898" i="1"/>
  <c r="G5897" i="1"/>
  <c r="F5897" i="1"/>
  <c r="E5897" i="1"/>
  <c r="D5897" i="1"/>
  <c r="C5897" i="1"/>
  <c r="B5897" i="1"/>
  <c r="G5896" i="1"/>
  <c r="F5896" i="1"/>
  <c r="E5896" i="1"/>
  <c r="D5896" i="1"/>
  <c r="C5896" i="1"/>
  <c r="B5896" i="1"/>
  <c r="G5895" i="1"/>
  <c r="F5895" i="1"/>
  <c r="E5895" i="1"/>
  <c r="D5895" i="1"/>
  <c r="C5895" i="1"/>
  <c r="B5895" i="1"/>
  <c r="G5894" i="1"/>
  <c r="F5894" i="1"/>
  <c r="E5894" i="1"/>
  <c r="D5894" i="1"/>
  <c r="C5894" i="1"/>
  <c r="B5894" i="1"/>
  <c r="G5893" i="1"/>
  <c r="F5893" i="1"/>
  <c r="E5893" i="1"/>
  <c r="D5893" i="1"/>
  <c r="C5893" i="1"/>
  <c r="B5893" i="1"/>
  <c r="G5892" i="1"/>
  <c r="F5892" i="1"/>
  <c r="E5892" i="1"/>
  <c r="D5892" i="1"/>
  <c r="C5892" i="1"/>
  <c r="B5892" i="1"/>
  <c r="G5891" i="1"/>
  <c r="F5891" i="1"/>
  <c r="E5891" i="1"/>
  <c r="D5891" i="1"/>
  <c r="C5891" i="1"/>
  <c r="B5891" i="1"/>
  <c r="G5890" i="1"/>
  <c r="F5890" i="1"/>
  <c r="E5890" i="1"/>
  <c r="D5890" i="1"/>
  <c r="C5890" i="1"/>
  <c r="B5890" i="1"/>
  <c r="G5889" i="1"/>
  <c r="F5889" i="1"/>
  <c r="E5889" i="1"/>
  <c r="D5889" i="1"/>
  <c r="C5889" i="1"/>
  <c r="B5889" i="1"/>
  <c r="G5888" i="1"/>
  <c r="F5888" i="1"/>
  <c r="E5888" i="1"/>
  <c r="D5888" i="1"/>
  <c r="C5888" i="1"/>
  <c r="B5888" i="1"/>
  <c r="G5887" i="1"/>
  <c r="F5887" i="1"/>
  <c r="E5887" i="1"/>
  <c r="D5887" i="1"/>
  <c r="C5887" i="1"/>
  <c r="B5887" i="1"/>
  <c r="G5886" i="1"/>
  <c r="F5886" i="1"/>
  <c r="E5886" i="1"/>
  <c r="D5886" i="1"/>
  <c r="C5886" i="1"/>
  <c r="B5886" i="1"/>
  <c r="G5885" i="1"/>
  <c r="F5885" i="1"/>
  <c r="E5885" i="1"/>
  <c r="D5885" i="1"/>
  <c r="C5885" i="1"/>
  <c r="B5885" i="1"/>
  <c r="G5884" i="1"/>
  <c r="F5884" i="1"/>
  <c r="E5884" i="1"/>
  <c r="D5884" i="1"/>
  <c r="C5884" i="1"/>
  <c r="B5884" i="1"/>
  <c r="G5883" i="1"/>
  <c r="F5883" i="1"/>
  <c r="E5883" i="1"/>
  <c r="D5883" i="1"/>
  <c r="C5883" i="1"/>
  <c r="B5883" i="1"/>
  <c r="G5882" i="1"/>
  <c r="F5882" i="1"/>
  <c r="E5882" i="1"/>
  <c r="D5882" i="1"/>
  <c r="C5882" i="1"/>
  <c r="B5882" i="1"/>
  <c r="G5881" i="1"/>
  <c r="F5881" i="1"/>
  <c r="E5881" i="1"/>
  <c r="D5881" i="1"/>
  <c r="C5881" i="1"/>
  <c r="B5881" i="1"/>
  <c r="G5880" i="1"/>
  <c r="F5880" i="1"/>
  <c r="E5880" i="1"/>
  <c r="D5880" i="1"/>
  <c r="C5880" i="1"/>
  <c r="B5880" i="1"/>
  <c r="G5879" i="1"/>
  <c r="F5879" i="1"/>
  <c r="E5879" i="1"/>
  <c r="D5879" i="1"/>
  <c r="C5879" i="1"/>
  <c r="B5879" i="1"/>
  <c r="G5878" i="1"/>
  <c r="F5878" i="1"/>
  <c r="E5878" i="1"/>
  <c r="D5878" i="1"/>
  <c r="C5878" i="1"/>
  <c r="B5878" i="1"/>
  <c r="G5877" i="1"/>
  <c r="F5877" i="1"/>
  <c r="E5877" i="1"/>
  <c r="D5877" i="1"/>
  <c r="C5877" i="1"/>
  <c r="B5877" i="1"/>
  <c r="G5876" i="1"/>
  <c r="F5876" i="1"/>
  <c r="E5876" i="1"/>
  <c r="D5876" i="1"/>
  <c r="C5876" i="1"/>
  <c r="B5876" i="1"/>
  <c r="G5875" i="1"/>
  <c r="F5875" i="1"/>
  <c r="E5875" i="1"/>
  <c r="D5875" i="1"/>
  <c r="C5875" i="1"/>
  <c r="B5875" i="1"/>
  <c r="G5874" i="1"/>
  <c r="F5874" i="1"/>
  <c r="E5874" i="1"/>
  <c r="D5874" i="1"/>
  <c r="C5874" i="1"/>
  <c r="B5874" i="1"/>
  <c r="G5873" i="1"/>
  <c r="F5873" i="1"/>
  <c r="E5873" i="1"/>
  <c r="D5873" i="1"/>
  <c r="C5873" i="1"/>
  <c r="B5873" i="1"/>
  <c r="G5872" i="1"/>
  <c r="F5872" i="1"/>
  <c r="E5872" i="1"/>
  <c r="D5872" i="1"/>
  <c r="C5872" i="1"/>
  <c r="B5872" i="1"/>
  <c r="G5871" i="1"/>
  <c r="F5871" i="1"/>
  <c r="E5871" i="1"/>
  <c r="D5871" i="1"/>
  <c r="C5871" i="1"/>
  <c r="B5871" i="1"/>
  <c r="G5870" i="1"/>
  <c r="F5870" i="1"/>
  <c r="E5870" i="1"/>
  <c r="D5870" i="1"/>
  <c r="C5870" i="1"/>
  <c r="B5870" i="1"/>
  <c r="G5869" i="1"/>
  <c r="F5869" i="1"/>
  <c r="E5869" i="1"/>
  <c r="D5869" i="1"/>
  <c r="C5869" i="1"/>
  <c r="B5869" i="1"/>
  <c r="G5868" i="1"/>
  <c r="F5868" i="1"/>
  <c r="E5868" i="1"/>
  <c r="D5868" i="1"/>
  <c r="C5868" i="1"/>
  <c r="B5868" i="1"/>
  <c r="G5867" i="1"/>
  <c r="F5867" i="1"/>
  <c r="E5867" i="1"/>
  <c r="D5867" i="1"/>
  <c r="C5867" i="1"/>
  <c r="B5867" i="1"/>
  <c r="G5866" i="1"/>
  <c r="F5866" i="1"/>
  <c r="E5866" i="1"/>
  <c r="D5866" i="1"/>
  <c r="C5866" i="1"/>
  <c r="B5866" i="1"/>
  <c r="G5865" i="1"/>
  <c r="F5865" i="1"/>
  <c r="E5865" i="1"/>
  <c r="D5865" i="1"/>
  <c r="C5865" i="1"/>
  <c r="B5865" i="1"/>
  <c r="G5864" i="1"/>
  <c r="F5864" i="1"/>
  <c r="E5864" i="1"/>
  <c r="D5864" i="1"/>
  <c r="C5864" i="1"/>
  <c r="B5864" i="1"/>
  <c r="G5863" i="1"/>
  <c r="F5863" i="1"/>
  <c r="E5863" i="1"/>
  <c r="D5863" i="1"/>
  <c r="C5863" i="1"/>
  <c r="B5863" i="1"/>
  <c r="G5862" i="1"/>
  <c r="F5862" i="1"/>
  <c r="E5862" i="1"/>
  <c r="D5862" i="1"/>
  <c r="C5862" i="1"/>
  <c r="B5862" i="1"/>
  <c r="G5861" i="1"/>
  <c r="F5861" i="1"/>
  <c r="E5861" i="1"/>
  <c r="D5861" i="1"/>
  <c r="C5861" i="1"/>
  <c r="B5861" i="1"/>
  <c r="G5860" i="1"/>
  <c r="F5860" i="1"/>
  <c r="E5860" i="1"/>
  <c r="D5860" i="1"/>
  <c r="C5860" i="1"/>
  <c r="B5860" i="1"/>
  <c r="G5859" i="1"/>
  <c r="F5859" i="1"/>
  <c r="E5859" i="1"/>
  <c r="D5859" i="1"/>
  <c r="C5859" i="1"/>
  <c r="B5859" i="1"/>
  <c r="G5858" i="1"/>
  <c r="F5858" i="1"/>
  <c r="E5858" i="1"/>
  <c r="D5858" i="1"/>
  <c r="C5858" i="1"/>
  <c r="B5858" i="1"/>
  <c r="G5857" i="1"/>
  <c r="F5857" i="1"/>
  <c r="E5857" i="1"/>
  <c r="D5857" i="1"/>
  <c r="C5857" i="1"/>
  <c r="B5857" i="1"/>
  <c r="G5856" i="1"/>
  <c r="F5856" i="1"/>
  <c r="E5856" i="1"/>
  <c r="D5856" i="1"/>
  <c r="C5856" i="1"/>
  <c r="B5856" i="1"/>
  <c r="G5855" i="1"/>
  <c r="F5855" i="1"/>
  <c r="E5855" i="1"/>
  <c r="D5855" i="1"/>
  <c r="C5855" i="1"/>
  <c r="B5855" i="1"/>
  <c r="G5854" i="1"/>
  <c r="F5854" i="1"/>
  <c r="E5854" i="1"/>
  <c r="D5854" i="1"/>
  <c r="C5854" i="1"/>
  <c r="B5854" i="1"/>
  <c r="G5853" i="1"/>
  <c r="F5853" i="1"/>
  <c r="E5853" i="1"/>
  <c r="D5853" i="1"/>
  <c r="C5853" i="1"/>
  <c r="B5853" i="1"/>
  <c r="G5852" i="1"/>
  <c r="F5852" i="1"/>
  <c r="E5852" i="1"/>
  <c r="D5852" i="1"/>
  <c r="C5852" i="1"/>
  <c r="B5852" i="1"/>
  <c r="G5851" i="1"/>
  <c r="F5851" i="1"/>
  <c r="E5851" i="1"/>
  <c r="D5851" i="1"/>
  <c r="C5851" i="1"/>
  <c r="B5851" i="1"/>
  <c r="G5850" i="1"/>
  <c r="F5850" i="1"/>
  <c r="E5850" i="1"/>
  <c r="D5850" i="1"/>
  <c r="C5850" i="1"/>
  <c r="B5850" i="1"/>
  <c r="G5849" i="1"/>
  <c r="F5849" i="1"/>
  <c r="E5849" i="1"/>
  <c r="D5849" i="1"/>
  <c r="C5849" i="1"/>
  <c r="B5849" i="1"/>
  <c r="F5848" i="1"/>
  <c r="E5848" i="1"/>
  <c r="D5848" i="1"/>
  <c r="C5848" i="1"/>
  <c r="B5848" i="1"/>
  <c r="G5847" i="1"/>
  <c r="F5847" i="1"/>
  <c r="E5847" i="1"/>
  <c r="D5847" i="1"/>
  <c r="C5847" i="1"/>
  <c r="B5847" i="1"/>
  <c r="G5846" i="1"/>
  <c r="F5846" i="1"/>
  <c r="E5846" i="1"/>
  <c r="D5846" i="1"/>
  <c r="C5846" i="1"/>
  <c r="B5846" i="1"/>
  <c r="G5845" i="1"/>
  <c r="F5845" i="1"/>
  <c r="E5845" i="1"/>
  <c r="D5845" i="1"/>
  <c r="C5845" i="1"/>
  <c r="B5845" i="1"/>
  <c r="G5844" i="1"/>
  <c r="F5844" i="1"/>
  <c r="E5844" i="1"/>
  <c r="D5844" i="1"/>
  <c r="C5844" i="1"/>
  <c r="B5844" i="1"/>
  <c r="G5843" i="1"/>
  <c r="F5843" i="1"/>
  <c r="E5843" i="1"/>
  <c r="D5843" i="1"/>
  <c r="C5843" i="1"/>
  <c r="B5843" i="1"/>
  <c r="G5842" i="1"/>
  <c r="F5842" i="1"/>
  <c r="E5842" i="1"/>
  <c r="D5842" i="1"/>
  <c r="C5842" i="1"/>
  <c r="B5842" i="1"/>
  <c r="G5841" i="1"/>
  <c r="F5841" i="1"/>
  <c r="E5841" i="1"/>
  <c r="D5841" i="1"/>
  <c r="C5841" i="1"/>
  <c r="B5841" i="1"/>
  <c r="G5840" i="1"/>
  <c r="F5840" i="1"/>
  <c r="E5840" i="1"/>
  <c r="D5840" i="1"/>
  <c r="C5840" i="1"/>
  <c r="B5840" i="1"/>
  <c r="G5839" i="1"/>
  <c r="F5839" i="1"/>
  <c r="E5839" i="1"/>
  <c r="D5839" i="1"/>
  <c r="C5839" i="1"/>
  <c r="B5839" i="1"/>
  <c r="G5838" i="1"/>
  <c r="F5838" i="1"/>
  <c r="E5838" i="1"/>
  <c r="D5838" i="1"/>
  <c r="C5838" i="1"/>
  <c r="B5838" i="1"/>
  <c r="G5837" i="1"/>
  <c r="F5837" i="1"/>
  <c r="E5837" i="1"/>
  <c r="D5837" i="1"/>
  <c r="C5837" i="1"/>
  <c r="B5837" i="1"/>
  <c r="G5836" i="1"/>
  <c r="F5836" i="1"/>
  <c r="E5836" i="1"/>
  <c r="D5836" i="1"/>
  <c r="C5836" i="1"/>
  <c r="B5836" i="1"/>
  <c r="G5835" i="1"/>
  <c r="F5835" i="1"/>
  <c r="E5835" i="1"/>
  <c r="D5835" i="1"/>
  <c r="C5835" i="1"/>
  <c r="B5835" i="1"/>
  <c r="G5834" i="1"/>
  <c r="F5834" i="1"/>
  <c r="E5834" i="1"/>
  <c r="D5834" i="1"/>
  <c r="C5834" i="1"/>
  <c r="B5834" i="1"/>
  <c r="G5833" i="1"/>
  <c r="F5833" i="1"/>
  <c r="E5833" i="1"/>
  <c r="D5833" i="1"/>
  <c r="C5833" i="1"/>
  <c r="B5833" i="1"/>
  <c r="G5832" i="1"/>
  <c r="F5832" i="1"/>
  <c r="E5832" i="1"/>
  <c r="D5832" i="1"/>
  <c r="C5832" i="1"/>
  <c r="B5832" i="1"/>
  <c r="G5831" i="1"/>
  <c r="F5831" i="1"/>
  <c r="E5831" i="1"/>
  <c r="D5831" i="1"/>
  <c r="C5831" i="1"/>
  <c r="B5831" i="1"/>
  <c r="G5830" i="1"/>
  <c r="F5830" i="1"/>
  <c r="E5830" i="1"/>
  <c r="D5830" i="1"/>
  <c r="C5830" i="1"/>
  <c r="B5830" i="1"/>
  <c r="G5829" i="1"/>
  <c r="F5829" i="1"/>
  <c r="E5829" i="1"/>
  <c r="D5829" i="1"/>
  <c r="C5829" i="1"/>
  <c r="B5829" i="1"/>
  <c r="G5828" i="1"/>
  <c r="F5828" i="1"/>
  <c r="E5828" i="1"/>
  <c r="D5828" i="1"/>
  <c r="C5828" i="1"/>
  <c r="B5828" i="1"/>
  <c r="G5827" i="1"/>
  <c r="F5827" i="1"/>
  <c r="E5827" i="1"/>
  <c r="D5827" i="1"/>
  <c r="C5827" i="1"/>
  <c r="B5827" i="1"/>
  <c r="G5826" i="1"/>
  <c r="F5826" i="1"/>
  <c r="E5826" i="1"/>
  <c r="D5826" i="1"/>
  <c r="C5826" i="1"/>
  <c r="B5826" i="1"/>
  <c r="G5825" i="1"/>
  <c r="F5825" i="1"/>
  <c r="E5825" i="1"/>
  <c r="D5825" i="1"/>
  <c r="C5825" i="1"/>
  <c r="B5825" i="1"/>
  <c r="G5824" i="1"/>
  <c r="F5824" i="1"/>
  <c r="E5824" i="1"/>
  <c r="D5824" i="1"/>
  <c r="C5824" i="1"/>
  <c r="B5824" i="1"/>
  <c r="G5823" i="1"/>
  <c r="F5823" i="1"/>
  <c r="E5823" i="1"/>
  <c r="D5823" i="1"/>
  <c r="C5823" i="1"/>
  <c r="B5823" i="1"/>
  <c r="G5822" i="1"/>
  <c r="F5822" i="1"/>
  <c r="E5822" i="1"/>
  <c r="D5822" i="1"/>
  <c r="C5822" i="1"/>
  <c r="B5822" i="1"/>
  <c r="G5821" i="1"/>
  <c r="F5821" i="1"/>
  <c r="E5821" i="1"/>
  <c r="D5821" i="1"/>
  <c r="C5821" i="1"/>
  <c r="B5821" i="1"/>
  <c r="G5820" i="1"/>
  <c r="F5820" i="1"/>
  <c r="E5820" i="1"/>
  <c r="D5820" i="1"/>
  <c r="C5820" i="1"/>
  <c r="B5820" i="1"/>
  <c r="G5819" i="1"/>
  <c r="F5819" i="1"/>
  <c r="E5819" i="1"/>
  <c r="D5819" i="1"/>
  <c r="C5819" i="1"/>
  <c r="B5819" i="1"/>
  <c r="G5818" i="1"/>
  <c r="F5818" i="1"/>
  <c r="E5818" i="1"/>
  <c r="D5818" i="1"/>
  <c r="C5818" i="1"/>
  <c r="B5818" i="1"/>
  <c r="G5817" i="1"/>
  <c r="F5817" i="1"/>
  <c r="E5817" i="1"/>
  <c r="D5817" i="1"/>
  <c r="C5817" i="1"/>
  <c r="B5817" i="1"/>
  <c r="G5816" i="1"/>
  <c r="F5816" i="1"/>
  <c r="E5816" i="1"/>
  <c r="D5816" i="1"/>
  <c r="C5816" i="1"/>
  <c r="B5816" i="1"/>
  <c r="G5815" i="1"/>
  <c r="F5815" i="1"/>
  <c r="E5815" i="1"/>
  <c r="D5815" i="1"/>
  <c r="C5815" i="1"/>
  <c r="B5815" i="1"/>
  <c r="G5814" i="1"/>
  <c r="F5814" i="1"/>
  <c r="E5814" i="1"/>
  <c r="D5814" i="1"/>
  <c r="C5814" i="1"/>
  <c r="B5814" i="1"/>
  <c r="G5813" i="1"/>
  <c r="F5813" i="1"/>
  <c r="E5813" i="1"/>
  <c r="D5813" i="1"/>
  <c r="C5813" i="1"/>
  <c r="B5813" i="1"/>
  <c r="G5812" i="1"/>
  <c r="F5812" i="1"/>
  <c r="E5812" i="1"/>
  <c r="D5812" i="1"/>
  <c r="C5812" i="1"/>
  <c r="B5812" i="1"/>
  <c r="G5811" i="1"/>
  <c r="F5811" i="1"/>
  <c r="E5811" i="1"/>
  <c r="D5811" i="1"/>
  <c r="C5811" i="1"/>
  <c r="B5811" i="1"/>
  <c r="G5810" i="1"/>
  <c r="F5810" i="1"/>
  <c r="E5810" i="1"/>
  <c r="D5810" i="1"/>
  <c r="C5810" i="1"/>
  <c r="B5810" i="1"/>
  <c r="G5809" i="1"/>
  <c r="F5809" i="1"/>
  <c r="E5809" i="1"/>
  <c r="D5809" i="1"/>
  <c r="C5809" i="1"/>
  <c r="B5809" i="1"/>
  <c r="G5808" i="1"/>
  <c r="F5808" i="1"/>
  <c r="E5808" i="1"/>
  <c r="D5808" i="1"/>
  <c r="C5808" i="1"/>
  <c r="B5808" i="1"/>
  <c r="G5807" i="1"/>
  <c r="F5807" i="1"/>
  <c r="E5807" i="1"/>
  <c r="D5807" i="1"/>
  <c r="C5807" i="1"/>
  <c r="B5807" i="1"/>
  <c r="G5806" i="1"/>
  <c r="F5806" i="1"/>
  <c r="E5806" i="1"/>
  <c r="D5806" i="1"/>
  <c r="C5806" i="1"/>
  <c r="B5806" i="1"/>
  <c r="G5805" i="1"/>
  <c r="F5805" i="1"/>
  <c r="E5805" i="1"/>
  <c r="D5805" i="1"/>
  <c r="C5805" i="1"/>
  <c r="B5805" i="1"/>
  <c r="G5804" i="1"/>
  <c r="F5804" i="1"/>
  <c r="E5804" i="1"/>
  <c r="D5804" i="1"/>
  <c r="C5804" i="1"/>
  <c r="B5804" i="1"/>
  <c r="G5803" i="1"/>
  <c r="F5803" i="1"/>
  <c r="E5803" i="1"/>
  <c r="D5803" i="1"/>
  <c r="C5803" i="1"/>
  <c r="B5803" i="1"/>
  <c r="G5802" i="1"/>
  <c r="F5802" i="1"/>
  <c r="E5802" i="1"/>
  <c r="D5802" i="1"/>
  <c r="C5802" i="1"/>
  <c r="B5802" i="1"/>
  <c r="G5801" i="1"/>
  <c r="F5801" i="1"/>
  <c r="E5801" i="1"/>
  <c r="D5801" i="1"/>
  <c r="C5801" i="1"/>
  <c r="B5801" i="1"/>
  <c r="G5800" i="1"/>
  <c r="F5800" i="1"/>
  <c r="E5800" i="1"/>
  <c r="D5800" i="1"/>
  <c r="C5800" i="1"/>
  <c r="B5800" i="1"/>
  <c r="G5799" i="1"/>
  <c r="F5799" i="1"/>
  <c r="E5799" i="1"/>
  <c r="D5799" i="1"/>
  <c r="C5799" i="1"/>
  <c r="B5799" i="1"/>
  <c r="G5798" i="1"/>
  <c r="F5798" i="1"/>
  <c r="E5798" i="1"/>
  <c r="D5798" i="1"/>
  <c r="C5798" i="1"/>
  <c r="B5798" i="1"/>
  <c r="G5797" i="1"/>
  <c r="F5797" i="1"/>
  <c r="E5797" i="1"/>
  <c r="D5797" i="1"/>
  <c r="C5797" i="1"/>
  <c r="B5797" i="1"/>
  <c r="G5796" i="1"/>
  <c r="F5796" i="1"/>
  <c r="E5796" i="1"/>
  <c r="D5796" i="1"/>
  <c r="C5796" i="1"/>
  <c r="B5796" i="1"/>
  <c r="G5795" i="1"/>
  <c r="F5795" i="1"/>
  <c r="E5795" i="1"/>
  <c r="D5795" i="1"/>
  <c r="C5795" i="1"/>
  <c r="B5795" i="1"/>
  <c r="G5794" i="1"/>
  <c r="F5794" i="1"/>
  <c r="E5794" i="1"/>
  <c r="D5794" i="1"/>
  <c r="C5794" i="1"/>
  <c r="B5794" i="1"/>
  <c r="G5793" i="1"/>
  <c r="F5793" i="1"/>
  <c r="E5793" i="1"/>
  <c r="D5793" i="1"/>
  <c r="C5793" i="1"/>
  <c r="B5793" i="1"/>
  <c r="G5792" i="1"/>
  <c r="F5792" i="1"/>
  <c r="E5792" i="1"/>
  <c r="D5792" i="1"/>
  <c r="C5792" i="1"/>
  <c r="B5792" i="1"/>
  <c r="G5791" i="1"/>
  <c r="F5791" i="1"/>
  <c r="E5791" i="1"/>
  <c r="D5791" i="1"/>
  <c r="C5791" i="1"/>
  <c r="B5791" i="1"/>
  <c r="G5790" i="1"/>
  <c r="F5790" i="1"/>
  <c r="E5790" i="1"/>
  <c r="D5790" i="1"/>
  <c r="C5790" i="1"/>
  <c r="B5790" i="1"/>
  <c r="G5789" i="1"/>
  <c r="F5789" i="1"/>
  <c r="E5789" i="1"/>
  <c r="D5789" i="1"/>
  <c r="C5789" i="1"/>
  <c r="B5789" i="1"/>
  <c r="G5788" i="1"/>
  <c r="F5788" i="1"/>
  <c r="E5788" i="1"/>
  <c r="D5788" i="1"/>
  <c r="C5788" i="1"/>
  <c r="B5788" i="1"/>
  <c r="G5787" i="1"/>
  <c r="F5787" i="1"/>
  <c r="E5787" i="1"/>
  <c r="D5787" i="1"/>
  <c r="C5787" i="1"/>
  <c r="B5787" i="1"/>
  <c r="G5786" i="1"/>
  <c r="F5786" i="1"/>
  <c r="E5786" i="1"/>
  <c r="D5786" i="1"/>
  <c r="C5786" i="1"/>
  <c r="B5786" i="1"/>
  <c r="G5785" i="1"/>
  <c r="F5785" i="1"/>
  <c r="E5785" i="1"/>
  <c r="D5785" i="1"/>
  <c r="C5785" i="1"/>
  <c r="B5785" i="1"/>
  <c r="G5784" i="1"/>
  <c r="F5784" i="1"/>
  <c r="E5784" i="1"/>
  <c r="D5784" i="1"/>
  <c r="C5784" i="1"/>
  <c r="B5784" i="1"/>
  <c r="G5783" i="1"/>
  <c r="F5783" i="1"/>
  <c r="E5783" i="1"/>
  <c r="D5783" i="1"/>
  <c r="C5783" i="1"/>
  <c r="B5783" i="1"/>
  <c r="G5782" i="1"/>
  <c r="F5782" i="1"/>
  <c r="E5782" i="1"/>
  <c r="D5782" i="1"/>
  <c r="C5782" i="1"/>
  <c r="B5782" i="1"/>
  <c r="G5781" i="1"/>
  <c r="F5781" i="1"/>
  <c r="E5781" i="1"/>
  <c r="D5781" i="1"/>
  <c r="C5781" i="1"/>
  <c r="B5781" i="1"/>
  <c r="G5780" i="1"/>
  <c r="F5780" i="1"/>
  <c r="E5780" i="1"/>
  <c r="D5780" i="1"/>
  <c r="C5780" i="1"/>
  <c r="B5780" i="1"/>
  <c r="G5779" i="1"/>
  <c r="F5779" i="1"/>
  <c r="E5779" i="1"/>
  <c r="D5779" i="1"/>
  <c r="C5779" i="1"/>
  <c r="B5779" i="1"/>
  <c r="G5778" i="1"/>
  <c r="F5778" i="1"/>
  <c r="E5778" i="1"/>
  <c r="D5778" i="1"/>
  <c r="C5778" i="1"/>
  <c r="B5778" i="1"/>
  <c r="G5777" i="1"/>
  <c r="F5777" i="1"/>
  <c r="E5777" i="1"/>
  <c r="D5777" i="1"/>
  <c r="C5777" i="1"/>
  <c r="B5777" i="1"/>
  <c r="G5776" i="1"/>
  <c r="F5776" i="1"/>
  <c r="E5776" i="1"/>
  <c r="D5776" i="1"/>
  <c r="C5776" i="1"/>
  <c r="B5776" i="1"/>
  <c r="G5775" i="1"/>
  <c r="F5775" i="1"/>
  <c r="E5775" i="1"/>
  <c r="D5775" i="1"/>
  <c r="C5775" i="1"/>
  <c r="B5775" i="1"/>
  <c r="G5774" i="1"/>
  <c r="F5774" i="1"/>
  <c r="E5774" i="1"/>
  <c r="D5774" i="1"/>
  <c r="C5774" i="1"/>
  <c r="B5774" i="1"/>
  <c r="G5773" i="1"/>
  <c r="F5773" i="1"/>
  <c r="E5773" i="1"/>
  <c r="D5773" i="1"/>
  <c r="C5773" i="1"/>
  <c r="B5773" i="1"/>
  <c r="G5772" i="1"/>
  <c r="F5772" i="1"/>
  <c r="E5772" i="1"/>
  <c r="D5772" i="1"/>
  <c r="C5772" i="1"/>
  <c r="B5772" i="1"/>
  <c r="G5771" i="1"/>
  <c r="F5771" i="1"/>
  <c r="E5771" i="1"/>
  <c r="D5771" i="1"/>
  <c r="C5771" i="1"/>
  <c r="B5771" i="1"/>
  <c r="G5770" i="1"/>
  <c r="F5770" i="1"/>
  <c r="E5770" i="1"/>
  <c r="D5770" i="1"/>
  <c r="C5770" i="1"/>
  <c r="B5770" i="1"/>
  <c r="G5769" i="1"/>
  <c r="F5769" i="1"/>
  <c r="E5769" i="1"/>
  <c r="D5769" i="1"/>
  <c r="C5769" i="1"/>
  <c r="B5769" i="1"/>
  <c r="G5768" i="1"/>
  <c r="F5768" i="1"/>
  <c r="E5768" i="1"/>
  <c r="D5768" i="1"/>
  <c r="C5768" i="1"/>
  <c r="B5768" i="1"/>
  <c r="G5767" i="1"/>
  <c r="F5767" i="1"/>
  <c r="E5767" i="1"/>
  <c r="D5767" i="1"/>
  <c r="C5767" i="1"/>
  <c r="B5767" i="1"/>
  <c r="G5766" i="1"/>
  <c r="F5766" i="1"/>
  <c r="E5766" i="1"/>
  <c r="D5766" i="1"/>
  <c r="C5766" i="1"/>
  <c r="B5766" i="1"/>
  <c r="G5765" i="1"/>
  <c r="F5765" i="1"/>
  <c r="E5765" i="1"/>
  <c r="D5765" i="1"/>
  <c r="C5765" i="1"/>
  <c r="B5765" i="1"/>
  <c r="G5764" i="1"/>
  <c r="F5764" i="1"/>
  <c r="E5764" i="1"/>
  <c r="D5764" i="1"/>
  <c r="C5764" i="1"/>
  <c r="B5764" i="1"/>
  <c r="G5763" i="1"/>
  <c r="F5763" i="1"/>
  <c r="E5763" i="1"/>
  <c r="D5763" i="1"/>
  <c r="C5763" i="1"/>
  <c r="B5763" i="1"/>
  <c r="G5762" i="1"/>
  <c r="F5762" i="1"/>
  <c r="E5762" i="1"/>
  <c r="D5762" i="1"/>
  <c r="C5762" i="1"/>
  <c r="B5762" i="1"/>
  <c r="G5761" i="1"/>
  <c r="F5761" i="1"/>
  <c r="E5761" i="1"/>
  <c r="D5761" i="1"/>
  <c r="C5761" i="1"/>
  <c r="B5761" i="1"/>
  <c r="G5760" i="1"/>
  <c r="F5760" i="1"/>
  <c r="E5760" i="1"/>
  <c r="D5760" i="1"/>
  <c r="C5760" i="1"/>
  <c r="B5760" i="1"/>
  <c r="G5759" i="1"/>
  <c r="F5759" i="1"/>
  <c r="E5759" i="1"/>
  <c r="D5759" i="1"/>
  <c r="C5759" i="1"/>
  <c r="B5759" i="1"/>
  <c r="G5758" i="1"/>
  <c r="F5758" i="1"/>
  <c r="E5758" i="1"/>
  <c r="D5758" i="1"/>
  <c r="C5758" i="1"/>
  <c r="B5758" i="1"/>
  <c r="G5757" i="1"/>
  <c r="F5757" i="1"/>
  <c r="E5757" i="1"/>
  <c r="D5757" i="1"/>
  <c r="C5757" i="1"/>
  <c r="B5757" i="1"/>
  <c r="G5756" i="1"/>
  <c r="F5756" i="1"/>
  <c r="E5756" i="1"/>
  <c r="D5756" i="1"/>
  <c r="C5756" i="1"/>
  <c r="B5756" i="1"/>
  <c r="G5755" i="1"/>
  <c r="F5755" i="1"/>
  <c r="E5755" i="1"/>
  <c r="D5755" i="1"/>
  <c r="C5755" i="1"/>
  <c r="B5755" i="1"/>
  <c r="G5754" i="1"/>
  <c r="F5754" i="1"/>
  <c r="E5754" i="1"/>
  <c r="D5754" i="1"/>
  <c r="C5754" i="1"/>
  <c r="B5754" i="1"/>
  <c r="G5753" i="1"/>
  <c r="F5753" i="1"/>
  <c r="E5753" i="1"/>
  <c r="D5753" i="1"/>
  <c r="C5753" i="1"/>
  <c r="B5753" i="1"/>
  <c r="G5752" i="1"/>
  <c r="F5752" i="1"/>
  <c r="E5752" i="1"/>
  <c r="D5752" i="1"/>
  <c r="C5752" i="1"/>
  <c r="B5752" i="1"/>
  <c r="G5751" i="1"/>
  <c r="F5751" i="1"/>
  <c r="E5751" i="1"/>
  <c r="D5751" i="1"/>
  <c r="C5751" i="1"/>
  <c r="B5751" i="1"/>
  <c r="G5750" i="1"/>
  <c r="F5750" i="1"/>
  <c r="E5750" i="1"/>
  <c r="D5750" i="1"/>
  <c r="C5750" i="1"/>
  <c r="B5750" i="1"/>
  <c r="G5749" i="1"/>
  <c r="F5749" i="1"/>
  <c r="E5749" i="1"/>
  <c r="D5749" i="1"/>
  <c r="C5749" i="1"/>
  <c r="B5749" i="1"/>
  <c r="G5748" i="1"/>
  <c r="F5748" i="1"/>
  <c r="E5748" i="1"/>
  <c r="D5748" i="1"/>
  <c r="C5748" i="1"/>
  <c r="B5748" i="1"/>
  <c r="G5747" i="1"/>
  <c r="F5747" i="1"/>
  <c r="E5747" i="1"/>
  <c r="D5747" i="1"/>
  <c r="C5747" i="1"/>
  <c r="B5747" i="1"/>
  <c r="G5746" i="1"/>
  <c r="F5746" i="1"/>
  <c r="E5746" i="1"/>
  <c r="D5746" i="1"/>
  <c r="C5746" i="1"/>
  <c r="B5746" i="1"/>
  <c r="G5745" i="1"/>
  <c r="F5745" i="1"/>
  <c r="E5745" i="1"/>
  <c r="D5745" i="1"/>
  <c r="C5745" i="1"/>
  <c r="B5745" i="1"/>
  <c r="G5744" i="1"/>
  <c r="F5744" i="1"/>
  <c r="E5744" i="1"/>
  <c r="D5744" i="1"/>
  <c r="C5744" i="1"/>
  <c r="B5744" i="1"/>
  <c r="G5743" i="1"/>
  <c r="F5743" i="1"/>
  <c r="E5743" i="1"/>
  <c r="D5743" i="1"/>
  <c r="C5743" i="1"/>
  <c r="B5743" i="1"/>
  <c r="G5742" i="1"/>
  <c r="F5742" i="1"/>
  <c r="E5742" i="1"/>
  <c r="D5742" i="1"/>
  <c r="C5742" i="1"/>
  <c r="B5742" i="1"/>
  <c r="G5741" i="1"/>
  <c r="F5741" i="1"/>
  <c r="E5741" i="1"/>
  <c r="D5741" i="1"/>
  <c r="C5741" i="1"/>
  <c r="B5741" i="1"/>
  <c r="G5740" i="1"/>
  <c r="F5740" i="1"/>
  <c r="E5740" i="1"/>
  <c r="D5740" i="1"/>
  <c r="C5740" i="1"/>
  <c r="B5740" i="1"/>
  <c r="G5739" i="1"/>
  <c r="F5739" i="1"/>
  <c r="E5739" i="1"/>
  <c r="D5739" i="1"/>
  <c r="C5739" i="1"/>
  <c r="B5739" i="1"/>
  <c r="G5738" i="1"/>
  <c r="F5738" i="1"/>
  <c r="E5738" i="1"/>
  <c r="D5738" i="1"/>
  <c r="C5738" i="1"/>
  <c r="B5738" i="1"/>
  <c r="G5737" i="1"/>
  <c r="F5737" i="1"/>
  <c r="E5737" i="1"/>
  <c r="D5737" i="1"/>
  <c r="C5737" i="1"/>
  <c r="B5737" i="1"/>
  <c r="G5736" i="1"/>
  <c r="F5736" i="1"/>
  <c r="E5736" i="1"/>
  <c r="D5736" i="1"/>
  <c r="C5736" i="1"/>
  <c r="B5736" i="1"/>
  <c r="G5735" i="1"/>
  <c r="F5735" i="1"/>
  <c r="E5735" i="1"/>
  <c r="D5735" i="1"/>
  <c r="C5735" i="1"/>
  <c r="B5735" i="1"/>
  <c r="G5734" i="1"/>
  <c r="F5734" i="1"/>
  <c r="E5734" i="1"/>
  <c r="D5734" i="1"/>
  <c r="C5734" i="1"/>
  <c r="B5734" i="1"/>
  <c r="G5733" i="1"/>
  <c r="F5733" i="1"/>
  <c r="E5733" i="1"/>
  <c r="D5733" i="1"/>
  <c r="C5733" i="1"/>
  <c r="B5733" i="1"/>
  <c r="G5732" i="1"/>
  <c r="F5732" i="1"/>
  <c r="E5732" i="1"/>
  <c r="D5732" i="1"/>
  <c r="C5732" i="1"/>
  <c r="B5732" i="1"/>
  <c r="G5731" i="1"/>
  <c r="F5731" i="1"/>
  <c r="E5731" i="1"/>
  <c r="D5731" i="1"/>
  <c r="C5731" i="1"/>
  <c r="B5731" i="1"/>
  <c r="G5730" i="1"/>
  <c r="F5730" i="1"/>
  <c r="E5730" i="1"/>
  <c r="D5730" i="1"/>
  <c r="C5730" i="1"/>
  <c r="B5730" i="1"/>
  <c r="G5729" i="1"/>
  <c r="F5729" i="1"/>
  <c r="E5729" i="1"/>
  <c r="D5729" i="1"/>
  <c r="C5729" i="1"/>
  <c r="B5729" i="1"/>
  <c r="G5728" i="1"/>
  <c r="F5728" i="1"/>
  <c r="E5728" i="1"/>
  <c r="D5728" i="1"/>
  <c r="C5728" i="1"/>
  <c r="B5728" i="1"/>
  <c r="G5727" i="1"/>
  <c r="F5727" i="1"/>
  <c r="E5727" i="1"/>
  <c r="D5727" i="1"/>
  <c r="C5727" i="1"/>
  <c r="B5727" i="1"/>
  <c r="G5726" i="1"/>
  <c r="F5726" i="1"/>
  <c r="E5726" i="1"/>
  <c r="D5726" i="1"/>
  <c r="C5726" i="1"/>
  <c r="B5726" i="1"/>
  <c r="G5725" i="1"/>
  <c r="F5725" i="1"/>
  <c r="E5725" i="1"/>
  <c r="D5725" i="1"/>
  <c r="C5725" i="1"/>
  <c r="B5725" i="1"/>
  <c r="G5724" i="1"/>
  <c r="F5724" i="1"/>
  <c r="E5724" i="1"/>
  <c r="D5724" i="1"/>
  <c r="C5724" i="1"/>
  <c r="B5724" i="1"/>
  <c r="G5723" i="1"/>
  <c r="F5723" i="1"/>
  <c r="E5723" i="1"/>
  <c r="D5723" i="1"/>
  <c r="C5723" i="1"/>
  <c r="B5723" i="1"/>
  <c r="G5722" i="1"/>
  <c r="F5722" i="1"/>
  <c r="E5722" i="1"/>
  <c r="D5722" i="1"/>
  <c r="C5722" i="1"/>
  <c r="B5722" i="1"/>
  <c r="G5721" i="1"/>
  <c r="F5721" i="1"/>
  <c r="E5721" i="1"/>
  <c r="D5721" i="1"/>
  <c r="C5721" i="1"/>
  <c r="B5721" i="1"/>
  <c r="G5720" i="1"/>
  <c r="F5720" i="1"/>
  <c r="E5720" i="1"/>
  <c r="D5720" i="1"/>
  <c r="C5720" i="1"/>
  <c r="B5720" i="1"/>
  <c r="G5719" i="1"/>
  <c r="F5719" i="1"/>
  <c r="E5719" i="1"/>
  <c r="D5719" i="1"/>
  <c r="C5719" i="1"/>
  <c r="B5719" i="1"/>
  <c r="G5718" i="1"/>
  <c r="F5718" i="1"/>
  <c r="E5718" i="1"/>
  <c r="D5718" i="1"/>
  <c r="C5718" i="1"/>
  <c r="B5718" i="1"/>
  <c r="G5717" i="1"/>
  <c r="F5717" i="1"/>
  <c r="E5717" i="1"/>
  <c r="D5717" i="1"/>
  <c r="C5717" i="1"/>
  <c r="B5717" i="1"/>
  <c r="G5716" i="1"/>
  <c r="F5716" i="1"/>
  <c r="E5716" i="1"/>
  <c r="D5716" i="1"/>
  <c r="C5716" i="1"/>
  <c r="B5716" i="1"/>
  <c r="G5715" i="1"/>
  <c r="F5715" i="1"/>
  <c r="E5715" i="1"/>
  <c r="D5715" i="1"/>
  <c r="C5715" i="1"/>
  <c r="B5715" i="1"/>
  <c r="G5714" i="1"/>
  <c r="F5714" i="1"/>
  <c r="E5714" i="1"/>
  <c r="D5714" i="1"/>
  <c r="C5714" i="1"/>
  <c r="B5714" i="1"/>
  <c r="G5713" i="1"/>
  <c r="F5713" i="1"/>
  <c r="E5713" i="1"/>
  <c r="D5713" i="1"/>
  <c r="C5713" i="1"/>
  <c r="B5713" i="1"/>
  <c r="G5712" i="1"/>
  <c r="F5712" i="1"/>
  <c r="E5712" i="1"/>
  <c r="D5712" i="1"/>
  <c r="C5712" i="1"/>
  <c r="B5712" i="1"/>
  <c r="G5711" i="1"/>
  <c r="F5711" i="1"/>
  <c r="E5711" i="1"/>
  <c r="D5711" i="1"/>
  <c r="C5711" i="1"/>
  <c r="B5711" i="1"/>
  <c r="G5710" i="1"/>
  <c r="F5710" i="1"/>
  <c r="E5710" i="1"/>
  <c r="D5710" i="1"/>
  <c r="C5710" i="1"/>
  <c r="B5710" i="1"/>
  <c r="G5709" i="1"/>
  <c r="F5709" i="1"/>
  <c r="E5709" i="1"/>
  <c r="D5709" i="1"/>
  <c r="C5709" i="1"/>
  <c r="B5709" i="1"/>
  <c r="G5708" i="1"/>
  <c r="F5708" i="1"/>
  <c r="E5708" i="1"/>
  <c r="D5708" i="1"/>
  <c r="C5708" i="1"/>
  <c r="B5708" i="1"/>
  <c r="G5707" i="1"/>
  <c r="F5707" i="1"/>
  <c r="E5707" i="1"/>
  <c r="D5707" i="1"/>
  <c r="C5707" i="1"/>
  <c r="B5707" i="1"/>
  <c r="G5706" i="1"/>
  <c r="F5706" i="1"/>
  <c r="E5706" i="1"/>
  <c r="D5706" i="1"/>
  <c r="C5706" i="1"/>
  <c r="B5706" i="1"/>
  <c r="G5705" i="1"/>
  <c r="F5705" i="1"/>
  <c r="E5705" i="1"/>
  <c r="D5705" i="1"/>
  <c r="C5705" i="1"/>
  <c r="B5705" i="1"/>
  <c r="G5704" i="1"/>
  <c r="F5704" i="1"/>
  <c r="E5704" i="1"/>
  <c r="D5704" i="1"/>
  <c r="C5704" i="1"/>
  <c r="B5704" i="1"/>
  <c r="G5703" i="1"/>
  <c r="F5703" i="1"/>
  <c r="E5703" i="1"/>
  <c r="D5703" i="1"/>
  <c r="C5703" i="1"/>
  <c r="B5703" i="1"/>
  <c r="G5702" i="1"/>
  <c r="F5702" i="1"/>
  <c r="E5702" i="1"/>
  <c r="D5702" i="1"/>
  <c r="C5702" i="1"/>
  <c r="B5702" i="1"/>
  <c r="G5701" i="1"/>
  <c r="F5701" i="1"/>
  <c r="E5701" i="1"/>
  <c r="D5701" i="1"/>
  <c r="C5701" i="1"/>
  <c r="B5701" i="1"/>
  <c r="G5700" i="1"/>
  <c r="F5700" i="1"/>
  <c r="E5700" i="1"/>
  <c r="D5700" i="1"/>
  <c r="C5700" i="1"/>
  <c r="B5700" i="1"/>
  <c r="G5699" i="1"/>
  <c r="F5699" i="1"/>
  <c r="E5699" i="1"/>
  <c r="D5699" i="1"/>
  <c r="C5699" i="1"/>
  <c r="B5699" i="1"/>
  <c r="G5698" i="1"/>
  <c r="F5698" i="1"/>
  <c r="E5698" i="1"/>
  <c r="D5698" i="1"/>
  <c r="C5698" i="1"/>
  <c r="B5698" i="1"/>
  <c r="G5697" i="1"/>
  <c r="F5697" i="1"/>
  <c r="E5697" i="1"/>
  <c r="D5697" i="1"/>
  <c r="C5697" i="1"/>
  <c r="B5697" i="1"/>
  <c r="G5696" i="1"/>
  <c r="F5696" i="1"/>
  <c r="E5696" i="1"/>
  <c r="D5696" i="1"/>
  <c r="C5696" i="1"/>
  <c r="B5696" i="1"/>
  <c r="G5695" i="1"/>
  <c r="F5695" i="1"/>
  <c r="E5695" i="1"/>
  <c r="D5695" i="1"/>
  <c r="C5695" i="1"/>
  <c r="B5695" i="1"/>
  <c r="G5694" i="1"/>
  <c r="F5694" i="1"/>
  <c r="E5694" i="1"/>
  <c r="D5694" i="1"/>
  <c r="C5694" i="1"/>
  <c r="B5694" i="1"/>
  <c r="G5693" i="1"/>
  <c r="F5693" i="1"/>
  <c r="E5693" i="1"/>
  <c r="D5693" i="1"/>
  <c r="C5693" i="1"/>
  <c r="B5693" i="1"/>
  <c r="G5692" i="1"/>
  <c r="F5692" i="1"/>
  <c r="E5692" i="1"/>
  <c r="D5692" i="1"/>
  <c r="C5692" i="1"/>
  <c r="B5692" i="1"/>
  <c r="G5691" i="1"/>
  <c r="F5691" i="1"/>
  <c r="E5691" i="1"/>
  <c r="D5691" i="1"/>
  <c r="C5691" i="1"/>
  <c r="B5691" i="1"/>
  <c r="G5690" i="1"/>
  <c r="F5690" i="1"/>
  <c r="E5690" i="1"/>
  <c r="D5690" i="1"/>
  <c r="C5690" i="1"/>
  <c r="B5690" i="1"/>
  <c r="G5689" i="1"/>
  <c r="F5689" i="1"/>
  <c r="E5689" i="1"/>
  <c r="D5689" i="1"/>
  <c r="C5689" i="1"/>
  <c r="B5689" i="1"/>
  <c r="G5688" i="1"/>
  <c r="F5688" i="1"/>
  <c r="E5688" i="1"/>
  <c r="D5688" i="1"/>
  <c r="C5688" i="1"/>
  <c r="B5688" i="1"/>
  <c r="G5687" i="1"/>
  <c r="F5687" i="1"/>
  <c r="E5687" i="1"/>
  <c r="D5687" i="1"/>
  <c r="C5687" i="1"/>
  <c r="B5687" i="1"/>
  <c r="G5686" i="1"/>
  <c r="F5686" i="1"/>
  <c r="E5686" i="1"/>
  <c r="D5686" i="1"/>
  <c r="C5686" i="1"/>
  <c r="B5686" i="1"/>
  <c r="G5685" i="1"/>
  <c r="F5685" i="1"/>
  <c r="E5685" i="1"/>
  <c r="D5685" i="1"/>
  <c r="C5685" i="1"/>
  <c r="B5685" i="1"/>
  <c r="G5684" i="1"/>
  <c r="F5684" i="1"/>
  <c r="E5684" i="1"/>
  <c r="D5684" i="1"/>
  <c r="C5684" i="1"/>
  <c r="B5684" i="1"/>
  <c r="G5683" i="1"/>
  <c r="F5683" i="1"/>
  <c r="E5683" i="1"/>
  <c r="D5683" i="1"/>
  <c r="C5683" i="1"/>
  <c r="B5683" i="1"/>
  <c r="G5682" i="1"/>
  <c r="F5682" i="1"/>
  <c r="E5682" i="1"/>
  <c r="D5682" i="1"/>
  <c r="C5682" i="1"/>
  <c r="B5682" i="1"/>
  <c r="G5681" i="1"/>
  <c r="F5681" i="1"/>
  <c r="E5681" i="1"/>
  <c r="D5681" i="1"/>
  <c r="C5681" i="1"/>
  <c r="B5681" i="1"/>
  <c r="G5680" i="1"/>
  <c r="F5680" i="1"/>
  <c r="E5680" i="1"/>
  <c r="D5680" i="1"/>
  <c r="C5680" i="1"/>
  <c r="B5680" i="1"/>
  <c r="G5679" i="1"/>
  <c r="F5679" i="1"/>
  <c r="E5679" i="1"/>
  <c r="D5679" i="1"/>
  <c r="C5679" i="1"/>
  <c r="B5679" i="1"/>
  <c r="G5678" i="1"/>
  <c r="F5678" i="1"/>
  <c r="E5678" i="1"/>
  <c r="D5678" i="1"/>
  <c r="C5678" i="1"/>
  <c r="B5678" i="1"/>
  <c r="G5677" i="1"/>
  <c r="F5677" i="1"/>
  <c r="E5677" i="1"/>
  <c r="D5677" i="1"/>
  <c r="C5677" i="1"/>
  <c r="B5677" i="1"/>
  <c r="G5676" i="1"/>
  <c r="F5676" i="1"/>
  <c r="E5676" i="1"/>
  <c r="D5676" i="1"/>
  <c r="C5676" i="1"/>
  <c r="B5676" i="1"/>
  <c r="G5675" i="1"/>
  <c r="F5675" i="1"/>
  <c r="E5675" i="1"/>
  <c r="D5675" i="1"/>
  <c r="C5675" i="1"/>
  <c r="B5675" i="1"/>
  <c r="G5674" i="1"/>
  <c r="F5674" i="1"/>
  <c r="E5674" i="1"/>
  <c r="D5674" i="1"/>
  <c r="C5674" i="1"/>
  <c r="B5674" i="1"/>
  <c r="G5673" i="1"/>
  <c r="F5673" i="1"/>
  <c r="E5673" i="1"/>
  <c r="D5673" i="1"/>
  <c r="C5673" i="1"/>
  <c r="B5673" i="1"/>
  <c r="G5672" i="1"/>
  <c r="F5672" i="1"/>
  <c r="E5672" i="1"/>
  <c r="D5672" i="1"/>
  <c r="C5672" i="1"/>
  <c r="B5672" i="1"/>
  <c r="G5671" i="1"/>
  <c r="F5671" i="1"/>
  <c r="E5671" i="1"/>
  <c r="D5671" i="1"/>
  <c r="C5671" i="1"/>
  <c r="B5671" i="1"/>
  <c r="G5670" i="1"/>
  <c r="F5670" i="1"/>
  <c r="E5670" i="1"/>
  <c r="D5670" i="1"/>
  <c r="C5670" i="1"/>
  <c r="B5670" i="1"/>
  <c r="G5669" i="1"/>
  <c r="F5669" i="1"/>
  <c r="E5669" i="1"/>
  <c r="D5669" i="1"/>
  <c r="C5669" i="1"/>
  <c r="B5669" i="1"/>
  <c r="G5668" i="1"/>
  <c r="F5668" i="1"/>
  <c r="E5668" i="1"/>
  <c r="D5668" i="1"/>
  <c r="C5668" i="1"/>
  <c r="B5668" i="1"/>
  <c r="G5667" i="1"/>
  <c r="F5667" i="1"/>
  <c r="E5667" i="1"/>
  <c r="D5667" i="1"/>
  <c r="C5667" i="1"/>
  <c r="B5667" i="1"/>
  <c r="G5666" i="1"/>
  <c r="F5666" i="1"/>
  <c r="E5666" i="1"/>
  <c r="D5666" i="1"/>
  <c r="C5666" i="1"/>
  <c r="B5666" i="1"/>
  <c r="G5665" i="1"/>
  <c r="F5665" i="1"/>
  <c r="E5665" i="1"/>
  <c r="D5665" i="1"/>
  <c r="C5665" i="1"/>
  <c r="B5665" i="1"/>
  <c r="G5664" i="1"/>
  <c r="F5664" i="1"/>
  <c r="E5664" i="1"/>
  <c r="D5664" i="1"/>
  <c r="C5664" i="1"/>
  <c r="B5664" i="1"/>
  <c r="G5663" i="1"/>
  <c r="F5663" i="1"/>
  <c r="E5663" i="1"/>
  <c r="D5663" i="1"/>
  <c r="C5663" i="1"/>
  <c r="B5663" i="1"/>
  <c r="G5662" i="1"/>
  <c r="F5662" i="1"/>
  <c r="E5662" i="1"/>
  <c r="D5662" i="1"/>
  <c r="C5662" i="1"/>
  <c r="B5662" i="1"/>
  <c r="G5661" i="1"/>
  <c r="F5661" i="1"/>
  <c r="E5661" i="1"/>
  <c r="D5661" i="1"/>
  <c r="C5661" i="1"/>
  <c r="B5661" i="1"/>
  <c r="G5660" i="1"/>
  <c r="F5660" i="1"/>
  <c r="E5660" i="1"/>
  <c r="D5660" i="1"/>
  <c r="C5660" i="1"/>
  <c r="B5660" i="1"/>
  <c r="G5659" i="1"/>
  <c r="F5659" i="1"/>
  <c r="E5659" i="1"/>
  <c r="D5659" i="1"/>
  <c r="C5659" i="1"/>
  <c r="B5659" i="1"/>
  <c r="G5658" i="1"/>
  <c r="F5658" i="1"/>
  <c r="E5658" i="1"/>
  <c r="D5658" i="1"/>
  <c r="C5658" i="1"/>
  <c r="B5658" i="1"/>
  <c r="G5657" i="1"/>
  <c r="F5657" i="1"/>
  <c r="E5657" i="1"/>
  <c r="D5657" i="1"/>
  <c r="C5657" i="1"/>
  <c r="B5657" i="1"/>
  <c r="G5656" i="1"/>
  <c r="F5656" i="1"/>
  <c r="E5656" i="1"/>
  <c r="D5656" i="1"/>
  <c r="C5656" i="1"/>
  <c r="B5656" i="1"/>
  <c r="G5655" i="1"/>
  <c r="F5655" i="1"/>
  <c r="E5655" i="1"/>
  <c r="D5655" i="1"/>
  <c r="C5655" i="1"/>
  <c r="B5655" i="1"/>
  <c r="G5654" i="1"/>
  <c r="F5654" i="1"/>
  <c r="E5654" i="1"/>
  <c r="D5654" i="1"/>
  <c r="C5654" i="1"/>
  <c r="B5654" i="1"/>
  <c r="G5653" i="1"/>
  <c r="F5653" i="1"/>
  <c r="E5653" i="1"/>
  <c r="D5653" i="1"/>
  <c r="C5653" i="1"/>
  <c r="B5653" i="1"/>
  <c r="G5652" i="1"/>
  <c r="F5652" i="1"/>
  <c r="E5652" i="1"/>
  <c r="D5652" i="1"/>
  <c r="C5652" i="1"/>
  <c r="B5652" i="1"/>
  <c r="G5651" i="1"/>
  <c r="F5651" i="1"/>
  <c r="E5651" i="1"/>
  <c r="D5651" i="1"/>
  <c r="C5651" i="1"/>
  <c r="B5651" i="1"/>
  <c r="G5650" i="1"/>
  <c r="F5650" i="1"/>
  <c r="E5650" i="1"/>
  <c r="D5650" i="1"/>
  <c r="C5650" i="1"/>
  <c r="B5650" i="1"/>
  <c r="G5649" i="1"/>
  <c r="F5649" i="1"/>
  <c r="E5649" i="1"/>
  <c r="D5649" i="1"/>
  <c r="C5649" i="1"/>
  <c r="B5649" i="1"/>
  <c r="G5648" i="1"/>
  <c r="F5648" i="1"/>
  <c r="E5648" i="1"/>
  <c r="D5648" i="1"/>
  <c r="C5648" i="1"/>
  <c r="B5648" i="1"/>
  <c r="G5647" i="1"/>
  <c r="F5647" i="1"/>
  <c r="E5647" i="1"/>
  <c r="D5647" i="1"/>
  <c r="C5647" i="1"/>
  <c r="B5647" i="1"/>
  <c r="G5646" i="1"/>
  <c r="F5646" i="1"/>
  <c r="E5646" i="1"/>
  <c r="D5646" i="1"/>
  <c r="C5646" i="1"/>
  <c r="B5646" i="1"/>
  <c r="G5645" i="1"/>
  <c r="F5645" i="1"/>
  <c r="E5645" i="1"/>
  <c r="D5645" i="1"/>
  <c r="C5645" i="1"/>
  <c r="B5645" i="1"/>
  <c r="G5644" i="1"/>
  <c r="F5644" i="1"/>
  <c r="E5644" i="1"/>
  <c r="D5644" i="1"/>
  <c r="C5644" i="1"/>
  <c r="B5644" i="1"/>
  <c r="G5643" i="1"/>
  <c r="F5643" i="1"/>
  <c r="E5643" i="1"/>
  <c r="D5643" i="1"/>
  <c r="C5643" i="1"/>
  <c r="B5643" i="1"/>
  <c r="G5642" i="1"/>
  <c r="F5642" i="1"/>
  <c r="E5642" i="1"/>
  <c r="D5642" i="1"/>
  <c r="C5642" i="1"/>
  <c r="B5642" i="1"/>
  <c r="G5641" i="1"/>
  <c r="F5641" i="1"/>
  <c r="E5641" i="1"/>
  <c r="D5641" i="1"/>
  <c r="C5641" i="1"/>
  <c r="B5641" i="1"/>
  <c r="G5640" i="1"/>
  <c r="F5640" i="1"/>
  <c r="E5640" i="1"/>
  <c r="D5640" i="1"/>
  <c r="C5640" i="1"/>
  <c r="B5640" i="1"/>
  <c r="G5639" i="1"/>
  <c r="F5639" i="1"/>
  <c r="E5639" i="1"/>
  <c r="D5639" i="1"/>
  <c r="C5639" i="1"/>
  <c r="B5639" i="1"/>
  <c r="G5638" i="1"/>
  <c r="F5638" i="1"/>
  <c r="E5638" i="1"/>
  <c r="D5638" i="1"/>
  <c r="C5638" i="1"/>
  <c r="B5638" i="1"/>
  <c r="G5637" i="1"/>
  <c r="F5637" i="1"/>
  <c r="E5637" i="1"/>
  <c r="D5637" i="1"/>
  <c r="C5637" i="1"/>
  <c r="B5637" i="1"/>
  <c r="G5636" i="1"/>
  <c r="F5636" i="1"/>
  <c r="E5636" i="1"/>
  <c r="D5636" i="1"/>
  <c r="C5636" i="1"/>
  <c r="B5636" i="1"/>
  <c r="G5635" i="1"/>
  <c r="F5635" i="1"/>
  <c r="E5635" i="1"/>
  <c r="D5635" i="1"/>
  <c r="C5635" i="1"/>
  <c r="B5635" i="1"/>
  <c r="G5634" i="1"/>
  <c r="F5634" i="1"/>
  <c r="E5634" i="1"/>
  <c r="D5634" i="1"/>
  <c r="C5634" i="1"/>
  <c r="B5634" i="1"/>
  <c r="G5633" i="1"/>
  <c r="F5633" i="1"/>
  <c r="E5633" i="1"/>
  <c r="D5633" i="1"/>
  <c r="C5633" i="1"/>
  <c r="B5633" i="1"/>
  <c r="G5632" i="1"/>
  <c r="F5632" i="1"/>
  <c r="E5632" i="1"/>
  <c r="D5632" i="1"/>
  <c r="C5632" i="1"/>
  <c r="B5632" i="1"/>
  <c r="G5631" i="1"/>
  <c r="F5631" i="1"/>
  <c r="E5631" i="1"/>
  <c r="D5631" i="1"/>
  <c r="C5631" i="1"/>
  <c r="B5631" i="1"/>
  <c r="G5630" i="1"/>
  <c r="F5630" i="1"/>
  <c r="E5630" i="1"/>
  <c r="D5630" i="1"/>
  <c r="C5630" i="1"/>
  <c r="B5630" i="1"/>
  <c r="G5629" i="1"/>
  <c r="F5629" i="1"/>
  <c r="E5629" i="1"/>
  <c r="D5629" i="1"/>
  <c r="C5629" i="1"/>
  <c r="B5629" i="1"/>
  <c r="G5628" i="1"/>
  <c r="F5628" i="1"/>
  <c r="E5628" i="1"/>
  <c r="D5628" i="1"/>
  <c r="C5628" i="1"/>
  <c r="B5628" i="1"/>
  <c r="G5627" i="1"/>
  <c r="F5627" i="1"/>
  <c r="E5627" i="1"/>
  <c r="D5627" i="1"/>
  <c r="C5627" i="1"/>
  <c r="B5627" i="1"/>
  <c r="G5626" i="1"/>
  <c r="F5626" i="1"/>
  <c r="E5626" i="1"/>
  <c r="D5626" i="1"/>
  <c r="C5626" i="1"/>
  <c r="B5626" i="1"/>
  <c r="G5625" i="1"/>
  <c r="F5625" i="1"/>
  <c r="E5625" i="1"/>
  <c r="D5625" i="1"/>
  <c r="C5625" i="1"/>
  <c r="B5625" i="1"/>
  <c r="G5624" i="1"/>
  <c r="F5624" i="1"/>
  <c r="E5624" i="1"/>
  <c r="D5624" i="1"/>
  <c r="C5624" i="1"/>
  <c r="B5624" i="1"/>
  <c r="G5623" i="1"/>
  <c r="F5623" i="1"/>
  <c r="E5623" i="1"/>
  <c r="D5623" i="1"/>
  <c r="C5623" i="1"/>
  <c r="B5623" i="1"/>
  <c r="G5622" i="1"/>
  <c r="F5622" i="1"/>
  <c r="E5622" i="1"/>
  <c r="D5622" i="1"/>
  <c r="C5622" i="1"/>
  <c r="B5622" i="1"/>
  <c r="G5621" i="1"/>
  <c r="F5621" i="1"/>
  <c r="E5621" i="1"/>
  <c r="D5621" i="1"/>
  <c r="C5621" i="1"/>
  <c r="B5621" i="1"/>
  <c r="G5620" i="1"/>
  <c r="F5620" i="1"/>
  <c r="E5620" i="1"/>
  <c r="D5620" i="1"/>
  <c r="C5620" i="1"/>
  <c r="B5620" i="1"/>
  <c r="G5619" i="1"/>
  <c r="D5619" i="1"/>
  <c r="C5619" i="1"/>
  <c r="B5619" i="1"/>
  <c r="G5618" i="1"/>
  <c r="D5618" i="1"/>
  <c r="C5618" i="1"/>
  <c r="B5618" i="1"/>
  <c r="D5617" i="1"/>
  <c r="C5617" i="1"/>
  <c r="B5617" i="1"/>
  <c r="D5616" i="1"/>
  <c r="C5616" i="1"/>
  <c r="B5616" i="1"/>
  <c r="G5615" i="1"/>
  <c r="F5615" i="1"/>
  <c r="E5615" i="1"/>
  <c r="D5615" i="1"/>
  <c r="C5615" i="1"/>
  <c r="B5615" i="1"/>
  <c r="G5614" i="1"/>
  <c r="F5614" i="1"/>
  <c r="E5614" i="1"/>
  <c r="D5614" i="1"/>
  <c r="C5614" i="1"/>
  <c r="B5614" i="1"/>
  <c r="G5613" i="1"/>
  <c r="F5613" i="1"/>
  <c r="E5613" i="1"/>
  <c r="D5613" i="1"/>
  <c r="C5613" i="1"/>
  <c r="B5613" i="1"/>
  <c r="G5612" i="1"/>
  <c r="F5612" i="1"/>
  <c r="E5612" i="1"/>
  <c r="D5612" i="1"/>
  <c r="C5612" i="1"/>
  <c r="B5612" i="1"/>
  <c r="G5611" i="1"/>
  <c r="F5611" i="1"/>
  <c r="E5611" i="1"/>
  <c r="D5611" i="1"/>
  <c r="C5611" i="1"/>
  <c r="B5611" i="1"/>
  <c r="G5610" i="1"/>
  <c r="F5610" i="1"/>
  <c r="E5610" i="1"/>
  <c r="D5610" i="1"/>
  <c r="C5610" i="1"/>
  <c r="B5610" i="1"/>
  <c r="G5609" i="1"/>
  <c r="F5609" i="1"/>
  <c r="E5609" i="1"/>
  <c r="D5609" i="1"/>
  <c r="C5609" i="1"/>
  <c r="B5609" i="1"/>
  <c r="G5608" i="1"/>
  <c r="F5608" i="1"/>
  <c r="E5608" i="1"/>
  <c r="D5608" i="1"/>
  <c r="C5608" i="1"/>
  <c r="B5608" i="1"/>
  <c r="G5607" i="1"/>
  <c r="F5607" i="1"/>
  <c r="E5607" i="1"/>
  <c r="D5607" i="1"/>
  <c r="C5607" i="1"/>
  <c r="B5607" i="1"/>
  <c r="G5606" i="1"/>
  <c r="F5606" i="1"/>
  <c r="E5606" i="1"/>
  <c r="D5606" i="1"/>
  <c r="C5606" i="1"/>
  <c r="B5606" i="1"/>
  <c r="G5605" i="1"/>
  <c r="F5605" i="1"/>
  <c r="E5605" i="1"/>
  <c r="D5605" i="1"/>
  <c r="C5605" i="1"/>
  <c r="B5605" i="1"/>
  <c r="G5604" i="1"/>
  <c r="F5604" i="1"/>
  <c r="E5604" i="1"/>
  <c r="D5604" i="1"/>
  <c r="C5604" i="1"/>
  <c r="B5604" i="1"/>
  <c r="G5603" i="1"/>
  <c r="F5603" i="1"/>
  <c r="E5603" i="1"/>
  <c r="D5603" i="1"/>
  <c r="C5603" i="1"/>
  <c r="B5603" i="1"/>
  <c r="G5602" i="1"/>
  <c r="F5602" i="1"/>
  <c r="E5602" i="1"/>
  <c r="D5602" i="1"/>
  <c r="C5602" i="1"/>
  <c r="B5602" i="1"/>
  <c r="G5601" i="1"/>
  <c r="F5601" i="1"/>
  <c r="E5601" i="1"/>
  <c r="D5601" i="1"/>
  <c r="C5601" i="1"/>
  <c r="B5601" i="1"/>
  <c r="G5600" i="1"/>
  <c r="F5600" i="1"/>
  <c r="E5600" i="1"/>
  <c r="D5600" i="1"/>
  <c r="C5600" i="1"/>
  <c r="B5600" i="1"/>
  <c r="G5599" i="1"/>
  <c r="F5599" i="1"/>
  <c r="E5599" i="1"/>
  <c r="D5599" i="1"/>
  <c r="C5599" i="1"/>
  <c r="B5599" i="1"/>
  <c r="G5598" i="1"/>
  <c r="F5598" i="1"/>
  <c r="E5598" i="1"/>
  <c r="D5598" i="1"/>
  <c r="C5598" i="1"/>
  <c r="B5598" i="1"/>
  <c r="G5597" i="1"/>
  <c r="F5597" i="1"/>
  <c r="E5597" i="1"/>
  <c r="D5597" i="1"/>
  <c r="C5597" i="1"/>
  <c r="B5597" i="1"/>
  <c r="G5596" i="1"/>
  <c r="F5596" i="1"/>
  <c r="E5596" i="1"/>
  <c r="D5596" i="1"/>
  <c r="C5596" i="1"/>
  <c r="B5596" i="1"/>
  <c r="G5595" i="1"/>
  <c r="F5595" i="1"/>
  <c r="E5595" i="1"/>
  <c r="D5595" i="1"/>
  <c r="C5595" i="1"/>
  <c r="B5595" i="1"/>
  <c r="G5594" i="1"/>
  <c r="F5594" i="1"/>
  <c r="E5594" i="1"/>
  <c r="D5594" i="1"/>
  <c r="C5594" i="1"/>
  <c r="B5594" i="1"/>
  <c r="G5593" i="1"/>
  <c r="F5593" i="1"/>
  <c r="E5593" i="1"/>
  <c r="D5593" i="1"/>
  <c r="C5593" i="1"/>
  <c r="B5593" i="1"/>
  <c r="G5592" i="1"/>
  <c r="F5592" i="1"/>
  <c r="E5592" i="1"/>
  <c r="D5592" i="1"/>
  <c r="C5592" i="1"/>
  <c r="B5592" i="1"/>
  <c r="G5591" i="1"/>
  <c r="F5591" i="1"/>
  <c r="E5591" i="1"/>
  <c r="D5591" i="1"/>
  <c r="C5591" i="1"/>
  <c r="B5591" i="1"/>
  <c r="G5590" i="1"/>
  <c r="F5590" i="1"/>
  <c r="E5590" i="1"/>
  <c r="D5590" i="1"/>
  <c r="C5590" i="1"/>
  <c r="B5590" i="1"/>
  <c r="G5589" i="1"/>
  <c r="F5589" i="1"/>
  <c r="E5589" i="1"/>
  <c r="D5589" i="1"/>
  <c r="C5589" i="1"/>
  <c r="B5589" i="1"/>
  <c r="G5588" i="1"/>
  <c r="F5588" i="1"/>
  <c r="E5588" i="1"/>
  <c r="D5588" i="1"/>
  <c r="C5588" i="1"/>
  <c r="B5588" i="1"/>
  <c r="G5587" i="1"/>
  <c r="F5587" i="1"/>
  <c r="E5587" i="1"/>
  <c r="D5587" i="1"/>
  <c r="C5587" i="1"/>
  <c r="B5587" i="1"/>
  <c r="G5586" i="1"/>
  <c r="F5586" i="1"/>
  <c r="E5586" i="1"/>
  <c r="D5586" i="1"/>
  <c r="C5586" i="1"/>
  <c r="B5586" i="1"/>
  <c r="G5585" i="1"/>
  <c r="F5585" i="1"/>
  <c r="E5585" i="1"/>
  <c r="D5585" i="1"/>
  <c r="C5585" i="1"/>
  <c r="B5585" i="1"/>
  <c r="G5584" i="1"/>
  <c r="F5584" i="1"/>
  <c r="E5584" i="1"/>
  <c r="D5584" i="1"/>
  <c r="C5584" i="1"/>
  <c r="B5584" i="1"/>
  <c r="G5583" i="1"/>
  <c r="F5583" i="1"/>
  <c r="E5583" i="1"/>
  <c r="D5583" i="1"/>
  <c r="C5583" i="1"/>
  <c r="B5583" i="1"/>
  <c r="G5582" i="1"/>
  <c r="F5582" i="1"/>
  <c r="E5582" i="1"/>
  <c r="D5582" i="1"/>
  <c r="C5582" i="1"/>
  <c r="B5582" i="1"/>
  <c r="G5581" i="1"/>
  <c r="F5581" i="1"/>
  <c r="E5581" i="1"/>
  <c r="D5581" i="1"/>
  <c r="C5581" i="1"/>
  <c r="B5581" i="1"/>
  <c r="G5580" i="1"/>
  <c r="F5580" i="1"/>
  <c r="E5580" i="1"/>
  <c r="D5580" i="1"/>
  <c r="C5580" i="1"/>
  <c r="B5580" i="1"/>
  <c r="G5579" i="1"/>
  <c r="F5579" i="1"/>
  <c r="E5579" i="1"/>
  <c r="D5579" i="1"/>
  <c r="C5579" i="1"/>
  <c r="B5579" i="1"/>
  <c r="G5578" i="1"/>
  <c r="F5578" i="1"/>
  <c r="E5578" i="1"/>
  <c r="D5578" i="1"/>
  <c r="C5578" i="1"/>
  <c r="B5578" i="1"/>
  <c r="G5577" i="1"/>
  <c r="F5577" i="1"/>
  <c r="E5577" i="1"/>
  <c r="D5577" i="1"/>
  <c r="C5577" i="1"/>
  <c r="B5577" i="1"/>
  <c r="G5576" i="1"/>
  <c r="F5576" i="1"/>
  <c r="E5576" i="1"/>
  <c r="D5576" i="1"/>
  <c r="C5576" i="1"/>
  <c r="B5576" i="1"/>
  <c r="G5575" i="1"/>
  <c r="F5575" i="1"/>
  <c r="E5575" i="1"/>
  <c r="D5575" i="1"/>
  <c r="C5575" i="1"/>
  <c r="B5575" i="1"/>
  <c r="G5574" i="1"/>
  <c r="F5574" i="1"/>
  <c r="E5574" i="1"/>
  <c r="D5574" i="1"/>
  <c r="C5574" i="1"/>
  <c r="B5574" i="1"/>
  <c r="G5573" i="1"/>
  <c r="F5573" i="1"/>
  <c r="E5573" i="1"/>
  <c r="D5573" i="1"/>
  <c r="C5573" i="1"/>
  <c r="B5573" i="1"/>
  <c r="G5572" i="1"/>
  <c r="F5572" i="1"/>
  <c r="E5572" i="1"/>
  <c r="D5572" i="1"/>
  <c r="C5572" i="1"/>
  <c r="B5572" i="1"/>
  <c r="G5571" i="1"/>
  <c r="F5571" i="1"/>
  <c r="E5571" i="1"/>
  <c r="D5571" i="1"/>
  <c r="C5571" i="1"/>
  <c r="B5571" i="1"/>
  <c r="G5570" i="1"/>
  <c r="F5570" i="1"/>
  <c r="E5570" i="1"/>
  <c r="D5570" i="1"/>
  <c r="C5570" i="1"/>
  <c r="B5570" i="1"/>
  <c r="G5569" i="1"/>
  <c r="F5569" i="1"/>
  <c r="E5569" i="1"/>
  <c r="D5569" i="1"/>
  <c r="C5569" i="1"/>
  <c r="B5569" i="1"/>
  <c r="G5568" i="1"/>
  <c r="F5568" i="1"/>
  <c r="E5568" i="1"/>
  <c r="D5568" i="1"/>
  <c r="C5568" i="1"/>
  <c r="B5568" i="1"/>
  <c r="G5567" i="1"/>
  <c r="F5567" i="1"/>
  <c r="E5567" i="1"/>
  <c r="D5567" i="1"/>
  <c r="C5567" i="1"/>
  <c r="B5567" i="1"/>
  <c r="G5566" i="1"/>
  <c r="F5566" i="1"/>
  <c r="E5566" i="1"/>
  <c r="D5566" i="1"/>
  <c r="C5566" i="1"/>
  <c r="B5566" i="1"/>
  <c r="G5565" i="1"/>
  <c r="F5565" i="1"/>
  <c r="E5565" i="1"/>
  <c r="D5565" i="1"/>
  <c r="C5565" i="1"/>
  <c r="B5565" i="1"/>
  <c r="G5564" i="1"/>
  <c r="F5564" i="1"/>
  <c r="E5564" i="1"/>
  <c r="D5564" i="1"/>
  <c r="C5564" i="1"/>
  <c r="B5564" i="1"/>
  <c r="G5563" i="1"/>
  <c r="F5563" i="1"/>
  <c r="E5563" i="1"/>
  <c r="D5563" i="1"/>
  <c r="C5563" i="1"/>
  <c r="B5563" i="1"/>
  <c r="G5562" i="1"/>
  <c r="F5562" i="1"/>
  <c r="E5562" i="1"/>
  <c r="D5562" i="1"/>
  <c r="C5562" i="1"/>
  <c r="B5562" i="1"/>
  <c r="G5561" i="1"/>
  <c r="F5561" i="1"/>
  <c r="E5561" i="1"/>
  <c r="D5561" i="1"/>
  <c r="C5561" i="1"/>
  <c r="B5561" i="1"/>
  <c r="G5560" i="1"/>
  <c r="F5560" i="1"/>
  <c r="E5560" i="1"/>
  <c r="D5560" i="1"/>
  <c r="C5560" i="1"/>
  <c r="B5560" i="1"/>
  <c r="G5559" i="1"/>
  <c r="F5559" i="1"/>
  <c r="E5559" i="1"/>
  <c r="D5559" i="1"/>
  <c r="C5559" i="1"/>
  <c r="B5559" i="1"/>
  <c r="G5558" i="1"/>
  <c r="F5558" i="1"/>
  <c r="E5558" i="1"/>
  <c r="D5558" i="1"/>
  <c r="C5558" i="1"/>
  <c r="B5558" i="1"/>
  <c r="G5557" i="1"/>
  <c r="F5557" i="1"/>
  <c r="E5557" i="1"/>
  <c r="D5557" i="1"/>
  <c r="C5557" i="1"/>
  <c r="B5557" i="1"/>
  <c r="G5556" i="1"/>
  <c r="F5556" i="1"/>
  <c r="E5556" i="1"/>
  <c r="D5556" i="1"/>
  <c r="C5556" i="1"/>
  <c r="B5556" i="1"/>
  <c r="G5555" i="1"/>
  <c r="F5555" i="1"/>
  <c r="E5555" i="1"/>
  <c r="D5555" i="1"/>
  <c r="C5555" i="1"/>
  <c r="B5555" i="1"/>
  <c r="G5554" i="1"/>
  <c r="F5554" i="1"/>
  <c r="E5554" i="1"/>
  <c r="D5554" i="1"/>
  <c r="C5554" i="1"/>
  <c r="B5554" i="1"/>
  <c r="G5553" i="1"/>
  <c r="F5553" i="1"/>
  <c r="E5553" i="1"/>
  <c r="D5553" i="1"/>
  <c r="C5553" i="1"/>
  <c r="B5553" i="1"/>
  <c r="G5552" i="1"/>
  <c r="F5552" i="1"/>
  <c r="E5552" i="1"/>
  <c r="D5552" i="1"/>
  <c r="C5552" i="1"/>
  <c r="B5552" i="1"/>
  <c r="G5551" i="1"/>
  <c r="F5551" i="1"/>
  <c r="E5551" i="1"/>
  <c r="D5551" i="1"/>
  <c r="C5551" i="1"/>
  <c r="B5551" i="1"/>
  <c r="G5550" i="1"/>
  <c r="F5550" i="1"/>
  <c r="E5550" i="1"/>
  <c r="D5550" i="1"/>
  <c r="C5550" i="1"/>
  <c r="B5550" i="1"/>
  <c r="G5549" i="1"/>
  <c r="F5549" i="1"/>
  <c r="E5549" i="1"/>
  <c r="D5549" i="1"/>
  <c r="C5549" i="1"/>
  <c r="B5549" i="1"/>
  <c r="G5548" i="1"/>
  <c r="F5548" i="1"/>
  <c r="E5548" i="1"/>
  <c r="D5548" i="1"/>
  <c r="C5548" i="1"/>
  <c r="B5548" i="1"/>
  <c r="G5547" i="1"/>
  <c r="F5547" i="1"/>
  <c r="E5547" i="1"/>
  <c r="D5547" i="1"/>
  <c r="C5547" i="1"/>
  <c r="B5547" i="1"/>
  <c r="G5546" i="1"/>
  <c r="F5546" i="1"/>
  <c r="E5546" i="1"/>
  <c r="D5546" i="1"/>
  <c r="C5546" i="1"/>
  <c r="B5546" i="1"/>
  <c r="G5545" i="1"/>
  <c r="F5545" i="1"/>
  <c r="E5545" i="1"/>
  <c r="D5545" i="1"/>
  <c r="C5545" i="1"/>
  <c r="B5545" i="1"/>
  <c r="G5544" i="1"/>
  <c r="F5544" i="1"/>
  <c r="E5544" i="1"/>
  <c r="D5544" i="1"/>
  <c r="C5544" i="1"/>
  <c r="B5544" i="1"/>
  <c r="G5543" i="1"/>
  <c r="F5543" i="1"/>
  <c r="E5543" i="1"/>
  <c r="D5543" i="1"/>
  <c r="C5543" i="1"/>
  <c r="B5543" i="1"/>
  <c r="G5542" i="1"/>
  <c r="F5542" i="1"/>
  <c r="E5542" i="1"/>
  <c r="D5542" i="1"/>
  <c r="C5542" i="1"/>
  <c r="B5542" i="1"/>
  <c r="G5541" i="1"/>
  <c r="F5541" i="1"/>
  <c r="E5541" i="1"/>
  <c r="D5541" i="1"/>
  <c r="C5541" i="1"/>
  <c r="B5541" i="1"/>
  <c r="G5540" i="1"/>
  <c r="F5540" i="1"/>
  <c r="E5540" i="1"/>
  <c r="D5540" i="1"/>
  <c r="C5540" i="1"/>
  <c r="B5540" i="1"/>
  <c r="G5539" i="1"/>
  <c r="F5539" i="1"/>
  <c r="E5539" i="1"/>
  <c r="D5539" i="1"/>
  <c r="C5539" i="1"/>
  <c r="B5539" i="1"/>
  <c r="G5538" i="1"/>
  <c r="F5538" i="1"/>
  <c r="E5538" i="1"/>
  <c r="D5538" i="1"/>
  <c r="C5538" i="1"/>
  <c r="B5538" i="1"/>
  <c r="G5537" i="1"/>
  <c r="F5537" i="1"/>
  <c r="E5537" i="1"/>
  <c r="D5537" i="1"/>
  <c r="C5537" i="1"/>
  <c r="B5537" i="1"/>
  <c r="G5536" i="1"/>
  <c r="F5536" i="1"/>
  <c r="E5536" i="1"/>
  <c r="D5536" i="1"/>
  <c r="C5536" i="1"/>
  <c r="B5536" i="1"/>
  <c r="G5535" i="1"/>
  <c r="F5535" i="1"/>
  <c r="E5535" i="1"/>
  <c r="D5535" i="1"/>
  <c r="C5535" i="1"/>
  <c r="B5535" i="1"/>
  <c r="G5534" i="1"/>
  <c r="F5534" i="1"/>
  <c r="E5534" i="1"/>
  <c r="D5534" i="1"/>
  <c r="C5534" i="1"/>
  <c r="B5534" i="1"/>
  <c r="G5533" i="1"/>
  <c r="F5533" i="1"/>
  <c r="E5533" i="1"/>
  <c r="D5533" i="1"/>
  <c r="C5533" i="1"/>
  <c r="B5533" i="1"/>
  <c r="G5532" i="1"/>
  <c r="F5532" i="1"/>
  <c r="E5532" i="1"/>
  <c r="D5532" i="1"/>
  <c r="C5532" i="1"/>
  <c r="B5532" i="1"/>
  <c r="G5531" i="1"/>
  <c r="F5531" i="1"/>
  <c r="E5531" i="1"/>
  <c r="D5531" i="1"/>
  <c r="C5531" i="1"/>
  <c r="B5531" i="1"/>
  <c r="G5530" i="1"/>
  <c r="F5530" i="1"/>
  <c r="E5530" i="1"/>
  <c r="D5530" i="1"/>
  <c r="C5530" i="1"/>
  <c r="B5530" i="1"/>
  <c r="G5529" i="1"/>
  <c r="F5529" i="1"/>
  <c r="E5529" i="1"/>
  <c r="D5529" i="1"/>
  <c r="C5529" i="1"/>
  <c r="B5529" i="1"/>
  <c r="G5528" i="1"/>
  <c r="F5528" i="1"/>
  <c r="E5528" i="1"/>
  <c r="D5528" i="1"/>
  <c r="C5528" i="1"/>
  <c r="B5528" i="1"/>
  <c r="G5527" i="1"/>
  <c r="F5527" i="1"/>
  <c r="E5527" i="1"/>
  <c r="D5527" i="1"/>
  <c r="C5527" i="1"/>
  <c r="B5527" i="1"/>
  <c r="G5526" i="1"/>
  <c r="F5526" i="1"/>
  <c r="E5526" i="1"/>
  <c r="D5526" i="1"/>
  <c r="C5526" i="1"/>
  <c r="B5526" i="1"/>
  <c r="G5525" i="1"/>
  <c r="F5525" i="1"/>
  <c r="E5525" i="1"/>
  <c r="D5525" i="1"/>
  <c r="C5525" i="1"/>
  <c r="B5525" i="1"/>
  <c r="G5524" i="1"/>
  <c r="F5524" i="1"/>
  <c r="E5524" i="1"/>
  <c r="D5524" i="1"/>
  <c r="C5524" i="1"/>
  <c r="B5524" i="1"/>
  <c r="G5523" i="1"/>
  <c r="F5523" i="1"/>
  <c r="E5523" i="1"/>
  <c r="D5523" i="1"/>
  <c r="C5523" i="1"/>
  <c r="B5523" i="1"/>
  <c r="G5522" i="1"/>
  <c r="F5522" i="1"/>
  <c r="E5522" i="1"/>
  <c r="D5522" i="1"/>
  <c r="C5522" i="1"/>
  <c r="B5522" i="1"/>
  <c r="G5521" i="1"/>
  <c r="F5521" i="1"/>
  <c r="E5521" i="1"/>
  <c r="D5521" i="1"/>
  <c r="C5521" i="1"/>
  <c r="B5521" i="1"/>
  <c r="G5520" i="1"/>
  <c r="F5520" i="1"/>
  <c r="E5520" i="1"/>
  <c r="D5520" i="1"/>
  <c r="C5520" i="1"/>
  <c r="B5520" i="1"/>
  <c r="G5519" i="1"/>
  <c r="F5519" i="1"/>
  <c r="E5519" i="1"/>
  <c r="D5519" i="1"/>
  <c r="C5519" i="1"/>
  <c r="B5519" i="1"/>
  <c r="G5518" i="1"/>
  <c r="F5518" i="1"/>
  <c r="E5518" i="1"/>
  <c r="D5518" i="1"/>
  <c r="C5518" i="1"/>
  <c r="B5518" i="1"/>
  <c r="G5517" i="1"/>
  <c r="F5517" i="1"/>
  <c r="E5517" i="1"/>
  <c r="D5517" i="1"/>
  <c r="C5517" i="1"/>
  <c r="B5517" i="1"/>
  <c r="G5516" i="1"/>
  <c r="F5516" i="1"/>
  <c r="E5516" i="1"/>
  <c r="D5516" i="1"/>
  <c r="C5516" i="1"/>
  <c r="B5516" i="1"/>
  <c r="G5515" i="1"/>
  <c r="F5515" i="1"/>
  <c r="E5515" i="1"/>
  <c r="D5515" i="1"/>
  <c r="C5515" i="1"/>
  <c r="B5515" i="1"/>
  <c r="F5514" i="1"/>
  <c r="E5514" i="1"/>
  <c r="D5514" i="1"/>
  <c r="C5514" i="1"/>
  <c r="B5514" i="1"/>
  <c r="G5513" i="1"/>
  <c r="F5513" i="1"/>
  <c r="E5513" i="1"/>
  <c r="D5513" i="1"/>
  <c r="C5513" i="1"/>
  <c r="B5513" i="1"/>
  <c r="G5512" i="1"/>
  <c r="F5512" i="1"/>
  <c r="E5512" i="1"/>
  <c r="D5512" i="1"/>
  <c r="C5512" i="1"/>
  <c r="B5512" i="1"/>
  <c r="G5511" i="1"/>
  <c r="F5511" i="1"/>
  <c r="E5511" i="1"/>
  <c r="D5511" i="1"/>
  <c r="C5511" i="1"/>
  <c r="B5511" i="1"/>
  <c r="G5510" i="1"/>
  <c r="F5510" i="1"/>
  <c r="E5510" i="1"/>
  <c r="D5510" i="1"/>
  <c r="C5510" i="1"/>
  <c r="B5510" i="1"/>
  <c r="G5509" i="1"/>
  <c r="F5509" i="1"/>
  <c r="E5509" i="1"/>
  <c r="D5509" i="1"/>
  <c r="C5509" i="1"/>
  <c r="B5509" i="1"/>
  <c r="G5508" i="1"/>
  <c r="F5508" i="1"/>
  <c r="E5508" i="1"/>
  <c r="D5508" i="1"/>
  <c r="C5508" i="1"/>
  <c r="B5508" i="1"/>
  <c r="G5507" i="1"/>
  <c r="F5507" i="1"/>
  <c r="E5507" i="1"/>
  <c r="D5507" i="1"/>
  <c r="C5507" i="1"/>
  <c r="B5507" i="1"/>
  <c r="G5506" i="1"/>
  <c r="F5506" i="1"/>
  <c r="E5506" i="1"/>
  <c r="D5506" i="1"/>
  <c r="C5506" i="1"/>
  <c r="B5506" i="1"/>
  <c r="G5505" i="1"/>
  <c r="F5505" i="1"/>
  <c r="E5505" i="1"/>
  <c r="D5505" i="1"/>
  <c r="C5505" i="1"/>
  <c r="B5505" i="1"/>
  <c r="G5504" i="1"/>
  <c r="F5504" i="1"/>
  <c r="E5504" i="1"/>
  <c r="D5504" i="1"/>
  <c r="C5504" i="1"/>
  <c r="B5504" i="1"/>
  <c r="G5503" i="1"/>
  <c r="F5503" i="1"/>
  <c r="E5503" i="1"/>
  <c r="D5503" i="1"/>
  <c r="C5503" i="1"/>
  <c r="B5503" i="1"/>
  <c r="G5502" i="1"/>
  <c r="F5502" i="1"/>
  <c r="E5502" i="1"/>
  <c r="D5502" i="1"/>
  <c r="C5502" i="1"/>
  <c r="B5502" i="1"/>
  <c r="G5501" i="1"/>
  <c r="F5501" i="1"/>
  <c r="E5501" i="1"/>
  <c r="D5501" i="1"/>
  <c r="C5501" i="1"/>
  <c r="B5501" i="1"/>
  <c r="G5500" i="1"/>
  <c r="F5500" i="1"/>
  <c r="E5500" i="1"/>
  <c r="D5500" i="1"/>
  <c r="C5500" i="1"/>
  <c r="B5500" i="1"/>
  <c r="G5499" i="1"/>
  <c r="F5499" i="1"/>
  <c r="E5499" i="1"/>
  <c r="D5499" i="1"/>
  <c r="C5499" i="1"/>
  <c r="B5499" i="1"/>
  <c r="G5498" i="1"/>
  <c r="F5498" i="1"/>
  <c r="E5498" i="1"/>
  <c r="D5498" i="1"/>
  <c r="C5498" i="1"/>
  <c r="B5498" i="1"/>
  <c r="G5497" i="1"/>
  <c r="F5497" i="1"/>
  <c r="E5497" i="1"/>
  <c r="D5497" i="1"/>
  <c r="C5497" i="1"/>
  <c r="B5497" i="1"/>
  <c r="G5496" i="1"/>
  <c r="F5496" i="1"/>
  <c r="E5496" i="1"/>
  <c r="D5496" i="1"/>
  <c r="C5496" i="1"/>
  <c r="B5496" i="1"/>
  <c r="G5495" i="1"/>
  <c r="F5495" i="1"/>
  <c r="E5495" i="1"/>
  <c r="D5495" i="1"/>
  <c r="C5495" i="1"/>
  <c r="B5495" i="1"/>
  <c r="G5494" i="1"/>
  <c r="F5494" i="1"/>
  <c r="E5494" i="1"/>
  <c r="D5494" i="1"/>
  <c r="C5494" i="1"/>
  <c r="B5494" i="1"/>
  <c r="G5493" i="1"/>
  <c r="F5493" i="1"/>
  <c r="E5493" i="1"/>
  <c r="D5493" i="1"/>
  <c r="C5493" i="1"/>
  <c r="B5493" i="1"/>
  <c r="G5492" i="1"/>
  <c r="F5492" i="1"/>
  <c r="E5492" i="1"/>
  <c r="D5492" i="1"/>
  <c r="C5492" i="1"/>
  <c r="B5492" i="1"/>
  <c r="G5491" i="1"/>
  <c r="F5491" i="1"/>
  <c r="E5491" i="1"/>
  <c r="D5491" i="1"/>
  <c r="C5491" i="1"/>
  <c r="B5491" i="1"/>
  <c r="G5490" i="1"/>
  <c r="F5490" i="1"/>
  <c r="E5490" i="1"/>
  <c r="D5490" i="1"/>
  <c r="C5490" i="1"/>
  <c r="B5490" i="1"/>
  <c r="G5489" i="1"/>
  <c r="F5489" i="1"/>
  <c r="E5489" i="1"/>
  <c r="D5489" i="1"/>
  <c r="C5489" i="1"/>
  <c r="B5489" i="1"/>
  <c r="G5488" i="1"/>
  <c r="F5488" i="1"/>
  <c r="E5488" i="1"/>
  <c r="D5488" i="1"/>
  <c r="C5488" i="1"/>
  <c r="B5488" i="1"/>
  <c r="G5487" i="1"/>
  <c r="F5487" i="1"/>
  <c r="E5487" i="1"/>
  <c r="D5487" i="1"/>
  <c r="C5487" i="1"/>
  <c r="B5487" i="1"/>
  <c r="G5486" i="1"/>
  <c r="F5486" i="1"/>
  <c r="E5486" i="1"/>
  <c r="D5486" i="1"/>
  <c r="C5486" i="1"/>
  <c r="B5486" i="1"/>
  <c r="G5485" i="1"/>
  <c r="F5485" i="1"/>
  <c r="E5485" i="1"/>
  <c r="D5485" i="1"/>
  <c r="C5485" i="1"/>
  <c r="B5485" i="1"/>
  <c r="G5484" i="1"/>
  <c r="F5484" i="1"/>
  <c r="E5484" i="1"/>
  <c r="D5484" i="1"/>
  <c r="C5484" i="1"/>
  <c r="B5484" i="1"/>
  <c r="G5483" i="1"/>
  <c r="F5483" i="1"/>
  <c r="E5483" i="1"/>
  <c r="D5483" i="1"/>
  <c r="C5483" i="1"/>
  <c r="B5483" i="1"/>
  <c r="G5482" i="1"/>
  <c r="F5482" i="1"/>
  <c r="E5482" i="1"/>
  <c r="D5482" i="1"/>
  <c r="C5482" i="1"/>
  <c r="B5482" i="1"/>
  <c r="G5481" i="1"/>
  <c r="F5481" i="1"/>
  <c r="E5481" i="1"/>
  <c r="D5481" i="1"/>
  <c r="C5481" i="1"/>
  <c r="B5481" i="1"/>
  <c r="G5480" i="1"/>
  <c r="F5480" i="1"/>
  <c r="E5480" i="1"/>
  <c r="D5480" i="1"/>
  <c r="C5480" i="1"/>
  <c r="B5480" i="1"/>
  <c r="G5479" i="1"/>
  <c r="F5479" i="1"/>
  <c r="E5479" i="1"/>
  <c r="D5479" i="1"/>
  <c r="C5479" i="1"/>
  <c r="B5479" i="1"/>
  <c r="G5478" i="1"/>
  <c r="F5478" i="1"/>
  <c r="E5478" i="1"/>
  <c r="D5478" i="1"/>
  <c r="C5478" i="1"/>
  <c r="B5478" i="1"/>
  <c r="G5477" i="1"/>
  <c r="F5477" i="1"/>
  <c r="E5477" i="1"/>
  <c r="D5477" i="1"/>
  <c r="C5477" i="1"/>
  <c r="B5477" i="1"/>
  <c r="G5476" i="1"/>
  <c r="F5476" i="1"/>
  <c r="E5476" i="1"/>
  <c r="D5476" i="1"/>
  <c r="C5476" i="1"/>
  <c r="B5476" i="1"/>
  <c r="G5475" i="1"/>
  <c r="F5475" i="1"/>
  <c r="E5475" i="1"/>
  <c r="D5475" i="1"/>
  <c r="C5475" i="1"/>
  <c r="B5475" i="1"/>
  <c r="G5474" i="1"/>
  <c r="F5474" i="1"/>
  <c r="E5474" i="1"/>
  <c r="D5474" i="1"/>
  <c r="C5474" i="1"/>
  <c r="B5474" i="1"/>
  <c r="G5473" i="1"/>
  <c r="F5473" i="1"/>
  <c r="E5473" i="1"/>
  <c r="D5473" i="1"/>
  <c r="C5473" i="1"/>
  <c r="B5473" i="1"/>
  <c r="G5472" i="1"/>
  <c r="F5472" i="1"/>
  <c r="E5472" i="1"/>
  <c r="D5472" i="1"/>
  <c r="C5472" i="1"/>
  <c r="B5472" i="1"/>
  <c r="G5471" i="1"/>
  <c r="F5471" i="1"/>
  <c r="E5471" i="1"/>
  <c r="D5471" i="1"/>
  <c r="C5471" i="1"/>
  <c r="B5471" i="1"/>
  <c r="G5470" i="1"/>
  <c r="F5470" i="1"/>
  <c r="E5470" i="1"/>
  <c r="D5470" i="1"/>
  <c r="C5470" i="1"/>
  <c r="B5470" i="1"/>
  <c r="G5469" i="1"/>
  <c r="F5469" i="1"/>
  <c r="E5469" i="1"/>
  <c r="D5469" i="1"/>
  <c r="C5469" i="1"/>
  <c r="B5469" i="1"/>
  <c r="G5468" i="1"/>
  <c r="F5468" i="1"/>
  <c r="E5468" i="1"/>
  <c r="D5468" i="1"/>
  <c r="C5468" i="1"/>
  <c r="B5468" i="1"/>
  <c r="G5467" i="1"/>
  <c r="F5467" i="1"/>
  <c r="E5467" i="1"/>
  <c r="D5467" i="1"/>
  <c r="C5467" i="1"/>
  <c r="B5467" i="1"/>
  <c r="G5466" i="1"/>
  <c r="F5466" i="1"/>
  <c r="E5466" i="1"/>
  <c r="D5466" i="1"/>
  <c r="C5466" i="1"/>
  <c r="B5466" i="1"/>
  <c r="G5465" i="1"/>
  <c r="F5465" i="1"/>
  <c r="E5465" i="1"/>
  <c r="D5465" i="1"/>
  <c r="C5465" i="1"/>
  <c r="B5465" i="1"/>
  <c r="G5464" i="1"/>
  <c r="F5464" i="1"/>
  <c r="E5464" i="1"/>
  <c r="D5464" i="1"/>
  <c r="C5464" i="1"/>
  <c r="B5464" i="1"/>
  <c r="G5463" i="1"/>
  <c r="F5463" i="1"/>
  <c r="E5463" i="1"/>
  <c r="D5463" i="1"/>
  <c r="C5463" i="1"/>
  <c r="B5463" i="1"/>
  <c r="G5462" i="1"/>
  <c r="F5462" i="1"/>
  <c r="E5462" i="1"/>
  <c r="D5462" i="1"/>
  <c r="C5462" i="1"/>
  <c r="B5462" i="1"/>
  <c r="G5461" i="1"/>
  <c r="F5461" i="1"/>
  <c r="E5461" i="1"/>
  <c r="D5461" i="1"/>
  <c r="C5461" i="1"/>
  <c r="B5461" i="1"/>
  <c r="G5460" i="1"/>
  <c r="F5460" i="1"/>
  <c r="E5460" i="1"/>
  <c r="D5460" i="1"/>
  <c r="C5460" i="1"/>
  <c r="B5460" i="1"/>
  <c r="G5459" i="1"/>
  <c r="F5459" i="1"/>
  <c r="E5459" i="1"/>
  <c r="D5459" i="1"/>
  <c r="C5459" i="1"/>
  <c r="B5459" i="1"/>
  <c r="G5458" i="1"/>
  <c r="F5458" i="1"/>
  <c r="E5458" i="1"/>
  <c r="D5458" i="1"/>
  <c r="C5458" i="1"/>
  <c r="B5458" i="1"/>
  <c r="G5457" i="1"/>
  <c r="F5457" i="1"/>
  <c r="E5457" i="1"/>
  <c r="D5457" i="1"/>
  <c r="C5457" i="1"/>
  <c r="B5457" i="1"/>
  <c r="G5456" i="1"/>
  <c r="F5456" i="1"/>
  <c r="E5456" i="1"/>
  <c r="D5456" i="1"/>
  <c r="C5456" i="1"/>
  <c r="B5456" i="1"/>
  <c r="G5455" i="1"/>
  <c r="F5455" i="1"/>
  <c r="E5455" i="1"/>
  <c r="D5455" i="1"/>
  <c r="C5455" i="1"/>
  <c r="B5455" i="1"/>
  <c r="G5454" i="1"/>
  <c r="F5454" i="1"/>
  <c r="E5454" i="1"/>
  <c r="D5454" i="1"/>
  <c r="C5454" i="1"/>
  <c r="B5454" i="1"/>
  <c r="G5453" i="1"/>
  <c r="F5453" i="1"/>
  <c r="E5453" i="1"/>
  <c r="D5453" i="1"/>
  <c r="C5453" i="1"/>
  <c r="B5453" i="1"/>
  <c r="G5452" i="1"/>
  <c r="F5452" i="1"/>
  <c r="E5452" i="1"/>
  <c r="D5452" i="1"/>
  <c r="C5452" i="1"/>
  <c r="B5452" i="1"/>
  <c r="G5451" i="1"/>
  <c r="F5451" i="1"/>
  <c r="E5451" i="1"/>
  <c r="D5451" i="1"/>
  <c r="C5451" i="1"/>
  <c r="B5451" i="1"/>
  <c r="G5450" i="1"/>
  <c r="F5450" i="1"/>
  <c r="E5450" i="1"/>
  <c r="D5450" i="1"/>
  <c r="C5450" i="1"/>
  <c r="B5450" i="1"/>
  <c r="G5449" i="1"/>
  <c r="F5449" i="1"/>
  <c r="E5449" i="1"/>
  <c r="D5449" i="1"/>
  <c r="C5449" i="1"/>
  <c r="B5449" i="1"/>
  <c r="G5448" i="1"/>
  <c r="F5448" i="1"/>
  <c r="E5448" i="1"/>
  <c r="D5448" i="1"/>
  <c r="C5448" i="1"/>
  <c r="B5448" i="1"/>
  <c r="G5447" i="1"/>
  <c r="F5447" i="1"/>
  <c r="E5447" i="1"/>
  <c r="D5447" i="1"/>
  <c r="C5447" i="1"/>
  <c r="B5447" i="1"/>
  <c r="G5446" i="1"/>
  <c r="F5446" i="1"/>
  <c r="E5446" i="1"/>
  <c r="D5446" i="1"/>
  <c r="C5446" i="1"/>
  <c r="B5446" i="1"/>
  <c r="G5445" i="1"/>
  <c r="F5445" i="1"/>
  <c r="E5445" i="1"/>
  <c r="D5445" i="1"/>
  <c r="C5445" i="1"/>
  <c r="B5445" i="1"/>
  <c r="G5444" i="1"/>
  <c r="F5444" i="1"/>
  <c r="E5444" i="1"/>
  <c r="D5444" i="1"/>
  <c r="C5444" i="1"/>
  <c r="B5444" i="1"/>
  <c r="G5443" i="1"/>
  <c r="F5443" i="1"/>
  <c r="E5443" i="1"/>
  <c r="D5443" i="1"/>
  <c r="C5443" i="1"/>
  <c r="B5443" i="1"/>
  <c r="G5442" i="1"/>
  <c r="F5442" i="1"/>
  <c r="E5442" i="1"/>
  <c r="D5442" i="1"/>
  <c r="C5442" i="1"/>
  <c r="B5442" i="1"/>
  <c r="G5441" i="1"/>
  <c r="F5441" i="1"/>
  <c r="E5441" i="1"/>
  <c r="D5441" i="1"/>
  <c r="C5441" i="1"/>
  <c r="B5441" i="1"/>
  <c r="G5440" i="1"/>
  <c r="F5440" i="1"/>
  <c r="E5440" i="1"/>
  <c r="D5440" i="1"/>
  <c r="C5440" i="1"/>
  <c r="B5440" i="1"/>
  <c r="G5439" i="1"/>
  <c r="F5439" i="1"/>
  <c r="E5439" i="1"/>
  <c r="D5439" i="1"/>
  <c r="C5439" i="1"/>
  <c r="B5439" i="1"/>
  <c r="G5438" i="1"/>
  <c r="F5438" i="1"/>
  <c r="E5438" i="1"/>
  <c r="D5438" i="1"/>
  <c r="C5438" i="1"/>
  <c r="B5438" i="1"/>
  <c r="G5437" i="1"/>
  <c r="F5437" i="1"/>
  <c r="E5437" i="1"/>
  <c r="D5437" i="1"/>
  <c r="C5437" i="1"/>
  <c r="B5437" i="1"/>
  <c r="G5436" i="1"/>
  <c r="F5436" i="1"/>
  <c r="E5436" i="1"/>
  <c r="D5436" i="1"/>
  <c r="C5436" i="1"/>
  <c r="B5436" i="1"/>
  <c r="G5435" i="1"/>
  <c r="F5435" i="1"/>
  <c r="E5435" i="1"/>
  <c r="D5435" i="1"/>
  <c r="C5435" i="1"/>
  <c r="B5435" i="1"/>
  <c r="G5434" i="1"/>
  <c r="F5434" i="1"/>
  <c r="E5434" i="1"/>
  <c r="D5434" i="1"/>
  <c r="C5434" i="1"/>
  <c r="B5434" i="1"/>
  <c r="G5433" i="1"/>
  <c r="F5433" i="1"/>
  <c r="E5433" i="1"/>
  <c r="D5433" i="1"/>
  <c r="C5433" i="1"/>
  <c r="B5433" i="1"/>
  <c r="G5432" i="1"/>
  <c r="F5432" i="1"/>
  <c r="E5432" i="1"/>
  <c r="D5432" i="1"/>
  <c r="C5432" i="1"/>
  <c r="B5432" i="1"/>
  <c r="G5431" i="1"/>
  <c r="F5431" i="1"/>
  <c r="E5431" i="1"/>
  <c r="D5431" i="1"/>
  <c r="C5431" i="1"/>
  <c r="B5431" i="1"/>
  <c r="G5430" i="1"/>
  <c r="F5430" i="1"/>
  <c r="E5430" i="1"/>
  <c r="D5430" i="1"/>
  <c r="C5430" i="1"/>
  <c r="B5430" i="1"/>
  <c r="G5429" i="1"/>
  <c r="F5429" i="1"/>
  <c r="E5429" i="1"/>
  <c r="D5429" i="1"/>
  <c r="C5429" i="1"/>
  <c r="B5429" i="1"/>
  <c r="G5428" i="1"/>
  <c r="F5428" i="1"/>
  <c r="E5428" i="1"/>
  <c r="D5428" i="1"/>
  <c r="C5428" i="1"/>
  <c r="B5428" i="1"/>
  <c r="G5427" i="1"/>
  <c r="F5427" i="1"/>
  <c r="E5427" i="1"/>
  <c r="D5427" i="1"/>
  <c r="C5427" i="1"/>
  <c r="B5427" i="1"/>
  <c r="G5426" i="1"/>
  <c r="F5426" i="1"/>
  <c r="E5426" i="1"/>
  <c r="D5426" i="1"/>
  <c r="C5426" i="1"/>
  <c r="B5426" i="1"/>
  <c r="G5425" i="1"/>
  <c r="F5425" i="1"/>
  <c r="E5425" i="1"/>
  <c r="D5425" i="1"/>
  <c r="C5425" i="1"/>
  <c r="B5425" i="1"/>
  <c r="G5424" i="1"/>
  <c r="F5424" i="1"/>
  <c r="E5424" i="1"/>
  <c r="D5424" i="1"/>
  <c r="C5424" i="1"/>
  <c r="B5424" i="1"/>
  <c r="G5423" i="1"/>
  <c r="F5423" i="1"/>
  <c r="E5423" i="1"/>
  <c r="D5423" i="1"/>
  <c r="C5423" i="1"/>
  <c r="B5423" i="1"/>
  <c r="G5422" i="1"/>
  <c r="F5422" i="1"/>
  <c r="E5422" i="1"/>
  <c r="D5422" i="1"/>
  <c r="C5422" i="1"/>
  <c r="B5422" i="1"/>
  <c r="G5421" i="1"/>
  <c r="F5421" i="1"/>
  <c r="E5421" i="1"/>
  <c r="D5421" i="1"/>
  <c r="C5421" i="1"/>
  <c r="B5421" i="1"/>
  <c r="G5420" i="1"/>
  <c r="F5420" i="1"/>
  <c r="E5420" i="1"/>
  <c r="D5420" i="1"/>
  <c r="C5420" i="1"/>
  <c r="B5420" i="1"/>
  <c r="F5419" i="1"/>
  <c r="E5419" i="1"/>
  <c r="D5419" i="1"/>
  <c r="C5419" i="1"/>
  <c r="B5419" i="1"/>
  <c r="G5418" i="1"/>
  <c r="F5418" i="1"/>
  <c r="E5418" i="1"/>
  <c r="D5418" i="1"/>
  <c r="C5418" i="1"/>
  <c r="B5418" i="1"/>
  <c r="G5417" i="1"/>
  <c r="F5417" i="1"/>
  <c r="E5417" i="1"/>
  <c r="D5417" i="1"/>
  <c r="C5417" i="1"/>
  <c r="B5417" i="1"/>
  <c r="G5416" i="1"/>
  <c r="F5416" i="1"/>
  <c r="E5416" i="1"/>
  <c r="D5416" i="1"/>
  <c r="C5416" i="1"/>
  <c r="B5416" i="1"/>
  <c r="G5415" i="1"/>
  <c r="F5415" i="1"/>
  <c r="E5415" i="1"/>
  <c r="D5415" i="1"/>
  <c r="C5415" i="1"/>
  <c r="B5415" i="1"/>
  <c r="G5414" i="1"/>
  <c r="F5414" i="1"/>
  <c r="E5414" i="1"/>
  <c r="D5414" i="1"/>
  <c r="C5414" i="1"/>
  <c r="B5414" i="1"/>
  <c r="G5413" i="1"/>
  <c r="F5413" i="1"/>
  <c r="E5413" i="1"/>
  <c r="D5413" i="1"/>
  <c r="C5413" i="1"/>
  <c r="B5413" i="1"/>
  <c r="G5412" i="1"/>
  <c r="F5412" i="1"/>
  <c r="E5412" i="1"/>
  <c r="D5412" i="1"/>
  <c r="C5412" i="1"/>
  <c r="B5412" i="1"/>
  <c r="G5411" i="1"/>
  <c r="F5411" i="1"/>
  <c r="E5411" i="1"/>
  <c r="D5411" i="1"/>
  <c r="C5411" i="1"/>
  <c r="B5411" i="1"/>
  <c r="G5410" i="1"/>
  <c r="F5410" i="1"/>
  <c r="E5410" i="1"/>
  <c r="D5410" i="1"/>
  <c r="C5410" i="1"/>
  <c r="B5410" i="1"/>
  <c r="G5409" i="1"/>
  <c r="F5409" i="1"/>
  <c r="E5409" i="1"/>
  <c r="D5409" i="1"/>
  <c r="C5409" i="1"/>
  <c r="B5409" i="1"/>
  <c r="G5408" i="1"/>
  <c r="F5408" i="1"/>
  <c r="E5408" i="1"/>
  <c r="D5408" i="1"/>
  <c r="C5408" i="1"/>
  <c r="B5408" i="1"/>
  <c r="G5407" i="1"/>
  <c r="F5407" i="1"/>
  <c r="E5407" i="1"/>
  <c r="D5407" i="1"/>
  <c r="C5407" i="1"/>
  <c r="B5407" i="1"/>
  <c r="G5406" i="1"/>
  <c r="F5406" i="1"/>
  <c r="E5406" i="1"/>
  <c r="D5406" i="1"/>
  <c r="C5406" i="1"/>
  <c r="B5406" i="1"/>
  <c r="G5405" i="1"/>
  <c r="F5405" i="1"/>
  <c r="E5405" i="1"/>
  <c r="D5405" i="1"/>
  <c r="C5405" i="1"/>
  <c r="B5405" i="1"/>
  <c r="G5404" i="1"/>
  <c r="F5404" i="1"/>
  <c r="E5404" i="1"/>
  <c r="D5404" i="1"/>
  <c r="C5404" i="1"/>
  <c r="B5404" i="1"/>
  <c r="G5403" i="1"/>
  <c r="F5403" i="1"/>
  <c r="E5403" i="1"/>
  <c r="D5403" i="1"/>
  <c r="C5403" i="1"/>
  <c r="B5403" i="1"/>
  <c r="G5402" i="1"/>
  <c r="F5402" i="1"/>
  <c r="E5402" i="1"/>
  <c r="D5402" i="1"/>
  <c r="C5402" i="1"/>
  <c r="B5402" i="1"/>
  <c r="G5401" i="1"/>
  <c r="F5401" i="1"/>
  <c r="E5401" i="1"/>
  <c r="D5401" i="1"/>
  <c r="C5401" i="1"/>
  <c r="B5401" i="1"/>
  <c r="G5400" i="1"/>
  <c r="F5400" i="1"/>
  <c r="E5400" i="1"/>
  <c r="D5400" i="1"/>
  <c r="C5400" i="1"/>
  <c r="B5400" i="1"/>
  <c r="G5399" i="1"/>
  <c r="F5399" i="1"/>
  <c r="E5399" i="1"/>
  <c r="D5399" i="1"/>
  <c r="C5399" i="1"/>
  <c r="B5399" i="1"/>
  <c r="G5398" i="1"/>
  <c r="F5398" i="1"/>
  <c r="E5398" i="1"/>
  <c r="D5398" i="1"/>
  <c r="C5398" i="1"/>
  <c r="B5398" i="1"/>
  <c r="G5397" i="1"/>
  <c r="F5397" i="1"/>
  <c r="E5397" i="1"/>
  <c r="D5397" i="1"/>
  <c r="C5397" i="1"/>
  <c r="B5397" i="1"/>
  <c r="G5396" i="1"/>
  <c r="F5396" i="1"/>
  <c r="E5396" i="1"/>
  <c r="D5396" i="1"/>
  <c r="C5396" i="1"/>
  <c r="B5396" i="1"/>
  <c r="G5395" i="1"/>
  <c r="F5395" i="1"/>
  <c r="E5395" i="1"/>
  <c r="D5395" i="1"/>
  <c r="C5395" i="1"/>
  <c r="B5395" i="1"/>
  <c r="G5394" i="1"/>
  <c r="F5394" i="1"/>
  <c r="E5394" i="1"/>
  <c r="D5394" i="1"/>
  <c r="C5394" i="1"/>
  <c r="B5394" i="1"/>
  <c r="G5393" i="1"/>
  <c r="F5393" i="1"/>
  <c r="E5393" i="1"/>
  <c r="D5393" i="1"/>
  <c r="C5393" i="1"/>
  <c r="B5393" i="1"/>
  <c r="G5392" i="1"/>
  <c r="F5392" i="1"/>
  <c r="E5392" i="1"/>
  <c r="D5392" i="1"/>
  <c r="C5392" i="1"/>
  <c r="B5392" i="1"/>
  <c r="G5391" i="1"/>
  <c r="F5391" i="1"/>
  <c r="E5391" i="1"/>
  <c r="D5391" i="1"/>
  <c r="C5391" i="1"/>
  <c r="B5391" i="1"/>
  <c r="G5390" i="1"/>
  <c r="F5390" i="1"/>
  <c r="E5390" i="1"/>
  <c r="D5390" i="1"/>
  <c r="C5390" i="1"/>
  <c r="B5390" i="1"/>
  <c r="G5389" i="1"/>
  <c r="F5389" i="1"/>
  <c r="E5389" i="1"/>
  <c r="D5389" i="1"/>
  <c r="C5389" i="1"/>
  <c r="B5389" i="1"/>
  <c r="G5388" i="1"/>
  <c r="F5388" i="1"/>
  <c r="E5388" i="1"/>
  <c r="D5388" i="1"/>
  <c r="C5388" i="1"/>
  <c r="B5388" i="1"/>
  <c r="G5387" i="1"/>
  <c r="F5387" i="1"/>
  <c r="E5387" i="1"/>
  <c r="D5387" i="1"/>
  <c r="C5387" i="1"/>
  <c r="B5387" i="1"/>
  <c r="G5386" i="1"/>
  <c r="F5386" i="1"/>
  <c r="E5386" i="1"/>
  <c r="D5386" i="1"/>
  <c r="C5386" i="1"/>
  <c r="B5386" i="1"/>
  <c r="G5385" i="1"/>
  <c r="F5385" i="1"/>
  <c r="E5385" i="1"/>
  <c r="D5385" i="1"/>
  <c r="C5385" i="1"/>
  <c r="B5385" i="1"/>
  <c r="G5384" i="1"/>
  <c r="F5384" i="1"/>
  <c r="E5384" i="1"/>
  <c r="D5384" i="1"/>
  <c r="C5384" i="1"/>
  <c r="B5384" i="1"/>
  <c r="G5383" i="1"/>
  <c r="F5383" i="1"/>
  <c r="E5383" i="1"/>
  <c r="D5383" i="1"/>
  <c r="C5383" i="1"/>
  <c r="B5383" i="1"/>
  <c r="G5382" i="1"/>
  <c r="F5382" i="1"/>
  <c r="E5382" i="1"/>
  <c r="D5382" i="1"/>
  <c r="C5382" i="1"/>
  <c r="B5382" i="1"/>
  <c r="G5381" i="1"/>
  <c r="F5381" i="1"/>
  <c r="E5381" i="1"/>
  <c r="D5381" i="1"/>
  <c r="C5381" i="1"/>
  <c r="B5381" i="1"/>
  <c r="G5380" i="1"/>
  <c r="F5380" i="1"/>
  <c r="E5380" i="1"/>
  <c r="D5380" i="1"/>
  <c r="C5380" i="1"/>
  <c r="B5380" i="1"/>
  <c r="G5379" i="1"/>
  <c r="F5379" i="1"/>
  <c r="E5379" i="1"/>
  <c r="D5379" i="1"/>
  <c r="C5379" i="1"/>
  <c r="B5379" i="1"/>
  <c r="G5378" i="1"/>
  <c r="F5378" i="1"/>
  <c r="E5378" i="1"/>
  <c r="D5378" i="1"/>
  <c r="C5378" i="1"/>
  <c r="B5378" i="1"/>
  <c r="G5377" i="1"/>
  <c r="F5377" i="1"/>
  <c r="E5377" i="1"/>
  <c r="D5377" i="1"/>
  <c r="C5377" i="1"/>
  <c r="B5377" i="1"/>
  <c r="G5376" i="1"/>
  <c r="F5376" i="1"/>
  <c r="E5376" i="1"/>
  <c r="D5376" i="1"/>
  <c r="C5376" i="1"/>
  <c r="B5376" i="1"/>
  <c r="G5375" i="1"/>
  <c r="F5375" i="1"/>
  <c r="E5375" i="1"/>
  <c r="D5375" i="1"/>
  <c r="C5375" i="1"/>
  <c r="B5375" i="1"/>
  <c r="G5374" i="1"/>
  <c r="F5374" i="1"/>
  <c r="E5374" i="1"/>
  <c r="D5374" i="1"/>
  <c r="C5374" i="1"/>
  <c r="B5374" i="1"/>
  <c r="G5373" i="1"/>
  <c r="F5373" i="1"/>
  <c r="E5373" i="1"/>
  <c r="D5373" i="1"/>
  <c r="C5373" i="1"/>
  <c r="B5373" i="1"/>
  <c r="G5372" i="1"/>
  <c r="F5372" i="1"/>
  <c r="E5372" i="1"/>
  <c r="D5372" i="1"/>
  <c r="C5372" i="1"/>
  <c r="B5372" i="1"/>
  <c r="G5371" i="1"/>
  <c r="F5371" i="1"/>
  <c r="E5371" i="1"/>
  <c r="D5371" i="1"/>
  <c r="C5371" i="1"/>
  <c r="B5371" i="1"/>
  <c r="G5370" i="1"/>
  <c r="F5370" i="1"/>
  <c r="E5370" i="1"/>
  <c r="D5370" i="1"/>
  <c r="C5370" i="1"/>
  <c r="B5370" i="1"/>
  <c r="G5369" i="1"/>
  <c r="F5369" i="1"/>
  <c r="E5369" i="1"/>
  <c r="D5369" i="1"/>
  <c r="C5369" i="1"/>
  <c r="B5369" i="1"/>
  <c r="G5368" i="1"/>
  <c r="F5368" i="1"/>
  <c r="E5368" i="1"/>
  <c r="D5368" i="1"/>
  <c r="C5368" i="1"/>
  <c r="B5368" i="1"/>
  <c r="G5367" i="1"/>
  <c r="F5367" i="1"/>
  <c r="E5367" i="1"/>
  <c r="D5367" i="1"/>
  <c r="C5367" i="1"/>
  <c r="B5367" i="1"/>
  <c r="G5366" i="1"/>
  <c r="F5366" i="1"/>
  <c r="E5366" i="1"/>
  <c r="D5366" i="1"/>
  <c r="C5366" i="1"/>
  <c r="B5366" i="1"/>
  <c r="G5365" i="1"/>
  <c r="F5365" i="1"/>
  <c r="E5365" i="1"/>
  <c r="D5365" i="1"/>
  <c r="C5365" i="1"/>
  <c r="B5365" i="1"/>
  <c r="G5364" i="1"/>
  <c r="F5364" i="1"/>
  <c r="E5364" i="1"/>
  <c r="D5364" i="1"/>
  <c r="C5364" i="1"/>
  <c r="B5364" i="1"/>
  <c r="G5363" i="1"/>
  <c r="F5363" i="1"/>
  <c r="E5363" i="1"/>
  <c r="D5363" i="1"/>
  <c r="C5363" i="1"/>
  <c r="B5363" i="1"/>
  <c r="G5362" i="1"/>
  <c r="F5362" i="1"/>
  <c r="E5362" i="1"/>
  <c r="D5362" i="1"/>
  <c r="C5362" i="1"/>
  <c r="B5362" i="1"/>
  <c r="G5361" i="1"/>
  <c r="F5361" i="1"/>
  <c r="E5361" i="1"/>
  <c r="D5361" i="1"/>
  <c r="C5361" i="1"/>
  <c r="B5361" i="1"/>
  <c r="G5360" i="1"/>
  <c r="F5360" i="1"/>
  <c r="E5360" i="1"/>
  <c r="D5360" i="1"/>
  <c r="C5360" i="1"/>
  <c r="B5360" i="1"/>
  <c r="G5359" i="1"/>
  <c r="F5359" i="1"/>
  <c r="E5359" i="1"/>
  <c r="D5359" i="1"/>
  <c r="C5359" i="1"/>
  <c r="B5359" i="1"/>
  <c r="G5358" i="1"/>
  <c r="F5358" i="1"/>
  <c r="E5358" i="1"/>
  <c r="D5358" i="1"/>
  <c r="C5358" i="1"/>
  <c r="B5358" i="1"/>
  <c r="G5357" i="1"/>
  <c r="F5357" i="1"/>
  <c r="E5357" i="1"/>
  <c r="D5357" i="1"/>
  <c r="C5357" i="1"/>
  <c r="B5357" i="1"/>
  <c r="G5356" i="1"/>
  <c r="F5356" i="1"/>
  <c r="E5356" i="1"/>
  <c r="D5356" i="1"/>
  <c r="C5356" i="1"/>
  <c r="B5356" i="1"/>
  <c r="G5355" i="1"/>
  <c r="F5355" i="1"/>
  <c r="E5355" i="1"/>
  <c r="D5355" i="1"/>
  <c r="C5355" i="1"/>
  <c r="B5355" i="1"/>
  <c r="G5354" i="1"/>
  <c r="F5354" i="1"/>
  <c r="E5354" i="1"/>
  <c r="D5354" i="1"/>
  <c r="C5354" i="1"/>
  <c r="B5354" i="1"/>
  <c r="G5353" i="1"/>
  <c r="F5353" i="1"/>
  <c r="E5353" i="1"/>
  <c r="D5353" i="1"/>
  <c r="C5353" i="1"/>
  <c r="B5353" i="1"/>
  <c r="G5352" i="1"/>
  <c r="F5352" i="1"/>
  <c r="E5352" i="1"/>
  <c r="D5352" i="1"/>
  <c r="C5352" i="1"/>
  <c r="B5352" i="1"/>
  <c r="G5351" i="1"/>
  <c r="F5351" i="1"/>
  <c r="E5351" i="1"/>
  <c r="D5351" i="1"/>
  <c r="C5351" i="1"/>
  <c r="B5351" i="1"/>
  <c r="G5350" i="1"/>
  <c r="F5350" i="1"/>
  <c r="E5350" i="1"/>
  <c r="D5350" i="1"/>
  <c r="C5350" i="1"/>
  <c r="B5350" i="1"/>
  <c r="G5349" i="1"/>
  <c r="F5349" i="1"/>
  <c r="E5349" i="1"/>
  <c r="D5349" i="1"/>
  <c r="C5349" i="1"/>
  <c r="B5349" i="1"/>
  <c r="G5348" i="1"/>
  <c r="F5348" i="1"/>
  <c r="E5348" i="1"/>
  <c r="D5348" i="1"/>
  <c r="C5348" i="1"/>
  <c r="B5348" i="1"/>
  <c r="G5347" i="1"/>
  <c r="F5347" i="1"/>
  <c r="E5347" i="1"/>
  <c r="D5347" i="1"/>
  <c r="C5347" i="1"/>
  <c r="B5347" i="1"/>
  <c r="G5346" i="1"/>
  <c r="F5346" i="1"/>
  <c r="E5346" i="1"/>
  <c r="D5346" i="1"/>
  <c r="C5346" i="1"/>
  <c r="B5346" i="1"/>
  <c r="G5345" i="1"/>
  <c r="F5345" i="1"/>
  <c r="E5345" i="1"/>
  <c r="D5345" i="1"/>
  <c r="C5345" i="1"/>
  <c r="B5345" i="1"/>
  <c r="G5344" i="1"/>
  <c r="F5344" i="1"/>
  <c r="E5344" i="1"/>
  <c r="D5344" i="1"/>
  <c r="C5344" i="1"/>
  <c r="B5344" i="1"/>
  <c r="G5343" i="1"/>
  <c r="F5343" i="1"/>
  <c r="E5343" i="1"/>
  <c r="D5343" i="1"/>
  <c r="C5343" i="1"/>
  <c r="B5343" i="1"/>
  <c r="G5342" i="1"/>
  <c r="F5342" i="1"/>
  <c r="E5342" i="1"/>
  <c r="D5342" i="1"/>
  <c r="C5342" i="1"/>
  <c r="B5342" i="1"/>
  <c r="G5341" i="1"/>
  <c r="F5341" i="1"/>
  <c r="E5341" i="1"/>
  <c r="D5341" i="1"/>
  <c r="C5341" i="1"/>
  <c r="B5341" i="1"/>
  <c r="G5340" i="1"/>
  <c r="F5340" i="1"/>
  <c r="E5340" i="1"/>
  <c r="D5340" i="1"/>
  <c r="C5340" i="1"/>
  <c r="B5340" i="1"/>
  <c r="G5339" i="1"/>
  <c r="F5339" i="1"/>
  <c r="E5339" i="1"/>
  <c r="D5339" i="1"/>
  <c r="C5339" i="1"/>
  <c r="B5339" i="1"/>
  <c r="G5338" i="1"/>
  <c r="F5338" i="1"/>
  <c r="E5338" i="1"/>
  <c r="D5338" i="1"/>
  <c r="C5338" i="1"/>
  <c r="B5338" i="1"/>
  <c r="G5337" i="1"/>
  <c r="F5337" i="1"/>
  <c r="E5337" i="1"/>
  <c r="D5337" i="1"/>
  <c r="C5337" i="1"/>
  <c r="B5337" i="1"/>
  <c r="G5336" i="1"/>
  <c r="F5336" i="1"/>
  <c r="E5336" i="1"/>
  <c r="D5336" i="1"/>
  <c r="C5336" i="1"/>
  <c r="B5336" i="1"/>
  <c r="G5335" i="1"/>
  <c r="F5335" i="1"/>
  <c r="E5335" i="1"/>
  <c r="D5335" i="1"/>
  <c r="C5335" i="1"/>
  <c r="B5335" i="1"/>
  <c r="G5334" i="1"/>
  <c r="F5334" i="1"/>
  <c r="E5334" i="1"/>
  <c r="D5334" i="1"/>
  <c r="C5334" i="1"/>
  <c r="B5334" i="1"/>
  <c r="G5333" i="1"/>
  <c r="F5333" i="1"/>
  <c r="E5333" i="1"/>
  <c r="D5333" i="1"/>
  <c r="C5333" i="1"/>
  <c r="B5333" i="1"/>
  <c r="G5332" i="1"/>
  <c r="F5332" i="1"/>
  <c r="E5332" i="1"/>
  <c r="D5332" i="1"/>
  <c r="C5332" i="1"/>
  <c r="B5332" i="1"/>
  <c r="G5331" i="1"/>
  <c r="F5331" i="1"/>
  <c r="E5331" i="1"/>
  <c r="D5331" i="1"/>
  <c r="C5331" i="1"/>
  <c r="B5331" i="1"/>
  <c r="G5330" i="1"/>
  <c r="F5330" i="1"/>
  <c r="E5330" i="1"/>
  <c r="D5330" i="1"/>
  <c r="C5330" i="1"/>
  <c r="B5330" i="1"/>
  <c r="G5329" i="1"/>
  <c r="F5329" i="1"/>
  <c r="E5329" i="1"/>
  <c r="D5329" i="1"/>
  <c r="C5329" i="1"/>
  <c r="B5329" i="1"/>
  <c r="G5328" i="1"/>
  <c r="F5328" i="1"/>
  <c r="E5328" i="1"/>
  <c r="D5328" i="1"/>
  <c r="C5328" i="1"/>
  <c r="B5328" i="1"/>
  <c r="G5327" i="1"/>
  <c r="F5327" i="1"/>
  <c r="E5327" i="1"/>
  <c r="D5327" i="1"/>
  <c r="C5327" i="1"/>
  <c r="B5327" i="1"/>
  <c r="G5326" i="1"/>
  <c r="F5326" i="1"/>
  <c r="E5326" i="1"/>
  <c r="D5326" i="1"/>
  <c r="C5326" i="1"/>
  <c r="B5326" i="1"/>
  <c r="G5325" i="1"/>
  <c r="F5325" i="1"/>
  <c r="E5325" i="1"/>
  <c r="D5325" i="1"/>
  <c r="C5325" i="1"/>
  <c r="B5325" i="1"/>
  <c r="G5324" i="1"/>
  <c r="F5324" i="1"/>
  <c r="E5324" i="1"/>
  <c r="D5324" i="1"/>
  <c r="C5324" i="1"/>
  <c r="B5324" i="1"/>
  <c r="G5323" i="1"/>
  <c r="F5323" i="1"/>
  <c r="E5323" i="1"/>
  <c r="D5323" i="1"/>
  <c r="C5323" i="1"/>
  <c r="B5323" i="1"/>
  <c r="G5322" i="1"/>
  <c r="F5322" i="1"/>
  <c r="E5322" i="1"/>
  <c r="D5322" i="1"/>
  <c r="C5322" i="1"/>
  <c r="B5322" i="1"/>
  <c r="G5321" i="1"/>
  <c r="F5321" i="1"/>
  <c r="E5321" i="1"/>
  <c r="D5321" i="1"/>
  <c r="C5321" i="1"/>
  <c r="B5321" i="1"/>
  <c r="G5320" i="1"/>
  <c r="F5320" i="1"/>
  <c r="E5320" i="1"/>
  <c r="D5320" i="1"/>
  <c r="C5320" i="1"/>
  <c r="B5320" i="1"/>
  <c r="G5319" i="1"/>
  <c r="F5319" i="1"/>
  <c r="E5319" i="1"/>
  <c r="D5319" i="1"/>
  <c r="C5319" i="1"/>
  <c r="B5319" i="1"/>
  <c r="G5318" i="1"/>
  <c r="F5318" i="1"/>
  <c r="E5318" i="1"/>
  <c r="D5318" i="1"/>
  <c r="C5318" i="1"/>
  <c r="B5318" i="1"/>
  <c r="G5317" i="1"/>
  <c r="F5317" i="1"/>
  <c r="E5317" i="1"/>
  <c r="D5317" i="1"/>
  <c r="C5317" i="1"/>
  <c r="B5317" i="1"/>
  <c r="G5316" i="1"/>
  <c r="F5316" i="1"/>
  <c r="E5316" i="1"/>
  <c r="D5316" i="1"/>
  <c r="C5316" i="1"/>
  <c r="B5316" i="1"/>
  <c r="G5315" i="1"/>
  <c r="F5315" i="1"/>
  <c r="E5315" i="1"/>
  <c r="D5315" i="1"/>
  <c r="C5315" i="1"/>
  <c r="B5315" i="1"/>
  <c r="G5314" i="1"/>
  <c r="F5314" i="1"/>
  <c r="E5314" i="1"/>
  <c r="D5314" i="1"/>
  <c r="C5314" i="1"/>
  <c r="B5314" i="1"/>
  <c r="G5313" i="1"/>
  <c r="F5313" i="1"/>
  <c r="E5313" i="1"/>
  <c r="D5313" i="1"/>
  <c r="C5313" i="1"/>
  <c r="B5313" i="1"/>
  <c r="G5312" i="1"/>
  <c r="F5312" i="1"/>
  <c r="E5312" i="1"/>
  <c r="D5312" i="1"/>
  <c r="C5312" i="1"/>
  <c r="B5312" i="1"/>
  <c r="F5311" i="1"/>
  <c r="E5311" i="1"/>
  <c r="D5311" i="1"/>
  <c r="C5311" i="1"/>
  <c r="B5311" i="1"/>
  <c r="G5310" i="1"/>
  <c r="F5310" i="1"/>
  <c r="E5310" i="1"/>
  <c r="D5310" i="1"/>
  <c r="C5310" i="1"/>
  <c r="B5310" i="1"/>
  <c r="G5309" i="1"/>
  <c r="F5309" i="1"/>
  <c r="E5309" i="1"/>
  <c r="D5309" i="1"/>
  <c r="C5309" i="1"/>
  <c r="B5309" i="1"/>
  <c r="G5308" i="1"/>
  <c r="F5308" i="1"/>
  <c r="E5308" i="1"/>
  <c r="D5308" i="1"/>
  <c r="C5308" i="1"/>
  <c r="B5308" i="1"/>
  <c r="G5307" i="1"/>
  <c r="F5307" i="1"/>
  <c r="E5307" i="1"/>
  <c r="D5307" i="1"/>
  <c r="C5307" i="1"/>
  <c r="B5307" i="1"/>
  <c r="G5306" i="1"/>
  <c r="F5306" i="1"/>
  <c r="E5306" i="1"/>
  <c r="D5306" i="1"/>
  <c r="C5306" i="1"/>
  <c r="B5306" i="1"/>
  <c r="G5305" i="1"/>
  <c r="F5305" i="1"/>
  <c r="E5305" i="1"/>
  <c r="D5305" i="1"/>
  <c r="C5305" i="1"/>
  <c r="B5305" i="1"/>
  <c r="G5304" i="1"/>
  <c r="F5304" i="1"/>
  <c r="E5304" i="1"/>
  <c r="D5304" i="1"/>
  <c r="C5304" i="1"/>
  <c r="B5304" i="1"/>
  <c r="G5303" i="1"/>
  <c r="F5303" i="1"/>
  <c r="E5303" i="1"/>
  <c r="D5303" i="1"/>
  <c r="C5303" i="1"/>
  <c r="B5303" i="1"/>
  <c r="G5302" i="1"/>
  <c r="F5302" i="1"/>
  <c r="E5302" i="1"/>
  <c r="D5302" i="1"/>
  <c r="C5302" i="1"/>
  <c r="B5302" i="1"/>
  <c r="G5301" i="1"/>
  <c r="F5301" i="1"/>
  <c r="E5301" i="1"/>
  <c r="D5301" i="1"/>
  <c r="C5301" i="1"/>
  <c r="B5301" i="1"/>
  <c r="G5300" i="1"/>
  <c r="F5300" i="1"/>
  <c r="E5300" i="1"/>
  <c r="D5300" i="1"/>
  <c r="C5300" i="1"/>
  <c r="B5300" i="1"/>
  <c r="G5299" i="1"/>
  <c r="F5299" i="1"/>
  <c r="E5299" i="1"/>
  <c r="D5299" i="1"/>
  <c r="C5299" i="1"/>
  <c r="B5299" i="1"/>
  <c r="G5298" i="1"/>
  <c r="F5298" i="1"/>
  <c r="E5298" i="1"/>
  <c r="D5298" i="1"/>
  <c r="C5298" i="1"/>
  <c r="B5298" i="1"/>
  <c r="G5297" i="1"/>
  <c r="F5297" i="1"/>
  <c r="E5297" i="1"/>
  <c r="D5297" i="1"/>
  <c r="C5297" i="1"/>
  <c r="B5297" i="1"/>
  <c r="G5296" i="1"/>
  <c r="F5296" i="1"/>
  <c r="E5296" i="1"/>
  <c r="D5296" i="1"/>
  <c r="C5296" i="1"/>
  <c r="B5296" i="1"/>
  <c r="G5295" i="1"/>
  <c r="F5295" i="1"/>
  <c r="E5295" i="1"/>
  <c r="D5295" i="1"/>
  <c r="C5295" i="1"/>
  <c r="B5295" i="1"/>
  <c r="G5294" i="1"/>
  <c r="F5294" i="1"/>
  <c r="E5294" i="1"/>
  <c r="D5294" i="1"/>
  <c r="C5294" i="1"/>
  <c r="B5294" i="1"/>
  <c r="G5293" i="1"/>
  <c r="F5293" i="1"/>
  <c r="E5293" i="1"/>
  <c r="D5293" i="1"/>
  <c r="C5293" i="1"/>
  <c r="B5293" i="1"/>
  <c r="G5292" i="1"/>
  <c r="F5292" i="1"/>
  <c r="E5292" i="1"/>
  <c r="D5292" i="1"/>
  <c r="C5292" i="1"/>
  <c r="B5292" i="1"/>
  <c r="G5291" i="1"/>
  <c r="F5291" i="1"/>
  <c r="E5291" i="1"/>
  <c r="D5291" i="1"/>
  <c r="C5291" i="1"/>
  <c r="B5291" i="1"/>
  <c r="G5290" i="1"/>
  <c r="F5290" i="1"/>
  <c r="E5290" i="1"/>
  <c r="D5290" i="1"/>
  <c r="C5290" i="1"/>
  <c r="B5290" i="1"/>
  <c r="G5289" i="1"/>
  <c r="F5289" i="1"/>
  <c r="E5289" i="1"/>
  <c r="D5289" i="1"/>
  <c r="C5289" i="1"/>
  <c r="B5289" i="1"/>
  <c r="G5288" i="1"/>
  <c r="F5288" i="1"/>
  <c r="E5288" i="1"/>
  <c r="D5288" i="1"/>
  <c r="C5288" i="1"/>
  <c r="B5288" i="1"/>
  <c r="G5287" i="1"/>
  <c r="F5287" i="1"/>
  <c r="E5287" i="1"/>
  <c r="D5287" i="1"/>
  <c r="C5287" i="1"/>
  <c r="B5287" i="1"/>
  <c r="G5286" i="1"/>
  <c r="F5286" i="1"/>
  <c r="E5286" i="1"/>
  <c r="D5286" i="1"/>
  <c r="C5286" i="1"/>
  <c r="B5286" i="1"/>
  <c r="G5285" i="1"/>
  <c r="F5285" i="1"/>
  <c r="E5285" i="1"/>
  <c r="D5285" i="1"/>
  <c r="C5285" i="1"/>
  <c r="B5285" i="1"/>
  <c r="G5284" i="1"/>
  <c r="F5284" i="1"/>
  <c r="E5284" i="1"/>
  <c r="D5284" i="1"/>
  <c r="C5284" i="1"/>
  <c r="B5284" i="1"/>
  <c r="G5283" i="1"/>
  <c r="F5283" i="1"/>
  <c r="E5283" i="1"/>
  <c r="D5283" i="1"/>
  <c r="C5283" i="1"/>
  <c r="B5283" i="1"/>
  <c r="G5282" i="1"/>
  <c r="F5282" i="1"/>
  <c r="E5282" i="1"/>
  <c r="D5282" i="1"/>
  <c r="C5282" i="1"/>
  <c r="B5282" i="1"/>
  <c r="G5281" i="1"/>
  <c r="F5281" i="1"/>
  <c r="E5281" i="1"/>
  <c r="D5281" i="1"/>
  <c r="C5281" i="1"/>
  <c r="B5281" i="1"/>
  <c r="G5280" i="1"/>
  <c r="F5280" i="1"/>
  <c r="E5280" i="1"/>
  <c r="D5280" i="1"/>
  <c r="C5280" i="1"/>
  <c r="B5280" i="1"/>
  <c r="G5279" i="1"/>
  <c r="F5279" i="1"/>
  <c r="E5279" i="1"/>
  <c r="D5279" i="1"/>
  <c r="C5279" i="1"/>
  <c r="B5279" i="1"/>
  <c r="G5278" i="1"/>
  <c r="F5278" i="1"/>
  <c r="E5278" i="1"/>
  <c r="D5278" i="1"/>
  <c r="C5278" i="1"/>
  <c r="B5278" i="1"/>
  <c r="G5277" i="1"/>
  <c r="F5277" i="1"/>
  <c r="E5277" i="1"/>
  <c r="D5277" i="1"/>
  <c r="C5277" i="1"/>
  <c r="B5277" i="1"/>
  <c r="G5276" i="1"/>
  <c r="F5276" i="1"/>
  <c r="E5276" i="1"/>
  <c r="D5276" i="1"/>
  <c r="C5276" i="1"/>
  <c r="B5276" i="1"/>
  <c r="G5275" i="1"/>
  <c r="F5275" i="1"/>
  <c r="E5275" i="1"/>
  <c r="D5275" i="1"/>
  <c r="C5275" i="1"/>
  <c r="B5275" i="1"/>
  <c r="G5274" i="1"/>
  <c r="F5274" i="1"/>
  <c r="E5274" i="1"/>
  <c r="D5274" i="1"/>
  <c r="C5274" i="1"/>
  <c r="B5274" i="1"/>
  <c r="G5273" i="1"/>
  <c r="F5273" i="1"/>
  <c r="E5273" i="1"/>
  <c r="D5273" i="1"/>
  <c r="C5273" i="1"/>
  <c r="B5273" i="1"/>
  <c r="G5272" i="1"/>
  <c r="F5272" i="1"/>
  <c r="E5272" i="1"/>
  <c r="D5272" i="1"/>
  <c r="C5272" i="1"/>
  <c r="B5272" i="1"/>
  <c r="D5271" i="1"/>
  <c r="C5271" i="1"/>
  <c r="B5271" i="1"/>
  <c r="G5270" i="1"/>
  <c r="F5270" i="1"/>
  <c r="E5270" i="1"/>
  <c r="D5270" i="1"/>
  <c r="C5270" i="1"/>
  <c r="B5270" i="1"/>
  <c r="G5269" i="1"/>
  <c r="F5269" i="1"/>
  <c r="E5269" i="1"/>
  <c r="D5269" i="1"/>
  <c r="C5269" i="1"/>
  <c r="B5269" i="1"/>
  <c r="G5268" i="1"/>
  <c r="F5268" i="1"/>
  <c r="E5268" i="1"/>
  <c r="D5268" i="1"/>
  <c r="C5268" i="1"/>
  <c r="B5268" i="1"/>
  <c r="G5267" i="1"/>
  <c r="F5267" i="1"/>
  <c r="E5267" i="1"/>
  <c r="D5267" i="1"/>
  <c r="C5267" i="1"/>
  <c r="B5267" i="1"/>
  <c r="G5266" i="1"/>
  <c r="F5266" i="1"/>
  <c r="E5266" i="1"/>
  <c r="D5266" i="1"/>
  <c r="C5266" i="1"/>
  <c r="B5266" i="1"/>
  <c r="G5265" i="1"/>
  <c r="F5265" i="1"/>
  <c r="E5265" i="1"/>
  <c r="D5265" i="1"/>
  <c r="C5265" i="1"/>
  <c r="B5265" i="1"/>
  <c r="G5264" i="1"/>
  <c r="F5264" i="1"/>
  <c r="E5264" i="1"/>
  <c r="D5264" i="1"/>
  <c r="C5264" i="1"/>
  <c r="B5264" i="1"/>
  <c r="G5263" i="1"/>
  <c r="F5263" i="1"/>
  <c r="E5263" i="1"/>
  <c r="D5263" i="1"/>
  <c r="C5263" i="1"/>
  <c r="B5263" i="1"/>
  <c r="G5262" i="1"/>
  <c r="F5262" i="1"/>
  <c r="E5262" i="1"/>
  <c r="D5262" i="1"/>
  <c r="C5262" i="1"/>
  <c r="B5262" i="1"/>
  <c r="G5261" i="1"/>
  <c r="F5261" i="1"/>
  <c r="E5261" i="1"/>
  <c r="D5261" i="1"/>
  <c r="C5261" i="1"/>
  <c r="B5261" i="1"/>
  <c r="G5260" i="1"/>
  <c r="F5260" i="1"/>
  <c r="E5260" i="1"/>
  <c r="D5260" i="1"/>
  <c r="C5260" i="1"/>
  <c r="B5260" i="1"/>
  <c r="G5259" i="1"/>
  <c r="F5259" i="1"/>
  <c r="E5259" i="1"/>
  <c r="D5259" i="1"/>
  <c r="C5259" i="1"/>
  <c r="B5259" i="1"/>
  <c r="G5258" i="1"/>
  <c r="F5258" i="1"/>
  <c r="E5258" i="1"/>
  <c r="D5258" i="1"/>
  <c r="C5258" i="1"/>
  <c r="B5258" i="1"/>
  <c r="G5257" i="1"/>
  <c r="F5257" i="1"/>
  <c r="E5257" i="1"/>
  <c r="D5257" i="1"/>
  <c r="C5257" i="1"/>
  <c r="B5257" i="1"/>
  <c r="G5256" i="1"/>
  <c r="F5256" i="1"/>
  <c r="E5256" i="1"/>
  <c r="D5256" i="1"/>
  <c r="C5256" i="1"/>
  <c r="B5256" i="1"/>
  <c r="G5255" i="1"/>
  <c r="F5255" i="1"/>
  <c r="E5255" i="1"/>
  <c r="D5255" i="1"/>
  <c r="C5255" i="1"/>
  <c r="B5255" i="1"/>
  <c r="G5254" i="1"/>
  <c r="F5254" i="1"/>
  <c r="E5254" i="1"/>
  <c r="D5254" i="1"/>
  <c r="C5254" i="1"/>
  <c r="B5254" i="1"/>
  <c r="G5253" i="1"/>
  <c r="F5253" i="1"/>
  <c r="E5253" i="1"/>
  <c r="D5253" i="1"/>
  <c r="C5253" i="1"/>
  <c r="B5253" i="1"/>
  <c r="G5252" i="1"/>
  <c r="F5252" i="1"/>
  <c r="E5252" i="1"/>
  <c r="D5252" i="1"/>
  <c r="C5252" i="1"/>
  <c r="B5252" i="1"/>
  <c r="G5251" i="1"/>
  <c r="F5251" i="1"/>
  <c r="E5251" i="1"/>
  <c r="D5251" i="1"/>
  <c r="C5251" i="1"/>
  <c r="B5251" i="1"/>
  <c r="G5250" i="1"/>
  <c r="F5250" i="1"/>
  <c r="E5250" i="1"/>
  <c r="D5250" i="1"/>
  <c r="C5250" i="1"/>
  <c r="B5250" i="1"/>
  <c r="G5249" i="1"/>
  <c r="F5249" i="1"/>
  <c r="E5249" i="1"/>
  <c r="D5249" i="1"/>
  <c r="C5249" i="1"/>
  <c r="B5249" i="1"/>
  <c r="G5248" i="1"/>
  <c r="F5248" i="1"/>
  <c r="E5248" i="1"/>
  <c r="D5248" i="1"/>
  <c r="C5248" i="1"/>
  <c r="B5248" i="1"/>
  <c r="G5247" i="1"/>
  <c r="F5247" i="1"/>
  <c r="E5247" i="1"/>
  <c r="D5247" i="1"/>
  <c r="C5247" i="1"/>
  <c r="B5247" i="1"/>
  <c r="G5246" i="1"/>
  <c r="F5246" i="1"/>
  <c r="E5246" i="1"/>
  <c r="D5246" i="1"/>
  <c r="C5246" i="1"/>
  <c r="B5246" i="1"/>
  <c r="G5245" i="1"/>
  <c r="F5245" i="1"/>
  <c r="E5245" i="1"/>
  <c r="D5245" i="1"/>
  <c r="C5245" i="1"/>
  <c r="B5245" i="1"/>
  <c r="G5244" i="1"/>
  <c r="F5244" i="1"/>
  <c r="E5244" i="1"/>
  <c r="D5244" i="1"/>
  <c r="C5244" i="1"/>
  <c r="B5244" i="1"/>
  <c r="G5243" i="1"/>
  <c r="F5243" i="1"/>
  <c r="E5243" i="1"/>
  <c r="D5243" i="1"/>
  <c r="C5243" i="1"/>
  <c r="B5243" i="1"/>
  <c r="G5242" i="1"/>
  <c r="F5242" i="1"/>
  <c r="E5242" i="1"/>
  <c r="D5242" i="1"/>
  <c r="C5242" i="1"/>
  <c r="B5242" i="1"/>
  <c r="G5241" i="1"/>
  <c r="F5241" i="1"/>
  <c r="E5241" i="1"/>
  <c r="D5241" i="1"/>
  <c r="C5241" i="1"/>
  <c r="B5241" i="1"/>
  <c r="G5240" i="1"/>
  <c r="F5240" i="1"/>
  <c r="E5240" i="1"/>
  <c r="D5240" i="1"/>
  <c r="C5240" i="1"/>
  <c r="B5240" i="1"/>
  <c r="G5239" i="1"/>
  <c r="F5239" i="1"/>
  <c r="E5239" i="1"/>
  <c r="D5239" i="1"/>
  <c r="C5239" i="1"/>
  <c r="B5239" i="1"/>
  <c r="G5238" i="1"/>
  <c r="F5238" i="1"/>
  <c r="E5238" i="1"/>
  <c r="D5238" i="1"/>
  <c r="C5238" i="1"/>
  <c r="B5238" i="1"/>
  <c r="G5237" i="1"/>
  <c r="F5237" i="1"/>
  <c r="E5237" i="1"/>
  <c r="D5237" i="1"/>
  <c r="C5237" i="1"/>
  <c r="B5237" i="1"/>
  <c r="G5236" i="1"/>
  <c r="F5236" i="1"/>
  <c r="E5236" i="1"/>
  <c r="D5236" i="1"/>
  <c r="C5236" i="1"/>
  <c r="B5236" i="1"/>
  <c r="G5235" i="1"/>
  <c r="F5235" i="1"/>
  <c r="E5235" i="1"/>
  <c r="D5235" i="1"/>
  <c r="C5235" i="1"/>
  <c r="B5235" i="1"/>
  <c r="G5234" i="1"/>
  <c r="F5234" i="1"/>
  <c r="E5234" i="1"/>
  <c r="D5234" i="1"/>
  <c r="C5234" i="1"/>
  <c r="B5234" i="1"/>
  <c r="G5233" i="1"/>
  <c r="F5233" i="1"/>
  <c r="E5233" i="1"/>
  <c r="D5233" i="1"/>
  <c r="C5233" i="1"/>
  <c r="B5233" i="1"/>
  <c r="G5232" i="1"/>
  <c r="F5232" i="1"/>
  <c r="E5232" i="1"/>
  <c r="D5232" i="1"/>
  <c r="C5232" i="1"/>
  <c r="B5232" i="1"/>
  <c r="G5231" i="1"/>
  <c r="F5231" i="1"/>
  <c r="E5231" i="1"/>
  <c r="D5231" i="1"/>
  <c r="C5231" i="1"/>
  <c r="B5231" i="1"/>
  <c r="G5230" i="1"/>
  <c r="F5230" i="1"/>
  <c r="E5230" i="1"/>
  <c r="D5230" i="1"/>
  <c r="C5230" i="1"/>
  <c r="B5230" i="1"/>
  <c r="G5229" i="1"/>
  <c r="F5229" i="1"/>
  <c r="E5229" i="1"/>
  <c r="D5229" i="1"/>
  <c r="C5229" i="1"/>
  <c r="B5229" i="1"/>
  <c r="G5228" i="1"/>
  <c r="F5228" i="1"/>
  <c r="E5228" i="1"/>
  <c r="D5228" i="1"/>
  <c r="C5228" i="1"/>
  <c r="B5228" i="1"/>
  <c r="G5227" i="1"/>
  <c r="F5227" i="1"/>
  <c r="E5227" i="1"/>
  <c r="D5227" i="1"/>
  <c r="C5227" i="1"/>
  <c r="B5227" i="1"/>
  <c r="G5226" i="1"/>
  <c r="F5226" i="1"/>
  <c r="E5226" i="1"/>
  <c r="D5226" i="1"/>
  <c r="C5226" i="1"/>
  <c r="B5226" i="1"/>
  <c r="G5225" i="1"/>
  <c r="F5225" i="1"/>
  <c r="E5225" i="1"/>
  <c r="D5225" i="1"/>
  <c r="C5225" i="1"/>
  <c r="B5225" i="1"/>
  <c r="G5224" i="1"/>
  <c r="F5224" i="1"/>
  <c r="E5224" i="1"/>
  <c r="D5224" i="1"/>
  <c r="C5224" i="1"/>
  <c r="B5224" i="1"/>
  <c r="G5223" i="1"/>
  <c r="F5223" i="1"/>
  <c r="E5223" i="1"/>
  <c r="D5223" i="1"/>
  <c r="C5223" i="1"/>
  <c r="B5223" i="1"/>
  <c r="G5222" i="1"/>
  <c r="F5222" i="1"/>
  <c r="E5222" i="1"/>
  <c r="D5222" i="1"/>
  <c r="C5222" i="1"/>
  <c r="B5222" i="1"/>
  <c r="G5221" i="1"/>
  <c r="F5221" i="1"/>
  <c r="E5221" i="1"/>
  <c r="D5221" i="1"/>
  <c r="C5221" i="1"/>
  <c r="B5221" i="1"/>
  <c r="G5220" i="1"/>
  <c r="F5220" i="1"/>
  <c r="E5220" i="1"/>
  <c r="D5220" i="1"/>
  <c r="C5220" i="1"/>
  <c r="B5220" i="1"/>
  <c r="G5219" i="1"/>
  <c r="F5219" i="1"/>
  <c r="E5219" i="1"/>
  <c r="D5219" i="1"/>
  <c r="C5219" i="1"/>
  <c r="B5219" i="1"/>
  <c r="G5218" i="1"/>
  <c r="F5218" i="1"/>
  <c r="E5218" i="1"/>
  <c r="D5218" i="1"/>
  <c r="C5218" i="1"/>
  <c r="B5218" i="1"/>
  <c r="G5217" i="1"/>
  <c r="F5217" i="1"/>
  <c r="E5217" i="1"/>
  <c r="D5217" i="1"/>
  <c r="C5217" i="1"/>
  <c r="B5217" i="1"/>
  <c r="G5216" i="1"/>
  <c r="F5216" i="1"/>
  <c r="E5216" i="1"/>
  <c r="D5216" i="1"/>
  <c r="C5216" i="1"/>
  <c r="B5216" i="1"/>
  <c r="G5215" i="1"/>
  <c r="F5215" i="1"/>
  <c r="E5215" i="1"/>
  <c r="D5215" i="1"/>
  <c r="C5215" i="1"/>
  <c r="B5215" i="1"/>
  <c r="G5214" i="1"/>
  <c r="F5214" i="1"/>
  <c r="E5214" i="1"/>
  <c r="D5214" i="1"/>
  <c r="C5214" i="1"/>
  <c r="B5214" i="1"/>
  <c r="G5213" i="1"/>
  <c r="F5213" i="1"/>
  <c r="E5213" i="1"/>
  <c r="D5213" i="1"/>
  <c r="C5213" i="1"/>
  <c r="B5213" i="1"/>
  <c r="G5212" i="1"/>
  <c r="F5212" i="1"/>
  <c r="E5212" i="1"/>
  <c r="D5212" i="1"/>
  <c r="C5212" i="1"/>
  <c r="B5212" i="1"/>
  <c r="G5211" i="1"/>
  <c r="F5211" i="1"/>
  <c r="E5211" i="1"/>
  <c r="D5211" i="1"/>
  <c r="C5211" i="1"/>
  <c r="B5211" i="1"/>
  <c r="G5210" i="1"/>
  <c r="F5210" i="1"/>
  <c r="E5210" i="1"/>
  <c r="D5210" i="1"/>
  <c r="C5210" i="1"/>
  <c r="B5210" i="1"/>
  <c r="G5209" i="1"/>
  <c r="F5209" i="1"/>
  <c r="E5209" i="1"/>
  <c r="D5209" i="1"/>
  <c r="C5209" i="1"/>
  <c r="B5209" i="1"/>
  <c r="G5208" i="1"/>
  <c r="F5208" i="1"/>
  <c r="E5208" i="1"/>
  <c r="D5208" i="1"/>
  <c r="C5208" i="1"/>
  <c r="B5208" i="1"/>
  <c r="G5207" i="1"/>
  <c r="F5207" i="1"/>
  <c r="E5207" i="1"/>
  <c r="D5207" i="1"/>
  <c r="C5207" i="1"/>
  <c r="B5207" i="1"/>
  <c r="G5206" i="1"/>
  <c r="F5206" i="1"/>
  <c r="E5206" i="1"/>
  <c r="D5206" i="1"/>
  <c r="C5206" i="1"/>
  <c r="B5206" i="1"/>
  <c r="G5205" i="1"/>
  <c r="F5205" i="1"/>
  <c r="E5205" i="1"/>
  <c r="D5205" i="1"/>
  <c r="C5205" i="1"/>
  <c r="B5205" i="1"/>
  <c r="G5204" i="1"/>
  <c r="F5204" i="1"/>
  <c r="E5204" i="1"/>
  <c r="D5204" i="1"/>
  <c r="C5204" i="1"/>
  <c r="B5204" i="1"/>
  <c r="G5203" i="1"/>
  <c r="F5203" i="1"/>
  <c r="E5203" i="1"/>
  <c r="D5203" i="1"/>
  <c r="C5203" i="1"/>
  <c r="B5203" i="1"/>
  <c r="G5202" i="1"/>
  <c r="F5202" i="1"/>
  <c r="E5202" i="1"/>
  <c r="D5202" i="1"/>
  <c r="C5202" i="1"/>
  <c r="B5202" i="1"/>
  <c r="G5201" i="1"/>
  <c r="F5201" i="1"/>
  <c r="E5201" i="1"/>
  <c r="D5201" i="1"/>
  <c r="C5201" i="1"/>
  <c r="B5201" i="1"/>
  <c r="G5200" i="1"/>
  <c r="F5200" i="1"/>
  <c r="E5200" i="1"/>
  <c r="D5200" i="1"/>
  <c r="C5200" i="1"/>
  <c r="B5200" i="1"/>
  <c r="G5199" i="1"/>
  <c r="F5199" i="1"/>
  <c r="E5199" i="1"/>
  <c r="D5199" i="1"/>
  <c r="C5199" i="1"/>
  <c r="B5199" i="1"/>
  <c r="G5198" i="1"/>
  <c r="F5198" i="1"/>
  <c r="E5198" i="1"/>
  <c r="D5198" i="1"/>
  <c r="C5198" i="1"/>
  <c r="B5198" i="1"/>
  <c r="G5197" i="1"/>
  <c r="F5197" i="1"/>
  <c r="E5197" i="1"/>
  <c r="D5197" i="1"/>
  <c r="C5197" i="1"/>
  <c r="B5197" i="1"/>
  <c r="G5196" i="1"/>
  <c r="F5196" i="1"/>
  <c r="E5196" i="1"/>
  <c r="D5196" i="1"/>
  <c r="C5196" i="1"/>
  <c r="B5196" i="1"/>
  <c r="G5195" i="1"/>
  <c r="F5195" i="1"/>
  <c r="E5195" i="1"/>
  <c r="D5195" i="1"/>
  <c r="C5195" i="1"/>
  <c r="B5195" i="1"/>
  <c r="G5194" i="1"/>
  <c r="F5194" i="1"/>
  <c r="E5194" i="1"/>
  <c r="D5194" i="1"/>
  <c r="C5194" i="1"/>
  <c r="B5194" i="1"/>
  <c r="G5193" i="1"/>
  <c r="F5193" i="1"/>
  <c r="E5193" i="1"/>
  <c r="D5193" i="1"/>
  <c r="C5193" i="1"/>
  <c r="B5193" i="1"/>
  <c r="G5192" i="1"/>
  <c r="F5192" i="1"/>
  <c r="E5192" i="1"/>
  <c r="D5192" i="1"/>
  <c r="C5192" i="1"/>
  <c r="B5192" i="1"/>
  <c r="G5191" i="1"/>
  <c r="F5191" i="1"/>
  <c r="E5191" i="1"/>
  <c r="D5191" i="1"/>
  <c r="C5191" i="1"/>
  <c r="B5191" i="1"/>
  <c r="G5190" i="1"/>
  <c r="F5190" i="1"/>
  <c r="E5190" i="1"/>
  <c r="D5190" i="1"/>
  <c r="C5190" i="1"/>
  <c r="B5190" i="1"/>
  <c r="G5189" i="1"/>
  <c r="F5189" i="1"/>
  <c r="E5189" i="1"/>
  <c r="D5189" i="1"/>
  <c r="C5189" i="1"/>
  <c r="B5189" i="1"/>
  <c r="G5188" i="1"/>
  <c r="F5188" i="1"/>
  <c r="E5188" i="1"/>
  <c r="D5188" i="1"/>
  <c r="C5188" i="1"/>
  <c r="B5188" i="1"/>
  <c r="G5187" i="1"/>
  <c r="F5187" i="1"/>
  <c r="E5187" i="1"/>
  <c r="D5187" i="1"/>
  <c r="C5187" i="1"/>
  <c r="B5187" i="1"/>
  <c r="G5186" i="1"/>
  <c r="F5186" i="1"/>
  <c r="E5186" i="1"/>
  <c r="D5186" i="1"/>
  <c r="C5186" i="1"/>
  <c r="B5186" i="1"/>
  <c r="G5185" i="1"/>
  <c r="F5185" i="1"/>
  <c r="E5185" i="1"/>
  <c r="D5185" i="1"/>
  <c r="C5185" i="1"/>
  <c r="B5185" i="1"/>
  <c r="G5184" i="1"/>
  <c r="F5184" i="1"/>
  <c r="E5184" i="1"/>
  <c r="D5184" i="1"/>
  <c r="C5184" i="1"/>
  <c r="B5184" i="1"/>
  <c r="G5183" i="1"/>
  <c r="F5183" i="1"/>
  <c r="E5183" i="1"/>
  <c r="D5183" i="1"/>
  <c r="C5183" i="1"/>
  <c r="B5183" i="1"/>
  <c r="G5182" i="1"/>
  <c r="F5182" i="1"/>
  <c r="E5182" i="1"/>
  <c r="D5182" i="1"/>
  <c r="C5182" i="1"/>
  <c r="B5182" i="1"/>
  <c r="G5181" i="1"/>
  <c r="F5181" i="1"/>
  <c r="E5181" i="1"/>
  <c r="D5181" i="1"/>
  <c r="C5181" i="1"/>
  <c r="B5181" i="1"/>
  <c r="G5180" i="1"/>
  <c r="F5180" i="1"/>
  <c r="E5180" i="1"/>
  <c r="D5180" i="1"/>
  <c r="C5180" i="1"/>
  <c r="B5180" i="1"/>
  <c r="G5179" i="1"/>
  <c r="F5179" i="1"/>
  <c r="E5179" i="1"/>
  <c r="D5179" i="1"/>
  <c r="C5179" i="1"/>
  <c r="B5179" i="1"/>
  <c r="G5178" i="1"/>
  <c r="F5178" i="1"/>
  <c r="E5178" i="1"/>
  <c r="D5178" i="1"/>
  <c r="C5178" i="1"/>
  <c r="B5178" i="1"/>
  <c r="G5177" i="1"/>
  <c r="F5177" i="1"/>
  <c r="E5177" i="1"/>
  <c r="D5177" i="1"/>
  <c r="C5177" i="1"/>
  <c r="B5177" i="1"/>
  <c r="G5176" i="1"/>
  <c r="F5176" i="1"/>
  <c r="E5176" i="1"/>
  <c r="D5176" i="1"/>
  <c r="C5176" i="1"/>
  <c r="B5176" i="1"/>
  <c r="G5175" i="1"/>
  <c r="F5175" i="1"/>
  <c r="E5175" i="1"/>
  <c r="D5175" i="1"/>
  <c r="C5175" i="1"/>
  <c r="B5175" i="1"/>
  <c r="G5174" i="1"/>
  <c r="F5174" i="1"/>
  <c r="E5174" i="1"/>
  <c r="D5174" i="1"/>
  <c r="C5174" i="1"/>
  <c r="B5174" i="1"/>
  <c r="G5173" i="1"/>
  <c r="F5173" i="1"/>
  <c r="E5173" i="1"/>
  <c r="D5173" i="1"/>
  <c r="C5173" i="1"/>
  <c r="B5173" i="1"/>
  <c r="G5172" i="1"/>
  <c r="F5172" i="1"/>
  <c r="E5172" i="1"/>
  <c r="D5172" i="1"/>
  <c r="C5172" i="1"/>
  <c r="B5172" i="1"/>
  <c r="G5171" i="1"/>
  <c r="F5171" i="1"/>
  <c r="E5171" i="1"/>
  <c r="D5171" i="1"/>
  <c r="C5171" i="1"/>
  <c r="B5171" i="1"/>
  <c r="G5170" i="1"/>
  <c r="F5170" i="1"/>
  <c r="E5170" i="1"/>
  <c r="D5170" i="1"/>
  <c r="C5170" i="1"/>
  <c r="B5170" i="1"/>
  <c r="G5169" i="1"/>
  <c r="F5169" i="1"/>
  <c r="E5169" i="1"/>
  <c r="D5169" i="1"/>
  <c r="C5169" i="1"/>
  <c r="B5169" i="1"/>
  <c r="G5168" i="1"/>
  <c r="F5168" i="1"/>
  <c r="E5168" i="1"/>
  <c r="D5168" i="1"/>
  <c r="C5168" i="1"/>
  <c r="B5168" i="1"/>
  <c r="G5167" i="1"/>
  <c r="F5167" i="1"/>
  <c r="E5167" i="1"/>
  <c r="D5167" i="1"/>
  <c r="C5167" i="1"/>
  <c r="B5167" i="1"/>
  <c r="G5166" i="1"/>
  <c r="F5166" i="1"/>
  <c r="E5166" i="1"/>
  <c r="D5166" i="1"/>
  <c r="C5166" i="1"/>
  <c r="B5166" i="1"/>
  <c r="G5165" i="1"/>
  <c r="F5165" i="1"/>
  <c r="E5165" i="1"/>
  <c r="D5165" i="1"/>
  <c r="C5165" i="1"/>
  <c r="B5165" i="1"/>
  <c r="G5164" i="1"/>
  <c r="F5164" i="1"/>
  <c r="E5164" i="1"/>
  <c r="D5164" i="1"/>
  <c r="C5164" i="1"/>
  <c r="B5164" i="1"/>
  <c r="G5163" i="1"/>
  <c r="F5163" i="1"/>
  <c r="E5163" i="1"/>
  <c r="D5163" i="1"/>
  <c r="C5163" i="1"/>
  <c r="B5163" i="1"/>
  <c r="G5162" i="1"/>
  <c r="F5162" i="1"/>
  <c r="E5162" i="1"/>
  <c r="D5162" i="1"/>
  <c r="C5162" i="1"/>
  <c r="B5162" i="1"/>
  <c r="G5161" i="1"/>
  <c r="F5161" i="1"/>
  <c r="E5161" i="1"/>
  <c r="D5161" i="1"/>
  <c r="C5161" i="1"/>
  <c r="B5161" i="1"/>
  <c r="G5160" i="1"/>
  <c r="F5160" i="1"/>
  <c r="E5160" i="1"/>
  <c r="D5160" i="1"/>
  <c r="C5160" i="1"/>
  <c r="B5160" i="1"/>
  <c r="G5159" i="1"/>
  <c r="F5159" i="1"/>
  <c r="E5159" i="1"/>
  <c r="D5159" i="1"/>
  <c r="C5159" i="1"/>
  <c r="B5159" i="1"/>
  <c r="G5158" i="1"/>
  <c r="F5158" i="1"/>
  <c r="E5158" i="1"/>
  <c r="D5158" i="1"/>
  <c r="C5158" i="1"/>
  <c r="B5158" i="1"/>
  <c r="G5157" i="1"/>
  <c r="F5157" i="1"/>
  <c r="E5157" i="1"/>
  <c r="D5157" i="1"/>
  <c r="C5157" i="1"/>
  <c r="B5157" i="1"/>
  <c r="G5156" i="1"/>
  <c r="F5156" i="1"/>
  <c r="E5156" i="1"/>
  <c r="D5156" i="1"/>
  <c r="C5156" i="1"/>
  <c r="B5156" i="1"/>
  <c r="G5155" i="1"/>
  <c r="F5155" i="1"/>
  <c r="E5155" i="1"/>
  <c r="D5155" i="1"/>
  <c r="C5155" i="1"/>
  <c r="B5155" i="1"/>
  <c r="G5154" i="1"/>
  <c r="F5154" i="1"/>
  <c r="E5154" i="1"/>
  <c r="D5154" i="1"/>
  <c r="C5154" i="1"/>
  <c r="B5154" i="1"/>
  <c r="G5153" i="1"/>
  <c r="F5153" i="1"/>
  <c r="E5153" i="1"/>
  <c r="D5153" i="1"/>
  <c r="C5153" i="1"/>
  <c r="B5153" i="1"/>
  <c r="G5152" i="1"/>
  <c r="F5152" i="1"/>
  <c r="E5152" i="1"/>
  <c r="D5152" i="1"/>
  <c r="C5152" i="1"/>
  <c r="B5152" i="1"/>
  <c r="G5151" i="1"/>
  <c r="F5151" i="1"/>
  <c r="E5151" i="1"/>
  <c r="D5151" i="1"/>
  <c r="C5151" i="1"/>
  <c r="B5151" i="1"/>
  <c r="G5150" i="1"/>
  <c r="F5150" i="1"/>
  <c r="E5150" i="1"/>
  <c r="D5150" i="1"/>
  <c r="C5150" i="1"/>
  <c r="B5150" i="1"/>
  <c r="G5149" i="1"/>
  <c r="F5149" i="1"/>
  <c r="E5149" i="1"/>
  <c r="D5149" i="1"/>
  <c r="C5149" i="1"/>
  <c r="B5149" i="1"/>
  <c r="G5148" i="1"/>
  <c r="F5148" i="1"/>
  <c r="E5148" i="1"/>
  <c r="D5148" i="1"/>
  <c r="C5148" i="1"/>
  <c r="B5148" i="1"/>
  <c r="G5147" i="1"/>
  <c r="F5147" i="1"/>
  <c r="E5147" i="1"/>
  <c r="D5147" i="1"/>
  <c r="C5147" i="1"/>
  <c r="B5147" i="1"/>
  <c r="G5146" i="1"/>
  <c r="F5146" i="1"/>
  <c r="E5146" i="1"/>
  <c r="D5146" i="1"/>
  <c r="C5146" i="1"/>
  <c r="B5146" i="1"/>
  <c r="G5145" i="1"/>
  <c r="F5145" i="1"/>
  <c r="E5145" i="1"/>
  <c r="D5145" i="1"/>
  <c r="C5145" i="1"/>
  <c r="B5145" i="1"/>
  <c r="G5144" i="1"/>
  <c r="F5144" i="1"/>
  <c r="E5144" i="1"/>
  <c r="D5144" i="1"/>
  <c r="C5144" i="1"/>
  <c r="B5144" i="1"/>
  <c r="G5143" i="1"/>
  <c r="F5143" i="1"/>
  <c r="E5143" i="1"/>
  <c r="D5143" i="1"/>
  <c r="C5143" i="1"/>
  <c r="B5143" i="1"/>
  <c r="G5142" i="1"/>
  <c r="F5142" i="1"/>
  <c r="E5142" i="1"/>
  <c r="D5142" i="1"/>
  <c r="C5142" i="1"/>
  <c r="B5142" i="1"/>
  <c r="G5141" i="1"/>
  <c r="F5141" i="1"/>
  <c r="E5141" i="1"/>
  <c r="D5141" i="1"/>
  <c r="C5141" i="1"/>
  <c r="B5141" i="1"/>
  <c r="G5140" i="1"/>
  <c r="F5140" i="1"/>
  <c r="E5140" i="1"/>
  <c r="D5140" i="1"/>
  <c r="C5140" i="1"/>
  <c r="B5140" i="1"/>
  <c r="G5139" i="1"/>
  <c r="F5139" i="1"/>
  <c r="E5139" i="1"/>
  <c r="D5139" i="1"/>
  <c r="C5139" i="1"/>
  <c r="B5139" i="1"/>
  <c r="G5138" i="1"/>
  <c r="F5138" i="1"/>
  <c r="E5138" i="1"/>
  <c r="D5138" i="1"/>
  <c r="C5138" i="1"/>
  <c r="B5138" i="1"/>
  <c r="G5137" i="1"/>
  <c r="F5137" i="1"/>
  <c r="E5137" i="1"/>
  <c r="D5137" i="1"/>
  <c r="C5137" i="1"/>
  <c r="B5137" i="1"/>
  <c r="G5136" i="1"/>
  <c r="F5136" i="1"/>
  <c r="E5136" i="1"/>
  <c r="D5136" i="1"/>
  <c r="C5136" i="1"/>
  <c r="B5136" i="1"/>
  <c r="G5135" i="1"/>
  <c r="F5135" i="1"/>
  <c r="E5135" i="1"/>
  <c r="D5135" i="1"/>
  <c r="C5135" i="1"/>
  <c r="B5135" i="1"/>
  <c r="G5134" i="1"/>
  <c r="F5134" i="1"/>
  <c r="E5134" i="1"/>
  <c r="D5134" i="1"/>
  <c r="C5134" i="1"/>
  <c r="B5134" i="1"/>
  <c r="G5133" i="1"/>
  <c r="F5133" i="1"/>
  <c r="E5133" i="1"/>
  <c r="D5133" i="1"/>
  <c r="C5133" i="1"/>
  <c r="B5133" i="1"/>
  <c r="G5132" i="1"/>
  <c r="F5132" i="1"/>
  <c r="E5132" i="1"/>
  <c r="D5132" i="1"/>
  <c r="C5132" i="1"/>
  <c r="B5132" i="1"/>
  <c r="G5131" i="1"/>
  <c r="F5131" i="1"/>
  <c r="E5131" i="1"/>
  <c r="D5131" i="1"/>
  <c r="C5131" i="1"/>
  <c r="B5131" i="1"/>
  <c r="G5130" i="1"/>
  <c r="F5130" i="1"/>
  <c r="E5130" i="1"/>
  <c r="D5130" i="1"/>
  <c r="C5130" i="1"/>
  <c r="B5130" i="1"/>
  <c r="G5129" i="1"/>
  <c r="F5129" i="1"/>
  <c r="E5129" i="1"/>
  <c r="D5129" i="1"/>
  <c r="C5129" i="1"/>
  <c r="B5129" i="1"/>
  <c r="G5128" i="1"/>
  <c r="F5128" i="1"/>
  <c r="E5128" i="1"/>
  <c r="D5128" i="1"/>
  <c r="C5128" i="1"/>
  <c r="B5128" i="1"/>
  <c r="G5127" i="1"/>
  <c r="F5127" i="1"/>
  <c r="E5127" i="1"/>
  <c r="D5127" i="1"/>
  <c r="C5127" i="1"/>
  <c r="B5127" i="1"/>
  <c r="G5126" i="1"/>
  <c r="F5126" i="1"/>
  <c r="E5126" i="1"/>
  <c r="D5126" i="1"/>
  <c r="C5126" i="1"/>
  <c r="B5126" i="1"/>
  <c r="G5125" i="1"/>
  <c r="F5125" i="1"/>
  <c r="E5125" i="1"/>
  <c r="D5125" i="1"/>
  <c r="C5125" i="1"/>
  <c r="B5125" i="1"/>
  <c r="G5124" i="1"/>
  <c r="F5124" i="1"/>
  <c r="E5124" i="1"/>
  <c r="D5124" i="1"/>
  <c r="C5124" i="1"/>
  <c r="B5124" i="1"/>
  <c r="G5123" i="1"/>
  <c r="F5123" i="1"/>
  <c r="E5123" i="1"/>
  <c r="D5123" i="1"/>
  <c r="C5123" i="1"/>
  <c r="B5123" i="1"/>
  <c r="G5122" i="1"/>
  <c r="F5122" i="1"/>
  <c r="E5122" i="1"/>
  <c r="D5122" i="1"/>
  <c r="C5122" i="1"/>
  <c r="B5122" i="1"/>
  <c r="G5121" i="1"/>
  <c r="F5121" i="1"/>
  <c r="E5121" i="1"/>
  <c r="D5121" i="1"/>
  <c r="C5121" i="1"/>
  <c r="B5121" i="1"/>
  <c r="G5120" i="1"/>
  <c r="F5120" i="1"/>
  <c r="E5120" i="1"/>
  <c r="D5120" i="1"/>
  <c r="C5120" i="1"/>
  <c r="B5120" i="1"/>
  <c r="G5119" i="1"/>
  <c r="F5119" i="1"/>
  <c r="E5119" i="1"/>
  <c r="D5119" i="1"/>
  <c r="C5119" i="1"/>
  <c r="B5119" i="1"/>
  <c r="G5118" i="1"/>
  <c r="F5118" i="1"/>
  <c r="E5118" i="1"/>
  <c r="D5118" i="1"/>
  <c r="C5118" i="1"/>
  <c r="B5118" i="1"/>
  <c r="G5117" i="1"/>
  <c r="F5117" i="1"/>
  <c r="E5117" i="1"/>
  <c r="D5117" i="1"/>
  <c r="C5117" i="1"/>
  <c r="B5117" i="1"/>
  <c r="G5116" i="1"/>
  <c r="F5116" i="1"/>
  <c r="E5116" i="1"/>
  <c r="D5116" i="1"/>
  <c r="C5116" i="1"/>
  <c r="B5116" i="1"/>
  <c r="G5115" i="1"/>
  <c r="F5115" i="1"/>
  <c r="E5115" i="1"/>
  <c r="D5115" i="1"/>
  <c r="C5115" i="1"/>
  <c r="B5115" i="1"/>
  <c r="G5114" i="1"/>
  <c r="F5114" i="1"/>
  <c r="E5114" i="1"/>
  <c r="D5114" i="1"/>
  <c r="C5114" i="1"/>
  <c r="B5114" i="1"/>
  <c r="G5113" i="1"/>
  <c r="F5113" i="1"/>
  <c r="E5113" i="1"/>
  <c r="D5113" i="1"/>
  <c r="C5113" i="1"/>
  <c r="B5113" i="1"/>
  <c r="G5112" i="1"/>
  <c r="F5112" i="1"/>
  <c r="E5112" i="1"/>
  <c r="D5112" i="1"/>
  <c r="C5112" i="1"/>
  <c r="B5112" i="1"/>
  <c r="G5111" i="1"/>
  <c r="F5111" i="1"/>
  <c r="E5111" i="1"/>
  <c r="D5111" i="1"/>
  <c r="C5111" i="1"/>
  <c r="B5111" i="1"/>
  <c r="G5110" i="1"/>
  <c r="F5110" i="1"/>
  <c r="E5110" i="1"/>
  <c r="D5110" i="1"/>
  <c r="C5110" i="1"/>
  <c r="B5110" i="1"/>
  <c r="G5109" i="1"/>
  <c r="F5109" i="1"/>
  <c r="E5109" i="1"/>
  <c r="D5109" i="1"/>
  <c r="C5109" i="1"/>
  <c r="B5109" i="1"/>
  <c r="G5108" i="1"/>
  <c r="F5108" i="1"/>
  <c r="E5108" i="1"/>
  <c r="D5108" i="1"/>
  <c r="C5108" i="1"/>
  <c r="B5108" i="1"/>
  <c r="G5107" i="1"/>
  <c r="F5107" i="1"/>
  <c r="E5107" i="1"/>
  <c r="D5107" i="1"/>
  <c r="C5107" i="1"/>
  <c r="B5107" i="1"/>
  <c r="G5106" i="1"/>
  <c r="F5106" i="1"/>
  <c r="E5106" i="1"/>
  <c r="D5106" i="1"/>
  <c r="C5106" i="1"/>
  <c r="B5106" i="1"/>
  <c r="G5105" i="1"/>
  <c r="F5105" i="1"/>
  <c r="E5105" i="1"/>
  <c r="D5105" i="1"/>
  <c r="C5105" i="1"/>
  <c r="B5105" i="1"/>
  <c r="G5104" i="1"/>
  <c r="F5104" i="1"/>
  <c r="E5104" i="1"/>
  <c r="D5104" i="1"/>
  <c r="C5104" i="1"/>
  <c r="B5104" i="1"/>
  <c r="G5103" i="1"/>
  <c r="F5103" i="1"/>
  <c r="E5103" i="1"/>
  <c r="D5103" i="1"/>
  <c r="C5103" i="1"/>
  <c r="B5103" i="1"/>
  <c r="G5102" i="1"/>
  <c r="F5102" i="1"/>
  <c r="E5102" i="1"/>
  <c r="D5102" i="1"/>
  <c r="C5102" i="1"/>
  <c r="B5102" i="1"/>
  <c r="G5101" i="1"/>
  <c r="F5101" i="1"/>
  <c r="E5101" i="1"/>
  <c r="D5101" i="1"/>
  <c r="C5101" i="1"/>
  <c r="B5101" i="1"/>
  <c r="G5100" i="1"/>
  <c r="F5100" i="1"/>
  <c r="E5100" i="1"/>
  <c r="D5100" i="1"/>
  <c r="C5100" i="1"/>
  <c r="B5100" i="1"/>
  <c r="G5099" i="1"/>
  <c r="F5099" i="1"/>
  <c r="E5099" i="1"/>
  <c r="D5099" i="1"/>
  <c r="C5099" i="1"/>
  <c r="B5099" i="1"/>
  <c r="G5098" i="1"/>
  <c r="F5098" i="1"/>
  <c r="E5098" i="1"/>
  <c r="D5098" i="1"/>
  <c r="C5098" i="1"/>
  <c r="B5098" i="1"/>
  <c r="G5097" i="1"/>
  <c r="F5097" i="1"/>
  <c r="E5097" i="1"/>
  <c r="D5097" i="1"/>
  <c r="C5097" i="1"/>
  <c r="B5097" i="1"/>
  <c r="G5096" i="1"/>
  <c r="F5096" i="1"/>
  <c r="E5096" i="1"/>
  <c r="D5096" i="1"/>
  <c r="C5096" i="1"/>
  <c r="B5096" i="1"/>
  <c r="G5095" i="1"/>
  <c r="F5095" i="1"/>
  <c r="E5095" i="1"/>
  <c r="D5095" i="1"/>
  <c r="C5095" i="1"/>
  <c r="B5095" i="1"/>
  <c r="G5094" i="1"/>
  <c r="F5094" i="1"/>
  <c r="E5094" i="1"/>
  <c r="D5094" i="1"/>
  <c r="C5094" i="1"/>
  <c r="B5094" i="1"/>
  <c r="G5093" i="1"/>
  <c r="F5093" i="1"/>
  <c r="E5093" i="1"/>
  <c r="D5093" i="1"/>
  <c r="C5093" i="1"/>
  <c r="B5093" i="1"/>
  <c r="G5092" i="1"/>
  <c r="F5092" i="1"/>
  <c r="E5092" i="1"/>
  <c r="D5092" i="1"/>
  <c r="C5092" i="1"/>
  <c r="B5092" i="1"/>
  <c r="G5091" i="1"/>
  <c r="F5091" i="1"/>
  <c r="E5091" i="1"/>
  <c r="D5091" i="1"/>
  <c r="C5091" i="1"/>
  <c r="B5091" i="1"/>
  <c r="G5090" i="1"/>
  <c r="F5090" i="1"/>
  <c r="E5090" i="1"/>
  <c r="D5090" i="1"/>
  <c r="C5090" i="1"/>
  <c r="B5090" i="1"/>
  <c r="G5089" i="1"/>
  <c r="F5089" i="1"/>
  <c r="E5089" i="1"/>
  <c r="D5089" i="1"/>
  <c r="C5089" i="1"/>
  <c r="B5089" i="1"/>
  <c r="G5088" i="1"/>
  <c r="F5088" i="1"/>
  <c r="E5088" i="1"/>
  <c r="D5088" i="1"/>
  <c r="C5088" i="1"/>
  <c r="B5088" i="1"/>
  <c r="G5087" i="1"/>
  <c r="F5087" i="1"/>
  <c r="E5087" i="1"/>
  <c r="D5087" i="1"/>
  <c r="C5087" i="1"/>
  <c r="B5087" i="1"/>
  <c r="G5086" i="1"/>
  <c r="F5086" i="1"/>
  <c r="E5086" i="1"/>
  <c r="D5086" i="1"/>
  <c r="C5086" i="1"/>
  <c r="B5086" i="1"/>
  <c r="G5085" i="1"/>
  <c r="F5085" i="1"/>
  <c r="E5085" i="1"/>
  <c r="D5085" i="1"/>
  <c r="C5085" i="1"/>
  <c r="B5085" i="1"/>
  <c r="G5084" i="1"/>
  <c r="F5084" i="1"/>
  <c r="E5084" i="1"/>
  <c r="D5084" i="1"/>
  <c r="C5084" i="1"/>
  <c r="B5084" i="1"/>
  <c r="G5083" i="1"/>
  <c r="F5083" i="1"/>
  <c r="E5083" i="1"/>
  <c r="D5083" i="1"/>
  <c r="C5083" i="1"/>
  <c r="B5083" i="1"/>
  <c r="G5082" i="1"/>
  <c r="F5082" i="1"/>
  <c r="E5082" i="1"/>
  <c r="D5082" i="1"/>
  <c r="C5082" i="1"/>
  <c r="B5082" i="1"/>
  <c r="G5081" i="1"/>
  <c r="F5081" i="1"/>
  <c r="E5081" i="1"/>
  <c r="D5081" i="1"/>
  <c r="C5081" i="1"/>
  <c r="B5081" i="1"/>
  <c r="G5080" i="1"/>
  <c r="F5080" i="1"/>
  <c r="E5080" i="1"/>
  <c r="D5080" i="1"/>
  <c r="C5080" i="1"/>
  <c r="B5080" i="1"/>
  <c r="G5079" i="1"/>
  <c r="F5079" i="1"/>
  <c r="E5079" i="1"/>
  <c r="D5079" i="1"/>
  <c r="C5079" i="1"/>
  <c r="B5079" i="1"/>
  <c r="G5078" i="1"/>
  <c r="F5078" i="1"/>
  <c r="E5078" i="1"/>
  <c r="D5078" i="1"/>
  <c r="C5078" i="1"/>
  <c r="B5078" i="1"/>
  <c r="G5077" i="1"/>
  <c r="F5077" i="1"/>
  <c r="E5077" i="1"/>
  <c r="D5077" i="1"/>
  <c r="C5077" i="1"/>
  <c r="B5077" i="1"/>
  <c r="G5076" i="1"/>
  <c r="F5076" i="1"/>
  <c r="E5076" i="1"/>
  <c r="D5076" i="1"/>
  <c r="C5076" i="1"/>
  <c r="B5076" i="1"/>
  <c r="G5075" i="1"/>
  <c r="F5075" i="1"/>
  <c r="E5075" i="1"/>
  <c r="D5075" i="1"/>
  <c r="C5075" i="1"/>
  <c r="B5075" i="1"/>
  <c r="G5074" i="1"/>
  <c r="F5074" i="1"/>
  <c r="E5074" i="1"/>
  <c r="D5074" i="1"/>
  <c r="C5074" i="1"/>
  <c r="B5074" i="1"/>
  <c r="G5073" i="1"/>
  <c r="F5073" i="1"/>
  <c r="E5073" i="1"/>
  <c r="D5073" i="1"/>
  <c r="C5073" i="1"/>
  <c r="B5073" i="1"/>
  <c r="G5072" i="1"/>
  <c r="F5072" i="1"/>
  <c r="E5072" i="1"/>
  <c r="D5072" i="1"/>
  <c r="C5072" i="1"/>
  <c r="B5072" i="1"/>
  <c r="G5071" i="1"/>
  <c r="F5071" i="1"/>
  <c r="E5071" i="1"/>
  <c r="D5071" i="1"/>
  <c r="C5071" i="1"/>
  <c r="B5071" i="1"/>
  <c r="G5070" i="1"/>
  <c r="F5070" i="1"/>
  <c r="E5070" i="1"/>
  <c r="D5070" i="1"/>
  <c r="C5070" i="1"/>
  <c r="B5070" i="1"/>
  <c r="G5069" i="1"/>
  <c r="F5069" i="1"/>
  <c r="E5069" i="1"/>
  <c r="D5069" i="1"/>
  <c r="C5069" i="1"/>
  <c r="B5069" i="1"/>
  <c r="G5068" i="1"/>
  <c r="F5068" i="1"/>
  <c r="E5068" i="1"/>
  <c r="D5068" i="1"/>
  <c r="C5068" i="1"/>
  <c r="B5068" i="1"/>
  <c r="G5067" i="1"/>
  <c r="F5067" i="1"/>
  <c r="E5067" i="1"/>
  <c r="D5067" i="1"/>
  <c r="C5067" i="1"/>
  <c r="B5067" i="1"/>
  <c r="G5066" i="1"/>
  <c r="F5066" i="1"/>
  <c r="E5066" i="1"/>
  <c r="D5066" i="1"/>
  <c r="C5066" i="1"/>
  <c r="B5066" i="1"/>
  <c r="G5065" i="1"/>
  <c r="F5065" i="1"/>
  <c r="E5065" i="1"/>
  <c r="D5065" i="1"/>
  <c r="C5065" i="1"/>
  <c r="B5065" i="1"/>
  <c r="G5064" i="1"/>
  <c r="F5064" i="1"/>
  <c r="E5064" i="1"/>
  <c r="D5064" i="1"/>
  <c r="C5064" i="1"/>
  <c r="B5064" i="1"/>
  <c r="G5063" i="1"/>
  <c r="F5063" i="1"/>
  <c r="E5063" i="1"/>
  <c r="D5063" i="1"/>
  <c r="C5063" i="1"/>
  <c r="B5063" i="1"/>
  <c r="G5062" i="1"/>
  <c r="F5062" i="1"/>
  <c r="E5062" i="1"/>
  <c r="D5062" i="1"/>
  <c r="C5062" i="1"/>
  <c r="B5062" i="1"/>
  <c r="G5061" i="1"/>
  <c r="F5061" i="1"/>
  <c r="E5061" i="1"/>
  <c r="D5061" i="1"/>
  <c r="C5061" i="1"/>
  <c r="B5061" i="1"/>
  <c r="G5060" i="1"/>
  <c r="F5060" i="1"/>
  <c r="E5060" i="1"/>
  <c r="D5060" i="1"/>
  <c r="C5060" i="1"/>
  <c r="B5060" i="1"/>
  <c r="G5059" i="1"/>
  <c r="F5059" i="1"/>
  <c r="E5059" i="1"/>
  <c r="D5059" i="1"/>
  <c r="C5059" i="1"/>
  <c r="B5059" i="1"/>
  <c r="G5058" i="1"/>
  <c r="F5058" i="1"/>
  <c r="E5058" i="1"/>
  <c r="D5058" i="1"/>
  <c r="C5058" i="1"/>
  <c r="B5058" i="1"/>
  <c r="G5057" i="1"/>
  <c r="F5057" i="1"/>
  <c r="E5057" i="1"/>
  <c r="D5057" i="1"/>
  <c r="C5057" i="1"/>
  <c r="B5057" i="1"/>
  <c r="G5056" i="1"/>
  <c r="F5056" i="1"/>
  <c r="E5056" i="1"/>
  <c r="D5056" i="1"/>
  <c r="C5056" i="1"/>
  <c r="B5056" i="1"/>
  <c r="G5055" i="1"/>
  <c r="F5055" i="1"/>
  <c r="E5055" i="1"/>
  <c r="D5055" i="1"/>
  <c r="C5055" i="1"/>
  <c r="B5055" i="1"/>
  <c r="G5054" i="1"/>
  <c r="F5054" i="1"/>
  <c r="E5054" i="1"/>
  <c r="D5054" i="1"/>
  <c r="C5054" i="1"/>
  <c r="B5054" i="1"/>
  <c r="G5053" i="1"/>
  <c r="F5053" i="1"/>
  <c r="E5053" i="1"/>
  <c r="D5053" i="1"/>
  <c r="C5053" i="1"/>
  <c r="B5053" i="1"/>
  <c r="G5052" i="1"/>
  <c r="F5052" i="1"/>
  <c r="E5052" i="1"/>
  <c r="D5052" i="1"/>
  <c r="C5052" i="1"/>
  <c r="B5052" i="1"/>
  <c r="G5051" i="1"/>
  <c r="F5051" i="1"/>
  <c r="E5051" i="1"/>
  <c r="D5051" i="1"/>
  <c r="C5051" i="1"/>
  <c r="B5051" i="1"/>
  <c r="G5050" i="1"/>
  <c r="F5050" i="1"/>
  <c r="E5050" i="1"/>
  <c r="D5050" i="1"/>
  <c r="C5050" i="1"/>
  <c r="B5050" i="1"/>
  <c r="G5049" i="1"/>
  <c r="F5049" i="1"/>
  <c r="E5049" i="1"/>
  <c r="D5049" i="1"/>
  <c r="C5049" i="1"/>
  <c r="B5049" i="1"/>
  <c r="G5048" i="1"/>
  <c r="F5048" i="1"/>
  <c r="E5048" i="1"/>
  <c r="D5048" i="1"/>
  <c r="C5048" i="1"/>
  <c r="B5048" i="1"/>
  <c r="G5047" i="1"/>
  <c r="F5047" i="1"/>
  <c r="E5047" i="1"/>
  <c r="D5047" i="1"/>
  <c r="C5047" i="1"/>
  <c r="B5047" i="1"/>
  <c r="G5046" i="1"/>
  <c r="F5046" i="1"/>
  <c r="E5046" i="1"/>
  <c r="D5046" i="1"/>
  <c r="C5046" i="1"/>
  <c r="B5046" i="1"/>
  <c r="G5045" i="1"/>
  <c r="F5045" i="1"/>
  <c r="E5045" i="1"/>
  <c r="D5045" i="1"/>
  <c r="C5045" i="1"/>
  <c r="B5045" i="1"/>
  <c r="G5044" i="1"/>
  <c r="F5044" i="1"/>
  <c r="E5044" i="1"/>
  <c r="D5044" i="1"/>
  <c r="C5044" i="1"/>
  <c r="B5044" i="1"/>
  <c r="G5043" i="1"/>
  <c r="F5043" i="1"/>
  <c r="E5043" i="1"/>
  <c r="D5043" i="1"/>
  <c r="C5043" i="1"/>
  <c r="B5043" i="1"/>
  <c r="G5042" i="1"/>
  <c r="F5042" i="1"/>
  <c r="E5042" i="1"/>
  <c r="D5042" i="1"/>
  <c r="C5042" i="1"/>
  <c r="B5042" i="1"/>
  <c r="G5041" i="1"/>
  <c r="F5041" i="1"/>
  <c r="E5041" i="1"/>
  <c r="D5041" i="1"/>
  <c r="C5041" i="1"/>
  <c r="B5041" i="1"/>
  <c r="G5040" i="1"/>
  <c r="F5040" i="1"/>
  <c r="E5040" i="1"/>
  <c r="D5040" i="1"/>
  <c r="C5040" i="1"/>
  <c r="B5040" i="1"/>
  <c r="G5039" i="1"/>
  <c r="F5039" i="1"/>
  <c r="E5039" i="1"/>
  <c r="D5039" i="1"/>
  <c r="C5039" i="1"/>
  <c r="B5039" i="1"/>
  <c r="G5038" i="1"/>
  <c r="F5038" i="1"/>
  <c r="E5038" i="1"/>
  <c r="D5038" i="1"/>
  <c r="C5038" i="1"/>
  <c r="B5038" i="1"/>
  <c r="G5037" i="1"/>
  <c r="F5037" i="1"/>
  <c r="E5037" i="1"/>
  <c r="D5037" i="1"/>
  <c r="C5037" i="1"/>
  <c r="B5037" i="1"/>
  <c r="G5036" i="1"/>
  <c r="F5036" i="1"/>
  <c r="E5036" i="1"/>
  <c r="D5036" i="1"/>
  <c r="C5036" i="1"/>
  <c r="B5036" i="1"/>
  <c r="G5035" i="1"/>
  <c r="F5035" i="1"/>
  <c r="E5035" i="1"/>
  <c r="D5035" i="1"/>
  <c r="C5035" i="1"/>
  <c r="B5035" i="1"/>
  <c r="G5034" i="1"/>
  <c r="F5034" i="1"/>
  <c r="E5034" i="1"/>
  <c r="D5034" i="1"/>
  <c r="C5034" i="1"/>
  <c r="B5034" i="1"/>
  <c r="G5033" i="1"/>
  <c r="F5033" i="1"/>
  <c r="E5033" i="1"/>
  <c r="D5033" i="1"/>
  <c r="C5033" i="1"/>
  <c r="B5033" i="1"/>
  <c r="G5032" i="1"/>
  <c r="F5032" i="1"/>
  <c r="E5032" i="1"/>
  <c r="D5032" i="1"/>
  <c r="C5032" i="1"/>
  <c r="B5032" i="1"/>
  <c r="G5031" i="1"/>
  <c r="F5031" i="1"/>
  <c r="E5031" i="1"/>
  <c r="D5031" i="1"/>
  <c r="C5031" i="1"/>
  <c r="B5031" i="1"/>
  <c r="G5030" i="1"/>
  <c r="F5030" i="1"/>
  <c r="E5030" i="1"/>
  <c r="D5030" i="1"/>
  <c r="C5030" i="1"/>
  <c r="B5030" i="1"/>
  <c r="G5029" i="1"/>
  <c r="F5029" i="1"/>
  <c r="E5029" i="1"/>
  <c r="D5029" i="1"/>
  <c r="C5029" i="1"/>
  <c r="B5029" i="1"/>
  <c r="G5028" i="1"/>
  <c r="F5028" i="1"/>
  <c r="E5028" i="1"/>
  <c r="D5028" i="1"/>
  <c r="C5028" i="1"/>
  <c r="B5028" i="1"/>
  <c r="G5027" i="1"/>
  <c r="F5027" i="1"/>
  <c r="E5027" i="1"/>
  <c r="D5027" i="1"/>
  <c r="C5027" i="1"/>
  <c r="B5027" i="1"/>
  <c r="G5026" i="1"/>
  <c r="F5026" i="1"/>
  <c r="E5026" i="1"/>
  <c r="D5026" i="1"/>
  <c r="C5026" i="1"/>
  <c r="B5026" i="1"/>
  <c r="G5025" i="1"/>
  <c r="F5025" i="1"/>
  <c r="E5025" i="1"/>
  <c r="D5025" i="1"/>
  <c r="C5025" i="1"/>
  <c r="B5025" i="1"/>
  <c r="G5024" i="1"/>
  <c r="F5024" i="1"/>
  <c r="E5024" i="1"/>
  <c r="D5024" i="1"/>
  <c r="C5024" i="1"/>
  <c r="B5024" i="1"/>
  <c r="G5023" i="1"/>
  <c r="F5023" i="1"/>
  <c r="E5023" i="1"/>
  <c r="D5023" i="1"/>
  <c r="C5023" i="1"/>
  <c r="B5023" i="1"/>
  <c r="G5022" i="1"/>
  <c r="F5022" i="1"/>
  <c r="E5022" i="1"/>
  <c r="D5022" i="1"/>
  <c r="C5022" i="1"/>
  <c r="B5022" i="1"/>
  <c r="G5021" i="1"/>
  <c r="F5021" i="1"/>
  <c r="E5021" i="1"/>
  <c r="D5021" i="1"/>
  <c r="C5021" i="1"/>
  <c r="B5021" i="1"/>
  <c r="G5020" i="1"/>
  <c r="F5020" i="1"/>
  <c r="E5020" i="1"/>
  <c r="D5020" i="1"/>
  <c r="C5020" i="1"/>
  <c r="B5020" i="1"/>
  <c r="G5019" i="1"/>
  <c r="F5019" i="1"/>
  <c r="E5019" i="1"/>
  <c r="D5019" i="1"/>
  <c r="C5019" i="1"/>
  <c r="B5019" i="1"/>
  <c r="G5018" i="1"/>
  <c r="F5018" i="1"/>
  <c r="E5018" i="1"/>
  <c r="D5018" i="1"/>
  <c r="C5018" i="1"/>
  <c r="B5018" i="1"/>
  <c r="G5017" i="1"/>
  <c r="F5017" i="1"/>
  <c r="E5017" i="1"/>
  <c r="D5017" i="1"/>
  <c r="C5017" i="1"/>
  <c r="B5017" i="1"/>
  <c r="G5016" i="1"/>
  <c r="F5016" i="1"/>
  <c r="E5016" i="1"/>
  <c r="D5016" i="1"/>
  <c r="C5016" i="1"/>
  <c r="B5016" i="1"/>
  <c r="G5015" i="1"/>
  <c r="F5015" i="1"/>
  <c r="E5015" i="1"/>
  <c r="D5015" i="1"/>
  <c r="C5015" i="1"/>
  <c r="B5015" i="1"/>
  <c r="G5014" i="1"/>
  <c r="F5014" i="1"/>
  <c r="E5014" i="1"/>
  <c r="D5014" i="1"/>
  <c r="C5014" i="1"/>
  <c r="B5014" i="1"/>
  <c r="G5013" i="1"/>
  <c r="F5013" i="1"/>
  <c r="E5013" i="1"/>
  <c r="D5013" i="1"/>
  <c r="C5013" i="1"/>
  <c r="B5013" i="1"/>
  <c r="G5012" i="1"/>
  <c r="F5012" i="1"/>
  <c r="E5012" i="1"/>
  <c r="D5012" i="1"/>
  <c r="C5012" i="1"/>
  <c r="B5012" i="1"/>
  <c r="G5011" i="1"/>
  <c r="F5011" i="1"/>
  <c r="E5011" i="1"/>
  <c r="D5011" i="1"/>
  <c r="C5011" i="1"/>
  <c r="B5011" i="1"/>
  <c r="G5010" i="1"/>
  <c r="F5010" i="1"/>
  <c r="E5010" i="1"/>
  <c r="D5010" i="1"/>
  <c r="C5010" i="1"/>
  <c r="B5010" i="1"/>
  <c r="G5009" i="1"/>
  <c r="F5009" i="1"/>
  <c r="E5009" i="1"/>
  <c r="D5009" i="1"/>
  <c r="C5009" i="1"/>
  <c r="B5009" i="1"/>
  <c r="G5008" i="1"/>
  <c r="F5008" i="1"/>
  <c r="E5008" i="1"/>
  <c r="D5008" i="1"/>
  <c r="C5008" i="1"/>
  <c r="B5008" i="1"/>
  <c r="G5007" i="1"/>
  <c r="F5007" i="1"/>
  <c r="E5007" i="1"/>
  <c r="D5007" i="1"/>
  <c r="C5007" i="1"/>
  <c r="B5007" i="1"/>
  <c r="G5006" i="1"/>
  <c r="F5006" i="1"/>
  <c r="E5006" i="1"/>
  <c r="D5006" i="1"/>
  <c r="C5006" i="1"/>
  <c r="B5006" i="1"/>
  <c r="G5005" i="1"/>
  <c r="F5005" i="1"/>
  <c r="E5005" i="1"/>
  <c r="D5005" i="1"/>
  <c r="C5005" i="1"/>
  <c r="B5005" i="1"/>
  <c r="G5004" i="1"/>
  <c r="F5004" i="1"/>
  <c r="E5004" i="1"/>
  <c r="D5004" i="1"/>
  <c r="C5004" i="1"/>
  <c r="B5004" i="1"/>
  <c r="G5003" i="1"/>
  <c r="F5003" i="1"/>
  <c r="E5003" i="1"/>
  <c r="D5003" i="1"/>
  <c r="C5003" i="1"/>
  <c r="B5003" i="1"/>
  <c r="G5002" i="1"/>
  <c r="F5002" i="1"/>
  <c r="E5002" i="1"/>
  <c r="D5002" i="1"/>
  <c r="C5002" i="1"/>
  <c r="B5002" i="1"/>
  <c r="G5001" i="1"/>
  <c r="F5001" i="1"/>
  <c r="E5001" i="1"/>
  <c r="D5001" i="1"/>
  <c r="C5001" i="1"/>
  <c r="B5001" i="1"/>
  <c r="G5000" i="1"/>
  <c r="F5000" i="1"/>
  <c r="E5000" i="1"/>
  <c r="D5000" i="1"/>
  <c r="C5000" i="1"/>
  <c r="B5000" i="1"/>
  <c r="G4999" i="1"/>
  <c r="F4999" i="1"/>
  <c r="E4999" i="1"/>
  <c r="D4999" i="1"/>
  <c r="C4999" i="1"/>
  <c r="B4999" i="1"/>
  <c r="G4998" i="1"/>
  <c r="F4998" i="1"/>
  <c r="E4998" i="1"/>
  <c r="D4998" i="1"/>
  <c r="C4998" i="1"/>
  <c r="B4998" i="1"/>
  <c r="G4997" i="1"/>
  <c r="F4997" i="1"/>
  <c r="E4997" i="1"/>
  <c r="D4997" i="1"/>
  <c r="C4997" i="1"/>
  <c r="B4997" i="1"/>
  <c r="G4996" i="1"/>
  <c r="F4996" i="1"/>
  <c r="E4996" i="1"/>
  <c r="D4996" i="1"/>
  <c r="C4996" i="1"/>
  <c r="B4996" i="1"/>
  <c r="G4995" i="1"/>
  <c r="F4995" i="1"/>
  <c r="E4995" i="1"/>
  <c r="D4995" i="1"/>
  <c r="C4995" i="1"/>
  <c r="B4995" i="1"/>
  <c r="G4994" i="1"/>
  <c r="F4994" i="1"/>
  <c r="E4994" i="1"/>
  <c r="D4994" i="1"/>
  <c r="C4994" i="1"/>
  <c r="B4994" i="1"/>
  <c r="G4993" i="1"/>
  <c r="F4993" i="1"/>
  <c r="E4993" i="1"/>
  <c r="D4993" i="1"/>
  <c r="C4993" i="1"/>
  <c r="B4993" i="1"/>
  <c r="G4992" i="1"/>
  <c r="F4992" i="1"/>
  <c r="E4992" i="1"/>
  <c r="D4992" i="1"/>
  <c r="C4992" i="1"/>
  <c r="B4992" i="1"/>
  <c r="G4991" i="1"/>
  <c r="F4991" i="1"/>
  <c r="E4991" i="1"/>
  <c r="D4991" i="1"/>
  <c r="C4991" i="1"/>
  <c r="B4991" i="1"/>
  <c r="G4990" i="1"/>
  <c r="F4990" i="1"/>
  <c r="E4990" i="1"/>
  <c r="D4990" i="1"/>
  <c r="C4990" i="1"/>
  <c r="B4990" i="1"/>
  <c r="G4989" i="1"/>
  <c r="F4989" i="1"/>
  <c r="E4989" i="1"/>
  <c r="D4989" i="1"/>
  <c r="C4989" i="1"/>
  <c r="B4989" i="1"/>
  <c r="G4988" i="1"/>
  <c r="F4988" i="1"/>
  <c r="E4988" i="1"/>
  <c r="D4988" i="1"/>
  <c r="C4988" i="1"/>
  <c r="B4988" i="1"/>
  <c r="G4987" i="1"/>
  <c r="F4987" i="1"/>
  <c r="E4987" i="1"/>
  <c r="D4987" i="1"/>
  <c r="C4987" i="1"/>
  <c r="B4987" i="1"/>
  <c r="G4986" i="1"/>
  <c r="F4986" i="1"/>
  <c r="E4986" i="1"/>
  <c r="D4986" i="1"/>
  <c r="C4986" i="1"/>
  <c r="B4986" i="1"/>
  <c r="G4985" i="1"/>
  <c r="F4985" i="1"/>
  <c r="E4985" i="1"/>
  <c r="D4985" i="1"/>
  <c r="C4985" i="1"/>
  <c r="B4985" i="1"/>
  <c r="G4984" i="1"/>
  <c r="F4984" i="1"/>
  <c r="E4984" i="1"/>
  <c r="D4984" i="1"/>
  <c r="C4984" i="1"/>
  <c r="B4984" i="1"/>
  <c r="G4983" i="1"/>
  <c r="F4983" i="1"/>
  <c r="E4983" i="1"/>
  <c r="D4983" i="1"/>
  <c r="C4983" i="1"/>
  <c r="B4983" i="1"/>
  <c r="G4982" i="1"/>
  <c r="F4982" i="1"/>
  <c r="E4982" i="1"/>
  <c r="D4982" i="1"/>
  <c r="C4982" i="1"/>
  <c r="B4982" i="1"/>
  <c r="G4981" i="1"/>
  <c r="F4981" i="1"/>
  <c r="E4981" i="1"/>
  <c r="D4981" i="1"/>
  <c r="C4981" i="1"/>
  <c r="B4981" i="1"/>
  <c r="G4980" i="1"/>
  <c r="F4980" i="1"/>
  <c r="E4980" i="1"/>
  <c r="D4980" i="1"/>
  <c r="C4980" i="1"/>
  <c r="B4980" i="1"/>
  <c r="G4979" i="1"/>
  <c r="F4979" i="1"/>
  <c r="E4979" i="1"/>
  <c r="D4979" i="1"/>
  <c r="C4979" i="1"/>
  <c r="B4979" i="1"/>
  <c r="G4978" i="1"/>
  <c r="F4978" i="1"/>
  <c r="E4978" i="1"/>
  <c r="D4978" i="1"/>
  <c r="C4978" i="1"/>
  <c r="B4978" i="1"/>
  <c r="G4977" i="1"/>
  <c r="F4977" i="1"/>
  <c r="E4977" i="1"/>
  <c r="D4977" i="1"/>
  <c r="C4977" i="1"/>
  <c r="B4977" i="1"/>
  <c r="G4976" i="1"/>
  <c r="F4976" i="1"/>
  <c r="E4976" i="1"/>
  <c r="D4976" i="1"/>
  <c r="C4976" i="1"/>
  <c r="B4976" i="1"/>
  <c r="G4975" i="1"/>
  <c r="F4975" i="1"/>
  <c r="E4975" i="1"/>
  <c r="D4975" i="1"/>
  <c r="C4975" i="1"/>
  <c r="B4975" i="1"/>
  <c r="G4974" i="1"/>
  <c r="F4974" i="1"/>
  <c r="E4974" i="1"/>
  <c r="D4974" i="1"/>
  <c r="C4974" i="1"/>
  <c r="B4974" i="1"/>
  <c r="G4973" i="1"/>
  <c r="F4973" i="1"/>
  <c r="E4973" i="1"/>
  <c r="D4973" i="1"/>
  <c r="C4973" i="1"/>
  <c r="B4973" i="1"/>
  <c r="G4972" i="1"/>
  <c r="F4972" i="1"/>
  <c r="E4972" i="1"/>
  <c r="D4972" i="1"/>
  <c r="C4972" i="1"/>
  <c r="B4972" i="1"/>
  <c r="G4971" i="1"/>
  <c r="F4971" i="1"/>
  <c r="E4971" i="1"/>
  <c r="D4971" i="1"/>
  <c r="C4971" i="1"/>
  <c r="B4971" i="1"/>
  <c r="G4970" i="1"/>
  <c r="F4970" i="1"/>
  <c r="E4970" i="1"/>
  <c r="D4970" i="1"/>
  <c r="C4970" i="1"/>
  <c r="B4970" i="1"/>
  <c r="G4969" i="1"/>
  <c r="F4969" i="1"/>
  <c r="E4969" i="1"/>
  <c r="D4969" i="1"/>
  <c r="C4969" i="1"/>
  <c r="B4969" i="1"/>
  <c r="G4968" i="1"/>
  <c r="F4968" i="1"/>
  <c r="E4968" i="1"/>
  <c r="D4968" i="1"/>
  <c r="C4968" i="1"/>
  <c r="B4968" i="1"/>
  <c r="G4967" i="1"/>
  <c r="F4967" i="1"/>
  <c r="E4967" i="1"/>
  <c r="D4967" i="1"/>
  <c r="C4967" i="1"/>
  <c r="B4967" i="1"/>
  <c r="G4966" i="1"/>
  <c r="F4966" i="1"/>
  <c r="E4966" i="1"/>
  <c r="D4966" i="1"/>
  <c r="C4966" i="1"/>
  <c r="B4966" i="1"/>
  <c r="G4965" i="1"/>
  <c r="F4965" i="1"/>
  <c r="E4965" i="1"/>
  <c r="D4965" i="1"/>
  <c r="C4965" i="1"/>
  <c r="B4965" i="1"/>
  <c r="G4964" i="1"/>
  <c r="F4964" i="1"/>
  <c r="E4964" i="1"/>
  <c r="D4964" i="1"/>
  <c r="C4964" i="1"/>
  <c r="B4964" i="1"/>
  <c r="G4963" i="1"/>
  <c r="F4963" i="1"/>
  <c r="E4963" i="1"/>
  <c r="D4963" i="1"/>
  <c r="C4963" i="1"/>
  <c r="B4963" i="1"/>
  <c r="G4962" i="1"/>
  <c r="F4962" i="1"/>
  <c r="E4962" i="1"/>
  <c r="D4962" i="1"/>
  <c r="C4962" i="1"/>
  <c r="B4962" i="1"/>
  <c r="G4961" i="1"/>
  <c r="F4961" i="1"/>
  <c r="E4961" i="1"/>
  <c r="D4961" i="1"/>
  <c r="C4961" i="1"/>
  <c r="B4961" i="1"/>
  <c r="G4960" i="1"/>
  <c r="F4960" i="1"/>
  <c r="E4960" i="1"/>
  <c r="D4960" i="1"/>
  <c r="C4960" i="1"/>
  <c r="B4960" i="1"/>
  <c r="G4959" i="1"/>
  <c r="F4959" i="1"/>
  <c r="E4959" i="1"/>
  <c r="D4959" i="1"/>
  <c r="C4959" i="1"/>
  <c r="B4959" i="1"/>
  <c r="G4958" i="1"/>
  <c r="F4958" i="1"/>
  <c r="E4958" i="1"/>
  <c r="D4958" i="1"/>
  <c r="C4958" i="1"/>
  <c r="B4958" i="1"/>
  <c r="G4957" i="1"/>
  <c r="F4957" i="1"/>
  <c r="E4957" i="1"/>
  <c r="D4957" i="1"/>
  <c r="C4957" i="1"/>
  <c r="B4957" i="1"/>
  <c r="G4956" i="1"/>
  <c r="F4956" i="1"/>
  <c r="E4956" i="1"/>
  <c r="D4956" i="1"/>
  <c r="C4956" i="1"/>
  <c r="B4956" i="1"/>
  <c r="G4955" i="1"/>
  <c r="F4955" i="1"/>
  <c r="E4955" i="1"/>
  <c r="D4955" i="1"/>
  <c r="C4955" i="1"/>
  <c r="B4955" i="1"/>
  <c r="G4954" i="1"/>
  <c r="F4954" i="1"/>
  <c r="E4954" i="1"/>
  <c r="D4954" i="1"/>
  <c r="C4954" i="1"/>
  <c r="B4954" i="1"/>
  <c r="G4953" i="1"/>
  <c r="F4953" i="1"/>
  <c r="E4953" i="1"/>
  <c r="D4953" i="1"/>
  <c r="C4953" i="1"/>
  <c r="B4953" i="1"/>
  <c r="G4952" i="1"/>
  <c r="F4952" i="1"/>
  <c r="E4952" i="1"/>
  <c r="D4952" i="1"/>
  <c r="C4952" i="1"/>
  <c r="B4952" i="1"/>
  <c r="G4951" i="1"/>
  <c r="F4951" i="1"/>
  <c r="E4951" i="1"/>
  <c r="D4951" i="1"/>
  <c r="C4951" i="1"/>
  <c r="B4951" i="1"/>
  <c r="G4950" i="1"/>
  <c r="F4950" i="1"/>
  <c r="E4950" i="1"/>
  <c r="D4950" i="1"/>
  <c r="C4950" i="1"/>
  <c r="B4950" i="1"/>
  <c r="G4949" i="1"/>
  <c r="F4949" i="1"/>
  <c r="E4949" i="1"/>
  <c r="D4949" i="1"/>
  <c r="C4949" i="1"/>
  <c r="B4949" i="1"/>
  <c r="G4948" i="1"/>
  <c r="F4948" i="1"/>
  <c r="E4948" i="1"/>
  <c r="D4948" i="1"/>
  <c r="C4948" i="1"/>
  <c r="B4948" i="1"/>
  <c r="G4947" i="1"/>
  <c r="F4947" i="1"/>
  <c r="E4947" i="1"/>
  <c r="D4947" i="1"/>
  <c r="C4947" i="1"/>
  <c r="B4947" i="1"/>
  <c r="G4946" i="1"/>
  <c r="F4946" i="1"/>
  <c r="E4946" i="1"/>
  <c r="D4946" i="1"/>
  <c r="C4946" i="1"/>
  <c r="B4946" i="1"/>
  <c r="G4945" i="1"/>
  <c r="F4945" i="1"/>
  <c r="E4945" i="1"/>
  <c r="D4945" i="1"/>
  <c r="C4945" i="1"/>
  <c r="B4945" i="1"/>
  <c r="G4944" i="1"/>
  <c r="F4944" i="1"/>
  <c r="E4944" i="1"/>
  <c r="D4944" i="1"/>
  <c r="C4944" i="1"/>
  <c r="B4944" i="1"/>
  <c r="G4943" i="1"/>
  <c r="F4943" i="1"/>
  <c r="E4943" i="1"/>
  <c r="D4943" i="1"/>
  <c r="C4943" i="1"/>
  <c r="B4943" i="1"/>
  <c r="G4942" i="1"/>
  <c r="F4942" i="1"/>
  <c r="E4942" i="1"/>
  <c r="D4942" i="1"/>
  <c r="C4942" i="1"/>
  <c r="B4942" i="1"/>
  <c r="G4941" i="1"/>
  <c r="F4941" i="1"/>
  <c r="E4941" i="1"/>
  <c r="D4941" i="1"/>
  <c r="C4941" i="1"/>
  <c r="B4941" i="1"/>
  <c r="G4940" i="1"/>
  <c r="F4940" i="1"/>
  <c r="E4940" i="1"/>
  <c r="D4940" i="1"/>
  <c r="C4940" i="1"/>
  <c r="B4940" i="1"/>
  <c r="G4939" i="1"/>
  <c r="F4939" i="1"/>
  <c r="E4939" i="1"/>
  <c r="D4939" i="1"/>
  <c r="C4939" i="1"/>
  <c r="B4939" i="1"/>
  <c r="G4938" i="1"/>
  <c r="F4938" i="1"/>
  <c r="E4938" i="1"/>
  <c r="D4938" i="1"/>
  <c r="C4938" i="1"/>
  <c r="B4938" i="1"/>
  <c r="G4937" i="1"/>
  <c r="F4937" i="1"/>
  <c r="E4937" i="1"/>
  <c r="D4937" i="1"/>
  <c r="C4937" i="1"/>
  <c r="B4937" i="1"/>
  <c r="G4936" i="1"/>
  <c r="F4936" i="1"/>
  <c r="E4936" i="1"/>
  <c r="D4936" i="1"/>
  <c r="C4936" i="1"/>
  <c r="B4936" i="1"/>
  <c r="G4935" i="1"/>
  <c r="F4935" i="1"/>
  <c r="E4935" i="1"/>
  <c r="D4935" i="1"/>
  <c r="C4935" i="1"/>
  <c r="B4935" i="1"/>
  <c r="G4934" i="1"/>
  <c r="F4934" i="1"/>
  <c r="E4934" i="1"/>
  <c r="D4934" i="1"/>
  <c r="C4934" i="1"/>
  <c r="B4934" i="1"/>
  <c r="G4933" i="1"/>
  <c r="F4933" i="1"/>
  <c r="E4933" i="1"/>
  <c r="D4933" i="1"/>
  <c r="C4933" i="1"/>
  <c r="B4933" i="1"/>
  <c r="G4932" i="1"/>
  <c r="F4932" i="1"/>
  <c r="E4932" i="1"/>
  <c r="D4932" i="1"/>
  <c r="C4932" i="1"/>
  <c r="B4932" i="1"/>
  <c r="G4931" i="1"/>
  <c r="F4931" i="1"/>
  <c r="E4931" i="1"/>
  <c r="D4931" i="1"/>
  <c r="C4931" i="1"/>
  <c r="B4931" i="1"/>
  <c r="G4930" i="1"/>
  <c r="F4930" i="1"/>
  <c r="E4930" i="1"/>
  <c r="D4930" i="1"/>
  <c r="C4930" i="1"/>
  <c r="B4930" i="1"/>
  <c r="G4929" i="1"/>
  <c r="F4929" i="1"/>
  <c r="E4929" i="1"/>
  <c r="D4929" i="1"/>
  <c r="C4929" i="1"/>
  <c r="B4929" i="1"/>
  <c r="G4928" i="1"/>
  <c r="F4928" i="1"/>
  <c r="E4928" i="1"/>
  <c r="D4928" i="1"/>
  <c r="C4928" i="1"/>
  <c r="B4928" i="1"/>
  <c r="G4927" i="1"/>
  <c r="F4927" i="1"/>
  <c r="E4927" i="1"/>
  <c r="D4927" i="1"/>
  <c r="C4927" i="1"/>
  <c r="B4927" i="1"/>
  <c r="G4926" i="1"/>
  <c r="F4926" i="1"/>
  <c r="E4926" i="1"/>
  <c r="D4926" i="1"/>
  <c r="C4926" i="1"/>
  <c r="B4926" i="1"/>
  <c r="G4925" i="1"/>
  <c r="F4925" i="1"/>
  <c r="E4925" i="1"/>
  <c r="D4925" i="1"/>
  <c r="C4925" i="1"/>
  <c r="B4925" i="1"/>
  <c r="G4924" i="1"/>
  <c r="F4924" i="1"/>
  <c r="E4924" i="1"/>
  <c r="D4924" i="1"/>
  <c r="C4924" i="1"/>
  <c r="B4924" i="1"/>
  <c r="G4923" i="1"/>
  <c r="F4923" i="1"/>
  <c r="E4923" i="1"/>
  <c r="D4923" i="1"/>
  <c r="C4923" i="1"/>
  <c r="B4923" i="1"/>
  <c r="G4922" i="1"/>
  <c r="F4922" i="1"/>
  <c r="E4922" i="1"/>
  <c r="D4922" i="1"/>
  <c r="C4922" i="1"/>
  <c r="B4922" i="1"/>
  <c r="G4921" i="1"/>
  <c r="F4921" i="1"/>
  <c r="E4921" i="1"/>
  <c r="D4921" i="1"/>
  <c r="C4921" i="1"/>
  <c r="B4921" i="1"/>
  <c r="G4920" i="1"/>
  <c r="F4920" i="1"/>
  <c r="E4920" i="1"/>
  <c r="D4920" i="1"/>
  <c r="C4920" i="1"/>
  <c r="B4920" i="1"/>
  <c r="G4919" i="1"/>
  <c r="F4919" i="1"/>
  <c r="E4919" i="1"/>
  <c r="D4919" i="1"/>
  <c r="C4919" i="1"/>
  <c r="B4919" i="1"/>
  <c r="G4918" i="1"/>
  <c r="F4918" i="1"/>
  <c r="E4918" i="1"/>
  <c r="D4918" i="1"/>
  <c r="C4918" i="1"/>
  <c r="B4918" i="1"/>
  <c r="G4917" i="1"/>
  <c r="F4917" i="1"/>
  <c r="E4917" i="1"/>
  <c r="D4917" i="1"/>
  <c r="C4917" i="1"/>
  <c r="B4917" i="1"/>
  <c r="G4916" i="1"/>
  <c r="F4916" i="1"/>
  <c r="E4916" i="1"/>
  <c r="D4916" i="1"/>
  <c r="C4916" i="1"/>
  <c r="B4916" i="1"/>
  <c r="G4915" i="1"/>
  <c r="F4915" i="1"/>
  <c r="E4915" i="1"/>
  <c r="D4915" i="1"/>
  <c r="C4915" i="1"/>
  <c r="B4915" i="1"/>
  <c r="G4914" i="1"/>
  <c r="F4914" i="1"/>
  <c r="E4914" i="1"/>
  <c r="D4914" i="1"/>
  <c r="C4914" i="1"/>
  <c r="B4914" i="1"/>
  <c r="G4913" i="1"/>
  <c r="F4913" i="1"/>
  <c r="E4913" i="1"/>
  <c r="D4913" i="1"/>
  <c r="C4913" i="1"/>
  <c r="B4913" i="1"/>
  <c r="G4912" i="1"/>
  <c r="F4912" i="1"/>
  <c r="E4912" i="1"/>
  <c r="D4912" i="1"/>
  <c r="C4912" i="1"/>
  <c r="B4912" i="1"/>
  <c r="G4911" i="1"/>
  <c r="F4911" i="1"/>
  <c r="E4911" i="1"/>
  <c r="D4911" i="1"/>
  <c r="C4911" i="1"/>
  <c r="B4911" i="1"/>
  <c r="G4910" i="1"/>
  <c r="F4910" i="1"/>
  <c r="E4910" i="1"/>
  <c r="D4910" i="1"/>
  <c r="C4910" i="1"/>
  <c r="B4910" i="1"/>
  <c r="G4909" i="1"/>
  <c r="F4909" i="1"/>
  <c r="E4909" i="1"/>
  <c r="D4909" i="1"/>
  <c r="C4909" i="1"/>
  <c r="B4909" i="1"/>
  <c r="G4908" i="1"/>
  <c r="F4908" i="1"/>
  <c r="E4908" i="1"/>
  <c r="D4908" i="1"/>
  <c r="C4908" i="1"/>
  <c r="B4908" i="1"/>
  <c r="G4907" i="1"/>
  <c r="F4907" i="1"/>
  <c r="E4907" i="1"/>
  <c r="D4907" i="1"/>
  <c r="C4907" i="1"/>
  <c r="B4907" i="1"/>
  <c r="G4906" i="1"/>
  <c r="F4906" i="1"/>
  <c r="E4906" i="1"/>
  <c r="D4906" i="1"/>
  <c r="C4906" i="1"/>
  <c r="B4906" i="1"/>
  <c r="G4905" i="1"/>
  <c r="F4905" i="1"/>
  <c r="E4905" i="1"/>
  <c r="D4905" i="1"/>
  <c r="C4905" i="1"/>
  <c r="B4905" i="1"/>
  <c r="G4904" i="1"/>
  <c r="F4904" i="1"/>
  <c r="E4904" i="1"/>
  <c r="D4904" i="1"/>
  <c r="C4904" i="1"/>
  <c r="B4904" i="1"/>
  <c r="G4903" i="1"/>
  <c r="F4903" i="1"/>
  <c r="E4903" i="1"/>
  <c r="D4903" i="1"/>
  <c r="C4903" i="1"/>
  <c r="B4903" i="1"/>
  <c r="G4902" i="1"/>
  <c r="F4902" i="1"/>
  <c r="E4902" i="1"/>
  <c r="D4902" i="1"/>
  <c r="C4902" i="1"/>
  <c r="B4902" i="1"/>
  <c r="G4901" i="1"/>
  <c r="F4901" i="1"/>
  <c r="E4901" i="1"/>
  <c r="D4901" i="1"/>
  <c r="C4901" i="1"/>
  <c r="B4901" i="1"/>
  <c r="G4900" i="1"/>
  <c r="F4900" i="1"/>
  <c r="E4900" i="1"/>
  <c r="D4900" i="1"/>
  <c r="C4900" i="1"/>
  <c r="B4900" i="1"/>
  <c r="G4899" i="1"/>
  <c r="F4899" i="1"/>
  <c r="E4899" i="1"/>
  <c r="D4899" i="1"/>
  <c r="C4899" i="1"/>
  <c r="B4899" i="1"/>
  <c r="G4898" i="1"/>
  <c r="F4898" i="1"/>
  <c r="E4898" i="1"/>
  <c r="D4898" i="1"/>
  <c r="C4898" i="1"/>
  <c r="B4898" i="1"/>
  <c r="G4897" i="1"/>
  <c r="F4897" i="1"/>
  <c r="E4897" i="1"/>
  <c r="D4897" i="1"/>
  <c r="C4897" i="1"/>
  <c r="B4897" i="1"/>
  <c r="G4896" i="1"/>
  <c r="F4896" i="1"/>
  <c r="E4896" i="1"/>
  <c r="D4896" i="1"/>
  <c r="C4896" i="1"/>
  <c r="B4896" i="1"/>
  <c r="G4895" i="1"/>
  <c r="F4895" i="1"/>
  <c r="E4895" i="1"/>
  <c r="D4895" i="1"/>
  <c r="C4895" i="1"/>
  <c r="B4895" i="1"/>
  <c r="G4894" i="1"/>
  <c r="F4894" i="1"/>
  <c r="E4894" i="1"/>
  <c r="D4894" i="1"/>
  <c r="C4894" i="1"/>
  <c r="B4894" i="1"/>
  <c r="G4893" i="1"/>
  <c r="F4893" i="1"/>
  <c r="E4893" i="1"/>
  <c r="D4893" i="1"/>
  <c r="C4893" i="1"/>
  <c r="B4893" i="1"/>
  <c r="G4892" i="1"/>
  <c r="F4892" i="1"/>
  <c r="E4892" i="1"/>
  <c r="D4892" i="1"/>
  <c r="C4892" i="1"/>
  <c r="B4892" i="1"/>
  <c r="G4891" i="1"/>
  <c r="F4891" i="1"/>
  <c r="E4891" i="1"/>
  <c r="D4891" i="1"/>
  <c r="C4891" i="1"/>
  <c r="B4891" i="1"/>
  <c r="G4890" i="1"/>
  <c r="F4890" i="1"/>
  <c r="E4890" i="1"/>
  <c r="D4890" i="1"/>
  <c r="C4890" i="1"/>
  <c r="B4890" i="1"/>
  <c r="G4889" i="1"/>
  <c r="F4889" i="1"/>
  <c r="E4889" i="1"/>
  <c r="D4889" i="1"/>
  <c r="C4889" i="1"/>
  <c r="B4889" i="1"/>
  <c r="G4888" i="1"/>
  <c r="F4888" i="1"/>
  <c r="E4888" i="1"/>
  <c r="D4888" i="1"/>
  <c r="C4888" i="1"/>
  <c r="B4888" i="1"/>
  <c r="G4887" i="1"/>
  <c r="F4887" i="1"/>
  <c r="E4887" i="1"/>
  <c r="D4887" i="1"/>
  <c r="C4887" i="1"/>
  <c r="B4887" i="1"/>
  <c r="G4886" i="1"/>
  <c r="F4886" i="1"/>
  <c r="E4886" i="1"/>
  <c r="D4886" i="1"/>
  <c r="C4886" i="1"/>
  <c r="B4886" i="1"/>
  <c r="G4885" i="1"/>
  <c r="F4885" i="1"/>
  <c r="E4885" i="1"/>
  <c r="D4885" i="1"/>
  <c r="C4885" i="1"/>
  <c r="B4885" i="1"/>
  <c r="G4884" i="1"/>
  <c r="F4884" i="1"/>
  <c r="E4884" i="1"/>
  <c r="D4884" i="1"/>
  <c r="C4884" i="1"/>
  <c r="B4884" i="1"/>
  <c r="G4883" i="1"/>
  <c r="F4883" i="1"/>
  <c r="E4883" i="1"/>
  <c r="D4883" i="1"/>
  <c r="C4883" i="1"/>
  <c r="B4883" i="1"/>
  <c r="G4882" i="1"/>
  <c r="F4882" i="1"/>
  <c r="E4882" i="1"/>
  <c r="D4882" i="1"/>
  <c r="C4882" i="1"/>
  <c r="B4882" i="1"/>
  <c r="G4881" i="1"/>
  <c r="F4881" i="1"/>
  <c r="E4881" i="1"/>
  <c r="D4881" i="1"/>
  <c r="C4881" i="1"/>
  <c r="B4881" i="1"/>
  <c r="G4880" i="1"/>
  <c r="F4880" i="1"/>
  <c r="E4880" i="1"/>
  <c r="D4880" i="1"/>
  <c r="C4880" i="1"/>
  <c r="B4880" i="1"/>
  <c r="G4879" i="1"/>
  <c r="F4879" i="1"/>
  <c r="E4879" i="1"/>
  <c r="D4879" i="1"/>
  <c r="C4879" i="1"/>
  <c r="B4879" i="1"/>
  <c r="G4878" i="1"/>
  <c r="F4878" i="1"/>
  <c r="E4878" i="1"/>
  <c r="D4878" i="1"/>
  <c r="C4878" i="1"/>
  <c r="B4878" i="1"/>
  <c r="G4877" i="1"/>
  <c r="F4877" i="1"/>
  <c r="E4877" i="1"/>
  <c r="D4877" i="1"/>
  <c r="C4877" i="1"/>
  <c r="B4877" i="1"/>
  <c r="G4876" i="1"/>
  <c r="F4876" i="1"/>
  <c r="E4876" i="1"/>
  <c r="D4876" i="1"/>
  <c r="C4876" i="1"/>
  <c r="B4876" i="1"/>
  <c r="G4875" i="1"/>
  <c r="F4875" i="1"/>
  <c r="E4875" i="1"/>
  <c r="D4875" i="1"/>
  <c r="C4875" i="1"/>
  <c r="B4875" i="1"/>
  <c r="G4874" i="1"/>
  <c r="F4874" i="1"/>
  <c r="E4874" i="1"/>
  <c r="D4874" i="1"/>
  <c r="C4874" i="1"/>
  <c r="B4874" i="1"/>
  <c r="G4873" i="1"/>
  <c r="F4873" i="1"/>
  <c r="E4873" i="1"/>
  <c r="D4873" i="1"/>
  <c r="C4873" i="1"/>
  <c r="B4873" i="1"/>
  <c r="G4872" i="1"/>
  <c r="F4872" i="1"/>
  <c r="E4872" i="1"/>
  <c r="D4872" i="1"/>
  <c r="C4872" i="1"/>
  <c r="B4872" i="1"/>
  <c r="G4871" i="1"/>
  <c r="F4871" i="1"/>
  <c r="E4871" i="1"/>
  <c r="D4871" i="1"/>
  <c r="C4871" i="1"/>
  <c r="B4871" i="1"/>
  <c r="G4870" i="1"/>
  <c r="F4870" i="1"/>
  <c r="E4870" i="1"/>
  <c r="D4870" i="1"/>
  <c r="C4870" i="1"/>
  <c r="B4870" i="1"/>
  <c r="G4869" i="1"/>
  <c r="F4869" i="1"/>
  <c r="E4869" i="1"/>
  <c r="D4869" i="1"/>
  <c r="C4869" i="1"/>
  <c r="B4869" i="1"/>
  <c r="G4868" i="1"/>
  <c r="F4868" i="1"/>
  <c r="E4868" i="1"/>
  <c r="D4868" i="1"/>
  <c r="C4868" i="1"/>
  <c r="B4868" i="1"/>
  <c r="G4867" i="1"/>
  <c r="F4867" i="1"/>
  <c r="E4867" i="1"/>
  <c r="D4867" i="1"/>
  <c r="C4867" i="1"/>
  <c r="B4867" i="1"/>
  <c r="G4866" i="1"/>
  <c r="F4866" i="1"/>
  <c r="E4866" i="1"/>
  <c r="D4866" i="1"/>
  <c r="C4866" i="1"/>
  <c r="B4866" i="1"/>
  <c r="G4865" i="1"/>
  <c r="F4865" i="1"/>
  <c r="E4865" i="1"/>
  <c r="D4865" i="1"/>
  <c r="C4865" i="1"/>
  <c r="B4865" i="1"/>
  <c r="G4864" i="1"/>
  <c r="F4864" i="1"/>
  <c r="E4864" i="1"/>
  <c r="D4864" i="1"/>
  <c r="C4864" i="1"/>
  <c r="B4864" i="1"/>
  <c r="G4863" i="1"/>
  <c r="F4863" i="1"/>
  <c r="E4863" i="1"/>
  <c r="D4863" i="1"/>
  <c r="C4863" i="1"/>
  <c r="B4863" i="1"/>
  <c r="G4862" i="1"/>
  <c r="F4862" i="1"/>
  <c r="E4862" i="1"/>
  <c r="D4862" i="1"/>
  <c r="C4862" i="1"/>
  <c r="B4862" i="1"/>
  <c r="G4861" i="1"/>
  <c r="F4861" i="1"/>
  <c r="E4861" i="1"/>
  <c r="D4861" i="1"/>
  <c r="C4861" i="1"/>
  <c r="B4861" i="1"/>
  <c r="G4860" i="1"/>
  <c r="F4860" i="1"/>
  <c r="E4860" i="1"/>
  <c r="D4860" i="1"/>
  <c r="C4860" i="1"/>
  <c r="B4860" i="1"/>
  <c r="G4859" i="1"/>
  <c r="F4859" i="1"/>
  <c r="E4859" i="1"/>
  <c r="D4859" i="1"/>
  <c r="C4859" i="1"/>
  <c r="B4859" i="1"/>
  <c r="G4858" i="1"/>
  <c r="F4858" i="1"/>
  <c r="E4858" i="1"/>
  <c r="D4858" i="1"/>
  <c r="C4858" i="1"/>
  <c r="B4858" i="1"/>
  <c r="G4857" i="1"/>
  <c r="F4857" i="1"/>
  <c r="E4857" i="1"/>
  <c r="D4857" i="1"/>
  <c r="C4857" i="1"/>
  <c r="B4857" i="1"/>
  <c r="G4856" i="1"/>
  <c r="F4856" i="1"/>
  <c r="E4856" i="1"/>
  <c r="D4856" i="1"/>
  <c r="C4856" i="1"/>
  <c r="B4856" i="1"/>
  <c r="G4855" i="1"/>
  <c r="F4855" i="1"/>
  <c r="E4855" i="1"/>
  <c r="D4855" i="1"/>
  <c r="C4855" i="1"/>
  <c r="B4855" i="1"/>
  <c r="G4854" i="1"/>
  <c r="F4854" i="1"/>
  <c r="E4854" i="1"/>
  <c r="D4854" i="1"/>
  <c r="C4854" i="1"/>
  <c r="B4854" i="1"/>
  <c r="G4853" i="1"/>
  <c r="F4853" i="1"/>
  <c r="E4853" i="1"/>
  <c r="D4853" i="1"/>
  <c r="C4853" i="1"/>
  <c r="B4853" i="1"/>
  <c r="G4852" i="1"/>
  <c r="F4852" i="1"/>
  <c r="E4852" i="1"/>
  <c r="D4852" i="1"/>
  <c r="C4852" i="1"/>
  <c r="B4852" i="1"/>
  <c r="G4851" i="1"/>
  <c r="F4851" i="1"/>
  <c r="E4851" i="1"/>
  <c r="D4851" i="1"/>
  <c r="C4851" i="1"/>
  <c r="B4851" i="1"/>
  <c r="G4850" i="1"/>
  <c r="F4850" i="1"/>
  <c r="E4850" i="1"/>
  <c r="D4850" i="1"/>
  <c r="C4850" i="1"/>
  <c r="B4850" i="1"/>
  <c r="G4849" i="1"/>
  <c r="F4849" i="1"/>
  <c r="E4849" i="1"/>
  <c r="D4849" i="1"/>
  <c r="C4849" i="1"/>
  <c r="B4849" i="1"/>
  <c r="G4848" i="1"/>
  <c r="F4848" i="1"/>
  <c r="E4848" i="1"/>
  <c r="D4848" i="1"/>
  <c r="C4848" i="1"/>
  <c r="B4848" i="1"/>
  <c r="G4847" i="1"/>
  <c r="F4847" i="1"/>
  <c r="E4847" i="1"/>
  <c r="D4847" i="1"/>
  <c r="C4847" i="1"/>
  <c r="B4847" i="1"/>
  <c r="G4846" i="1"/>
  <c r="F4846" i="1"/>
  <c r="E4846" i="1"/>
  <c r="D4846" i="1"/>
  <c r="C4846" i="1"/>
  <c r="B4846" i="1"/>
  <c r="G4845" i="1"/>
  <c r="F4845" i="1"/>
  <c r="E4845" i="1"/>
  <c r="D4845" i="1"/>
  <c r="C4845" i="1"/>
  <c r="B4845" i="1"/>
  <c r="G4844" i="1"/>
  <c r="F4844" i="1"/>
  <c r="E4844" i="1"/>
  <c r="D4844" i="1"/>
  <c r="C4844" i="1"/>
  <c r="B4844" i="1"/>
  <c r="G4843" i="1"/>
  <c r="F4843" i="1"/>
  <c r="E4843" i="1"/>
  <c r="D4843" i="1"/>
  <c r="C4843" i="1"/>
  <c r="B4843" i="1"/>
  <c r="G4842" i="1"/>
  <c r="F4842" i="1"/>
  <c r="E4842" i="1"/>
  <c r="D4842" i="1"/>
  <c r="C4842" i="1"/>
  <c r="B4842" i="1"/>
  <c r="G4841" i="1"/>
  <c r="F4841" i="1"/>
  <c r="E4841" i="1"/>
  <c r="D4841" i="1"/>
  <c r="C4841" i="1"/>
  <c r="B4841" i="1"/>
  <c r="G4840" i="1"/>
  <c r="F4840" i="1"/>
  <c r="E4840" i="1"/>
  <c r="D4840" i="1"/>
  <c r="C4840" i="1"/>
  <c r="B4840" i="1"/>
  <c r="G4839" i="1"/>
  <c r="F4839" i="1"/>
  <c r="E4839" i="1"/>
  <c r="D4839" i="1"/>
  <c r="C4839" i="1"/>
  <c r="B4839" i="1"/>
  <c r="G4838" i="1"/>
  <c r="F4838" i="1"/>
  <c r="E4838" i="1"/>
  <c r="D4838" i="1"/>
  <c r="C4838" i="1"/>
  <c r="B4838" i="1"/>
  <c r="G4837" i="1"/>
  <c r="F4837" i="1"/>
  <c r="E4837" i="1"/>
  <c r="D4837" i="1"/>
  <c r="C4837" i="1"/>
  <c r="B4837" i="1"/>
  <c r="G4836" i="1"/>
  <c r="F4836" i="1"/>
  <c r="E4836" i="1"/>
  <c r="D4836" i="1"/>
  <c r="C4836" i="1"/>
  <c r="B4836" i="1"/>
  <c r="G4835" i="1"/>
  <c r="F4835" i="1"/>
  <c r="E4835" i="1"/>
  <c r="D4835" i="1"/>
  <c r="C4835" i="1"/>
  <c r="B4835" i="1"/>
  <c r="G4834" i="1"/>
  <c r="F4834" i="1"/>
  <c r="E4834" i="1"/>
  <c r="D4834" i="1"/>
  <c r="C4834" i="1"/>
  <c r="B4834" i="1"/>
  <c r="G4833" i="1"/>
  <c r="F4833" i="1"/>
  <c r="E4833" i="1"/>
  <c r="D4833" i="1"/>
  <c r="C4833" i="1"/>
  <c r="B4833" i="1"/>
  <c r="G4832" i="1"/>
  <c r="F4832" i="1"/>
  <c r="E4832" i="1"/>
  <c r="D4832" i="1"/>
  <c r="C4832" i="1"/>
  <c r="B4832" i="1"/>
  <c r="G4831" i="1"/>
  <c r="F4831" i="1"/>
  <c r="E4831" i="1"/>
  <c r="D4831" i="1"/>
  <c r="C4831" i="1"/>
  <c r="B4831" i="1"/>
  <c r="G4830" i="1"/>
  <c r="F4830" i="1"/>
  <c r="E4830" i="1"/>
  <c r="D4830" i="1"/>
  <c r="C4830" i="1"/>
  <c r="B4830" i="1"/>
  <c r="G4829" i="1"/>
  <c r="F4829" i="1"/>
  <c r="E4829" i="1"/>
  <c r="D4829" i="1"/>
  <c r="C4829" i="1"/>
  <c r="B4829" i="1"/>
  <c r="G4828" i="1"/>
  <c r="F4828" i="1"/>
  <c r="E4828" i="1"/>
  <c r="D4828" i="1"/>
  <c r="C4828" i="1"/>
  <c r="B4828" i="1"/>
  <c r="G4827" i="1"/>
  <c r="F4827" i="1"/>
  <c r="E4827" i="1"/>
  <c r="D4827" i="1"/>
  <c r="C4827" i="1"/>
  <c r="B4827" i="1"/>
  <c r="G4826" i="1"/>
  <c r="F4826" i="1"/>
  <c r="E4826" i="1"/>
  <c r="D4826" i="1"/>
  <c r="C4826" i="1"/>
  <c r="B4826" i="1"/>
  <c r="G4825" i="1"/>
  <c r="F4825" i="1"/>
  <c r="E4825" i="1"/>
  <c r="D4825" i="1"/>
  <c r="C4825" i="1"/>
  <c r="B4825" i="1"/>
  <c r="G4824" i="1"/>
  <c r="F4824" i="1"/>
  <c r="E4824" i="1"/>
  <c r="D4824" i="1"/>
  <c r="C4824" i="1"/>
  <c r="B4824" i="1"/>
  <c r="G4823" i="1"/>
  <c r="F4823" i="1"/>
  <c r="E4823" i="1"/>
  <c r="D4823" i="1"/>
  <c r="C4823" i="1"/>
  <c r="B4823" i="1"/>
  <c r="G4822" i="1"/>
  <c r="F4822" i="1"/>
  <c r="E4822" i="1"/>
  <c r="D4822" i="1"/>
  <c r="C4822" i="1"/>
  <c r="B4822" i="1"/>
  <c r="G4821" i="1"/>
  <c r="F4821" i="1"/>
  <c r="E4821" i="1"/>
  <c r="D4821" i="1"/>
  <c r="C4821" i="1"/>
  <c r="B4821" i="1"/>
  <c r="G4820" i="1"/>
  <c r="F4820" i="1"/>
  <c r="E4820" i="1"/>
  <c r="D4820" i="1"/>
  <c r="C4820" i="1"/>
  <c r="B4820" i="1"/>
  <c r="G4819" i="1"/>
  <c r="F4819" i="1"/>
  <c r="E4819" i="1"/>
  <c r="D4819" i="1"/>
  <c r="C4819" i="1"/>
  <c r="B4819" i="1"/>
  <c r="G4818" i="1"/>
  <c r="F4818" i="1"/>
  <c r="E4818" i="1"/>
  <c r="D4818" i="1"/>
  <c r="C4818" i="1"/>
  <c r="B4818" i="1"/>
  <c r="G4817" i="1"/>
  <c r="F4817" i="1"/>
  <c r="E4817" i="1"/>
  <c r="D4817" i="1"/>
  <c r="C4817" i="1"/>
  <c r="B4817" i="1"/>
  <c r="G4816" i="1"/>
  <c r="F4816" i="1"/>
  <c r="E4816" i="1"/>
  <c r="D4816" i="1"/>
  <c r="C4816" i="1"/>
  <c r="B4816" i="1"/>
  <c r="G4815" i="1"/>
  <c r="F4815" i="1"/>
  <c r="E4815" i="1"/>
  <c r="D4815" i="1"/>
  <c r="C4815" i="1"/>
  <c r="B4815" i="1"/>
  <c r="G4814" i="1"/>
  <c r="F4814" i="1"/>
  <c r="E4814" i="1"/>
  <c r="D4814" i="1"/>
  <c r="C4814" i="1"/>
  <c r="B4814" i="1"/>
  <c r="G4813" i="1"/>
  <c r="F4813" i="1"/>
  <c r="E4813" i="1"/>
  <c r="D4813" i="1"/>
  <c r="C4813" i="1"/>
  <c r="B4813" i="1"/>
  <c r="G4812" i="1"/>
  <c r="F4812" i="1"/>
  <c r="E4812" i="1"/>
  <c r="D4812" i="1"/>
  <c r="C4812" i="1"/>
  <c r="B4812" i="1"/>
  <c r="G4811" i="1"/>
  <c r="F4811" i="1"/>
  <c r="E4811" i="1"/>
  <c r="D4811" i="1"/>
  <c r="C4811" i="1"/>
  <c r="B4811" i="1"/>
  <c r="G4810" i="1"/>
  <c r="F4810" i="1"/>
  <c r="E4810" i="1"/>
  <c r="D4810" i="1"/>
  <c r="C4810" i="1"/>
  <c r="B4810" i="1"/>
  <c r="G4809" i="1"/>
  <c r="F4809" i="1"/>
  <c r="E4809" i="1"/>
  <c r="D4809" i="1"/>
  <c r="C4809" i="1"/>
  <c r="B4809" i="1"/>
  <c r="G4808" i="1"/>
  <c r="F4808" i="1"/>
  <c r="E4808" i="1"/>
  <c r="D4808" i="1"/>
  <c r="C4808" i="1"/>
  <c r="B4808" i="1"/>
  <c r="G4807" i="1"/>
  <c r="F4807" i="1"/>
  <c r="E4807" i="1"/>
  <c r="D4807" i="1"/>
  <c r="C4807" i="1"/>
  <c r="B4807" i="1"/>
  <c r="G4806" i="1"/>
  <c r="F4806" i="1"/>
  <c r="E4806" i="1"/>
  <c r="D4806" i="1"/>
  <c r="C4806" i="1"/>
  <c r="B4806" i="1"/>
  <c r="G4805" i="1"/>
  <c r="F4805" i="1"/>
  <c r="E4805" i="1"/>
  <c r="D4805" i="1"/>
  <c r="C4805" i="1"/>
  <c r="B4805" i="1"/>
  <c r="G4804" i="1"/>
  <c r="F4804" i="1"/>
  <c r="E4804" i="1"/>
  <c r="D4804" i="1"/>
  <c r="C4804" i="1"/>
  <c r="B4804" i="1"/>
  <c r="G4803" i="1"/>
  <c r="F4803" i="1"/>
  <c r="E4803" i="1"/>
  <c r="D4803" i="1"/>
  <c r="C4803" i="1"/>
  <c r="B4803" i="1"/>
  <c r="G4802" i="1"/>
  <c r="F4802" i="1"/>
  <c r="E4802" i="1"/>
  <c r="D4802" i="1"/>
  <c r="C4802" i="1"/>
  <c r="B4802" i="1"/>
  <c r="G4801" i="1"/>
  <c r="F4801" i="1"/>
  <c r="E4801" i="1"/>
  <c r="D4801" i="1"/>
  <c r="C4801" i="1"/>
  <c r="B4801" i="1"/>
  <c r="G4800" i="1"/>
  <c r="F4800" i="1"/>
  <c r="E4800" i="1"/>
  <c r="D4800" i="1"/>
  <c r="C4800" i="1"/>
  <c r="B4800" i="1"/>
  <c r="G4799" i="1"/>
  <c r="F4799" i="1"/>
  <c r="E4799" i="1"/>
  <c r="D4799" i="1"/>
  <c r="C4799" i="1"/>
  <c r="B4799" i="1"/>
  <c r="G4798" i="1"/>
  <c r="F4798" i="1"/>
  <c r="E4798" i="1"/>
  <c r="D4798" i="1"/>
  <c r="C4798" i="1"/>
  <c r="B4798" i="1"/>
  <c r="G4797" i="1"/>
  <c r="F4797" i="1"/>
  <c r="E4797" i="1"/>
  <c r="D4797" i="1"/>
  <c r="C4797" i="1"/>
  <c r="B4797" i="1"/>
  <c r="G4796" i="1"/>
  <c r="F4796" i="1"/>
  <c r="E4796" i="1"/>
  <c r="D4796" i="1"/>
  <c r="C4796" i="1"/>
  <c r="B4796" i="1"/>
  <c r="G4795" i="1"/>
  <c r="F4795" i="1"/>
  <c r="E4795" i="1"/>
  <c r="D4795" i="1"/>
  <c r="C4795" i="1"/>
  <c r="B4795" i="1"/>
  <c r="G4794" i="1"/>
  <c r="F4794" i="1"/>
  <c r="E4794" i="1"/>
  <c r="D4794" i="1"/>
  <c r="C4794" i="1"/>
  <c r="B4794" i="1"/>
  <c r="G4793" i="1"/>
  <c r="F4793" i="1"/>
  <c r="E4793" i="1"/>
  <c r="D4793" i="1"/>
  <c r="C4793" i="1"/>
  <c r="B4793" i="1"/>
  <c r="G4792" i="1"/>
  <c r="F4792" i="1"/>
  <c r="E4792" i="1"/>
  <c r="D4792" i="1"/>
  <c r="C4792" i="1"/>
  <c r="B4792" i="1"/>
  <c r="G4791" i="1"/>
  <c r="F4791" i="1"/>
  <c r="E4791" i="1"/>
  <c r="D4791" i="1"/>
  <c r="C4791" i="1"/>
  <c r="B4791" i="1"/>
  <c r="G4790" i="1"/>
  <c r="F4790" i="1"/>
  <c r="E4790" i="1"/>
  <c r="D4790" i="1"/>
  <c r="C4790" i="1"/>
  <c r="B4790" i="1"/>
  <c r="G4789" i="1"/>
  <c r="F4789" i="1"/>
  <c r="E4789" i="1"/>
  <c r="D4789" i="1"/>
  <c r="C4789" i="1"/>
  <c r="B4789" i="1"/>
  <c r="G4788" i="1"/>
  <c r="F4788" i="1"/>
  <c r="E4788" i="1"/>
  <c r="D4788" i="1"/>
  <c r="C4788" i="1"/>
  <c r="B4788" i="1"/>
  <c r="G4787" i="1"/>
  <c r="F4787" i="1"/>
  <c r="E4787" i="1"/>
  <c r="D4787" i="1"/>
  <c r="C4787" i="1"/>
  <c r="B4787" i="1"/>
  <c r="G4786" i="1"/>
  <c r="F4786" i="1"/>
  <c r="E4786" i="1"/>
  <c r="D4786" i="1"/>
  <c r="C4786" i="1"/>
  <c r="B4786" i="1"/>
  <c r="G4785" i="1"/>
  <c r="F4785" i="1"/>
  <c r="E4785" i="1"/>
  <c r="D4785" i="1"/>
  <c r="C4785" i="1"/>
  <c r="B4785" i="1"/>
  <c r="G4784" i="1"/>
  <c r="F4784" i="1"/>
  <c r="E4784" i="1"/>
  <c r="D4784" i="1"/>
  <c r="C4784" i="1"/>
  <c r="B4784" i="1"/>
  <c r="G4783" i="1"/>
  <c r="F4783" i="1"/>
  <c r="E4783" i="1"/>
  <c r="D4783" i="1"/>
  <c r="C4783" i="1"/>
  <c r="B4783" i="1"/>
  <c r="G4782" i="1"/>
  <c r="F4782" i="1"/>
  <c r="E4782" i="1"/>
  <c r="D4782" i="1"/>
  <c r="C4782" i="1"/>
  <c r="B4782" i="1"/>
  <c r="G4781" i="1"/>
  <c r="F4781" i="1"/>
  <c r="E4781" i="1"/>
  <c r="D4781" i="1"/>
  <c r="C4781" i="1"/>
  <c r="B4781" i="1"/>
  <c r="G4780" i="1"/>
  <c r="F4780" i="1"/>
  <c r="E4780" i="1"/>
  <c r="D4780" i="1"/>
  <c r="C4780" i="1"/>
  <c r="B4780" i="1"/>
  <c r="G4779" i="1"/>
  <c r="F4779" i="1"/>
  <c r="E4779" i="1"/>
  <c r="D4779" i="1"/>
  <c r="C4779" i="1"/>
  <c r="B4779" i="1"/>
  <c r="G4778" i="1"/>
  <c r="F4778" i="1"/>
  <c r="E4778" i="1"/>
  <c r="D4778" i="1"/>
  <c r="C4778" i="1"/>
  <c r="B4778" i="1"/>
  <c r="G4777" i="1"/>
  <c r="F4777" i="1"/>
  <c r="E4777" i="1"/>
  <c r="D4777" i="1"/>
  <c r="C4777" i="1"/>
  <c r="B4777" i="1"/>
  <c r="G4776" i="1"/>
  <c r="F4776" i="1"/>
  <c r="E4776" i="1"/>
  <c r="D4776" i="1"/>
  <c r="C4776" i="1"/>
  <c r="B4776" i="1"/>
  <c r="G4775" i="1"/>
  <c r="F4775" i="1"/>
  <c r="E4775" i="1"/>
  <c r="D4775" i="1"/>
  <c r="C4775" i="1"/>
  <c r="B4775" i="1"/>
  <c r="G4774" i="1"/>
  <c r="F4774" i="1"/>
  <c r="E4774" i="1"/>
  <c r="D4774" i="1"/>
  <c r="C4774" i="1"/>
  <c r="B4774" i="1"/>
  <c r="G4773" i="1"/>
  <c r="F4773" i="1"/>
  <c r="E4773" i="1"/>
  <c r="D4773" i="1"/>
  <c r="C4773" i="1"/>
  <c r="B4773" i="1"/>
  <c r="G4772" i="1"/>
  <c r="F4772" i="1"/>
  <c r="E4772" i="1"/>
  <c r="D4772" i="1"/>
  <c r="C4772" i="1"/>
  <c r="B4772" i="1"/>
  <c r="G4771" i="1"/>
  <c r="F4771" i="1"/>
  <c r="E4771" i="1"/>
  <c r="D4771" i="1"/>
  <c r="C4771" i="1"/>
  <c r="B4771" i="1"/>
  <c r="G4770" i="1"/>
  <c r="F4770" i="1"/>
  <c r="E4770" i="1"/>
  <c r="D4770" i="1"/>
  <c r="C4770" i="1"/>
  <c r="B4770" i="1"/>
  <c r="G4769" i="1"/>
  <c r="F4769" i="1"/>
  <c r="E4769" i="1"/>
  <c r="D4769" i="1"/>
  <c r="C4769" i="1"/>
  <c r="B4769" i="1"/>
  <c r="G4768" i="1"/>
  <c r="F4768" i="1"/>
  <c r="E4768" i="1"/>
  <c r="D4768" i="1"/>
  <c r="C4768" i="1"/>
  <c r="B4768" i="1"/>
  <c r="G4767" i="1"/>
  <c r="F4767" i="1"/>
  <c r="E4767" i="1"/>
  <c r="D4767" i="1"/>
  <c r="C4767" i="1"/>
  <c r="B4767" i="1"/>
  <c r="G4766" i="1"/>
  <c r="F4766" i="1"/>
  <c r="E4766" i="1"/>
  <c r="D4766" i="1"/>
  <c r="C4766" i="1"/>
  <c r="B4766" i="1"/>
  <c r="G4765" i="1"/>
  <c r="F4765" i="1"/>
  <c r="E4765" i="1"/>
  <c r="D4765" i="1"/>
  <c r="C4765" i="1"/>
  <c r="B4765" i="1"/>
  <c r="G4764" i="1"/>
  <c r="F4764" i="1"/>
  <c r="E4764" i="1"/>
  <c r="D4764" i="1"/>
  <c r="C4764" i="1"/>
  <c r="B4764" i="1"/>
  <c r="G4763" i="1"/>
  <c r="F4763" i="1"/>
  <c r="E4763" i="1"/>
  <c r="D4763" i="1"/>
  <c r="C4763" i="1"/>
  <c r="B4763" i="1"/>
  <c r="G4762" i="1"/>
  <c r="F4762" i="1"/>
  <c r="E4762" i="1"/>
  <c r="D4762" i="1"/>
  <c r="C4762" i="1"/>
  <c r="B4762" i="1"/>
  <c r="G4761" i="1"/>
  <c r="F4761" i="1"/>
  <c r="E4761" i="1"/>
  <c r="D4761" i="1"/>
  <c r="C4761" i="1"/>
  <c r="B4761" i="1"/>
  <c r="G4760" i="1"/>
  <c r="F4760" i="1"/>
  <c r="E4760" i="1"/>
  <c r="D4760" i="1"/>
  <c r="C4760" i="1"/>
  <c r="B4760" i="1"/>
  <c r="G4759" i="1"/>
  <c r="F4759" i="1"/>
  <c r="E4759" i="1"/>
  <c r="D4759" i="1"/>
  <c r="C4759" i="1"/>
  <c r="B4759" i="1"/>
  <c r="G4758" i="1"/>
  <c r="F4758" i="1"/>
  <c r="E4758" i="1"/>
  <c r="D4758" i="1"/>
  <c r="C4758" i="1"/>
  <c r="B4758" i="1"/>
  <c r="G4757" i="1"/>
  <c r="F4757" i="1"/>
  <c r="E4757" i="1"/>
  <c r="D4757" i="1"/>
  <c r="C4757" i="1"/>
  <c r="B4757" i="1"/>
  <c r="G4756" i="1"/>
  <c r="F4756" i="1"/>
  <c r="E4756" i="1"/>
  <c r="D4756" i="1"/>
  <c r="C4756" i="1"/>
  <c r="B4756" i="1"/>
  <c r="G4755" i="1"/>
  <c r="F4755" i="1"/>
  <c r="E4755" i="1"/>
  <c r="D4755" i="1"/>
  <c r="C4755" i="1"/>
  <c r="B4755" i="1"/>
  <c r="G4754" i="1"/>
  <c r="F4754" i="1"/>
  <c r="E4754" i="1"/>
  <c r="D4754" i="1"/>
  <c r="C4754" i="1"/>
  <c r="B4754" i="1"/>
  <c r="G4753" i="1"/>
  <c r="F4753" i="1"/>
  <c r="E4753" i="1"/>
  <c r="D4753" i="1"/>
  <c r="C4753" i="1"/>
  <c r="B4753" i="1"/>
  <c r="G4752" i="1"/>
  <c r="F4752" i="1"/>
  <c r="E4752" i="1"/>
  <c r="D4752" i="1"/>
  <c r="C4752" i="1"/>
  <c r="B4752" i="1"/>
  <c r="G4751" i="1"/>
  <c r="F4751" i="1"/>
  <c r="E4751" i="1"/>
  <c r="D4751" i="1"/>
  <c r="C4751" i="1"/>
  <c r="B4751" i="1"/>
  <c r="G4750" i="1"/>
  <c r="F4750" i="1"/>
  <c r="E4750" i="1"/>
  <c r="D4750" i="1"/>
  <c r="C4750" i="1"/>
  <c r="B4750" i="1"/>
  <c r="G4749" i="1"/>
  <c r="F4749" i="1"/>
  <c r="E4749" i="1"/>
  <c r="D4749" i="1"/>
  <c r="C4749" i="1"/>
  <c r="B4749" i="1"/>
  <c r="G4748" i="1"/>
  <c r="F4748" i="1"/>
  <c r="E4748" i="1"/>
  <c r="D4748" i="1"/>
  <c r="C4748" i="1"/>
  <c r="B4748" i="1"/>
  <c r="G4747" i="1"/>
  <c r="F4747" i="1"/>
  <c r="E4747" i="1"/>
  <c r="D4747" i="1"/>
  <c r="C4747" i="1"/>
  <c r="B4747" i="1"/>
  <c r="G4746" i="1"/>
  <c r="F4746" i="1"/>
  <c r="E4746" i="1"/>
  <c r="D4746" i="1"/>
  <c r="C4746" i="1"/>
  <c r="B4746" i="1"/>
  <c r="G4745" i="1"/>
  <c r="F4745" i="1"/>
  <c r="E4745" i="1"/>
  <c r="D4745" i="1"/>
  <c r="C4745" i="1"/>
  <c r="B4745" i="1"/>
  <c r="G4744" i="1"/>
  <c r="F4744" i="1"/>
  <c r="E4744" i="1"/>
  <c r="D4744" i="1"/>
  <c r="C4744" i="1"/>
  <c r="B4744" i="1"/>
  <c r="G4743" i="1"/>
  <c r="F4743" i="1"/>
  <c r="E4743" i="1"/>
  <c r="D4743" i="1"/>
  <c r="C4743" i="1"/>
  <c r="B4743" i="1"/>
  <c r="G4742" i="1"/>
  <c r="F4742" i="1"/>
  <c r="E4742" i="1"/>
  <c r="D4742" i="1"/>
  <c r="C4742" i="1"/>
  <c r="B4742" i="1"/>
  <c r="G4741" i="1"/>
  <c r="F4741" i="1"/>
  <c r="E4741" i="1"/>
  <c r="D4741" i="1"/>
  <c r="C4741" i="1"/>
  <c r="B4741" i="1"/>
  <c r="G4740" i="1"/>
  <c r="F4740" i="1"/>
  <c r="E4740" i="1"/>
  <c r="D4740" i="1"/>
  <c r="C4740" i="1"/>
  <c r="B4740" i="1"/>
  <c r="G4739" i="1"/>
  <c r="F4739" i="1"/>
  <c r="E4739" i="1"/>
  <c r="D4739" i="1"/>
  <c r="C4739" i="1"/>
  <c r="B4739" i="1"/>
  <c r="F4738" i="1"/>
  <c r="E4738" i="1"/>
  <c r="D4738" i="1"/>
  <c r="C4738" i="1"/>
  <c r="B4738" i="1"/>
  <c r="G4737" i="1"/>
  <c r="F4737" i="1"/>
  <c r="E4737" i="1"/>
  <c r="D4737" i="1"/>
  <c r="C4737" i="1"/>
  <c r="B4737" i="1"/>
  <c r="G4736" i="1"/>
  <c r="F4736" i="1"/>
  <c r="E4736" i="1"/>
  <c r="D4736" i="1"/>
  <c r="C4736" i="1"/>
  <c r="B4736" i="1"/>
  <c r="G4735" i="1"/>
  <c r="F4735" i="1"/>
  <c r="E4735" i="1"/>
  <c r="D4735" i="1"/>
  <c r="C4735" i="1"/>
  <c r="B4735" i="1"/>
  <c r="G4734" i="1"/>
  <c r="F4734" i="1"/>
  <c r="E4734" i="1"/>
  <c r="D4734" i="1"/>
  <c r="C4734" i="1"/>
  <c r="B4734" i="1"/>
  <c r="G4733" i="1"/>
  <c r="F4733" i="1"/>
  <c r="E4733" i="1"/>
  <c r="D4733" i="1"/>
  <c r="C4733" i="1"/>
  <c r="B4733" i="1"/>
  <c r="G4732" i="1"/>
  <c r="F4732" i="1"/>
  <c r="E4732" i="1"/>
  <c r="D4732" i="1"/>
  <c r="C4732" i="1"/>
  <c r="B4732" i="1"/>
  <c r="G4731" i="1"/>
  <c r="F4731" i="1"/>
  <c r="E4731" i="1"/>
  <c r="D4731" i="1"/>
  <c r="C4731" i="1"/>
  <c r="B4731" i="1"/>
  <c r="G4730" i="1"/>
  <c r="F4730" i="1"/>
  <c r="E4730" i="1"/>
  <c r="D4730" i="1"/>
  <c r="C4730" i="1"/>
  <c r="B4730" i="1"/>
  <c r="G4729" i="1"/>
  <c r="F4729" i="1"/>
  <c r="E4729" i="1"/>
  <c r="D4729" i="1"/>
  <c r="C4729" i="1"/>
  <c r="B4729" i="1"/>
  <c r="G4728" i="1"/>
  <c r="F4728" i="1"/>
  <c r="E4728" i="1"/>
  <c r="D4728" i="1"/>
  <c r="C4728" i="1"/>
  <c r="B4728" i="1"/>
  <c r="G4727" i="1"/>
  <c r="F4727" i="1"/>
  <c r="E4727" i="1"/>
  <c r="D4727" i="1"/>
  <c r="C4727" i="1"/>
  <c r="B4727" i="1"/>
  <c r="G4726" i="1"/>
  <c r="F4726" i="1"/>
  <c r="E4726" i="1"/>
  <c r="D4726" i="1"/>
  <c r="C4726" i="1"/>
  <c r="B4726" i="1"/>
  <c r="G4725" i="1"/>
  <c r="F4725" i="1"/>
  <c r="E4725" i="1"/>
  <c r="D4725" i="1"/>
  <c r="C4725" i="1"/>
  <c r="B4725" i="1"/>
  <c r="G4724" i="1"/>
  <c r="F4724" i="1"/>
  <c r="E4724" i="1"/>
  <c r="D4724" i="1"/>
  <c r="C4724" i="1"/>
  <c r="B4724" i="1"/>
  <c r="G4723" i="1"/>
  <c r="F4723" i="1"/>
  <c r="E4723" i="1"/>
  <c r="D4723" i="1"/>
  <c r="C4723" i="1"/>
  <c r="B4723" i="1"/>
  <c r="G4722" i="1"/>
  <c r="F4722" i="1"/>
  <c r="E4722" i="1"/>
  <c r="D4722" i="1"/>
  <c r="C4722" i="1"/>
  <c r="B4722" i="1"/>
  <c r="G4721" i="1"/>
  <c r="F4721" i="1"/>
  <c r="E4721" i="1"/>
  <c r="D4721" i="1"/>
  <c r="C4721" i="1"/>
  <c r="B4721" i="1"/>
  <c r="G4720" i="1"/>
  <c r="F4720" i="1"/>
  <c r="E4720" i="1"/>
  <c r="D4720" i="1"/>
  <c r="C4720" i="1"/>
  <c r="B4720" i="1"/>
  <c r="G4719" i="1"/>
  <c r="F4719" i="1"/>
  <c r="E4719" i="1"/>
  <c r="D4719" i="1"/>
  <c r="C4719" i="1"/>
  <c r="B4719" i="1"/>
  <c r="G4718" i="1"/>
  <c r="F4718" i="1"/>
  <c r="E4718" i="1"/>
  <c r="D4718" i="1"/>
  <c r="C4718" i="1"/>
  <c r="B4718" i="1"/>
  <c r="G4717" i="1"/>
  <c r="F4717" i="1"/>
  <c r="E4717" i="1"/>
  <c r="D4717" i="1"/>
  <c r="C4717" i="1"/>
  <c r="B4717" i="1"/>
  <c r="G4716" i="1"/>
  <c r="F4716" i="1"/>
  <c r="E4716" i="1"/>
  <c r="D4716" i="1"/>
  <c r="C4716" i="1"/>
  <c r="B4716" i="1"/>
  <c r="G4715" i="1"/>
  <c r="F4715" i="1"/>
  <c r="E4715" i="1"/>
  <c r="D4715" i="1"/>
  <c r="C4715" i="1"/>
  <c r="B4715" i="1"/>
  <c r="G4714" i="1"/>
  <c r="F4714" i="1"/>
  <c r="E4714" i="1"/>
  <c r="D4714" i="1"/>
  <c r="C4714" i="1"/>
  <c r="B4714" i="1"/>
  <c r="G4713" i="1"/>
  <c r="F4713" i="1"/>
  <c r="E4713" i="1"/>
  <c r="D4713" i="1"/>
  <c r="C4713" i="1"/>
  <c r="B4713" i="1"/>
  <c r="G4712" i="1"/>
  <c r="F4712" i="1"/>
  <c r="E4712" i="1"/>
  <c r="D4712" i="1"/>
  <c r="C4712" i="1"/>
  <c r="B4712" i="1"/>
  <c r="G4711" i="1"/>
  <c r="F4711" i="1"/>
  <c r="E4711" i="1"/>
  <c r="D4711" i="1"/>
  <c r="C4711" i="1"/>
  <c r="B4711" i="1"/>
  <c r="G4710" i="1"/>
  <c r="F4710" i="1"/>
  <c r="E4710" i="1"/>
  <c r="D4710" i="1"/>
  <c r="C4710" i="1"/>
  <c r="B4710" i="1"/>
  <c r="F4709" i="1"/>
  <c r="E4709" i="1"/>
  <c r="D4709" i="1"/>
  <c r="C4709" i="1"/>
  <c r="B4709" i="1"/>
  <c r="G4708" i="1"/>
  <c r="F4708" i="1"/>
  <c r="E4708" i="1"/>
  <c r="D4708" i="1"/>
  <c r="C4708" i="1"/>
  <c r="B4708" i="1"/>
  <c r="G4707" i="1"/>
  <c r="F4707" i="1"/>
  <c r="E4707" i="1"/>
  <c r="D4707" i="1"/>
  <c r="C4707" i="1"/>
  <c r="B4707" i="1"/>
  <c r="G4706" i="1"/>
  <c r="F4706" i="1"/>
  <c r="E4706" i="1"/>
  <c r="D4706" i="1"/>
  <c r="C4706" i="1"/>
  <c r="B4706" i="1"/>
  <c r="G4705" i="1"/>
  <c r="F4705" i="1"/>
  <c r="E4705" i="1"/>
  <c r="D4705" i="1"/>
  <c r="C4705" i="1"/>
  <c r="B4705" i="1"/>
  <c r="G4704" i="1"/>
  <c r="F4704" i="1"/>
  <c r="E4704" i="1"/>
  <c r="D4704" i="1"/>
  <c r="C4704" i="1"/>
  <c r="B4704" i="1"/>
  <c r="G4703" i="1"/>
  <c r="F4703" i="1"/>
  <c r="E4703" i="1"/>
  <c r="D4703" i="1"/>
  <c r="C4703" i="1"/>
  <c r="B4703" i="1"/>
  <c r="G4702" i="1"/>
  <c r="F4702" i="1"/>
  <c r="E4702" i="1"/>
  <c r="D4702" i="1"/>
  <c r="C4702" i="1"/>
  <c r="B4702" i="1"/>
  <c r="G4701" i="1"/>
  <c r="F4701" i="1"/>
  <c r="E4701" i="1"/>
  <c r="D4701" i="1"/>
  <c r="C4701" i="1"/>
  <c r="B4701" i="1"/>
  <c r="G4700" i="1"/>
  <c r="F4700" i="1"/>
  <c r="E4700" i="1"/>
  <c r="D4700" i="1"/>
  <c r="C4700" i="1"/>
  <c r="B4700" i="1"/>
  <c r="G4699" i="1"/>
  <c r="F4699" i="1"/>
  <c r="E4699" i="1"/>
  <c r="D4699" i="1"/>
  <c r="C4699" i="1"/>
  <c r="B4699" i="1"/>
  <c r="G4698" i="1"/>
  <c r="F4698" i="1"/>
  <c r="E4698" i="1"/>
  <c r="D4698" i="1"/>
  <c r="C4698" i="1"/>
  <c r="B4698" i="1"/>
  <c r="G4697" i="1"/>
  <c r="F4697" i="1"/>
  <c r="E4697" i="1"/>
  <c r="D4697" i="1"/>
  <c r="C4697" i="1"/>
  <c r="B4697" i="1"/>
  <c r="G4696" i="1"/>
  <c r="F4696" i="1"/>
  <c r="E4696" i="1"/>
  <c r="D4696" i="1"/>
  <c r="C4696" i="1"/>
  <c r="B4696" i="1"/>
  <c r="G4695" i="1"/>
  <c r="F4695" i="1"/>
  <c r="E4695" i="1"/>
  <c r="D4695" i="1"/>
  <c r="C4695" i="1"/>
  <c r="B4695" i="1"/>
  <c r="G4694" i="1"/>
  <c r="F4694" i="1"/>
  <c r="E4694" i="1"/>
  <c r="D4694" i="1"/>
  <c r="C4694" i="1"/>
  <c r="B4694" i="1"/>
  <c r="G4693" i="1"/>
  <c r="F4693" i="1"/>
  <c r="E4693" i="1"/>
  <c r="D4693" i="1"/>
  <c r="C4693" i="1"/>
  <c r="B4693" i="1"/>
  <c r="G4692" i="1"/>
  <c r="F4692" i="1"/>
  <c r="E4692" i="1"/>
  <c r="D4692" i="1"/>
  <c r="C4692" i="1"/>
  <c r="B4692" i="1"/>
  <c r="G4691" i="1"/>
  <c r="F4691" i="1"/>
  <c r="E4691" i="1"/>
  <c r="D4691" i="1"/>
  <c r="C4691" i="1"/>
  <c r="B4691" i="1"/>
  <c r="G4690" i="1"/>
  <c r="F4690" i="1"/>
  <c r="E4690" i="1"/>
  <c r="D4690" i="1"/>
  <c r="C4690" i="1"/>
  <c r="B4690" i="1"/>
  <c r="G4689" i="1"/>
  <c r="F4689" i="1"/>
  <c r="E4689" i="1"/>
  <c r="D4689" i="1"/>
  <c r="C4689" i="1"/>
  <c r="B4689" i="1"/>
  <c r="G4688" i="1"/>
  <c r="F4688" i="1"/>
  <c r="E4688" i="1"/>
  <c r="D4688" i="1"/>
  <c r="C4688" i="1"/>
  <c r="B4688" i="1"/>
  <c r="G4687" i="1"/>
  <c r="F4687" i="1"/>
  <c r="E4687" i="1"/>
  <c r="D4687" i="1"/>
  <c r="C4687" i="1"/>
  <c r="B4687" i="1"/>
  <c r="G4686" i="1"/>
  <c r="F4686" i="1"/>
  <c r="E4686" i="1"/>
  <c r="D4686" i="1"/>
  <c r="C4686" i="1"/>
  <c r="B4686" i="1"/>
  <c r="G4685" i="1"/>
  <c r="F4685" i="1"/>
  <c r="E4685" i="1"/>
  <c r="D4685" i="1"/>
  <c r="C4685" i="1"/>
  <c r="B4685" i="1"/>
  <c r="G4684" i="1"/>
  <c r="F4684" i="1"/>
  <c r="E4684" i="1"/>
  <c r="D4684" i="1"/>
  <c r="C4684" i="1"/>
  <c r="B4684" i="1"/>
  <c r="G4683" i="1"/>
  <c r="F4683" i="1"/>
  <c r="E4683" i="1"/>
  <c r="D4683" i="1"/>
  <c r="C4683" i="1"/>
  <c r="B4683" i="1"/>
  <c r="G4682" i="1"/>
  <c r="F4682" i="1"/>
  <c r="E4682" i="1"/>
  <c r="D4682" i="1"/>
  <c r="C4682" i="1"/>
  <c r="B4682" i="1"/>
  <c r="G4681" i="1"/>
  <c r="F4681" i="1"/>
  <c r="E4681" i="1"/>
  <c r="D4681" i="1"/>
  <c r="C4681" i="1"/>
  <c r="B4681" i="1"/>
  <c r="G4680" i="1"/>
  <c r="F4680" i="1"/>
  <c r="E4680" i="1"/>
  <c r="D4680" i="1"/>
  <c r="C4680" i="1"/>
  <c r="B4680" i="1"/>
  <c r="G4679" i="1"/>
  <c r="F4679" i="1"/>
  <c r="E4679" i="1"/>
  <c r="D4679" i="1"/>
  <c r="C4679" i="1"/>
  <c r="B4679" i="1"/>
  <c r="G4678" i="1"/>
  <c r="F4678" i="1"/>
  <c r="E4678" i="1"/>
  <c r="D4678" i="1"/>
  <c r="C4678" i="1"/>
  <c r="B4678" i="1"/>
  <c r="G4677" i="1"/>
  <c r="F4677" i="1"/>
  <c r="E4677" i="1"/>
  <c r="D4677" i="1"/>
  <c r="C4677" i="1"/>
  <c r="B4677" i="1"/>
  <c r="G4676" i="1"/>
  <c r="F4676" i="1"/>
  <c r="E4676" i="1"/>
  <c r="D4676" i="1"/>
  <c r="C4676" i="1"/>
  <c r="B4676" i="1"/>
  <c r="G4675" i="1"/>
  <c r="F4675" i="1"/>
  <c r="E4675" i="1"/>
  <c r="D4675" i="1"/>
  <c r="C4675" i="1"/>
  <c r="B4675" i="1"/>
  <c r="G4674" i="1"/>
  <c r="F4674" i="1"/>
  <c r="E4674" i="1"/>
  <c r="D4674" i="1"/>
  <c r="C4674" i="1"/>
  <c r="B4674" i="1"/>
  <c r="G4673" i="1"/>
  <c r="F4673" i="1"/>
  <c r="E4673" i="1"/>
  <c r="D4673" i="1"/>
  <c r="C4673" i="1"/>
  <c r="B4673" i="1"/>
  <c r="G4672" i="1"/>
  <c r="F4672" i="1"/>
  <c r="E4672" i="1"/>
  <c r="D4672" i="1"/>
  <c r="C4672" i="1"/>
  <c r="B4672" i="1"/>
  <c r="G4671" i="1"/>
  <c r="F4671" i="1"/>
  <c r="E4671" i="1"/>
  <c r="D4671" i="1"/>
  <c r="C4671" i="1"/>
  <c r="B4671" i="1"/>
  <c r="G4670" i="1"/>
  <c r="F4670" i="1"/>
  <c r="E4670" i="1"/>
  <c r="D4670" i="1"/>
  <c r="C4670" i="1"/>
  <c r="B4670" i="1"/>
  <c r="G4669" i="1"/>
  <c r="F4669" i="1"/>
  <c r="E4669" i="1"/>
  <c r="D4669" i="1"/>
  <c r="C4669" i="1"/>
  <c r="B4669" i="1"/>
  <c r="G4668" i="1"/>
  <c r="F4668" i="1"/>
  <c r="E4668" i="1"/>
  <c r="D4668" i="1"/>
  <c r="C4668" i="1"/>
  <c r="B4668" i="1"/>
  <c r="G4667" i="1"/>
  <c r="F4667" i="1"/>
  <c r="E4667" i="1"/>
  <c r="D4667" i="1"/>
  <c r="C4667" i="1"/>
  <c r="B4667" i="1"/>
  <c r="G4666" i="1"/>
  <c r="F4666" i="1"/>
  <c r="E4666" i="1"/>
  <c r="D4666" i="1"/>
  <c r="C4666" i="1"/>
  <c r="B4666" i="1"/>
  <c r="G4665" i="1"/>
  <c r="F4665" i="1"/>
  <c r="E4665" i="1"/>
  <c r="D4665" i="1"/>
  <c r="C4665" i="1"/>
  <c r="B4665" i="1"/>
  <c r="G4664" i="1"/>
  <c r="F4664" i="1"/>
  <c r="E4664" i="1"/>
  <c r="D4664" i="1"/>
  <c r="C4664" i="1"/>
  <c r="B4664" i="1"/>
  <c r="G4663" i="1"/>
  <c r="F4663" i="1"/>
  <c r="E4663" i="1"/>
  <c r="D4663" i="1"/>
  <c r="C4663" i="1"/>
  <c r="B4663" i="1"/>
  <c r="G4662" i="1"/>
  <c r="F4662" i="1"/>
  <c r="E4662" i="1"/>
  <c r="D4662" i="1"/>
  <c r="C4662" i="1"/>
  <c r="B4662" i="1"/>
  <c r="G4661" i="1"/>
  <c r="F4661" i="1"/>
  <c r="E4661" i="1"/>
  <c r="D4661" i="1"/>
  <c r="C4661" i="1"/>
  <c r="B4661" i="1"/>
  <c r="G4660" i="1"/>
  <c r="F4660" i="1"/>
  <c r="E4660" i="1"/>
  <c r="D4660" i="1"/>
  <c r="C4660" i="1"/>
  <c r="B4660" i="1"/>
  <c r="G4659" i="1"/>
  <c r="F4659" i="1"/>
  <c r="E4659" i="1"/>
  <c r="D4659" i="1"/>
  <c r="C4659" i="1"/>
  <c r="B4659" i="1"/>
  <c r="G4658" i="1"/>
  <c r="F4658" i="1"/>
  <c r="E4658" i="1"/>
  <c r="D4658" i="1"/>
  <c r="C4658" i="1"/>
  <c r="B4658" i="1"/>
  <c r="G4657" i="1"/>
  <c r="F4657" i="1"/>
  <c r="E4657" i="1"/>
  <c r="D4657" i="1"/>
  <c r="C4657" i="1"/>
  <c r="B4657" i="1"/>
  <c r="G4656" i="1"/>
  <c r="F4656" i="1"/>
  <c r="E4656" i="1"/>
  <c r="D4656" i="1"/>
  <c r="C4656" i="1"/>
  <c r="B4656" i="1"/>
  <c r="G4655" i="1"/>
  <c r="F4655" i="1"/>
  <c r="E4655" i="1"/>
  <c r="D4655" i="1"/>
  <c r="C4655" i="1"/>
  <c r="B4655" i="1"/>
  <c r="G4654" i="1"/>
  <c r="F4654" i="1"/>
  <c r="E4654" i="1"/>
  <c r="D4654" i="1"/>
  <c r="C4654" i="1"/>
  <c r="B4654" i="1"/>
  <c r="G4653" i="1"/>
  <c r="F4653" i="1"/>
  <c r="E4653" i="1"/>
  <c r="D4653" i="1"/>
  <c r="C4653" i="1"/>
  <c r="B4653" i="1"/>
  <c r="G4652" i="1"/>
  <c r="F4652" i="1"/>
  <c r="E4652" i="1"/>
  <c r="D4652" i="1"/>
  <c r="C4652" i="1"/>
  <c r="B4652" i="1"/>
  <c r="G4651" i="1"/>
  <c r="F4651" i="1"/>
  <c r="E4651" i="1"/>
  <c r="D4651" i="1"/>
  <c r="C4651" i="1"/>
  <c r="B4651" i="1"/>
  <c r="G4650" i="1"/>
  <c r="F4650" i="1"/>
  <c r="E4650" i="1"/>
  <c r="D4650" i="1"/>
  <c r="C4650" i="1"/>
  <c r="B4650" i="1"/>
  <c r="G4649" i="1"/>
  <c r="F4649" i="1"/>
  <c r="E4649" i="1"/>
  <c r="D4649" i="1"/>
  <c r="C4649" i="1"/>
  <c r="B4649" i="1"/>
  <c r="G4648" i="1"/>
  <c r="F4648" i="1"/>
  <c r="E4648" i="1"/>
  <c r="D4648" i="1"/>
  <c r="C4648" i="1"/>
  <c r="B4648" i="1"/>
  <c r="G4647" i="1"/>
  <c r="F4647" i="1"/>
  <c r="E4647" i="1"/>
  <c r="D4647" i="1"/>
  <c r="C4647" i="1"/>
  <c r="B4647" i="1"/>
  <c r="G4646" i="1"/>
  <c r="F4646" i="1"/>
  <c r="E4646" i="1"/>
  <c r="D4646" i="1"/>
  <c r="C4646" i="1"/>
  <c r="B4646" i="1"/>
  <c r="G4645" i="1"/>
  <c r="F4645" i="1"/>
  <c r="E4645" i="1"/>
  <c r="D4645" i="1"/>
  <c r="C4645" i="1"/>
  <c r="B4645" i="1"/>
  <c r="G4644" i="1"/>
  <c r="F4644" i="1"/>
  <c r="E4644" i="1"/>
  <c r="D4644" i="1"/>
  <c r="C4644" i="1"/>
  <c r="B4644" i="1"/>
  <c r="G4643" i="1"/>
  <c r="F4643" i="1"/>
  <c r="E4643" i="1"/>
  <c r="D4643" i="1"/>
  <c r="C4643" i="1"/>
  <c r="B4643" i="1"/>
  <c r="G4642" i="1"/>
  <c r="F4642" i="1"/>
  <c r="E4642" i="1"/>
  <c r="D4642" i="1"/>
  <c r="C4642" i="1"/>
  <c r="B4642" i="1"/>
  <c r="G4641" i="1"/>
  <c r="F4641" i="1"/>
  <c r="E4641" i="1"/>
  <c r="D4641" i="1"/>
  <c r="C4641" i="1"/>
  <c r="B4641" i="1"/>
  <c r="G4640" i="1"/>
  <c r="F4640" i="1"/>
  <c r="E4640" i="1"/>
  <c r="D4640" i="1"/>
  <c r="C4640" i="1"/>
  <c r="B4640" i="1"/>
  <c r="G4639" i="1"/>
  <c r="F4639" i="1"/>
  <c r="E4639" i="1"/>
  <c r="D4639" i="1"/>
  <c r="C4639" i="1"/>
  <c r="B4639" i="1"/>
  <c r="G4638" i="1"/>
  <c r="F4638" i="1"/>
  <c r="E4638" i="1"/>
  <c r="D4638" i="1"/>
  <c r="C4638" i="1"/>
  <c r="B4638" i="1"/>
  <c r="G4637" i="1"/>
  <c r="F4637" i="1"/>
  <c r="E4637" i="1"/>
  <c r="D4637" i="1"/>
  <c r="C4637" i="1"/>
  <c r="B4637" i="1"/>
  <c r="G4636" i="1"/>
  <c r="F4636" i="1"/>
  <c r="E4636" i="1"/>
  <c r="D4636" i="1"/>
  <c r="C4636" i="1"/>
  <c r="B4636" i="1"/>
  <c r="G4635" i="1"/>
  <c r="F4635" i="1"/>
  <c r="E4635" i="1"/>
  <c r="D4635" i="1"/>
  <c r="C4635" i="1"/>
  <c r="B4635" i="1"/>
  <c r="G4634" i="1"/>
  <c r="F4634" i="1"/>
  <c r="E4634" i="1"/>
  <c r="D4634" i="1"/>
  <c r="C4634" i="1"/>
  <c r="B4634" i="1"/>
  <c r="G4633" i="1"/>
  <c r="F4633" i="1"/>
  <c r="E4633" i="1"/>
  <c r="D4633" i="1"/>
  <c r="C4633" i="1"/>
  <c r="B4633" i="1"/>
  <c r="G4632" i="1"/>
  <c r="F4632" i="1"/>
  <c r="E4632" i="1"/>
  <c r="D4632" i="1"/>
  <c r="C4632" i="1"/>
  <c r="B4632" i="1"/>
  <c r="G4631" i="1"/>
  <c r="F4631" i="1"/>
  <c r="E4631" i="1"/>
  <c r="D4631" i="1"/>
  <c r="C4631" i="1"/>
  <c r="B4631" i="1"/>
  <c r="G4630" i="1"/>
  <c r="F4630" i="1"/>
  <c r="E4630" i="1"/>
  <c r="D4630" i="1"/>
  <c r="C4630" i="1"/>
  <c r="B4630" i="1"/>
  <c r="G4629" i="1"/>
  <c r="F4629" i="1"/>
  <c r="E4629" i="1"/>
  <c r="D4629" i="1"/>
  <c r="C4629" i="1"/>
  <c r="B4629" i="1"/>
  <c r="G4628" i="1"/>
  <c r="F4628" i="1"/>
  <c r="E4628" i="1"/>
  <c r="D4628" i="1"/>
  <c r="C4628" i="1"/>
  <c r="B4628" i="1"/>
  <c r="G4627" i="1"/>
  <c r="F4627" i="1"/>
  <c r="E4627" i="1"/>
  <c r="D4627" i="1"/>
  <c r="C4627" i="1"/>
  <c r="B4627" i="1"/>
  <c r="G4626" i="1"/>
  <c r="F4626" i="1"/>
  <c r="E4626" i="1"/>
  <c r="D4626" i="1"/>
  <c r="C4626" i="1"/>
  <c r="B4626" i="1"/>
  <c r="G4625" i="1"/>
  <c r="F4625" i="1"/>
  <c r="E4625" i="1"/>
  <c r="D4625" i="1"/>
  <c r="C4625" i="1"/>
  <c r="B4625" i="1"/>
  <c r="G4624" i="1"/>
  <c r="F4624" i="1"/>
  <c r="E4624" i="1"/>
  <c r="D4624" i="1"/>
  <c r="C4624" i="1"/>
  <c r="B4624" i="1"/>
  <c r="G4623" i="1"/>
  <c r="F4623" i="1"/>
  <c r="E4623" i="1"/>
  <c r="D4623" i="1"/>
  <c r="C4623" i="1"/>
  <c r="B4623" i="1"/>
  <c r="G4622" i="1"/>
  <c r="F4622" i="1"/>
  <c r="E4622" i="1"/>
  <c r="D4622" i="1"/>
  <c r="C4622" i="1"/>
  <c r="B4622" i="1"/>
  <c r="G4621" i="1"/>
  <c r="F4621" i="1"/>
  <c r="E4621" i="1"/>
  <c r="D4621" i="1"/>
  <c r="C4621" i="1"/>
  <c r="B4621" i="1"/>
  <c r="G4620" i="1"/>
  <c r="F4620" i="1"/>
  <c r="E4620" i="1"/>
  <c r="D4620" i="1"/>
  <c r="C4620" i="1"/>
  <c r="B4620" i="1"/>
  <c r="G4619" i="1"/>
  <c r="F4619" i="1"/>
  <c r="E4619" i="1"/>
  <c r="D4619" i="1"/>
  <c r="C4619" i="1"/>
  <c r="B4619" i="1"/>
  <c r="G4618" i="1"/>
  <c r="F4618" i="1"/>
  <c r="E4618" i="1"/>
  <c r="D4618" i="1"/>
  <c r="C4618" i="1"/>
  <c r="B4618" i="1"/>
  <c r="G4617" i="1"/>
  <c r="F4617" i="1"/>
  <c r="E4617" i="1"/>
  <c r="D4617" i="1"/>
  <c r="C4617" i="1"/>
  <c r="B4617" i="1"/>
  <c r="G4616" i="1"/>
  <c r="F4616" i="1"/>
  <c r="E4616" i="1"/>
  <c r="D4616" i="1"/>
  <c r="C4616" i="1"/>
  <c r="B4616" i="1"/>
  <c r="G4615" i="1"/>
  <c r="F4615" i="1"/>
  <c r="E4615" i="1"/>
  <c r="D4615" i="1"/>
  <c r="C4615" i="1"/>
  <c r="B4615" i="1"/>
  <c r="G4614" i="1"/>
  <c r="F4614" i="1"/>
  <c r="E4614" i="1"/>
  <c r="D4614" i="1"/>
  <c r="C4614" i="1"/>
  <c r="B4614" i="1"/>
  <c r="G4613" i="1"/>
  <c r="F4613" i="1"/>
  <c r="E4613" i="1"/>
  <c r="D4613" i="1"/>
  <c r="C4613" i="1"/>
  <c r="B4613" i="1"/>
  <c r="G4612" i="1"/>
  <c r="F4612" i="1"/>
  <c r="E4612" i="1"/>
  <c r="D4612" i="1"/>
  <c r="C4612" i="1"/>
  <c r="B4612" i="1"/>
  <c r="G4611" i="1"/>
  <c r="F4611" i="1"/>
  <c r="E4611" i="1"/>
  <c r="D4611" i="1"/>
  <c r="C4611" i="1"/>
  <c r="B4611" i="1"/>
  <c r="G4610" i="1"/>
  <c r="F4610" i="1"/>
  <c r="E4610" i="1"/>
  <c r="D4610" i="1"/>
  <c r="C4610" i="1"/>
  <c r="B4610" i="1"/>
  <c r="G4609" i="1"/>
  <c r="F4609" i="1"/>
  <c r="E4609" i="1"/>
  <c r="D4609" i="1"/>
  <c r="C4609" i="1"/>
  <c r="B4609" i="1"/>
  <c r="G4608" i="1"/>
  <c r="F4608" i="1"/>
  <c r="E4608" i="1"/>
  <c r="D4608" i="1"/>
  <c r="C4608" i="1"/>
  <c r="B4608" i="1"/>
  <c r="G4607" i="1"/>
  <c r="F4607" i="1"/>
  <c r="E4607" i="1"/>
  <c r="D4607" i="1"/>
  <c r="C4607" i="1"/>
  <c r="B4607" i="1"/>
  <c r="G4606" i="1"/>
  <c r="F4606" i="1"/>
  <c r="E4606" i="1"/>
  <c r="D4606" i="1"/>
  <c r="C4606" i="1"/>
  <c r="B4606" i="1"/>
  <c r="G4605" i="1"/>
  <c r="F4605" i="1"/>
  <c r="E4605" i="1"/>
  <c r="D4605" i="1"/>
  <c r="C4605" i="1"/>
  <c r="B4605" i="1"/>
  <c r="G4604" i="1"/>
  <c r="F4604" i="1"/>
  <c r="E4604" i="1"/>
  <c r="D4604" i="1"/>
  <c r="C4604" i="1"/>
  <c r="B4604" i="1"/>
  <c r="G4603" i="1"/>
  <c r="F4603" i="1"/>
  <c r="E4603" i="1"/>
  <c r="D4603" i="1"/>
  <c r="C4603" i="1"/>
  <c r="B4603" i="1"/>
  <c r="G4602" i="1"/>
  <c r="F4602" i="1"/>
  <c r="E4602" i="1"/>
  <c r="D4602" i="1"/>
  <c r="C4602" i="1"/>
  <c r="B4602" i="1"/>
  <c r="G4601" i="1"/>
  <c r="F4601" i="1"/>
  <c r="E4601" i="1"/>
  <c r="D4601" i="1"/>
  <c r="C4601" i="1"/>
  <c r="B4601" i="1"/>
  <c r="G4600" i="1"/>
  <c r="F4600" i="1"/>
  <c r="E4600" i="1"/>
  <c r="D4600" i="1"/>
  <c r="C4600" i="1"/>
  <c r="B4600" i="1"/>
  <c r="G4599" i="1"/>
  <c r="F4599" i="1"/>
  <c r="E4599" i="1"/>
  <c r="D4599" i="1"/>
  <c r="C4599" i="1"/>
  <c r="B4599" i="1"/>
  <c r="G4598" i="1"/>
  <c r="F4598" i="1"/>
  <c r="E4598" i="1"/>
  <c r="D4598" i="1"/>
  <c r="C4598" i="1"/>
  <c r="B4598" i="1"/>
  <c r="G4597" i="1"/>
  <c r="F4597" i="1"/>
  <c r="E4597" i="1"/>
  <c r="D4597" i="1"/>
  <c r="C4597" i="1"/>
  <c r="B4597" i="1"/>
  <c r="G4596" i="1"/>
  <c r="F4596" i="1"/>
  <c r="E4596" i="1"/>
  <c r="D4596" i="1"/>
  <c r="C4596" i="1"/>
  <c r="B4596" i="1"/>
  <c r="G4595" i="1"/>
  <c r="F4595" i="1"/>
  <c r="E4595" i="1"/>
  <c r="D4595" i="1"/>
  <c r="C4595" i="1"/>
  <c r="B4595" i="1"/>
  <c r="G4594" i="1"/>
  <c r="F4594" i="1"/>
  <c r="E4594" i="1"/>
  <c r="D4594" i="1"/>
  <c r="C4594" i="1"/>
  <c r="B4594" i="1"/>
  <c r="G4593" i="1"/>
  <c r="F4593" i="1"/>
  <c r="E4593" i="1"/>
  <c r="D4593" i="1"/>
  <c r="C4593" i="1"/>
  <c r="B4593" i="1"/>
  <c r="G4592" i="1"/>
  <c r="F4592" i="1"/>
  <c r="E4592" i="1"/>
  <c r="D4592" i="1"/>
  <c r="C4592" i="1"/>
  <c r="B4592" i="1"/>
  <c r="G4591" i="1"/>
  <c r="F4591" i="1"/>
  <c r="E4591" i="1"/>
  <c r="D4591" i="1"/>
  <c r="C4591" i="1"/>
  <c r="B4591" i="1"/>
  <c r="G4590" i="1"/>
  <c r="F4590" i="1"/>
  <c r="E4590" i="1"/>
  <c r="D4590" i="1"/>
  <c r="C4590" i="1"/>
  <c r="B4590" i="1"/>
  <c r="G4589" i="1"/>
  <c r="F4589" i="1"/>
  <c r="E4589" i="1"/>
  <c r="D4589" i="1"/>
  <c r="C4589" i="1"/>
  <c r="B4589" i="1"/>
  <c r="G4588" i="1"/>
  <c r="F4588" i="1"/>
  <c r="E4588" i="1"/>
  <c r="D4588" i="1"/>
  <c r="C4588" i="1"/>
  <c r="B4588" i="1"/>
  <c r="G4587" i="1"/>
  <c r="F4587" i="1"/>
  <c r="E4587" i="1"/>
  <c r="D4587" i="1"/>
  <c r="C4587" i="1"/>
  <c r="B4587" i="1"/>
  <c r="G4586" i="1"/>
  <c r="F4586" i="1"/>
  <c r="E4586" i="1"/>
  <c r="D4586" i="1"/>
  <c r="C4586" i="1"/>
  <c r="B4586" i="1"/>
  <c r="G4585" i="1"/>
  <c r="F4585" i="1"/>
  <c r="E4585" i="1"/>
  <c r="D4585" i="1"/>
  <c r="C4585" i="1"/>
  <c r="B4585" i="1"/>
  <c r="G4584" i="1"/>
  <c r="F4584" i="1"/>
  <c r="E4584" i="1"/>
  <c r="D4584" i="1"/>
  <c r="C4584" i="1"/>
  <c r="B4584" i="1"/>
  <c r="G4583" i="1"/>
  <c r="F4583" i="1"/>
  <c r="E4583" i="1"/>
  <c r="D4583" i="1"/>
  <c r="C4583" i="1"/>
  <c r="B4583" i="1"/>
  <c r="G4582" i="1"/>
  <c r="F4582" i="1"/>
  <c r="E4582" i="1"/>
  <c r="D4582" i="1"/>
  <c r="C4582" i="1"/>
  <c r="B4582" i="1"/>
  <c r="G4581" i="1"/>
  <c r="F4581" i="1"/>
  <c r="E4581" i="1"/>
  <c r="D4581" i="1"/>
  <c r="C4581" i="1"/>
  <c r="B4581" i="1"/>
  <c r="G4580" i="1"/>
  <c r="F4580" i="1"/>
  <c r="E4580" i="1"/>
  <c r="D4580" i="1"/>
  <c r="C4580" i="1"/>
  <c r="B4580" i="1"/>
  <c r="G4579" i="1"/>
  <c r="F4579" i="1"/>
  <c r="E4579" i="1"/>
  <c r="D4579" i="1"/>
  <c r="C4579" i="1"/>
  <c r="B4579" i="1"/>
  <c r="G4578" i="1"/>
  <c r="F4578" i="1"/>
  <c r="E4578" i="1"/>
  <c r="D4578" i="1"/>
  <c r="C4578" i="1"/>
  <c r="B4578" i="1"/>
  <c r="G4577" i="1"/>
  <c r="F4577" i="1"/>
  <c r="E4577" i="1"/>
  <c r="D4577" i="1"/>
  <c r="C4577" i="1"/>
  <c r="B4577" i="1"/>
  <c r="G4576" i="1"/>
  <c r="F4576" i="1"/>
  <c r="E4576" i="1"/>
  <c r="D4576" i="1"/>
  <c r="C4576" i="1"/>
  <c r="B4576" i="1"/>
  <c r="G4575" i="1"/>
  <c r="F4575" i="1"/>
  <c r="E4575" i="1"/>
  <c r="D4575" i="1"/>
  <c r="C4575" i="1"/>
  <c r="B4575" i="1"/>
  <c r="G4574" i="1"/>
  <c r="F4574" i="1"/>
  <c r="E4574" i="1"/>
  <c r="D4574" i="1"/>
  <c r="C4574" i="1"/>
  <c r="B4574" i="1"/>
  <c r="G4573" i="1"/>
  <c r="F4573" i="1"/>
  <c r="E4573" i="1"/>
  <c r="D4573" i="1"/>
  <c r="C4573" i="1"/>
  <c r="B4573" i="1"/>
  <c r="G4572" i="1"/>
  <c r="F4572" i="1"/>
  <c r="E4572" i="1"/>
  <c r="D4572" i="1"/>
  <c r="C4572" i="1"/>
  <c r="B4572" i="1"/>
  <c r="G4571" i="1"/>
  <c r="F4571" i="1"/>
  <c r="E4571" i="1"/>
  <c r="D4571" i="1"/>
  <c r="C4571" i="1"/>
  <c r="B4571" i="1"/>
  <c r="G4570" i="1"/>
  <c r="F4570" i="1"/>
  <c r="E4570" i="1"/>
  <c r="D4570" i="1"/>
  <c r="C4570" i="1"/>
  <c r="B4570" i="1"/>
  <c r="G4569" i="1"/>
  <c r="F4569" i="1"/>
  <c r="E4569" i="1"/>
  <c r="D4569" i="1"/>
  <c r="C4569" i="1"/>
  <c r="B4569" i="1"/>
  <c r="G4568" i="1"/>
  <c r="F4568" i="1"/>
  <c r="E4568" i="1"/>
  <c r="D4568" i="1"/>
  <c r="C4568" i="1"/>
  <c r="B4568" i="1"/>
  <c r="G4567" i="1"/>
  <c r="F4567" i="1"/>
  <c r="E4567" i="1"/>
  <c r="D4567" i="1"/>
  <c r="C4567" i="1"/>
  <c r="B4567" i="1"/>
  <c r="G4566" i="1"/>
  <c r="F4566" i="1"/>
  <c r="E4566" i="1"/>
  <c r="D4566" i="1"/>
  <c r="C4566" i="1"/>
  <c r="B4566" i="1"/>
  <c r="G4565" i="1"/>
  <c r="F4565" i="1"/>
  <c r="E4565" i="1"/>
  <c r="D4565" i="1"/>
  <c r="C4565" i="1"/>
  <c r="B4565" i="1"/>
  <c r="G4564" i="1"/>
  <c r="F4564" i="1"/>
  <c r="E4564" i="1"/>
  <c r="D4564" i="1"/>
  <c r="C4564" i="1"/>
  <c r="B4564" i="1"/>
  <c r="G4563" i="1"/>
  <c r="F4563" i="1"/>
  <c r="E4563" i="1"/>
  <c r="D4563" i="1"/>
  <c r="C4563" i="1"/>
  <c r="B4563" i="1"/>
  <c r="G4562" i="1"/>
  <c r="F4562" i="1"/>
  <c r="E4562" i="1"/>
  <c r="D4562" i="1"/>
  <c r="C4562" i="1"/>
  <c r="B4562" i="1"/>
  <c r="G4561" i="1"/>
  <c r="F4561" i="1"/>
  <c r="E4561" i="1"/>
  <c r="D4561" i="1"/>
  <c r="C4561" i="1"/>
  <c r="B4561" i="1"/>
  <c r="G4560" i="1"/>
  <c r="F4560" i="1"/>
  <c r="E4560" i="1"/>
  <c r="D4560" i="1"/>
  <c r="C4560" i="1"/>
  <c r="B4560" i="1"/>
  <c r="G4559" i="1"/>
  <c r="F4559" i="1"/>
  <c r="E4559" i="1"/>
  <c r="D4559" i="1"/>
  <c r="C4559" i="1"/>
  <c r="B4559" i="1"/>
  <c r="G4558" i="1"/>
  <c r="F4558" i="1"/>
  <c r="E4558" i="1"/>
  <c r="D4558" i="1"/>
  <c r="C4558" i="1"/>
  <c r="B4558" i="1"/>
  <c r="G4557" i="1"/>
  <c r="F4557" i="1"/>
  <c r="E4557" i="1"/>
  <c r="D4557" i="1"/>
  <c r="C4557" i="1"/>
  <c r="B4557" i="1"/>
  <c r="G4556" i="1"/>
  <c r="F4556" i="1"/>
  <c r="E4556" i="1"/>
  <c r="D4556" i="1"/>
  <c r="C4556" i="1"/>
  <c r="B4556" i="1"/>
  <c r="G4555" i="1"/>
  <c r="F4555" i="1"/>
  <c r="E4555" i="1"/>
  <c r="D4555" i="1"/>
  <c r="C4555" i="1"/>
  <c r="B4555" i="1"/>
  <c r="G4554" i="1"/>
  <c r="F4554" i="1"/>
  <c r="E4554" i="1"/>
  <c r="D4554" i="1"/>
  <c r="C4554" i="1"/>
  <c r="B4554" i="1"/>
  <c r="G4553" i="1"/>
  <c r="F4553" i="1"/>
  <c r="E4553" i="1"/>
  <c r="D4553" i="1"/>
  <c r="C4553" i="1"/>
  <c r="B4553" i="1"/>
  <c r="G4552" i="1"/>
  <c r="F4552" i="1"/>
  <c r="E4552" i="1"/>
  <c r="D4552" i="1"/>
  <c r="C4552" i="1"/>
  <c r="B4552" i="1"/>
  <c r="G4551" i="1"/>
  <c r="F4551" i="1"/>
  <c r="E4551" i="1"/>
  <c r="D4551" i="1"/>
  <c r="C4551" i="1"/>
  <c r="B4551" i="1"/>
  <c r="G4550" i="1"/>
  <c r="F4550" i="1"/>
  <c r="E4550" i="1"/>
  <c r="D4550" i="1"/>
  <c r="C4550" i="1"/>
  <c r="B4550" i="1"/>
  <c r="G4549" i="1"/>
  <c r="F4549" i="1"/>
  <c r="E4549" i="1"/>
  <c r="D4549" i="1"/>
  <c r="C4549" i="1"/>
  <c r="B4549" i="1"/>
  <c r="G4548" i="1"/>
  <c r="F4548" i="1"/>
  <c r="E4548" i="1"/>
  <c r="D4548" i="1"/>
  <c r="C4548" i="1"/>
  <c r="B4548" i="1"/>
  <c r="G4547" i="1"/>
  <c r="F4547" i="1"/>
  <c r="E4547" i="1"/>
  <c r="D4547" i="1"/>
  <c r="C4547" i="1"/>
  <c r="B4547" i="1"/>
  <c r="G4546" i="1"/>
  <c r="F4546" i="1"/>
  <c r="E4546" i="1"/>
  <c r="D4546" i="1"/>
  <c r="C4546" i="1"/>
  <c r="B4546" i="1"/>
  <c r="G4545" i="1"/>
  <c r="F4545" i="1"/>
  <c r="E4545" i="1"/>
  <c r="D4545" i="1"/>
  <c r="C4545" i="1"/>
  <c r="B4545" i="1"/>
  <c r="G4544" i="1"/>
  <c r="F4544" i="1"/>
  <c r="E4544" i="1"/>
  <c r="D4544" i="1"/>
  <c r="C4544" i="1"/>
  <c r="B4544" i="1"/>
  <c r="G4543" i="1"/>
  <c r="F4543" i="1"/>
  <c r="E4543" i="1"/>
  <c r="D4543" i="1"/>
  <c r="C4543" i="1"/>
  <c r="B4543" i="1"/>
  <c r="G4542" i="1"/>
  <c r="F4542" i="1"/>
  <c r="E4542" i="1"/>
  <c r="D4542" i="1"/>
  <c r="C4542" i="1"/>
  <c r="B4542" i="1"/>
  <c r="G4541" i="1"/>
  <c r="F4541" i="1"/>
  <c r="E4541" i="1"/>
  <c r="D4541" i="1"/>
  <c r="C4541" i="1"/>
  <c r="B4541" i="1"/>
  <c r="G4540" i="1"/>
  <c r="F4540" i="1"/>
  <c r="E4540" i="1"/>
  <c r="D4540" i="1"/>
  <c r="C4540" i="1"/>
  <c r="B4540" i="1"/>
  <c r="G4539" i="1"/>
  <c r="F4539" i="1"/>
  <c r="E4539" i="1"/>
  <c r="D4539" i="1"/>
  <c r="C4539" i="1"/>
  <c r="B4539" i="1"/>
  <c r="G4538" i="1"/>
  <c r="F4538" i="1"/>
  <c r="E4538" i="1"/>
  <c r="D4538" i="1"/>
  <c r="C4538" i="1"/>
  <c r="B4538" i="1"/>
  <c r="G4537" i="1"/>
  <c r="F4537" i="1"/>
  <c r="E4537" i="1"/>
  <c r="D4537" i="1"/>
  <c r="C4537" i="1"/>
  <c r="B4537" i="1"/>
  <c r="G4536" i="1"/>
  <c r="F4536" i="1"/>
  <c r="E4536" i="1"/>
  <c r="D4536" i="1"/>
  <c r="C4536" i="1"/>
  <c r="B4536" i="1"/>
  <c r="G4535" i="1"/>
  <c r="F4535" i="1"/>
  <c r="E4535" i="1"/>
  <c r="D4535" i="1"/>
  <c r="C4535" i="1"/>
  <c r="B4535" i="1"/>
  <c r="G4534" i="1"/>
  <c r="F4534" i="1"/>
  <c r="E4534" i="1"/>
  <c r="D4534" i="1"/>
  <c r="C4534" i="1"/>
  <c r="B4534" i="1"/>
  <c r="G4533" i="1"/>
  <c r="F4533" i="1"/>
  <c r="E4533" i="1"/>
  <c r="D4533" i="1"/>
  <c r="C4533" i="1"/>
  <c r="B4533" i="1"/>
  <c r="G4532" i="1"/>
  <c r="F4532" i="1"/>
  <c r="E4532" i="1"/>
  <c r="D4532" i="1"/>
  <c r="C4532" i="1"/>
  <c r="B4532" i="1"/>
  <c r="G4531" i="1"/>
  <c r="F4531" i="1"/>
  <c r="E4531" i="1"/>
  <c r="D4531" i="1"/>
  <c r="C4531" i="1"/>
  <c r="B4531" i="1"/>
  <c r="G4530" i="1"/>
  <c r="F4530" i="1"/>
  <c r="E4530" i="1"/>
  <c r="D4530" i="1"/>
  <c r="C4530" i="1"/>
  <c r="B4530" i="1"/>
  <c r="G4529" i="1"/>
  <c r="F4529" i="1"/>
  <c r="E4529" i="1"/>
  <c r="D4529" i="1"/>
  <c r="C4529" i="1"/>
  <c r="B4529" i="1"/>
  <c r="G4528" i="1"/>
  <c r="F4528" i="1"/>
  <c r="E4528" i="1"/>
  <c r="D4528" i="1"/>
  <c r="C4528" i="1"/>
  <c r="B4528" i="1"/>
  <c r="G4527" i="1"/>
  <c r="F4527" i="1"/>
  <c r="E4527" i="1"/>
  <c r="D4527" i="1"/>
  <c r="C4527" i="1"/>
  <c r="B4527" i="1"/>
  <c r="G4526" i="1"/>
  <c r="F4526" i="1"/>
  <c r="E4526" i="1"/>
  <c r="D4526" i="1"/>
  <c r="C4526" i="1"/>
  <c r="B4526" i="1"/>
  <c r="G4525" i="1"/>
  <c r="F4525" i="1"/>
  <c r="E4525" i="1"/>
  <c r="D4525" i="1"/>
  <c r="C4525" i="1"/>
  <c r="B4525" i="1"/>
  <c r="G4524" i="1"/>
  <c r="F4524" i="1"/>
  <c r="E4524" i="1"/>
  <c r="D4524" i="1"/>
  <c r="C4524" i="1"/>
  <c r="B4524" i="1"/>
  <c r="G4523" i="1"/>
  <c r="F4523" i="1"/>
  <c r="E4523" i="1"/>
  <c r="D4523" i="1"/>
  <c r="C4523" i="1"/>
  <c r="B4523" i="1"/>
  <c r="G4522" i="1"/>
  <c r="F4522" i="1"/>
  <c r="E4522" i="1"/>
  <c r="D4522" i="1"/>
  <c r="C4522" i="1"/>
  <c r="B4522" i="1"/>
  <c r="G4521" i="1"/>
  <c r="F4521" i="1"/>
  <c r="E4521" i="1"/>
  <c r="D4521" i="1"/>
  <c r="C4521" i="1"/>
  <c r="B4521" i="1"/>
  <c r="G4520" i="1"/>
  <c r="F4520" i="1"/>
  <c r="E4520" i="1"/>
  <c r="D4520" i="1"/>
  <c r="C4520" i="1"/>
  <c r="B4520" i="1"/>
  <c r="G4519" i="1"/>
  <c r="F4519" i="1"/>
  <c r="E4519" i="1"/>
  <c r="D4519" i="1"/>
  <c r="C4519" i="1"/>
  <c r="B4519" i="1"/>
  <c r="G4518" i="1"/>
  <c r="F4518" i="1"/>
  <c r="E4518" i="1"/>
  <c r="D4518" i="1"/>
  <c r="C4518" i="1"/>
  <c r="B4518" i="1"/>
  <c r="G4517" i="1"/>
  <c r="F4517" i="1"/>
  <c r="E4517" i="1"/>
  <c r="D4517" i="1"/>
  <c r="C4517" i="1"/>
  <c r="B4517" i="1"/>
  <c r="G4516" i="1"/>
  <c r="F4516" i="1"/>
  <c r="E4516" i="1"/>
  <c r="D4516" i="1"/>
  <c r="C4516" i="1"/>
  <c r="B4516" i="1"/>
  <c r="G4515" i="1"/>
  <c r="F4515" i="1"/>
  <c r="E4515" i="1"/>
  <c r="D4515" i="1"/>
  <c r="C4515" i="1"/>
  <c r="B4515" i="1"/>
  <c r="G4514" i="1"/>
  <c r="F4514" i="1"/>
  <c r="E4514" i="1"/>
  <c r="D4514" i="1"/>
  <c r="C4514" i="1"/>
  <c r="B4514" i="1"/>
  <c r="G4513" i="1"/>
  <c r="F4513" i="1"/>
  <c r="E4513" i="1"/>
  <c r="D4513" i="1"/>
  <c r="C4513" i="1"/>
  <c r="B4513" i="1"/>
  <c r="G4512" i="1"/>
  <c r="F4512" i="1"/>
  <c r="E4512" i="1"/>
  <c r="D4512" i="1"/>
  <c r="C4512" i="1"/>
  <c r="B4512" i="1"/>
  <c r="G4511" i="1"/>
  <c r="F4511" i="1"/>
  <c r="E4511" i="1"/>
  <c r="D4511" i="1"/>
  <c r="C4511" i="1"/>
  <c r="B4511" i="1"/>
  <c r="G4510" i="1"/>
  <c r="F4510" i="1"/>
  <c r="E4510" i="1"/>
  <c r="D4510" i="1"/>
  <c r="C4510" i="1"/>
  <c r="B4510" i="1"/>
  <c r="G4509" i="1"/>
  <c r="F4509" i="1"/>
  <c r="E4509" i="1"/>
  <c r="D4509" i="1"/>
  <c r="C4509" i="1"/>
  <c r="B4509" i="1"/>
  <c r="G4508" i="1"/>
  <c r="F4508" i="1"/>
  <c r="E4508" i="1"/>
  <c r="D4508" i="1"/>
  <c r="C4508" i="1"/>
  <c r="B4508" i="1"/>
  <c r="G4507" i="1"/>
  <c r="F4507" i="1"/>
  <c r="E4507" i="1"/>
  <c r="D4507" i="1"/>
  <c r="C4507" i="1"/>
  <c r="B4507" i="1"/>
  <c r="G4506" i="1"/>
  <c r="F4506" i="1"/>
  <c r="E4506" i="1"/>
  <c r="D4506" i="1"/>
  <c r="C4506" i="1"/>
  <c r="B4506" i="1"/>
  <c r="G4505" i="1"/>
  <c r="F4505" i="1"/>
  <c r="E4505" i="1"/>
  <c r="D4505" i="1"/>
  <c r="C4505" i="1"/>
  <c r="B4505" i="1"/>
  <c r="G4504" i="1"/>
  <c r="F4504" i="1"/>
  <c r="E4504" i="1"/>
  <c r="D4504" i="1"/>
  <c r="C4504" i="1"/>
  <c r="B4504" i="1"/>
  <c r="G4503" i="1"/>
  <c r="F4503" i="1"/>
  <c r="E4503" i="1"/>
  <c r="D4503" i="1"/>
  <c r="C4503" i="1"/>
  <c r="B4503" i="1"/>
  <c r="G4502" i="1"/>
  <c r="F4502" i="1"/>
  <c r="E4502" i="1"/>
  <c r="D4502" i="1"/>
  <c r="C4502" i="1"/>
  <c r="B4502" i="1"/>
  <c r="G4501" i="1"/>
  <c r="F4501" i="1"/>
  <c r="E4501" i="1"/>
  <c r="D4501" i="1"/>
  <c r="C4501" i="1"/>
  <c r="B4501" i="1"/>
  <c r="G4500" i="1"/>
  <c r="F4500" i="1"/>
  <c r="E4500" i="1"/>
  <c r="D4500" i="1"/>
  <c r="C4500" i="1"/>
  <c r="B4500" i="1"/>
  <c r="G4499" i="1"/>
  <c r="F4499" i="1"/>
  <c r="E4499" i="1"/>
  <c r="D4499" i="1"/>
  <c r="C4499" i="1"/>
  <c r="B4499" i="1"/>
  <c r="G4498" i="1"/>
  <c r="F4498" i="1"/>
  <c r="E4498" i="1"/>
  <c r="D4498" i="1"/>
  <c r="C4498" i="1"/>
  <c r="B4498" i="1"/>
  <c r="G4497" i="1"/>
  <c r="F4497" i="1"/>
  <c r="E4497" i="1"/>
  <c r="D4497" i="1"/>
  <c r="C4497" i="1"/>
  <c r="B4497" i="1"/>
  <c r="G4496" i="1"/>
  <c r="F4496" i="1"/>
  <c r="E4496" i="1"/>
  <c r="D4496" i="1"/>
  <c r="C4496" i="1"/>
  <c r="B4496" i="1"/>
  <c r="G4495" i="1"/>
  <c r="F4495" i="1"/>
  <c r="E4495" i="1"/>
  <c r="D4495" i="1"/>
  <c r="C4495" i="1"/>
  <c r="B4495" i="1"/>
  <c r="G4494" i="1"/>
  <c r="F4494" i="1"/>
  <c r="E4494" i="1"/>
  <c r="D4494" i="1"/>
  <c r="C4494" i="1"/>
  <c r="B4494" i="1"/>
  <c r="G4493" i="1"/>
  <c r="F4493" i="1"/>
  <c r="E4493" i="1"/>
  <c r="D4493" i="1"/>
  <c r="C4493" i="1"/>
  <c r="B4493" i="1"/>
  <c r="G4492" i="1"/>
  <c r="F4492" i="1"/>
  <c r="E4492" i="1"/>
  <c r="D4492" i="1"/>
  <c r="C4492" i="1"/>
  <c r="B4492" i="1"/>
  <c r="G4491" i="1"/>
  <c r="F4491" i="1"/>
  <c r="E4491" i="1"/>
  <c r="D4491" i="1"/>
  <c r="C4491" i="1"/>
  <c r="B4491" i="1"/>
  <c r="G4490" i="1"/>
  <c r="F4490" i="1"/>
  <c r="E4490" i="1"/>
  <c r="D4490" i="1"/>
  <c r="C4490" i="1"/>
  <c r="B4490" i="1"/>
  <c r="G4489" i="1"/>
  <c r="F4489" i="1"/>
  <c r="E4489" i="1"/>
  <c r="D4489" i="1"/>
  <c r="C4489" i="1"/>
  <c r="B4489" i="1"/>
  <c r="G4488" i="1"/>
  <c r="F4488" i="1"/>
  <c r="E4488" i="1"/>
  <c r="D4488" i="1"/>
  <c r="C4488" i="1"/>
  <c r="B4488" i="1"/>
  <c r="G4487" i="1"/>
  <c r="F4487" i="1"/>
  <c r="E4487" i="1"/>
  <c r="D4487" i="1"/>
  <c r="C4487" i="1"/>
  <c r="B4487" i="1"/>
  <c r="G4486" i="1"/>
  <c r="F4486" i="1"/>
  <c r="E4486" i="1"/>
  <c r="D4486" i="1"/>
  <c r="C4486" i="1"/>
  <c r="B4486" i="1"/>
  <c r="G4485" i="1"/>
  <c r="F4485" i="1"/>
  <c r="E4485" i="1"/>
  <c r="D4485" i="1"/>
  <c r="C4485" i="1"/>
  <c r="B4485" i="1"/>
  <c r="G4484" i="1"/>
  <c r="F4484" i="1"/>
  <c r="E4484" i="1"/>
  <c r="D4484" i="1"/>
  <c r="C4484" i="1"/>
  <c r="B4484" i="1"/>
  <c r="G4483" i="1"/>
  <c r="F4483" i="1"/>
  <c r="E4483" i="1"/>
  <c r="D4483" i="1"/>
  <c r="C4483" i="1"/>
  <c r="B4483" i="1"/>
  <c r="G4482" i="1"/>
  <c r="F4482" i="1"/>
  <c r="E4482" i="1"/>
  <c r="D4482" i="1"/>
  <c r="C4482" i="1"/>
  <c r="B4482" i="1"/>
  <c r="G4481" i="1"/>
  <c r="F4481" i="1"/>
  <c r="E4481" i="1"/>
  <c r="D4481" i="1"/>
  <c r="C4481" i="1"/>
  <c r="B4481" i="1"/>
  <c r="G4480" i="1"/>
  <c r="F4480" i="1"/>
  <c r="E4480" i="1"/>
  <c r="D4480" i="1"/>
  <c r="C4480" i="1"/>
  <c r="B4480" i="1"/>
  <c r="G4479" i="1"/>
  <c r="F4479" i="1"/>
  <c r="E4479" i="1"/>
  <c r="D4479" i="1"/>
  <c r="C4479" i="1"/>
  <c r="B4479" i="1"/>
  <c r="G4478" i="1"/>
  <c r="F4478" i="1"/>
  <c r="E4478" i="1"/>
  <c r="D4478" i="1"/>
  <c r="C4478" i="1"/>
  <c r="B4478" i="1"/>
  <c r="G4477" i="1"/>
  <c r="F4477" i="1"/>
  <c r="E4477" i="1"/>
  <c r="D4477" i="1"/>
  <c r="C4477" i="1"/>
  <c r="B4477" i="1"/>
  <c r="G4476" i="1"/>
  <c r="F4476" i="1"/>
  <c r="E4476" i="1"/>
  <c r="D4476" i="1"/>
  <c r="C4476" i="1"/>
  <c r="B4476" i="1"/>
  <c r="G4475" i="1"/>
  <c r="F4475" i="1"/>
  <c r="E4475" i="1"/>
  <c r="D4475" i="1"/>
  <c r="C4475" i="1"/>
  <c r="B4475" i="1"/>
  <c r="G4474" i="1"/>
  <c r="F4474" i="1"/>
  <c r="E4474" i="1"/>
  <c r="D4474" i="1"/>
  <c r="C4474" i="1"/>
  <c r="B4474" i="1"/>
  <c r="G4473" i="1"/>
  <c r="F4473" i="1"/>
  <c r="E4473" i="1"/>
  <c r="D4473" i="1"/>
  <c r="C4473" i="1"/>
  <c r="B4473" i="1"/>
  <c r="G4472" i="1"/>
  <c r="F4472" i="1"/>
  <c r="E4472" i="1"/>
  <c r="D4472" i="1"/>
  <c r="C4472" i="1"/>
  <c r="B4472" i="1"/>
  <c r="G4471" i="1"/>
  <c r="F4471" i="1"/>
  <c r="E4471" i="1"/>
  <c r="D4471" i="1"/>
  <c r="C4471" i="1"/>
  <c r="B4471" i="1"/>
  <c r="G4470" i="1"/>
  <c r="F4470" i="1"/>
  <c r="E4470" i="1"/>
  <c r="D4470" i="1"/>
  <c r="C4470" i="1"/>
  <c r="B4470" i="1"/>
  <c r="G4469" i="1"/>
  <c r="F4469" i="1"/>
  <c r="E4469" i="1"/>
  <c r="D4469" i="1"/>
  <c r="C4469" i="1"/>
  <c r="B4469" i="1"/>
  <c r="G4468" i="1"/>
  <c r="F4468" i="1"/>
  <c r="E4468" i="1"/>
  <c r="D4468" i="1"/>
  <c r="C4468" i="1"/>
  <c r="B4468" i="1"/>
  <c r="G4467" i="1"/>
  <c r="F4467" i="1"/>
  <c r="E4467" i="1"/>
  <c r="D4467" i="1"/>
  <c r="C4467" i="1"/>
  <c r="B4467" i="1"/>
  <c r="G4466" i="1"/>
  <c r="F4466" i="1"/>
  <c r="E4466" i="1"/>
  <c r="D4466" i="1"/>
  <c r="C4466" i="1"/>
  <c r="B4466" i="1"/>
  <c r="G4465" i="1"/>
  <c r="F4465" i="1"/>
  <c r="E4465" i="1"/>
  <c r="D4465" i="1"/>
  <c r="C4465" i="1"/>
  <c r="B4465" i="1"/>
  <c r="G4464" i="1"/>
  <c r="F4464" i="1"/>
  <c r="E4464" i="1"/>
  <c r="D4464" i="1"/>
  <c r="C4464" i="1"/>
  <c r="B4464" i="1"/>
  <c r="G4463" i="1"/>
  <c r="F4463" i="1"/>
  <c r="E4463" i="1"/>
  <c r="D4463" i="1"/>
  <c r="C4463" i="1"/>
  <c r="B4463" i="1"/>
  <c r="G4462" i="1"/>
  <c r="F4462" i="1"/>
  <c r="E4462" i="1"/>
  <c r="D4462" i="1"/>
  <c r="C4462" i="1"/>
  <c r="B4462" i="1"/>
  <c r="G4461" i="1"/>
  <c r="F4461" i="1"/>
  <c r="E4461" i="1"/>
  <c r="D4461" i="1"/>
  <c r="C4461" i="1"/>
  <c r="B4461" i="1"/>
  <c r="G4460" i="1"/>
  <c r="F4460" i="1"/>
  <c r="E4460" i="1"/>
  <c r="D4460" i="1"/>
  <c r="C4460" i="1"/>
  <c r="B4460" i="1"/>
  <c r="G4459" i="1"/>
  <c r="F4459" i="1"/>
  <c r="E4459" i="1"/>
  <c r="D4459" i="1"/>
  <c r="C4459" i="1"/>
  <c r="B4459" i="1"/>
  <c r="G4458" i="1"/>
  <c r="F4458" i="1"/>
  <c r="E4458" i="1"/>
  <c r="D4458" i="1"/>
  <c r="C4458" i="1"/>
  <c r="B4458" i="1"/>
  <c r="G4457" i="1"/>
  <c r="F4457" i="1"/>
  <c r="E4457" i="1"/>
  <c r="D4457" i="1"/>
  <c r="C4457" i="1"/>
  <c r="B4457" i="1"/>
  <c r="G4456" i="1"/>
  <c r="F4456" i="1"/>
  <c r="E4456" i="1"/>
  <c r="D4456" i="1"/>
  <c r="C4456" i="1"/>
  <c r="B4456" i="1"/>
  <c r="G4455" i="1"/>
  <c r="F4455" i="1"/>
  <c r="E4455" i="1"/>
  <c r="D4455" i="1"/>
  <c r="C4455" i="1"/>
  <c r="B4455" i="1"/>
  <c r="G4454" i="1"/>
  <c r="F4454" i="1"/>
  <c r="E4454" i="1"/>
  <c r="D4454" i="1"/>
  <c r="C4454" i="1"/>
  <c r="B4454" i="1"/>
  <c r="G4453" i="1"/>
  <c r="F4453" i="1"/>
  <c r="E4453" i="1"/>
  <c r="D4453" i="1"/>
  <c r="C4453" i="1"/>
  <c r="B4453" i="1"/>
  <c r="G4452" i="1"/>
  <c r="F4452" i="1"/>
  <c r="E4452" i="1"/>
  <c r="D4452" i="1"/>
  <c r="C4452" i="1"/>
  <c r="B4452" i="1"/>
  <c r="G4451" i="1"/>
  <c r="F4451" i="1"/>
  <c r="E4451" i="1"/>
  <c r="D4451" i="1"/>
  <c r="C4451" i="1"/>
  <c r="B4451" i="1"/>
  <c r="G4450" i="1"/>
  <c r="F4450" i="1"/>
  <c r="E4450" i="1"/>
  <c r="D4450" i="1"/>
  <c r="C4450" i="1"/>
  <c r="B4450" i="1"/>
  <c r="G4449" i="1"/>
  <c r="F4449" i="1"/>
  <c r="E4449" i="1"/>
  <c r="D4449" i="1"/>
  <c r="C4449" i="1"/>
  <c r="B4449" i="1"/>
  <c r="G4448" i="1"/>
  <c r="F4448" i="1"/>
  <c r="E4448" i="1"/>
  <c r="D4448" i="1"/>
  <c r="C4448" i="1"/>
  <c r="B4448" i="1"/>
  <c r="G4447" i="1"/>
  <c r="F4447" i="1"/>
  <c r="E4447" i="1"/>
  <c r="D4447" i="1"/>
  <c r="C4447" i="1"/>
  <c r="B4447" i="1"/>
  <c r="G4446" i="1"/>
  <c r="F4446" i="1"/>
  <c r="E4446" i="1"/>
  <c r="D4446" i="1"/>
  <c r="C4446" i="1"/>
  <c r="B4446" i="1"/>
  <c r="G4445" i="1"/>
  <c r="F4445" i="1"/>
  <c r="E4445" i="1"/>
  <c r="D4445" i="1"/>
  <c r="C4445" i="1"/>
  <c r="B4445" i="1"/>
  <c r="G4444" i="1"/>
  <c r="F4444" i="1"/>
  <c r="E4444" i="1"/>
  <c r="D4444" i="1"/>
  <c r="C4444" i="1"/>
  <c r="B4444" i="1"/>
  <c r="G4443" i="1"/>
  <c r="F4443" i="1"/>
  <c r="E4443" i="1"/>
  <c r="D4443" i="1"/>
  <c r="C4443" i="1"/>
  <c r="B4443" i="1"/>
  <c r="G4442" i="1"/>
  <c r="F4442" i="1"/>
  <c r="E4442" i="1"/>
  <c r="D4442" i="1"/>
  <c r="C4442" i="1"/>
  <c r="B4442" i="1"/>
  <c r="G4441" i="1"/>
  <c r="F4441" i="1"/>
  <c r="E4441" i="1"/>
  <c r="D4441" i="1"/>
  <c r="C4441" i="1"/>
  <c r="B4441" i="1"/>
  <c r="G4440" i="1"/>
  <c r="F4440" i="1"/>
  <c r="E4440" i="1"/>
  <c r="D4440" i="1"/>
  <c r="C4440" i="1"/>
  <c r="B4440" i="1"/>
  <c r="G4439" i="1"/>
  <c r="F4439" i="1"/>
  <c r="E4439" i="1"/>
  <c r="D4439" i="1"/>
  <c r="C4439" i="1"/>
  <c r="B4439" i="1"/>
  <c r="G4438" i="1"/>
  <c r="F4438" i="1"/>
  <c r="E4438" i="1"/>
  <c r="D4438" i="1"/>
  <c r="C4438" i="1"/>
  <c r="B4438" i="1"/>
  <c r="G4437" i="1"/>
  <c r="F4437" i="1"/>
  <c r="E4437" i="1"/>
  <c r="D4437" i="1"/>
  <c r="C4437" i="1"/>
  <c r="B4437" i="1"/>
  <c r="G4436" i="1"/>
  <c r="F4436" i="1"/>
  <c r="E4436" i="1"/>
  <c r="D4436" i="1"/>
  <c r="C4436" i="1"/>
  <c r="B4436" i="1"/>
  <c r="G4435" i="1"/>
  <c r="F4435" i="1"/>
  <c r="E4435" i="1"/>
  <c r="D4435" i="1"/>
  <c r="C4435" i="1"/>
  <c r="B4435" i="1"/>
  <c r="G4434" i="1"/>
  <c r="F4434" i="1"/>
  <c r="E4434" i="1"/>
  <c r="D4434" i="1"/>
  <c r="C4434" i="1"/>
  <c r="B4434" i="1"/>
  <c r="G4433" i="1"/>
  <c r="F4433" i="1"/>
  <c r="E4433" i="1"/>
  <c r="D4433" i="1"/>
  <c r="C4433" i="1"/>
  <c r="B4433" i="1"/>
  <c r="G4432" i="1"/>
  <c r="F4432" i="1"/>
  <c r="E4432" i="1"/>
  <c r="D4432" i="1"/>
  <c r="C4432" i="1"/>
  <c r="B4432" i="1"/>
  <c r="G4431" i="1"/>
  <c r="F4431" i="1"/>
  <c r="E4431" i="1"/>
  <c r="D4431" i="1"/>
  <c r="C4431" i="1"/>
  <c r="B4431" i="1"/>
  <c r="G4430" i="1"/>
  <c r="F4430" i="1"/>
  <c r="E4430" i="1"/>
  <c r="D4430" i="1"/>
  <c r="C4430" i="1"/>
  <c r="B4430" i="1"/>
  <c r="G4429" i="1"/>
  <c r="F4429" i="1"/>
  <c r="E4429" i="1"/>
  <c r="D4429" i="1"/>
  <c r="C4429" i="1"/>
  <c r="B4429" i="1"/>
  <c r="G4428" i="1"/>
  <c r="F4428" i="1"/>
  <c r="E4428" i="1"/>
  <c r="D4428" i="1"/>
  <c r="C4428" i="1"/>
  <c r="B4428" i="1"/>
  <c r="G4427" i="1"/>
  <c r="F4427" i="1"/>
  <c r="E4427" i="1"/>
  <c r="D4427" i="1"/>
  <c r="C4427" i="1"/>
  <c r="B4427" i="1"/>
  <c r="G4426" i="1"/>
  <c r="F4426" i="1"/>
  <c r="E4426" i="1"/>
  <c r="D4426" i="1"/>
  <c r="C4426" i="1"/>
  <c r="B4426" i="1"/>
  <c r="G4425" i="1"/>
  <c r="F4425" i="1"/>
  <c r="E4425" i="1"/>
  <c r="D4425" i="1"/>
  <c r="C4425" i="1"/>
  <c r="B4425" i="1"/>
  <c r="G4424" i="1"/>
  <c r="F4424" i="1"/>
  <c r="E4424" i="1"/>
  <c r="D4424" i="1"/>
  <c r="C4424" i="1"/>
  <c r="B4424" i="1"/>
  <c r="G4423" i="1"/>
  <c r="F4423" i="1"/>
  <c r="E4423" i="1"/>
  <c r="D4423" i="1"/>
  <c r="C4423" i="1"/>
  <c r="B4423" i="1"/>
  <c r="G4422" i="1"/>
  <c r="F4422" i="1"/>
  <c r="E4422" i="1"/>
  <c r="D4422" i="1"/>
  <c r="C4422" i="1"/>
  <c r="B4422" i="1"/>
  <c r="G4421" i="1"/>
  <c r="F4421" i="1"/>
  <c r="E4421" i="1"/>
  <c r="D4421" i="1"/>
  <c r="C4421" i="1"/>
  <c r="B4421" i="1"/>
  <c r="G4420" i="1"/>
  <c r="F4420" i="1"/>
  <c r="E4420" i="1"/>
  <c r="D4420" i="1"/>
  <c r="C4420" i="1"/>
  <c r="B4420" i="1"/>
  <c r="G4419" i="1"/>
  <c r="F4419" i="1"/>
  <c r="E4419" i="1"/>
  <c r="D4419" i="1"/>
  <c r="C4419" i="1"/>
  <c r="B4419" i="1"/>
  <c r="G4418" i="1"/>
  <c r="F4418" i="1"/>
  <c r="E4418" i="1"/>
  <c r="D4418" i="1"/>
  <c r="C4418" i="1"/>
  <c r="B4418" i="1"/>
  <c r="G4417" i="1"/>
  <c r="F4417" i="1"/>
  <c r="E4417" i="1"/>
  <c r="D4417" i="1"/>
  <c r="C4417" i="1"/>
  <c r="B4417" i="1"/>
  <c r="G4416" i="1"/>
  <c r="F4416" i="1"/>
  <c r="E4416" i="1"/>
  <c r="D4416" i="1"/>
  <c r="C4416" i="1"/>
  <c r="B4416" i="1"/>
  <c r="G4415" i="1"/>
  <c r="F4415" i="1"/>
  <c r="E4415" i="1"/>
  <c r="D4415" i="1"/>
  <c r="C4415" i="1"/>
  <c r="B4415" i="1"/>
  <c r="G4414" i="1"/>
  <c r="F4414" i="1"/>
  <c r="E4414" i="1"/>
  <c r="D4414" i="1"/>
  <c r="C4414" i="1"/>
  <c r="B4414" i="1"/>
  <c r="G4413" i="1"/>
  <c r="F4413" i="1"/>
  <c r="E4413" i="1"/>
  <c r="D4413" i="1"/>
  <c r="C4413" i="1"/>
  <c r="B4413" i="1"/>
  <c r="G4412" i="1"/>
  <c r="F4412" i="1"/>
  <c r="E4412" i="1"/>
  <c r="D4412" i="1"/>
  <c r="C4412" i="1"/>
  <c r="B4412" i="1"/>
  <c r="G4411" i="1"/>
  <c r="F4411" i="1"/>
  <c r="E4411" i="1"/>
  <c r="D4411" i="1"/>
  <c r="C4411" i="1"/>
  <c r="B4411" i="1"/>
  <c r="G4410" i="1"/>
  <c r="F4410" i="1"/>
  <c r="E4410" i="1"/>
  <c r="D4410" i="1"/>
  <c r="C4410" i="1"/>
  <c r="B4410" i="1"/>
  <c r="G4409" i="1"/>
  <c r="F4409" i="1"/>
  <c r="E4409" i="1"/>
  <c r="D4409" i="1"/>
  <c r="C4409" i="1"/>
  <c r="B4409" i="1"/>
  <c r="G4408" i="1"/>
  <c r="F4408" i="1"/>
  <c r="E4408" i="1"/>
  <c r="D4408" i="1"/>
  <c r="C4408" i="1"/>
  <c r="B4408" i="1"/>
  <c r="G4407" i="1"/>
  <c r="F4407" i="1"/>
  <c r="E4407" i="1"/>
  <c r="D4407" i="1"/>
  <c r="C4407" i="1"/>
  <c r="B4407" i="1"/>
  <c r="G4406" i="1"/>
  <c r="F4406" i="1"/>
  <c r="E4406" i="1"/>
  <c r="D4406" i="1"/>
  <c r="C4406" i="1"/>
  <c r="B4406" i="1"/>
  <c r="G4405" i="1"/>
  <c r="F4405" i="1"/>
  <c r="E4405" i="1"/>
  <c r="D4405" i="1"/>
  <c r="C4405" i="1"/>
  <c r="B4405" i="1"/>
  <c r="G4404" i="1"/>
  <c r="F4404" i="1"/>
  <c r="E4404" i="1"/>
  <c r="D4404" i="1"/>
  <c r="C4404" i="1"/>
  <c r="B4404" i="1"/>
  <c r="G4403" i="1"/>
  <c r="F4403" i="1"/>
  <c r="E4403" i="1"/>
  <c r="D4403" i="1"/>
  <c r="C4403" i="1"/>
  <c r="B4403" i="1"/>
  <c r="G4402" i="1"/>
  <c r="F4402" i="1"/>
  <c r="E4402" i="1"/>
  <c r="D4402" i="1"/>
  <c r="C4402" i="1"/>
  <c r="B4402" i="1"/>
  <c r="G4401" i="1"/>
  <c r="F4401" i="1"/>
  <c r="E4401" i="1"/>
  <c r="D4401" i="1"/>
  <c r="C4401" i="1"/>
  <c r="B4401" i="1"/>
  <c r="G4400" i="1"/>
  <c r="F4400" i="1"/>
  <c r="E4400" i="1"/>
  <c r="D4400" i="1"/>
  <c r="C4400" i="1"/>
  <c r="B4400" i="1"/>
  <c r="G4399" i="1"/>
  <c r="F4399" i="1"/>
  <c r="E4399" i="1"/>
  <c r="D4399" i="1"/>
  <c r="C4399" i="1"/>
  <c r="B4399" i="1"/>
  <c r="G4398" i="1"/>
  <c r="F4398" i="1"/>
  <c r="E4398" i="1"/>
  <c r="D4398" i="1"/>
  <c r="C4398" i="1"/>
  <c r="B4398" i="1"/>
  <c r="G4397" i="1"/>
  <c r="F4397" i="1"/>
  <c r="E4397" i="1"/>
  <c r="D4397" i="1"/>
  <c r="C4397" i="1"/>
  <c r="B4397" i="1"/>
  <c r="G4396" i="1"/>
  <c r="F4396" i="1"/>
  <c r="E4396" i="1"/>
  <c r="D4396" i="1"/>
  <c r="C4396" i="1"/>
  <c r="B4396" i="1"/>
  <c r="G4395" i="1"/>
  <c r="F4395" i="1"/>
  <c r="E4395" i="1"/>
  <c r="D4395" i="1"/>
  <c r="C4395" i="1"/>
  <c r="B4395" i="1"/>
  <c r="G4394" i="1"/>
  <c r="F4394" i="1"/>
  <c r="E4394" i="1"/>
  <c r="D4394" i="1"/>
  <c r="C4394" i="1"/>
  <c r="B4394" i="1"/>
  <c r="G4393" i="1"/>
  <c r="F4393" i="1"/>
  <c r="E4393" i="1"/>
  <c r="D4393" i="1"/>
  <c r="C4393" i="1"/>
  <c r="B4393" i="1"/>
  <c r="G4392" i="1"/>
  <c r="F4392" i="1"/>
  <c r="E4392" i="1"/>
  <c r="D4392" i="1"/>
  <c r="C4392" i="1"/>
  <c r="B4392" i="1"/>
  <c r="G4391" i="1"/>
  <c r="F4391" i="1"/>
  <c r="E4391" i="1"/>
  <c r="D4391" i="1"/>
  <c r="C4391" i="1"/>
  <c r="B4391" i="1"/>
  <c r="G4390" i="1"/>
  <c r="F4390" i="1"/>
  <c r="E4390" i="1"/>
  <c r="D4390" i="1"/>
  <c r="C4390" i="1"/>
  <c r="B4390" i="1"/>
  <c r="G4389" i="1"/>
  <c r="F4389" i="1"/>
  <c r="E4389" i="1"/>
  <c r="D4389" i="1"/>
  <c r="C4389" i="1"/>
  <c r="B4389" i="1"/>
  <c r="G4388" i="1"/>
  <c r="F4388" i="1"/>
  <c r="E4388" i="1"/>
  <c r="D4388" i="1"/>
  <c r="C4388" i="1"/>
  <c r="B4388" i="1"/>
  <c r="G4387" i="1"/>
  <c r="F4387" i="1"/>
  <c r="E4387" i="1"/>
  <c r="D4387" i="1"/>
  <c r="C4387" i="1"/>
  <c r="B4387" i="1"/>
  <c r="G4386" i="1"/>
  <c r="F4386" i="1"/>
  <c r="E4386" i="1"/>
  <c r="D4386" i="1"/>
  <c r="C4386" i="1"/>
  <c r="B4386" i="1"/>
  <c r="G4385" i="1"/>
  <c r="F4385" i="1"/>
  <c r="E4385" i="1"/>
  <c r="D4385" i="1"/>
  <c r="C4385" i="1"/>
  <c r="B4385" i="1"/>
  <c r="G4384" i="1"/>
  <c r="F4384" i="1"/>
  <c r="E4384" i="1"/>
  <c r="D4384" i="1"/>
  <c r="C4384" i="1"/>
  <c r="B4384" i="1"/>
  <c r="G4383" i="1"/>
  <c r="F4383" i="1"/>
  <c r="E4383" i="1"/>
  <c r="D4383" i="1"/>
  <c r="C4383" i="1"/>
  <c r="B4383" i="1"/>
  <c r="G4382" i="1"/>
  <c r="F4382" i="1"/>
  <c r="E4382" i="1"/>
  <c r="D4382" i="1"/>
  <c r="C4382" i="1"/>
  <c r="B4382" i="1"/>
  <c r="G4381" i="1"/>
  <c r="F4381" i="1"/>
  <c r="E4381" i="1"/>
  <c r="D4381" i="1"/>
  <c r="C4381" i="1"/>
  <c r="B4381" i="1"/>
  <c r="G4380" i="1"/>
  <c r="F4380" i="1"/>
  <c r="E4380" i="1"/>
  <c r="D4380" i="1"/>
  <c r="C4380" i="1"/>
  <c r="B4380" i="1"/>
  <c r="G4379" i="1"/>
  <c r="F4379" i="1"/>
  <c r="E4379" i="1"/>
  <c r="D4379" i="1"/>
  <c r="C4379" i="1"/>
  <c r="B4379" i="1"/>
  <c r="G4378" i="1"/>
  <c r="F4378" i="1"/>
  <c r="E4378" i="1"/>
  <c r="D4378" i="1"/>
  <c r="C4378" i="1"/>
  <c r="B4378" i="1"/>
  <c r="G4377" i="1"/>
  <c r="F4377" i="1"/>
  <c r="E4377" i="1"/>
  <c r="D4377" i="1"/>
  <c r="C4377" i="1"/>
  <c r="B4377" i="1"/>
  <c r="G4376" i="1"/>
  <c r="F4376" i="1"/>
  <c r="E4376" i="1"/>
  <c r="D4376" i="1"/>
  <c r="C4376" i="1"/>
  <c r="B4376" i="1"/>
  <c r="G4375" i="1"/>
  <c r="F4375" i="1"/>
  <c r="E4375" i="1"/>
  <c r="D4375" i="1"/>
  <c r="C4375" i="1"/>
  <c r="B4375" i="1"/>
  <c r="G4374" i="1"/>
  <c r="F4374" i="1"/>
  <c r="E4374" i="1"/>
  <c r="D4374" i="1"/>
  <c r="C4374" i="1"/>
  <c r="B4374" i="1"/>
  <c r="G4373" i="1"/>
  <c r="F4373" i="1"/>
  <c r="E4373" i="1"/>
  <c r="D4373" i="1"/>
  <c r="C4373" i="1"/>
  <c r="B4373" i="1"/>
  <c r="G4372" i="1"/>
  <c r="F4372" i="1"/>
  <c r="E4372" i="1"/>
  <c r="D4372" i="1"/>
  <c r="C4372" i="1"/>
  <c r="B4372" i="1"/>
  <c r="G4371" i="1"/>
  <c r="F4371" i="1"/>
  <c r="E4371" i="1"/>
  <c r="G4370" i="1"/>
  <c r="F4370" i="1"/>
  <c r="E4370" i="1"/>
  <c r="D4370" i="1"/>
  <c r="C4370" i="1"/>
  <c r="B4370" i="1"/>
  <c r="G4369" i="1"/>
  <c r="F4369" i="1"/>
  <c r="E4369" i="1"/>
  <c r="D4369" i="1"/>
  <c r="C4369" i="1"/>
  <c r="B4369" i="1"/>
  <c r="G4368" i="1"/>
  <c r="F4368" i="1"/>
  <c r="E4368" i="1"/>
  <c r="D4368" i="1"/>
  <c r="C4368" i="1"/>
  <c r="B4368" i="1"/>
  <c r="G4367" i="1"/>
  <c r="F4367" i="1"/>
  <c r="E4367" i="1"/>
  <c r="D4367" i="1"/>
  <c r="C4367" i="1"/>
  <c r="B4367" i="1"/>
  <c r="G4366" i="1"/>
  <c r="F4366" i="1"/>
  <c r="E4366" i="1"/>
  <c r="D4366" i="1"/>
  <c r="C4366" i="1"/>
  <c r="B4366" i="1"/>
  <c r="G4365" i="1"/>
  <c r="F4365" i="1"/>
  <c r="E4365" i="1"/>
  <c r="D4365" i="1"/>
  <c r="C4365" i="1"/>
  <c r="B4365" i="1"/>
  <c r="G4364" i="1"/>
  <c r="F4364" i="1"/>
  <c r="E4364" i="1"/>
  <c r="D4364" i="1"/>
  <c r="C4364" i="1"/>
  <c r="B4364" i="1"/>
  <c r="G4363" i="1"/>
  <c r="F4363" i="1"/>
  <c r="E4363" i="1"/>
  <c r="D4363" i="1"/>
  <c r="C4363" i="1"/>
  <c r="B4363" i="1"/>
  <c r="G4362" i="1"/>
  <c r="F4362" i="1"/>
  <c r="E4362" i="1"/>
  <c r="D4362" i="1"/>
  <c r="C4362" i="1"/>
  <c r="B4362" i="1"/>
  <c r="G4361" i="1"/>
  <c r="F4361" i="1"/>
  <c r="E4361" i="1"/>
  <c r="D4361" i="1"/>
  <c r="C4361" i="1"/>
  <c r="B4361" i="1"/>
  <c r="G4360" i="1"/>
  <c r="F4360" i="1"/>
  <c r="E4360" i="1"/>
  <c r="D4360" i="1"/>
  <c r="C4360" i="1"/>
  <c r="B4360" i="1"/>
  <c r="G4359" i="1"/>
  <c r="F4359" i="1"/>
  <c r="E4359" i="1"/>
  <c r="D4359" i="1"/>
  <c r="C4359" i="1"/>
  <c r="B4359" i="1"/>
  <c r="G4358" i="1"/>
  <c r="F4358" i="1"/>
  <c r="E4358" i="1"/>
  <c r="D4358" i="1"/>
  <c r="C4358" i="1"/>
  <c r="B4358" i="1"/>
  <c r="G4357" i="1"/>
  <c r="F4357" i="1"/>
  <c r="E4357" i="1"/>
  <c r="D4357" i="1"/>
  <c r="C4357" i="1"/>
  <c r="B4357" i="1"/>
  <c r="G4356" i="1"/>
  <c r="F4356" i="1"/>
  <c r="E4356" i="1"/>
  <c r="D4356" i="1"/>
  <c r="C4356" i="1"/>
  <c r="B4356" i="1"/>
  <c r="G4355" i="1"/>
  <c r="F4355" i="1"/>
  <c r="E4355" i="1"/>
  <c r="D4355" i="1"/>
  <c r="C4355" i="1"/>
  <c r="B4355" i="1"/>
  <c r="G4354" i="1"/>
  <c r="F4354" i="1"/>
  <c r="E4354" i="1"/>
  <c r="D4354" i="1"/>
  <c r="C4354" i="1"/>
  <c r="B4354" i="1"/>
  <c r="G4353" i="1"/>
  <c r="F4353" i="1"/>
  <c r="E4353" i="1"/>
  <c r="D4353" i="1"/>
  <c r="C4353" i="1"/>
  <c r="B4353" i="1"/>
  <c r="G4352" i="1"/>
  <c r="F4352" i="1"/>
  <c r="E4352" i="1"/>
  <c r="D4352" i="1"/>
  <c r="C4352" i="1"/>
  <c r="B4352" i="1"/>
  <c r="G4351" i="1"/>
  <c r="F4351" i="1"/>
  <c r="E4351" i="1"/>
  <c r="D4351" i="1"/>
  <c r="C4351" i="1"/>
  <c r="B4351" i="1"/>
  <c r="G4350" i="1"/>
  <c r="F4350" i="1"/>
  <c r="E4350" i="1"/>
  <c r="D4350" i="1"/>
  <c r="C4350" i="1"/>
  <c r="B4350" i="1"/>
  <c r="G4349" i="1"/>
  <c r="F4349" i="1"/>
  <c r="E4349" i="1"/>
  <c r="D4349" i="1"/>
  <c r="C4349" i="1"/>
  <c r="B4349" i="1"/>
  <c r="G4348" i="1"/>
  <c r="F4348" i="1"/>
  <c r="E4348" i="1"/>
  <c r="D4348" i="1"/>
  <c r="C4348" i="1"/>
  <c r="B4348" i="1"/>
  <c r="G4347" i="1"/>
  <c r="F4347" i="1"/>
  <c r="E4347" i="1"/>
  <c r="D4347" i="1"/>
  <c r="C4347" i="1"/>
  <c r="B4347" i="1"/>
  <c r="G4346" i="1"/>
  <c r="F4346" i="1"/>
  <c r="E4346" i="1"/>
  <c r="D4346" i="1"/>
  <c r="C4346" i="1"/>
  <c r="B4346" i="1"/>
  <c r="G4345" i="1"/>
  <c r="F4345" i="1"/>
  <c r="E4345" i="1"/>
  <c r="D4345" i="1"/>
  <c r="C4345" i="1"/>
  <c r="B4345" i="1"/>
  <c r="G4344" i="1"/>
  <c r="F4344" i="1"/>
  <c r="E4344" i="1"/>
  <c r="D4344" i="1"/>
  <c r="C4344" i="1"/>
  <c r="B4344" i="1"/>
  <c r="G4343" i="1"/>
  <c r="F4343" i="1"/>
  <c r="E4343" i="1"/>
  <c r="D4343" i="1"/>
  <c r="C4343" i="1"/>
  <c r="B4343" i="1"/>
  <c r="G4342" i="1"/>
  <c r="F4342" i="1"/>
  <c r="E4342" i="1"/>
  <c r="D4342" i="1"/>
  <c r="C4342" i="1"/>
  <c r="B4342" i="1"/>
  <c r="G4341" i="1"/>
  <c r="F4341" i="1"/>
  <c r="E4341" i="1"/>
  <c r="D4341" i="1"/>
  <c r="C4341" i="1"/>
  <c r="B4341" i="1"/>
  <c r="G4340" i="1"/>
  <c r="F4340" i="1"/>
  <c r="E4340" i="1"/>
  <c r="D4340" i="1"/>
  <c r="C4340" i="1"/>
  <c r="B4340" i="1"/>
  <c r="G4339" i="1"/>
  <c r="F4339" i="1"/>
  <c r="E4339" i="1"/>
  <c r="D4339" i="1"/>
  <c r="C4339" i="1"/>
  <c r="B4339" i="1"/>
  <c r="G4338" i="1"/>
  <c r="F4338" i="1"/>
  <c r="E4338" i="1"/>
  <c r="D4338" i="1"/>
  <c r="C4338" i="1"/>
  <c r="B4338" i="1"/>
  <c r="G4337" i="1"/>
  <c r="F4337" i="1"/>
  <c r="E4337" i="1"/>
  <c r="D4337" i="1"/>
  <c r="C4337" i="1"/>
  <c r="B4337" i="1"/>
  <c r="G4336" i="1"/>
  <c r="F4336" i="1"/>
  <c r="E4336" i="1"/>
  <c r="D4336" i="1"/>
  <c r="C4336" i="1"/>
  <c r="B4336" i="1"/>
  <c r="G4335" i="1"/>
  <c r="F4335" i="1"/>
  <c r="E4335" i="1"/>
  <c r="D4335" i="1"/>
  <c r="C4335" i="1"/>
  <c r="B4335" i="1"/>
  <c r="G4334" i="1"/>
  <c r="F4334" i="1"/>
  <c r="E4334" i="1"/>
  <c r="D4334" i="1"/>
  <c r="C4334" i="1"/>
  <c r="B4334" i="1"/>
  <c r="G4333" i="1"/>
  <c r="F4333" i="1"/>
  <c r="E4333" i="1"/>
  <c r="D4333" i="1"/>
  <c r="C4333" i="1"/>
  <c r="B4333" i="1"/>
  <c r="G4332" i="1"/>
  <c r="F4332" i="1"/>
  <c r="E4332" i="1"/>
  <c r="D4332" i="1"/>
  <c r="C4332" i="1"/>
  <c r="B4332" i="1"/>
  <c r="G4331" i="1"/>
  <c r="F4331" i="1"/>
  <c r="E4331" i="1"/>
  <c r="D4331" i="1"/>
  <c r="C4331" i="1"/>
  <c r="B4331" i="1"/>
  <c r="G4330" i="1"/>
  <c r="F4330" i="1"/>
  <c r="E4330" i="1"/>
  <c r="D4330" i="1"/>
  <c r="C4330" i="1"/>
  <c r="B4330" i="1"/>
  <c r="G4329" i="1"/>
  <c r="F4329" i="1"/>
  <c r="E4329" i="1"/>
  <c r="D4329" i="1"/>
  <c r="C4329" i="1"/>
  <c r="B4329" i="1"/>
  <c r="G4328" i="1"/>
  <c r="F4328" i="1"/>
  <c r="E4328" i="1"/>
  <c r="D4328" i="1"/>
  <c r="C4328" i="1"/>
  <c r="B4328" i="1"/>
  <c r="G4327" i="1"/>
  <c r="F4327" i="1"/>
  <c r="E4327" i="1"/>
  <c r="D4327" i="1"/>
  <c r="C4327" i="1"/>
  <c r="B4327" i="1"/>
  <c r="G4326" i="1"/>
  <c r="F4326" i="1"/>
  <c r="E4326" i="1"/>
  <c r="D4326" i="1"/>
  <c r="C4326" i="1"/>
  <c r="B4326" i="1"/>
  <c r="G4325" i="1"/>
  <c r="F4325" i="1"/>
  <c r="E4325" i="1"/>
  <c r="D4325" i="1"/>
  <c r="C4325" i="1"/>
  <c r="B4325" i="1"/>
  <c r="G4324" i="1"/>
  <c r="F4324" i="1"/>
  <c r="E4324" i="1"/>
  <c r="D4324" i="1"/>
  <c r="C4324" i="1"/>
  <c r="B4324" i="1"/>
  <c r="G4323" i="1"/>
  <c r="F4323" i="1"/>
  <c r="E4323" i="1"/>
  <c r="D4323" i="1"/>
  <c r="C4323" i="1"/>
  <c r="B4323" i="1"/>
  <c r="G4322" i="1"/>
  <c r="F4322" i="1"/>
  <c r="E4322" i="1"/>
  <c r="D4322" i="1"/>
  <c r="C4322" i="1"/>
  <c r="B4322" i="1"/>
  <c r="G4321" i="1"/>
  <c r="F4321" i="1"/>
  <c r="E4321" i="1"/>
  <c r="D4321" i="1"/>
  <c r="C4321" i="1"/>
  <c r="B4321" i="1"/>
  <c r="G4320" i="1"/>
  <c r="F4320" i="1"/>
  <c r="E4320" i="1"/>
  <c r="D4320" i="1"/>
  <c r="C4320" i="1"/>
  <c r="B4320" i="1"/>
  <c r="G4319" i="1"/>
  <c r="F4319" i="1"/>
  <c r="E4319" i="1"/>
  <c r="D4319" i="1"/>
  <c r="C4319" i="1"/>
  <c r="B4319" i="1"/>
  <c r="G4318" i="1"/>
  <c r="F4318" i="1"/>
  <c r="E4318" i="1"/>
  <c r="D4318" i="1"/>
  <c r="C4318" i="1"/>
  <c r="B4318" i="1"/>
  <c r="G4317" i="1"/>
  <c r="F4317" i="1"/>
  <c r="E4317" i="1"/>
  <c r="D4317" i="1"/>
  <c r="C4317" i="1"/>
  <c r="B4317" i="1"/>
  <c r="G4316" i="1"/>
  <c r="F4316" i="1"/>
  <c r="E4316" i="1"/>
  <c r="D4316" i="1"/>
  <c r="C4316" i="1"/>
  <c r="B4316" i="1"/>
  <c r="G4315" i="1"/>
  <c r="F4315" i="1"/>
  <c r="E4315" i="1"/>
  <c r="D4315" i="1"/>
  <c r="C4315" i="1"/>
  <c r="B4315" i="1"/>
  <c r="G4314" i="1"/>
  <c r="F4314" i="1"/>
  <c r="E4314" i="1"/>
  <c r="D4314" i="1"/>
  <c r="C4314" i="1"/>
  <c r="B4314" i="1"/>
  <c r="G4313" i="1"/>
  <c r="F4313" i="1"/>
  <c r="E4313" i="1"/>
  <c r="D4313" i="1"/>
  <c r="C4313" i="1"/>
  <c r="B4313" i="1"/>
  <c r="G4312" i="1"/>
  <c r="F4312" i="1"/>
  <c r="E4312" i="1"/>
  <c r="D4312" i="1"/>
  <c r="C4312" i="1"/>
  <c r="B4312" i="1"/>
  <c r="G4311" i="1"/>
  <c r="F4311" i="1"/>
  <c r="E4311" i="1"/>
  <c r="D4311" i="1"/>
  <c r="C4311" i="1"/>
  <c r="B4311" i="1"/>
  <c r="G4310" i="1"/>
  <c r="F4310" i="1"/>
  <c r="E4310" i="1"/>
  <c r="D4310" i="1"/>
  <c r="C4310" i="1"/>
  <c r="B4310" i="1"/>
  <c r="G4309" i="1"/>
  <c r="F4309" i="1"/>
  <c r="E4309" i="1"/>
  <c r="D4309" i="1"/>
  <c r="C4309" i="1"/>
  <c r="B4309" i="1"/>
  <c r="G4308" i="1"/>
  <c r="F4308" i="1"/>
  <c r="E4308" i="1"/>
  <c r="D4308" i="1"/>
  <c r="C4308" i="1"/>
  <c r="B4308" i="1"/>
  <c r="G4307" i="1"/>
  <c r="F4307" i="1"/>
  <c r="E4307" i="1"/>
  <c r="D4307" i="1"/>
  <c r="C4307" i="1"/>
  <c r="B4307" i="1"/>
  <c r="G4306" i="1"/>
  <c r="F4306" i="1"/>
  <c r="E4306" i="1"/>
  <c r="D4306" i="1"/>
  <c r="C4306" i="1"/>
  <c r="B4306" i="1"/>
  <c r="G4305" i="1"/>
  <c r="F4305" i="1"/>
  <c r="E4305" i="1"/>
  <c r="D4305" i="1"/>
  <c r="C4305" i="1"/>
  <c r="B4305" i="1"/>
  <c r="G4304" i="1"/>
  <c r="F4304" i="1"/>
  <c r="E4304" i="1"/>
  <c r="D4304" i="1"/>
  <c r="C4304" i="1"/>
  <c r="B4304" i="1"/>
  <c r="G4303" i="1"/>
  <c r="F4303" i="1"/>
  <c r="E4303" i="1"/>
  <c r="D4303" i="1"/>
  <c r="C4303" i="1"/>
  <c r="B4303" i="1"/>
  <c r="G4302" i="1"/>
  <c r="F4302" i="1"/>
  <c r="E4302" i="1"/>
  <c r="D4302" i="1"/>
  <c r="C4302" i="1"/>
  <c r="B4302" i="1"/>
  <c r="G4301" i="1"/>
  <c r="F4301" i="1"/>
  <c r="E4301" i="1"/>
  <c r="D4301" i="1"/>
  <c r="C4301" i="1"/>
  <c r="B4301" i="1"/>
  <c r="G4300" i="1"/>
  <c r="F4300" i="1"/>
  <c r="E4300" i="1"/>
  <c r="D4300" i="1"/>
  <c r="C4300" i="1"/>
  <c r="B4300" i="1"/>
  <c r="G4299" i="1"/>
  <c r="F4299" i="1"/>
  <c r="E4299" i="1"/>
  <c r="D4299" i="1"/>
  <c r="C4299" i="1"/>
  <c r="B4299" i="1"/>
  <c r="G4298" i="1"/>
  <c r="F4298" i="1"/>
  <c r="E4298" i="1"/>
  <c r="D4298" i="1"/>
  <c r="C4298" i="1"/>
  <c r="B4298" i="1"/>
  <c r="G4297" i="1"/>
  <c r="F4297" i="1"/>
  <c r="E4297" i="1"/>
  <c r="D4297" i="1"/>
  <c r="C4297" i="1"/>
  <c r="B4297" i="1"/>
  <c r="G4296" i="1"/>
  <c r="F4296" i="1"/>
  <c r="E4296" i="1"/>
  <c r="D4296" i="1"/>
  <c r="C4296" i="1"/>
  <c r="B4296" i="1"/>
  <c r="G4295" i="1"/>
  <c r="F4295" i="1"/>
  <c r="E4295" i="1"/>
  <c r="D4295" i="1"/>
  <c r="C4295" i="1"/>
  <c r="B4295" i="1"/>
  <c r="G4294" i="1"/>
  <c r="F4294" i="1"/>
  <c r="E4294" i="1"/>
  <c r="D4294" i="1"/>
  <c r="C4294" i="1"/>
  <c r="B4294" i="1"/>
  <c r="G4293" i="1"/>
  <c r="F4293" i="1"/>
  <c r="E4293" i="1"/>
  <c r="D4293" i="1"/>
  <c r="C4293" i="1"/>
  <c r="B4293" i="1"/>
  <c r="G4292" i="1"/>
  <c r="F4292" i="1"/>
  <c r="E4292" i="1"/>
  <c r="D4292" i="1"/>
  <c r="C4292" i="1"/>
  <c r="B4292" i="1"/>
  <c r="G4291" i="1"/>
  <c r="F4291" i="1"/>
  <c r="E4291" i="1"/>
  <c r="D4291" i="1"/>
  <c r="C4291" i="1"/>
  <c r="B4291" i="1"/>
  <c r="G4290" i="1"/>
  <c r="F4290" i="1"/>
  <c r="E4290" i="1"/>
  <c r="D4290" i="1"/>
  <c r="C4290" i="1"/>
  <c r="B4290" i="1"/>
  <c r="G4289" i="1"/>
  <c r="F4289" i="1"/>
  <c r="E4289" i="1"/>
  <c r="D4289" i="1"/>
  <c r="C4289" i="1"/>
  <c r="B4289" i="1"/>
  <c r="G4288" i="1"/>
  <c r="F4288" i="1"/>
  <c r="E4288" i="1"/>
  <c r="D4288" i="1"/>
  <c r="C4288" i="1"/>
  <c r="B4288" i="1"/>
  <c r="G4287" i="1"/>
  <c r="F4287" i="1"/>
  <c r="E4287" i="1"/>
  <c r="D4287" i="1"/>
  <c r="C4287" i="1"/>
  <c r="B4287" i="1"/>
  <c r="G4286" i="1"/>
  <c r="F4286" i="1"/>
  <c r="E4286" i="1"/>
  <c r="D4286" i="1"/>
  <c r="C4286" i="1"/>
  <c r="B4286" i="1"/>
  <c r="G4285" i="1"/>
  <c r="F4285" i="1"/>
  <c r="E4285" i="1"/>
  <c r="D4285" i="1"/>
  <c r="C4285" i="1"/>
  <c r="B4285" i="1"/>
  <c r="G4284" i="1"/>
  <c r="F4284" i="1"/>
  <c r="E4284" i="1"/>
  <c r="D4284" i="1"/>
  <c r="C4284" i="1"/>
  <c r="B4284" i="1"/>
  <c r="G4283" i="1"/>
  <c r="F4283" i="1"/>
  <c r="E4283" i="1"/>
  <c r="D4283" i="1"/>
  <c r="C4283" i="1"/>
  <c r="B4283" i="1"/>
  <c r="G4282" i="1"/>
  <c r="F4282" i="1"/>
  <c r="E4282" i="1"/>
  <c r="D4282" i="1"/>
  <c r="C4282" i="1"/>
  <c r="B4282" i="1"/>
  <c r="G4281" i="1"/>
  <c r="F4281" i="1"/>
  <c r="E4281" i="1"/>
  <c r="D4281" i="1"/>
  <c r="C4281" i="1"/>
  <c r="B4281" i="1"/>
  <c r="G4280" i="1"/>
  <c r="F4280" i="1"/>
  <c r="E4280" i="1"/>
  <c r="D4280" i="1"/>
  <c r="C4280" i="1"/>
  <c r="B4280" i="1"/>
  <c r="G4279" i="1"/>
  <c r="F4279" i="1"/>
  <c r="E4279" i="1"/>
  <c r="D4279" i="1"/>
  <c r="C4279" i="1"/>
  <c r="B4279" i="1"/>
  <c r="G4278" i="1"/>
  <c r="F4278" i="1"/>
  <c r="E4278" i="1"/>
  <c r="D4278" i="1"/>
  <c r="C4278" i="1"/>
  <c r="B4278" i="1"/>
  <c r="G4277" i="1"/>
  <c r="F4277" i="1"/>
  <c r="E4277" i="1"/>
  <c r="D4277" i="1"/>
  <c r="C4277" i="1"/>
  <c r="B4277" i="1"/>
  <c r="G4276" i="1"/>
  <c r="F4276" i="1"/>
  <c r="E4276" i="1"/>
  <c r="D4276" i="1"/>
  <c r="C4276" i="1"/>
  <c r="B4276" i="1"/>
  <c r="G4275" i="1"/>
  <c r="F4275" i="1"/>
  <c r="E4275" i="1"/>
  <c r="D4275" i="1"/>
  <c r="C4275" i="1"/>
  <c r="B4275" i="1"/>
  <c r="G4274" i="1"/>
  <c r="F4274" i="1"/>
  <c r="E4274" i="1"/>
  <c r="D4274" i="1"/>
  <c r="C4274" i="1"/>
  <c r="B4274" i="1"/>
  <c r="G4273" i="1"/>
  <c r="F4273" i="1"/>
  <c r="E4273" i="1"/>
  <c r="D4273" i="1"/>
  <c r="C4273" i="1"/>
  <c r="B4273" i="1"/>
  <c r="G4272" i="1"/>
  <c r="F4272" i="1"/>
  <c r="E4272" i="1"/>
  <c r="D4272" i="1"/>
  <c r="C4272" i="1"/>
  <c r="B4272" i="1"/>
  <c r="G4271" i="1"/>
  <c r="F4271" i="1"/>
  <c r="E4271" i="1"/>
  <c r="D4271" i="1"/>
  <c r="C4271" i="1"/>
  <c r="B4271" i="1"/>
  <c r="G4270" i="1"/>
  <c r="F4270" i="1"/>
  <c r="E4270" i="1"/>
  <c r="D4270" i="1"/>
  <c r="C4270" i="1"/>
  <c r="B4270" i="1"/>
  <c r="G4269" i="1"/>
  <c r="F4269" i="1"/>
  <c r="E4269" i="1"/>
  <c r="D4269" i="1"/>
  <c r="C4269" i="1"/>
  <c r="B4269" i="1"/>
  <c r="G4268" i="1"/>
  <c r="F4268" i="1"/>
  <c r="E4268" i="1"/>
  <c r="D4268" i="1"/>
  <c r="C4268" i="1"/>
  <c r="B4268" i="1"/>
  <c r="G4267" i="1"/>
  <c r="F4267" i="1"/>
  <c r="E4267" i="1"/>
  <c r="D4267" i="1"/>
  <c r="C4267" i="1"/>
  <c r="B4267" i="1"/>
  <c r="G4266" i="1"/>
  <c r="F4266" i="1"/>
  <c r="E4266" i="1"/>
  <c r="D4266" i="1"/>
  <c r="C4266" i="1"/>
  <c r="B4266" i="1"/>
  <c r="G4265" i="1"/>
  <c r="F4265" i="1"/>
  <c r="E4265" i="1"/>
  <c r="D4265" i="1"/>
  <c r="C4265" i="1"/>
  <c r="B4265" i="1"/>
  <c r="G4264" i="1"/>
  <c r="F4264" i="1"/>
  <c r="E4264" i="1"/>
  <c r="D4264" i="1"/>
  <c r="C4264" i="1"/>
  <c r="B4264" i="1"/>
  <c r="G4263" i="1"/>
  <c r="F4263" i="1"/>
  <c r="E4263" i="1"/>
  <c r="D4263" i="1"/>
  <c r="C4263" i="1"/>
  <c r="B4263" i="1"/>
  <c r="G4262" i="1"/>
  <c r="F4262" i="1"/>
  <c r="E4262" i="1"/>
  <c r="D4262" i="1"/>
  <c r="C4262" i="1"/>
  <c r="B4262" i="1"/>
  <c r="G4261" i="1"/>
  <c r="F4261" i="1"/>
  <c r="E4261" i="1"/>
  <c r="D4261" i="1"/>
  <c r="C4261" i="1"/>
  <c r="B4261" i="1"/>
  <c r="G4260" i="1"/>
  <c r="F4260" i="1"/>
  <c r="E4260" i="1"/>
  <c r="D4260" i="1"/>
  <c r="C4260" i="1"/>
  <c r="B4260" i="1"/>
  <c r="G4259" i="1"/>
  <c r="F4259" i="1"/>
  <c r="E4259" i="1"/>
  <c r="D4259" i="1"/>
  <c r="C4259" i="1"/>
  <c r="B4259" i="1"/>
  <c r="G4258" i="1"/>
  <c r="F4258" i="1"/>
  <c r="E4258" i="1"/>
  <c r="D4258" i="1"/>
  <c r="C4258" i="1"/>
  <c r="B4258" i="1"/>
  <c r="G4257" i="1"/>
  <c r="F4257" i="1"/>
  <c r="E4257" i="1"/>
  <c r="D4257" i="1"/>
  <c r="C4257" i="1"/>
  <c r="B4257" i="1"/>
  <c r="G4256" i="1"/>
  <c r="F4256" i="1"/>
  <c r="E4256" i="1"/>
  <c r="D4256" i="1"/>
  <c r="C4256" i="1"/>
  <c r="B4256" i="1"/>
  <c r="G4255" i="1"/>
  <c r="F4255" i="1"/>
  <c r="E4255" i="1"/>
  <c r="D4255" i="1"/>
  <c r="C4255" i="1"/>
  <c r="B4255" i="1"/>
  <c r="G4254" i="1"/>
  <c r="F4254" i="1"/>
  <c r="E4254" i="1"/>
  <c r="D4254" i="1"/>
  <c r="C4254" i="1"/>
  <c r="B4254" i="1"/>
  <c r="G4253" i="1"/>
  <c r="F4253" i="1"/>
  <c r="E4253" i="1"/>
  <c r="D4253" i="1"/>
  <c r="C4253" i="1"/>
  <c r="B4253" i="1"/>
  <c r="G4252" i="1"/>
  <c r="F4252" i="1"/>
  <c r="E4252" i="1"/>
  <c r="D4252" i="1"/>
  <c r="C4252" i="1"/>
  <c r="B4252" i="1"/>
  <c r="G4251" i="1"/>
  <c r="F4251" i="1"/>
  <c r="E4251" i="1"/>
  <c r="D4251" i="1"/>
  <c r="C4251" i="1"/>
  <c r="B4251" i="1"/>
  <c r="G4250" i="1"/>
  <c r="F4250" i="1"/>
  <c r="E4250" i="1"/>
  <c r="D4250" i="1"/>
  <c r="C4250" i="1"/>
  <c r="B4250" i="1"/>
  <c r="G4249" i="1"/>
  <c r="F4249" i="1"/>
  <c r="E4249" i="1"/>
  <c r="D4249" i="1"/>
  <c r="C4249" i="1"/>
  <c r="B4249" i="1"/>
  <c r="G4248" i="1"/>
  <c r="F4248" i="1"/>
  <c r="E4248" i="1"/>
  <c r="D4248" i="1"/>
  <c r="C4248" i="1"/>
  <c r="B4248" i="1"/>
  <c r="G4247" i="1"/>
  <c r="F4247" i="1"/>
  <c r="E4247" i="1"/>
  <c r="D4247" i="1"/>
  <c r="C4247" i="1"/>
  <c r="B4247" i="1"/>
  <c r="G4246" i="1"/>
  <c r="F4246" i="1"/>
  <c r="E4246" i="1"/>
  <c r="D4246" i="1"/>
  <c r="C4246" i="1"/>
  <c r="B4246" i="1"/>
  <c r="G4245" i="1"/>
  <c r="F4245" i="1"/>
  <c r="E4245" i="1"/>
  <c r="D4245" i="1"/>
  <c r="C4245" i="1"/>
  <c r="B4245" i="1"/>
  <c r="G4244" i="1"/>
  <c r="F4244" i="1"/>
  <c r="E4244" i="1"/>
  <c r="D4244" i="1"/>
  <c r="C4244" i="1"/>
  <c r="B4244" i="1"/>
  <c r="G4243" i="1"/>
  <c r="F4243" i="1"/>
  <c r="E4243" i="1"/>
  <c r="D4243" i="1"/>
  <c r="C4243" i="1"/>
  <c r="B4243" i="1"/>
  <c r="G4242" i="1"/>
  <c r="F4242" i="1"/>
  <c r="E4242" i="1"/>
  <c r="D4242" i="1"/>
  <c r="C4242" i="1"/>
  <c r="B4242" i="1"/>
  <c r="G4241" i="1"/>
  <c r="F4241" i="1"/>
  <c r="E4241" i="1"/>
  <c r="D4241" i="1"/>
  <c r="C4241" i="1"/>
  <c r="B4241" i="1"/>
  <c r="G4240" i="1"/>
  <c r="F4240" i="1"/>
  <c r="E4240" i="1"/>
  <c r="D4240" i="1"/>
  <c r="C4240" i="1"/>
  <c r="B4240" i="1"/>
  <c r="G4239" i="1"/>
  <c r="F4239" i="1"/>
  <c r="E4239" i="1"/>
  <c r="D4239" i="1"/>
  <c r="C4239" i="1"/>
  <c r="B4239" i="1"/>
  <c r="G4238" i="1"/>
  <c r="F4238" i="1"/>
  <c r="E4238" i="1"/>
  <c r="D4238" i="1"/>
  <c r="C4238" i="1"/>
  <c r="B4238" i="1"/>
  <c r="G4237" i="1"/>
  <c r="F4237" i="1"/>
  <c r="E4237" i="1"/>
  <c r="D4237" i="1"/>
  <c r="C4237" i="1"/>
  <c r="B4237" i="1"/>
  <c r="G4236" i="1"/>
  <c r="F4236" i="1"/>
  <c r="E4236" i="1"/>
  <c r="D4236" i="1"/>
  <c r="C4236" i="1"/>
  <c r="B4236" i="1"/>
  <c r="G4235" i="1"/>
  <c r="F4235" i="1"/>
  <c r="E4235" i="1"/>
  <c r="D4235" i="1"/>
  <c r="C4235" i="1"/>
  <c r="B4235" i="1"/>
  <c r="G4234" i="1"/>
  <c r="F4234" i="1"/>
  <c r="E4234" i="1"/>
  <c r="D4234" i="1"/>
  <c r="C4234" i="1"/>
  <c r="B4234" i="1"/>
  <c r="G4233" i="1"/>
  <c r="F4233" i="1"/>
  <c r="E4233" i="1"/>
  <c r="D4233" i="1"/>
  <c r="C4233" i="1"/>
  <c r="B4233" i="1"/>
  <c r="G4232" i="1"/>
  <c r="F4232" i="1"/>
  <c r="E4232" i="1"/>
  <c r="D4232" i="1"/>
  <c r="C4232" i="1"/>
  <c r="B4232" i="1"/>
  <c r="G4231" i="1"/>
  <c r="F4231" i="1"/>
  <c r="E4231" i="1"/>
  <c r="D4231" i="1"/>
  <c r="C4231" i="1"/>
  <c r="B4231" i="1"/>
  <c r="G4230" i="1"/>
  <c r="F4230" i="1"/>
  <c r="E4230" i="1"/>
  <c r="D4230" i="1"/>
  <c r="C4230" i="1"/>
  <c r="B4230" i="1"/>
  <c r="G4229" i="1"/>
  <c r="F4229" i="1"/>
  <c r="E4229" i="1"/>
  <c r="D4229" i="1"/>
  <c r="C4229" i="1"/>
  <c r="B4229" i="1"/>
  <c r="G4228" i="1"/>
  <c r="F4228" i="1"/>
  <c r="E4228" i="1"/>
  <c r="D4228" i="1"/>
  <c r="C4228" i="1"/>
  <c r="B4228" i="1"/>
  <c r="G4227" i="1"/>
  <c r="F4227" i="1"/>
  <c r="E4227" i="1"/>
  <c r="D4227" i="1"/>
  <c r="C4227" i="1"/>
  <c r="B4227" i="1"/>
  <c r="G4226" i="1"/>
  <c r="F4226" i="1"/>
  <c r="E4226" i="1"/>
  <c r="D4226" i="1"/>
  <c r="C4226" i="1"/>
  <c r="B4226" i="1"/>
  <c r="G4225" i="1"/>
  <c r="F4225" i="1"/>
  <c r="E4225" i="1"/>
  <c r="D4225" i="1"/>
  <c r="C4225" i="1"/>
  <c r="B4225" i="1"/>
  <c r="G4224" i="1"/>
  <c r="F4224" i="1"/>
  <c r="E4224" i="1"/>
  <c r="D4224" i="1"/>
  <c r="C4224" i="1"/>
  <c r="B4224" i="1"/>
  <c r="G4223" i="1"/>
  <c r="F4223" i="1"/>
  <c r="E4223" i="1"/>
  <c r="D4223" i="1"/>
  <c r="C4223" i="1"/>
  <c r="B4223" i="1"/>
  <c r="G4222" i="1"/>
  <c r="F4222" i="1"/>
  <c r="E4222" i="1"/>
  <c r="D4222" i="1"/>
  <c r="C4222" i="1"/>
  <c r="B4222" i="1"/>
  <c r="G4221" i="1"/>
  <c r="F4221" i="1"/>
  <c r="E4221" i="1"/>
  <c r="D4221" i="1"/>
  <c r="C4221" i="1"/>
  <c r="B4221" i="1"/>
  <c r="G4220" i="1"/>
  <c r="F4220" i="1"/>
  <c r="E4220" i="1"/>
  <c r="D4220" i="1"/>
  <c r="C4220" i="1"/>
  <c r="B4220" i="1"/>
  <c r="G4219" i="1"/>
  <c r="F4219" i="1"/>
  <c r="E4219" i="1"/>
  <c r="D4219" i="1"/>
  <c r="C4219" i="1"/>
  <c r="B4219" i="1"/>
  <c r="G4218" i="1"/>
  <c r="F4218" i="1"/>
  <c r="E4218" i="1"/>
  <c r="D4218" i="1"/>
  <c r="C4218" i="1"/>
  <c r="B4218" i="1"/>
  <c r="G4217" i="1"/>
  <c r="F4217" i="1"/>
  <c r="E4217" i="1"/>
  <c r="D4217" i="1"/>
  <c r="C4217" i="1"/>
  <c r="B4217" i="1"/>
  <c r="G4216" i="1"/>
  <c r="F4216" i="1"/>
  <c r="E4216" i="1"/>
  <c r="D4216" i="1"/>
  <c r="C4216" i="1"/>
  <c r="B4216" i="1"/>
  <c r="G4215" i="1"/>
  <c r="F4215" i="1"/>
  <c r="E4215" i="1"/>
  <c r="D4215" i="1"/>
  <c r="C4215" i="1"/>
  <c r="B4215" i="1"/>
  <c r="G4214" i="1"/>
  <c r="F4214" i="1"/>
  <c r="E4214" i="1"/>
  <c r="D4214" i="1"/>
  <c r="C4214" i="1"/>
  <c r="B4214" i="1"/>
  <c r="G4213" i="1"/>
  <c r="F4213" i="1"/>
  <c r="E4213" i="1"/>
  <c r="D4213" i="1"/>
  <c r="C4213" i="1"/>
  <c r="B4213" i="1"/>
  <c r="G4212" i="1"/>
  <c r="F4212" i="1"/>
  <c r="E4212" i="1"/>
  <c r="D4212" i="1"/>
  <c r="C4212" i="1"/>
  <c r="B4212" i="1"/>
  <c r="G4211" i="1"/>
  <c r="F4211" i="1"/>
  <c r="E4211" i="1"/>
  <c r="D4211" i="1"/>
  <c r="C4211" i="1"/>
  <c r="B4211" i="1"/>
  <c r="G4210" i="1"/>
  <c r="F4210" i="1"/>
  <c r="E4210" i="1"/>
  <c r="D4210" i="1"/>
  <c r="C4210" i="1"/>
  <c r="B4210" i="1"/>
  <c r="G4209" i="1"/>
  <c r="F4209" i="1"/>
  <c r="E4209" i="1"/>
  <c r="D4209" i="1"/>
  <c r="C4209" i="1"/>
  <c r="B4209" i="1"/>
  <c r="G4208" i="1"/>
  <c r="F4208" i="1"/>
  <c r="E4208" i="1"/>
  <c r="D4208" i="1"/>
  <c r="C4208" i="1"/>
  <c r="B4208" i="1"/>
  <c r="G4207" i="1"/>
  <c r="F4207" i="1"/>
  <c r="E4207" i="1"/>
  <c r="D4207" i="1"/>
  <c r="C4207" i="1"/>
  <c r="B4207" i="1"/>
  <c r="G4206" i="1"/>
  <c r="F4206" i="1"/>
  <c r="E4206" i="1"/>
  <c r="D4206" i="1"/>
  <c r="C4206" i="1"/>
  <c r="B4206" i="1"/>
  <c r="G4205" i="1"/>
  <c r="F4205" i="1"/>
  <c r="E4205" i="1"/>
  <c r="D4205" i="1"/>
  <c r="C4205" i="1"/>
  <c r="B4205" i="1"/>
  <c r="G4204" i="1"/>
  <c r="F4204" i="1"/>
  <c r="E4204" i="1"/>
  <c r="D4204" i="1"/>
  <c r="C4204" i="1"/>
  <c r="B4204" i="1"/>
  <c r="G4203" i="1"/>
  <c r="F4203" i="1"/>
  <c r="E4203" i="1"/>
  <c r="D4203" i="1"/>
  <c r="C4203" i="1"/>
  <c r="B4203" i="1"/>
  <c r="G4202" i="1"/>
  <c r="F4202" i="1"/>
  <c r="E4202" i="1"/>
  <c r="D4202" i="1"/>
  <c r="C4202" i="1"/>
  <c r="B4202" i="1"/>
  <c r="G4201" i="1"/>
  <c r="F4201" i="1"/>
  <c r="E4201" i="1"/>
  <c r="D4201" i="1"/>
  <c r="C4201" i="1"/>
  <c r="B4201" i="1"/>
  <c r="G4200" i="1"/>
  <c r="F4200" i="1"/>
  <c r="E4200" i="1"/>
  <c r="D4200" i="1"/>
  <c r="C4200" i="1"/>
  <c r="B4200" i="1"/>
  <c r="G4199" i="1"/>
  <c r="F4199" i="1"/>
  <c r="E4199" i="1"/>
  <c r="D4199" i="1"/>
  <c r="C4199" i="1"/>
  <c r="B4199" i="1"/>
  <c r="G4198" i="1"/>
  <c r="F4198" i="1"/>
  <c r="E4198" i="1"/>
  <c r="D4198" i="1"/>
  <c r="C4198" i="1"/>
  <c r="B4198" i="1"/>
  <c r="G4197" i="1"/>
  <c r="F4197" i="1"/>
  <c r="E4197" i="1"/>
  <c r="D4197" i="1"/>
  <c r="C4197" i="1"/>
  <c r="B4197" i="1"/>
  <c r="G4196" i="1"/>
  <c r="F4196" i="1"/>
  <c r="E4196" i="1"/>
  <c r="D4196" i="1"/>
  <c r="C4196" i="1"/>
  <c r="B4196" i="1"/>
  <c r="G4195" i="1"/>
  <c r="F4195" i="1"/>
  <c r="E4195" i="1"/>
  <c r="D4195" i="1"/>
  <c r="C4195" i="1"/>
  <c r="B4195" i="1"/>
  <c r="G4194" i="1"/>
  <c r="F4194" i="1"/>
  <c r="E4194" i="1"/>
  <c r="D4194" i="1"/>
  <c r="C4194" i="1"/>
  <c r="B4194" i="1"/>
  <c r="G4193" i="1"/>
  <c r="F4193" i="1"/>
  <c r="E4193" i="1"/>
  <c r="D4193" i="1"/>
  <c r="C4193" i="1"/>
  <c r="B4193" i="1"/>
  <c r="G4192" i="1"/>
  <c r="F4192" i="1"/>
  <c r="E4192" i="1"/>
  <c r="D4192" i="1"/>
  <c r="C4192" i="1"/>
  <c r="B4192" i="1"/>
  <c r="G4191" i="1"/>
  <c r="F4191" i="1"/>
  <c r="E4191" i="1"/>
  <c r="D4191" i="1"/>
  <c r="C4191" i="1"/>
  <c r="B4191" i="1"/>
  <c r="G4190" i="1"/>
  <c r="F4190" i="1"/>
  <c r="E4190" i="1"/>
  <c r="D4190" i="1"/>
  <c r="C4190" i="1"/>
  <c r="B4190" i="1"/>
  <c r="G4189" i="1"/>
  <c r="F4189" i="1"/>
  <c r="E4189" i="1"/>
  <c r="D4189" i="1"/>
  <c r="C4189" i="1"/>
  <c r="B4189" i="1"/>
  <c r="G4188" i="1"/>
  <c r="F4188" i="1"/>
  <c r="E4188" i="1"/>
  <c r="D4188" i="1"/>
  <c r="C4188" i="1"/>
  <c r="B4188" i="1"/>
  <c r="G4187" i="1"/>
  <c r="F4187" i="1"/>
  <c r="E4187" i="1"/>
  <c r="D4187" i="1"/>
  <c r="C4187" i="1"/>
  <c r="B4187" i="1"/>
  <c r="G4186" i="1"/>
  <c r="F4186" i="1"/>
  <c r="E4186" i="1"/>
  <c r="D4186" i="1"/>
  <c r="C4186" i="1"/>
  <c r="B4186" i="1"/>
  <c r="G4185" i="1"/>
  <c r="F4185" i="1"/>
  <c r="E4185" i="1"/>
  <c r="D4185" i="1"/>
  <c r="C4185" i="1"/>
  <c r="B4185" i="1"/>
  <c r="G4184" i="1"/>
  <c r="F4184" i="1"/>
  <c r="E4184" i="1"/>
  <c r="D4184" i="1"/>
  <c r="C4184" i="1"/>
  <c r="B4184" i="1"/>
  <c r="G4183" i="1"/>
  <c r="F4183" i="1"/>
  <c r="E4183" i="1"/>
  <c r="D4183" i="1"/>
  <c r="C4183" i="1"/>
  <c r="B4183" i="1"/>
  <c r="G4182" i="1"/>
  <c r="F4182" i="1"/>
  <c r="E4182" i="1"/>
  <c r="D4182" i="1"/>
  <c r="C4182" i="1"/>
  <c r="B4182" i="1"/>
  <c r="G4181" i="1"/>
  <c r="F4181" i="1"/>
  <c r="E4181" i="1"/>
  <c r="D4181" i="1"/>
  <c r="C4181" i="1"/>
  <c r="B4181" i="1"/>
  <c r="G4180" i="1"/>
  <c r="F4180" i="1"/>
  <c r="E4180" i="1"/>
  <c r="D4180" i="1"/>
  <c r="C4180" i="1"/>
  <c r="B4180" i="1"/>
  <c r="G4179" i="1"/>
  <c r="F4179" i="1"/>
  <c r="E4179" i="1"/>
  <c r="D4179" i="1"/>
  <c r="C4179" i="1"/>
  <c r="B4179" i="1"/>
  <c r="G4178" i="1"/>
  <c r="F4178" i="1"/>
  <c r="E4178" i="1"/>
  <c r="D4178" i="1"/>
  <c r="C4178" i="1"/>
  <c r="B4178" i="1"/>
  <c r="G4177" i="1"/>
  <c r="F4177" i="1"/>
  <c r="E4177" i="1"/>
  <c r="D4177" i="1"/>
  <c r="C4177" i="1"/>
  <c r="B4177" i="1"/>
  <c r="G4176" i="1"/>
  <c r="F4176" i="1"/>
  <c r="E4176" i="1"/>
  <c r="D4176" i="1"/>
  <c r="C4176" i="1"/>
  <c r="B4176" i="1"/>
  <c r="G4175" i="1"/>
  <c r="F4175" i="1"/>
  <c r="E4175" i="1"/>
  <c r="D4175" i="1"/>
  <c r="C4175" i="1"/>
  <c r="B4175" i="1"/>
  <c r="G4174" i="1"/>
  <c r="F4174" i="1"/>
  <c r="E4174" i="1"/>
  <c r="D4174" i="1"/>
  <c r="C4174" i="1"/>
  <c r="B4174" i="1"/>
  <c r="G4173" i="1"/>
  <c r="F4173" i="1"/>
  <c r="E4173" i="1"/>
  <c r="D4173" i="1"/>
  <c r="C4173" i="1"/>
  <c r="B4173" i="1"/>
  <c r="G4172" i="1"/>
  <c r="F4172" i="1"/>
  <c r="E4172" i="1"/>
  <c r="D4172" i="1"/>
  <c r="C4172" i="1"/>
  <c r="B4172" i="1"/>
  <c r="G4171" i="1"/>
  <c r="F4171" i="1"/>
  <c r="E4171" i="1"/>
  <c r="D4171" i="1"/>
  <c r="C4171" i="1"/>
  <c r="B4171" i="1"/>
  <c r="G4170" i="1"/>
  <c r="F4170" i="1"/>
  <c r="E4170" i="1"/>
  <c r="D4170" i="1"/>
  <c r="C4170" i="1"/>
  <c r="B4170" i="1"/>
  <c r="G4169" i="1"/>
  <c r="F4169" i="1"/>
  <c r="E4169" i="1"/>
  <c r="D4169" i="1"/>
  <c r="C4169" i="1"/>
  <c r="B4169" i="1"/>
  <c r="G4168" i="1"/>
  <c r="F4168" i="1"/>
  <c r="E4168" i="1"/>
  <c r="D4168" i="1"/>
  <c r="C4168" i="1"/>
  <c r="B4168" i="1"/>
  <c r="G4167" i="1"/>
  <c r="F4167" i="1"/>
  <c r="E4167" i="1"/>
  <c r="D4167" i="1"/>
  <c r="C4167" i="1"/>
  <c r="B4167" i="1"/>
  <c r="G4166" i="1"/>
  <c r="F4166" i="1"/>
  <c r="E4166" i="1"/>
  <c r="D4166" i="1"/>
  <c r="C4166" i="1"/>
  <c r="B4166" i="1"/>
  <c r="G4165" i="1"/>
  <c r="F4165" i="1"/>
  <c r="E4165" i="1"/>
  <c r="D4165" i="1"/>
  <c r="C4165" i="1"/>
  <c r="B4165" i="1"/>
  <c r="G4164" i="1"/>
  <c r="F4164" i="1"/>
  <c r="E4164" i="1"/>
  <c r="D4164" i="1"/>
  <c r="C4164" i="1"/>
  <c r="B4164" i="1"/>
  <c r="G4163" i="1"/>
  <c r="F4163" i="1"/>
  <c r="E4163" i="1"/>
  <c r="D4163" i="1"/>
  <c r="C4163" i="1"/>
  <c r="B4163" i="1"/>
  <c r="G4162" i="1"/>
  <c r="F4162" i="1"/>
  <c r="E4162" i="1"/>
  <c r="D4162" i="1"/>
  <c r="C4162" i="1"/>
  <c r="B4162" i="1"/>
  <c r="G4161" i="1"/>
  <c r="F4161" i="1"/>
  <c r="E4161" i="1"/>
  <c r="D4161" i="1"/>
  <c r="C4161" i="1"/>
  <c r="B4161" i="1"/>
  <c r="G4160" i="1"/>
  <c r="F4160" i="1"/>
  <c r="E4160" i="1"/>
  <c r="D4160" i="1"/>
  <c r="C4160" i="1"/>
  <c r="B4160" i="1"/>
  <c r="G4159" i="1"/>
  <c r="F4159" i="1"/>
  <c r="E4159" i="1"/>
  <c r="D4159" i="1"/>
  <c r="C4159" i="1"/>
  <c r="B4159" i="1"/>
  <c r="G4158" i="1"/>
  <c r="F4158" i="1"/>
  <c r="E4158" i="1"/>
  <c r="D4158" i="1"/>
  <c r="C4158" i="1"/>
  <c r="B4158" i="1"/>
  <c r="G4157" i="1"/>
  <c r="F4157" i="1"/>
  <c r="E4157" i="1"/>
  <c r="D4157" i="1"/>
  <c r="C4157" i="1"/>
  <c r="B4157" i="1"/>
  <c r="G4156" i="1"/>
  <c r="F4156" i="1"/>
  <c r="E4156" i="1"/>
  <c r="D4156" i="1"/>
  <c r="C4156" i="1"/>
  <c r="B4156" i="1"/>
  <c r="G4155" i="1"/>
  <c r="F4155" i="1"/>
  <c r="E4155" i="1"/>
  <c r="D4155" i="1"/>
  <c r="C4155" i="1"/>
  <c r="B4155" i="1"/>
  <c r="G4154" i="1"/>
  <c r="F4154" i="1"/>
  <c r="E4154" i="1"/>
  <c r="D4154" i="1"/>
  <c r="C4154" i="1"/>
  <c r="B4154" i="1"/>
  <c r="G4153" i="1"/>
  <c r="F4153" i="1"/>
  <c r="E4153" i="1"/>
  <c r="D4153" i="1"/>
  <c r="C4153" i="1"/>
  <c r="B4153" i="1"/>
  <c r="G4152" i="1"/>
  <c r="F4152" i="1"/>
  <c r="E4152" i="1"/>
  <c r="D4152" i="1"/>
  <c r="C4152" i="1"/>
  <c r="B4152" i="1"/>
  <c r="G4151" i="1"/>
  <c r="F4151" i="1"/>
  <c r="E4151" i="1"/>
  <c r="D4151" i="1"/>
  <c r="C4151" i="1"/>
  <c r="B4151" i="1"/>
  <c r="G4150" i="1"/>
  <c r="F4150" i="1"/>
  <c r="E4150" i="1"/>
  <c r="D4150" i="1"/>
  <c r="C4150" i="1"/>
  <c r="B4150" i="1"/>
  <c r="G4149" i="1"/>
  <c r="F4149" i="1"/>
  <c r="E4149" i="1"/>
  <c r="D4149" i="1"/>
  <c r="C4149" i="1"/>
  <c r="B4149" i="1"/>
  <c r="G4148" i="1"/>
  <c r="F4148" i="1"/>
  <c r="E4148" i="1"/>
  <c r="D4148" i="1"/>
  <c r="C4148" i="1"/>
  <c r="B4148" i="1"/>
  <c r="G4147" i="1"/>
  <c r="F4147" i="1"/>
  <c r="E4147" i="1"/>
  <c r="D4147" i="1"/>
  <c r="C4147" i="1"/>
  <c r="B4147" i="1"/>
  <c r="G4146" i="1"/>
  <c r="F4146" i="1"/>
  <c r="E4146" i="1"/>
  <c r="D4146" i="1"/>
  <c r="C4146" i="1"/>
  <c r="B4146" i="1"/>
  <c r="G4145" i="1"/>
  <c r="F4145" i="1"/>
  <c r="E4145" i="1"/>
  <c r="D4145" i="1"/>
  <c r="C4145" i="1"/>
  <c r="B4145" i="1"/>
  <c r="G4144" i="1"/>
  <c r="F4144" i="1"/>
  <c r="E4144" i="1"/>
  <c r="D4144" i="1"/>
  <c r="C4144" i="1"/>
  <c r="B4144" i="1"/>
  <c r="G4143" i="1"/>
  <c r="F4143" i="1"/>
  <c r="E4143" i="1"/>
  <c r="D4143" i="1"/>
  <c r="C4143" i="1"/>
  <c r="B4143" i="1"/>
  <c r="G4142" i="1"/>
  <c r="F4142" i="1"/>
  <c r="E4142" i="1"/>
  <c r="D4142" i="1"/>
  <c r="C4142" i="1"/>
  <c r="B4142" i="1"/>
  <c r="G4141" i="1"/>
  <c r="F4141" i="1"/>
  <c r="E4141" i="1"/>
  <c r="D4141" i="1"/>
  <c r="C4141" i="1"/>
  <c r="B4141" i="1"/>
  <c r="G4140" i="1"/>
  <c r="F4140" i="1"/>
  <c r="E4140" i="1"/>
  <c r="D4140" i="1"/>
  <c r="C4140" i="1"/>
  <c r="B4140" i="1"/>
  <c r="G4139" i="1"/>
  <c r="F4139" i="1"/>
  <c r="E4139" i="1"/>
  <c r="D4139" i="1"/>
  <c r="C4139" i="1"/>
  <c r="B4139" i="1"/>
  <c r="G4138" i="1"/>
  <c r="F4138" i="1"/>
  <c r="E4138" i="1"/>
  <c r="D4138" i="1"/>
  <c r="C4138" i="1"/>
  <c r="B4138" i="1"/>
  <c r="G4137" i="1"/>
  <c r="F4137" i="1"/>
  <c r="E4137" i="1"/>
  <c r="D4137" i="1"/>
  <c r="C4137" i="1"/>
  <c r="B4137" i="1"/>
  <c r="G4136" i="1"/>
  <c r="F4136" i="1"/>
  <c r="E4136" i="1"/>
  <c r="D4136" i="1"/>
  <c r="C4136" i="1"/>
  <c r="B4136" i="1"/>
  <c r="G4135" i="1"/>
  <c r="F4135" i="1"/>
  <c r="E4135" i="1"/>
  <c r="D4135" i="1"/>
  <c r="C4135" i="1"/>
  <c r="B4135" i="1"/>
  <c r="G4134" i="1"/>
  <c r="F4134" i="1"/>
  <c r="E4134" i="1"/>
  <c r="D4134" i="1"/>
  <c r="C4134" i="1"/>
  <c r="B4134" i="1"/>
  <c r="G4133" i="1"/>
  <c r="F4133" i="1"/>
  <c r="E4133" i="1"/>
  <c r="D4133" i="1"/>
  <c r="C4133" i="1"/>
  <c r="B4133" i="1"/>
  <c r="G4132" i="1"/>
  <c r="F4132" i="1"/>
  <c r="E4132" i="1"/>
  <c r="D4132" i="1"/>
  <c r="C4132" i="1"/>
  <c r="B4132" i="1"/>
  <c r="G4131" i="1"/>
  <c r="F4131" i="1"/>
  <c r="E4131" i="1"/>
  <c r="D4131" i="1"/>
  <c r="C4131" i="1"/>
  <c r="B4131" i="1"/>
  <c r="G4130" i="1"/>
  <c r="F4130" i="1"/>
  <c r="E4130" i="1"/>
  <c r="D4130" i="1"/>
  <c r="C4130" i="1"/>
  <c r="B4130" i="1"/>
  <c r="G4129" i="1"/>
  <c r="F4129" i="1"/>
  <c r="E4129" i="1"/>
  <c r="D4129" i="1"/>
  <c r="C4129" i="1"/>
  <c r="B4129" i="1"/>
  <c r="G4128" i="1"/>
  <c r="F4128" i="1"/>
  <c r="E4128" i="1"/>
  <c r="D4128" i="1"/>
  <c r="C4128" i="1"/>
  <c r="B4128" i="1"/>
  <c r="G4127" i="1"/>
  <c r="F4127" i="1"/>
  <c r="E4127" i="1"/>
  <c r="D4127" i="1"/>
  <c r="C4127" i="1"/>
  <c r="B4127" i="1"/>
  <c r="G4126" i="1"/>
  <c r="F4126" i="1"/>
  <c r="E4126" i="1"/>
  <c r="D4126" i="1"/>
  <c r="C4126" i="1"/>
  <c r="B4126" i="1"/>
  <c r="G4125" i="1"/>
  <c r="F4125" i="1"/>
  <c r="E4125" i="1"/>
  <c r="D4125" i="1"/>
  <c r="C4125" i="1"/>
  <c r="B4125" i="1"/>
  <c r="G4124" i="1"/>
  <c r="F4124" i="1"/>
  <c r="E4124" i="1"/>
  <c r="D4124" i="1"/>
  <c r="C4124" i="1"/>
  <c r="B4124" i="1"/>
  <c r="G4123" i="1"/>
  <c r="F4123" i="1"/>
  <c r="E4123" i="1"/>
  <c r="D4123" i="1"/>
  <c r="C4123" i="1"/>
  <c r="B4123" i="1"/>
  <c r="G4122" i="1"/>
  <c r="F4122" i="1"/>
  <c r="E4122" i="1"/>
  <c r="D4122" i="1"/>
  <c r="C4122" i="1"/>
  <c r="B4122" i="1"/>
  <c r="G4121" i="1"/>
  <c r="F4121" i="1"/>
  <c r="E4121" i="1"/>
  <c r="D4121" i="1"/>
  <c r="C4121" i="1"/>
  <c r="B4121" i="1"/>
  <c r="G4120" i="1"/>
  <c r="F4120" i="1"/>
  <c r="E4120" i="1"/>
  <c r="D4120" i="1"/>
  <c r="C4120" i="1"/>
  <c r="B4120" i="1"/>
  <c r="G4119" i="1"/>
  <c r="F4119" i="1"/>
  <c r="E4119" i="1"/>
  <c r="D4119" i="1"/>
  <c r="C4119" i="1"/>
  <c r="B4119" i="1"/>
  <c r="G4118" i="1"/>
  <c r="F4118" i="1"/>
  <c r="E4118" i="1"/>
  <c r="D4118" i="1"/>
  <c r="C4118" i="1"/>
  <c r="B4118" i="1"/>
  <c r="G4117" i="1"/>
  <c r="F4117" i="1"/>
  <c r="E4117" i="1"/>
  <c r="D4117" i="1"/>
  <c r="C4117" i="1"/>
  <c r="B4117" i="1"/>
  <c r="G4116" i="1"/>
  <c r="F4116" i="1"/>
  <c r="E4116" i="1"/>
  <c r="D4116" i="1"/>
  <c r="C4116" i="1"/>
  <c r="B4116" i="1"/>
  <c r="G4115" i="1"/>
  <c r="F4115" i="1"/>
  <c r="E4115" i="1"/>
  <c r="D4115" i="1"/>
  <c r="C4115" i="1"/>
  <c r="B4115" i="1"/>
  <c r="G4114" i="1"/>
  <c r="F4114" i="1"/>
  <c r="E4114" i="1"/>
  <c r="D4114" i="1"/>
  <c r="C4114" i="1"/>
  <c r="B4114" i="1"/>
  <c r="G4113" i="1"/>
  <c r="F4113" i="1"/>
  <c r="E4113" i="1"/>
  <c r="D4113" i="1"/>
  <c r="C4113" i="1"/>
  <c r="B4113" i="1"/>
  <c r="G4112" i="1"/>
  <c r="F4112" i="1"/>
  <c r="E4112" i="1"/>
  <c r="D4112" i="1"/>
  <c r="C4112" i="1"/>
  <c r="B4112" i="1"/>
  <c r="G4111" i="1"/>
  <c r="F4111" i="1"/>
  <c r="E4111" i="1"/>
  <c r="D4111" i="1"/>
  <c r="C4111" i="1"/>
  <c r="B4111" i="1"/>
  <c r="G4110" i="1"/>
  <c r="F4110" i="1"/>
  <c r="E4110" i="1"/>
  <c r="D4110" i="1"/>
  <c r="C4110" i="1"/>
  <c r="B4110" i="1"/>
  <c r="G4109" i="1"/>
  <c r="F4109" i="1"/>
  <c r="E4109" i="1"/>
  <c r="D4109" i="1"/>
  <c r="C4109" i="1"/>
  <c r="B4109" i="1"/>
  <c r="G4108" i="1"/>
  <c r="F4108" i="1"/>
  <c r="E4108" i="1"/>
  <c r="D4108" i="1"/>
  <c r="C4108" i="1"/>
  <c r="B4108" i="1"/>
  <c r="G4107" i="1"/>
  <c r="F4107" i="1"/>
  <c r="E4107" i="1"/>
  <c r="D4107" i="1"/>
  <c r="C4107" i="1"/>
  <c r="B4107" i="1"/>
  <c r="G4106" i="1"/>
  <c r="F4106" i="1"/>
  <c r="E4106" i="1"/>
  <c r="D4106" i="1"/>
  <c r="C4106" i="1"/>
  <c r="B4106" i="1"/>
  <c r="G4105" i="1"/>
  <c r="F4105" i="1"/>
  <c r="E4105" i="1"/>
  <c r="D4105" i="1"/>
  <c r="C4105" i="1"/>
  <c r="B4105" i="1"/>
  <c r="G4104" i="1"/>
  <c r="F4104" i="1"/>
  <c r="E4104" i="1"/>
  <c r="D4104" i="1"/>
  <c r="C4104" i="1"/>
  <c r="B4104" i="1"/>
  <c r="G4103" i="1"/>
  <c r="F4103" i="1"/>
  <c r="E4103" i="1"/>
  <c r="D4103" i="1"/>
  <c r="C4103" i="1"/>
  <c r="B4103" i="1"/>
  <c r="G4102" i="1"/>
  <c r="F4102" i="1"/>
  <c r="E4102" i="1"/>
  <c r="D4102" i="1"/>
  <c r="C4102" i="1"/>
  <c r="B4102" i="1"/>
  <c r="G4101" i="1"/>
  <c r="F4101" i="1"/>
  <c r="E4101" i="1"/>
  <c r="D4101" i="1"/>
  <c r="C4101" i="1"/>
  <c r="B4101" i="1"/>
  <c r="G4100" i="1"/>
  <c r="F4100" i="1"/>
  <c r="E4100" i="1"/>
  <c r="D4100" i="1"/>
  <c r="C4100" i="1"/>
  <c r="B4100" i="1"/>
  <c r="G4099" i="1"/>
  <c r="F4099" i="1"/>
  <c r="E4099" i="1"/>
  <c r="D4099" i="1"/>
  <c r="C4099" i="1"/>
  <c r="B4099" i="1"/>
  <c r="G4098" i="1"/>
  <c r="F4098" i="1"/>
  <c r="E4098" i="1"/>
  <c r="D4098" i="1"/>
  <c r="C4098" i="1"/>
  <c r="B4098" i="1"/>
  <c r="G4097" i="1"/>
  <c r="F4097" i="1"/>
  <c r="E4097" i="1"/>
  <c r="D4097" i="1"/>
  <c r="C4097" i="1"/>
  <c r="B4097" i="1"/>
  <c r="G4096" i="1"/>
  <c r="F4096" i="1"/>
  <c r="E4096" i="1"/>
  <c r="D4096" i="1"/>
  <c r="C4096" i="1"/>
  <c r="B4096" i="1"/>
  <c r="G4095" i="1"/>
  <c r="F4095" i="1"/>
  <c r="E4095" i="1"/>
  <c r="D4095" i="1"/>
  <c r="C4095" i="1"/>
  <c r="B4095" i="1"/>
  <c r="G4094" i="1"/>
  <c r="F4094" i="1"/>
  <c r="E4094" i="1"/>
  <c r="D4094" i="1"/>
  <c r="C4094" i="1"/>
  <c r="B4094" i="1"/>
  <c r="G4093" i="1"/>
  <c r="F4093" i="1"/>
  <c r="E4093" i="1"/>
  <c r="D4093" i="1"/>
  <c r="C4093" i="1"/>
  <c r="B4093" i="1"/>
  <c r="G4092" i="1"/>
  <c r="F4092" i="1"/>
  <c r="E4092" i="1"/>
  <c r="D4092" i="1"/>
  <c r="C4092" i="1"/>
  <c r="B4092" i="1"/>
  <c r="G4091" i="1"/>
  <c r="F4091" i="1"/>
  <c r="E4091" i="1"/>
  <c r="D4091" i="1"/>
  <c r="C4091" i="1"/>
  <c r="B4091" i="1"/>
  <c r="G4090" i="1"/>
  <c r="F4090" i="1"/>
  <c r="E4090" i="1"/>
  <c r="D4090" i="1"/>
  <c r="C4090" i="1"/>
  <c r="B4090" i="1"/>
  <c r="G4089" i="1"/>
  <c r="F4089" i="1"/>
  <c r="E4089" i="1"/>
  <c r="D4089" i="1"/>
  <c r="C4089" i="1"/>
  <c r="B4089" i="1"/>
  <c r="G4088" i="1"/>
  <c r="F4088" i="1"/>
  <c r="E4088" i="1"/>
  <c r="D4088" i="1"/>
  <c r="C4088" i="1"/>
  <c r="B4088" i="1"/>
  <c r="G4087" i="1"/>
  <c r="F4087" i="1"/>
  <c r="E4087" i="1"/>
  <c r="D4087" i="1"/>
  <c r="C4087" i="1"/>
  <c r="B4087" i="1"/>
  <c r="G4086" i="1"/>
  <c r="F4086" i="1"/>
  <c r="E4086" i="1"/>
  <c r="D4086" i="1"/>
  <c r="C4086" i="1"/>
  <c r="B4086" i="1"/>
  <c r="G4085" i="1"/>
  <c r="F4085" i="1"/>
  <c r="E4085" i="1"/>
  <c r="D4085" i="1"/>
  <c r="C4085" i="1"/>
  <c r="B4085" i="1"/>
  <c r="G4084" i="1"/>
  <c r="F4084" i="1"/>
  <c r="E4084" i="1"/>
  <c r="D4084" i="1"/>
  <c r="C4084" i="1"/>
  <c r="B4084" i="1"/>
  <c r="G4083" i="1"/>
  <c r="F4083" i="1"/>
  <c r="E4083" i="1"/>
  <c r="D4083" i="1"/>
  <c r="C4083" i="1"/>
  <c r="B4083" i="1"/>
  <c r="G4082" i="1"/>
  <c r="F4082" i="1"/>
  <c r="E4082" i="1"/>
  <c r="D4082" i="1"/>
  <c r="C4082" i="1"/>
  <c r="B4082" i="1"/>
  <c r="G4081" i="1"/>
  <c r="F4081" i="1"/>
  <c r="E4081" i="1"/>
  <c r="D4081" i="1"/>
  <c r="C4081" i="1"/>
  <c r="B4081" i="1"/>
  <c r="G4080" i="1"/>
  <c r="F4080" i="1"/>
  <c r="E4080" i="1"/>
  <c r="D4080" i="1"/>
  <c r="C4080" i="1"/>
  <c r="B4080" i="1"/>
  <c r="G4079" i="1"/>
  <c r="F4079" i="1"/>
  <c r="E4079" i="1"/>
  <c r="D4079" i="1"/>
  <c r="C4079" i="1"/>
  <c r="B4079" i="1"/>
  <c r="G4078" i="1"/>
  <c r="F4078" i="1"/>
  <c r="E4078" i="1"/>
  <c r="D4078" i="1"/>
  <c r="C4078" i="1"/>
  <c r="B4078" i="1"/>
  <c r="G4077" i="1"/>
  <c r="F4077" i="1"/>
  <c r="E4077" i="1"/>
  <c r="D4077" i="1"/>
  <c r="C4077" i="1"/>
  <c r="B4077" i="1"/>
  <c r="G4076" i="1"/>
  <c r="F4076" i="1"/>
  <c r="E4076" i="1"/>
  <c r="D4076" i="1"/>
  <c r="C4076" i="1"/>
  <c r="B4076" i="1"/>
  <c r="G4075" i="1"/>
  <c r="F4075" i="1"/>
  <c r="E4075" i="1"/>
  <c r="D4075" i="1"/>
  <c r="C4075" i="1"/>
  <c r="B4075" i="1"/>
  <c r="G4074" i="1"/>
  <c r="F4074" i="1"/>
  <c r="E4074" i="1"/>
  <c r="D4074" i="1"/>
  <c r="C4074" i="1"/>
  <c r="B4074" i="1"/>
  <c r="G4073" i="1"/>
  <c r="F4073" i="1"/>
  <c r="E4073" i="1"/>
  <c r="D4073" i="1"/>
  <c r="C4073" i="1"/>
  <c r="B4073" i="1"/>
  <c r="G4072" i="1"/>
  <c r="F4072" i="1"/>
  <c r="E4072" i="1"/>
  <c r="D4072" i="1"/>
  <c r="C4072" i="1"/>
  <c r="B4072" i="1"/>
  <c r="G4071" i="1"/>
  <c r="F4071" i="1"/>
  <c r="E4071" i="1"/>
  <c r="D4071" i="1"/>
  <c r="C4071" i="1"/>
  <c r="B4071" i="1"/>
  <c r="G4070" i="1"/>
  <c r="F4070" i="1"/>
  <c r="E4070" i="1"/>
  <c r="D4070" i="1"/>
  <c r="C4070" i="1"/>
  <c r="B4070" i="1"/>
  <c r="G4069" i="1"/>
  <c r="F4069" i="1"/>
  <c r="E4069" i="1"/>
  <c r="D4069" i="1"/>
  <c r="C4069" i="1"/>
  <c r="B4069" i="1"/>
  <c r="G4068" i="1"/>
  <c r="F4068" i="1"/>
  <c r="E4068" i="1"/>
  <c r="D4068" i="1"/>
  <c r="C4068" i="1"/>
  <c r="B4068" i="1"/>
  <c r="G4067" i="1"/>
  <c r="F4067" i="1"/>
  <c r="E4067" i="1"/>
  <c r="D4067" i="1"/>
  <c r="C4067" i="1"/>
  <c r="B4067" i="1"/>
  <c r="G4066" i="1"/>
  <c r="F4066" i="1"/>
  <c r="E4066" i="1"/>
  <c r="D4066" i="1"/>
  <c r="C4066" i="1"/>
  <c r="B4066" i="1"/>
  <c r="G4065" i="1"/>
  <c r="F4065" i="1"/>
  <c r="E4065" i="1"/>
  <c r="D4065" i="1"/>
  <c r="C4065" i="1"/>
  <c r="B4065" i="1"/>
  <c r="G4064" i="1"/>
  <c r="F4064" i="1"/>
  <c r="E4064" i="1"/>
  <c r="D4064" i="1"/>
  <c r="C4064" i="1"/>
  <c r="B4064" i="1"/>
  <c r="G4063" i="1"/>
  <c r="F4063" i="1"/>
  <c r="E4063" i="1"/>
  <c r="D4063" i="1"/>
  <c r="C4063" i="1"/>
  <c r="B4063" i="1"/>
  <c r="G4062" i="1"/>
  <c r="F4062" i="1"/>
  <c r="E4062" i="1"/>
  <c r="D4062" i="1"/>
  <c r="C4062" i="1"/>
  <c r="B4062" i="1"/>
  <c r="G4061" i="1"/>
  <c r="F4061" i="1"/>
  <c r="E4061" i="1"/>
  <c r="D4061" i="1"/>
  <c r="C4061" i="1"/>
  <c r="B4061" i="1"/>
  <c r="G4060" i="1"/>
  <c r="F4060" i="1"/>
  <c r="E4060" i="1"/>
  <c r="D4060" i="1"/>
  <c r="C4060" i="1"/>
  <c r="B4060" i="1"/>
  <c r="G4059" i="1"/>
  <c r="F4059" i="1"/>
  <c r="E4059" i="1"/>
  <c r="D4059" i="1"/>
  <c r="C4059" i="1"/>
  <c r="B4059" i="1"/>
  <c r="G4058" i="1"/>
  <c r="F4058" i="1"/>
  <c r="E4058" i="1"/>
  <c r="D4058" i="1"/>
  <c r="C4058" i="1"/>
  <c r="B4058" i="1"/>
  <c r="G4057" i="1"/>
  <c r="F4057" i="1"/>
  <c r="E4057" i="1"/>
  <c r="D4057" i="1"/>
  <c r="C4057" i="1"/>
  <c r="B4057" i="1"/>
  <c r="G4056" i="1"/>
  <c r="F4056" i="1"/>
  <c r="E4056" i="1"/>
  <c r="D4056" i="1"/>
  <c r="C4056" i="1"/>
  <c r="B4056" i="1"/>
  <c r="G4055" i="1"/>
  <c r="F4055" i="1"/>
  <c r="E4055" i="1"/>
  <c r="D4055" i="1"/>
  <c r="C4055" i="1"/>
  <c r="B4055" i="1"/>
  <c r="G4054" i="1"/>
  <c r="F4054" i="1"/>
  <c r="E4054" i="1"/>
  <c r="D4054" i="1"/>
  <c r="C4054" i="1"/>
  <c r="B4054" i="1"/>
  <c r="G4053" i="1"/>
  <c r="F4053" i="1"/>
  <c r="E4053" i="1"/>
  <c r="D4053" i="1"/>
  <c r="C4053" i="1"/>
  <c r="B4053" i="1"/>
  <c r="G4052" i="1"/>
  <c r="F4052" i="1"/>
  <c r="E4052" i="1"/>
  <c r="D4052" i="1"/>
  <c r="C4052" i="1"/>
  <c r="B4052" i="1"/>
  <c r="G4051" i="1"/>
  <c r="F4051" i="1"/>
  <c r="E4051" i="1"/>
  <c r="D4051" i="1"/>
  <c r="C4051" i="1"/>
  <c r="B4051" i="1"/>
  <c r="G4050" i="1"/>
  <c r="F4050" i="1"/>
  <c r="E4050" i="1"/>
  <c r="D4050" i="1"/>
  <c r="C4050" i="1"/>
  <c r="B4050" i="1"/>
  <c r="G4049" i="1"/>
  <c r="F4049" i="1"/>
  <c r="E4049" i="1"/>
  <c r="D4049" i="1"/>
  <c r="C4049" i="1"/>
  <c r="B4049" i="1"/>
  <c r="G4048" i="1"/>
  <c r="F4048" i="1"/>
  <c r="E4048" i="1"/>
  <c r="D4048" i="1"/>
  <c r="C4048" i="1"/>
  <c r="B4048" i="1"/>
  <c r="G4047" i="1"/>
  <c r="F4047" i="1"/>
  <c r="E4047" i="1"/>
  <c r="D4047" i="1"/>
  <c r="C4047" i="1"/>
  <c r="B4047" i="1"/>
  <c r="G4046" i="1"/>
  <c r="F4046" i="1"/>
  <c r="E4046" i="1"/>
  <c r="D4046" i="1"/>
  <c r="C4046" i="1"/>
  <c r="B4046" i="1"/>
  <c r="G4045" i="1"/>
  <c r="F4045" i="1"/>
  <c r="E4045" i="1"/>
  <c r="D4045" i="1"/>
  <c r="C4045" i="1"/>
  <c r="B4045" i="1"/>
  <c r="G4044" i="1"/>
  <c r="F4044" i="1"/>
  <c r="E4044" i="1"/>
  <c r="D4044" i="1"/>
  <c r="C4044" i="1"/>
  <c r="B4044" i="1"/>
  <c r="G4043" i="1"/>
  <c r="F4043" i="1"/>
  <c r="E4043" i="1"/>
  <c r="D4043" i="1"/>
  <c r="C4043" i="1"/>
  <c r="B4043" i="1"/>
  <c r="G4042" i="1"/>
  <c r="F4042" i="1"/>
  <c r="E4042" i="1"/>
  <c r="D4042" i="1"/>
  <c r="C4042" i="1"/>
  <c r="B4042" i="1"/>
  <c r="G4041" i="1"/>
  <c r="F4041" i="1"/>
  <c r="E4041" i="1"/>
  <c r="D4041" i="1"/>
  <c r="C4041" i="1"/>
  <c r="B4041" i="1"/>
  <c r="G4040" i="1"/>
  <c r="F4040" i="1"/>
  <c r="E4040" i="1"/>
  <c r="D4040" i="1"/>
  <c r="C4040" i="1"/>
  <c r="B4040" i="1"/>
  <c r="G4039" i="1"/>
  <c r="F4039" i="1"/>
  <c r="E4039" i="1"/>
  <c r="D4039" i="1"/>
  <c r="C4039" i="1"/>
  <c r="B4039" i="1"/>
  <c r="G4038" i="1"/>
  <c r="F4038" i="1"/>
  <c r="E4038" i="1"/>
  <c r="D4038" i="1"/>
  <c r="C4038" i="1"/>
  <c r="B4038" i="1"/>
  <c r="G4037" i="1"/>
  <c r="F4037" i="1"/>
  <c r="E4037" i="1"/>
  <c r="D4037" i="1"/>
  <c r="C4037" i="1"/>
  <c r="B4037" i="1"/>
  <c r="G4036" i="1"/>
  <c r="F4036" i="1"/>
  <c r="E4036" i="1"/>
  <c r="D4036" i="1"/>
  <c r="C4036" i="1"/>
  <c r="B4036" i="1"/>
  <c r="G4035" i="1"/>
  <c r="F4035" i="1"/>
  <c r="E4035" i="1"/>
  <c r="D4035" i="1"/>
  <c r="C4035" i="1"/>
  <c r="B4035" i="1"/>
  <c r="G4034" i="1"/>
  <c r="F4034" i="1"/>
  <c r="E4034" i="1"/>
  <c r="D4034" i="1"/>
  <c r="C4034" i="1"/>
  <c r="B4034" i="1"/>
  <c r="G4033" i="1"/>
  <c r="F4033" i="1"/>
  <c r="E4033" i="1"/>
  <c r="D4033" i="1"/>
  <c r="C4033" i="1"/>
  <c r="B4033" i="1"/>
  <c r="G4032" i="1"/>
  <c r="F4032" i="1"/>
  <c r="E4032" i="1"/>
  <c r="D4032" i="1"/>
  <c r="C4032" i="1"/>
  <c r="B4032" i="1"/>
  <c r="G4031" i="1"/>
  <c r="F4031" i="1"/>
  <c r="E4031" i="1"/>
  <c r="D4031" i="1"/>
  <c r="C4031" i="1"/>
  <c r="B4031" i="1"/>
  <c r="G4030" i="1"/>
  <c r="F4030" i="1"/>
  <c r="E4030" i="1"/>
  <c r="D4030" i="1"/>
  <c r="C4030" i="1"/>
  <c r="B4030" i="1"/>
  <c r="G4029" i="1"/>
  <c r="F4029" i="1"/>
  <c r="E4029" i="1"/>
  <c r="D4029" i="1"/>
  <c r="C4029" i="1"/>
  <c r="B4029" i="1"/>
  <c r="G4028" i="1"/>
  <c r="F4028" i="1"/>
  <c r="E4028" i="1"/>
  <c r="D4028" i="1"/>
  <c r="C4028" i="1"/>
  <c r="B4028" i="1"/>
  <c r="G4027" i="1"/>
  <c r="F4027" i="1"/>
  <c r="E4027" i="1"/>
  <c r="D4027" i="1"/>
  <c r="C4027" i="1"/>
  <c r="B4027" i="1"/>
  <c r="G4026" i="1"/>
  <c r="F4026" i="1"/>
  <c r="E4026" i="1"/>
  <c r="D4026" i="1"/>
  <c r="C4026" i="1"/>
  <c r="B4026" i="1"/>
  <c r="G4025" i="1"/>
  <c r="F4025" i="1"/>
  <c r="E4025" i="1"/>
  <c r="D4025" i="1"/>
  <c r="C4025" i="1"/>
  <c r="B4025" i="1"/>
  <c r="G4024" i="1"/>
  <c r="F4024" i="1"/>
  <c r="E4024" i="1"/>
  <c r="D4024" i="1"/>
  <c r="C4024" i="1"/>
  <c r="B4024" i="1"/>
  <c r="G4023" i="1"/>
  <c r="F4023" i="1"/>
  <c r="E4023" i="1"/>
  <c r="D4023" i="1"/>
  <c r="C4023" i="1"/>
  <c r="B4023" i="1"/>
  <c r="G4022" i="1"/>
  <c r="F4022" i="1"/>
  <c r="E4022" i="1"/>
  <c r="D4022" i="1"/>
  <c r="C4022" i="1"/>
  <c r="B4022" i="1"/>
  <c r="G4021" i="1"/>
  <c r="F4021" i="1"/>
  <c r="E4021" i="1"/>
  <c r="D4021" i="1"/>
  <c r="C4021" i="1"/>
  <c r="B4021" i="1"/>
  <c r="G4020" i="1"/>
  <c r="F4020" i="1"/>
  <c r="E4020" i="1"/>
  <c r="D4020" i="1"/>
  <c r="C4020" i="1"/>
  <c r="B4020" i="1"/>
  <c r="G4019" i="1"/>
  <c r="F4019" i="1"/>
  <c r="E4019" i="1"/>
  <c r="D4019" i="1"/>
  <c r="C4019" i="1"/>
  <c r="B4019" i="1"/>
  <c r="G4018" i="1"/>
  <c r="F4018" i="1"/>
  <c r="E4018" i="1"/>
  <c r="D4018" i="1"/>
  <c r="C4018" i="1"/>
  <c r="B4018" i="1"/>
  <c r="G4017" i="1"/>
  <c r="F4017" i="1"/>
  <c r="E4017" i="1"/>
  <c r="D4017" i="1"/>
  <c r="C4017" i="1"/>
  <c r="B4017" i="1"/>
  <c r="G4016" i="1"/>
  <c r="F4016" i="1"/>
  <c r="E4016" i="1"/>
  <c r="D4016" i="1"/>
  <c r="C4016" i="1"/>
  <c r="B4016" i="1"/>
  <c r="G4015" i="1"/>
  <c r="F4015" i="1"/>
  <c r="E4015" i="1"/>
  <c r="D4015" i="1"/>
  <c r="C4015" i="1"/>
  <c r="B4015" i="1"/>
  <c r="G4014" i="1"/>
  <c r="F4014" i="1"/>
  <c r="E4014" i="1"/>
  <c r="D4014" i="1"/>
  <c r="C4014" i="1"/>
  <c r="B4014" i="1"/>
  <c r="G4013" i="1"/>
  <c r="F4013" i="1"/>
  <c r="E4013" i="1"/>
  <c r="D4013" i="1"/>
  <c r="C4013" i="1"/>
  <c r="B4013" i="1"/>
  <c r="G4012" i="1"/>
  <c r="F4012" i="1"/>
  <c r="E4012" i="1"/>
  <c r="D4012" i="1"/>
  <c r="C4012" i="1"/>
  <c r="B4012" i="1"/>
  <c r="G4011" i="1"/>
  <c r="F4011" i="1"/>
  <c r="E4011" i="1"/>
  <c r="D4011" i="1"/>
  <c r="C4011" i="1"/>
  <c r="B4011" i="1"/>
  <c r="G4010" i="1"/>
  <c r="F4010" i="1"/>
  <c r="E4010" i="1"/>
  <c r="D4010" i="1"/>
  <c r="C4010" i="1"/>
  <c r="B4010" i="1"/>
  <c r="G4009" i="1"/>
  <c r="F4009" i="1"/>
  <c r="E4009" i="1"/>
  <c r="D4009" i="1"/>
  <c r="C4009" i="1"/>
  <c r="B4009" i="1"/>
  <c r="G4008" i="1"/>
  <c r="F4008" i="1"/>
  <c r="E4008" i="1"/>
  <c r="D4008" i="1"/>
  <c r="C4008" i="1"/>
  <c r="B4008" i="1"/>
  <c r="G4007" i="1"/>
  <c r="F4007" i="1"/>
  <c r="E4007" i="1"/>
  <c r="D4007" i="1"/>
  <c r="C4007" i="1"/>
  <c r="B4007" i="1"/>
  <c r="G4006" i="1"/>
  <c r="F4006" i="1"/>
  <c r="E4006" i="1"/>
  <c r="D4006" i="1"/>
  <c r="C4006" i="1"/>
  <c r="B4006" i="1"/>
  <c r="G4005" i="1"/>
  <c r="F4005" i="1"/>
  <c r="E4005" i="1"/>
  <c r="D4005" i="1"/>
  <c r="C4005" i="1"/>
  <c r="B4005" i="1"/>
  <c r="G4004" i="1"/>
  <c r="F4004" i="1"/>
  <c r="E4004" i="1"/>
  <c r="D4004" i="1"/>
  <c r="C4004" i="1"/>
  <c r="B4004" i="1"/>
  <c r="G4003" i="1"/>
  <c r="F4003" i="1"/>
  <c r="E4003" i="1"/>
  <c r="D4003" i="1"/>
  <c r="C4003" i="1"/>
  <c r="B4003" i="1"/>
  <c r="G4002" i="1"/>
  <c r="F4002" i="1"/>
  <c r="E4002" i="1"/>
  <c r="D4002" i="1"/>
  <c r="C4002" i="1"/>
  <c r="B4002" i="1"/>
  <c r="G4001" i="1"/>
  <c r="F4001" i="1"/>
  <c r="E4001" i="1"/>
  <c r="D4001" i="1"/>
  <c r="C4001" i="1"/>
  <c r="B4001" i="1"/>
  <c r="G4000" i="1"/>
  <c r="F4000" i="1"/>
  <c r="E4000" i="1"/>
  <c r="D4000" i="1"/>
  <c r="C4000" i="1"/>
  <c r="B4000" i="1"/>
  <c r="G3999" i="1"/>
  <c r="F3999" i="1"/>
  <c r="E3999" i="1"/>
  <c r="D3999" i="1"/>
  <c r="C3999" i="1"/>
  <c r="B3999" i="1"/>
  <c r="G3998" i="1"/>
  <c r="F3998" i="1"/>
  <c r="E3998" i="1"/>
  <c r="D3998" i="1"/>
  <c r="C3998" i="1"/>
  <c r="B3998" i="1"/>
  <c r="G3997" i="1"/>
  <c r="F3997" i="1"/>
  <c r="E3997" i="1"/>
  <c r="D3997" i="1"/>
  <c r="C3997" i="1"/>
  <c r="B3997" i="1"/>
  <c r="G3996" i="1"/>
  <c r="F3996" i="1"/>
  <c r="E3996" i="1"/>
  <c r="D3996" i="1"/>
  <c r="C3996" i="1"/>
  <c r="B3996" i="1"/>
  <c r="G3995" i="1"/>
  <c r="F3995" i="1"/>
  <c r="E3995" i="1"/>
  <c r="D3995" i="1"/>
  <c r="C3995" i="1"/>
  <c r="B3995" i="1"/>
  <c r="G3994" i="1"/>
  <c r="F3994" i="1"/>
  <c r="E3994" i="1"/>
  <c r="D3994" i="1"/>
  <c r="C3994" i="1"/>
  <c r="B3994" i="1"/>
  <c r="G3993" i="1"/>
  <c r="F3993" i="1"/>
  <c r="E3993" i="1"/>
  <c r="D3993" i="1"/>
  <c r="C3993" i="1"/>
  <c r="B3993" i="1"/>
  <c r="G3992" i="1"/>
  <c r="F3992" i="1"/>
  <c r="E3992" i="1"/>
  <c r="D3992" i="1"/>
  <c r="C3992" i="1"/>
  <c r="B3992" i="1"/>
  <c r="G3991" i="1"/>
  <c r="F3991" i="1"/>
  <c r="E3991" i="1"/>
  <c r="D3991" i="1"/>
  <c r="C3991" i="1"/>
  <c r="B3991" i="1"/>
  <c r="G3990" i="1"/>
  <c r="F3990" i="1"/>
  <c r="E3990" i="1"/>
  <c r="D3990" i="1"/>
  <c r="C3990" i="1"/>
  <c r="B3990" i="1"/>
  <c r="G3989" i="1"/>
  <c r="F3989" i="1"/>
  <c r="E3989" i="1"/>
  <c r="D3989" i="1"/>
  <c r="C3989" i="1"/>
  <c r="B3989" i="1"/>
  <c r="G3988" i="1"/>
  <c r="F3988" i="1"/>
  <c r="E3988" i="1"/>
  <c r="D3988" i="1"/>
  <c r="C3988" i="1"/>
  <c r="B3988" i="1"/>
  <c r="G3987" i="1"/>
  <c r="F3987" i="1"/>
  <c r="E3987" i="1"/>
  <c r="D3987" i="1"/>
  <c r="C3987" i="1"/>
  <c r="B3987" i="1"/>
  <c r="G3986" i="1"/>
  <c r="F3986" i="1"/>
  <c r="E3986" i="1"/>
  <c r="D3986" i="1"/>
  <c r="C3986" i="1"/>
  <c r="B3986" i="1"/>
  <c r="G3985" i="1"/>
  <c r="F3985" i="1"/>
  <c r="E3985" i="1"/>
  <c r="D3985" i="1"/>
  <c r="C3985" i="1"/>
  <c r="B3985" i="1"/>
  <c r="G3984" i="1"/>
  <c r="F3984" i="1"/>
  <c r="E3984" i="1"/>
  <c r="D3984" i="1"/>
  <c r="C3984" i="1"/>
  <c r="B3984" i="1"/>
  <c r="G3983" i="1"/>
  <c r="F3983" i="1"/>
  <c r="E3983" i="1"/>
  <c r="D3983" i="1"/>
  <c r="C3983" i="1"/>
  <c r="B3983" i="1"/>
  <c r="G3982" i="1"/>
  <c r="F3982" i="1"/>
  <c r="E3982" i="1"/>
  <c r="D3982" i="1"/>
  <c r="C3982" i="1"/>
  <c r="B3982" i="1"/>
  <c r="G3981" i="1"/>
  <c r="F3981" i="1"/>
  <c r="E3981" i="1"/>
  <c r="D3981" i="1"/>
  <c r="C3981" i="1"/>
  <c r="B3981" i="1"/>
  <c r="G3980" i="1"/>
  <c r="F3980" i="1"/>
  <c r="E3980" i="1"/>
  <c r="D3980" i="1"/>
  <c r="C3980" i="1"/>
  <c r="B3980" i="1"/>
  <c r="G3979" i="1"/>
  <c r="F3979" i="1"/>
  <c r="E3979" i="1"/>
  <c r="D3979" i="1"/>
  <c r="C3979" i="1"/>
  <c r="B3979" i="1"/>
  <c r="G3978" i="1"/>
  <c r="F3978" i="1"/>
  <c r="E3978" i="1"/>
  <c r="D3978" i="1"/>
  <c r="C3978" i="1"/>
  <c r="B3978" i="1"/>
  <c r="G3977" i="1"/>
  <c r="F3977" i="1"/>
  <c r="E3977" i="1"/>
  <c r="D3977" i="1"/>
  <c r="C3977" i="1"/>
  <c r="B3977" i="1"/>
  <c r="G3976" i="1"/>
  <c r="F3976" i="1"/>
  <c r="E3976" i="1"/>
  <c r="D3976" i="1"/>
  <c r="C3976" i="1"/>
  <c r="B3976" i="1"/>
  <c r="G3975" i="1"/>
  <c r="F3975" i="1"/>
  <c r="E3975" i="1"/>
  <c r="D3975" i="1"/>
  <c r="C3975" i="1"/>
  <c r="B3975" i="1"/>
  <c r="G3974" i="1"/>
  <c r="F3974" i="1"/>
  <c r="E3974" i="1"/>
  <c r="D3974" i="1"/>
  <c r="C3974" i="1"/>
  <c r="B3974" i="1"/>
  <c r="G3973" i="1"/>
  <c r="F3973" i="1"/>
  <c r="E3973" i="1"/>
  <c r="D3973" i="1"/>
  <c r="C3973" i="1"/>
  <c r="B3973" i="1"/>
  <c r="G3972" i="1"/>
  <c r="F3972" i="1"/>
  <c r="E3972" i="1"/>
  <c r="D3972" i="1"/>
  <c r="C3972" i="1"/>
  <c r="B3972" i="1"/>
  <c r="G3971" i="1"/>
  <c r="F3971" i="1"/>
  <c r="E3971" i="1"/>
  <c r="D3971" i="1"/>
  <c r="C3971" i="1"/>
  <c r="B3971" i="1"/>
  <c r="G3970" i="1"/>
  <c r="F3970" i="1"/>
  <c r="E3970" i="1"/>
  <c r="D3970" i="1"/>
  <c r="C3970" i="1"/>
  <c r="B3970" i="1"/>
  <c r="F3969" i="1"/>
  <c r="E3969" i="1"/>
  <c r="D3969" i="1"/>
  <c r="C3969" i="1"/>
  <c r="B3969" i="1"/>
  <c r="G3968" i="1"/>
  <c r="F3968" i="1"/>
  <c r="E3968" i="1"/>
  <c r="D3968" i="1"/>
  <c r="C3968" i="1"/>
  <c r="B3968" i="1"/>
  <c r="G3967" i="1"/>
  <c r="F3967" i="1"/>
  <c r="E3967" i="1"/>
  <c r="D3967" i="1"/>
  <c r="C3967" i="1"/>
  <c r="B3967" i="1"/>
  <c r="G3966" i="1"/>
  <c r="F3966" i="1"/>
  <c r="E3966" i="1"/>
  <c r="D3966" i="1"/>
  <c r="C3966" i="1"/>
  <c r="B3966" i="1"/>
  <c r="F3965" i="1"/>
  <c r="E3965" i="1"/>
  <c r="D3965" i="1"/>
  <c r="C3965" i="1"/>
  <c r="B3965" i="1"/>
  <c r="G3964" i="1"/>
  <c r="F3964" i="1"/>
  <c r="E3964" i="1"/>
  <c r="D3964" i="1"/>
  <c r="C3964" i="1"/>
  <c r="B3964" i="1"/>
  <c r="G3963" i="1"/>
  <c r="F3963" i="1"/>
  <c r="E3963" i="1"/>
  <c r="D3963" i="1"/>
  <c r="C3963" i="1"/>
  <c r="B3963" i="1"/>
  <c r="G3962" i="1"/>
  <c r="F3962" i="1"/>
  <c r="E3962" i="1"/>
  <c r="D3962" i="1"/>
  <c r="C3962" i="1"/>
  <c r="B3962" i="1"/>
  <c r="G3961" i="1"/>
  <c r="F3961" i="1"/>
  <c r="E3961" i="1"/>
  <c r="D3961" i="1"/>
  <c r="C3961" i="1"/>
  <c r="B3961" i="1"/>
  <c r="G3960" i="1"/>
  <c r="F3960" i="1"/>
  <c r="E3960" i="1"/>
  <c r="D3960" i="1"/>
  <c r="C3960" i="1"/>
  <c r="B3960" i="1"/>
  <c r="G3959" i="1"/>
  <c r="F3959" i="1"/>
  <c r="E3959" i="1"/>
  <c r="D3959" i="1"/>
  <c r="C3959" i="1"/>
  <c r="B3959" i="1"/>
  <c r="G3958" i="1"/>
  <c r="F3958" i="1"/>
  <c r="E3958" i="1"/>
  <c r="D3958" i="1"/>
  <c r="C3958" i="1"/>
  <c r="B3958" i="1"/>
  <c r="G3957" i="1"/>
  <c r="F3957" i="1"/>
  <c r="E3957" i="1"/>
  <c r="D3957" i="1"/>
  <c r="C3957" i="1"/>
  <c r="B3957" i="1"/>
  <c r="G3956" i="1"/>
  <c r="F3956" i="1"/>
  <c r="E3956" i="1"/>
  <c r="D3956" i="1"/>
  <c r="C3956" i="1"/>
  <c r="B3956" i="1"/>
  <c r="F3955" i="1"/>
  <c r="E3955" i="1"/>
  <c r="D3955" i="1"/>
  <c r="C3955" i="1"/>
  <c r="B3955" i="1"/>
  <c r="G3954" i="1"/>
  <c r="F3954" i="1"/>
  <c r="E3954" i="1"/>
  <c r="D3954" i="1"/>
  <c r="C3954" i="1"/>
  <c r="B3954" i="1"/>
  <c r="G3953" i="1"/>
  <c r="F3953" i="1"/>
  <c r="E3953" i="1"/>
  <c r="D3953" i="1"/>
  <c r="C3953" i="1"/>
  <c r="B3953" i="1"/>
  <c r="G3952" i="1"/>
  <c r="F3952" i="1"/>
  <c r="E3952" i="1"/>
  <c r="D3952" i="1"/>
  <c r="C3952" i="1"/>
  <c r="B3952" i="1"/>
  <c r="G3951" i="1"/>
  <c r="F3951" i="1"/>
  <c r="E3951" i="1"/>
  <c r="D3951" i="1"/>
  <c r="C3951" i="1"/>
  <c r="B3951" i="1"/>
  <c r="G3950" i="1"/>
  <c r="F3950" i="1"/>
  <c r="E3950" i="1"/>
  <c r="D3950" i="1"/>
  <c r="C3950" i="1"/>
  <c r="B3950" i="1"/>
  <c r="G3949" i="1"/>
  <c r="F3949" i="1"/>
  <c r="E3949" i="1"/>
  <c r="D3949" i="1"/>
  <c r="C3949" i="1"/>
  <c r="B3949" i="1"/>
  <c r="G3948" i="1"/>
  <c r="F3948" i="1"/>
  <c r="E3948" i="1"/>
  <c r="D3948" i="1"/>
  <c r="C3948" i="1"/>
  <c r="B3948" i="1"/>
  <c r="G3947" i="1"/>
  <c r="F3947" i="1"/>
  <c r="E3947" i="1"/>
  <c r="D3947" i="1"/>
  <c r="C3947" i="1"/>
  <c r="B3947" i="1"/>
  <c r="G3946" i="1"/>
  <c r="F3946" i="1"/>
  <c r="E3946" i="1"/>
  <c r="D3946" i="1"/>
  <c r="C3946" i="1"/>
  <c r="B3946" i="1"/>
  <c r="G3945" i="1"/>
  <c r="F3945" i="1"/>
  <c r="E3945" i="1"/>
  <c r="D3945" i="1"/>
  <c r="C3945" i="1"/>
  <c r="B3945" i="1"/>
  <c r="G3944" i="1"/>
  <c r="F3944" i="1"/>
  <c r="E3944" i="1"/>
  <c r="D3944" i="1"/>
  <c r="C3944" i="1"/>
  <c r="B3944" i="1"/>
  <c r="G3943" i="1"/>
  <c r="F3943" i="1"/>
  <c r="E3943" i="1"/>
  <c r="D3943" i="1"/>
  <c r="C3943" i="1"/>
  <c r="B3943" i="1"/>
  <c r="G3942" i="1"/>
  <c r="F3942" i="1"/>
  <c r="E3942" i="1"/>
  <c r="D3942" i="1"/>
  <c r="C3942" i="1"/>
  <c r="B3942" i="1"/>
  <c r="G3941" i="1"/>
  <c r="F3941" i="1"/>
  <c r="E3941" i="1"/>
  <c r="D3941" i="1"/>
  <c r="C3941" i="1"/>
  <c r="B3941" i="1"/>
  <c r="G3940" i="1"/>
  <c r="F3940" i="1"/>
  <c r="E3940" i="1"/>
  <c r="D3940" i="1"/>
  <c r="C3940" i="1"/>
  <c r="B3940" i="1"/>
  <c r="G3939" i="1"/>
  <c r="F3939" i="1"/>
  <c r="E3939" i="1"/>
  <c r="D3939" i="1"/>
  <c r="C3939" i="1"/>
  <c r="B3939" i="1"/>
  <c r="G3938" i="1"/>
  <c r="F3938" i="1"/>
  <c r="E3938" i="1"/>
  <c r="D3938" i="1"/>
  <c r="C3938" i="1"/>
  <c r="B3938" i="1"/>
  <c r="G3937" i="1"/>
  <c r="F3937" i="1"/>
  <c r="E3937" i="1"/>
  <c r="D3937" i="1"/>
  <c r="C3937" i="1"/>
  <c r="B3937" i="1"/>
  <c r="G3936" i="1"/>
  <c r="F3936" i="1"/>
  <c r="E3936" i="1"/>
  <c r="D3936" i="1"/>
  <c r="C3936" i="1"/>
  <c r="B3936" i="1"/>
  <c r="G3935" i="1"/>
  <c r="F3935" i="1"/>
  <c r="E3935" i="1"/>
  <c r="D3935" i="1"/>
  <c r="C3935" i="1"/>
  <c r="B3935" i="1"/>
  <c r="G3934" i="1"/>
  <c r="F3934" i="1"/>
  <c r="E3934" i="1"/>
  <c r="D3934" i="1"/>
  <c r="C3934" i="1"/>
  <c r="B3934" i="1"/>
  <c r="G3933" i="1"/>
  <c r="F3933" i="1"/>
  <c r="E3933" i="1"/>
  <c r="D3933" i="1"/>
  <c r="C3933" i="1"/>
  <c r="B3933" i="1"/>
  <c r="G3932" i="1"/>
  <c r="F3932" i="1"/>
  <c r="E3932" i="1"/>
  <c r="D3932" i="1"/>
  <c r="C3932" i="1"/>
  <c r="B3932" i="1"/>
  <c r="G3931" i="1"/>
  <c r="F3931" i="1"/>
  <c r="E3931" i="1"/>
  <c r="D3931" i="1"/>
  <c r="C3931" i="1"/>
  <c r="B3931" i="1"/>
  <c r="G3930" i="1"/>
  <c r="F3930" i="1"/>
  <c r="E3930" i="1"/>
  <c r="D3930" i="1"/>
  <c r="C3930" i="1"/>
  <c r="B3930" i="1"/>
  <c r="G3929" i="1"/>
  <c r="F3929" i="1"/>
  <c r="E3929" i="1"/>
  <c r="D3929" i="1"/>
  <c r="C3929" i="1"/>
  <c r="B3929" i="1"/>
  <c r="G3928" i="1"/>
  <c r="F3928" i="1"/>
  <c r="E3928" i="1"/>
  <c r="D3928" i="1"/>
  <c r="C3928" i="1"/>
  <c r="B3928" i="1"/>
  <c r="G3927" i="1"/>
  <c r="F3927" i="1"/>
  <c r="E3927" i="1"/>
  <c r="D3927" i="1"/>
  <c r="C3927" i="1"/>
  <c r="B3927" i="1"/>
  <c r="G3926" i="1"/>
  <c r="F3926" i="1"/>
  <c r="E3926" i="1"/>
  <c r="D3926" i="1"/>
  <c r="C3926" i="1"/>
  <c r="B3926" i="1"/>
  <c r="F3925" i="1"/>
  <c r="E3925" i="1"/>
  <c r="D3925" i="1"/>
  <c r="C3925" i="1"/>
  <c r="B3925" i="1"/>
  <c r="F3924" i="1"/>
  <c r="E3924" i="1"/>
  <c r="D3924" i="1"/>
  <c r="C3924" i="1"/>
  <c r="B3924" i="1"/>
  <c r="G3923" i="1"/>
  <c r="F3923" i="1"/>
  <c r="E3923" i="1"/>
  <c r="D3923" i="1"/>
  <c r="C3923" i="1"/>
  <c r="B3923" i="1"/>
  <c r="G3922" i="1"/>
  <c r="F3922" i="1"/>
  <c r="E3922" i="1"/>
  <c r="D3922" i="1"/>
  <c r="C3922" i="1"/>
  <c r="B3922" i="1"/>
  <c r="G3921" i="1"/>
  <c r="F3921" i="1"/>
  <c r="E3921" i="1"/>
  <c r="D3921" i="1"/>
  <c r="C3921" i="1"/>
  <c r="B3921" i="1"/>
  <c r="G3920" i="1"/>
  <c r="F3920" i="1"/>
  <c r="E3920" i="1"/>
  <c r="D3920" i="1"/>
  <c r="C3920" i="1"/>
  <c r="B3920" i="1"/>
  <c r="G3919" i="1"/>
  <c r="F3919" i="1"/>
  <c r="E3919" i="1"/>
  <c r="D3919" i="1"/>
  <c r="C3919" i="1"/>
  <c r="B3919" i="1"/>
  <c r="F3918" i="1"/>
  <c r="E3918" i="1"/>
  <c r="D3918" i="1"/>
  <c r="C3918" i="1"/>
  <c r="B3918" i="1"/>
  <c r="G3917" i="1"/>
  <c r="F3917" i="1"/>
  <c r="E3917" i="1"/>
  <c r="D3917" i="1"/>
  <c r="C3917" i="1"/>
  <c r="B3917" i="1"/>
  <c r="G3916" i="1"/>
  <c r="F3916" i="1"/>
  <c r="E3916" i="1"/>
  <c r="D3916" i="1"/>
  <c r="C3916" i="1"/>
  <c r="B3916" i="1"/>
  <c r="G3915" i="1"/>
  <c r="F3915" i="1"/>
  <c r="E3915" i="1"/>
  <c r="D3915" i="1"/>
  <c r="C3915" i="1"/>
  <c r="B3915" i="1"/>
  <c r="G3914" i="1"/>
  <c r="F3914" i="1"/>
  <c r="E3914" i="1"/>
  <c r="D3914" i="1"/>
  <c r="C3914" i="1"/>
  <c r="B3914" i="1"/>
  <c r="G3913" i="1"/>
  <c r="F3913" i="1"/>
  <c r="E3913" i="1"/>
  <c r="D3913" i="1"/>
  <c r="C3913" i="1"/>
  <c r="B3913" i="1"/>
  <c r="G3912" i="1"/>
  <c r="F3912" i="1"/>
  <c r="E3912" i="1"/>
  <c r="D3912" i="1"/>
  <c r="C3912" i="1"/>
  <c r="B3912" i="1"/>
  <c r="G3911" i="1"/>
  <c r="F3911" i="1"/>
  <c r="E3911" i="1"/>
  <c r="D3911" i="1"/>
  <c r="C3911" i="1"/>
  <c r="B3911" i="1"/>
  <c r="G3910" i="1"/>
  <c r="F3910" i="1"/>
  <c r="E3910" i="1"/>
  <c r="D3910" i="1"/>
  <c r="C3910" i="1"/>
  <c r="B3910" i="1"/>
  <c r="G3909" i="1"/>
  <c r="F3909" i="1"/>
  <c r="E3909" i="1"/>
  <c r="D3909" i="1"/>
  <c r="C3909" i="1"/>
  <c r="B3909" i="1"/>
  <c r="G3908" i="1"/>
  <c r="F3908" i="1"/>
  <c r="E3908" i="1"/>
  <c r="D3908" i="1"/>
  <c r="C3908" i="1"/>
  <c r="B3908" i="1"/>
  <c r="G3907" i="1"/>
  <c r="F3907" i="1"/>
  <c r="E3907" i="1"/>
  <c r="D3907" i="1"/>
  <c r="C3907" i="1"/>
  <c r="B3907" i="1"/>
  <c r="G3906" i="1"/>
  <c r="F3906" i="1"/>
  <c r="E3906" i="1"/>
  <c r="D3906" i="1"/>
  <c r="C3906" i="1"/>
  <c r="B3906" i="1"/>
  <c r="G3905" i="1"/>
  <c r="F3905" i="1"/>
  <c r="E3905" i="1"/>
  <c r="D3905" i="1"/>
  <c r="C3905" i="1"/>
  <c r="B3905" i="1"/>
  <c r="G3904" i="1"/>
  <c r="F3904" i="1"/>
  <c r="E3904" i="1"/>
  <c r="D3904" i="1"/>
  <c r="C3904" i="1"/>
  <c r="B3904" i="1"/>
  <c r="F3903" i="1"/>
  <c r="E3903" i="1"/>
  <c r="D3903" i="1"/>
  <c r="C3903" i="1"/>
  <c r="B3903" i="1"/>
  <c r="F3902" i="1"/>
  <c r="E3902" i="1"/>
  <c r="D3902" i="1"/>
  <c r="C3902" i="1"/>
  <c r="B3902" i="1"/>
  <c r="F3901" i="1"/>
  <c r="E3901" i="1"/>
  <c r="D3901" i="1"/>
  <c r="C3901" i="1"/>
  <c r="B3901" i="1"/>
  <c r="F3900" i="1"/>
  <c r="E3900" i="1"/>
  <c r="D3900" i="1"/>
  <c r="C3900" i="1"/>
  <c r="B3900" i="1"/>
  <c r="F3899" i="1"/>
  <c r="E3899" i="1"/>
  <c r="D3899" i="1"/>
  <c r="C3899" i="1"/>
  <c r="B3899" i="1"/>
  <c r="F3898" i="1"/>
  <c r="E3898" i="1"/>
  <c r="D3898" i="1"/>
  <c r="C3898" i="1"/>
  <c r="B3898" i="1"/>
  <c r="G3897" i="1"/>
  <c r="F3897" i="1"/>
  <c r="E3897" i="1"/>
  <c r="D3897" i="1"/>
  <c r="C3897" i="1"/>
  <c r="B3897" i="1"/>
  <c r="G3896" i="1"/>
  <c r="F3896" i="1"/>
  <c r="E3896" i="1"/>
  <c r="D3896" i="1"/>
  <c r="C3896" i="1"/>
  <c r="B3896" i="1"/>
  <c r="F3895" i="1"/>
  <c r="E3895" i="1"/>
  <c r="D3895" i="1"/>
  <c r="C3895" i="1"/>
  <c r="B3895" i="1"/>
  <c r="F3894" i="1"/>
  <c r="E3894" i="1"/>
  <c r="D3894" i="1"/>
  <c r="C3894" i="1"/>
  <c r="B3894" i="1"/>
  <c r="F3893" i="1"/>
  <c r="E3893" i="1"/>
  <c r="D3893" i="1"/>
  <c r="C3893" i="1"/>
  <c r="B3893" i="1"/>
  <c r="F3892" i="1"/>
  <c r="E3892" i="1"/>
  <c r="D3892" i="1"/>
  <c r="C3892" i="1"/>
  <c r="B3892" i="1"/>
  <c r="G3891" i="1"/>
  <c r="F3891" i="1"/>
  <c r="E3891" i="1"/>
  <c r="D3891" i="1"/>
  <c r="C3891" i="1"/>
  <c r="B3891" i="1"/>
  <c r="G3890" i="1"/>
  <c r="F3890" i="1"/>
  <c r="E3890" i="1"/>
  <c r="D3890" i="1"/>
  <c r="C3890" i="1"/>
  <c r="B3890" i="1"/>
  <c r="G3889" i="1"/>
  <c r="F3889" i="1"/>
  <c r="E3889" i="1"/>
  <c r="D3889" i="1"/>
  <c r="C3889" i="1"/>
  <c r="B3889" i="1"/>
  <c r="G3888" i="1"/>
  <c r="F3888" i="1"/>
  <c r="E3888" i="1"/>
  <c r="D3888" i="1"/>
  <c r="C3888" i="1"/>
  <c r="B3888" i="1"/>
  <c r="G3887" i="1"/>
  <c r="F3887" i="1"/>
  <c r="E3887" i="1"/>
  <c r="D3887" i="1"/>
  <c r="C3887" i="1"/>
  <c r="B3887" i="1"/>
  <c r="F3886" i="1"/>
  <c r="E3886" i="1"/>
  <c r="D3886" i="1"/>
  <c r="C3886" i="1"/>
  <c r="B3886" i="1"/>
  <c r="G3885" i="1"/>
  <c r="F3885" i="1"/>
  <c r="E3885" i="1"/>
  <c r="D3885" i="1"/>
  <c r="C3885" i="1"/>
  <c r="B3885" i="1"/>
  <c r="G3884" i="1"/>
  <c r="F3884" i="1"/>
  <c r="E3884" i="1"/>
  <c r="D3884" i="1"/>
  <c r="C3884" i="1"/>
  <c r="B3884" i="1"/>
  <c r="G3883" i="1"/>
  <c r="F3883" i="1"/>
  <c r="E3883" i="1"/>
  <c r="D3883" i="1"/>
  <c r="C3883" i="1"/>
  <c r="B3883" i="1"/>
  <c r="G3882" i="1"/>
  <c r="F3882" i="1"/>
  <c r="E3882" i="1"/>
  <c r="D3882" i="1"/>
  <c r="C3882" i="1"/>
  <c r="B3882" i="1"/>
  <c r="G3881" i="1"/>
  <c r="F3881" i="1"/>
  <c r="E3881" i="1"/>
  <c r="D3881" i="1"/>
  <c r="C3881" i="1"/>
  <c r="B3881" i="1"/>
  <c r="G3880" i="1"/>
  <c r="F3880" i="1"/>
  <c r="E3880" i="1"/>
  <c r="D3880" i="1"/>
  <c r="C3880" i="1"/>
  <c r="B3880" i="1"/>
  <c r="G3879" i="1"/>
  <c r="F3879" i="1"/>
  <c r="E3879" i="1"/>
  <c r="D3879" i="1"/>
  <c r="C3879" i="1"/>
  <c r="B3879" i="1"/>
  <c r="G3878" i="1"/>
  <c r="F3878" i="1"/>
  <c r="E3878" i="1"/>
  <c r="D3878" i="1"/>
  <c r="C3878" i="1"/>
  <c r="B3878" i="1"/>
  <c r="G3877" i="1"/>
  <c r="F3877" i="1"/>
  <c r="E3877" i="1"/>
  <c r="D3877" i="1"/>
  <c r="C3877" i="1"/>
  <c r="B3877" i="1"/>
  <c r="G3876" i="1"/>
  <c r="F3876" i="1"/>
  <c r="E3876" i="1"/>
  <c r="D3876" i="1"/>
  <c r="C3876" i="1"/>
  <c r="B3876" i="1"/>
  <c r="G3875" i="1"/>
  <c r="F3875" i="1"/>
  <c r="E3875" i="1"/>
  <c r="D3875" i="1"/>
  <c r="C3875" i="1"/>
  <c r="B3875" i="1"/>
  <c r="G3874" i="1"/>
  <c r="F3874" i="1"/>
  <c r="E3874" i="1"/>
  <c r="D3874" i="1"/>
  <c r="C3874" i="1"/>
  <c r="B3874" i="1"/>
  <c r="G3873" i="1"/>
  <c r="F3873" i="1"/>
  <c r="E3873" i="1"/>
  <c r="D3873" i="1"/>
  <c r="C3873" i="1"/>
  <c r="B3873" i="1"/>
  <c r="F3872" i="1"/>
  <c r="E3872" i="1"/>
  <c r="D3872" i="1"/>
  <c r="C3872" i="1"/>
  <c r="B3872" i="1"/>
  <c r="G3871" i="1"/>
  <c r="F3871" i="1"/>
  <c r="E3871" i="1"/>
  <c r="D3871" i="1"/>
  <c r="C3871" i="1"/>
  <c r="B3871" i="1"/>
  <c r="F3870" i="1"/>
  <c r="E3870" i="1"/>
  <c r="D3870" i="1"/>
  <c r="C3870" i="1"/>
  <c r="B3870" i="1"/>
  <c r="G3869" i="1"/>
  <c r="F3869" i="1"/>
  <c r="E3869" i="1"/>
  <c r="D3869" i="1"/>
  <c r="C3869" i="1"/>
  <c r="B3869" i="1"/>
  <c r="G3868" i="1"/>
  <c r="F3868" i="1"/>
  <c r="E3868" i="1"/>
  <c r="D3868" i="1"/>
  <c r="C3868" i="1"/>
  <c r="B3868" i="1"/>
  <c r="G3867" i="1"/>
  <c r="F3867" i="1"/>
  <c r="E3867" i="1"/>
  <c r="D3867" i="1"/>
  <c r="C3867" i="1"/>
  <c r="B3867" i="1"/>
  <c r="G3866" i="1"/>
  <c r="F3866" i="1"/>
  <c r="E3866" i="1"/>
  <c r="D3866" i="1"/>
  <c r="C3866" i="1"/>
  <c r="B3866" i="1"/>
  <c r="G3865" i="1"/>
  <c r="F3865" i="1"/>
  <c r="E3865" i="1"/>
  <c r="D3865" i="1"/>
  <c r="C3865" i="1"/>
  <c r="B3865" i="1"/>
  <c r="G3864" i="1"/>
  <c r="F3864" i="1"/>
  <c r="E3864" i="1"/>
  <c r="D3864" i="1"/>
  <c r="C3864" i="1"/>
  <c r="B3864" i="1"/>
  <c r="G3863" i="1"/>
  <c r="F3863" i="1"/>
  <c r="E3863" i="1"/>
  <c r="D3863" i="1"/>
  <c r="C3863" i="1"/>
  <c r="B3863" i="1"/>
  <c r="G3862" i="1"/>
  <c r="F3862" i="1"/>
  <c r="E3862" i="1"/>
  <c r="D3862" i="1"/>
  <c r="C3862" i="1"/>
  <c r="B3862" i="1"/>
  <c r="G3861" i="1"/>
  <c r="F3861" i="1"/>
  <c r="E3861" i="1"/>
  <c r="D3861" i="1"/>
  <c r="C3861" i="1"/>
  <c r="B3861" i="1"/>
  <c r="G3860" i="1"/>
  <c r="F3860" i="1"/>
  <c r="E3860" i="1"/>
  <c r="D3860" i="1"/>
  <c r="C3860" i="1"/>
  <c r="B3860" i="1"/>
  <c r="G3859" i="1"/>
  <c r="F3859" i="1"/>
  <c r="E3859" i="1"/>
  <c r="D3859" i="1"/>
  <c r="C3859" i="1"/>
  <c r="B3859" i="1"/>
  <c r="G3858" i="1"/>
  <c r="F3858" i="1"/>
  <c r="E3858" i="1"/>
  <c r="D3858" i="1"/>
  <c r="C3858" i="1"/>
  <c r="B3858" i="1"/>
  <c r="G3857" i="1"/>
  <c r="F3857" i="1"/>
  <c r="E3857" i="1"/>
  <c r="D3857" i="1"/>
  <c r="C3857" i="1"/>
  <c r="B3857" i="1"/>
  <c r="G3856" i="1"/>
  <c r="F3856" i="1"/>
  <c r="E3856" i="1"/>
  <c r="D3856" i="1"/>
  <c r="C3856" i="1"/>
  <c r="B3856" i="1"/>
  <c r="G3855" i="1"/>
  <c r="F3855" i="1"/>
  <c r="E3855" i="1"/>
  <c r="D3855" i="1"/>
  <c r="C3855" i="1"/>
  <c r="B3855" i="1"/>
  <c r="G3854" i="1"/>
  <c r="F3854" i="1"/>
  <c r="E3854" i="1"/>
  <c r="D3854" i="1"/>
  <c r="C3854" i="1"/>
  <c r="B3854" i="1"/>
  <c r="G3853" i="1"/>
  <c r="F3853" i="1"/>
  <c r="E3853" i="1"/>
  <c r="D3853" i="1"/>
  <c r="C3853" i="1"/>
  <c r="B3853" i="1"/>
  <c r="G3852" i="1"/>
  <c r="F3852" i="1"/>
  <c r="E3852" i="1"/>
  <c r="D3852" i="1"/>
  <c r="C3852" i="1"/>
  <c r="B3852" i="1"/>
  <c r="G3851" i="1"/>
  <c r="F3851" i="1"/>
  <c r="E3851" i="1"/>
  <c r="D3851" i="1"/>
  <c r="C3851" i="1"/>
  <c r="B3851" i="1"/>
  <c r="G3850" i="1"/>
  <c r="F3850" i="1"/>
  <c r="E3850" i="1"/>
  <c r="D3850" i="1"/>
  <c r="C3850" i="1"/>
  <c r="B3850" i="1"/>
  <c r="G3849" i="1"/>
  <c r="F3849" i="1"/>
  <c r="E3849" i="1"/>
  <c r="D3849" i="1"/>
  <c r="C3849" i="1"/>
  <c r="B3849" i="1"/>
  <c r="G3848" i="1"/>
  <c r="F3848" i="1"/>
  <c r="E3848" i="1"/>
  <c r="D3848" i="1"/>
  <c r="C3848" i="1"/>
  <c r="B3848" i="1"/>
  <c r="G3847" i="1"/>
  <c r="F3847" i="1"/>
  <c r="E3847" i="1"/>
  <c r="D3847" i="1"/>
  <c r="C3847" i="1"/>
  <c r="B3847" i="1"/>
  <c r="G3846" i="1"/>
  <c r="F3846" i="1"/>
  <c r="E3846" i="1"/>
  <c r="D3846" i="1"/>
  <c r="C3846" i="1"/>
  <c r="B3846" i="1"/>
  <c r="G3845" i="1"/>
  <c r="F3845" i="1"/>
  <c r="E3845" i="1"/>
  <c r="D3845" i="1"/>
  <c r="C3845" i="1"/>
  <c r="B3845" i="1"/>
  <c r="G3844" i="1"/>
  <c r="F3844" i="1"/>
  <c r="E3844" i="1"/>
  <c r="D3844" i="1"/>
  <c r="C3844" i="1"/>
  <c r="B3844" i="1"/>
  <c r="G3843" i="1"/>
  <c r="F3843" i="1"/>
  <c r="E3843" i="1"/>
  <c r="D3843" i="1"/>
  <c r="C3843" i="1"/>
  <c r="B3843" i="1"/>
  <c r="G3842" i="1"/>
  <c r="F3842" i="1"/>
  <c r="E3842" i="1"/>
  <c r="D3842" i="1"/>
  <c r="C3842" i="1"/>
  <c r="B3842" i="1"/>
  <c r="G3841" i="1"/>
  <c r="F3841" i="1"/>
  <c r="E3841" i="1"/>
  <c r="D3841" i="1"/>
  <c r="C3841" i="1"/>
  <c r="B3841" i="1"/>
  <c r="G3840" i="1"/>
  <c r="F3840" i="1"/>
  <c r="E3840" i="1"/>
  <c r="D3840" i="1"/>
  <c r="C3840" i="1"/>
  <c r="B3840" i="1"/>
  <c r="G3839" i="1"/>
  <c r="F3839" i="1"/>
  <c r="E3839" i="1"/>
  <c r="D3839" i="1"/>
  <c r="C3839" i="1"/>
  <c r="B3839" i="1"/>
  <c r="G3838" i="1"/>
  <c r="F3838" i="1"/>
  <c r="E3838" i="1"/>
  <c r="D3838" i="1"/>
  <c r="C3838" i="1"/>
  <c r="B3838" i="1"/>
  <c r="G3837" i="1"/>
  <c r="F3837" i="1"/>
  <c r="E3837" i="1"/>
  <c r="D3837" i="1"/>
  <c r="C3837" i="1"/>
  <c r="B3837" i="1"/>
  <c r="G3836" i="1"/>
  <c r="F3836" i="1"/>
  <c r="E3836" i="1"/>
  <c r="D3836" i="1"/>
  <c r="C3836" i="1"/>
  <c r="B3836" i="1"/>
  <c r="G3835" i="1"/>
  <c r="F3835" i="1"/>
  <c r="E3835" i="1"/>
  <c r="D3835" i="1"/>
  <c r="C3835" i="1"/>
  <c r="B3835" i="1"/>
  <c r="G3834" i="1"/>
  <c r="F3834" i="1"/>
  <c r="E3834" i="1"/>
  <c r="D3834" i="1"/>
  <c r="C3834" i="1"/>
  <c r="B3834" i="1"/>
  <c r="G3833" i="1"/>
  <c r="F3833" i="1"/>
  <c r="E3833" i="1"/>
  <c r="D3833" i="1"/>
  <c r="C3833" i="1"/>
  <c r="B3833" i="1"/>
  <c r="G3832" i="1"/>
  <c r="F3832" i="1"/>
  <c r="E3832" i="1"/>
  <c r="D3832" i="1"/>
  <c r="C3832" i="1"/>
  <c r="B3832" i="1"/>
  <c r="G3831" i="1"/>
  <c r="F3831" i="1"/>
  <c r="E3831" i="1"/>
  <c r="D3831" i="1"/>
  <c r="C3831" i="1"/>
  <c r="B3831" i="1"/>
  <c r="G3830" i="1"/>
  <c r="F3830" i="1"/>
  <c r="E3830" i="1"/>
  <c r="D3830" i="1"/>
  <c r="C3830" i="1"/>
  <c r="B3830" i="1"/>
  <c r="G3829" i="1"/>
  <c r="F3829" i="1"/>
  <c r="E3829" i="1"/>
  <c r="D3829" i="1"/>
  <c r="C3829" i="1"/>
  <c r="B3829" i="1"/>
  <c r="G3828" i="1"/>
  <c r="F3828" i="1"/>
  <c r="E3828" i="1"/>
  <c r="D3828" i="1"/>
  <c r="C3828" i="1"/>
  <c r="B3828" i="1"/>
  <c r="G3827" i="1"/>
  <c r="F3827" i="1"/>
  <c r="E3827" i="1"/>
  <c r="D3827" i="1"/>
  <c r="C3827" i="1"/>
  <c r="B3827" i="1"/>
  <c r="G3826" i="1"/>
  <c r="F3826" i="1"/>
  <c r="E3826" i="1"/>
  <c r="D3826" i="1"/>
  <c r="C3826" i="1"/>
  <c r="B3826" i="1"/>
  <c r="G3825" i="1"/>
  <c r="F3825" i="1"/>
  <c r="E3825" i="1"/>
  <c r="D3825" i="1"/>
  <c r="C3825" i="1"/>
  <c r="B3825" i="1"/>
  <c r="G3824" i="1"/>
  <c r="F3824" i="1"/>
  <c r="E3824" i="1"/>
  <c r="D3824" i="1"/>
  <c r="C3824" i="1"/>
  <c r="B3824" i="1"/>
  <c r="G3823" i="1"/>
  <c r="F3823" i="1"/>
  <c r="E3823" i="1"/>
  <c r="D3823" i="1"/>
  <c r="C3823" i="1"/>
  <c r="B3823" i="1"/>
  <c r="G3822" i="1"/>
  <c r="F3822" i="1"/>
  <c r="E3822" i="1"/>
  <c r="D3822" i="1"/>
  <c r="C3822" i="1"/>
  <c r="B3822" i="1"/>
  <c r="G3821" i="1"/>
  <c r="F3821" i="1"/>
  <c r="E3821" i="1"/>
  <c r="D3821" i="1"/>
  <c r="C3821" i="1"/>
  <c r="B3821" i="1"/>
  <c r="G3820" i="1"/>
  <c r="F3820" i="1"/>
  <c r="E3820" i="1"/>
  <c r="D3820" i="1"/>
  <c r="C3820" i="1"/>
  <c r="B3820" i="1"/>
  <c r="G3819" i="1"/>
  <c r="F3819" i="1"/>
  <c r="E3819" i="1"/>
  <c r="D3819" i="1"/>
  <c r="C3819" i="1"/>
  <c r="B3819" i="1"/>
  <c r="G3818" i="1"/>
  <c r="F3818" i="1"/>
  <c r="E3818" i="1"/>
  <c r="D3818" i="1"/>
  <c r="C3818" i="1"/>
  <c r="B3818" i="1"/>
  <c r="G3817" i="1"/>
  <c r="F3817" i="1"/>
  <c r="E3817" i="1"/>
  <c r="D3817" i="1"/>
  <c r="C3817" i="1"/>
  <c r="B3817" i="1"/>
  <c r="G3816" i="1"/>
  <c r="F3816" i="1"/>
  <c r="E3816" i="1"/>
  <c r="D3816" i="1"/>
  <c r="C3816" i="1"/>
  <c r="B3816" i="1"/>
  <c r="G3815" i="1"/>
  <c r="F3815" i="1"/>
  <c r="E3815" i="1"/>
  <c r="D3815" i="1"/>
  <c r="C3815" i="1"/>
  <c r="B3815" i="1"/>
  <c r="G3814" i="1"/>
  <c r="F3814" i="1"/>
  <c r="E3814" i="1"/>
  <c r="D3814" i="1"/>
  <c r="C3814" i="1"/>
  <c r="B3814" i="1"/>
  <c r="G3813" i="1"/>
  <c r="F3813" i="1"/>
  <c r="E3813" i="1"/>
  <c r="D3813" i="1"/>
  <c r="C3813" i="1"/>
  <c r="B3813" i="1"/>
  <c r="G3812" i="1"/>
  <c r="F3812" i="1"/>
  <c r="E3812" i="1"/>
  <c r="D3812" i="1"/>
  <c r="C3812" i="1"/>
  <c r="B3812" i="1"/>
  <c r="G3811" i="1"/>
  <c r="F3811" i="1"/>
  <c r="E3811" i="1"/>
  <c r="D3811" i="1"/>
  <c r="C3811" i="1"/>
  <c r="B3811" i="1"/>
  <c r="G3810" i="1"/>
  <c r="F3810" i="1"/>
  <c r="E3810" i="1"/>
  <c r="D3810" i="1"/>
  <c r="C3810" i="1"/>
  <c r="B3810" i="1"/>
  <c r="G3809" i="1"/>
  <c r="F3809" i="1"/>
  <c r="E3809" i="1"/>
  <c r="D3809" i="1"/>
  <c r="C3809" i="1"/>
  <c r="B3809" i="1"/>
  <c r="G3808" i="1"/>
  <c r="F3808" i="1"/>
  <c r="E3808" i="1"/>
  <c r="D3808" i="1"/>
  <c r="C3808" i="1"/>
  <c r="B3808" i="1"/>
  <c r="G3807" i="1"/>
  <c r="F3807" i="1"/>
  <c r="E3807" i="1"/>
  <c r="D3807" i="1"/>
  <c r="C3807" i="1"/>
  <c r="B3807" i="1"/>
  <c r="G3806" i="1"/>
  <c r="F3806" i="1"/>
  <c r="E3806" i="1"/>
  <c r="D3806" i="1"/>
  <c r="C3806" i="1"/>
  <c r="B3806" i="1"/>
  <c r="G3805" i="1"/>
  <c r="F3805" i="1"/>
  <c r="E3805" i="1"/>
  <c r="D3805" i="1"/>
  <c r="C3805" i="1"/>
  <c r="B3805" i="1"/>
  <c r="G3804" i="1"/>
  <c r="F3804" i="1"/>
  <c r="E3804" i="1"/>
  <c r="D3804" i="1"/>
  <c r="C3804" i="1"/>
  <c r="B3804" i="1"/>
  <c r="G3803" i="1"/>
  <c r="F3803" i="1"/>
  <c r="E3803" i="1"/>
  <c r="D3803" i="1"/>
  <c r="C3803" i="1"/>
  <c r="B3803" i="1"/>
  <c r="G3802" i="1"/>
  <c r="F3802" i="1"/>
  <c r="E3802" i="1"/>
  <c r="D3802" i="1"/>
  <c r="C3802" i="1"/>
  <c r="B3802" i="1"/>
  <c r="G3801" i="1"/>
  <c r="F3801" i="1"/>
  <c r="E3801" i="1"/>
  <c r="D3801" i="1"/>
  <c r="C3801" i="1"/>
  <c r="B3801" i="1"/>
  <c r="F3800" i="1"/>
  <c r="E3800" i="1"/>
  <c r="D3800" i="1"/>
  <c r="C3800" i="1"/>
  <c r="B3800" i="1"/>
  <c r="G3799" i="1"/>
  <c r="F3799" i="1"/>
  <c r="E3799" i="1"/>
  <c r="D3799" i="1"/>
  <c r="C3799" i="1"/>
  <c r="B3799" i="1"/>
  <c r="G3798" i="1"/>
  <c r="F3798" i="1"/>
  <c r="E3798" i="1"/>
  <c r="D3798" i="1"/>
  <c r="C3798" i="1"/>
  <c r="B3798" i="1"/>
  <c r="G3797" i="1"/>
  <c r="F3797" i="1"/>
  <c r="E3797" i="1"/>
  <c r="D3797" i="1"/>
  <c r="C3797" i="1"/>
  <c r="B3797" i="1"/>
  <c r="G3796" i="1"/>
  <c r="F3796" i="1"/>
  <c r="E3796" i="1"/>
  <c r="D3796" i="1"/>
  <c r="C3796" i="1"/>
  <c r="B3796" i="1"/>
  <c r="G3795" i="1"/>
  <c r="F3795" i="1"/>
  <c r="E3795" i="1"/>
  <c r="D3795" i="1"/>
  <c r="C3795" i="1"/>
  <c r="B3795" i="1"/>
  <c r="G3794" i="1"/>
  <c r="F3794" i="1"/>
  <c r="E3794" i="1"/>
  <c r="D3794" i="1"/>
  <c r="C3794" i="1"/>
  <c r="B3794" i="1"/>
  <c r="G3793" i="1"/>
  <c r="F3793" i="1"/>
  <c r="E3793" i="1"/>
  <c r="D3793" i="1"/>
  <c r="C3793" i="1"/>
  <c r="B3793" i="1"/>
  <c r="G3792" i="1"/>
  <c r="F3792" i="1"/>
  <c r="E3792" i="1"/>
  <c r="D3792" i="1"/>
  <c r="C3792" i="1"/>
  <c r="B3792" i="1"/>
  <c r="G3791" i="1"/>
  <c r="F3791" i="1"/>
  <c r="E3791" i="1"/>
  <c r="D3791" i="1"/>
  <c r="C3791" i="1"/>
  <c r="B3791" i="1"/>
  <c r="G3790" i="1"/>
  <c r="F3790" i="1"/>
  <c r="E3790" i="1"/>
  <c r="D3790" i="1"/>
  <c r="C3790" i="1"/>
  <c r="B3790" i="1"/>
  <c r="G3789" i="1"/>
  <c r="F3789" i="1"/>
  <c r="E3789" i="1"/>
  <c r="D3789" i="1"/>
  <c r="C3789" i="1"/>
  <c r="B3789" i="1"/>
  <c r="G3788" i="1"/>
  <c r="F3788" i="1"/>
  <c r="E3788" i="1"/>
  <c r="D3788" i="1"/>
  <c r="C3788" i="1"/>
  <c r="B3788" i="1"/>
  <c r="G3787" i="1"/>
  <c r="F3787" i="1"/>
  <c r="E3787" i="1"/>
  <c r="D3787" i="1"/>
  <c r="C3787" i="1"/>
  <c r="B3787" i="1"/>
  <c r="G3786" i="1"/>
  <c r="F3786" i="1"/>
  <c r="E3786" i="1"/>
  <c r="D3786" i="1"/>
  <c r="C3786" i="1"/>
  <c r="B3786" i="1"/>
  <c r="G3785" i="1"/>
  <c r="F3785" i="1"/>
  <c r="E3785" i="1"/>
  <c r="D3785" i="1"/>
  <c r="C3785" i="1"/>
  <c r="B3785" i="1"/>
  <c r="G3784" i="1"/>
  <c r="F3784" i="1"/>
  <c r="E3784" i="1"/>
  <c r="D3784" i="1"/>
  <c r="C3784" i="1"/>
  <c r="B3784" i="1"/>
  <c r="G3783" i="1"/>
  <c r="F3783" i="1"/>
  <c r="E3783" i="1"/>
  <c r="D3783" i="1"/>
  <c r="C3783" i="1"/>
  <c r="B3783" i="1"/>
  <c r="G3782" i="1"/>
  <c r="F3782" i="1"/>
  <c r="E3782" i="1"/>
  <c r="D3782" i="1"/>
  <c r="C3782" i="1"/>
  <c r="B3782" i="1"/>
  <c r="G3781" i="1"/>
  <c r="F3781" i="1"/>
  <c r="E3781" i="1"/>
  <c r="D3781" i="1"/>
  <c r="C3781" i="1"/>
  <c r="B3781" i="1"/>
  <c r="F3780" i="1"/>
  <c r="E3780" i="1"/>
  <c r="D3780" i="1"/>
  <c r="C3780" i="1"/>
  <c r="B3780" i="1"/>
  <c r="G3779" i="1"/>
  <c r="F3779" i="1"/>
  <c r="E3779" i="1"/>
  <c r="D3779" i="1"/>
  <c r="C3779" i="1"/>
  <c r="B3779" i="1"/>
  <c r="G3778" i="1"/>
  <c r="F3778" i="1"/>
  <c r="E3778" i="1"/>
  <c r="D3778" i="1"/>
  <c r="C3778" i="1"/>
  <c r="B3778" i="1"/>
  <c r="F3777" i="1"/>
  <c r="E3777" i="1"/>
  <c r="D3777" i="1"/>
  <c r="C3777" i="1"/>
  <c r="B3777" i="1"/>
  <c r="F3776" i="1"/>
  <c r="E3776" i="1"/>
  <c r="D3776" i="1"/>
  <c r="C3776" i="1"/>
  <c r="B3776" i="1"/>
  <c r="G3775" i="1"/>
  <c r="F3775" i="1"/>
  <c r="E3775" i="1"/>
  <c r="D3775" i="1"/>
  <c r="C3775" i="1"/>
  <c r="B3775" i="1"/>
  <c r="F3774" i="1"/>
  <c r="E3774" i="1"/>
  <c r="D3774" i="1"/>
  <c r="C3774" i="1"/>
  <c r="B3774" i="1"/>
  <c r="F3773" i="1"/>
  <c r="E3773" i="1"/>
  <c r="D3773" i="1"/>
  <c r="C3773" i="1"/>
  <c r="B3773" i="1"/>
  <c r="G3772" i="1"/>
  <c r="F3772" i="1"/>
  <c r="E3772" i="1"/>
  <c r="D3772" i="1"/>
  <c r="C3772" i="1"/>
  <c r="B3772" i="1"/>
  <c r="G3771" i="1"/>
  <c r="F3771" i="1"/>
  <c r="E3771" i="1"/>
  <c r="D3771" i="1"/>
  <c r="C3771" i="1"/>
  <c r="B3771" i="1"/>
  <c r="F3770" i="1"/>
  <c r="E3770" i="1"/>
  <c r="D3770" i="1"/>
  <c r="C3770" i="1"/>
  <c r="B3770" i="1"/>
  <c r="F3769" i="1"/>
  <c r="E3769" i="1"/>
  <c r="D3769" i="1"/>
  <c r="C3769" i="1"/>
  <c r="B3769" i="1"/>
  <c r="F3768" i="1"/>
  <c r="E3768" i="1"/>
  <c r="D3768" i="1"/>
  <c r="C3768" i="1"/>
  <c r="B3768" i="1"/>
  <c r="F3767" i="1"/>
  <c r="E3767" i="1"/>
  <c r="D3767" i="1"/>
  <c r="C3767" i="1"/>
  <c r="B3767" i="1"/>
  <c r="F3766" i="1"/>
  <c r="E3766" i="1"/>
  <c r="D3766" i="1"/>
  <c r="C3766" i="1"/>
  <c r="B3766" i="1"/>
  <c r="F3765" i="1"/>
  <c r="E3765" i="1"/>
  <c r="D3765" i="1"/>
  <c r="C3765" i="1"/>
  <c r="B3765" i="1"/>
  <c r="F3764" i="1"/>
  <c r="E3764" i="1"/>
  <c r="D3764" i="1"/>
  <c r="C3764" i="1"/>
  <c r="B3764" i="1"/>
  <c r="F3763" i="1"/>
  <c r="E3763" i="1"/>
  <c r="D3763" i="1"/>
  <c r="C3763" i="1"/>
  <c r="B3763" i="1"/>
  <c r="F3762" i="1"/>
  <c r="E3762" i="1"/>
  <c r="D3762" i="1"/>
  <c r="C3762" i="1"/>
  <c r="B3762" i="1"/>
  <c r="G3761" i="1"/>
  <c r="F3761" i="1"/>
  <c r="E3761" i="1"/>
  <c r="D3761" i="1"/>
  <c r="C3761" i="1"/>
  <c r="B3761" i="1"/>
  <c r="G3760" i="1"/>
  <c r="F3760" i="1"/>
  <c r="E3760" i="1"/>
  <c r="D3760" i="1"/>
  <c r="C3760" i="1"/>
  <c r="B3760" i="1"/>
  <c r="F3759" i="1"/>
  <c r="E3759" i="1"/>
  <c r="D3759" i="1"/>
  <c r="C3759" i="1"/>
  <c r="B3759" i="1"/>
  <c r="G3758" i="1"/>
  <c r="F3758" i="1"/>
  <c r="E3758" i="1"/>
  <c r="D3758" i="1"/>
  <c r="C3758" i="1"/>
  <c r="B3758" i="1"/>
  <c r="G3757" i="1"/>
  <c r="F3757" i="1"/>
  <c r="E3757" i="1"/>
  <c r="D3757" i="1"/>
  <c r="C3757" i="1"/>
  <c r="B3757" i="1"/>
  <c r="G3756" i="1"/>
  <c r="F3756" i="1"/>
  <c r="E3756" i="1"/>
  <c r="D3756" i="1"/>
  <c r="C3756" i="1"/>
  <c r="B3756" i="1"/>
  <c r="F3755" i="1"/>
  <c r="E3755" i="1"/>
  <c r="D3755" i="1"/>
  <c r="C3755" i="1"/>
  <c r="B3755" i="1"/>
  <c r="F3754" i="1"/>
  <c r="E3754" i="1"/>
  <c r="D3754" i="1"/>
  <c r="C3754" i="1"/>
  <c r="B3754" i="1"/>
  <c r="G3753" i="1"/>
  <c r="F3753" i="1"/>
  <c r="E3753" i="1"/>
  <c r="D3753" i="1"/>
  <c r="C3753" i="1"/>
  <c r="B3753" i="1"/>
  <c r="G3752" i="1"/>
  <c r="F3752" i="1"/>
  <c r="E3752" i="1"/>
  <c r="D3752" i="1"/>
  <c r="C3752" i="1"/>
  <c r="B3752" i="1"/>
  <c r="G3751" i="1"/>
  <c r="F3751" i="1"/>
  <c r="E3751" i="1"/>
  <c r="D3751" i="1"/>
  <c r="C3751" i="1"/>
  <c r="B3751" i="1"/>
  <c r="G3750" i="1"/>
  <c r="F3750" i="1"/>
  <c r="E3750" i="1"/>
  <c r="D3750" i="1"/>
  <c r="C3750" i="1"/>
  <c r="B3750" i="1"/>
  <c r="F3749" i="1"/>
  <c r="E3749" i="1"/>
  <c r="D3749" i="1"/>
  <c r="C3749" i="1"/>
  <c r="B3749" i="1"/>
  <c r="F3748" i="1"/>
  <c r="E3748" i="1"/>
  <c r="D3748" i="1"/>
  <c r="C3748" i="1"/>
  <c r="B3748" i="1"/>
  <c r="G3747" i="1"/>
  <c r="F3747" i="1"/>
  <c r="E3747" i="1"/>
  <c r="D3747" i="1"/>
  <c r="C3747" i="1"/>
  <c r="B3747" i="1"/>
  <c r="F3746" i="1"/>
  <c r="E3746" i="1"/>
  <c r="D3746" i="1"/>
  <c r="C3746" i="1"/>
  <c r="B3746" i="1"/>
  <c r="F3745" i="1"/>
  <c r="E3745" i="1"/>
  <c r="D3745" i="1"/>
  <c r="C3745" i="1"/>
  <c r="B3745" i="1"/>
  <c r="F3744" i="1"/>
  <c r="E3744" i="1"/>
  <c r="D3744" i="1"/>
  <c r="C3744" i="1"/>
  <c r="B3744" i="1"/>
  <c r="F3743" i="1"/>
  <c r="E3743" i="1"/>
  <c r="D3743" i="1"/>
  <c r="C3743" i="1"/>
  <c r="B3743" i="1"/>
  <c r="G3742" i="1"/>
  <c r="F3742" i="1"/>
  <c r="E3742" i="1"/>
  <c r="D3742" i="1"/>
  <c r="C3742" i="1"/>
  <c r="B3742" i="1"/>
  <c r="G3741" i="1"/>
  <c r="F3741" i="1"/>
  <c r="E3741" i="1"/>
  <c r="D3741" i="1"/>
  <c r="C3741" i="1"/>
  <c r="B3741" i="1"/>
  <c r="G3740" i="1"/>
  <c r="F3740" i="1"/>
  <c r="E3740" i="1"/>
  <c r="D3740" i="1"/>
  <c r="C3740" i="1"/>
  <c r="B3740" i="1"/>
  <c r="F3739" i="1"/>
  <c r="E3739" i="1"/>
  <c r="D3739" i="1"/>
  <c r="C3739" i="1"/>
  <c r="B3739" i="1"/>
  <c r="G3738" i="1"/>
  <c r="F3738" i="1"/>
  <c r="E3738" i="1"/>
  <c r="D3738" i="1"/>
  <c r="C3738" i="1"/>
  <c r="B3738" i="1"/>
  <c r="F3737" i="1"/>
  <c r="E3737" i="1"/>
  <c r="D3737" i="1"/>
  <c r="C3737" i="1"/>
  <c r="B3737" i="1"/>
  <c r="G3736" i="1"/>
  <c r="F3736" i="1"/>
  <c r="E3736" i="1"/>
  <c r="D3736" i="1"/>
  <c r="C3736" i="1"/>
  <c r="B3736" i="1"/>
  <c r="F3735" i="1"/>
  <c r="E3735" i="1"/>
  <c r="D3735" i="1"/>
  <c r="C3735" i="1"/>
  <c r="B3735" i="1"/>
  <c r="F3734" i="1"/>
  <c r="E3734" i="1"/>
  <c r="D3734" i="1"/>
  <c r="C3734" i="1"/>
  <c r="B3734" i="1"/>
  <c r="F3733" i="1"/>
  <c r="E3733" i="1"/>
  <c r="D3733" i="1"/>
  <c r="C3733" i="1"/>
  <c r="B3733" i="1"/>
  <c r="F3732" i="1"/>
  <c r="E3732" i="1"/>
  <c r="D3732" i="1"/>
  <c r="C3732" i="1"/>
  <c r="B3732" i="1"/>
  <c r="G3731" i="1"/>
  <c r="F3731" i="1"/>
  <c r="E3731" i="1"/>
  <c r="D3731" i="1"/>
  <c r="C3731" i="1"/>
  <c r="B3731" i="1"/>
  <c r="G3730" i="1"/>
  <c r="F3730" i="1"/>
  <c r="E3730" i="1"/>
  <c r="D3730" i="1"/>
  <c r="C3730" i="1"/>
  <c r="B3730" i="1"/>
  <c r="G3729" i="1"/>
  <c r="F3729" i="1"/>
  <c r="E3729" i="1"/>
  <c r="D3729" i="1"/>
  <c r="C3729" i="1"/>
  <c r="B3729" i="1"/>
  <c r="G3728" i="1"/>
  <c r="F3728" i="1"/>
  <c r="E3728" i="1"/>
  <c r="D3728" i="1"/>
  <c r="C3728" i="1"/>
  <c r="B3728" i="1"/>
  <c r="F3727" i="1"/>
  <c r="E3727" i="1"/>
  <c r="D3727" i="1"/>
  <c r="C3727" i="1"/>
  <c r="B3727" i="1"/>
  <c r="F3726" i="1"/>
  <c r="E3726" i="1"/>
  <c r="D3726" i="1"/>
  <c r="C3726" i="1"/>
  <c r="B3726" i="1"/>
  <c r="F3725" i="1"/>
  <c r="E3725" i="1"/>
  <c r="D3725" i="1"/>
  <c r="C3725" i="1"/>
  <c r="B3725" i="1"/>
  <c r="F3724" i="1"/>
  <c r="E3724" i="1"/>
  <c r="D3724" i="1"/>
  <c r="C3724" i="1"/>
  <c r="B3724" i="1"/>
  <c r="G3723" i="1"/>
  <c r="F3723" i="1"/>
  <c r="E3723" i="1"/>
  <c r="D3723" i="1"/>
  <c r="C3723" i="1"/>
  <c r="B3723" i="1"/>
  <c r="G3722" i="1"/>
  <c r="F3722" i="1"/>
  <c r="E3722" i="1"/>
  <c r="D3722" i="1"/>
  <c r="C3722" i="1"/>
  <c r="B3722" i="1"/>
  <c r="G3721" i="1"/>
  <c r="F3721" i="1"/>
  <c r="E3721" i="1"/>
  <c r="D3721" i="1"/>
  <c r="C3721" i="1"/>
  <c r="B3721" i="1"/>
  <c r="G3720" i="1"/>
  <c r="F3720" i="1"/>
  <c r="E3720" i="1"/>
  <c r="D3720" i="1"/>
  <c r="C3720" i="1"/>
  <c r="B3720" i="1"/>
  <c r="F3719" i="1"/>
  <c r="E3719" i="1"/>
  <c r="D3719" i="1"/>
  <c r="C3719" i="1"/>
  <c r="B3719" i="1"/>
  <c r="F3718" i="1"/>
  <c r="E3718" i="1"/>
  <c r="D3718" i="1"/>
  <c r="C3718" i="1"/>
  <c r="B3718" i="1"/>
  <c r="F3717" i="1"/>
  <c r="E3717" i="1"/>
  <c r="D3717" i="1"/>
  <c r="C3717" i="1"/>
  <c r="B3717" i="1"/>
  <c r="G3716" i="1"/>
  <c r="F3716" i="1"/>
  <c r="E3716" i="1"/>
  <c r="D3716" i="1"/>
  <c r="C3716" i="1"/>
  <c r="B3716" i="1"/>
  <c r="F3715" i="1"/>
  <c r="E3715" i="1"/>
  <c r="D3715" i="1"/>
  <c r="C3715" i="1"/>
  <c r="B3715" i="1"/>
  <c r="G3714" i="1"/>
  <c r="F3714" i="1"/>
  <c r="E3714" i="1"/>
  <c r="D3714" i="1"/>
  <c r="C3714" i="1"/>
  <c r="B3714" i="1"/>
  <c r="F3713" i="1"/>
  <c r="E3713" i="1"/>
  <c r="D3713" i="1"/>
  <c r="C3713" i="1"/>
  <c r="B3713" i="1"/>
  <c r="F3712" i="1"/>
  <c r="E3712" i="1"/>
  <c r="D3712" i="1"/>
  <c r="C3712" i="1"/>
  <c r="B3712" i="1"/>
  <c r="F3711" i="1"/>
  <c r="E3711" i="1"/>
  <c r="D3711" i="1"/>
  <c r="C3711" i="1"/>
  <c r="B3711" i="1"/>
  <c r="F3710" i="1"/>
  <c r="E3710" i="1"/>
  <c r="D3710" i="1"/>
  <c r="C3710" i="1"/>
  <c r="B3710" i="1"/>
  <c r="F3709" i="1"/>
  <c r="E3709" i="1"/>
  <c r="D3709" i="1"/>
  <c r="C3709" i="1"/>
  <c r="B3709" i="1"/>
  <c r="F3708" i="1"/>
  <c r="E3708" i="1"/>
  <c r="D3708" i="1"/>
  <c r="C3708" i="1"/>
  <c r="B3708" i="1"/>
  <c r="F3707" i="1"/>
  <c r="E3707" i="1"/>
  <c r="D3707" i="1"/>
  <c r="C3707" i="1"/>
  <c r="B3707" i="1"/>
  <c r="F3706" i="1"/>
  <c r="E3706" i="1"/>
  <c r="D3706" i="1"/>
  <c r="C3706" i="1"/>
  <c r="B3706" i="1"/>
  <c r="G3705" i="1"/>
  <c r="F3705" i="1"/>
  <c r="E3705" i="1"/>
  <c r="D3705" i="1"/>
  <c r="C3705" i="1"/>
  <c r="B3705" i="1"/>
  <c r="F3704" i="1"/>
  <c r="E3704" i="1"/>
  <c r="D3704" i="1"/>
  <c r="C3704" i="1"/>
  <c r="B3704" i="1"/>
  <c r="F3703" i="1"/>
  <c r="E3703" i="1"/>
  <c r="D3703" i="1"/>
  <c r="C3703" i="1"/>
  <c r="B3703" i="1"/>
  <c r="G3702" i="1"/>
  <c r="F3702" i="1"/>
  <c r="E3702" i="1"/>
  <c r="D3702" i="1"/>
  <c r="C3702" i="1"/>
  <c r="B3702" i="1"/>
  <c r="F3701" i="1"/>
  <c r="E3701" i="1"/>
  <c r="D3701" i="1"/>
  <c r="C3701" i="1"/>
  <c r="B3701" i="1"/>
  <c r="F3700" i="1"/>
  <c r="E3700" i="1"/>
  <c r="D3700" i="1"/>
  <c r="C3700" i="1"/>
  <c r="B3700" i="1"/>
  <c r="G3699" i="1"/>
  <c r="F3699" i="1"/>
  <c r="E3699" i="1"/>
  <c r="D3699" i="1"/>
  <c r="C3699" i="1"/>
  <c r="B3699" i="1"/>
  <c r="G3698" i="1"/>
  <c r="F3698" i="1"/>
  <c r="E3698" i="1"/>
  <c r="D3698" i="1"/>
  <c r="C3698" i="1"/>
  <c r="B3698" i="1"/>
  <c r="G3697" i="1"/>
  <c r="F3697" i="1"/>
  <c r="E3697" i="1"/>
  <c r="D3697" i="1"/>
  <c r="C3697" i="1"/>
  <c r="B3697" i="1"/>
  <c r="G3696" i="1"/>
  <c r="F3696" i="1"/>
  <c r="E3696" i="1"/>
  <c r="D3696" i="1"/>
  <c r="C3696" i="1"/>
  <c r="B3696" i="1"/>
  <c r="F3695" i="1"/>
  <c r="E3695" i="1"/>
  <c r="D3695" i="1"/>
  <c r="C3695" i="1"/>
  <c r="B3695" i="1"/>
  <c r="G3694" i="1"/>
  <c r="F3694" i="1"/>
  <c r="E3694" i="1"/>
  <c r="D3694" i="1"/>
  <c r="C3694" i="1"/>
  <c r="B3694" i="1"/>
  <c r="G3693" i="1"/>
  <c r="F3693" i="1"/>
  <c r="E3693" i="1"/>
  <c r="D3693" i="1"/>
  <c r="C3693" i="1"/>
  <c r="B3693" i="1"/>
  <c r="F3692" i="1"/>
  <c r="E3692" i="1"/>
  <c r="D3692" i="1"/>
  <c r="C3692" i="1"/>
  <c r="B3692" i="1"/>
  <c r="G3691" i="1"/>
  <c r="F3691" i="1"/>
  <c r="E3691" i="1"/>
  <c r="D3691" i="1"/>
  <c r="C3691" i="1"/>
  <c r="B3691" i="1"/>
  <c r="G3690" i="1"/>
  <c r="F3690" i="1"/>
  <c r="E3690" i="1"/>
  <c r="D3690" i="1"/>
  <c r="C3690" i="1"/>
  <c r="B3690" i="1"/>
  <c r="G3689" i="1"/>
  <c r="F3689" i="1"/>
  <c r="E3689" i="1"/>
  <c r="D3689" i="1"/>
  <c r="C3689" i="1"/>
  <c r="B3689" i="1"/>
  <c r="G3688" i="1"/>
  <c r="F3688" i="1"/>
  <c r="E3688" i="1"/>
  <c r="D3688" i="1"/>
  <c r="C3688" i="1"/>
  <c r="B3688" i="1"/>
  <c r="F3687" i="1"/>
  <c r="E3687" i="1"/>
  <c r="D3687" i="1"/>
  <c r="C3687" i="1"/>
  <c r="B3687" i="1"/>
  <c r="G3686" i="1"/>
  <c r="F3686" i="1"/>
  <c r="E3686" i="1"/>
  <c r="D3686" i="1"/>
  <c r="C3686" i="1"/>
  <c r="B3686" i="1"/>
  <c r="G3685" i="1"/>
  <c r="F3685" i="1"/>
  <c r="E3685" i="1"/>
  <c r="D3685" i="1"/>
  <c r="C3685" i="1"/>
  <c r="B3685" i="1"/>
  <c r="G3684" i="1"/>
  <c r="F3684" i="1"/>
  <c r="E3684" i="1"/>
  <c r="D3684" i="1"/>
  <c r="C3684" i="1"/>
  <c r="B3684" i="1"/>
  <c r="G3683" i="1"/>
  <c r="F3683" i="1"/>
  <c r="E3683" i="1"/>
  <c r="D3683" i="1"/>
  <c r="C3683" i="1"/>
  <c r="B3683" i="1"/>
  <c r="G3682" i="1"/>
  <c r="F3682" i="1"/>
  <c r="E3682" i="1"/>
  <c r="D3682" i="1"/>
  <c r="C3682" i="1"/>
  <c r="B3682" i="1"/>
  <c r="F3681" i="1"/>
  <c r="E3681" i="1"/>
  <c r="D3681" i="1"/>
  <c r="C3681" i="1"/>
  <c r="B3681" i="1"/>
  <c r="G3680" i="1"/>
  <c r="F3680" i="1"/>
  <c r="E3680" i="1"/>
  <c r="D3680" i="1"/>
  <c r="C3680" i="1"/>
  <c r="B3680" i="1"/>
  <c r="F3679" i="1"/>
  <c r="E3679" i="1"/>
  <c r="D3679" i="1"/>
  <c r="C3679" i="1"/>
  <c r="B3679" i="1"/>
  <c r="G3678" i="1"/>
  <c r="F3678" i="1"/>
  <c r="E3678" i="1"/>
  <c r="D3678" i="1"/>
  <c r="C3678" i="1"/>
  <c r="B3678" i="1"/>
  <c r="F3677" i="1"/>
  <c r="E3677" i="1"/>
  <c r="D3677" i="1"/>
  <c r="C3677" i="1"/>
  <c r="B3677" i="1"/>
  <c r="G3676" i="1"/>
  <c r="F3676" i="1"/>
  <c r="E3676" i="1"/>
  <c r="D3676" i="1"/>
  <c r="C3676" i="1"/>
  <c r="B3676" i="1"/>
  <c r="F3675" i="1"/>
  <c r="E3675" i="1"/>
  <c r="D3675" i="1"/>
  <c r="C3675" i="1"/>
  <c r="B3675" i="1"/>
  <c r="F3674" i="1"/>
  <c r="E3674" i="1"/>
  <c r="D3674" i="1"/>
  <c r="C3674" i="1"/>
  <c r="B3674" i="1"/>
  <c r="G3673" i="1"/>
  <c r="F3673" i="1"/>
  <c r="E3673" i="1"/>
  <c r="D3673" i="1"/>
  <c r="C3673" i="1"/>
  <c r="B3673" i="1"/>
  <c r="G3672" i="1"/>
  <c r="F3672" i="1"/>
  <c r="E3672" i="1"/>
  <c r="D3672" i="1"/>
  <c r="C3672" i="1"/>
  <c r="B3672" i="1"/>
  <c r="F3671" i="1"/>
  <c r="E3671" i="1"/>
  <c r="D3671" i="1"/>
  <c r="C3671" i="1"/>
  <c r="B3671" i="1"/>
  <c r="F3670" i="1"/>
  <c r="E3670" i="1"/>
  <c r="D3670" i="1"/>
  <c r="C3670" i="1"/>
  <c r="B3670" i="1"/>
  <c r="G3669" i="1"/>
  <c r="F3669" i="1"/>
  <c r="E3669" i="1"/>
  <c r="D3669" i="1"/>
  <c r="C3669" i="1"/>
  <c r="B3669" i="1"/>
  <c r="G3668" i="1"/>
  <c r="F3668" i="1"/>
  <c r="E3668" i="1"/>
  <c r="D3668" i="1"/>
  <c r="C3668" i="1"/>
  <c r="B3668" i="1"/>
  <c r="F3667" i="1"/>
  <c r="E3667" i="1"/>
  <c r="D3667" i="1"/>
  <c r="C3667" i="1"/>
  <c r="B3667" i="1"/>
  <c r="G3666" i="1"/>
  <c r="F3666" i="1"/>
  <c r="E3666" i="1"/>
  <c r="D3666" i="1"/>
  <c r="C3666" i="1"/>
  <c r="B3666" i="1"/>
  <c r="G3665" i="1"/>
  <c r="F3665" i="1"/>
  <c r="E3665" i="1"/>
  <c r="D3665" i="1"/>
  <c r="C3665" i="1"/>
  <c r="B3665" i="1"/>
  <c r="G3664" i="1"/>
  <c r="F3664" i="1"/>
  <c r="E3664" i="1"/>
  <c r="D3664" i="1"/>
  <c r="C3664" i="1"/>
  <c r="B3664" i="1"/>
  <c r="F3663" i="1"/>
  <c r="E3663" i="1"/>
  <c r="D3663" i="1"/>
  <c r="C3663" i="1"/>
  <c r="B3663" i="1"/>
  <c r="G3662" i="1"/>
  <c r="F3662" i="1"/>
  <c r="E3662" i="1"/>
  <c r="D3662" i="1"/>
  <c r="C3662" i="1"/>
  <c r="B3662" i="1"/>
  <c r="F3661" i="1"/>
  <c r="E3661" i="1"/>
  <c r="D3661" i="1"/>
  <c r="C3661" i="1"/>
  <c r="B3661" i="1"/>
  <c r="G3660" i="1"/>
  <c r="F3660" i="1"/>
  <c r="E3660" i="1"/>
  <c r="D3660" i="1"/>
  <c r="C3660" i="1"/>
  <c r="B3660" i="1"/>
  <c r="F3659" i="1"/>
  <c r="E3659" i="1"/>
  <c r="D3659" i="1"/>
  <c r="C3659" i="1"/>
  <c r="B3659" i="1"/>
  <c r="G3658" i="1"/>
  <c r="F3658" i="1"/>
  <c r="E3658" i="1"/>
  <c r="D3658" i="1"/>
  <c r="C3658" i="1"/>
  <c r="B3658" i="1"/>
  <c r="G3657" i="1"/>
  <c r="F3657" i="1"/>
  <c r="E3657" i="1"/>
  <c r="D3657" i="1"/>
  <c r="C3657" i="1"/>
  <c r="B3657" i="1"/>
  <c r="G3656" i="1"/>
  <c r="F3656" i="1"/>
  <c r="E3656" i="1"/>
  <c r="D3656" i="1"/>
  <c r="C3656" i="1"/>
  <c r="B3656" i="1"/>
  <c r="G3655" i="1"/>
  <c r="F3655" i="1"/>
  <c r="E3655" i="1"/>
  <c r="D3655" i="1"/>
  <c r="C3655" i="1"/>
  <c r="B3655" i="1"/>
  <c r="G3654" i="1"/>
  <c r="F3654" i="1"/>
  <c r="E3654" i="1"/>
  <c r="D3654" i="1"/>
  <c r="C3654" i="1"/>
  <c r="B3654" i="1"/>
  <c r="G3653" i="1"/>
  <c r="F3653" i="1"/>
  <c r="E3653" i="1"/>
  <c r="D3653" i="1"/>
  <c r="C3653" i="1"/>
  <c r="B3653" i="1"/>
  <c r="G3652" i="1"/>
  <c r="F3652" i="1"/>
  <c r="E3652" i="1"/>
  <c r="D3652" i="1"/>
  <c r="C3652" i="1"/>
  <c r="B3652" i="1"/>
  <c r="F3651" i="1"/>
  <c r="E3651" i="1"/>
  <c r="D3651" i="1"/>
  <c r="C3651" i="1"/>
  <c r="B3651" i="1"/>
  <c r="G3650" i="1"/>
  <c r="F3650" i="1"/>
  <c r="E3650" i="1"/>
  <c r="D3650" i="1"/>
  <c r="C3650" i="1"/>
  <c r="B3650" i="1"/>
  <c r="F3649" i="1"/>
  <c r="E3649" i="1"/>
  <c r="D3649" i="1"/>
  <c r="C3649" i="1"/>
  <c r="B3649" i="1"/>
  <c r="F3648" i="1"/>
  <c r="E3648" i="1"/>
  <c r="D3648" i="1"/>
  <c r="C3648" i="1"/>
  <c r="B3648" i="1"/>
  <c r="F3647" i="1"/>
  <c r="E3647" i="1"/>
  <c r="D3647" i="1"/>
  <c r="C3647" i="1"/>
  <c r="B3647" i="1"/>
  <c r="F3646" i="1"/>
  <c r="E3646" i="1"/>
  <c r="D3646" i="1"/>
  <c r="C3646" i="1"/>
  <c r="B3646" i="1"/>
  <c r="F3645" i="1"/>
  <c r="E3645" i="1"/>
  <c r="D3645" i="1"/>
  <c r="C3645" i="1"/>
  <c r="B3645" i="1"/>
  <c r="F3644" i="1"/>
  <c r="E3644" i="1"/>
  <c r="D3644" i="1"/>
  <c r="C3644" i="1"/>
  <c r="B3644" i="1"/>
  <c r="G3643" i="1"/>
  <c r="F3643" i="1"/>
  <c r="E3643" i="1"/>
  <c r="D3643" i="1"/>
  <c r="C3643" i="1"/>
  <c r="B3643" i="1"/>
  <c r="G3642" i="1"/>
  <c r="F3642" i="1"/>
  <c r="E3642" i="1"/>
  <c r="D3642" i="1"/>
  <c r="C3642" i="1"/>
  <c r="B3642" i="1"/>
  <c r="G3641" i="1"/>
  <c r="F3641" i="1"/>
  <c r="E3641" i="1"/>
  <c r="D3641" i="1"/>
  <c r="C3641" i="1"/>
  <c r="B3641" i="1"/>
  <c r="F3640" i="1"/>
  <c r="E3640" i="1"/>
  <c r="D3640" i="1"/>
  <c r="C3640" i="1"/>
  <c r="B3640" i="1"/>
  <c r="G3639" i="1"/>
  <c r="F3639" i="1"/>
  <c r="E3639" i="1"/>
  <c r="D3639" i="1"/>
  <c r="C3639" i="1"/>
  <c r="B3639" i="1"/>
  <c r="F3638" i="1"/>
  <c r="E3638" i="1"/>
  <c r="D3638" i="1"/>
  <c r="C3638" i="1"/>
  <c r="B3638" i="1"/>
  <c r="G3637" i="1"/>
  <c r="F3637" i="1"/>
  <c r="E3637" i="1"/>
  <c r="D3637" i="1"/>
  <c r="C3637" i="1"/>
  <c r="B3637" i="1"/>
  <c r="G3636" i="1"/>
  <c r="F3636" i="1"/>
  <c r="E3636" i="1"/>
  <c r="D3636" i="1"/>
  <c r="C3636" i="1"/>
  <c r="B3636" i="1"/>
  <c r="F3635" i="1"/>
  <c r="E3635" i="1"/>
  <c r="D3635" i="1"/>
  <c r="C3635" i="1"/>
  <c r="B3635" i="1"/>
  <c r="F3634" i="1"/>
  <c r="E3634" i="1"/>
  <c r="D3634" i="1"/>
  <c r="C3634" i="1"/>
  <c r="B3634" i="1"/>
  <c r="F3633" i="1"/>
  <c r="E3633" i="1"/>
  <c r="D3633" i="1"/>
  <c r="C3633" i="1"/>
  <c r="B3633" i="1"/>
  <c r="G3632" i="1"/>
  <c r="F3632" i="1"/>
  <c r="E3632" i="1"/>
  <c r="D3632" i="1"/>
  <c r="C3632" i="1"/>
  <c r="B3632" i="1"/>
  <c r="F3631" i="1"/>
  <c r="E3631" i="1"/>
  <c r="D3631" i="1"/>
  <c r="C3631" i="1"/>
  <c r="B3631" i="1"/>
  <c r="F3630" i="1"/>
  <c r="E3630" i="1"/>
  <c r="D3630" i="1"/>
  <c r="C3630" i="1"/>
  <c r="B3630" i="1"/>
  <c r="G3629" i="1"/>
  <c r="F3629" i="1"/>
  <c r="E3629" i="1"/>
  <c r="D3629" i="1"/>
  <c r="C3629" i="1"/>
  <c r="B3629" i="1"/>
  <c r="G3628" i="1"/>
  <c r="F3628" i="1"/>
  <c r="E3628" i="1"/>
  <c r="D3628" i="1"/>
  <c r="C3628" i="1"/>
  <c r="B3628" i="1"/>
  <c r="G3627" i="1"/>
  <c r="F3627" i="1"/>
  <c r="E3627" i="1"/>
  <c r="D3627" i="1"/>
  <c r="C3627" i="1"/>
  <c r="B3627" i="1"/>
  <c r="G3626" i="1"/>
  <c r="F3626" i="1"/>
  <c r="E3626" i="1"/>
  <c r="D3626" i="1"/>
  <c r="C3626" i="1"/>
  <c r="B3626" i="1"/>
  <c r="F3625" i="1"/>
  <c r="E3625" i="1"/>
  <c r="D3625" i="1"/>
  <c r="C3625" i="1"/>
  <c r="B3625" i="1"/>
  <c r="F3624" i="1"/>
  <c r="E3624" i="1"/>
  <c r="D3624" i="1"/>
  <c r="C3624" i="1"/>
  <c r="B3624" i="1"/>
  <c r="G3623" i="1"/>
  <c r="F3623" i="1"/>
  <c r="E3623" i="1"/>
  <c r="D3623" i="1"/>
  <c r="C3623" i="1"/>
  <c r="B3623" i="1"/>
  <c r="G3622" i="1"/>
  <c r="F3622" i="1"/>
  <c r="E3622" i="1"/>
  <c r="D3622" i="1"/>
  <c r="C3622" i="1"/>
  <c r="B3622" i="1"/>
  <c r="G3621" i="1"/>
  <c r="F3621" i="1"/>
  <c r="E3621" i="1"/>
  <c r="D3621" i="1"/>
  <c r="C3621" i="1"/>
  <c r="B3621" i="1"/>
  <c r="G3620" i="1"/>
  <c r="F3620" i="1"/>
  <c r="E3620" i="1"/>
  <c r="D3620" i="1"/>
  <c r="C3620" i="1"/>
  <c r="B3620" i="1"/>
  <c r="G3619" i="1"/>
  <c r="F3619" i="1"/>
  <c r="E3619" i="1"/>
  <c r="D3619" i="1"/>
  <c r="C3619" i="1"/>
  <c r="B3619" i="1"/>
  <c r="G3618" i="1"/>
  <c r="F3618" i="1"/>
  <c r="E3618" i="1"/>
  <c r="D3618" i="1"/>
  <c r="C3618" i="1"/>
  <c r="B3618" i="1"/>
  <c r="G3617" i="1"/>
  <c r="F3617" i="1"/>
  <c r="E3617" i="1"/>
  <c r="D3617" i="1"/>
  <c r="C3617" i="1"/>
  <c r="B3617" i="1"/>
  <c r="G3616" i="1"/>
  <c r="F3616" i="1"/>
  <c r="E3616" i="1"/>
  <c r="D3616" i="1"/>
  <c r="C3616" i="1"/>
  <c r="B3616" i="1"/>
  <c r="G3615" i="1"/>
  <c r="F3615" i="1"/>
  <c r="E3615" i="1"/>
  <c r="D3615" i="1"/>
  <c r="C3615" i="1"/>
  <c r="B3615" i="1"/>
  <c r="F3614" i="1"/>
  <c r="E3614" i="1"/>
  <c r="D3614" i="1"/>
  <c r="C3614" i="1"/>
  <c r="B3614" i="1"/>
  <c r="G3613" i="1"/>
  <c r="F3613" i="1"/>
  <c r="E3613" i="1"/>
  <c r="D3613" i="1"/>
  <c r="C3613" i="1"/>
  <c r="B3613" i="1"/>
  <c r="G3612" i="1"/>
  <c r="F3612" i="1"/>
  <c r="E3612" i="1"/>
  <c r="D3612" i="1"/>
  <c r="C3612" i="1"/>
  <c r="B3612" i="1"/>
  <c r="G3611" i="1"/>
  <c r="F3611" i="1"/>
  <c r="E3611" i="1"/>
  <c r="D3611" i="1"/>
  <c r="C3611" i="1"/>
  <c r="B3611" i="1"/>
  <c r="G3610" i="1"/>
  <c r="F3610" i="1"/>
  <c r="E3610" i="1"/>
  <c r="D3610" i="1"/>
  <c r="C3610" i="1"/>
  <c r="B3610" i="1"/>
  <c r="F3609" i="1"/>
  <c r="E3609" i="1"/>
  <c r="D3609" i="1"/>
  <c r="C3609" i="1"/>
  <c r="B3609" i="1"/>
  <c r="G3608" i="1"/>
  <c r="F3608" i="1"/>
  <c r="E3608" i="1"/>
  <c r="D3608" i="1"/>
  <c r="C3608" i="1"/>
  <c r="B3608" i="1"/>
  <c r="F3607" i="1"/>
  <c r="E3607" i="1"/>
  <c r="D3607" i="1"/>
  <c r="C3607" i="1"/>
  <c r="B3607" i="1"/>
  <c r="F3606" i="1"/>
  <c r="E3606" i="1"/>
  <c r="D3606" i="1"/>
  <c r="C3606" i="1"/>
  <c r="B3606" i="1"/>
  <c r="G3605" i="1"/>
  <c r="F3605" i="1"/>
  <c r="E3605" i="1"/>
  <c r="D3605" i="1"/>
  <c r="C3605" i="1"/>
  <c r="B3605" i="1"/>
  <c r="F3604" i="1"/>
  <c r="E3604" i="1"/>
  <c r="D3604" i="1"/>
  <c r="C3604" i="1"/>
  <c r="B3604" i="1"/>
  <c r="F3603" i="1"/>
  <c r="E3603" i="1"/>
  <c r="D3603" i="1"/>
  <c r="C3603" i="1"/>
  <c r="B3603" i="1"/>
  <c r="G3602" i="1"/>
  <c r="F3602" i="1"/>
  <c r="E3602" i="1"/>
  <c r="D3602" i="1"/>
  <c r="C3602" i="1"/>
  <c r="B3602" i="1"/>
  <c r="G3601" i="1"/>
  <c r="F3601" i="1"/>
  <c r="E3601" i="1"/>
  <c r="D3601" i="1"/>
  <c r="C3601" i="1"/>
  <c r="B3601" i="1"/>
  <c r="G3600" i="1"/>
  <c r="F3600" i="1"/>
  <c r="E3600" i="1"/>
  <c r="D3600" i="1"/>
  <c r="C3600" i="1"/>
  <c r="B3600" i="1"/>
  <c r="G3599" i="1"/>
  <c r="F3599" i="1"/>
  <c r="E3599" i="1"/>
  <c r="D3599" i="1"/>
  <c r="C3599" i="1"/>
  <c r="B3599" i="1"/>
  <c r="G3598" i="1"/>
  <c r="F3598" i="1"/>
  <c r="E3598" i="1"/>
  <c r="D3598" i="1"/>
  <c r="C3598" i="1"/>
  <c r="B3598" i="1"/>
  <c r="G3597" i="1"/>
  <c r="F3597" i="1"/>
  <c r="E3597" i="1"/>
  <c r="D3597" i="1"/>
  <c r="C3597" i="1"/>
  <c r="B3597" i="1"/>
  <c r="F3596" i="1"/>
  <c r="E3596" i="1"/>
  <c r="D3596" i="1"/>
  <c r="C3596" i="1"/>
  <c r="B3596" i="1"/>
  <c r="G3595" i="1"/>
  <c r="F3595" i="1"/>
  <c r="E3595" i="1"/>
  <c r="D3595" i="1"/>
  <c r="C3595" i="1"/>
  <c r="B3595" i="1"/>
  <c r="G3594" i="1"/>
  <c r="F3594" i="1"/>
  <c r="E3594" i="1"/>
  <c r="D3594" i="1"/>
  <c r="C3594" i="1"/>
  <c r="B3594" i="1"/>
  <c r="G3593" i="1"/>
  <c r="F3593" i="1"/>
  <c r="E3593" i="1"/>
  <c r="D3593" i="1"/>
  <c r="C3593" i="1"/>
  <c r="B3593" i="1"/>
  <c r="G3592" i="1"/>
  <c r="F3592" i="1"/>
  <c r="E3592" i="1"/>
  <c r="D3592" i="1"/>
  <c r="C3592" i="1"/>
  <c r="B3592" i="1"/>
  <c r="F3591" i="1"/>
  <c r="E3591" i="1"/>
  <c r="D3591" i="1"/>
  <c r="C3591" i="1"/>
  <c r="B3591" i="1"/>
  <c r="G3590" i="1"/>
  <c r="F3590" i="1"/>
  <c r="E3590" i="1"/>
  <c r="D3590" i="1"/>
  <c r="C3590" i="1"/>
  <c r="B3590" i="1"/>
  <c r="G3589" i="1"/>
  <c r="F3589" i="1"/>
  <c r="E3589" i="1"/>
  <c r="D3589" i="1"/>
  <c r="C3589" i="1"/>
  <c r="B3589" i="1"/>
  <c r="G3588" i="1"/>
  <c r="F3588" i="1"/>
  <c r="E3588" i="1"/>
  <c r="D3588" i="1"/>
  <c r="C3588" i="1"/>
  <c r="B3588" i="1"/>
  <c r="G3587" i="1"/>
  <c r="F3587" i="1"/>
  <c r="E3587" i="1"/>
  <c r="D3587" i="1"/>
  <c r="C3587" i="1"/>
  <c r="B3587" i="1"/>
  <c r="G3586" i="1"/>
  <c r="F3586" i="1"/>
  <c r="E3586" i="1"/>
  <c r="D3586" i="1"/>
  <c r="C3586" i="1"/>
  <c r="B3586" i="1"/>
  <c r="G3585" i="1"/>
  <c r="F3585" i="1"/>
  <c r="E3585" i="1"/>
  <c r="D3585" i="1"/>
  <c r="C3585" i="1"/>
  <c r="B3585" i="1"/>
  <c r="G3584" i="1"/>
  <c r="F3584" i="1"/>
  <c r="E3584" i="1"/>
  <c r="D3584" i="1"/>
  <c r="C3584" i="1"/>
  <c r="B3584" i="1"/>
  <c r="G3583" i="1"/>
  <c r="F3583" i="1"/>
  <c r="E3583" i="1"/>
  <c r="D3583" i="1"/>
  <c r="C3583" i="1"/>
  <c r="B3583" i="1"/>
  <c r="G3582" i="1"/>
  <c r="F3582" i="1"/>
  <c r="E3582" i="1"/>
  <c r="D3582" i="1"/>
  <c r="C3582" i="1"/>
  <c r="B3582" i="1"/>
  <c r="G3581" i="1"/>
  <c r="F3581" i="1"/>
  <c r="E3581" i="1"/>
  <c r="D3581" i="1"/>
  <c r="C3581" i="1"/>
  <c r="B3581" i="1"/>
  <c r="G3580" i="1"/>
  <c r="F3580" i="1"/>
  <c r="E3580" i="1"/>
  <c r="D3580" i="1"/>
  <c r="C3580" i="1"/>
  <c r="B3580" i="1"/>
  <c r="G3579" i="1"/>
  <c r="F3579" i="1"/>
  <c r="E3579" i="1"/>
  <c r="D3579" i="1"/>
  <c r="C3579" i="1"/>
  <c r="B3579" i="1"/>
  <c r="G3578" i="1"/>
  <c r="F3578" i="1"/>
  <c r="E3578" i="1"/>
  <c r="D3578" i="1"/>
  <c r="C3578" i="1"/>
  <c r="B3578" i="1"/>
  <c r="G3577" i="1"/>
  <c r="F3577" i="1"/>
  <c r="E3577" i="1"/>
  <c r="D3577" i="1"/>
  <c r="C3577" i="1"/>
  <c r="B3577" i="1"/>
  <c r="G3576" i="1"/>
  <c r="F3576" i="1"/>
  <c r="E3576" i="1"/>
  <c r="D3576" i="1"/>
  <c r="C3576" i="1"/>
  <c r="B3576" i="1"/>
  <c r="G3575" i="1"/>
  <c r="F3575" i="1"/>
  <c r="E3575" i="1"/>
  <c r="D3575" i="1"/>
  <c r="C3575" i="1"/>
  <c r="B3575" i="1"/>
  <c r="G3574" i="1"/>
  <c r="F3574" i="1"/>
  <c r="E3574" i="1"/>
  <c r="D3574" i="1"/>
  <c r="C3574" i="1"/>
  <c r="B3574" i="1"/>
  <c r="G3573" i="1"/>
  <c r="F3573" i="1"/>
  <c r="E3573" i="1"/>
  <c r="D3573" i="1"/>
  <c r="C3573" i="1"/>
  <c r="B3573" i="1"/>
  <c r="G3572" i="1"/>
  <c r="F3572" i="1"/>
  <c r="E3572" i="1"/>
  <c r="D3572" i="1"/>
  <c r="C3572" i="1"/>
  <c r="B3572" i="1"/>
  <c r="G3571" i="1"/>
  <c r="F3571" i="1"/>
  <c r="E3571" i="1"/>
  <c r="D3571" i="1"/>
  <c r="C3571" i="1"/>
  <c r="B3571" i="1"/>
  <c r="F3570" i="1"/>
  <c r="E3570" i="1"/>
  <c r="D3570" i="1"/>
  <c r="C3570" i="1"/>
  <c r="B3570" i="1"/>
  <c r="G3569" i="1"/>
  <c r="F3569" i="1"/>
  <c r="E3569" i="1"/>
  <c r="D3569" i="1"/>
  <c r="C3569" i="1"/>
  <c r="B3569" i="1"/>
  <c r="F3568" i="1"/>
  <c r="E3568" i="1"/>
  <c r="D3568" i="1"/>
  <c r="C3568" i="1"/>
  <c r="B3568" i="1"/>
  <c r="G3567" i="1"/>
  <c r="F3567" i="1"/>
  <c r="E3567" i="1"/>
  <c r="D3567" i="1"/>
  <c r="C3567" i="1"/>
  <c r="B3567" i="1"/>
  <c r="F3566" i="1"/>
  <c r="E3566" i="1"/>
  <c r="D3566" i="1"/>
  <c r="C3566" i="1"/>
  <c r="B3566" i="1"/>
  <c r="G3565" i="1"/>
  <c r="F3565" i="1"/>
  <c r="E3565" i="1"/>
  <c r="D3565" i="1"/>
  <c r="C3565" i="1"/>
  <c r="B3565" i="1"/>
  <c r="F3564" i="1"/>
  <c r="E3564" i="1"/>
  <c r="D3564" i="1"/>
  <c r="C3564" i="1"/>
  <c r="B3564" i="1"/>
  <c r="G3563" i="1"/>
  <c r="F3563" i="1"/>
  <c r="E3563" i="1"/>
  <c r="D3563" i="1"/>
  <c r="C3563" i="1"/>
  <c r="B3563" i="1"/>
  <c r="G3562" i="1"/>
  <c r="F3562" i="1"/>
  <c r="E3562" i="1"/>
  <c r="D3562" i="1"/>
  <c r="C3562" i="1"/>
  <c r="B3562" i="1"/>
  <c r="G3561" i="1"/>
  <c r="F3561" i="1"/>
  <c r="E3561" i="1"/>
  <c r="D3561" i="1"/>
  <c r="C3561" i="1"/>
  <c r="B3561" i="1"/>
  <c r="G3560" i="1"/>
  <c r="F3560" i="1"/>
  <c r="E3560" i="1"/>
  <c r="D3560" i="1"/>
  <c r="C3560" i="1"/>
  <c r="B3560" i="1"/>
  <c r="G3559" i="1"/>
  <c r="F3559" i="1"/>
  <c r="E3559" i="1"/>
  <c r="D3559" i="1"/>
  <c r="C3559" i="1"/>
  <c r="B3559" i="1"/>
  <c r="F3558" i="1"/>
  <c r="E3558" i="1"/>
  <c r="D3558" i="1"/>
  <c r="C3558" i="1"/>
  <c r="B3558" i="1"/>
  <c r="G3557" i="1"/>
  <c r="F3557" i="1"/>
  <c r="E3557" i="1"/>
  <c r="D3557" i="1"/>
  <c r="C3557" i="1"/>
  <c r="B3557" i="1"/>
  <c r="F3556" i="1"/>
  <c r="E3556" i="1"/>
  <c r="D3556" i="1"/>
  <c r="C3556" i="1"/>
  <c r="B3556" i="1"/>
  <c r="G3555" i="1"/>
  <c r="F3555" i="1"/>
  <c r="E3555" i="1"/>
  <c r="D3555" i="1"/>
  <c r="C3555" i="1"/>
  <c r="B3555" i="1"/>
  <c r="F3554" i="1"/>
  <c r="E3554" i="1"/>
  <c r="D3554" i="1"/>
  <c r="C3554" i="1"/>
  <c r="B3554" i="1"/>
  <c r="G3553" i="1"/>
  <c r="F3553" i="1"/>
  <c r="E3553" i="1"/>
  <c r="D3553" i="1"/>
  <c r="C3553" i="1"/>
  <c r="B3553" i="1"/>
  <c r="G3552" i="1"/>
  <c r="F3552" i="1"/>
  <c r="E3552" i="1"/>
  <c r="D3552" i="1"/>
  <c r="C3552" i="1"/>
  <c r="B3552" i="1"/>
  <c r="G3551" i="1"/>
  <c r="F3551" i="1"/>
  <c r="E3551" i="1"/>
  <c r="D3551" i="1"/>
  <c r="C3551" i="1"/>
  <c r="B3551" i="1"/>
  <c r="F3550" i="1"/>
  <c r="E3550" i="1"/>
  <c r="D3550" i="1"/>
  <c r="C3550" i="1"/>
  <c r="B3550" i="1"/>
  <c r="G3549" i="1"/>
  <c r="F3549" i="1"/>
  <c r="E3549" i="1"/>
  <c r="D3549" i="1"/>
  <c r="C3549" i="1"/>
  <c r="B3549" i="1"/>
  <c r="G3548" i="1"/>
  <c r="F3548" i="1"/>
  <c r="E3548" i="1"/>
  <c r="D3548" i="1"/>
  <c r="C3548" i="1"/>
  <c r="B3548" i="1"/>
  <c r="F3547" i="1"/>
  <c r="E3547" i="1"/>
  <c r="D3547" i="1"/>
  <c r="C3547" i="1"/>
  <c r="B3547" i="1"/>
  <c r="G3546" i="1"/>
  <c r="F3546" i="1"/>
  <c r="E3546" i="1"/>
  <c r="D3546" i="1"/>
  <c r="C3546" i="1"/>
  <c r="B3546" i="1"/>
  <c r="G3545" i="1"/>
  <c r="F3545" i="1"/>
  <c r="E3545" i="1"/>
  <c r="D3545" i="1"/>
  <c r="C3545" i="1"/>
  <c r="B3545" i="1"/>
  <c r="G3544" i="1"/>
  <c r="F3544" i="1"/>
  <c r="E3544" i="1"/>
  <c r="D3544" i="1"/>
  <c r="C3544" i="1"/>
  <c r="B3544" i="1"/>
  <c r="G3543" i="1"/>
  <c r="F3543" i="1"/>
  <c r="E3543" i="1"/>
  <c r="D3543" i="1"/>
  <c r="C3543" i="1"/>
  <c r="B3543" i="1"/>
  <c r="G3542" i="1"/>
  <c r="F3542" i="1"/>
  <c r="E3542" i="1"/>
  <c r="D3542" i="1"/>
  <c r="C3542" i="1"/>
  <c r="B3542" i="1"/>
  <c r="G3541" i="1"/>
  <c r="F3541" i="1"/>
  <c r="E3541" i="1"/>
  <c r="D3541" i="1"/>
  <c r="C3541" i="1"/>
  <c r="B3541" i="1"/>
  <c r="G3540" i="1"/>
  <c r="F3540" i="1"/>
  <c r="E3540" i="1"/>
  <c r="D3540" i="1"/>
  <c r="C3540" i="1"/>
  <c r="B3540" i="1"/>
  <c r="G3539" i="1"/>
  <c r="F3539" i="1"/>
  <c r="E3539" i="1"/>
  <c r="D3539" i="1"/>
  <c r="C3539" i="1"/>
  <c r="B3539" i="1"/>
  <c r="G3538" i="1"/>
  <c r="F3538" i="1"/>
  <c r="E3538" i="1"/>
  <c r="D3538" i="1"/>
  <c r="C3538" i="1"/>
  <c r="B3538" i="1"/>
  <c r="G3537" i="1"/>
  <c r="F3537" i="1"/>
  <c r="E3537" i="1"/>
  <c r="D3537" i="1"/>
  <c r="C3537" i="1"/>
  <c r="B3537" i="1"/>
  <c r="G3536" i="1"/>
  <c r="F3536" i="1"/>
  <c r="E3536" i="1"/>
  <c r="D3536" i="1"/>
  <c r="C3536" i="1"/>
  <c r="B3536" i="1"/>
  <c r="G3535" i="1"/>
  <c r="F3535" i="1"/>
  <c r="E3535" i="1"/>
  <c r="D3535" i="1"/>
  <c r="C3535" i="1"/>
  <c r="B3535" i="1"/>
  <c r="G3534" i="1"/>
  <c r="F3534" i="1"/>
  <c r="E3534" i="1"/>
  <c r="D3534" i="1"/>
  <c r="C3534" i="1"/>
  <c r="B3534" i="1"/>
  <c r="F3533" i="1"/>
  <c r="E3533" i="1"/>
  <c r="D3533" i="1"/>
  <c r="C3533" i="1"/>
  <c r="B3533" i="1"/>
  <c r="G3532" i="1"/>
  <c r="F3532" i="1"/>
  <c r="E3532" i="1"/>
  <c r="D3532" i="1"/>
  <c r="C3532" i="1"/>
  <c r="B3532" i="1"/>
  <c r="G3531" i="1"/>
  <c r="F3531" i="1"/>
  <c r="E3531" i="1"/>
  <c r="D3531" i="1"/>
  <c r="C3531" i="1"/>
  <c r="B3531" i="1"/>
  <c r="F3530" i="1"/>
  <c r="E3530" i="1"/>
  <c r="D3530" i="1"/>
  <c r="C3530" i="1"/>
  <c r="B3530" i="1"/>
  <c r="F3529" i="1"/>
  <c r="E3529" i="1"/>
  <c r="D3529" i="1"/>
  <c r="C3529" i="1"/>
  <c r="B3529" i="1"/>
  <c r="G3528" i="1"/>
  <c r="F3528" i="1"/>
  <c r="E3528" i="1"/>
  <c r="D3528" i="1"/>
  <c r="C3528" i="1"/>
  <c r="B3528" i="1"/>
  <c r="F3527" i="1"/>
  <c r="E3527" i="1"/>
  <c r="D3527" i="1"/>
  <c r="C3527" i="1"/>
  <c r="B3527" i="1"/>
  <c r="G3526" i="1"/>
  <c r="F3526" i="1"/>
  <c r="E3526" i="1"/>
  <c r="D3526" i="1"/>
  <c r="C3526" i="1"/>
  <c r="B3526" i="1"/>
  <c r="G3525" i="1"/>
  <c r="F3525" i="1"/>
  <c r="E3525" i="1"/>
  <c r="D3525" i="1"/>
  <c r="C3525" i="1"/>
  <c r="B3525" i="1"/>
  <c r="F3524" i="1"/>
  <c r="E3524" i="1"/>
  <c r="D3524" i="1"/>
  <c r="C3524" i="1"/>
  <c r="B3524" i="1"/>
  <c r="G3523" i="1"/>
  <c r="F3523" i="1"/>
  <c r="E3523" i="1"/>
  <c r="D3523" i="1"/>
  <c r="C3523" i="1"/>
  <c r="B3523" i="1"/>
  <c r="G3522" i="1"/>
  <c r="F3522" i="1"/>
  <c r="E3522" i="1"/>
  <c r="D3522" i="1"/>
  <c r="C3522" i="1"/>
  <c r="B3522" i="1"/>
  <c r="F3521" i="1"/>
  <c r="E3521" i="1"/>
  <c r="D3521" i="1"/>
  <c r="C3521" i="1"/>
  <c r="B3521" i="1"/>
  <c r="G3520" i="1"/>
  <c r="F3520" i="1"/>
  <c r="E3520" i="1"/>
  <c r="D3520" i="1"/>
  <c r="C3520" i="1"/>
  <c r="B3520" i="1"/>
  <c r="F3519" i="1"/>
  <c r="E3519" i="1"/>
  <c r="D3519" i="1"/>
  <c r="C3519" i="1"/>
  <c r="B3519" i="1"/>
  <c r="F3518" i="1"/>
  <c r="E3518" i="1"/>
  <c r="D3518" i="1"/>
  <c r="C3518" i="1"/>
  <c r="B3518" i="1"/>
  <c r="G3517" i="1"/>
  <c r="F3517" i="1"/>
  <c r="E3517" i="1"/>
  <c r="D3517" i="1"/>
  <c r="C3517" i="1"/>
  <c r="B3517" i="1"/>
  <c r="G3516" i="1"/>
  <c r="F3516" i="1"/>
  <c r="E3516" i="1"/>
  <c r="D3516" i="1"/>
  <c r="C3516" i="1"/>
  <c r="B3516" i="1"/>
  <c r="G3515" i="1"/>
  <c r="F3515" i="1"/>
  <c r="E3515" i="1"/>
  <c r="D3515" i="1"/>
  <c r="C3515" i="1"/>
  <c r="B3515" i="1"/>
  <c r="F3514" i="1"/>
  <c r="E3514" i="1"/>
  <c r="D3514" i="1"/>
  <c r="C3514" i="1"/>
  <c r="B3514" i="1"/>
  <c r="G3513" i="1"/>
  <c r="F3513" i="1"/>
  <c r="E3513" i="1"/>
  <c r="D3513" i="1"/>
  <c r="C3513" i="1"/>
  <c r="B3513" i="1"/>
  <c r="G3512" i="1"/>
  <c r="F3512" i="1"/>
  <c r="E3512" i="1"/>
  <c r="D3512" i="1"/>
  <c r="C3512" i="1"/>
  <c r="B3512" i="1"/>
  <c r="G3511" i="1"/>
  <c r="F3511" i="1"/>
  <c r="E3511" i="1"/>
  <c r="D3511" i="1"/>
  <c r="C3511" i="1"/>
  <c r="B3511" i="1"/>
  <c r="G3510" i="1"/>
  <c r="F3510" i="1"/>
  <c r="E3510" i="1"/>
  <c r="D3510" i="1"/>
  <c r="C3510" i="1"/>
  <c r="B3510" i="1"/>
  <c r="G3509" i="1"/>
  <c r="F3509" i="1"/>
  <c r="E3509" i="1"/>
  <c r="D3509" i="1"/>
  <c r="C3509" i="1"/>
  <c r="B3509" i="1"/>
  <c r="F3508" i="1"/>
  <c r="E3508" i="1"/>
  <c r="D3508" i="1"/>
  <c r="C3508" i="1"/>
  <c r="B3508" i="1"/>
  <c r="G3507" i="1"/>
  <c r="F3507" i="1"/>
  <c r="E3507" i="1"/>
  <c r="D3507" i="1"/>
  <c r="C3507" i="1"/>
  <c r="B3507" i="1"/>
  <c r="F3506" i="1"/>
  <c r="E3506" i="1"/>
  <c r="D3506" i="1"/>
  <c r="C3506" i="1"/>
  <c r="B3506" i="1"/>
  <c r="G3505" i="1"/>
  <c r="F3505" i="1"/>
  <c r="E3505" i="1"/>
  <c r="D3505" i="1"/>
  <c r="C3505" i="1"/>
  <c r="B3505" i="1"/>
  <c r="F3504" i="1"/>
  <c r="E3504" i="1"/>
  <c r="D3504" i="1"/>
  <c r="C3504" i="1"/>
  <c r="B3504" i="1"/>
  <c r="F3503" i="1"/>
  <c r="E3503" i="1"/>
  <c r="D3503" i="1"/>
  <c r="C3503" i="1"/>
  <c r="B3503" i="1"/>
  <c r="F3502" i="1"/>
  <c r="E3502" i="1"/>
  <c r="D3502" i="1"/>
  <c r="C3502" i="1"/>
  <c r="B3502" i="1"/>
  <c r="G3501" i="1"/>
  <c r="F3501" i="1"/>
  <c r="E3501" i="1"/>
  <c r="D3501" i="1"/>
  <c r="C3501" i="1"/>
  <c r="B3501" i="1"/>
  <c r="F3500" i="1"/>
  <c r="E3500" i="1"/>
  <c r="D3500" i="1"/>
  <c r="C3500" i="1"/>
  <c r="B3500" i="1"/>
  <c r="F3499" i="1"/>
  <c r="E3499" i="1"/>
  <c r="D3499" i="1"/>
  <c r="C3499" i="1"/>
  <c r="B3499" i="1"/>
  <c r="F3498" i="1"/>
  <c r="E3498" i="1"/>
  <c r="D3498" i="1"/>
  <c r="C3498" i="1"/>
  <c r="B3498" i="1"/>
  <c r="F3497" i="1"/>
  <c r="E3497" i="1"/>
  <c r="D3497" i="1"/>
  <c r="C3497" i="1"/>
  <c r="B3497" i="1"/>
  <c r="G3496" i="1"/>
  <c r="F3496" i="1"/>
  <c r="E3496" i="1"/>
  <c r="D3496" i="1"/>
  <c r="C3496" i="1"/>
  <c r="B3496" i="1"/>
  <c r="G3495" i="1"/>
  <c r="F3495" i="1"/>
  <c r="E3495" i="1"/>
  <c r="D3495" i="1"/>
  <c r="C3495" i="1"/>
  <c r="B3495" i="1"/>
  <c r="G3494" i="1"/>
  <c r="F3494" i="1"/>
  <c r="E3494" i="1"/>
  <c r="D3494" i="1"/>
  <c r="C3494" i="1"/>
  <c r="B3494" i="1"/>
  <c r="G3493" i="1"/>
  <c r="F3493" i="1"/>
  <c r="E3493" i="1"/>
  <c r="D3493" i="1"/>
  <c r="C3493" i="1"/>
  <c r="B3493" i="1"/>
  <c r="G3492" i="1"/>
  <c r="F3492" i="1"/>
  <c r="E3492" i="1"/>
  <c r="D3492" i="1"/>
  <c r="C3492" i="1"/>
  <c r="B3492" i="1"/>
  <c r="F3491" i="1"/>
  <c r="E3491" i="1"/>
  <c r="D3491" i="1"/>
  <c r="C3491" i="1"/>
  <c r="B3491" i="1"/>
  <c r="F3490" i="1"/>
  <c r="E3490" i="1"/>
  <c r="D3490" i="1"/>
  <c r="C3490" i="1"/>
  <c r="B3490" i="1"/>
  <c r="G3489" i="1"/>
  <c r="F3489" i="1"/>
  <c r="E3489" i="1"/>
  <c r="D3489" i="1"/>
  <c r="C3489" i="1"/>
  <c r="B3489" i="1"/>
  <c r="G3488" i="1"/>
  <c r="F3488" i="1"/>
  <c r="E3488" i="1"/>
  <c r="D3488" i="1"/>
  <c r="C3488" i="1"/>
  <c r="B3488" i="1"/>
  <c r="F3487" i="1"/>
  <c r="E3487" i="1"/>
  <c r="D3487" i="1"/>
  <c r="C3487" i="1"/>
  <c r="B3487" i="1"/>
  <c r="G3486" i="1"/>
  <c r="F3486" i="1"/>
  <c r="E3486" i="1"/>
  <c r="D3486" i="1"/>
  <c r="C3486" i="1"/>
  <c r="B3486" i="1"/>
  <c r="G3485" i="1"/>
  <c r="F3485" i="1"/>
  <c r="E3485" i="1"/>
  <c r="D3485" i="1"/>
  <c r="C3485" i="1"/>
  <c r="B3485" i="1"/>
  <c r="G3484" i="1"/>
  <c r="F3484" i="1"/>
  <c r="E3484" i="1"/>
  <c r="D3484" i="1"/>
  <c r="C3484" i="1"/>
  <c r="B3484" i="1"/>
  <c r="G3483" i="1"/>
  <c r="F3483" i="1"/>
  <c r="E3483" i="1"/>
  <c r="D3483" i="1"/>
  <c r="C3483" i="1"/>
  <c r="B3483" i="1"/>
  <c r="G3482" i="1"/>
  <c r="F3482" i="1"/>
  <c r="E3482" i="1"/>
  <c r="D3482" i="1"/>
  <c r="C3482" i="1"/>
  <c r="B3482" i="1"/>
  <c r="G3481" i="1"/>
  <c r="F3481" i="1"/>
  <c r="E3481" i="1"/>
  <c r="D3481" i="1"/>
  <c r="C3481" i="1"/>
  <c r="B3481" i="1"/>
  <c r="G3480" i="1"/>
  <c r="F3480" i="1"/>
  <c r="E3480" i="1"/>
  <c r="D3480" i="1"/>
  <c r="C3480" i="1"/>
  <c r="B3480" i="1"/>
  <c r="G3479" i="1"/>
  <c r="F3479" i="1"/>
  <c r="E3479" i="1"/>
  <c r="D3479" i="1"/>
  <c r="C3479" i="1"/>
  <c r="B3479" i="1"/>
  <c r="G3478" i="1"/>
  <c r="F3478" i="1"/>
  <c r="E3478" i="1"/>
  <c r="D3478" i="1"/>
  <c r="C3478" i="1"/>
  <c r="B3478" i="1"/>
  <c r="G3477" i="1"/>
  <c r="F3477" i="1"/>
  <c r="E3477" i="1"/>
  <c r="D3477" i="1"/>
  <c r="C3477" i="1"/>
  <c r="B3477" i="1"/>
  <c r="G3476" i="1"/>
  <c r="F3476" i="1"/>
  <c r="E3476" i="1"/>
  <c r="D3476" i="1"/>
  <c r="C3476" i="1"/>
  <c r="B3476" i="1"/>
  <c r="G3475" i="1"/>
  <c r="F3475" i="1"/>
  <c r="E3475" i="1"/>
  <c r="D3475" i="1"/>
  <c r="C3475" i="1"/>
  <c r="B3475" i="1"/>
  <c r="G3474" i="1"/>
  <c r="F3474" i="1"/>
  <c r="E3474" i="1"/>
  <c r="D3474" i="1"/>
  <c r="C3474" i="1"/>
  <c r="B3474" i="1"/>
  <c r="G3473" i="1"/>
  <c r="F3473" i="1"/>
  <c r="E3473" i="1"/>
  <c r="D3473" i="1"/>
  <c r="C3473" i="1"/>
  <c r="B3473" i="1"/>
  <c r="F3472" i="1"/>
  <c r="E3472" i="1"/>
  <c r="D3472" i="1"/>
  <c r="C3472" i="1"/>
  <c r="B3472" i="1"/>
  <c r="F3471" i="1"/>
  <c r="E3471" i="1"/>
  <c r="D3471" i="1"/>
  <c r="C3471" i="1"/>
  <c r="B3471" i="1"/>
  <c r="F3470" i="1"/>
  <c r="E3470" i="1"/>
  <c r="D3470" i="1"/>
  <c r="C3470" i="1"/>
  <c r="B3470" i="1"/>
  <c r="G3469" i="1"/>
  <c r="F3469" i="1"/>
  <c r="E3469" i="1"/>
  <c r="D3469" i="1"/>
  <c r="C3469" i="1"/>
  <c r="B3469" i="1"/>
  <c r="G3468" i="1"/>
  <c r="F3468" i="1"/>
  <c r="E3468" i="1"/>
  <c r="D3468" i="1"/>
  <c r="C3468" i="1"/>
  <c r="B3468" i="1"/>
  <c r="F3467" i="1"/>
  <c r="E3467" i="1"/>
  <c r="D3467" i="1"/>
  <c r="C3467" i="1"/>
  <c r="B3467" i="1"/>
  <c r="G3466" i="1"/>
  <c r="F3466" i="1"/>
  <c r="E3466" i="1"/>
  <c r="D3466" i="1"/>
  <c r="C3466" i="1"/>
  <c r="B3466" i="1"/>
  <c r="G3465" i="1"/>
  <c r="F3465" i="1"/>
  <c r="E3465" i="1"/>
  <c r="D3465" i="1"/>
  <c r="C3465" i="1"/>
  <c r="B3465" i="1"/>
  <c r="G3464" i="1"/>
  <c r="F3464" i="1"/>
  <c r="E3464" i="1"/>
  <c r="D3464" i="1"/>
  <c r="C3464" i="1"/>
  <c r="B3464" i="1"/>
  <c r="G3463" i="1"/>
  <c r="F3463" i="1"/>
  <c r="E3463" i="1"/>
  <c r="D3463" i="1"/>
  <c r="C3463" i="1"/>
  <c r="B3463" i="1"/>
  <c r="G3462" i="1"/>
  <c r="F3462" i="1"/>
  <c r="E3462" i="1"/>
  <c r="D3462" i="1"/>
  <c r="C3462" i="1"/>
  <c r="B3462" i="1"/>
  <c r="G3461" i="1"/>
  <c r="F3461" i="1"/>
  <c r="E3461" i="1"/>
  <c r="D3461" i="1"/>
  <c r="C3461" i="1"/>
  <c r="B3461" i="1"/>
  <c r="G3460" i="1"/>
  <c r="F3460" i="1"/>
  <c r="E3460" i="1"/>
  <c r="D3460" i="1"/>
  <c r="C3460" i="1"/>
  <c r="B3460" i="1"/>
  <c r="G3459" i="1"/>
  <c r="F3459" i="1"/>
  <c r="E3459" i="1"/>
  <c r="D3459" i="1"/>
  <c r="C3459" i="1"/>
  <c r="B3459" i="1"/>
  <c r="G3458" i="1"/>
  <c r="F3458" i="1"/>
  <c r="E3458" i="1"/>
  <c r="D3458" i="1"/>
  <c r="C3458" i="1"/>
  <c r="B3458" i="1"/>
  <c r="G3457" i="1"/>
  <c r="F3457" i="1"/>
  <c r="E3457" i="1"/>
  <c r="D3457" i="1"/>
  <c r="C3457" i="1"/>
  <c r="B3457" i="1"/>
  <c r="G3456" i="1"/>
  <c r="F3456" i="1"/>
  <c r="E3456" i="1"/>
  <c r="D3456" i="1"/>
  <c r="C3456" i="1"/>
  <c r="B3456" i="1"/>
  <c r="F3455" i="1"/>
  <c r="E3455" i="1"/>
  <c r="D3455" i="1"/>
  <c r="C3455" i="1"/>
  <c r="B3455" i="1"/>
  <c r="G3454" i="1"/>
  <c r="F3454" i="1"/>
  <c r="E3454" i="1"/>
  <c r="D3454" i="1"/>
  <c r="C3454" i="1"/>
  <c r="B3454" i="1"/>
  <c r="G3453" i="1"/>
  <c r="F3453" i="1"/>
  <c r="E3453" i="1"/>
  <c r="D3453" i="1"/>
  <c r="C3453" i="1"/>
  <c r="B3453" i="1"/>
  <c r="F3452" i="1"/>
  <c r="E3452" i="1"/>
  <c r="D3452" i="1"/>
  <c r="C3452" i="1"/>
  <c r="B3452" i="1"/>
  <c r="F3451" i="1"/>
  <c r="E3451" i="1"/>
  <c r="D3451" i="1"/>
  <c r="C3451" i="1"/>
  <c r="B3451" i="1"/>
  <c r="G3450" i="1"/>
  <c r="F3450" i="1"/>
  <c r="E3450" i="1"/>
  <c r="D3450" i="1"/>
  <c r="C3450" i="1"/>
  <c r="B3450" i="1"/>
  <c r="G3449" i="1"/>
  <c r="F3449" i="1"/>
  <c r="E3449" i="1"/>
  <c r="D3449" i="1"/>
  <c r="C3449" i="1"/>
  <c r="B3449" i="1"/>
  <c r="F3448" i="1"/>
  <c r="E3448" i="1"/>
  <c r="D3448" i="1"/>
  <c r="C3448" i="1"/>
  <c r="B3448" i="1"/>
  <c r="F3447" i="1"/>
  <c r="E3447" i="1"/>
  <c r="D3447" i="1"/>
  <c r="C3447" i="1"/>
  <c r="B3447" i="1"/>
  <c r="F3446" i="1"/>
  <c r="E3446" i="1"/>
  <c r="D3446" i="1"/>
  <c r="C3446" i="1"/>
  <c r="B3446" i="1"/>
  <c r="G3445" i="1"/>
  <c r="F3445" i="1"/>
  <c r="E3445" i="1"/>
  <c r="D3445" i="1"/>
  <c r="C3445" i="1"/>
  <c r="B3445" i="1"/>
  <c r="F3444" i="1"/>
  <c r="E3444" i="1"/>
  <c r="D3444" i="1"/>
  <c r="C3444" i="1"/>
  <c r="B3444" i="1"/>
  <c r="F3443" i="1"/>
  <c r="E3443" i="1"/>
  <c r="D3443" i="1"/>
  <c r="C3443" i="1"/>
  <c r="B3443" i="1"/>
  <c r="F3442" i="1"/>
  <c r="E3442" i="1"/>
  <c r="D3442" i="1"/>
  <c r="C3442" i="1"/>
  <c r="B3442" i="1"/>
  <c r="F3441" i="1"/>
  <c r="E3441" i="1"/>
  <c r="D3441" i="1"/>
  <c r="C3441" i="1"/>
  <c r="B3441" i="1"/>
  <c r="F3440" i="1"/>
  <c r="E3440" i="1"/>
  <c r="D3440" i="1"/>
  <c r="C3440" i="1"/>
  <c r="B3440" i="1"/>
  <c r="F3439" i="1"/>
  <c r="E3439" i="1"/>
  <c r="D3439" i="1"/>
  <c r="C3439" i="1"/>
  <c r="B3439" i="1"/>
  <c r="G3438" i="1"/>
  <c r="F3438" i="1"/>
  <c r="E3438" i="1"/>
  <c r="D3438" i="1"/>
  <c r="C3438" i="1"/>
  <c r="B3438" i="1"/>
  <c r="F3437" i="1"/>
  <c r="E3437" i="1"/>
  <c r="D3437" i="1"/>
  <c r="C3437" i="1"/>
  <c r="B3437" i="1"/>
  <c r="G3436" i="1"/>
  <c r="F3436" i="1"/>
  <c r="E3436" i="1"/>
  <c r="D3436" i="1"/>
  <c r="C3436" i="1"/>
  <c r="B3436" i="1"/>
  <c r="F3435" i="1"/>
  <c r="E3435" i="1"/>
  <c r="D3435" i="1"/>
  <c r="C3435" i="1"/>
  <c r="B3435" i="1"/>
  <c r="G3434" i="1"/>
  <c r="F3434" i="1"/>
  <c r="E3434" i="1"/>
  <c r="D3434" i="1"/>
  <c r="C3434" i="1"/>
  <c r="B3434" i="1"/>
  <c r="F3433" i="1"/>
  <c r="E3433" i="1"/>
  <c r="D3433" i="1"/>
  <c r="C3433" i="1"/>
  <c r="B3433" i="1"/>
  <c r="G3432" i="1"/>
  <c r="F3432" i="1"/>
  <c r="E3432" i="1"/>
  <c r="D3432" i="1"/>
  <c r="C3432" i="1"/>
  <c r="B3432" i="1"/>
  <c r="F3431" i="1"/>
  <c r="E3431" i="1"/>
  <c r="D3431" i="1"/>
  <c r="C3431" i="1"/>
  <c r="B3431" i="1"/>
  <c r="G3430" i="1"/>
  <c r="F3430" i="1"/>
  <c r="E3430" i="1"/>
  <c r="D3430" i="1"/>
  <c r="C3430" i="1"/>
  <c r="B3430" i="1"/>
  <c r="G3429" i="1"/>
  <c r="F3429" i="1"/>
  <c r="E3429" i="1"/>
  <c r="D3429" i="1"/>
  <c r="C3429" i="1"/>
  <c r="B3429" i="1"/>
  <c r="F3428" i="1"/>
  <c r="E3428" i="1"/>
  <c r="D3428" i="1"/>
  <c r="C3428" i="1"/>
  <c r="B3428" i="1"/>
  <c r="G3427" i="1"/>
  <c r="F3427" i="1"/>
  <c r="E3427" i="1"/>
  <c r="D3427" i="1"/>
  <c r="C3427" i="1"/>
  <c r="B3427" i="1"/>
  <c r="G3426" i="1"/>
  <c r="F3426" i="1"/>
  <c r="E3426" i="1"/>
  <c r="D3426" i="1"/>
  <c r="C3426" i="1"/>
  <c r="B3426" i="1"/>
  <c r="G3425" i="1"/>
  <c r="F3425" i="1"/>
  <c r="E3425" i="1"/>
  <c r="D3425" i="1"/>
  <c r="C3425" i="1"/>
  <c r="B3425" i="1"/>
  <c r="G3424" i="1"/>
  <c r="F3424" i="1"/>
  <c r="E3424" i="1"/>
  <c r="D3424" i="1"/>
  <c r="C3424" i="1"/>
  <c r="B3424" i="1"/>
  <c r="F3423" i="1"/>
  <c r="E3423" i="1"/>
  <c r="D3423" i="1"/>
  <c r="C3423" i="1"/>
  <c r="B3423" i="1"/>
  <c r="F3422" i="1"/>
  <c r="E3422" i="1"/>
  <c r="D3422" i="1"/>
  <c r="C3422" i="1"/>
  <c r="B3422" i="1"/>
  <c r="G3421" i="1"/>
  <c r="F3421" i="1"/>
  <c r="E3421" i="1"/>
  <c r="D3421" i="1"/>
  <c r="C3421" i="1"/>
  <c r="B3421" i="1"/>
  <c r="G3420" i="1"/>
  <c r="F3420" i="1"/>
  <c r="E3420" i="1"/>
  <c r="D3420" i="1"/>
  <c r="C3420" i="1"/>
  <c r="B3420" i="1"/>
  <c r="G3419" i="1"/>
  <c r="F3419" i="1"/>
  <c r="E3419" i="1"/>
  <c r="D3419" i="1"/>
  <c r="C3419" i="1"/>
  <c r="B3419" i="1"/>
  <c r="F3418" i="1"/>
  <c r="E3418" i="1"/>
  <c r="D3418" i="1"/>
  <c r="C3418" i="1"/>
  <c r="B3418" i="1"/>
  <c r="G3417" i="1"/>
  <c r="F3417" i="1"/>
  <c r="E3417" i="1"/>
  <c r="D3417" i="1"/>
  <c r="C3417" i="1"/>
  <c r="B3417" i="1"/>
  <c r="F3416" i="1"/>
  <c r="E3416" i="1"/>
  <c r="D3416" i="1"/>
  <c r="C3416" i="1"/>
  <c r="B3416" i="1"/>
  <c r="G3415" i="1"/>
  <c r="F3415" i="1"/>
  <c r="E3415" i="1"/>
  <c r="D3415" i="1"/>
  <c r="C3415" i="1"/>
  <c r="B3415" i="1"/>
  <c r="G3414" i="1"/>
  <c r="F3414" i="1"/>
  <c r="E3414" i="1"/>
  <c r="D3414" i="1"/>
  <c r="C3414" i="1"/>
  <c r="B3414" i="1"/>
  <c r="F3413" i="1"/>
  <c r="E3413" i="1"/>
  <c r="D3413" i="1"/>
  <c r="C3413" i="1"/>
  <c r="B3413" i="1"/>
  <c r="G3412" i="1"/>
  <c r="F3412" i="1"/>
  <c r="E3412" i="1"/>
  <c r="D3412" i="1"/>
  <c r="C3412" i="1"/>
  <c r="B3412" i="1"/>
  <c r="F3411" i="1"/>
  <c r="E3411" i="1"/>
  <c r="D3411" i="1"/>
  <c r="C3411" i="1"/>
  <c r="B3411" i="1"/>
  <c r="F3410" i="1"/>
  <c r="E3410" i="1"/>
  <c r="D3410" i="1"/>
  <c r="C3410" i="1"/>
  <c r="B3410" i="1"/>
  <c r="G3409" i="1"/>
  <c r="F3409" i="1"/>
  <c r="E3409" i="1"/>
  <c r="D3409" i="1"/>
  <c r="C3409" i="1"/>
  <c r="B3409" i="1"/>
  <c r="G3408" i="1"/>
  <c r="F3408" i="1"/>
  <c r="E3408" i="1"/>
  <c r="D3408" i="1"/>
  <c r="C3408" i="1"/>
  <c r="B3408" i="1"/>
  <c r="G3407" i="1"/>
  <c r="F3407" i="1"/>
  <c r="E3407" i="1"/>
  <c r="D3407" i="1"/>
  <c r="C3407" i="1"/>
  <c r="B3407" i="1"/>
  <c r="G3406" i="1"/>
  <c r="F3406" i="1"/>
  <c r="E3406" i="1"/>
  <c r="D3406" i="1"/>
  <c r="C3406" i="1"/>
  <c r="B3406" i="1"/>
  <c r="G3405" i="1"/>
  <c r="F3405" i="1"/>
  <c r="E3405" i="1"/>
  <c r="D3405" i="1"/>
  <c r="C3405" i="1"/>
  <c r="B3405" i="1"/>
  <c r="G3404" i="1"/>
  <c r="F3404" i="1"/>
  <c r="E3404" i="1"/>
  <c r="D3404" i="1"/>
  <c r="C3404" i="1"/>
  <c r="B3404" i="1"/>
  <c r="F3403" i="1"/>
  <c r="E3403" i="1"/>
  <c r="D3403" i="1"/>
  <c r="C3403" i="1"/>
  <c r="B3403" i="1"/>
  <c r="F3402" i="1"/>
  <c r="E3402" i="1"/>
  <c r="D3402" i="1"/>
  <c r="C3402" i="1"/>
  <c r="B3402" i="1"/>
  <c r="F3401" i="1"/>
  <c r="E3401" i="1"/>
  <c r="D3401" i="1"/>
  <c r="C3401" i="1"/>
  <c r="B3401" i="1"/>
  <c r="G3400" i="1"/>
  <c r="F3400" i="1"/>
  <c r="E3400" i="1"/>
  <c r="D3400" i="1"/>
  <c r="C3400" i="1"/>
  <c r="B3400" i="1"/>
  <c r="G3399" i="1"/>
  <c r="F3399" i="1"/>
  <c r="E3399" i="1"/>
  <c r="D3399" i="1"/>
  <c r="C3399" i="1"/>
  <c r="B3399" i="1"/>
  <c r="G3398" i="1"/>
  <c r="F3398" i="1"/>
  <c r="E3398" i="1"/>
  <c r="D3398" i="1"/>
  <c r="C3398" i="1"/>
  <c r="B3398" i="1"/>
  <c r="G3397" i="1"/>
  <c r="F3397" i="1"/>
  <c r="E3397" i="1"/>
  <c r="D3397" i="1"/>
  <c r="C3397" i="1"/>
  <c r="B3397" i="1"/>
  <c r="F3396" i="1"/>
  <c r="E3396" i="1"/>
  <c r="D3396" i="1"/>
  <c r="C3396" i="1"/>
  <c r="B3396" i="1"/>
  <c r="G3395" i="1"/>
  <c r="F3395" i="1"/>
  <c r="E3395" i="1"/>
  <c r="D3395" i="1"/>
  <c r="C3395" i="1"/>
  <c r="B3395" i="1"/>
  <c r="F3394" i="1"/>
  <c r="E3394" i="1"/>
  <c r="D3394" i="1"/>
  <c r="C3394" i="1"/>
  <c r="B3394" i="1"/>
  <c r="F3393" i="1"/>
  <c r="E3393" i="1"/>
  <c r="D3393" i="1"/>
  <c r="C3393" i="1"/>
  <c r="B3393" i="1"/>
  <c r="F3392" i="1"/>
  <c r="E3392" i="1"/>
  <c r="D3392" i="1"/>
  <c r="C3392" i="1"/>
  <c r="B3392" i="1"/>
  <c r="F3391" i="1"/>
  <c r="E3391" i="1"/>
  <c r="D3391" i="1"/>
  <c r="C3391" i="1"/>
  <c r="B3391" i="1"/>
  <c r="G3390" i="1"/>
  <c r="F3390" i="1"/>
  <c r="E3390" i="1"/>
  <c r="D3390" i="1"/>
  <c r="C3390" i="1"/>
  <c r="B3390" i="1"/>
  <c r="G3389" i="1"/>
  <c r="F3389" i="1"/>
  <c r="E3389" i="1"/>
  <c r="D3389" i="1"/>
  <c r="C3389" i="1"/>
  <c r="B3389" i="1"/>
  <c r="F3388" i="1"/>
  <c r="E3388" i="1"/>
  <c r="D3388" i="1"/>
  <c r="C3388" i="1"/>
  <c r="B3388" i="1"/>
  <c r="F3387" i="1"/>
  <c r="E3387" i="1"/>
  <c r="D3387" i="1"/>
  <c r="C3387" i="1"/>
  <c r="B3387" i="1"/>
  <c r="F3386" i="1"/>
  <c r="E3386" i="1"/>
  <c r="D3386" i="1"/>
  <c r="C3386" i="1"/>
  <c r="B3386" i="1"/>
  <c r="F3385" i="1"/>
  <c r="E3385" i="1"/>
  <c r="D3385" i="1"/>
  <c r="C3385" i="1"/>
  <c r="B3385" i="1"/>
  <c r="F3384" i="1"/>
  <c r="E3384" i="1"/>
  <c r="D3384" i="1"/>
  <c r="C3384" i="1"/>
  <c r="B3384" i="1"/>
  <c r="F3383" i="1"/>
  <c r="E3383" i="1"/>
  <c r="D3383" i="1"/>
  <c r="C3383" i="1"/>
  <c r="B3383" i="1"/>
  <c r="G3382" i="1"/>
  <c r="F3382" i="1"/>
  <c r="E3382" i="1"/>
  <c r="D3382" i="1"/>
  <c r="C3382" i="1"/>
  <c r="B3382" i="1"/>
  <c r="F3381" i="1"/>
  <c r="E3381" i="1"/>
  <c r="D3381" i="1"/>
  <c r="C3381" i="1"/>
  <c r="B3381" i="1"/>
  <c r="F3380" i="1"/>
  <c r="E3380" i="1"/>
  <c r="D3380" i="1"/>
  <c r="C3380" i="1"/>
  <c r="B3380" i="1"/>
  <c r="G3379" i="1"/>
  <c r="F3379" i="1"/>
  <c r="E3379" i="1"/>
  <c r="D3379" i="1"/>
  <c r="C3379" i="1"/>
  <c r="B3379" i="1"/>
  <c r="F3378" i="1"/>
  <c r="E3378" i="1"/>
  <c r="D3378" i="1"/>
  <c r="C3378" i="1"/>
  <c r="B3378" i="1"/>
  <c r="F3377" i="1"/>
  <c r="E3377" i="1"/>
  <c r="D3377" i="1"/>
  <c r="C3377" i="1"/>
  <c r="B3377" i="1"/>
  <c r="F3376" i="1"/>
  <c r="E3376" i="1"/>
  <c r="D3376" i="1"/>
  <c r="C3376" i="1"/>
  <c r="B3376" i="1"/>
  <c r="G3375" i="1"/>
  <c r="F3375" i="1"/>
  <c r="E3375" i="1"/>
  <c r="D3375" i="1"/>
  <c r="C3375" i="1"/>
  <c r="B3375" i="1"/>
  <c r="G3374" i="1"/>
  <c r="F3374" i="1"/>
  <c r="E3374" i="1"/>
  <c r="D3374" i="1"/>
  <c r="C3374" i="1"/>
  <c r="B3374" i="1"/>
  <c r="F3373" i="1"/>
  <c r="E3373" i="1"/>
  <c r="D3373" i="1"/>
  <c r="C3373" i="1"/>
  <c r="B3373" i="1"/>
  <c r="G3372" i="1"/>
  <c r="F3372" i="1"/>
  <c r="E3372" i="1"/>
  <c r="D3372" i="1"/>
  <c r="C3372" i="1"/>
  <c r="B3372" i="1"/>
  <c r="F3371" i="1"/>
  <c r="E3371" i="1"/>
  <c r="D3371" i="1"/>
  <c r="C3371" i="1"/>
  <c r="B3371" i="1"/>
  <c r="F3370" i="1"/>
  <c r="E3370" i="1"/>
  <c r="D3370" i="1"/>
  <c r="C3370" i="1"/>
  <c r="B3370" i="1"/>
  <c r="F3369" i="1"/>
  <c r="E3369" i="1"/>
  <c r="D3369" i="1"/>
  <c r="C3369" i="1"/>
  <c r="B3369" i="1"/>
  <c r="F3368" i="1"/>
  <c r="E3368" i="1"/>
  <c r="D3368" i="1"/>
  <c r="C3368" i="1"/>
  <c r="B3368" i="1"/>
  <c r="G3367" i="1"/>
  <c r="F3367" i="1"/>
  <c r="E3367" i="1"/>
  <c r="D3367" i="1"/>
  <c r="C3367" i="1"/>
  <c r="B3367" i="1"/>
  <c r="F3366" i="1"/>
  <c r="E3366" i="1"/>
  <c r="D3366" i="1"/>
  <c r="C3366" i="1"/>
  <c r="B3366" i="1"/>
  <c r="F3365" i="1"/>
  <c r="E3365" i="1"/>
  <c r="D3365" i="1"/>
  <c r="C3365" i="1"/>
  <c r="B3365" i="1"/>
  <c r="F3364" i="1"/>
  <c r="E3364" i="1"/>
  <c r="D3364" i="1"/>
  <c r="C3364" i="1"/>
  <c r="B3364" i="1"/>
  <c r="F3363" i="1"/>
  <c r="E3363" i="1"/>
  <c r="D3363" i="1"/>
  <c r="C3363" i="1"/>
  <c r="B3363" i="1"/>
  <c r="F3362" i="1"/>
  <c r="E3362" i="1"/>
  <c r="D3362" i="1"/>
  <c r="C3362" i="1"/>
  <c r="B3362" i="1"/>
  <c r="F3361" i="1"/>
  <c r="E3361" i="1"/>
  <c r="D3361" i="1"/>
  <c r="C3361" i="1"/>
  <c r="B3361" i="1"/>
  <c r="F3360" i="1"/>
  <c r="E3360" i="1"/>
  <c r="D3360" i="1"/>
  <c r="C3360" i="1"/>
  <c r="B3360" i="1"/>
  <c r="F3359" i="1"/>
  <c r="E3359" i="1"/>
  <c r="D3359" i="1"/>
  <c r="C3359" i="1"/>
  <c r="B3359" i="1"/>
  <c r="F3358" i="1"/>
  <c r="E3358" i="1"/>
  <c r="D3358" i="1"/>
  <c r="C3358" i="1"/>
  <c r="B3358" i="1"/>
  <c r="F3357" i="1"/>
  <c r="E3357" i="1"/>
  <c r="D3357" i="1"/>
  <c r="C3357" i="1"/>
  <c r="B3357" i="1"/>
  <c r="G3356" i="1"/>
  <c r="F3356" i="1"/>
  <c r="E3356" i="1"/>
  <c r="D3356" i="1"/>
  <c r="C3356" i="1"/>
  <c r="B3356" i="1"/>
  <c r="F3355" i="1"/>
  <c r="E3355" i="1"/>
  <c r="D3355" i="1"/>
  <c r="C3355" i="1"/>
  <c r="B3355" i="1"/>
  <c r="F3354" i="1"/>
  <c r="E3354" i="1"/>
  <c r="D3354" i="1"/>
  <c r="C3354" i="1"/>
  <c r="B3354" i="1"/>
  <c r="F3353" i="1"/>
  <c r="E3353" i="1"/>
  <c r="D3353" i="1"/>
  <c r="C3353" i="1"/>
  <c r="B3353" i="1"/>
  <c r="G3352" i="1"/>
  <c r="F3352" i="1"/>
  <c r="E3352" i="1"/>
  <c r="D3352" i="1"/>
  <c r="C3352" i="1"/>
  <c r="B3352" i="1"/>
  <c r="F3351" i="1"/>
  <c r="E3351" i="1"/>
  <c r="D3351" i="1"/>
  <c r="C3351" i="1"/>
  <c r="B3351" i="1"/>
  <c r="G3350" i="1"/>
  <c r="F3350" i="1"/>
  <c r="E3350" i="1"/>
  <c r="D3350" i="1"/>
  <c r="C3350" i="1"/>
  <c r="B3350" i="1"/>
  <c r="F3349" i="1"/>
  <c r="E3349" i="1"/>
  <c r="D3349" i="1"/>
  <c r="C3349" i="1"/>
  <c r="B3349" i="1"/>
  <c r="F3348" i="1"/>
  <c r="E3348" i="1"/>
  <c r="D3348" i="1"/>
  <c r="C3348" i="1"/>
  <c r="B3348" i="1"/>
  <c r="G3347" i="1"/>
  <c r="F3347" i="1"/>
  <c r="E3347" i="1"/>
  <c r="D3347" i="1"/>
  <c r="C3347" i="1"/>
  <c r="B3347" i="1"/>
  <c r="G3346" i="1"/>
  <c r="F3346" i="1"/>
  <c r="E3346" i="1"/>
  <c r="D3346" i="1"/>
  <c r="C3346" i="1"/>
  <c r="B3346" i="1"/>
  <c r="G3345" i="1"/>
  <c r="F3345" i="1"/>
  <c r="E3345" i="1"/>
  <c r="D3345" i="1"/>
  <c r="C3345" i="1"/>
  <c r="B3345" i="1"/>
  <c r="G3344" i="1"/>
  <c r="F3344" i="1"/>
  <c r="E3344" i="1"/>
  <c r="D3344" i="1"/>
  <c r="C3344" i="1"/>
  <c r="B3344" i="1"/>
  <c r="G3343" i="1"/>
  <c r="F3343" i="1"/>
  <c r="E3343" i="1"/>
  <c r="D3343" i="1"/>
  <c r="C3343" i="1"/>
  <c r="B3343" i="1"/>
  <c r="G3342" i="1"/>
  <c r="F3342" i="1"/>
  <c r="E3342" i="1"/>
  <c r="D3342" i="1"/>
  <c r="C3342" i="1"/>
  <c r="B3342" i="1"/>
  <c r="G3341" i="1"/>
  <c r="F3341" i="1"/>
  <c r="E3341" i="1"/>
  <c r="D3341" i="1"/>
  <c r="C3341" i="1"/>
  <c r="B3341" i="1"/>
  <c r="G3340" i="1"/>
  <c r="F3340" i="1"/>
  <c r="E3340" i="1"/>
  <c r="D3340" i="1"/>
  <c r="C3340" i="1"/>
  <c r="B3340" i="1"/>
  <c r="F3339" i="1"/>
  <c r="E3339" i="1"/>
  <c r="D3339" i="1"/>
  <c r="C3339" i="1"/>
  <c r="B3339" i="1"/>
  <c r="G3338" i="1"/>
  <c r="F3338" i="1"/>
  <c r="E3338" i="1"/>
  <c r="D3338" i="1"/>
  <c r="C3338" i="1"/>
  <c r="B3338" i="1"/>
  <c r="G3337" i="1"/>
  <c r="F3337" i="1"/>
  <c r="E3337" i="1"/>
  <c r="D3337" i="1"/>
  <c r="C3337" i="1"/>
  <c r="B3337" i="1"/>
  <c r="F3336" i="1"/>
  <c r="E3336" i="1"/>
  <c r="D3336" i="1"/>
  <c r="C3336" i="1"/>
  <c r="B3336" i="1"/>
  <c r="G3335" i="1"/>
  <c r="F3335" i="1"/>
  <c r="E3335" i="1"/>
  <c r="D3335" i="1"/>
  <c r="C3335" i="1"/>
  <c r="B3335" i="1"/>
  <c r="G3334" i="1"/>
  <c r="F3334" i="1"/>
  <c r="E3334" i="1"/>
  <c r="D3334" i="1"/>
  <c r="C3334" i="1"/>
  <c r="B3334" i="1"/>
  <c r="G3333" i="1"/>
  <c r="F3333" i="1"/>
  <c r="E3333" i="1"/>
  <c r="D3333" i="1"/>
  <c r="C3333" i="1"/>
  <c r="B3333" i="1"/>
  <c r="G3332" i="1"/>
  <c r="F3332" i="1"/>
  <c r="E3332" i="1"/>
  <c r="D3332" i="1"/>
  <c r="C3332" i="1"/>
  <c r="B3332" i="1"/>
  <c r="G3331" i="1"/>
  <c r="F3331" i="1"/>
  <c r="E3331" i="1"/>
  <c r="D3331" i="1"/>
  <c r="C3331" i="1"/>
  <c r="B3331" i="1"/>
  <c r="G3330" i="1"/>
  <c r="F3330" i="1"/>
  <c r="E3330" i="1"/>
  <c r="D3330" i="1"/>
  <c r="C3330" i="1"/>
  <c r="B3330" i="1"/>
  <c r="G3329" i="1"/>
  <c r="F3329" i="1"/>
  <c r="E3329" i="1"/>
  <c r="D3329" i="1"/>
  <c r="C3329" i="1"/>
  <c r="B3329" i="1"/>
  <c r="G3328" i="1"/>
  <c r="F3328" i="1"/>
  <c r="E3328" i="1"/>
  <c r="D3328" i="1"/>
  <c r="C3328" i="1"/>
  <c r="B3328" i="1"/>
  <c r="G3327" i="1"/>
  <c r="F3327" i="1"/>
  <c r="E3327" i="1"/>
  <c r="D3327" i="1"/>
  <c r="C3327" i="1"/>
  <c r="B3327" i="1"/>
  <c r="G3326" i="1"/>
  <c r="F3326" i="1"/>
  <c r="E3326" i="1"/>
  <c r="D3326" i="1"/>
  <c r="C3326" i="1"/>
  <c r="B3326" i="1"/>
  <c r="G3325" i="1"/>
  <c r="F3325" i="1"/>
  <c r="E3325" i="1"/>
  <c r="D3325" i="1"/>
  <c r="C3325" i="1"/>
  <c r="B3325" i="1"/>
  <c r="G3324" i="1"/>
  <c r="F3324" i="1"/>
  <c r="E3324" i="1"/>
  <c r="D3324" i="1"/>
  <c r="C3324" i="1"/>
  <c r="B3324" i="1"/>
  <c r="G3323" i="1"/>
  <c r="F3323" i="1"/>
  <c r="E3323" i="1"/>
  <c r="D3323" i="1"/>
  <c r="C3323" i="1"/>
  <c r="B3323" i="1"/>
  <c r="G3322" i="1"/>
  <c r="F3322" i="1"/>
  <c r="E3322" i="1"/>
  <c r="D3322" i="1"/>
  <c r="C3322" i="1"/>
  <c r="B3322" i="1"/>
  <c r="G3321" i="1"/>
  <c r="F3321" i="1"/>
  <c r="E3321" i="1"/>
  <c r="D3321" i="1"/>
  <c r="C3321" i="1"/>
  <c r="B3321" i="1"/>
  <c r="G3320" i="1"/>
  <c r="F3320" i="1"/>
  <c r="E3320" i="1"/>
  <c r="D3320" i="1"/>
  <c r="C3320" i="1"/>
  <c r="B3320" i="1"/>
  <c r="G3319" i="1"/>
  <c r="F3319" i="1"/>
  <c r="E3319" i="1"/>
  <c r="D3319" i="1"/>
  <c r="C3319" i="1"/>
  <c r="B3319" i="1"/>
  <c r="G3318" i="1"/>
  <c r="F3318" i="1"/>
  <c r="E3318" i="1"/>
  <c r="D3318" i="1"/>
  <c r="C3318" i="1"/>
  <c r="B3318" i="1"/>
  <c r="G3317" i="1"/>
  <c r="F3317" i="1"/>
  <c r="E3317" i="1"/>
  <c r="D3317" i="1"/>
  <c r="C3317" i="1"/>
  <c r="B3317" i="1"/>
  <c r="G3316" i="1"/>
  <c r="F3316" i="1"/>
  <c r="E3316" i="1"/>
  <c r="D3316" i="1"/>
  <c r="C3316" i="1"/>
  <c r="B3316" i="1"/>
  <c r="G3315" i="1"/>
  <c r="F3315" i="1"/>
  <c r="E3315" i="1"/>
  <c r="D3315" i="1"/>
  <c r="C3315" i="1"/>
  <c r="B3315" i="1"/>
  <c r="G3314" i="1"/>
  <c r="F3314" i="1"/>
  <c r="E3314" i="1"/>
  <c r="D3314" i="1"/>
  <c r="C3314" i="1"/>
  <c r="B3314" i="1"/>
  <c r="G3313" i="1"/>
  <c r="F3313" i="1"/>
  <c r="E3313" i="1"/>
  <c r="D3313" i="1"/>
  <c r="C3313" i="1"/>
  <c r="B3313" i="1"/>
  <c r="G3312" i="1"/>
  <c r="F3312" i="1"/>
  <c r="E3312" i="1"/>
  <c r="D3312" i="1"/>
  <c r="C3312" i="1"/>
  <c r="B3312" i="1"/>
  <c r="G3311" i="1"/>
  <c r="F3311" i="1"/>
  <c r="E3311" i="1"/>
  <c r="D3311" i="1"/>
  <c r="C3311" i="1"/>
  <c r="B3311" i="1"/>
  <c r="G3310" i="1"/>
  <c r="F3310" i="1"/>
  <c r="E3310" i="1"/>
  <c r="D3310" i="1"/>
  <c r="C3310" i="1"/>
  <c r="B3310" i="1"/>
  <c r="G3309" i="1"/>
  <c r="F3309" i="1"/>
  <c r="E3309" i="1"/>
  <c r="D3309" i="1"/>
  <c r="C3309" i="1"/>
  <c r="B3309" i="1"/>
  <c r="G3308" i="1"/>
  <c r="F3308" i="1"/>
  <c r="E3308" i="1"/>
  <c r="D3308" i="1"/>
  <c r="C3308" i="1"/>
  <c r="B3308" i="1"/>
  <c r="G3307" i="1"/>
  <c r="F3307" i="1"/>
  <c r="E3307" i="1"/>
  <c r="D3307" i="1"/>
  <c r="C3307" i="1"/>
  <c r="B3307" i="1"/>
  <c r="G3306" i="1"/>
  <c r="F3306" i="1"/>
  <c r="E3306" i="1"/>
  <c r="D3306" i="1"/>
  <c r="C3306" i="1"/>
  <c r="B3306" i="1"/>
  <c r="G3305" i="1"/>
  <c r="F3305" i="1"/>
  <c r="E3305" i="1"/>
  <c r="D3305" i="1"/>
  <c r="C3305" i="1"/>
  <c r="B3305" i="1"/>
  <c r="G3304" i="1"/>
  <c r="F3304" i="1"/>
  <c r="E3304" i="1"/>
  <c r="D3304" i="1"/>
  <c r="C3304" i="1"/>
  <c r="B3304" i="1"/>
  <c r="G3303" i="1"/>
  <c r="F3303" i="1"/>
  <c r="E3303" i="1"/>
  <c r="D3303" i="1"/>
  <c r="C3303" i="1"/>
  <c r="B3303" i="1"/>
  <c r="G3302" i="1"/>
  <c r="F3302" i="1"/>
  <c r="E3302" i="1"/>
  <c r="D3302" i="1"/>
  <c r="C3302" i="1"/>
  <c r="B3302" i="1"/>
  <c r="G3301" i="1"/>
  <c r="F3301" i="1"/>
  <c r="E3301" i="1"/>
  <c r="D3301" i="1"/>
  <c r="C3301" i="1"/>
  <c r="B3301" i="1"/>
  <c r="G3300" i="1"/>
  <c r="F3300" i="1"/>
  <c r="E3300" i="1"/>
  <c r="D3300" i="1"/>
  <c r="C3300" i="1"/>
  <c r="B3300" i="1"/>
  <c r="G3299" i="1"/>
  <c r="F3299" i="1"/>
  <c r="E3299" i="1"/>
  <c r="D3299" i="1"/>
  <c r="C3299" i="1"/>
  <c r="B3299" i="1"/>
  <c r="G3298" i="1"/>
  <c r="F3298" i="1"/>
  <c r="E3298" i="1"/>
  <c r="D3298" i="1"/>
  <c r="C3298" i="1"/>
  <c r="B3298" i="1"/>
  <c r="G3297" i="1"/>
  <c r="F3297" i="1"/>
  <c r="E3297" i="1"/>
  <c r="D3297" i="1"/>
  <c r="C3297" i="1"/>
  <c r="B3297" i="1"/>
  <c r="G3296" i="1"/>
  <c r="F3296" i="1"/>
  <c r="E3296" i="1"/>
  <c r="D3296" i="1"/>
  <c r="C3296" i="1"/>
  <c r="B3296" i="1"/>
  <c r="G3295" i="1"/>
  <c r="F3295" i="1"/>
  <c r="E3295" i="1"/>
  <c r="D3295" i="1"/>
  <c r="C3295" i="1"/>
  <c r="B3295" i="1"/>
  <c r="G3294" i="1"/>
  <c r="F3294" i="1"/>
  <c r="E3294" i="1"/>
  <c r="D3294" i="1"/>
  <c r="C3294" i="1"/>
  <c r="B3294" i="1"/>
  <c r="G3293" i="1"/>
  <c r="F3293" i="1"/>
  <c r="E3293" i="1"/>
  <c r="D3293" i="1"/>
  <c r="C3293" i="1"/>
  <c r="B3293" i="1"/>
  <c r="G3292" i="1"/>
  <c r="F3292" i="1"/>
  <c r="E3292" i="1"/>
  <c r="D3292" i="1"/>
  <c r="C3292" i="1"/>
  <c r="B3292" i="1"/>
  <c r="G3291" i="1"/>
  <c r="F3291" i="1"/>
  <c r="E3291" i="1"/>
  <c r="D3291" i="1"/>
  <c r="C3291" i="1"/>
  <c r="B3291" i="1"/>
  <c r="G3290" i="1"/>
  <c r="F3290" i="1"/>
  <c r="E3290" i="1"/>
  <c r="D3290" i="1"/>
  <c r="C3290" i="1"/>
  <c r="B3290" i="1"/>
  <c r="G3289" i="1"/>
  <c r="F3289" i="1"/>
  <c r="E3289" i="1"/>
  <c r="D3289" i="1"/>
  <c r="C3289" i="1"/>
  <c r="B3289" i="1"/>
  <c r="G3288" i="1"/>
  <c r="F3288" i="1"/>
  <c r="E3288" i="1"/>
  <c r="D3288" i="1"/>
  <c r="C3288" i="1"/>
  <c r="B3288" i="1"/>
  <c r="G3287" i="1"/>
  <c r="F3287" i="1"/>
  <c r="E3287" i="1"/>
  <c r="D3287" i="1"/>
  <c r="C3287" i="1"/>
  <c r="B3287" i="1"/>
  <c r="G3286" i="1"/>
  <c r="F3286" i="1"/>
  <c r="E3286" i="1"/>
  <c r="D3286" i="1"/>
  <c r="C3286" i="1"/>
  <c r="B3286" i="1"/>
  <c r="G3285" i="1"/>
  <c r="F3285" i="1"/>
  <c r="E3285" i="1"/>
  <c r="D3285" i="1"/>
  <c r="C3285" i="1"/>
  <c r="B3285" i="1"/>
  <c r="G3284" i="1"/>
  <c r="F3284" i="1"/>
  <c r="E3284" i="1"/>
  <c r="D3284" i="1"/>
  <c r="C3284" i="1"/>
  <c r="B3284" i="1"/>
  <c r="G3283" i="1"/>
  <c r="F3283" i="1"/>
  <c r="E3283" i="1"/>
  <c r="D3283" i="1"/>
  <c r="C3283" i="1"/>
  <c r="B3283" i="1"/>
  <c r="G3282" i="1"/>
  <c r="F3282" i="1"/>
  <c r="E3282" i="1"/>
  <c r="D3282" i="1"/>
  <c r="C3282" i="1"/>
  <c r="B3282" i="1"/>
  <c r="G3281" i="1"/>
  <c r="F3281" i="1"/>
  <c r="E3281" i="1"/>
  <c r="D3281" i="1"/>
  <c r="C3281" i="1"/>
  <c r="B3281" i="1"/>
  <c r="G3280" i="1"/>
  <c r="F3280" i="1"/>
  <c r="E3280" i="1"/>
  <c r="D3280" i="1"/>
  <c r="C3280" i="1"/>
  <c r="B3280" i="1"/>
  <c r="G3279" i="1"/>
  <c r="F3279" i="1"/>
  <c r="E3279" i="1"/>
  <c r="D3279" i="1"/>
  <c r="C3279" i="1"/>
  <c r="B3279" i="1"/>
  <c r="G3278" i="1"/>
  <c r="F3278" i="1"/>
  <c r="E3278" i="1"/>
  <c r="D3278" i="1"/>
  <c r="C3278" i="1"/>
  <c r="B3278" i="1"/>
  <c r="G3277" i="1"/>
  <c r="F3277" i="1"/>
  <c r="E3277" i="1"/>
  <c r="D3277" i="1"/>
  <c r="C3277" i="1"/>
  <c r="B3277" i="1"/>
  <c r="G3276" i="1"/>
  <c r="F3276" i="1"/>
  <c r="E3276" i="1"/>
  <c r="D3276" i="1"/>
  <c r="C3276" i="1"/>
  <c r="B3276" i="1"/>
  <c r="G3275" i="1"/>
  <c r="F3275" i="1"/>
  <c r="E3275" i="1"/>
  <c r="D3275" i="1"/>
  <c r="C3275" i="1"/>
  <c r="B3275" i="1"/>
  <c r="G3274" i="1"/>
  <c r="F3274" i="1"/>
  <c r="E3274" i="1"/>
  <c r="D3274" i="1"/>
  <c r="C3274" i="1"/>
  <c r="B3274" i="1"/>
  <c r="G3273" i="1"/>
  <c r="F3273" i="1"/>
  <c r="E3273" i="1"/>
  <c r="D3273" i="1"/>
  <c r="C3273" i="1"/>
  <c r="B3273" i="1"/>
  <c r="G3272" i="1"/>
  <c r="F3272" i="1"/>
  <c r="E3272" i="1"/>
  <c r="D3272" i="1"/>
  <c r="C3272" i="1"/>
  <c r="B3272" i="1"/>
  <c r="G3271" i="1"/>
  <c r="F3271" i="1"/>
  <c r="E3271" i="1"/>
  <c r="D3271" i="1"/>
  <c r="C3271" i="1"/>
  <c r="B3271" i="1"/>
  <c r="G3270" i="1"/>
  <c r="F3270" i="1"/>
  <c r="E3270" i="1"/>
  <c r="D3270" i="1"/>
  <c r="C3270" i="1"/>
  <c r="B3270" i="1"/>
  <c r="G3269" i="1"/>
  <c r="F3269" i="1"/>
  <c r="E3269" i="1"/>
  <c r="D3269" i="1"/>
  <c r="C3269" i="1"/>
  <c r="B3269" i="1"/>
  <c r="G3268" i="1"/>
  <c r="F3268" i="1"/>
  <c r="E3268" i="1"/>
  <c r="D3268" i="1"/>
  <c r="C3268" i="1"/>
  <c r="B3268" i="1"/>
  <c r="G3267" i="1"/>
  <c r="F3267" i="1"/>
  <c r="E3267" i="1"/>
  <c r="D3267" i="1"/>
  <c r="C3267" i="1"/>
  <c r="B3267" i="1"/>
  <c r="G3266" i="1"/>
  <c r="F3266" i="1"/>
  <c r="E3266" i="1"/>
  <c r="D3266" i="1"/>
  <c r="C3266" i="1"/>
  <c r="B3266" i="1"/>
  <c r="G3265" i="1"/>
  <c r="F3265" i="1"/>
  <c r="E3265" i="1"/>
  <c r="D3265" i="1"/>
  <c r="C3265" i="1"/>
  <c r="B3265" i="1"/>
  <c r="G3264" i="1"/>
  <c r="F3264" i="1"/>
  <c r="E3264" i="1"/>
  <c r="D3264" i="1"/>
  <c r="C3264" i="1"/>
  <c r="B3264" i="1"/>
  <c r="G3263" i="1"/>
  <c r="F3263" i="1"/>
  <c r="E3263" i="1"/>
  <c r="D3263" i="1"/>
  <c r="C3263" i="1"/>
  <c r="B3263" i="1"/>
  <c r="G3262" i="1"/>
  <c r="F3262" i="1"/>
  <c r="E3262" i="1"/>
  <c r="D3262" i="1"/>
  <c r="C3262" i="1"/>
  <c r="B3262" i="1"/>
  <c r="G3261" i="1"/>
  <c r="F3261" i="1"/>
  <c r="E3261" i="1"/>
  <c r="D3261" i="1"/>
  <c r="C3261" i="1"/>
  <c r="B3261" i="1"/>
  <c r="G3260" i="1"/>
  <c r="F3260" i="1"/>
  <c r="E3260" i="1"/>
  <c r="D3260" i="1"/>
  <c r="C3260" i="1"/>
  <c r="B3260" i="1"/>
  <c r="G3259" i="1"/>
  <c r="F3259" i="1"/>
  <c r="E3259" i="1"/>
  <c r="D3259" i="1"/>
  <c r="C3259" i="1"/>
  <c r="B3259" i="1"/>
  <c r="G3258" i="1"/>
  <c r="F3258" i="1"/>
  <c r="E3258" i="1"/>
  <c r="D3258" i="1"/>
  <c r="C3258" i="1"/>
  <c r="B3258" i="1"/>
  <c r="G3257" i="1"/>
  <c r="F3257" i="1"/>
  <c r="E3257" i="1"/>
  <c r="D3257" i="1"/>
  <c r="C3257" i="1"/>
  <c r="B3257" i="1"/>
  <c r="G3256" i="1"/>
  <c r="F3256" i="1"/>
  <c r="E3256" i="1"/>
  <c r="D3256" i="1"/>
  <c r="C3256" i="1"/>
  <c r="B3256" i="1"/>
  <c r="G3255" i="1"/>
  <c r="F3255" i="1"/>
  <c r="E3255" i="1"/>
  <c r="D3255" i="1"/>
  <c r="C3255" i="1"/>
  <c r="B3255" i="1"/>
  <c r="G3254" i="1"/>
  <c r="F3254" i="1"/>
  <c r="E3254" i="1"/>
  <c r="D3254" i="1"/>
  <c r="C3254" i="1"/>
  <c r="B3254" i="1"/>
  <c r="G3253" i="1"/>
  <c r="F3253" i="1"/>
  <c r="E3253" i="1"/>
  <c r="D3253" i="1"/>
  <c r="C3253" i="1"/>
  <c r="B3253" i="1"/>
  <c r="G3252" i="1"/>
  <c r="F3252" i="1"/>
  <c r="E3252" i="1"/>
  <c r="D3252" i="1"/>
  <c r="C3252" i="1"/>
  <c r="B3252" i="1"/>
  <c r="G3251" i="1"/>
  <c r="F3251" i="1"/>
  <c r="E3251" i="1"/>
  <c r="D3251" i="1"/>
  <c r="C3251" i="1"/>
  <c r="B3251" i="1"/>
  <c r="G3250" i="1"/>
  <c r="F3250" i="1"/>
  <c r="E3250" i="1"/>
  <c r="D3250" i="1"/>
  <c r="C3250" i="1"/>
  <c r="B3250" i="1"/>
  <c r="G3249" i="1"/>
  <c r="F3249" i="1"/>
  <c r="E3249" i="1"/>
  <c r="D3249" i="1"/>
  <c r="C3249" i="1"/>
  <c r="B3249" i="1"/>
  <c r="G3248" i="1"/>
  <c r="F3248" i="1"/>
  <c r="E3248" i="1"/>
  <c r="D3248" i="1"/>
  <c r="C3248" i="1"/>
  <c r="B3248" i="1"/>
  <c r="F3247" i="1"/>
  <c r="E3247" i="1"/>
  <c r="D3247" i="1"/>
  <c r="C3247" i="1"/>
  <c r="B3247" i="1"/>
  <c r="F3246" i="1"/>
  <c r="E3246" i="1"/>
  <c r="D3246" i="1"/>
  <c r="C3246" i="1"/>
  <c r="B3246" i="1"/>
  <c r="F3245" i="1"/>
  <c r="E3245" i="1"/>
  <c r="D3245" i="1"/>
  <c r="C3245" i="1"/>
  <c r="B3245" i="1"/>
  <c r="F3244" i="1"/>
  <c r="E3244" i="1"/>
  <c r="D3244" i="1"/>
  <c r="C3244" i="1"/>
  <c r="B3244" i="1"/>
  <c r="G3243" i="1"/>
  <c r="F3243" i="1"/>
  <c r="E3243" i="1"/>
  <c r="D3243" i="1"/>
  <c r="C3243" i="1"/>
  <c r="B3243" i="1"/>
  <c r="G3242" i="1"/>
  <c r="F3242" i="1"/>
  <c r="E3242" i="1"/>
  <c r="D3242" i="1"/>
  <c r="C3242" i="1"/>
  <c r="B3242" i="1"/>
  <c r="F3241" i="1"/>
  <c r="E3241" i="1"/>
  <c r="D3241" i="1"/>
  <c r="C3241" i="1"/>
  <c r="B3241" i="1"/>
  <c r="G3240" i="1"/>
  <c r="F3240" i="1"/>
  <c r="E3240" i="1"/>
  <c r="D3240" i="1"/>
  <c r="C3240" i="1"/>
  <c r="B3240" i="1"/>
  <c r="F3239" i="1"/>
  <c r="E3239" i="1"/>
  <c r="D3239" i="1"/>
  <c r="C3239" i="1"/>
  <c r="B3239" i="1"/>
  <c r="F3238" i="1"/>
  <c r="E3238" i="1"/>
  <c r="D3238" i="1"/>
  <c r="C3238" i="1"/>
  <c r="B3238" i="1"/>
  <c r="F3237" i="1"/>
  <c r="E3237" i="1"/>
  <c r="D3237" i="1"/>
  <c r="C3237" i="1"/>
  <c r="B3237" i="1"/>
  <c r="F3236" i="1"/>
  <c r="E3236" i="1"/>
  <c r="D3236" i="1"/>
  <c r="C3236" i="1"/>
  <c r="B3236" i="1"/>
  <c r="F3235" i="1"/>
  <c r="E3235" i="1"/>
  <c r="D3235" i="1"/>
  <c r="C3235" i="1"/>
  <c r="B3235" i="1"/>
  <c r="F3234" i="1"/>
  <c r="E3234" i="1"/>
  <c r="D3234" i="1"/>
  <c r="C3234" i="1"/>
  <c r="B3234" i="1"/>
  <c r="F3233" i="1"/>
  <c r="E3233" i="1"/>
  <c r="D3233" i="1"/>
  <c r="C3233" i="1"/>
  <c r="B3233" i="1"/>
  <c r="F3232" i="1"/>
  <c r="E3232" i="1"/>
  <c r="D3232" i="1"/>
  <c r="C3232" i="1"/>
  <c r="B3232" i="1"/>
  <c r="G3231" i="1"/>
  <c r="F3231" i="1"/>
  <c r="E3231" i="1"/>
  <c r="D3231" i="1"/>
  <c r="C3231" i="1"/>
  <c r="B3231" i="1"/>
  <c r="F3230" i="1"/>
  <c r="E3230" i="1"/>
  <c r="D3230" i="1"/>
  <c r="C3230" i="1"/>
  <c r="B3230" i="1"/>
  <c r="F3229" i="1"/>
  <c r="E3229" i="1"/>
  <c r="D3229" i="1"/>
  <c r="C3229" i="1"/>
  <c r="B3229" i="1"/>
  <c r="G3228" i="1"/>
  <c r="D3228" i="1"/>
  <c r="C3228" i="1"/>
  <c r="B3228" i="1"/>
  <c r="F3227" i="1"/>
  <c r="E3227" i="1"/>
  <c r="D3227" i="1"/>
  <c r="C3227" i="1"/>
  <c r="B3227" i="1"/>
  <c r="F3226" i="1"/>
  <c r="E3226" i="1"/>
  <c r="D3226" i="1"/>
  <c r="C3226" i="1"/>
  <c r="B3226" i="1"/>
  <c r="F3225" i="1"/>
  <c r="E3225" i="1"/>
  <c r="D3225" i="1"/>
  <c r="C3225" i="1"/>
  <c r="B3225" i="1"/>
  <c r="F3224" i="1"/>
  <c r="E3224" i="1"/>
  <c r="D3224" i="1"/>
  <c r="C3224" i="1"/>
  <c r="B3224" i="1"/>
  <c r="F3223" i="1"/>
  <c r="E3223" i="1"/>
  <c r="D3223" i="1"/>
  <c r="C3223" i="1"/>
  <c r="B3223" i="1"/>
  <c r="F3222" i="1"/>
  <c r="E3222" i="1"/>
  <c r="D3222" i="1"/>
  <c r="C3222" i="1"/>
  <c r="B3222" i="1"/>
  <c r="G3221" i="1"/>
  <c r="F3221" i="1"/>
  <c r="E3221" i="1"/>
  <c r="D3221" i="1"/>
  <c r="C3221" i="1"/>
  <c r="B3221" i="1"/>
  <c r="G3220" i="1"/>
  <c r="F3220" i="1"/>
  <c r="E3220" i="1"/>
  <c r="D3220" i="1"/>
  <c r="C3220" i="1"/>
  <c r="B3220" i="1"/>
  <c r="G3219" i="1"/>
  <c r="F3219" i="1"/>
  <c r="E3219" i="1"/>
  <c r="D3219" i="1"/>
  <c r="C3219" i="1"/>
  <c r="B3219" i="1"/>
  <c r="F3218" i="1"/>
  <c r="E3218" i="1"/>
  <c r="D3218" i="1"/>
  <c r="C3218" i="1"/>
  <c r="B3218" i="1"/>
  <c r="G3217" i="1"/>
  <c r="F3217" i="1"/>
  <c r="E3217" i="1"/>
  <c r="D3217" i="1"/>
  <c r="C3217" i="1"/>
  <c r="B3217" i="1"/>
  <c r="F3216" i="1"/>
  <c r="E3216" i="1"/>
  <c r="D3216" i="1"/>
  <c r="C3216" i="1"/>
  <c r="B3216" i="1"/>
  <c r="G3215" i="1"/>
  <c r="F3215" i="1"/>
  <c r="E3215" i="1"/>
  <c r="D3215" i="1"/>
  <c r="C3215" i="1"/>
  <c r="B3215" i="1"/>
  <c r="F3214" i="1"/>
  <c r="E3214" i="1"/>
  <c r="D3214" i="1"/>
  <c r="C3214" i="1"/>
  <c r="B3214" i="1"/>
  <c r="F3213" i="1"/>
  <c r="E3213" i="1"/>
  <c r="D3213" i="1"/>
  <c r="C3213" i="1"/>
  <c r="B3213" i="1"/>
  <c r="F3212" i="1"/>
  <c r="E3212" i="1"/>
  <c r="D3212" i="1"/>
  <c r="C3212" i="1"/>
  <c r="B3212" i="1"/>
  <c r="F3211" i="1"/>
  <c r="E3211" i="1"/>
  <c r="D3211" i="1"/>
  <c r="C3211" i="1"/>
  <c r="B3211" i="1"/>
  <c r="G3210" i="1"/>
  <c r="F3210" i="1"/>
  <c r="E3210" i="1"/>
  <c r="D3210" i="1"/>
  <c r="C3210" i="1"/>
  <c r="B3210" i="1"/>
  <c r="G3209" i="1"/>
  <c r="F3209" i="1"/>
  <c r="E3209" i="1"/>
  <c r="D3209" i="1"/>
  <c r="C3209" i="1"/>
  <c r="B3209" i="1"/>
  <c r="G3208" i="1"/>
  <c r="F3208" i="1"/>
  <c r="E3208" i="1"/>
  <c r="D3208" i="1"/>
  <c r="C3208" i="1"/>
  <c r="B3208" i="1"/>
  <c r="F3207" i="1"/>
  <c r="E3207" i="1"/>
  <c r="D3207" i="1"/>
  <c r="C3207" i="1"/>
  <c r="B3207" i="1"/>
  <c r="F3206" i="1"/>
  <c r="E3206" i="1"/>
  <c r="D3206" i="1"/>
  <c r="C3206" i="1"/>
  <c r="B3206" i="1"/>
  <c r="F3205" i="1"/>
  <c r="E3205" i="1"/>
  <c r="D3205" i="1"/>
  <c r="C3205" i="1"/>
  <c r="B3205" i="1"/>
  <c r="F3204" i="1"/>
  <c r="E3204" i="1"/>
  <c r="D3204" i="1"/>
  <c r="C3204" i="1"/>
  <c r="B3204" i="1"/>
  <c r="F3203" i="1"/>
  <c r="E3203" i="1"/>
  <c r="D3203" i="1"/>
  <c r="C3203" i="1"/>
  <c r="B3203" i="1"/>
  <c r="F3202" i="1"/>
  <c r="E3202" i="1"/>
  <c r="D3202" i="1"/>
  <c r="C3202" i="1"/>
  <c r="B3202" i="1"/>
  <c r="F3201" i="1"/>
  <c r="E3201" i="1"/>
  <c r="D3201" i="1"/>
  <c r="C3201" i="1"/>
  <c r="B3201" i="1"/>
  <c r="F3200" i="1"/>
  <c r="E3200" i="1"/>
  <c r="D3200" i="1"/>
  <c r="C3200" i="1"/>
  <c r="B3200" i="1"/>
  <c r="F3199" i="1"/>
  <c r="E3199" i="1"/>
  <c r="D3199" i="1"/>
  <c r="C3199" i="1"/>
  <c r="B3199" i="1"/>
  <c r="G3198" i="1"/>
  <c r="F3198" i="1"/>
  <c r="E3198" i="1"/>
  <c r="D3198" i="1"/>
  <c r="C3198" i="1"/>
  <c r="B3198" i="1"/>
  <c r="G3197" i="1"/>
  <c r="F3197" i="1"/>
  <c r="E3197" i="1"/>
  <c r="D3197" i="1"/>
  <c r="C3197" i="1"/>
  <c r="B3197" i="1"/>
  <c r="F3196" i="1"/>
  <c r="E3196" i="1"/>
  <c r="D3196" i="1"/>
  <c r="C3196" i="1"/>
  <c r="B3196" i="1"/>
  <c r="G3195" i="1"/>
  <c r="F3195" i="1"/>
  <c r="E3195" i="1"/>
  <c r="D3195" i="1"/>
  <c r="C3195" i="1"/>
  <c r="B3195" i="1"/>
  <c r="G3194" i="1"/>
  <c r="F3194" i="1"/>
  <c r="E3194" i="1"/>
  <c r="D3194" i="1"/>
  <c r="C3194" i="1"/>
  <c r="B3194" i="1"/>
  <c r="G3193" i="1"/>
  <c r="F3193" i="1"/>
  <c r="E3193" i="1"/>
  <c r="D3193" i="1"/>
  <c r="C3193" i="1"/>
  <c r="B3193" i="1"/>
  <c r="G3192" i="1"/>
  <c r="F3192" i="1"/>
  <c r="E3192" i="1"/>
  <c r="D3192" i="1"/>
  <c r="C3192" i="1"/>
  <c r="B3192" i="1"/>
  <c r="G3191" i="1"/>
  <c r="F3191" i="1"/>
  <c r="E3191" i="1"/>
  <c r="D3191" i="1"/>
  <c r="C3191" i="1"/>
  <c r="B3191" i="1"/>
  <c r="G3190" i="1"/>
  <c r="F3190" i="1"/>
  <c r="E3190" i="1"/>
  <c r="D3190" i="1"/>
  <c r="C3190" i="1"/>
  <c r="B3190" i="1"/>
  <c r="G3189" i="1"/>
  <c r="F3189" i="1"/>
  <c r="E3189" i="1"/>
  <c r="D3189" i="1"/>
  <c r="C3189" i="1"/>
  <c r="B3189" i="1"/>
  <c r="G3188" i="1"/>
  <c r="F3188" i="1"/>
  <c r="E3188" i="1"/>
  <c r="D3188" i="1"/>
  <c r="C3188" i="1"/>
  <c r="B3188" i="1"/>
  <c r="G3187" i="1"/>
  <c r="F3187" i="1"/>
  <c r="E3187" i="1"/>
  <c r="D3187" i="1"/>
  <c r="C3187" i="1"/>
  <c r="B3187" i="1"/>
  <c r="G3186" i="1"/>
  <c r="F3186" i="1"/>
  <c r="E3186" i="1"/>
  <c r="D3186" i="1"/>
  <c r="C3186" i="1"/>
  <c r="B3186" i="1"/>
  <c r="G3185" i="1"/>
  <c r="F3185" i="1"/>
  <c r="E3185" i="1"/>
  <c r="D3185" i="1"/>
  <c r="C3185" i="1"/>
  <c r="B3185" i="1"/>
  <c r="G3184" i="1"/>
  <c r="F3184" i="1"/>
  <c r="E3184" i="1"/>
  <c r="D3184" i="1"/>
  <c r="C3184" i="1"/>
  <c r="B3184" i="1"/>
  <c r="F3183" i="1"/>
  <c r="E3183" i="1"/>
  <c r="D3183" i="1"/>
  <c r="C3183" i="1"/>
  <c r="B3183" i="1"/>
  <c r="G3182" i="1"/>
  <c r="F3182" i="1"/>
  <c r="E3182" i="1"/>
  <c r="D3182" i="1"/>
  <c r="C3182" i="1"/>
  <c r="B3182" i="1"/>
  <c r="G3181" i="1"/>
  <c r="F3181" i="1"/>
  <c r="E3181" i="1"/>
  <c r="D3181" i="1"/>
  <c r="C3181" i="1"/>
  <c r="B3181" i="1"/>
  <c r="G3180" i="1"/>
  <c r="F3180" i="1"/>
  <c r="E3180" i="1"/>
  <c r="D3180" i="1"/>
  <c r="C3180" i="1"/>
  <c r="B3180" i="1"/>
  <c r="G3179" i="1"/>
  <c r="F3179" i="1"/>
  <c r="E3179" i="1"/>
  <c r="D3179" i="1"/>
  <c r="C3179" i="1"/>
  <c r="B3179" i="1"/>
  <c r="G3178" i="1"/>
  <c r="F3178" i="1"/>
  <c r="E3178" i="1"/>
  <c r="D3178" i="1"/>
  <c r="C3178" i="1"/>
  <c r="B3178" i="1"/>
  <c r="G3177" i="1"/>
  <c r="F3177" i="1"/>
  <c r="E3177" i="1"/>
  <c r="D3177" i="1"/>
  <c r="C3177" i="1"/>
  <c r="B3177" i="1"/>
  <c r="F3176" i="1"/>
  <c r="E3176" i="1"/>
  <c r="D3176" i="1"/>
  <c r="C3176" i="1"/>
  <c r="B3176" i="1"/>
  <c r="F3175" i="1"/>
  <c r="E3175" i="1"/>
  <c r="D3175" i="1"/>
  <c r="C3175" i="1"/>
  <c r="B3175" i="1"/>
  <c r="F3174" i="1"/>
  <c r="E3174" i="1"/>
  <c r="D3174" i="1"/>
  <c r="C3174" i="1"/>
  <c r="B3174" i="1"/>
  <c r="G3173" i="1"/>
  <c r="F3173" i="1"/>
  <c r="E3173" i="1"/>
  <c r="D3173" i="1"/>
  <c r="C3173" i="1"/>
  <c r="B3173" i="1"/>
  <c r="F3172" i="1"/>
  <c r="E3172" i="1"/>
  <c r="D3172" i="1"/>
  <c r="C3172" i="1"/>
  <c r="B3172" i="1"/>
  <c r="G3171" i="1"/>
  <c r="F3171" i="1"/>
  <c r="E3171" i="1"/>
  <c r="D3171" i="1"/>
  <c r="C3171" i="1"/>
  <c r="B3171" i="1"/>
  <c r="G3170" i="1"/>
  <c r="F3170" i="1"/>
  <c r="E3170" i="1"/>
  <c r="D3170" i="1"/>
  <c r="C3170" i="1"/>
  <c r="B3170" i="1"/>
  <c r="G3169" i="1"/>
  <c r="F3169" i="1"/>
  <c r="E3169" i="1"/>
  <c r="D3169" i="1"/>
  <c r="C3169" i="1"/>
  <c r="B3169" i="1"/>
  <c r="F3168" i="1"/>
  <c r="E3168" i="1"/>
  <c r="D3168" i="1"/>
  <c r="C3168" i="1"/>
  <c r="B3168" i="1"/>
  <c r="G3167" i="1"/>
  <c r="F3167" i="1"/>
  <c r="E3167" i="1"/>
  <c r="D3167" i="1"/>
  <c r="C3167" i="1"/>
  <c r="B3167" i="1"/>
  <c r="F3166" i="1"/>
  <c r="E3166" i="1"/>
  <c r="D3166" i="1"/>
  <c r="C3166" i="1"/>
  <c r="B3166" i="1"/>
  <c r="F3165" i="1"/>
  <c r="E3165" i="1"/>
  <c r="D3165" i="1"/>
  <c r="C3165" i="1"/>
  <c r="B3165" i="1"/>
  <c r="F3164" i="1"/>
  <c r="E3164" i="1"/>
  <c r="D3164" i="1"/>
  <c r="C3164" i="1"/>
  <c r="B3164" i="1"/>
  <c r="G3163" i="1"/>
  <c r="F3163" i="1"/>
  <c r="E3163" i="1"/>
  <c r="D3163" i="1"/>
  <c r="C3163" i="1"/>
  <c r="B3163" i="1"/>
  <c r="F3162" i="1"/>
  <c r="E3162" i="1"/>
  <c r="D3162" i="1"/>
  <c r="C3162" i="1"/>
  <c r="B3162" i="1"/>
  <c r="G3161" i="1"/>
  <c r="F3161" i="1"/>
  <c r="E3161" i="1"/>
  <c r="D3161" i="1"/>
  <c r="C3161" i="1"/>
  <c r="B3161" i="1"/>
  <c r="F3160" i="1"/>
  <c r="E3160" i="1"/>
  <c r="D3160" i="1"/>
  <c r="C3160" i="1"/>
  <c r="B3160" i="1"/>
  <c r="G3159" i="1"/>
  <c r="F3159" i="1"/>
  <c r="E3159" i="1"/>
  <c r="D3159" i="1"/>
  <c r="C3159" i="1"/>
  <c r="B3159" i="1"/>
  <c r="G3158" i="1"/>
  <c r="F3158" i="1"/>
  <c r="E3158" i="1"/>
  <c r="D3158" i="1"/>
  <c r="C3158" i="1"/>
  <c r="B3158" i="1"/>
  <c r="G3157" i="1"/>
  <c r="F3157" i="1"/>
  <c r="E3157" i="1"/>
  <c r="D3157" i="1"/>
  <c r="C3157" i="1"/>
  <c r="B3157" i="1"/>
  <c r="G3156" i="1"/>
  <c r="F3156" i="1"/>
  <c r="E3156" i="1"/>
  <c r="D3156" i="1"/>
  <c r="C3156" i="1"/>
  <c r="B3156" i="1"/>
  <c r="G3155" i="1"/>
  <c r="F3155" i="1"/>
  <c r="E3155" i="1"/>
  <c r="D3155" i="1"/>
  <c r="C3155" i="1"/>
  <c r="B3155" i="1"/>
  <c r="G3154" i="1"/>
  <c r="F3154" i="1"/>
  <c r="E3154" i="1"/>
  <c r="D3154" i="1"/>
  <c r="C3154" i="1"/>
  <c r="B3154" i="1"/>
  <c r="F3153" i="1"/>
  <c r="E3153" i="1"/>
  <c r="D3153" i="1"/>
  <c r="C3153" i="1"/>
  <c r="B3153" i="1"/>
  <c r="G3152" i="1"/>
  <c r="F3152" i="1"/>
  <c r="E3152" i="1"/>
  <c r="D3152" i="1"/>
  <c r="C3152" i="1"/>
  <c r="B3152" i="1"/>
  <c r="G3151" i="1"/>
  <c r="F3151" i="1"/>
  <c r="E3151" i="1"/>
  <c r="D3151" i="1"/>
  <c r="C3151" i="1"/>
  <c r="B3151" i="1"/>
  <c r="G3150" i="1"/>
  <c r="F3150" i="1"/>
  <c r="E3150" i="1"/>
  <c r="D3150" i="1"/>
  <c r="C3150" i="1"/>
  <c r="B3150" i="1"/>
  <c r="F3149" i="1"/>
  <c r="E3149" i="1"/>
  <c r="D3149" i="1"/>
  <c r="C3149" i="1"/>
  <c r="B3149" i="1"/>
  <c r="G3148" i="1"/>
  <c r="F3148" i="1"/>
  <c r="E3148" i="1"/>
  <c r="D3148" i="1"/>
  <c r="C3148" i="1"/>
  <c r="B3148" i="1"/>
  <c r="G3147" i="1"/>
  <c r="F3147" i="1"/>
  <c r="E3147" i="1"/>
  <c r="D3147" i="1"/>
  <c r="C3147" i="1"/>
  <c r="B3147" i="1"/>
  <c r="G3146" i="1"/>
  <c r="F3146" i="1"/>
  <c r="E3146" i="1"/>
  <c r="D3146" i="1"/>
  <c r="C3146" i="1"/>
  <c r="B3146" i="1"/>
  <c r="G3145" i="1"/>
  <c r="F3145" i="1"/>
  <c r="E3145" i="1"/>
  <c r="D3145" i="1"/>
  <c r="C3145" i="1"/>
  <c r="B3145" i="1"/>
  <c r="G3144" i="1"/>
  <c r="F3144" i="1"/>
  <c r="E3144" i="1"/>
  <c r="D3144" i="1"/>
  <c r="C3144" i="1"/>
  <c r="B3144" i="1"/>
  <c r="G3143" i="1"/>
  <c r="F3143" i="1"/>
  <c r="E3143" i="1"/>
  <c r="D3143" i="1"/>
  <c r="C3143" i="1"/>
  <c r="B3143" i="1"/>
  <c r="G3142" i="1"/>
  <c r="F3142" i="1"/>
  <c r="E3142" i="1"/>
  <c r="D3142" i="1"/>
  <c r="C3142" i="1"/>
  <c r="B3142" i="1"/>
  <c r="G3141" i="1"/>
  <c r="F3141" i="1"/>
  <c r="E3141" i="1"/>
  <c r="D3141" i="1"/>
  <c r="C3141" i="1"/>
  <c r="B3141" i="1"/>
  <c r="G3140" i="1"/>
  <c r="F3140" i="1"/>
  <c r="E3140" i="1"/>
  <c r="D3140" i="1"/>
  <c r="C3140" i="1"/>
  <c r="B3140" i="1"/>
  <c r="F3139" i="1"/>
  <c r="E3139" i="1"/>
  <c r="D3139" i="1"/>
  <c r="C3139" i="1"/>
  <c r="B3139" i="1"/>
  <c r="G3138" i="1"/>
  <c r="F3138" i="1"/>
  <c r="E3138" i="1"/>
  <c r="D3138" i="1"/>
  <c r="C3138" i="1"/>
  <c r="B3138" i="1"/>
  <c r="G3137" i="1"/>
  <c r="F3137" i="1"/>
  <c r="E3137" i="1"/>
  <c r="D3137" i="1"/>
  <c r="C3137" i="1"/>
  <c r="B3137" i="1"/>
  <c r="F3136" i="1"/>
  <c r="E3136" i="1"/>
  <c r="D3136" i="1"/>
  <c r="C3136" i="1"/>
  <c r="B3136" i="1"/>
  <c r="G3135" i="1"/>
  <c r="F3135" i="1"/>
  <c r="E3135" i="1"/>
  <c r="D3135" i="1"/>
  <c r="C3135" i="1"/>
  <c r="B3135" i="1"/>
  <c r="G3134" i="1"/>
  <c r="F3134" i="1"/>
  <c r="E3134" i="1"/>
  <c r="D3134" i="1"/>
  <c r="C3134" i="1"/>
  <c r="B3134" i="1"/>
  <c r="G3133" i="1"/>
  <c r="F3133" i="1"/>
  <c r="E3133" i="1"/>
  <c r="D3133" i="1"/>
  <c r="C3133" i="1"/>
  <c r="B3133" i="1"/>
  <c r="G3132" i="1"/>
  <c r="F3132" i="1"/>
  <c r="E3132" i="1"/>
  <c r="D3132" i="1"/>
  <c r="C3132" i="1"/>
  <c r="B3132" i="1"/>
  <c r="G3131" i="1"/>
  <c r="F3131" i="1"/>
  <c r="E3131" i="1"/>
  <c r="D3131" i="1"/>
  <c r="C3131" i="1"/>
  <c r="B3131" i="1"/>
  <c r="G3130" i="1"/>
  <c r="F3130" i="1"/>
  <c r="E3130" i="1"/>
  <c r="D3130" i="1"/>
  <c r="C3130" i="1"/>
  <c r="B3130" i="1"/>
  <c r="G3129" i="1"/>
  <c r="F3129" i="1"/>
  <c r="E3129" i="1"/>
  <c r="D3129" i="1"/>
  <c r="C3129" i="1"/>
  <c r="B3129" i="1"/>
  <c r="G3128" i="1"/>
  <c r="F3128" i="1"/>
  <c r="E3128" i="1"/>
  <c r="D3128" i="1"/>
  <c r="C3128" i="1"/>
  <c r="B3128" i="1"/>
  <c r="G3127" i="1"/>
  <c r="F3127" i="1"/>
  <c r="E3127" i="1"/>
  <c r="D3127" i="1"/>
  <c r="C3127" i="1"/>
  <c r="B3127" i="1"/>
  <c r="G3126" i="1"/>
  <c r="F3126" i="1"/>
  <c r="E3126" i="1"/>
  <c r="D3126" i="1"/>
  <c r="C3126" i="1"/>
  <c r="B3126" i="1"/>
  <c r="G3125" i="1"/>
  <c r="F3125" i="1"/>
  <c r="E3125" i="1"/>
  <c r="D3125" i="1"/>
  <c r="C3125" i="1"/>
  <c r="B3125" i="1"/>
  <c r="G3124" i="1"/>
  <c r="F3124" i="1"/>
  <c r="E3124" i="1"/>
  <c r="D3124" i="1"/>
  <c r="C3124" i="1"/>
  <c r="B3124" i="1"/>
  <c r="G3123" i="1"/>
  <c r="F3123" i="1"/>
  <c r="E3123" i="1"/>
  <c r="D3123" i="1"/>
  <c r="C3123" i="1"/>
  <c r="B3123" i="1"/>
  <c r="G3122" i="1"/>
  <c r="F3122" i="1"/>
  <c r="E3122" i="1"/>
  <c r="D3122" i="1"/>
  <c r="C3122" i="1"/>
  <c r="B3122" i="1"/>
  <c r="G3121" i="1"/>
  <c r="F3121" i="1"/>
  <c r="E3121" i="1"/>
  <c r="D3121" i="1"/>
  <c r="C3121" i="1"/>
  <c r="B3121" i="1"/>
  <c r="G3120" i="1"/>
  <c r="F3120" i="1"/>
  <c r="E3120" i="1"/>
  <c r="D3120" i="1"/>
  <c r="C3120" i="1"/>
  <c r="B3120" i="1"/>
  <c r="G3119" i="1"/>
  <c r="F3119" i="1"/>
  <c r="E3119" i="1"/>
  <c r="D3119" i="1"/>
  <c r="C3119" i="1"/>
  <c r="B3119" i="1"/>
  <c r="G3118" i="1"/>
  <c r="F3118" i="1"/>
  <c r="E3118" i="1"/>
  <c r="D3118" i="1"/>
  <c r="C3118" i="1"/>
  <c r="B3118" i="1"/>
  <c r="G3117" i="1"/>
  <c r="F3117" i="1"/>
  <c r="E3117" i="1"/>
  <c r="D3117" i="1"/>
  <c r="C3117" i="1"/>
  <c r="B3117" i="1"/>
  <c r="G3116" i="1"/>
  <c r="F3116" i="1"/>
  <c r="E3116" i="1"/>
  <c r="D3116" i="1"/>
  <c r="C3116" i="1"/>
  <c r="B3116" i="1"/>
  <c r="G3115" i="1"/>
  <c r="F3115" i="1"/>
  <c r="E3115" i="1"/>
  <c r="D3115" i="1"/>
  <c r="C3115" i="1"/>
  <c r="B3115" i="1"/>
  <c r="G3114" i="1"/>
  <c r="F3114" i="1"/>
  <c r="E3114" i="1"/>
  <c r="D3114" i="1"/>
  <c r="C3114" i="1"/>
  <c r="B3114" i="1"/>
  <c r="G3113" i="1"/>
  <c r="F3113" i="1"/>
  <c r="E3113" i="1"/>
  <c r="D3113" i="1"/>
  <c r="C3113" i="1"/>
  <c r="B3113" i="1"/>
  <c r="G3112" i="1"/>
  <c r="F3112" i="1"/>
  <c r="E3112" i="1"/>
  <c r="D3112" i="1"/>
  <c r="C3112" i="1"/>
  <c r="B3112" i="1"/>
  <c r="G3111" i="1"/>
  <c r="F3111" i="1"/>
  <c r="E3111" i="1"/>
  <c r="D3111" i="1"/>
  <c r="C3111" i="1"/>
  <c r="B3111" i="1"/>
  <c r="G3110" i="1"/>
  <c r="F3110" i="1"/>
  <c r="E3110" i="1"/>
  <c r="D3110" i="1"/>
  <c r="C3110" i="1"/>
  <c r="B3110" i="1"/>
  <c r="G3109" i="1"/>
  <c r="F3109" i="1"/>
  <c r="E3109" i="1"/>
  <c r="D3109" i="1"/>
  <c r="C3109" i="1"/>
  <c r="B3109" i="1"/>
  <c r="G3108" i="1"/>
  <c r="F3108" i="1"/>
  <c r="E3108" i="1"/>
  <c r="D3108" i="1"/>
  <c r="C3108" i="1"/>
  <c r="B3108" i="1"/>
  <c r="G3107" i="1"/>
  <c r="F3107" i="1"/>
  <c r="E3107" i="1"/>
  <c r="D3107" i="1"/>
  <c r="C3107" i="1"/>
  <c r="B3107" i="1"/>
  <c r="G3106" i="1"/>
  <c r="F3106" i="1"/>
  <c r="E3106" i="1"/>
  <c r="D3106" i="1"/>
  <c r="C3106" i="1"/>
  <c r="B3106" i="1"/>
  <c r="G3105" i="1"/>
  <c r="F3105" i="1"/>
  <c r="E3105" i="1"/>
  <c r="D3105" i="1"/>
  <c r="C3105" i="1"/>
  <c r="B3105" i="1"/>
  <c r="G3104" i="1"/>
  <c r="F3104" i="1"/>
  <c r="E3104" i="1"/>
  <c r="D3104" i="1"/>
  <c r="C3104" i="1"/>
  <c r="B3104" i="1"/>
  <c r="G3103" i="1"/>
  <c r="F3103" i="1"/>
  <c r="E3103" i="1"/>
  <c r="D3103" i="1"/>
  <c r="C3103" i="1"/>
  <c r="B3103" i="1"/>
  <c r="G3102" i="1"/>
  <c r="F3102" i="1"/>
  <c r="E3102" i="1"/>
  <c r="D3102" i="1"/>
  <c r="C3102" i="1"/>
  <c r="B3102" i="1"/>
  <c r="G3101" i="1"/>
  <c r="F3101" i="1"/>
  <c r="E3101" i="1"/>
  <c r="D3101" i="1"/>
  <c r="C3101" i="1"/>
  <c r="B3101" i="1"/>
  <c r="G3100" i="1"/>
  <c r="F3100" i="1"/>
  <c r="E3100" i="1"/>
  <c r="D3100" i="1"/>
  <c r="C3100" i="1"/>
  <c r="B3100" i="1"/>
  <c r="G3099" i="1"/>
  <c r="F3099" i="1"/>
  <c r="E3099" i="1"/>
  <c r="D3099" i="1"/>
  <c r="C3099" i="1"/>
  <c r="B3099" i="1"/>
  <c r="G3098" i="1"/>
  <c r="F3098" i="1"/>
  <c r="E3098" i="1"/>
  <c r="D3098" i="1"/>
  <c r="C3098" i="1"/>
  <c r="B3098" i="1"/>
  <c r="G3097" i="1"/>
  <c r="F3097" i="1"/>
  <c r="E3097" i="1"/>
  <c r="D3097" i="1"/>
  <c r="C3097" i="1"/>
  <c r="B3097" i="1"/>
  <c r="G3096" i="1"/>
  <c r="F3096" i="1"/>
  <c r="E3096" i="1"/>
  <c r="D3096" i="1"/>
  <c r="C3096" i="1"/>
  <c r="B3096" i="1"/>
  <c r="G3095" i="1"/>
  <c r="F3095" i="1"/>
  <c r="E3095" i="1"/>
  <c r="D3095" i="1"/>
  <c r="C3095" i="1"/>
  <c r="B3095" i="1"/>
  <c r="G3094" i="1"/>
  <c r="F3094" i="1"/>
  <c r="E3094" i="1"/>
  <c r="D3094" i="1"/>
  <c r="C3094" i="1"/>
  <c r="B3094" i="1"/>
  <c r="G3093" i="1"/>
  <c r="F3093" i="1"/>
  <c r="E3093" i="1"/>
  <c r="D3093" i="1"/>
  <c r="C3093" i="1"/>
  <c r="B3093" i="1"/>
  <c r="G3092" i="1"/>
  <c r="F3092" i="1"/>
  <c r="E3092" i="1"/>
  <c r="D3092" i="1"/>
  <c r="C3092" i="1"/>
  <c r="B3092" i="1"/>
  <c r="G3091" i="1"/>
  <c r="F3091" i="1"/>
  <c r="E3091" i="1"/>
  <c r="D3091" i="1"/>
  <c r="C3091" i="1"/>
  <c r="B3091" i="1"/>
  <c r="G3090" i="1"/>
  <c r="F3090" i="1"/>
  <c r="E3090" i="1"/>
  <c r="D3090" i="1"/>
  <c r="C3090" i="1"/>
  <c r="B3090" i="1"/>
  <c r="G3089" i="1"/>
  <c r="F3089" i="1"/>
  <c r="E3089" i="1"/>
  <c r="D3089" i="1"/>
  <c r="C3089" i="1"/>
  <c r="B3089" i="1"/>
  <c r="G3088" i="1"/>
  <c r="F3088" i="1"/>
  <c r="E3088" i="1"/>
  <c r="D3088" i="1"/>
  <c r="C3088" i="1"/>
  <c r="B3088" i="1"/>
  <c r="F3087" i="1"/>
  <c r="E3087" i="1"/>
  <c r="D3087" i="1"/>
  <c r="C3087" i="1"/>
  <c r="B3087" i="1"/>
  <c r="G3086" i="1"/>
  <c r="F3086" i="1"/>
  <c r="E3086" i="1"/>
  <c r="D3086" i="1"/>
  <c r="C3086" i="1"/>
  <c r="B3086" i="1"/>
  <c r="G3085" i="1"/>
  <c r="F3085" i="1"/>
  <c r="E3085" i="1"/>
  <c r="D3085" i="1"/>
  <c r="C3085" i="1"/>
  <c r="B3085" i="1"/>
  <c r="G3084" i="1"/>
  <c r="F3084" i="1"/>
  <c r="E3084" i="1"/>
  <c r="D3084" i="1"/>
  <c r="C3084" i="1"/>
  <c r="B3084" i="1"/>
  <c r="G3083" i="1"/>
  <c r="F3083" i="1"/>
  <c r="E3083" i="1"/>
  <c r="D3083" i="1"/>
  <c r="C3083" i="1"/>
  <c r="B3083" i="1"/>
  <c r="G3082" i="1"/>
  <c r="F3082" i="1"/>
  <c r="E3082" i="1"/>
  <c r="D3082" i="1"/>
  <c r="C3082" i="1"/>
  <c r="B3082" i="1"/>
  <c r="G3081" i="1"/>
  <c r="F3081" i="1"/>
  <c r="E3081" i="1"/>
  <c r="D3081" i="1"/>
  <c r="C3081" i="1"/>
  <c r="B3081" i="1"/>
  <c r="G3080" i="1"/>
  <c r="F3080" i="1"/>
  <c r="E3080" i="1"/>
  <c r="D3080" i="1"/>
  <c r="C3080" i="1"/>
  <c r="B3080" i="1"/>
  <c r="G3079" i="1"/>
  <c r="F3079" i="1"/>
  <c r="E3079" i="1"/>
  <c r="D3079" i="1"/>
  <c r="C3079" i="1"/>
  <c r="B3079" i="1"/>
  <c r="G3078" i="1"/>
  <c r="F3078" i="1"/>
  <c r="E3078" i="1"/>
  <c r="D3078" i="1"/>
  <c r="C3078" i="1"/>
  <c r="B3078" i="1"/>
  <c r="G3077" i="1"/>
  <c r="F3077" i="1"/>
  <c r="E3077" i="1"/>
  <c r="D3077" i="1"/>
  <c r="C3077" i="1"/>
  <c r="B3077" i="1"/>
  <c r="G3076" i="1"/>
  <c r="F3076" i="1"/>
  <c r="E3076" i="1"/>
  <c r="D3076" i="1"/>
  <c r="C3076" i="1"/>
  <c r="B3076" i="1"/>
  <c r="G3075" i="1"/>
  <c r="F3075" i="1"/>
  <c r="E3075" i="1"/>
  <c r="D3075" i="1"/>
  <c r="C3075" i="1"/>
  <c r="B3075" i="1"/>
  <c r="G3074" i="1"/>
  <c r="F3074" i="1"/>
  <c r="E3074" i="1"/>
  <c r="D3074" i="1"/>
  <c r="C3074" i="1"/>
  <c r="B3074" i="1"/>
  <c r="G3073" i="1"/>
  <c r="F3073" i="1"/>
  <c r="E3073" i="1"/>
  <c r="D3073" i="1"/>
  <c r="C3073" i="1"/>
  <c r="B3073" i="1"/>
  <c r="G3072" i="1"/>
  <c r="F3072" i="1"/>
  <c r="E3072" i="1"/>
  <c r="D3072" i="1"/>
  <c r="C3072" i="1"/>
  <c r="B3072" i="1"/>
  <c r="G3071" i="1"/>
  <c r="F3071" i="1"/>
  <c r="E3071" i="1"/>
  <c r="D3071" i="1"/>
  <c r="C3071" i="1"/>
  <c r="B3071" i="1"/>
  <c r="G3070" i="1"/>
  <c r="F3070" i="1"/>
  <c r="E3070" i="1"/>
  <c r="D3070" i="1"/>
  <c r="C3070" i="1"/>
  <c r="B3070" i="1"/>
  <c r="G3069" i="1"/>
  <c r="F3069" i="1"/>
  <c r="E3069" i="1"/>
  <c r="D3069" i="1"/>
  <c r="C3069" i="1"/>
  <c r="B3069" i="1"/>
  <c r="G3068" i="1"/>
  <c r="F3068" i="1"/>
  <c r="E3068" i="1"/>
  <c r="D3068" i="1"/>
  <c r="C3068" i="1"/>
  <c r="B3068" i="1"/>
  <c r="G3067" i="1"/>
  <c r="F3067" i="1"/>
  <c r="E3067" i="1"/>
  <c r="D3067" i="1"/>
  <c r="C3067" i="1"/>
  <c r="B3067" i="1"/>
  <c r="G3066" i="1"/>
  <c r="F3066" i="1"/>
  <c r="E3066" i="1"/>
  <c r="D3066" i="1"/>
  <c r="C3066" i="1"/>
  <c r="B3066" i="1"/>
  <c r="G3065" i="1"/>
  <c r="F3065" i="1"/>
  <c r="E3065" i="1"/>
  <c r="D3065" i="1"/>
  <c r="C3065" i="1"/>
  <c r="B3065" i="1"/>
  <c r="G3064" i="1"/>
  <c r="F3064" i="1"/>
  <c r="E3064" i="1"/>
  <c r="D3064" i="1"/>
  <c r="C3064" i="1"/>
  <c r="B3064" i="1"/>
  <c r="G3063" i="1"/>
  <c r="F3063" i="1"/>
  <c r="E3063" i="1"/>
  <c r="D3063" i="1"/>
  <c r="C3063" i="1"/>
  <c r="B3063" i="1"/>
  <c r="G3062" i="1"/>
  <c r="F3062" i="1"/>
  <c r="E3062" i="1"/>
  <c r="D3062" i="1"/>
  <c r="C3062" i="1"/>
  <c r="B3062" i="1"/>
  <c r="G3061" i="1"/>
  <c r="F3061" i="1"/>
  <c r="E3061" i="1"/>
  <c r="D3061" i="1"/>
  <c r="C3061" i="1"/>
  <c r="B3061" i="1"/>
  <c r="G3060" i="1"/>
  <c r="F3060" i="1"/>
  <c r="E3060" i="1"/>
  <c r="D3060" i="1"/>
  <c r="C3060" i="1"/>
  <c r="B3060" i="1"/>
  <c r="G3059" i="1"/>
  <c r="F3059" i="1"/>
  <c r="E3059" i="1"/>
  <c r="D3059" i="1"/>
  <c r="C3059" i="1"/>
  <c r="B3059" i="1"/>
  <c r="G3058" i="1"/>
  <c r="F3058" i="1"/>
  <c r="E3058" i="1"/>
  <c r="D3058" i="1"/>
  <c r="C3058" i="1"/>
  <c r="B3058" i="1"/>
  <c r="G3057" i="1"/>
  <c r="F3057" i="1"/>
  <c r="E3057" i="1"/>
  <c r="D3057" i="1"/>
  <c r="C3057" i="1"/>
  <c r="B3057" i="1"/>
  <c r="G3056" i="1"/>
  <c r="F3056" i="1"/>
  <c r="E3056" i="1"/>
  <c r="D3056" i="1"/>
  <c r="C3056" i="1"/>
  <c r="B3056" i="1"/>
  <c r="G3055" i="1"/>
  <c r="F3055" i="1"/>
  <c r="E3055" i="1"/>
  <c r="D3055" i="1"/>
  <c r="C3055" i="1"/>
  <c r="B3055" i="1"/>
  <c r="G3054" i="1"/>
  <c r="F3054" i="1"/>
  <c r="E3054" i="1"/>
  <c r="D3054" i="1"/>
  <c r="C3054" i="1"/>
  <c r="B3054" i="1"/>
  <c r="G3053" i="1"/>
  <c r="F3053" i="1"/>
  <c r="E3053" i="1"/>
  <c r="D3053" i="1"/>
  <c r="C3053" i="1"/>
  <c r="B3053" i="1"/>
  <c r="G3052" i="1"/>
  <c r="F3052" i="1"/>
  <c r="E3052" i="1"/>
  <c r="D3052" i="1"/>
  <c r="C3052" i="1"/>
  <c r="B3052" i="1"/>
  <c r="G3051" i="1"/>
  <c r="F3051" i="1"/>
  <c r="E3051" i="1"/>
  <c r="D3051" i="1"/>
  <c r="C3051" i="1"/>
  <c r="B3051" i="1"/>
  <c r="G3050" i="1"/>
  <c r="F3050" i="1"/>
  <c r="E3050" i="1"/>
  <c r="D3050" i="1"/>
  <c r="C3050" i="1"/>
  <c r="B3050" i="1"/>
  <c r="G3049" i="1"/>
  <c r="F3049" i="1"/>
  <c r="E3049" i="1"/>
  <c r="D3049" i="1"/>
  <c r="C3049" i="1"/>
  <c r="B3049" i="1"/>
  <c r="G3048" i="1"/>
  <c r="F3048" i="1"/>
  <c r="E3048" i="1"/>
  <c r="D3048" i="1"/>
  <c r="C3048" i="1"/>
  <c r="B3048" i="1"/>
  <c r="G3047" i="1"/>
  <c r="F3047" i="1"/>
  <c r="E3047" i="1"/>
  <c r="D3047" i="1"/>
  <c r="C3047" i="1"/>
  <c r="B3047" i="1"/>
  <c r="G3046" i="1"/>
  <c r="F3046" i="1"/>
  <c r="E3046" i="1"/>
  <c r="D3046" i="1"/>
  <c r="C3046" i="1"/>
  <c r="B3046" i="1"/>
  <c r="G3045" i="1"/>
  <c r="F3045" i="1"/>
  <c r="E3045" i="1"/>
  <c r="D3045" i="1"/>
  <c r="C3045" i="1"/>
  <c r="B3045" i="1"/>
  <c r="G3044" i="1"/>
  <c r="F3044" i="1"/>
  <c r="E3044" i="1"/>
  <c r="D3044" i="1"/>
  <c r="C3044" i="1"/>
  <c r="B3044" i="1"/>
  <c r="G3043" i="1"/>
  <c r="F3043" i="1"/>
  <c r="E3043" i="1"/>
  <c r="D3043" i="1"/>
  <c r="C3043" i="1"/>
  <c r="B3043" i="1"/>
  <c r="G3042" i="1"/>
  <c r="F3042" i="1"/>
  <c r="E3042" i="1"/>
  <c r="D3042" i="1"/>
  <c r="C3042" i="1"/>
  <c r="B3042" i="1"/>
  <c r="G3041" i="1"/>
  <c r="F3041" i="1"/>
  <c r="E3041" i="1"/>
  <c r="D3041" i="1"/>
  <c r="C3041" i="1"/>
  <c r="B3041" i="1"/>
  <c r="G3040" i="1"/>
  <c r="F3040" i="1"/>
  <c r="E3040" i="1"/>
  <c r="D3040" i="1"/>
  <c r="C3040" i="1"/>
  <c r="B3040" i="1"/>
  <c r="G3039" i="1"/>
  <c r="F3039" i="1"/>
  <c r="E3039" i="1"/>
  <c r="D3039" i="1"/>
  <c r="C3039" i="1"/>
  <c r="B3039" i="1"/>
  <c r="G3038" i="1"/>
  <c r="F3038" i="1"/>
  <c r="E3038" i="1"/>
  <c r="D3038" i="1"/>
  <c r="C3038" i="1"/>
  <c r="B3038" i="1"/>
  <c r="G3037" i="1"/>
  <c r="F3037" i="1"/>
  <c r="E3037" i="1"/>
  <c r="D3037" i="1"/>
  <c r="C3037" i="1"/>
  <c r="B3037" i="1"/>
  <c r="G3036" i="1"/>
  <c r="F3036" i="1"/>
  <c r="E3036" i="1"/>
  <c r="D3036" i="1"/>
  <c r="C3036" i="1"/>
  <c r="B3036" i="1"/>
  <c r="G3035" i="1"/>
  <c r="F3035" i="1"/>
  <c r="E3035" i="1"/>
  <c r="D3035" i="1"/>
  <c r="C3035" i="1"/>
  <c r="B3035" i="1"/>
  <c r="G3034" i="1"/>
  <c r="F3034" i="1"/>
  <c r="E3034" i="1"/>
  <c r="D3034" i="1"/>
  <c r="C3034" i="1"/>
  <c r="B3034" i="1"/>
  <c r="G3033" i="1"/>
  <c r="F3033" i="1"/>
  <c r="E3033" i="1"/>
  <c r="D3033" i="1"/>
  <c r="C3033" i="1"/>
  <c r="B3033" i="1"/>
  <c r="G3032" i="1"/>
  <c r="F3032" i="1"/>
  <c r="E3032" i="1"/>
  <c r="D3032" i="1"/>
  <c r="C3032" i="1"/>
  <c r="B3032" i="1"/>
  <c r="G3031" i="1"/>
  <c r="F3031" i="1"/>
  <c r="E3031" i="1"/>
  <c r="D3031" i="1"/>
  <c r="C3031" i="1"/>
  <c r="B3031" i="1"/>
  <c r="G3030" i="1"/>
  <c r="F3030" i="1"/>
  <c r="E3030" i="1"/>
  <c r="D3030" i="1"/>
  <c r="C3030" i="1"/>
  <c r="B3030" i="1"/>
  <c r="G3029" i="1"/>
  <c r="F3029" i="1"/>
  <c r="E3029" i="1"/>
  <c r="D3029" i="1"/>
  <c r="C3029" i="1"/>
  <c r="B3029" i="1"/>
  <c r="G3028" i="1"/>
  <c r="F3028" i="1"/>
  <c r="E3028" i="1"/>
  <c r="D3028" i="1"/>
  <c r="C3028" i="1"/>
  <c r="B3028" i="1"/>
  <c r="G3027" i="1"/>
  <c r="F3027" i="1"/>
  <c r="E3027" i="1"/>
  <c r="D3027" i="1"/>
  <c r="C3027" i="1"/>
  <c r="B3027" i="1"/>
  <c r="G3026" i="1"/>
  <c r="F3026" i="1"/>
  <c r="E3026" i="1"/>
  <c r="D3026" i="1"/>
  <c r="C3026" i="1"/>
  <c r="B3026" i="1"/>
  <c r="G3025" i="1"/>
  <c r="F3025" i="1"/>
  <c r="E3025" i="1"/>
  <c r="D3025" i="1"/>
  <c r="C3025" i="1"/>
  <c r="B3025" i="1"/>
  <c r="G3024" i="1"/>
  <c r="F3024" i="1"/>
  <c r="E3024" i="1"/>
  <c r="D3024" i="1"/>
  <c r="C3024" i="1"/>
  <c r="B3024" i="1"/>
  <c r="G3023" i="1"/>
  <c r="F3023" i="1"/>
  <c r="E3023" i="1"/>
  <c r="D3023" i="1"/>
  <c r="C3023" i="1"/>
  <c r="B3023" i="1"/>
  <c r="G3022" i="1"/>
  <c r="F3022" i="1"/>
  <c r="E3022" i="1"/>
  <c r="D3022" i="1"/>
  <c r="C3022" i="1"/>
  <c r="B3022" i="1"/>
  <c r="G3021" i="1"/>
  <c r="F3021" i="1"/>
  <c r="E3021" i="1"/>
  <c r="D3021" i="1"/>
  <c r="C3021" i="1"/>
  <c r="B3021" i="1"/>
  <c r="G3020" i="1"/>
  <c r="F3020" i="1"/>
  <c r="E3020" i="1"/>
  <c r="D3020" i="1"/>
  <c r="C3020" i="1"/>
  <c r="B3020" i="1"/>
  <c r="G3019" i="1"/>
  <c r="F3019" i="1"/>
  <c r="E3019" i="1"/>
  <c r="D3019" i="1"/>
  <c r="C3019" i="1"/>
  <c r="B3019" i="1"/>
  <c r="G3018" i="1"/>
  <c r="F3018" i="1"/>
  <c r="E3018" i="1"/>
  <c r="D3018" i="1"/>
  <c r="C3018" i="1"/>
  <c r="B3018" i="1"/>
  <c r="G3017" i="1"/>
  <c r="F3017" i="1"/>
  <c r="E3017" i="1"/>
  <c r="D3017" i="1"/>
  <c r="C3017" i="1"/>
  <c r="B3017" i="1"/>
  <c r="G3016" i="1"/>
  <c r="F3016" i="1"/>
  <c r="E3016" i="1"/>
  <c r="D3016" i="1"/>
  <c r="C3016" i="1"/>
  <c r="B3016" i="1"/>
  <c r="G3015" i="1"/>
  <c r="F3015" i="1"/>
  <c r="E3015" i="1"/>
  <c r="D3015" i="1"/>
  <c r="C3015" i="1"/>
  <c r="B3015" i="1"/>
  <c r="G3014" i="1"/>
  <c r="F3014" i="1"/>
  <c r="E3014" i="1"/>
  <c r="D3014" i="1"/>
  <c r="C3014" i="1"/>
  <c r="B3014" i="1"/>
  <c r="G3013" i="1"/>
  <c r="F3013" i="1"/>
  <c r="E3013" i="1"/>
  <c r="D3013" i="1"/>
  <c r="C3013" i="1"/>
  <c r="B3013" i="1"/>
  <c r="G3012" i="1"/>
  <c r="F3012" i="1"/>
  <c r="E3012" i="1"/>
  <c r="D3012" i="1"/>
  <c r="C3012" i="1"/>
  <c r="B3012" i="1"/>
  <c r="G3011" i="1"/>
  <c r="F3011" i="1"/>
  <c r="E3011" i="1"/>
  <c r="D3011" i="1"/>
  <c r="C3011" i="1"/>
  <c r="B3011" i="1"/>
  <c r="G3010" i="1"/>
  <c r="F3010" i="1"/>
  <c r="E3010" i="1"/>
  <c r="D3010" i="1"/>
  <c r="C3010" i="1"/>
  <c r="B3010" i="1"/>
  <c r="G3009" i="1"/>
  <c r="F3009" i="1"/>
  <c r="E3009" i="1"/>
  <c r="D3009" i="1"/>
  <c r="C3009" i="1"/>
  <c r="B3009" i="1"/>
  <c r="G3008" i="1"/>
  <c r="F3008" i="1"/>
  <c r="E3008" i="1"/>
  <c r="D3008" i="1"/>
  <c r="C3008" i="1"/>
  <c r="B3008" i="1"/>
  <c r="G3007" i="1"/>
  <c r="F3007" i="1"/>
  <c r="E3007" i="1"/>
  <c r="D3007" i="1"/>
  <c r="C3007" i="1"/>
  <c r="B3007" i="1"/>
  <c r="G3006" i="1"/>
  <c r="F3006" i="1"/>
  <c r="E3006" i="1"/>
  <c r="D3006" i="1"/>
  <c r="C3006" i="1"/>
  <c r="B3006" i="1"/>
  <c r="G3005" i="1"/>
  <c r="F3005" i="1"/>
  <c r="E3005" i="1"/>
  <c r="D3005" i="1"/>
  <c r="C3005" i="1"/>
  <c r="B3005" i="1"/>
  <c r="G3004" i="1"/>
  <c r="F3004" i="1"/>
  <c r="E3004" i="1"/>
  <c r="D3004" i="1"/>
  <c r="C3004" i="1"/>
  <c r="B3004" i="1"/>
  <c r="G3003" i="1"/>
  <c r="F3003" i="1"/>
  <c r="E3003" i="1"/>
  <c r="D3003" i="1"/>
  <c r="C3003" i="1"/>
  <c r="B3003" i="1"/>
  <c r="G3002" i="1"/>
  <c r="F3002" i="1"/>
  <c r="E3002" i="1"/>
  <c r="D3002" i="1"/>
  <c r="C3002" i="1"/>
  <c r="B3002" i="1"/>
  <c r="G3001" i="1"/>
  <c r="F3001" i="1"/>
  <c r="E3001" i="1"/>
  <c r="D3001" i="1"/>
  <c r="C3001" i="1"/>
  <c r="B3001" i="1"/>
  <c r="G3000" i="1"/>
  <c r="F3000" i="1"/>
  <c r="E3000" i="1"/>
  <c r="D3000" i="1"/>
  <c r="C3000" i="1"/>
  <c r="B3000" i="1"/>
  <c r="G2999" i="1"/>
  <c r="F2999" i="1"/>
  <c r="E2999" i="1"/>
  <c r="D2999" i="1"/>
  <c r="C2999" i="1"/>
  <c r="B2999" i="1"/>
  <c r="G2998" i="1"/>
  <c r="F2998" i="1"/>
  <c r="E2998" i="1"/>
  <c r="D2998" i="1"/>
  <c r="C2998" i="1"/>
  <c r="B2998" i="1"/>
  <c r="G2997" i="1"/>
  <c r="F2997" i="1"/>
  <c r="E2997" i="1"/>
  <c r="D2997" i="1"/>
  <c r="C2997" i="1"/>
  <c r="B2997" i="1"/>
  <c r="G2996" i="1"/>
  <c r="F2996" i="1"/>
  <c r="E2996" i="1"/>
  <c r="D2996" i="1"/>
  <c r="C2996" i="1"/>
  <c r="B2996" i="1"/>
  <c r="G2995" i="1"/>
  <c r="F2995" i="1"/>
  <c r="E2995" i="1"/>
  <c r="D2995" i="1"/>
  <c r="C2995" i="1"/>
  <c r="B2995" i="1"/>
  <c r="G2994" i="1"/>
  <c r="F2994" i="1"/>
  <c r="E2994" i="1"/>
  <c r="D2994" i="1"/>
  <c r="C2994" i="1"/>
  <c r="B2994" i="1"/>
  <c r="G2993" i="1"/>
  <c r="F2993" i="1"/>
  <c r="E2993" i="1"/>
  <c r="D2993" i="1"/>
  <c r="C2993" i="1"/>
  <c r="B2993" i="1"/>
  <c r="G2992" i="1"/>
  <c r="F2992" i="1"/>
  <c r="E2992" i="1"/>
  <c r="D2992" i="1"/>
  <c r="C2992" i="1"/>
  <c r="B2992" i="1"/>
  <c r="G2991" i="1"/>
  <c r="F2991" i="1"/>
  <c r="E2991" i="1"/>
  <c r="D2991" i="1"/>
  <c r="C2991" i="1"/>
  <c r="B2991" i="1"/>
  <c r="G2990" i="1"/>
  <c r="F2990" i="1"/>
  <c r="E2990" i="1"/>
  <c r="D2990" i="1"/>
  <c r="C2990" i="1"/>
  <c r="B2990" i="1"/>
  <c r="G2989" i="1"/>
  <c r="F2989" i="1"/>
  <c r="E2989" i="1"/>
  <c r="D2989" i="1"/>
  <c r="C2989" i="1"/>
  <c r="B2989" i="1"/>
  <c r="G2988" i="1"/>
  <c r="F2988" i="1"/>
  <c r="E2988" i="1"/>
  <c r="D2988" i="1"/>
  <c r="C2988" i="1"/>
  <c r="B2988" i="1"/>
  <c r="G2987" i="1"/>
  <c r="F2987" i="1"/>
  <c r="E2987" i="1"/>
  <c r="D2987" i="1"/>
  <c r="C2987" i="1"/>
  <c r="B2987" i="1"/>
  <c r="G2986" i="1"/>
  <c r="F2986" i="1"/>
  <c r="E2986" i="1"/>
  <c r="D2986" i="1"/>
  <c r="C2986" i="1"/>
  <c r="B2986" i="1"/>
  <c r="G2985" i="1"/>
  <c r="F2985" i="1"/>
  <c r="E2985" i="1"/>
  <c r="D2985" i="1"/>
  <c r="C2985" i="1"/>
  <c r="B2985" i="1"/>
  <c r="G2984" i="1"/>
  <c r="F2984" i="1"/>
  <c r="E2984" i="1"/>
  <c r="D2984" i="1"/>
  <c r="C2984" i="1"/>
  <c r="B2984" i="1"/>
  <c r="G2983" i="1"/>
  <c r="F2983" i="1"/>
  <c r="E2983" i="1"/>
  <c r="D2983" i="1"/>
  <c r="C2983" i="1"/>
  <c r="B2983" i="1"/>
  <c r="G2982" i="1"/>
  <c r="F2982" i="1"/>
  <c r="E2982" i="1"/>
  <c r="D2982" i="1"/>
  <c r="C2982" i="1"/>
  <c r="B2982" i="1"/>
  <c r="G2981" i="1"/>
  <c r="F2981" i="1"/>
  <c r="E2981" i="1"/>
  <c r="D2981" i="1"/>
  <c r="C2981" i="1"/>
  <c r="B2981" i="1"/>
  <c r="G2980" i="1"/>
  <c r="F2980" i="1"/>
  <c r="E2980" i="1"/>
  <c r="D2980" i="1"/>
  <c r="C2980" i="1"/>
  <c r="B2980" i="1"/>
  <c r="G2979" i="1"/>
  <c r="F2979" i="1"/>
  <c r="E2979" i="1"/>
  <c r="D2979" i="1"/>
  <c r="C2979" i="1"/>
  <c r="B2979" i="1"/>
  <c r="G2978" i="1"/>
  <c r="F2978" i="1"/>
  <c r="E2978" i="1"/>
  <c r="D2978" i="1"/>
  <c r="C2978" i="1"/>
  <c r="B2978" i="1"/>
  <c r="G2977" i="1"/>
  <c r="F2977" i="1"/>
  <c r="E2977" i="1"/>
  <c r="D2977" i="1"/>
  <c r="C2977" i="1"/>
  <c r="B2977" i="1"/>
  <c r="G2976" i="1"/>
  <c r="F2976" i="1"/>
  <c r="E2976" i="1"/>
  <c r="D2976" i="1"/>
  <c r="C2976" i="1"/>
  <c r="B2976" i="1"/>
  <c r="G2975" i="1"/>
  <c r="F2975" i="1"/>
  <c r="E2975" i="1"/>
  <c r="D2975" i="1"/>
  <c r="C2975" i="1"/>
  <c r="B2975" i="1"/>
  <c r="G2974" i="1"/>
  <c r="F2974" i="1"/>
  <c r="E2974" i="1"/>
  <c r="D2974" i="1"/>
  <c r="C2974" i="1"/>
  <c r="B2974" i="1"/>
  <c r="G2973" i="1"/>
  <c r="F2973" i="1"/>
  <c r="E2973" i="1"/>
  <c r="D2973" i="1"/>
  <c r="C2973" i="1"/>
  <c r="B2973" i="1"/>
  <c r="G2972" i="1"/>
  <c r="F2972" i="1"/>
  <c r="E2972" i="1"/>
  <c r="D2972" i="1"/>
  <c r="C2972" i="1"/>
  <c r="B2972" i="1"/>
  <c r="G2971" i="1"/>
  <c r="F2971" i="1"/>
  <c r="E2971" i="1"/>
  <c r="D2971" i="1"/>
  <c r="C2971" i="1"/>
  <c r="B2971" i="1"/>
  <c r="G2970" i="1"/>
  <c r="F2970" i="1"/>
  <c r="E2970" i="1"/>
  <c r="D2970" i="1"/>
  <c r="C2970" i="1"/>
  <c r="B2970" i="1"/>
  <c r="G2969" i="1"/>
  <c r="F2969" i="1"/>
  <c r="E2969" i="1"/>
  <c r="D2969" i="1"/>
  <c r="C2969" i="1"/>
  <c r="B2969" i="1"/>
  <c r="G2968" i="1"/>
  <c r="F2968" i="1"/>
  <c r="E2968" i="1"/>
  <c r="D2968" i="1"/>
  <c r="C2968" i="1"/>
  <c r="B2968" i="1"/>
  <c r="G2967" i="1"/>
  <c r="F2967" i="1"/>
  <c r="E2967" i="1"/>
  <c r="D2967" i="1"/>
  <c r="C2967" i="1"/>
  <c r="B2967" i="1"/>
  <c r="G2966" i="1"/>
  <c r="F2966" i="1"/>
  <c r="E2966" i="1"/>
  <c r="D2966" i="1"/>
  <c r="C2966" i="1"/>
  <c r="B2966" i="1"/>
  <c r="G2965" i="1"/>
  <c r="F2965" i="1"/>
  <c r="E2965" i="1"/>
  <c r="D2965" i="1"/>
  <c r="C2965" i="1"/>
  <c r="B2965" i="1"/>
  <c r="G2964" i="1"/>
  <c r="F2964" i="1"/>
  <c r="E2964" i="1"/>
  <c r="D2964" i="1"/>
  <c r="C2964" i="1"/>
  <c r="B2964" i="1"/>
  <c r="G2963" i="1"/>
  <c r="F2963" i="1"/>
  <c r="E2963" i="1"/>
  <c r="D2963" i="1"/>
  <c r="C2963" i="1"/>
  <c r="B2963" i="1"/>
  <c r="G2962" i="1"/>
  <c r="F2962" i="1"/>
  <c r="E2962" i="1"/>
  <c r="D2962" i="1"/>
  <c r="C2962" i="1"/>
  <c r="B2962" i="1"/>
  <c r="G2961" i="1"/>
  <c r="F2961" i="1"/>
  <c r="E2961" i="1"/>
  <c r="D2961" i="1"/>
  <c r="C2961" i="1"/>
  <c r="B2961" i="1"/>
  <c r="G2960" i="1"/>
  <c r="F2960" i="1"/>
  <c r="E2960" i="1"/>
  <c r="D2960" i="1"/>
  <c r="C2960" i="1"/>
  <c r="B2960" i="1"/>
  <c r="G2959" i="1"/>
  <c r="F2959" i="1"/>
  <c r="E2959" i="1"/>
  <c r="D2959" i="1"/>
  <c r="C2959" i="1"/>
  <c r="B2959" i="1"/>
  <c r="G2958" i="1"/>
  <c r="F2958" i="1"/>
  <c r="E2958" i="1"/>
  <c r="D2958" i="1"/>
  <c r="C2958" i="1"/>
  <c r="B2958" i="1"/>
  <c r="G2957" i="1"/>
  <c r="F2957" i="1"/>
  <c r="E2957" i="1"/>
  <c r="D2957" i="1"/>
  <c r="C2957" i="1"/>
  <c r="B2957" i="1"/>
  <c r="G2956" i="1"/>
  <c r="F2956" i="1"/>
  <c r="E2956" i="1"/>
  <c r="D2956" i="1"/>
  <c r="C2956" i="1"/>
  <c r="B2956" i="1"/>
  <c r="G2955" i="1"/>
  <c r="F2955" i="1"/>
  <c r="E2955" i="1"/>
  <c r="D2955" i="1"/>
  <c r="C2955" i="1"/>
  <c r="B2955" i="1"/>
  <c r="G2954" i="1"/>
  <c r="F2954" i="1"/>
  <c r="E2954" i="1"/>
  <c r="D2954" i="1"/>
  <c r="C2954" i="1"/>
  <c r="B2954" i="1"/>
  <c r="G2953" i="1"/>
  <c r="F2953" i="1"/>
  <c r="E2953" i="1"/>
  <c r="D2953" i="1"/>
  <c r="C2953" i="1"/>
  <c r="B2953" i="1"/>
  <c r="G2952" i="1"/>
  <c r="F2952" i="1"/>
  <c r="E2952" i="1"/>
  <c r="D2952" i="1"/>
  <c r="C2952" i="1"/>
  <c r="B2952" i="1"/>
  <c r="G2951" i="1"/>
  <c r="F2951" i="1"/>
  <c r="E2951" i="1"/>
  <c r="D2951" i="1"/>
  <c r="C2951" i="1"/>
  <c r="B2951" i="1"/>
  <c r="G2950" i="1"/>
  <c r="F2950" i="1"/>
  <c r="E2950" i="1"/>
  <c r="D2950" i="1"/>
  <c r="C2950" i="1"/>
  <c r="B2950" i="1"/>
  <c r="G2949" i="1"/>
  <c r="F2949" i="1"/>
  <c r="E2949" i="1"/>
  <c r="D2949" i="1"/>
  <c r="C2949" i="1"/>
  <c r="B2949" i="1"/>
  <c r="G2948" i="1"/>
  <c r="F2948" i="1"/>
  <c r="E2948" i="1"/>
  <c r="D2948" i="1"/>
  <c r="C2948" i="1"/>
  <c r="B2948" i="1"/>
  <c r="G2947" i="1"/>
  <c r="F2947" i="1"/>
  <c r="E2947" i="1"/>
  <c r="D2947" i="1"/>
  <c r="C2947" i="1"/>
  <c r="B2947" i="1"/>
  <c r="G2946" i="1"/>
  <c r="F2946" i="1"/>
  <c r="E2946" i="1"/>
  <c r="D2946" i="1"/>
  <c r="C2946" i="1"/>
  <c r="B2946" i="1"/>
  <c r="G2945" i="1"/>
  <c r="F2945" i="1"/>
  <c r="E2945" i="1"/>
  <c r="D2945" i="1"/>
  <c r="C2945" i="1"/>
  <c r="B2945" i="1"/>
  <c r="G2944" i="1"/>
  <c r="F2944" i="1"/>
  <c r="E2944" i="1"/>
  <c r="D2944" i="1"/>
  <c r="C2944" i="1"/>
  <c r="B2944" i="1"/>
  <c r="G2943" i="1"/>
  <c r="F2943" i="1"/>
  <c r="E2943" i="1"/>
  <c r="D2943" i="1"/>
  <c r="C2943" i="1"/>
  <c r="B2943" i="1"/>
  <c r="G2942" i="1"/>
  <c r="F2942" i="1"/>
  <c r="E2942" i="1"/>
  <c r="D2942" i="1"/>
  <c r="C2942" i="1"/>
  <c r="B2942" i="1"/>
  <c r="G2941" i="1"/>
  <c r="F2941" i="1"/>
  <c r="E2941" i="1"/>
  <c r="D2941" i="1"/>
  <c r="C2941" i="1"/>
  <c r="B2941" i="1"/>
  <c r="G2940" i="1"/>
  <c r="F2940" i="1"/>
  <c r="E2940" i="1"/>
  <c r="D2940" i="1"/>
  <c r="C2940" i="1"/>
  <c r="B2940" i="1"/>
  <c r="G2939" i="1"/>
  <c r="F2939" i="1"/>
  <c r="E2939" i="1"/>
  <c r="D2939" i="1"/>
  <c r="C2939" i="1"/>
  <c r="B2939" i="1"/>
  <c r="G2938" i="1"/>
  <c r="F2938" i="1"/>
  <c r="E2938" i="1"/>
  <c r="D2938" i="1"/>
  <c r="C2938" i="1"/>
  <c r="B2938" i="1"/>
  <c r="G2937" i="1"/>
  <c r="F2937" i="1"/>
  <c r="E2937" i="1"/>
  <c r="D2937" i="1"/>
  <c r="C2937" i="1"/>
  <c r="B2937" i="1"/>
  <c r="G2936" i="1"/>
  <c r="F2936" i="1"/>
  <c r="E2936" i="1"/>
  <c r="D2936" i="1"/>
  <c r="C2936" i="1"/>
  <c r="B2936" i="1"/>
  <c r="G2935" i="1"/>
  <c r="F2935" i="1"/>
  <c r="E2935" i="1"/>
  <c r="D2935" i="1"/>
  <c r="C2935" i="1"/>
  <c r="B2935" i="1"/>
  <c r="G2934" i="1"/>
  <c r="F2934" i="1"/>
  <c r="E2934" i="1"/>
  <c r="D2934" i="1"/>
  <c r="C2934" i="1"/>
  <c r="B2934" i="1"/>
  <c r="G2933" i="1"/>
  <c r="F2933" i="1"/>
  <c r="E2933" i="1"/>
  <c r="D2933" i="1"/>
  <c r="C2933" i="1"/>
  <c r="B2933" i="1"/>
  <c r="G2932" i="1"/>
  <c r="F2932" i="1"/>
  <c r="E2932" i="1"/>
  <c r="D2932" i="1"/>
  <c r="C2932" i="1"/>
  <c r="B2932" i="1"/>
  <c r="G2931" i="1"/>
  <c r="F2931" i="1"/>
  <c r="E2931" i="1"/>
  <c r="D2931" i="1"/>
  <c r="C2931" i="1"/>
  <c r="B2931" i="1"/>
  <c r="G2930" i="1"/>
  <c r="F2930" i="1"/>
  <c r="E2930" i="1"/>
  <c r="D2930" i="1"/>
  <c r="C2930" i="1"/>
  <c r="B2930" i="1"/>
  <c r="G2929" i="1"/>
  <c r="F2929" i="1"/>
  <c r="E2929" i="1"/>
  <c r="D2929" i="1"/>
  <c r="C2929" i="1"/>
  <c r="B2929" i="1"/>
  <c r="G2928" i="1"/>
  <c r="F2928" i="1"/>
  <c r="E2928" i="1"/>
  <c r="D2928" i="1"/>
  <c r="C2928" i="1"/>
  <c r="B2928" i="1"/>
  <c r="G2927" i="1"/>
  <c r="F2927" i="1"/>
  <c r="E2927" i="1"/>
  <c r="D2927" i="1"/>
  <c r="C2927" i="1"/>
  <c r="B2927" i="1"/>
  <c r="G2926" i="1"/>
  <c r="F2926" i="1"/>
  <c r="E2926" i="1"/>
  <c r="D2926" i="1"/>
  <c r="C2926" i="1"/>
  <c r="B2926" i="1"/>
  <c r="G2925" i="1"/>
  <c r="F2925" i="1"/>
  <c r="E2925" i="1"/>
  <c r="D2925" i="1"/>
  <c r="C2925" i="1"/>
  <c r="B2925" i="1"/>
  <c r="G2924" i="1"/>
  <c r="F2924" i="1"/>
  <c r="E2924" i="1"/>
  <c r="D2924" i="1"/>
  <c r="C2924" i="1"/>
  <c r="B2924" i="1"/>
  <c r="G2923" i="1"/>
  <c r="F2923" i="1"/>
  <c r="E2923" i="1"/>
  <c r="D2923" i="1"/>
  <c r="C2923" i="1"/>
  <c r="B2923" i="1"/>
  <c r="G2922" i="1"/>
  <c r="F2922" i="1"/>
  <c r="E2922" i="1"/>
  <c r="D2922" i="1"/>
  <c r="C2922" i="1"/>
  <c r="B2922" i="1"/>
  <c r="G2921" i="1"/>
  <c r="F2921" i="1"/>
  <c r="E2921" i="1"/>
  <c r="D2921" i="1"/>
  <c r="C2921" i="1"/>
  <c r="B2921" i="1"/>
  <c r="G2920" i="1"/>
  <c r="F2920" i="1"/>
  <c r="E2920" i="1"/>
  <c r="D2920" i="1"/>
  <c r="C2920" i="1"/>
  <c r="B2920" i="1"/>
  <c r="G2919" i="1"/>
  <c r="F2919" i="1"/>
  <c r="E2919" i="1"/>
  <c r="D2919" i="1"/>
  <c r="C2919" i="1"/>
  <c r="B2919" i="1"/>
  <c r="G2918" i="1"/>
  <c r="F2918" i="1"/>
  <c r="E2918" i="1"/>
  <c r="D2918" i="1"/>
  <c r="C2918" i="1"/>
  <c r="B2918" i="1"/>
  <c r="G2917" i="1"/>
  <c r="F2917" i="1"/>
  <c r="E2917" i="1"/>
  <c r="D2917" i="1"/>
  <c r="C2917" i="1"/>
  <c r="B2917" i="1"/>
  <c r="G2916" i="1"/>
  <c r="F2916" i="1"/>
  <c r="E2916" i="1"/>
  <c r="D2916" i="1"/>
  <c r="C2916" i="1"/>
  <c r="B2916" i="1"/>
  <c r="G2915" i="1"/>
  <c r="F2915" i="1"/>
  <c r="E2915" i="1"/>
  <c r="D2915" i="1"/>
  <c r="C2915" i="1"/>
  <c r="B2915" i="1"/>
  <c r="G2914" i="1"/>
  <c r="F2914" i="1"/>
  <c r="E2914" i="1"/>
  <c r="D2914" i="1"/>
  <c r="C2914" i="1"/>
  <c r="B2914" i="1"/>
  <c r="G2913" i="1"/>
  <c r="F2913" i="1"/>
  <c r="E2913" i="1"/>
  <c r="D2913" i="1"/>
  <c r="C2913" i="1"/>
  <c r="B2913" i="1"/>
  <c r="G2912" i="1"/>
  <c r="F2912" i="1"/>
  <c r="E2912" i="1"/>
  <c r="D2912" i="1"/>
  <c r="C2912" i="1"/>
  <c r="B2912" i="1"/>
  <c r="G2911" i="1"/>
  <c r="F2911" i="1"/>
  <c r="E2911" i="1"/>
  <c r="D2911" i="1"/>
  <c r="C2911" i="1"/>
  <c r="B2911" i="1"/>
  <c r="G2910" i="1"/>
  <c r="F2910" i="1"/>
  <c r="E2910" i="1"/>
  <c r="D2910" i="1"/>
  <c r="C2910" i="1"/>
  <c r="B2910" i="1"/>
  <c r="G2909" i="1"/>
  <c r="F2909" i="1"/>
  <c r="E2909" i="1"/>
  <c r="D2909" i="1"/>
  <c r="C2909" i="1"/>
  <c r="B2909" i="1"/>
  <c r="G2908" i="1"/>
  <c r="F2908" i="1"/>
  <c r="E2908" i="1"/>
  <c r="D2908" i="1"/>
  <c r="C2908" i="1"/>
  <c r="B2908" i="1"/>
  <c r="G2907" i="1"/>
  <c r="F2907" i="1"/>
  <c r="E2907" i="1"/>
  <c r="D2907" i="1"/>
  <c r="C2907" i="1"/>
  <c r="B2907" i="1"/>
  <c r="G2906" i="1"/>
  <c r="F2906" i="1"/>
  <c r="E2906" i="1"/>
  <c r="D2906" i="1"/>
  <c r="C2906" i="1"/>
  <c r="B2906" i="1"/>
  <c r="G2905" i="1"/>
  <c r="F2905" i="1"/>
  <c r="E2905" i="1"/>
  <c r="D2905" i="1"/>
  <c r="C2905" i="1"/>
  <c r="B2905" i="1"/>
  <c r="G2904" i="1"/>
  <c r="F2904" i="1"/>
  <c r="E2904" i="1"/>
  <c r="D2904" i="1"/>
  <c r="C2904" i="1"/>
  <c r="B2904" i="1"/>
  <c r="G2903" i="1"/>
  <c r="F2903" i="1"/>
  <c r="E2903" i="1"/>
  <c r="D2903" i="1"/>
  <c r="C2903" i="1"/>
  <c r="B2903" i="1"/>
  <c r="G2902" i="1"/>
  <c r="F2902" i="1"/>
  <c r="E2902" i="1"/>
  <c r="D2902" i="1"/>
  <c r="C2902" i="1"/>
  <c r="B2902" i="1"/>
  <c r="G2901" i="1"/>
  <c r="F2901" i="1"/>
  <c r="E2901" i="1"/>
  <c r="D2901" i="1"/>
  <c r="C2901" i="1"/>
  <c r="B2901" i="1"/>
  <c r="G2900" i="1"/>
  <c r="F2900" i="1"/>
  <c r="E2900" i="1"/>
  <c r="D2900" i="1"/>
  <c r="C2900" i="1"/>
  <c r="B2900" i="1"/>
  <c r="G2899" i="1"/>
  <c r="F2899" i="1"/>
  <c r="E2899" i="1"/>
  <c r="D2899" i="1"/>
  <c r="C2899" i="1"/>
  <c r="B2899" i="1"/>
  <c r="G2898" i="1"/>
  <c r="F2898" i="1"/>
  <c r="E2898" i="1"/>
  <c r="D2898" i="1"/>
  <c r="C2898" i="1"/>
  <c r="B2898" i="1"/>
  <c r="G2897" i="1"/>
  <c r="F2897" i="1"/>
  <c r="E2897" i="1"/>
  <c r="D2897" i="1"/>
  <c r="C2897" i="1"/>
  <c r="B2897" i="1"/>
  <c r="G2896" i="1"/>
  <c r="F2896" i="1"/>
  <c r="E2896" i="1"/>
  <c r="D2896" i="1"/>
  <c r="C2896" i="1"/>
  <c r="B2896" i="1"/>
  <c r="G2895" i="1"/>
  <c r="F2895" i="1"/>
  <c r="E2895" i="1"/>
  <c r="D2895" i="1"/>
  <c r="C2895" i="1"/>
  <c r="B2895" i="1"/>
  <c r="G2894" i="1"/>
  <c r="F2894" i="1"/>
  <c r="E2894" i="1"/>
  <c r="D2894" i="1"/>
  <c r="C2894" i="1"/>
  <c r="B2894" i="1"/>
  <c r="G2893" i="1"/>
  <c r="F2893" i="1"/>
  <c r="E2893" i="1"/>
  <c r="D2893" i="1"/>
  <c r="C2893" i="1"/>
  <c r="B2893" i="1"/>
  <c r="G2892" i="1"/>
  <c r="F2892" i="1"/>
  <c r="E2892" i="1"/>
  <c r="D2892" i="1"/>
  <c r="C2892" i="1"/>
  <c r="B2892" i="1"/>
  <c r="G2891" i="1"/>
  <c r="F2891" i="1"/>
  <c r="E2891" i="1"/>
  <c r="D2891" i="1"/>
  <c r="C2891" i="1"/>
  <c r="B2891" i="1"/>
  <c r="G2890" i="1"/>
  <c r="F2890" i="1"/>
  <c r="E2890" i="1"/>
  <c r="D2890" i="1"/>
  <c r="C2890" i="1"/>
  <c r="B2890" i="1"/>
  <c r="G2889" i="1"/>
  <c r="F2889" i="1"/>
  <c r="E2889" i="1"/>
  <c r="D2889" i="1"/>
  <c r="C2889" i="1"/>
  <c r="B2889" i="1"/>
  <c r="G2888" i="1"/>
  <c r="F2888" i="1"/>
  <c r="E2888" i="1"/>
  <c r="D2888" i="1"/>
  <c r="C2888" i="1"/>
  <c r="B2888" i="1"/>
  <c r="G2887" i="1"/>
  <c r="F2887" i="1"/>
  <c r="E2887" i="1"/>
  <c r="D2887" i="1"/>
  <c r="C2887" i="1"/>
  <c r="B2887" i="1"/>
  <c r="G2886" i="1"/>
  <c r="F2886" i="1"/>
  <c r="E2886" i="1"/>
  <c r="D2886" i="1"/>
  <c r="C2886" i="1"/>
  <c r="B2886" i="1"/>
  <c r="G2885" i="1"/>
  <c r="F2885" i="1"/>
  <c r="E2885" i="1"/>
  <c r="D2885" i="1"/>
  <c r="C2885" i="1"/>
  <c r="B2885" i="1"/>
  <c r="G2884" i="1"/>
  <c r="F2884" i="1"/>
  <c r="E2884" i="1"/>
  <c r="D2884" i="1"/>
  <c r="C2884" i="1"/>
  <c r="B2884" i="1"/>
  <c r="G2883" i="1"/>
  <c r="F2883" i="1"/>
  <c r="E2883" i="1"/>
  <c r="D2883" i="1"/>
  <c r="C2883" i="1"/>
  <c r="B2883" i="1"/>
  <c r="G2882" i="1"/>
  <c r="F2882" i="1"/>
  <c r="E2882" i="1"/>
  <c r="D2882" i="1"/>
  <c r="C2882" i="1"/>
  <c r="B2882" i="1"/>
  <c r="G2881" i="1"/>
  <c r="F2881" i="1"/>
  <c r="E2881" i="1"/>
  <c r="D2881" i="1"/>
  <c r="C2881" i="1"/>
  <c r="B2881" i="1"/>
  <c r="G2880" i="1"/>
  <c r="F2880" i="1"/>
  <c r="E2880" i="1"/>
  <c r="D2880" i="1"/>
  <c r="C2880" i="1"/>
  <c r="B2880" i="1"/>
  <c r="G2879" i="1"/>
  <c r="F2879" i="1"/>
  <c r="E2879" i="1"/>
  <c r="D2879" i="1"/>
  <c r="C2879" i="1"/>
  <c r="B2879" i="1"/>
  <c r="G2878" i="1"/>
  <c r="F2878" i="1"/>
  <c r="E2878" i="1"/>
  <c r="D2878" i="1"/>
  <c r="C2878" i="1"/>
  <c r="B2878" i="1"/>
  <c r="G2877" i="1"/>
  <c r="F2877" i="1"/>
  <c r="E2877" i="1"/>
  <c r="D2877" i="1"/>
  <c r="C2877" i="1"/>
  <c r="B2877" i="1"/>
  <c r="G2876" i="1"/>
  <c r="F2876" i="1"/>
  <c r="E2876" i="1"/>
  <c r="D2876" i="1"/>
  <c r="C2876" i="1"/>
  <c r="B2876" i="1"/>
  <c r="G2875" i="1"/>
  <c r="F2875" i="1"/>
  <c r="E2875" i="1"/>
  <c r="D2875" i="1"/>
  <c r="C2875" i="1"/>
  <c r="B2875" i="1"/>
  <c r="G2874" i="1"/>
  <c r="F2874" i="1"/>
  <c r="E2874" i="1"/>
  <c r="D2874" i="1"/>
  <c r="C2874" i="1"/>
  <c r="B2874" i="1"/>
  <c r="G2873" i="1"/>
  <c r="F2873" i="1"/>
  <c r="E2873" i="1"/>
  <c r="D2873" i="1"/>
  <c r="C2873" i="1"/>
  <c r="B2873" i="1"/>
  <c r="G2872" i="1"/>
  <c r="F2872" i="1"/>
  <c r="E2872" i="1"/>
  <c r="D2872" i="1"/>
  <c r="C2872" i="1"/>
  <c r="B2872" i="1"/>
  <c r="G2871" i="1"/>
  <c r="F2871" i="1"/>
  <c r="E2871" i="1"/>
  <c r="D2871" i="1"/>
  <c r="C2871" i="1"/>
  <c r="B2871" i="1"/>
  <c r="G2870" i="1"/>
  <c r="F2870" i="1"/>
  <c r="E2870" i="1"/>
  <c r="D2870" i="1"/>
  <c r="C2870" i="1"/>
  <c r="B2870" i="1"/>
  <c r="G2869" i="1"/>
  <c r="F2869" i="1"/>
  <c r="E2869" i="1"/>
  <c r="D2869" i="1"/>
  <c r="C2869" i="1"/>
  <c r="B2869" i="1"/>
  <c r="G2868" i="1"/>
  <c r="F2868" i="1"/>
  <c r="E2868" i="1"/>
  <c r="D2868" i="1"/>
  <c r="C2868" i="1"/>
  <c r="B2868" i="1"/>
  <c r="G2867" i="1"/>
  <c r="F2867" i="1"/>
  <c r="E2867" i="1"/>
  <c r="D2867" i="1"/>
  <c r="C2867" i="1"/>
  <c r="B2867" i="1"/>
  <c r="G2866" i="1"/>
  <c r="F2866" i="1"/>
  <c r="E2866" i="1"/>
  <c r="D2866" i="1"/>
  <c r="C2866" i="1"/>
  <c r="B2866" i="1"/>
  <c r="G2865" i="1"/>
  <c r="F2865" i="1"/>
  <c r="E2865" i="1"/>
  <c r="D2865" i="1"/>
  <c r="C2865" i="1"/>
  <c r="B2865" i="1"/>
  <c r="G2864" i="1"/>
  <c r="F2864" i="1"/>
  <c r="E2864" i="1"/>
  <c r="D2864" i="1"/>
  <c r="C2864" i="1"/>
  <c r="B2864" i="1"/>
  <c r="G2863" i="1"/>
  <c r="F2863" i="1"/>
  <c r="E2863" i="1"/>
  <c r="D2863" i="1"/>
  <c r="C2863" i="1"/>
  <c r="B2863" i="1"/>
  <c r="G2862" i="1"/>
  <c r="F2862" i="1"/>
  <c r="E2862" i="1"/>
  <c r="D2862" i="1"/>
  <c r="C2862" i="1"/>
  <c r="B2862" i="1"/>
  <c r="G2861" i="1"/>
  <c r="F2861" i="1"/>
  <c r="E2861" i="1"/>
  <c r="D2861" i="1"/>
  <c r="C2861" i="1"/>
  <c r="B2861" i="1"/>
  <c r="G2860" i="1"/>
  <c r="F2860" i="1"/>
  <c r="E2860" i="1"/>
  <c r="D2860" i="1"/>
  <c r="C2860" i="1"/>
  <c r="B2860" i="1"/>
  <c r="G2859" i="1"/>
  <c r="F2859" i="1"/>
  <c r="E2859" i="1"/>
  <c r="D2859" i="1"/>
  <c r="C2859" i="1"/>
  <c r="B2859" i="1"/>
  <c r="G2858" i="1"/>
  <c r="F2858" i="1"/>
  <c r="E2858" i="1"/>
  <c r="D2858" i="1"/>
  <c r="C2858" i="1"/>
  <c r="B2858" i="1"/>
  <c r="G2857" i="1"/>
  <c r="F2857" i="1"/>
  <c r="E2857" i="1"/>
  <c r="D2857" i="1"/>
  <c r="C2857" i="1"/>
  <c r="B2857" i="1"/>
  <c r="G2856" i="1"/>
  <c r="F2856" i="1"/>
  <c r="E2856" i="1"/>
  <c r="D2856" i="1"/>
  <c r="C2856" i="1"/>
  <c r="B2856" i="1"/>
  <c r="G2855" i="1"/>
  <c r="F2855" i="1"/>
  <c r="E2855" i="1"/>
  <c r="D2855" i="1"/>
  <c r="C2855" i="1"/>
  <c r="B2855" i="1"/>
  <c r="G2854" i="1"/>
  <c r="F2854" i="1"/>
  <c r="E2854" i="1"/>
  <c r="D2854" i="1"/>
  <c r="C2854" i="1"/>
  <c r="B2854" i="1"/>
  <c r="G2853" i="1"/>
  <c r="F2853" i="1"/>
  <c r="E2853" i="1"/>
  <c r="D2853" i="1"/>
  <c r="C2853" i="1"/>
  <c r="B2853" i="1"/>
  <c r="G2852" i="1"/>
  <c r="F2852" i="1"/>
  <c r="E2852" i="1"/>
  <c r="D2852" i="1"/>
  <c r="C2852" i="1"/>
  <c r="B2852" i="1"/>
  <c r="G2851" i="1"/>
  <c r="F2851" i="1"/>
  <c r="E2851" i="1"/>
  <c r="D2851" i="1"/>
  <c r="C2851" i="1"/>
  <c r="B2851" i="1"/>
  <c r="G2850" i="1"/>
  <c r="F2850" i="1"/>
  <c r="E2850" i="1"/>
  <c r="D2850" i="1"/>
  <c r="C2850" i="1"/>
  <c r="B2850" i="1"/>
  <c r="G2849" i="1"/>
  <c r="F2849" i="1"/>
  <c r="E2849" i="1"/>
  <c r="D2849" i="1"/>
  <c r="C2849" i="1"/>
  <c r="B2849" i="1"/>
  <c r="G2848" i="1"/>
  <c r="F2848" i="1"/>
  <c r="E2848" i="1"/>
  <c r="D2848" i="1"/>
  <c r="C2848" i="1"/>
  <c r="B2848" i="1"/>
  <c r="G2847" i="1"/>
  <c r="F2847" i="1"/>
  <c r="E2847" i="1"/>
  <c r="D2847" i="1"/>
  <c r="C2847" i="1"/>
  <c r="B2847" i="1"/>
  <c r="G2846" i="1"/>
  <c r="F2846" i="1"/>
  <c r="E2846" i="1"/>
  <c r="D2846" i="1"/>
  <c r="C2846" i="1"/>
  <c r="B2846" i="1"/>
  <c r="G2845" i="1"/>
  <c r="F2845" i="1"/>
  <c r="E2845" i="1"/>
  <c r="D2845" i="1"/>
  <c r="C2845" i="1"/>
  <c r="B2845" i="1"/>
  <c r="G2844" i="1"/>
  <c r="F2844" i="1"/>
  <c r="E2844" i="1"/>
  <c r="D2844" i="1"/>
  <c r="C2844" i="1"/>
  <c r="B2844" i="1"/>
  <c r="G2843" i="1"/>
  <c r="F2843" i="1"/>
  <c r="E2843" i="1"/>
  <c r="D2843" i="1"/>
  <c r="C2843" i="1"/>
  <c r="B2843" i="1"/>
  <c r="G2842" i="1"/>
  <c r="F2842" i="1"/>
  <c r="E2842" i="1"/>
  <c r="D2842" i="1"/>
  <c r="C2842" i="1"/>
  <c r="B2842" i="1"/>
  <c r="G2841" i="1"/>
  <c r="F2841" i="1"/>
  <c r="E2841" i="1"/>
  <c r="D2841" i="1"/>
  <c r="C2841" i="1"/>
  <c r="B2841" i="1"/>
  <c r="G2840" i="1"/>
  <c r="F2840" i="1"/>
  <c r="E2840" i="1"/>
  <c r="D2840" i="1"/>
  <c r="C2840" i="1"/>
  <c r="B2840" i="1"/>
  <c r="G2839" i="1"/>
  <c r="F2839" i="1"/>
  <c r="E2839" i="1"/>
  <c r="D2839" i="1"/>
  <c r="C2839" i="1"/>
  <c r="B2839" i="1"/>
  <c r="G2838" i="1"/>
  <c r="F2838" i="1"/>
  <c r="E2838" i="1"/>
  <c r="D2838" i="1"/>
  <c r="C2838" i="1"/>
  <c r="B2838" i="1"/>
  <c r="G2837" i="1"/>
  <c r="F2837" i="1"/>
  <c r="E2837" i="1"/>
  <c r="D2837" i="1"/>
  <c r="C2837" i="1"/>
  <c r="B2837" i="1"/>
  <c r="G2836" i="1"/>
  <c r="F2836" i="1"/>
  <c r="E2836" i="1"/>
  <c r="D2836" i="1"/>
  <c r="C2836" i="1"/>
  <c r="B2836" i="1"/>
  <c r="G2835" i="1"/>
  <c r="F2835" i="1"/>
  <c r="E2835" i="1"/>
  <c r="D2835" i="1"/>
  <c r="C2835" i="1"/>
  <c r="B2835" i="1"/>
  <c r="G2834" i="1"/>
  <c r="F2834" i="1"/>
  <c r="E2834" i="1"/>
  <c r="D2834" i="1"/>
  <c r="C2834" i="1"/>
  <c r="B2834" i="1"/>
  <c r="G2833" i="1"/>
  <c r="F2833" i="1"/>
  <c r="E2833" i="1"/>
  <c r="D2833" i="1"/>
  <c r="C2833" i="1"/>
  <c r="B2833" i="1"/>
  <c r="G2832" i="1"/>
  <c r="F2832" i="1"/>
  <c r="E2832" i="1"/>
  <c r="D2832" i="1"/>
  <c r="C2832" i="1"/>
  <c r="B2832" i="1"/>
  <c r="G2831" i="1"/>
  <c r="F2831" i="1"/>
  <c r="E2831" i="1"/>
  <c r="D2831" i="1"/>
  <c r="C2831" i="1"/>
  <c r="B2831" i="1"/>
  <c r="G2830" i="1"/>
  <c r="F2830" i="1"/>
  <c r="E2830" i="1"/>
  <c r="D2830" i="1"/>
  <c r="C2830" i="1"/>
  <c r="B2830" i="1"/>
  <c r="G2829" i="1"/>
  <c r="F2829" i="1"/>
  <c r="E2829" i="1"/>
  <c r="D2829" i="1"/>
  <c r="C2829" i="1"/>
  <c r="B2829" i="1"/>
  <c r="G2828" i="1"/>
  <c r="F2828" i="1"/>
  <c r="E2828" i="1"/>
  <c r="D2828" i="1"/>
  <c r="C2828" i="1"/>
  <c r="B2828" i="1"/>
  <c r="G2827" i="1"/>
  <c r="F2827" i="1"/>
  <c r="E2827" i="1"/>
  <c r="D2827" i="1"/>
  <c r="C2827" i="1"/>
  <c r="B2827" i="1"/>
  <c r="G2826" i="1"/>
  <c r="F2826" i="1"/>
  <c r="E2826" i="1"/>
  <c r="D2826" i="1"/>
  <c r="C2826" i="1"/>
  <c r="B2826" i="1"/>
  <c r="G2825" i="1"/>
  <c r="F2825" i="1"/>
  <c r="E2825" i="1"/>
  <c r="D2825" i="1"/>
  <c r="C2825" i="1"/>
  <c r="B2825" i="1"/>
  <c r="G2824" i="1"/>
  <c r="F2824" i="1"/>
  <c r="E2824" i="1"/>
  <c r="D2824" i="1"/>
  <c r="C2824" i="1"/>
  <c r="B2824" i="1"/>
  <c r="G2823" i="1"/>
  <c r="F2823" i="1"/>
  <c r="E2823" i="1"/>
  <c r="D2823" i="1"/>
  <c r="C2823" i="1"/>
  <c r="B2823" i="1"/>
  <c r="G2822" i="1"/>
  <c r="F2822" i="1"/>
  <c r="E2822" i="1"/>
  <c r="D2822" i="1"/>
  <c r="C2822" i="1"/>
  <c r="B2822" i="1"/>
  <c r="G2821" i="1"/>
  <c r="F2821" i="1"/>
  <c r="E2821" i="1"/>
  <c r="D2821" i="1"/>
  <c r="C2821" i="1"/>
  <c r="B2821" i="1"/>
  <c r="G2820" i="1"/>
  <c r="F2820" i="1"/>
  <c r="E2820" i="1"/>
  <c r="D2820" i="1"/>
  <c r="C2820" i="1"/>
  <c r="B2820" i="1"/>
  <c r="G2819" i="1"/>
  <c r="F2819" i="1"/>
  <c r="E2819" i="1"/>
  <c r="D2819" i="1"/>
  <c r="C2819" i="1"/>
  <c r="B2819" i="1"/>
  <c r="G2818" i="1"/>
  <c r="F2818" i="1"/>
  <c r="E2818" i="1"/>
  <c r="D2818" i="1"/>
  <c r="C2818" i="1"/>
  <c r="B2818" i="1"/>
  <c r="G2817" i="1"/>
  <c r="F2817" i="1"/>
  <c r="E2817" i="1"/>
  <c r="D2817" i="1"/>
  <c r="C2817" i="1"/>
  <c r="B2817" i="1"/>
  <c r="G2816" i="1"/>
  <c r="F2816" i="1"/>
  <c r="E2816" i="1"/>
  <c r="D2816" i="1"/>
  <c r="C2816" i="1"/>
  <c r="B2816" i="1"/>
  <c r="G2815" i="1"/>
  <c r="F2815" i="1"/>
  <c r="E2815" i="1"/>
  <c r="D2815" i="1"/>
  <c r="C2815" i="1"/>
  <c r="B2815" i="1"/>
  <c r="G2814" i="1"/>
  <c r="F2814" i="1"/>
  <c r="E2814" i="1"/>
  <c r="D2814" i="1"/>
  <c r="C2814" i="1"/>
  <c r="B2814" i="1"/>
  <c r="G2813" i="1"/>
  <c r="F2813" i="1"/>
  <c r="E2813" i="1"/>
  <c r="D2813" i="1"/>
  <c r="C2813" i="1"/>
  <c r="B2813" i="1"/>
  <c r="G2812" i="1"/>
  <c r="F2812" i="1"/>
  <c r="E2812" i="1"/>
  <c r="D2812" i="1"/>
  <c r="C2812" i="1"/>
  <c r="B2812" i="1"/>
  <c r="G2811" i="1"/>
  <c r="F2811" i="1"/>
  <c r="E2811" i="1"/>
  <c r="D2811" i="1"/>
  <c r="C2811" i="1"/>
  <c r="B2811" i="1"/>
  <c r="G2810" i="1"/>
  <c r="F2810" i="1"/>
  <c r="E2810" i="1"/>
  <c r="D2810" i="1"/>
  <c r="C2810" i="1"/>
  <c r="B2810" i="1"/>
  <c r="G2809" i="1"/>
  <c r="F2809" i="1"/>
  <c r="E2809" i="1"/>
  <c r="D2809" i="1"/>
  <c r="C2809" i="1"/>
  <c r="B2809" i="1"/>
  <c r="G2808" i="1"/>
  <c r="F2808" i="1"/>
  <c r="E2808" i="1"/>
  <c r="D2808" i="1"/>
  <c r="C2808" i="1"/>
  <c r="B2808" i="1"/>
  <c r="G2807" i="1"/>
  <c r="F2807" i="1"/>
  <c r="E2807" i="1"/>
  <c r="D2807" i="1"/>
  <c r="C2807" i="1"/>
  <c r="B2807" i="1"/>
  <c r="G2806" i="1"/>
  <c r="F2806" i="1"/>
  <c r="E2806" i="1"/>
  <c r="D2806" i="1"/>
  <c r="C2806" i="1"/>
  <c r="B2806" i="1"/>
  <c r="G2805" i="1"/>
  <c r="F2805" i="1"/>
  <c r="E2805" i="1"/>
  <c r="D2805" i="1"/>
  <c r="C2805" i="1"/>
  <c r="B2805" i="1"/>
  <c r="G2804" i="1"/>
  <c r="F2804" i="1"/>
  <c r="E2804" i="1"/>
  <c r="D2804" i="1"/>
  <c r="C2804" i="1"/>
  <c r="B2804" i="1"/>
  <c r="G2803" i="1"/>
  <c r="F2803" i="1"/>
  <c r="E2803" i="1"/>
  <c r="D2803" i="1"/>
  <c r="C2803" i="1"/>
  <c r="B2803" i="1"/>
  <c r="G2802" i="1"/>
  <c r="F2802" i="1"/>
  <c r="E2802" i="1"/>
  <c r="D2802" i="1"/>
  <c r="C2802" i="1"/>
  <c r="B2802" i="1"/>
  <c r="G2801" i="1"/>
  <c r="F2801" i="1"/>
  <c r="E2801" i="1"/>
  <c r="D2801" i="1"/>
  <c r="C2801" i="1"/>
  <c r="B2801" i="1"/>
  <c r="G2800" i="1"/>
  <c r="F2800" i="1"/>
  <c r="E2800" i="1"/>
  <c r="D2800" i="1"/>
  <c r="C2800" i="1"/>
  <c r="B2800" i="1"/>
  <c r="G2799" i="1"/>
  <c r="F2799" i="1"/>
  <c r="E2799" i="1"/>
  <c r="D2799" i="1"/>
  <c r="C2799" i="1"/>
  <c r="B2799" i="1"/>
  <c r="G2798" i="1"/>
  <c r="F2798" i="1"/>
  <c r="E2798" i="1"/>
  <c r="D2798" i="1"/>
  <c r="C2798" i="1"/>
  <c r="B2798" i="1"/>
  <c r="G2797" i="1"/>
  <c r="F2797" i="1"/>
  <c r="E2797" i="1"/>
  <c r="D2797" i="1"/>
  <c r="C2797" i="1"/>
  <c r="B2797" i="1"/>
  <c r="G2796" i="1"/>
  <c r="F2796" i="1"/>
  <c r="E2796" i="1"/>
  <c r="D2796" i="1"/>
  <c r="C2796" i="1"/>
  <c r="B2796" i="1"/>
  <c r="G2795" i="1"/>
  <c r="F2795" i="1"/>
  <c r="E2795" i="1"/>
  <c r="D2795" i="1"/>
  <c r="C2795" i="1"/>
  <c r="B2795" i="1"/>
  <c r="G2794" i="1"/>
  <c r="F2794" i="1"/>
  <c r="E2794" i="1"/>
  <c r="D2794" i="1"/>
  <c r="C2794" i="1"/>
  <c r="B2794" i="1"/>
  <c r="G2793" i="1"/>
  <c r="F2793" i="1"/>
  <c r="E2793" i="1"/>
  <c r="D2793" i="1"/>
  <c r="C2793" i="1"/>
  <c r="B2793" i="1"/>
  <c r="G2792" i="1"/>
  <c r="F2792" i="1"/>
  <c r="E2792" i="1"/>
  <c r="D2792" i="1"/>
  <c r="C2792" i="1"/>
  <c r="B2792" i="1"/>
  <c r="G2791" i="1"/>
  <c r="F2791" i="1"/>
  <c r="E2791" i="1"/>
  <c r="D2791" i="1"/>
  <c r="C2791" i="1"/>
  <c r="B2791" i="1"/>
  <c r="G2790" i="1"/>
  <c r="F2790" i="1"/>
  <c r="E2790" i="1"/>
  <c r="D2790" i="1"/>
  <c r="C2790" i="1"/>
  <c r="B2790" i="1"/>
  <c r="G2789" i="1"/>
  <c r="F2789" i="1"/>
  <c r="E2789" i="1"/>
  <c r="D2789" i="1"/>
  <c r="C2789" i="1"/>
  <c r="B2789" i="1"/>
  <c r="G2788" i="1"/>
  <c r="F2788" i="1"/>
  <c r="E2788" i="1"/>
  <c r="D2788" i="1"/>
  <c r="C2788" i="1"/>
  <c r="B2788" i="1"/>
  <c r="G2787" i="1"/>
  <c r="F2787" i="1"/>
  <c r="E2787" i="1"/>
  <c r="D2787" i="1"/>
  <c r="C2787" i="1"/>
  <c r="B2787" i="1"/>
  <c r="G2786" i="1"/>
  <c r="F2786" i="1"/>
  <c r="E2786" i="1"/>
  <c r="D2786" i="1"/>
  <c r="C2786" i="1"/>
  <c r="B2786" i="1"/>
  <c r="G2785" i="1"/>
  <c r="F2785" i="1"/>
  <c r="E2785" i="1"/>
  <c r="D2785" i="1"/>
  <c r="C2785" i="1"/>
  <c r="B2785" i="1"/>
  <c r="G2784" i="1"/>
  <c r="F2784" i="1"/>
  <c r="E2784" i="1"/>
  <c r="D2784" i="1"/>
  <c r="C2784" i="1"/>
  <c r="B2784" i="1"/>
  <c r="G2783" i="1"/>
  <c r="F2783" i="1"/>
  <c r="E2783" i="1"/>
  <c r="D2783" i="1"/>
  <c r="C2783" i="1"/>
  <c r="B2783" i="1"/>
  <c r="G2782" i="1"/>
  <c r="F2782" i="1"/>
  <c r="E2782" i="1"/>
  <c r="D2782" i="1"/>
  <c r="C2782" i="1"/>
  <c r="B2782" i="1"/>
  <c r="G2781" i="1"/>
  <c r="F2781" i="1"/>
  <c r="E2781" i="1"/>
  <c r="D2781" i="1"/>
  <c r="C2781" i="1"/>
  <c r="B2781" i="1"/>
  <c r="G2780" i="1"/>
  <c r="F2780" i="1"/>
  <c r="E2780" i="1"/>
  <c r="D2780" i="1"/>
  <c r="C2780" i="1"/>
  <c r="B2780" i="1"/>
  <c r="G2779" i="1"/>
  <c r="F2779" i="1"/>
  <c r="E2779" i="1"/>
  <c r="D2779" i="1"/>
  <c r="C2779" i="1"/>
  <c r="B2779" i="1"/>
  <c r="G2778" i="1"/>
  <c r="F2778" i="1"/>
  <c r="E2778" i="1"/>
  <c r="D2778" i="1"/>
  <c r="C2778" i="1"/>
  <c r="B2778" i="1"/>
  <c r="G2777" i="1"/>
  <c r="F2777" i="1"/>
  <c r="E2777" i="1"/>
  <c r="D2777" i="1"/>
  <c r="C2777" i="1"/>
  <c r="B2777" i="1"/>
  <c r="G2776" i="1"/>
  <c r="F2776" i="1"/>
  <c r="E2776" i="1"/>
  <c r="D2776" i="1"/>
  <c r="C2776" i="1"/>
  <c r="B2776" i="1"/>
  <c r="G2775" i="1"/>
  <c r="F2775" i="1"/>
  <c r="E2775" i="1"/>
  <c r="D2775" i="1"/>
  <c r="C2775" i="1"/>
  <c r="B2775" i="1"/>
  <c r="G2774" i="1"/>
  <c r="F2774" i="1"/>
  <c r="E2774" i="1"/>
  <c r="D2774" i="1"/>
  <c r="C2774" i="1"/>
  <c r="B2774" i="1"/>
  <c r="G2773" i="1"/>
  <c r="F2773" i="1"/>
  <c r="E2773" i="1"/>
  <c r="D2773" i="1"/>
  <c r="C2773" i="1"/>
  <c r="B2773" i="1"/>
  <c r="G2772" i="1"/>
  <c r="F2772" i="1"/>
  <c r="E2772" i="1"/>
  <c r="D2772" i="1"/>
  <c r="C2772" i="1"/>
  <c r="B2772" i="1"/>
  <c r="G2771" i="1"/>
  <c r="F2771" i="1"/>
  <c r="E2771" i="1"/>
  <c r="D2771" i="1"/>
  <c r="C2771" i="1"/>
  <c r="B2771" i="1"/>
  <c r="G2770" i="1"/>
  <c r="F2770" i="1"/>
  <c r="E2770" i="1"/>
  <c r="D2770" i="1"/>
  <c r="C2770" i="1"/>
  <c r="B2770" i="1"/>
  <c r="G2769" i="1"/>
  <c r="F2769" i="1"/>
  <c r="E2769" i="1"/>
  <c r="D2769" i="1"/>
  <c r="C2769" i="1"/>
  <c r="B2769" i="1"/>
  <c r="G2768" i="1"/>
  <c r="F2768" i="1"/>
  <c r="E2768" i="1"/>
  <c r="D2768" i="1"/>
  <c r="C2768" i="1"/>
  <c r="B2768" i="1"/>
  <c r="G2767" i="1"/>
  <c r="F2767" i="1"/>
  <c r="E2767" i="1"/>
  <c r="D2767" i="1"/>
  <c r="C2767" i="1"/>
  <c r="B2767" i="1"/>
  <c r="G2766" i="1"/>
  <c r="F2766" i="1"/>
  <c r="E2766" i="1"/>
  <c r="D2766" i="1"/>
  <c r="C2766" i="1"/>
  <c r="B2766" i="1"/>
  <c r="G2765" i="1"/>
  <c r="F2765" i="1"/>
  <c r="E2765" i="1"/>
  <c r="D2765" i="1"/>
  <c r="C2765" i="1"/>
  <c r="B2765" i="1"/>
  <c r="G2764" i="1"/>
  <c r="F2764" i="1"/>
  <c r="E2764" i="1"/>
  <c r="D2764" i="1"/>
  <c r="C2764" i="1"/>
  <c r="B2764" i="1"/>
  <c r="G2763" i="1"/>
  <c r="F2763" i="1"/>
  <c r="E2763" i="1"/>
  <c r="D2763" i="1"/>
  <c r="C2763" i="1"/>
  <c r="B2763" i="1"/>
  <c r="G2762" i="1"/>
  <c r="F2762" i="1"/>
  <c r="E2762" i="1"/>
  <c r="D2762" i="1"/>
  <c r="C2762" i="1"/>
  <c r="B2762" i="1"/>
  <c r="G2761" i="1"/>
  <c r="F2761" i="1"/>
  <c r="E2761" i="1"/>
  <c r="D2761" i="1"/>
  <c r="C2761" i="1"/>
  <c r="B2761" i="1"/>
  <c r="G2760" i="1"/>
  <c r="F2760" i="1"/>
  <c r="E2760" i="1"/>
  <c r="D2760" i="1"/>
  <c r="C2760" i="1"/>
  <c r="B2760" i="1"/>
  <c r="G2759" i="1"/>
  <c r="F2759" i="1"/>
  <c r="E2759" i="1"/>
  <c r="D2759" i="1"/>
  <c r="C2759" i="1"/>
  <c r="B2759" i="1"/>
  <c r="G2758" i="1"/>
  <c r="F2758" i="1"/>
  <c r="E2758" i="1"/>
  <c r="D2758" i="1"/>
  <c r="C2758" i="1"/>
  <c r="B2758" i="1"/>
  <c r="G2757" i="1"/>
  <c r="F2757" i="1"/>
  <c r="E2757" i="1"/>
  <c r="D2757" i="1"/>
  <c r="C2757" i="1"/>
  <c r="B2757" i="1"/>
  <c r="G2756" i="1"/>
  <c r="F2756" i="1"/>
  <c r="E2756" i="1"/>
  <c r="D2756" i="1"/>
  <c r="C2756" i="1"/>
  <c r="B2756" i="1"/>
  <c r="G2755" i="1"/>
  <c r="F2755" i="1"/>
  <c r="E2755" i="1"/>
  <c r="D2755" i="1"/>
  <c r="C2755" i="1"/>
  <c r="B2755" i="1"/>
  <c r="G2754" i="1"/>
  <c r="F2754" i="1"/>
  <c r="E2754" i="1"/>
  <c r="D2754" i="1"/>
  <c r="C2754" i="1"/>
  <c r="B2754" i="1"/>
  <c r="G2753" i="1"/>
  <c r="F2753" i="1"/>
  <c r="E2753" i="1"/>
  <c r="D2753" i="1"/>
  <c r="C2753" i="1"/>
  <c r="B2753" i="1"/>
  <c r="G2752" i="1"/>
  <c r="F2752" i="1"/>
  <c r="E2752" i="1"/>
  <c r="D2752" i="1"/>
  <c r="C2752" i="1"/>
  <c r="B2752" i="1"/>
  <c r="G2751" i="1"/>
  <c r="F2751" i="1"/>
  <c r="E2751" i="1"/>
  <c r="D2751" i="1"/>
  <c r="C2751" i="1"/>
  <c r="B2751" i="1"/>
  <c r="G2750" i="1"/>
  <c r="F2750" i="1"/>
  <c r="E2750" i="1"/>
  <c r="D2750" i="1"/>
  <c r="C2750" i="1"/>
  <c r="B2750" i="1"/>
  <c r="G2749" i="1"/>
  <c r="F2749" i="1"/>
  <c r="E2749" i="1"/>
  <c r="D2749" i="1"/>
  <c r="C2749" i="1"/>
  <c r="B2749" i="1"/>
  <c r="G2748" i="1"/>
  <c r="F2748" i="1"/>
  <c r="E2748" i="1"/>
  <c r="D2748" i="1"/>
  <c r="C2748" i="1"/>
  <c r="B2748" i="1"/>
  <c r="G2747" i="1"/>
  <c r="F2747" i="1"/>
  <c r="E2747" i="1"/>
  <c r="D2747" i="1"/>
  <c r="C2747" i="1"/>
  <c r="B2747" i="1"/>
  <c r="G2746" i="1"/>
  <c r="F2746" i="1"/>
  <c r="E2746" i="1"/>
  <c r="D2746" i="1"/>
  <c r="C2746" i="1"/>
  <c r="B2746" i="1"/>
  <c r="G2745" i="1"/>
  <c r="F2745" i="1"/>
  <c r="E2745" i="1"/>
  <c r="D2745" i="1"/>
  <c r="C2745" i="1"/>
  <c r="B2745" i="1"/>
  <c r="G2744" i="1"/>
  <c r="F2744" i="1"/>
  <c r="E2744" i="1"/>
  <c r="D2744" i="1"/>
  <c r="C2744" i="1"/>
  <c r="B2744" i="1"/>
  <c r="G2743" i="1"/>
  <c r="F2743" i="1"/>
  <c r="E2743" i="1"/>
  <c r="D2743" i="1"/>
  <c r="C2743" i="1"/>
  <c r="B2743" i="1"/>
  <c r="G2742" i="1"/>
  <c r="F2742" i="1"/>
  <c r="E2742" i="1"/>
  <c r="D2742" i="1"/>
  <c r="C2742" i="1"/>
  <c r="B2742" i="1"/>
  <c r="G2741" i="1"/>
  <c r="F2741" i="1"/>
  <c r="E2741" i="1"/>
  <c r="D2741" i="1"/>
  <c r="C2741" i="1"/>
  <c r="B2741" i="1"/>
  <c r="G2740" i="1"/>
  <c r="F2740" i="1"/>
  <c r="E2740" i="1"/>
  <c r="D2740" i="1"/>
  <c r="C2740" i="1"/>
  <c r="B2740" i="1"/>
  <c r="G2739" i="1"/>
  <c r="F2739" i="1"/>
  <c r="E2739" i="1"/>
  <c r="D2739" i="1"/>
  <c r="C2739" i="1"/>
  <c r="B2739" i="1"/>
  <c r="G2738" i="1"/>
  <c r="F2738" i="1"/>
  <c r="E2738" i="1"/>
  <c r="D2738" i="1"/>
  <c r="C2738" i="1"/>
  <c r="B2738" i="1"/>
  <c r="G2737" i="1"/>
  <c r="F2737" i="1"/>
  <c r="E2737" i="1"/>
  <c r="D2737" i="1"/>
  <c r="C2737" i="1"/>
  <c r="B2737" i="1"/>
  <c r="G2736" i="1"/>
  <c r="F2736" i="1"/>
  <c r="E2736" i="1"/>
  <c r="D2736" i="1"/>
  <c r="C2736" i="1"/>
  <c r="B2736" i="1"/>
  <c r="G2735" i="1"/>
  <c r="F2735" i="1"/>
  <c r="E2735" i="1"/>
  <c r="D2735" i="1"/>
  <c r="C2735" i="1"/>
  <c r="B2735" i="1"/>
  <c r="G2734" i="1"/>
  <c r="F2734" i="1"/>
  <c r="E2734" i="1"/>
  <c r="D2734" i="1"/>
  <c r="C2734" i="1"/>
  <c r="B2734" i="1"/>
  <c r="G2733" i="1"/>
  <c r="F2733" i="1"/>
  <c r="E2733" i="1"/>
  <c r="D2733" i="1"/>
  <c r="C2733" i="1"/>
  <c r="B2733" i="1"/>
  <c r="G2732" i="1"/>
  <c r="F2732" i="1"/>
  <c r="E2732" i="1"/>
  <c r="D2732" i="1"/>
  <c r="C2732" i="1"/>
  <c r="B2732" i="1"/>
  <c r="G2731" i="1"/>
  <c r="F2731" i="1"/>
  <c r="E2731" i="1"/>
  <c r="D2731" i="1"/>
  <c r="C2731" i="1"/>
  <c r="B2731" i="1"/>
  <c r="G2730" i="1"/>
  <c r="F2730" i="1"/>
  <c r="E2730" i="1"/>
  <c r="D2730" i="1"/>
  <c r="C2730" i="1"/>
  <c r="B2730" i="1"/>
  <c r="G2729" i="1"/>
  <c r="F2729" i="1"/>
  <c r="E2729" i="1"/>
  <c r="D2729" i="1"/>
  <c r="C2729" i="1"/>
  <c r="B2729" i="1"/>
  <c r="G2728" i="1"/>
  <c r="F2728" i="1"/>
  <c r="E2728" i="1"/>
  <c r="D2728" i="1"/>
  <c r="C2728" i="1"/>
  <c r="B2728" i="1"/>
  <c r="G2727" i="1"/>
  <c r="F2727" i="1"/>
  <c r="E2727" i="1"/>
  <c r="D2727" i="1"/>
  <c r="C2727" i="1"/>
  <c r="B2727" i="1"/>
  <c r="G2726" i="1"/>
  <c r="F2726" i="1"/>
  <c r="E2726" i="1"/>
  <c r="D2726" i="1"/>
  <c r="C2726" i="1"/>
  <c r="B2726" i="1"/>
  <c r="G2725" i="1"/>
  <c r="F2725" i="1"/>
  <c r="E2725" i="1"/>
  <c r="D2725" i="1"/>
  <c r="C2725" i="1"/>
  <c r="B2725" i="1"/>
  <c r="G2724" i="1"/>
  <c r="F2724" i="1"/>
  <c r="E2724" i="1"/>
  <c r="D2724" i="1"/>
  <c r="C2724" i="1"/>
  <c r="B2724" i="1"/>
  <c r="G2723" i="1"/>
  <c r="F2723" i="1"/>
  <c r="E2723" i="1"/>
  <c r="D2723" i="1"/>
  <c r="C2723" i="1"/>
  <c r="B2723" i="1"/>
  <c r="G2722" i="1"/>
  <c r="F2722" i="1"/>
  <c r="E2722" i="1"/>
  <c r="D2722" i="1"/>
  <c r="C2722" i="1"/>
  <c r="B2722" i="1"/>
  <c r="G2721" i="1"/>
  <c r="F2721" i="1"/>
  <c r="E2721" i="1"/>
  <c r="D2721" i="1"/>
  <c r="C2721" i="1"/>
  <c r="B2721" i="1"/>
  <c r="G2720" i="1"/>
  <c r="F2720" i="1"/>
  <c r="E2720" i="1"/>
  <c r="D2720" i="1"/>
  <c r="C2720" i="1"/>
  <c r="B2720" i="1"/>
  <c r="G2719" i="1"/>
  <c r="F2719" i="1"/>
  <c r="E2719" i="1"/>
  <c r="D2719" i="1"/>
  <c r="C2719" i="1"/>
  <c r="B2719" i="1"/>
  <c r="G2718" i="1"/>
  <c r="F2718" i="1"/>
  <c r="E2718" i="1"/>
  <c r="D2718" i="1"/>
  <c r="C2718" i="1"/>
  <c r="B2718" i="1"/>
  <c r="G2717" i="1"/>
  <c r="F2717" i="1"/>
  <c r="E2717" i="1"/>
  <c r="D2717" i="1"/>
  <c r="C2717" i="1"/>
  <c r="B2717" i="1"/>
  <c r="G2716" i="1"/>
  <c r="F2716" i="1"/>
  <c r="E2716" i="1"/>
  <c r="D2716" i="1"/>
  <c r="C2716" i="1"/>
  <c r="B2716" i="1"/>
  <c r="G2715" i="1"/>
  <c r="F2715" i="1"/>
  <c r="E2715" i="1"/>
  <c r="D2715" i="1"/>
  <c r="C2715" i="1"/>
  <c r="B2715" i="1"/>
  <c r="G2714" i="1"/>
  <c r="F2714" i="1"/>
  <c r="E2714" i="1"/>
  <c r="D2714" i="1"/>
  <c r="C2714" i="1"/>
  <c r="B2714" i="1"/>
  <c r="G2713" i="1"/>
  <c r="F2713" i="1"/>
  <c r="E2713" i="1"/>
  <c r="D2713" i="1"/>
  <c r="C2713" i="1"/>
  <c r="B2713" i="1"/>
  <c r="G2712" i="1"/>
  <c r="F2712" i="1"/>
  <c r="E2712" i="1"/>
  <c r="D2712" i="1"/>
  <c r="C2712" i="1"/>
  <c r="B2712" i="1"/>
  <c r="G2711" i="1"/>
  <c r="F2711" i="1"/>
  <c r="E2711" i="1"/>
  <c r="D2711" i="1"/>
  <c r="C2711" i="1"/>
  <c r="B2711" i="1"/>
  <c r="G2710" i="1"/>
  <c r="F2710" i="1"/>
  <c r="E2710" i="1"/>
  <c r="D2710" i="1"/>
  <c r="C2710" i="1"/>
  <c r="B2710" i="1"/>
  <c r="G2709" i="1"/>
  <c r="F2709" i="1"/>
  <c r="E2709" i="1"/>
  <c r="D2709" i="1"/>
  <c r="C2709" i="1"/>
  <c r="B2709" i="1"/>
  <c r="G2708" i="1"/>
  <c r="F2708" i="1"/>
  <c r="E2708" i="1"/>
  <c r="D2708" i="1"/>
  <c r="C2708" i="1"/>
  <c r="B2708" i="1"/>
  <c r="G2707" i="1"/>
  <c r="F2707" i="1"/>
  <c r="E2707" i="1"/>
  <c r="D2707" i="1"/>
  <c r="C2707" i="1"/>
  <c r="B2707" i="1"/>
  <c r="G2706" i="1"/>
  <c r="F2706" i="1"/>
  <c r="E2706" i="1"/>
  <c r="D2706" i="1"/>
  <c r="C2706" i="1"/>
  <c r="B2706" i="1"/>
  <c r="G2705" i="1"/>
  <c r="F2705" i="1"/>
  <c r="E2705" i="1"/>
  <c r="D2705" i="1"/>
  <c r="C2705" i="1"/>
  <c r="B2705" i="1"/>
  <c r="G2704" i="1"/>
  <c r="F2704" i="1"/>
  <c r="E2704" i="1"/>
  <c r="D2704" i="1"/>
  <c r="C2704" i="1"/>
  <c r="B2704" i="1"/>
  <c r="G2703" i="1"/>
  <c r="F2703" i="1"/>
  <c r="E2703" i="1"/>
  <c r="D2703" i="1"/>
  <c r="C2703" i="1"/>
  <c r="B2703" i="1"/>
  <c r="G2702" i="1"/>
  <c r="F2702" i="1"/>
  <c r="E2702" i="1"/>
  <c r="D2702" i="1"/>
  <c r="C2702" i="1"/>
  <c r="B2702" i="1"/>
  <c r="G2701" i="1"/>
  <c r="F2701" i="1"/>
  <c r="E2701" i="1"/>
  <c r="D2701" i="1"/>
  <c r="C2701" i="1"/>
  <c r="B2701" i="1"/>
  <c r="G2700" i="1"/>
  <c r="F2700" i="1"/>
  <c r="E2700" i="1"/>
  <c r="D2700" i="1"/>
  <c r="C2700" i="1"/>
  <c r="B2700" i="1"/>
  <c r="G2699" i="1"/>
  <c r="F2699" i="1"/>
  <c r="E2699" i="1"/>
  <c r="D2699" i="1"/>
  <c r="C2699" i="1"/>
  <c r="B2699" i="1"/>
  <c r="G2698" i="1"/>
  <c r="F2698" i="1"/>
  <c r="E2698" i="1"/>
  <c r="D2698" i="1"/>
  <c r="C2698" i="1"/>
  <c r="B2698" i="1"/>
  <c r="G2697" i="1"/>
  <c r="F2697" i="1"/>
  <c r="E2697" i="1"/>
  <c r="D2697" i="1"/>
  <c r="C2697" i="1"/>
  <c r="B2697" i="1"/>
  <c r="G2696" i="1"/>
  <c r="F2696" i="1"/>
  <c r="E2696" i="1"/>
  <c r="D2696" i="1"/>
  <c r="C2696" i="1"/>
  <c r="B2696" i="1"/>
  <c r="G2695" i="1"/>
  <c r="F2695" i="1"/>
  <c r="E2695" i="1"/>
  <c r="D2695" i="1"/>
  <c r="C2695" i="1"/>
  <c r="B2695" i="1"/>
  <c r="G2694" i="1"/>
  <c r="F2694" i="1"/>
  <c r="E2694" i="1"/>
  <c r="D2694" i="1"/>
  <c r="C2694" i="1"/>
  <c r="B2694" i="1"/>
  <c r="G2693" i="1"/>
  <c r="F2693" i="1"/>
  <c r="E2693" i="1"/>
  <c r="D2693" i="1"/>
  <c r="C2693" i="1"/>
  <c r="B2693" i="1"/>
  <c r="G2692" i="1"/>
  <c r="F2692" i="1"/>
  <c r="E2692" i="1"/>
  <c r="D2692" i="1"/>
  <c r="C2692" i="1"/>
  <c r="B2692" i="1"/>
  <c r="G2691" i="1"/>
  <c r="F2691" i="1"/>
  <c r="E2691" i="1"/>
  <c r="D2691" i="1"/>
  <c r="C2691" i="1"/>
  <c r="B2691" i="1"/>
  <c r="G2690" i="1"/>
  <c r="F2690" i="1"/>
  <c r="E2690" i="1"/>
  <c r="D2690" i="1"/>
  <c r="C2690" i="1"/>
  <c r="B2690" i="1"/>
  <c r="G2689" i="1"/>
  <c r="F2689" i="1"/>
  <c r="E2689" i="1"/>
  <c r="D2689" i="1"/>
  <c r="C2689" i="1"/>
  <c r="B2689" i="1"/>
  <c r="G2688" i="1"/>
  <c r="F2688" i="1"/>
  <c r="E2688" i="1"/>
  <c r="D2688" i="1"/>
  <c r="C2688" i="1"/>
  <c r="B2688" i="1"/>
  <c r="G2687" i="1"/>
  <c r="F2687" i="1"/>
  <c r="E2687" i="1"/>
  <c r="D2687" i="1"/>
  <c r="C2687" i="1"/>
  <c r="B2687" i="1"/>
  <c r="G2686" i="1"/>
  <c r="F2686" i="1"/>
  <c r="E2686" i="1"/>
  <c r="D2686" i="1"/>
  <c r="C2686" i="1"/>
  <c r="B2686" i="1"/>
  <c r="G2685" i="1"/>
  <c r="F2685" i="1"/>
  <c r="E2685" i="1"/>
  <c r="D2685" i="1"/>
  <c r="C2685" i="1"/>
  <c r="B2685" i="1"/>
  <c r="G2684" i="1"/>
  <c r="F2684" i="1"/>
  <c r="E2684" i="1"/>
  <c r="D2684" i="1"/>
  <c r="C2684" i="1"/>
  <c r="B2684" i="1"/>
  <c r="G2683" i="1"/>
  <c r="F2683" i="1"/>
  <c r="E2683" i="1"/>
  <c r="D2683" i="1"/>
  <c r="C2683" i="1"/>
  <c r="B2683" i="1"/>
  <c r="G2682" i="1"/>
  <c r="F2682" i="1"/>
  <c r="E2682" i="1"/>
  <c r="D2682" i="1"/>
  <c r="C2682" i="1"/>
  <c r="B2682" i="1"/>
  <c r="G2681" i="1"/>
  <c r="F2681" i="1"/>
  <c r="E2681" i="1"/>
  <c r="D2681" i="1"/>
  <c r="C2681" i="1"/>
  <c r="B2681" i="1"/>
  <c r="G2680" i="1"/>
  <c r="F2680" i="1"/>
  <c r="E2680" i="1"/>
  <c r="D2680" i="1"/>
  <c r="C2680" i="1"/>
  <c r="B2680" i="1"/>
  <c r="G2679" i="1"/>
  <c r="F2679" i="1"/>
  <c r="E2679" i="1"/>
  <c r="D2679" i="1"/>
  <c r="C2679" i="1"/>
  <c r="B2679" i="1"/>
  <c r="G2678" i="1"/>
  <c r="F2678" i="1"/>
  <c r="E2678" i="1"/>
  <c r="D2678" i="1"/>
  <c r="C2678" i="1"/>
  <c r="B2678" i="1"/>
  <c r="G2677" i="1"/>
  <c r="F2677" i="1"/>
  <c r="E2677" i="1"/>
  <c r="D2677" i="1"/>
  <c r="C2677" i="1"/>
  <c r="B2677" i="1"/>
  <c r="G2676" i="1"/>
  <c r="F2676" i="1"/>
  <c r="E2676" i="1"/>
  <c r="D2676" i="1"/>
  <c r="C2676" i="1"/>
  <c r="B2676" i="1"/>
  <c r="G2675" i="1"/>
  <c r="F2675" i="1"/>
  <c r="E2675" i="1"/>
  <c r="D2675" i="1"/>
  <c r="C2675" i="1"/>
  <c r="B2675" i="1"/>
  <c r="G2674" i="1"/>
  <c r="F2674" i="1"/>
  <c r="E2674" i="1"/>
  <c r="D2674" i="1"/>
  <c r="C2674" i="1"/>
  <c r="B2674" i="1"/>
  <c r="G2673" i="1"/>
  <c r="F2673" i="1"/>
  <c r="E2673" i="1"/>
  <c r="D2673" i="1"/>
  <c r="C2673" i="1"/>
  <c r="B2673" i="1"/>
  <c r="G2672" i="1"/>
  <c r="F2672" i="1"/>
  <c r="E2672" i="1"/>
  <c r="D2672" i="1"/>
  <c r="C2672" i="1"/>
  <c r="B2672" i="1"/>
  <c r="G2671" i="1"/>
  <c r="F2671" i="1"/>
  <c r="E2671" i="1"/>
  <c r="D2671" i="1"/>
  <c r="C2671" i="1"/>
  <c r="B2671" i="1"/>
  <c r="G2670" i="1"/>
  <c r="F2670" i="1"/>
  <c r="E2670" i="1"/>
  <c r="D2670" i="1"/>
  <c r="C2670" i="1"/>
  <c r="B2670" i="1"/>
  <c r="G2669" i="1"/>
  <c r="F2669" i="1"/>
  <c r="E2669" i="1"/>
  <c r="D2669" i="1"/>
  <c r="C2669" i="1"/>
  <c r="B2669" i="1"/>
  <c r="G2668" i="1"/>
  <c r="F2668" i="1"/>
  <c r="E2668" i="1"/>
  <c r="D2668" i="1"/>
  <c r="C2668" i="1"/>
  <c r="B2668" i="1"/>
  <c r="G2667" i="1"/>
  <c r="F2667" i="1"/>
  <c r="E2667" i="1"/>
  <c r="D2667" i="1"/>
  <c r="C2667" i="1"/>
  <c r="B2667" i="1"/>
  <c r="G2666" i="1"/>
  <c r="F2666" i="1"/>
  <c r="E2666" i="1"/>
  <c r="D2666" i="1"/>
  <c r="C2666" i="1"/>
  <c r="B2666" i="1"/>
  <c r="G2665" i="1"/>
  <c r="F2665" i="1"/>
  <c r="E2665" i="1"/>
  <c r="D2665" i="1"/>
  <c r="C2665" i="1"/>
  <c r="B2665" i="1"/>
  <c r="G2664" i="1"/>
  <c r="F2664" i="1"/>
  <c r="E2664" i="1"/>
  <c r="D2664" i="1"/>
  <c r="C2664" i="1"/>
  <c r="B2664" i="1"/>
  <c r="G2663" i="1"/>
  <c r="F2663" i="1"/>
  <c r="E2663" i="1"/>
  <c r="D2663" i="1"/>
  <c r="C2663" i="1"/>
  <c r="B2663" i="1"/>
  <c r="G2662" i="1"/>
  <c r="F2662" i="1"/>
  <c r="E2662" i="1"/>
  <c r="D2662" i="1"/>
  <c r="C2662" i="1"/>
  <c r="B2662" i="1"/>
  <c r="G2661" i="1"/>
  <c r="F2661" i="1"/>
  <c r="E2661" i="1"/>
  <c r="D2661" i="1"/>
  <c r="C2661" i="1"/>
  <c r="B2661" i="1"/>
  <c r="G2660" i="1"/>
  <c r="F2660" i="1"/>
  <c r="E2660" i="1"/>
  <c r="D2660" i="1"/>
  <c r="C2660" i="1"/>
  <c r="B2660" i="1"/>
  <c r="G2659" i="1"/>
  <c r="F2659" i="1"/>
  <c r="E2659" i="1"/>
  <c r="D2659" i="1"/>
  <c r="C2659" i="1"/>
  <c r="B2659" i="1"/>
  <c r="G2658" i="1"/>
  <c r="F2658" i="1"/>
  <c r="E2658" i="1"/>
  <c r="D2658" i="1"/>
  <c r="C2658" i="1"/>
  <c r="B2658" i="1"/>
  <c r="G2657" i="1"/>
  <c r="F2657" i="1"/>
  <c r="E2657" i="1"/>
  <c r="D2657" i="1"/>
  <c r="C2657" i="1"/>
  <c r="B2657" i="1"/>
  <c r="G2656" i="1"/>
  <c r="F2656" i="1"/>
  <c r="E2656" i="1"/>
  <c r="D2656" i="1"/>
  <c r="C2656" i="1"/>
  <c r="B2656" i="1"/>
  <c r="G2655" i="1"/>
  <c r="F2655" i="1"/>
  <c r="E2655" i="1"/>
  <c r="D2655" i="1"/>
  <c r="C2655" i="1"/>
  <c r="B2655" i="1"/>
  <c r="G2654" i="1"/>
  <c r="F2654" i="1"/>
  <c r="E2654" i="1"/>
  <c r="D2654" i="1"/>
  <c r="C2654" i="1"/>
  <c r="B2654" i="1"/>
  <c r="G2653" i="1"/>
  <c r="F2653" i="1"/>
  <c r="E2653" i="1"/>
  <c r="D2653" i="1"/>
  <c r="C2653" i="1"/>
  <c r="B2653" i="1"/>
  <c r="G2652" i="1"/>
  <c r="F2652" i="1"/>
  <c r="E2652" i="1"/>
  <c r="D2652" i="1"/>
  <c r="C2652" i="1"/>
  <c r="B2652" i="1"/>
  <c r="G2651" i="1"/>
  <c r="F2651" i="1"/>
  <c r="E2651" i="1"/>
  <c r="D2651" i="1"/>
  <c r="C2651" i="1"/>
  <c r="B2651" i="1"/>
  <c r="G2650" i="1"/>
  <c r="F2650" i="1"/>
  <c r="E2650" i="1"/>
  <c r="D2650" i="1"/>
  <c r="C2650" i="1"/>
  <c r="B2650" i="1"/>
  <c r="G2649" i="1"/>
  <c r="F2649" i="1"/>
  <c r="E2649" i="1"/>
  <c r="D2649" i="1"/>
  <c r="C2649" i="1"/>
  <c r="B2649" i="1"/>
  <c r="G2648" i="1"/>
  <c r="F2648" i="1"/>
  <c r="E2648" i="1"/>
  <c r="D2648" i="1"/>
  <c r="C2648" i="1"/>
  <c r="B2648" i="1"/>
  <c r="G2647" i="1"/>
  <c r="F2647" i="1"/>
  <c r="E2647" i="1"/>
  <c r="D2647" i="1"/>
  <c r="C2647" i="1"/>
  <c r="B2647" i="1"/>
  <c r="G2646" i="1"/>
  <c r="F2646" i="1"/>
  <c r="E2646" i="1"/>
  <c r="D2646" i="1"/>
  <c r="C2646" i="1"/>
  <c r="B2646" i="1"/>
  <c r="G2645" i="1"/>
  <c r="F2645" i="1"/>
  <c r="E2645" i="1"/>
  <c r="D2645" i="1"/>
  <c r="C2645" i="1"/>
  <c r="B2645" i="1"/>
  <c r="G2644" i="1"/>
  <c r="F2644" i="1"/>
  <c r="E2644" i="1"/>
  <c r="D2644" i="1"/>
  <c r="C2644" i="1"/>
  <c r="B2644" i="1"/>
  <c r="G2643" i="1"/>
  <c r="F2643" i="1"/>
  <c r="E2643" i="1"/>
  <c r="D2643" i="1"/>
  <c r="C2643" i="1"/>
  <c r="B2643" i="1"/>
  <c r="G2642" i="1"/>
  <c r="F2642" i="1"/>
  <c r="E2642" i="1"/>
  <c r="D2642" i="1"/>
  <c r="C2642" i="1"/>
  <c r="B2642" i="1"/>
  <c r="G2641" i="1"/>
  <c r="F2641" i="1"/>
  <c r="E2641" i="1"/>
  <c r="D2641" i="1"/>
  <c r="C2641" i="1"/>
  <c r="B2641" i="1"/>
  <c r="G2640" i="1"/>
  <c r="F2640" i="1"/>
  <c r="E2640" i="1"/>
  <c r="D2640" i="1"/>
  <c r="C2640" i="1"/>
  <c r="B2640" i="1"/>
  <c r="G2639" i="1"/>
  <c r="F2639" i="1"/>
  <c r="E2639" i="1"/>
  <c r="D2639" i="1"/>
  <c r="C2639" i="1"/>
  <c r="B2639" i="1"/>
  <c r="G2638" i="1"/>
  <c r="F2638" i="1"/>
  <c r="E2638" i="1"/>
  <c r="D2638" i="1"/>
  <c r="C2638" i="1"/>
  <c r="B2638" i="1"/>
  <c r="G2637" i="1"/>
  <c r="F2637" i="1"/>
  <c r="E2637" i="1"/>
  <c r="D2637" i="1"/>
  <c r="C2637" i="1"/>
  <c r="B2637" i="1"/>
  <c r="G2636" i="1"/>
  <c r="F2636" i="1"/>
  <c r="E2636" i="1"/>
  <c r="D2636" i="1"/>
  <c r="C2636" i="1"/>
  <c r="B2636" i="1"/>
  <c r="G2635" i="1"/>
  <c r="F2635" i="1"/>
  <c r="E2635" i="1"/>
  <c r="D2635" i="1"/>
  <c r="C2635" i="1"/>
  <c r="B2635" i="1"/>
  <c r="G2634" i="1"/>
  <c r="F2634" i="1"/>
  <c r="E2634" i="1"/>
  <c r="D2634" i="1"/>
  <c r="C2634" i="1"/>
  <c r="B2634" i="1"/>
  <c r="G2633" i="1"/>
  <c r="F2633" i="1"/>
  <c r="E2633" i="1"/>
  <c r="D2633" i="1"/>
  <c r="C2633" i="1"/>
  <c r="B2633" i="1"/>
  <c r="F2632" i="1"/>
  <c r="E2632" i="1"/>
  <c r="D2632" i="1"/>
  <c r="C2632" i="1"/>
  <c r="B2632" i="1"/>
  <c r="G2631" i="1"/>
  <c r="F2631" i="1"/>
  <c r="E2631" i="1"/>
  <c r="D2631" i="1"/>
  <c r="C2631" i="1"/>
  <c r="B2631" i="1"/>
  <c r="G2630" i="1"/>
  <c r="F2630" i="1"/>
  <c r="E2630" i="1"/>
  <c r="D2630" i="1"/>
  <c r="C2630" i="1"/>
  <c r="B2630" i="1"/>
  <c r="G2629" i="1"/>
  <c r="F2629" i="1"/>
  <c r="E2629" i="1"/>
  <c r="D2629" i="1"/>
  <c r="C2629" i="1"/>
  <c r="B2629" i="1"/>
  <c r="G2628" i="1"/>
  <c r="F2628" i="1"/>
  <c r="E2628" i="1"/>
  <c r="D2628" i="1"/>
  <c r="C2628" i="1"/>
  <c r="B2628" i="1"/>
  <c r="G2627" i="1"/>
  <c r="F2627" i="1"/>
  <c r="E2627" i="1"/>
  <c r="D2627" i="1"/>
  <c r="C2627" i="1"/>
  <c r="B2627" i="1"/>
  <c r="G2626" i="1"/>
  <c r="F2626" i="1"/>
  <c r="E2626" i="1"/>
  <c r="D2626" i="1"/>
  <c r="C2626" i="1"/>
  <c r="B2626" i="1"/>
  <c r="G2625" i="1"/>
  <c r="F2625" i="1"/>
  <c r="E2625" i="1"/>
  <c r="D2625" i="1"/>
  <c r="C2625" i="1"/>
  <c r="B2625" i="1"/>
  <c r="G2624" i="1"/>
  <c r="F2624" i="1"/>
  <c r="E2624" i="1"/>
  <c r="D2624" i="1"/>
  <c r="C2624" i="1"/>
  <c r="B2624" i="1"/>
  <c r="G2623" i="1"/>
  <c r="F2623" i="1"/>
  <c r="E2623" i="1"/>
  <c r="D2623" i="1"/>
  <c r="C2623" i="1"/>
  <c r="B2623" i="1"/>
  <c r="G2622" i="1"/>
  <c r="F2622" i="1"/>
  <c r="E2622" i="1"/>
  <c r="D2622" i="1"/>
  <c r="C2622" i="1"/>
  <c r="B2622" i="1"/>
  <c r="G2621" i="1"/>
  <c r="F2621" i="1"/>
  <c r="E2621" i="1"/>
  <c r="D2621" i="1"/>
  <c r="C2621" i="1"/>
  <c r="B2621" i="1"/>
  <c r="G2620" i="1"/>
  <c r="F2620" i="1"/>
  <c r="E2620" i="1"/>
  <c r="D2620" i="1"/>
  <c r="C2620" i="1"/>
  <c r="B2620" i="1"/>
  <c r="G2619" i="1"/>
  <c r="F2619" i="1"/>
  <c r="E2619" i="1"/>
  <c r="D2619" i="1"/>
  <c r="C2619" i="1"/>
  <c r="B2619" i="1"/>
  <c r="G2618" i="1"/>
  <c r="F2618" i="1"/>
  <c r="E2618" i="1"/>
  <c r="D2618" i="1"/>
  <c r="C2618" i="1"/>
  <c r="B2618" i="1"/>
  <c r="G2617" i="1"/>
  <c r="F2617" i="1"/>
  <c r="E2617" i="1"/>
  <c r="D2617" i="1"/>
  <c r="C2617" i="1"/>
  <c r="B2617" i="1"/>
  <c r="G2616" i="1"/>
  <c r="F2616" i="1"/>
  <c r="E2616" i="1"/>
  <c r="D2616" i="1"/>
  <c r="C2616" i="1"/>
  <c r="B2616" i="1"/>
  <c r="G2615" i="1"/>
  <c r="F2615" i="1"/>
  <c r="E2615" i="1"/>
  <c r="D2615" i="1"/>
  <c r="C2615" i="1"/>
  <c r="B2615" i="1"/>
  <c r="G2614" i="1"/>
  <c r="F2614" i="1"/>
  <c r="E2614" i="1"/>
  <c r="D2614" i="1"/>
  <c r="C2614" i="1"/>
  <c r="B2614" i="1"/>
  <c r="G2613" i="1"/>
  <c r="F2613" i="1"/>
  <c r="E2613" i="1"/>
  <c r="D2613" i="1"/>
  <c r="C2613" i="1"/>
  <c r="B2613" i="1"/>
  <c r="G2612" i="1"/>
  <c r="F2612" i="1"/>
  <c r="E2612" i="1"/>
  <c r="D2612" i="1"/>
  <c r="C2612" i="1"/>
  <c r="B2612" i="1"/>
  <c r="G2611" i="1"/>
  <c r="F2611" i="1"/>
  <c r="E2611" i="1"/>
  <c r="D2611" i="1"/>
  <c r="C2611" i="1"/>
  <c r="B2611" i="1"/>
  <c r="G2610" i="1"/>
  <c r="F2610" i="1"/>
  <c r="E2610" i="1"/>
  <c r="D2610" i="1"/>
  <c r="C2610" i="1"/>
  <c r="B2610" i="1"/>
  <c r="G2609" i="1"/>
  <c r="F2609" i="1"/>
  <c r="E2609" i="1"/>
  <c r="D2609" i="1"/>
  <c r="C2609" i="1"/>
  <c r="B2609" i="1"/>
  <c r="G2608" i="1"/>
  <c r="F2608" i="1"/>
  <c r="E2608" i="1"/>
  <c r="D2608" i="1"/>
  <c r="C2608" i="1"/>
  <c r="B2608" i="1"/>
  <c r="G2607" i="1"/>
  <c r="F2607" i="1"/>
  <c r="E2607" i="1"/>
  <c r="D2607" i="1"/>
  <c r="C2607" i="1"/>
  <c r="B2607" i="1"/>
  <c r="G2606" i="1"/>
  <c r="F2606" i="1"/>
  <c r="E2606" i="1"/>
  <c r="D2606" i="1"/>
  <c r="C2606" i="1"/>
  <c r="B2606" i="1"/>
  <c r="G2605" i="1"/>
  <c r="F2605" i="1"/>
  <c r="E2605" i="1"/>
  <c r="D2605" i="1"/>
  <c r="C2605" i="1"/>
  <c r="B2605" i="1"/>
  <c r="G2604" i="1"/>
  <c r="F2604" i="1"/>
  <c r="E2604" i="1"/>
  <c r="D2604" i="1"/>
  <c r="C2604" i="1"/>
  <c r="B2604" i="1"/>
  <c r="G2603" i="1"/>
  <c r="F2603" i="1"/>
  <c r="E2603" i="1"/>
  <c r="D2603" i="1"/>
  <c r="C2603" i="1"/>
  <c r="B2603" i="1"/>
  <c r="G2602" i="1"/>
  <c r="F2602" i="1"/>
  <c r="E2602" i="1"/>
  <c r="D2602" i="1"/>
  <c r="C2602" i="1"/>
  <c r="B2602" i="1"/>
  <c r="G2601" i="1"/>
  <c r="F2601" i="1"/>
  <c r="E2601" i="1"/>
  <c r="D2601" i="1"/>
  <c r="C2601" i="1"/>
  <c r="B2601" i="1"/>
  <c r="G2600" i="1"/>
  <c r="F2600" i="1"/>
  <c r="E2600" i="1"/>
  <c r="D2600" i="1"/>
  <c r="C2600" i="1"/>
  <c r="B2600" i="1"/>
  <c r="G2599" i="1"/>
  <c r="F2599" i="1"/>
  <c r="E2599" i="1"/>
  <c r="D2599" i="1"/>
  <c r="C2599" i="1"/>
  <c r="B2599" i="1"/>
  <c r="G2598" i="1"/>
  <c r="F2598" i="1"/>
  <c r="E2598" i="1"/>
  <c r="D2598" i="1"/>
  <c r="C2598" i="1"/>
  <c r="B2598" i="1"/>
  <c r="G2597" i="1"/>
  <c r="F2597" i="1"/>
  <c r="E2597" i="1"/>
  <c r="D2597" i="1"/>
  <c r="C2597" i="1"/>
  <c r="B2597" i="1"/>
  <c r="G2596" i="1"/>
  <c r="F2596" i="1"/>
  <c r="E2596" i="1"/>
  <c r="D2596" i="1"/>
  <c r="C2596" i="1"/>
  <c r="B2596" i="1"/>
  <c r="G2595" i="1"/>
  <c r="F2595" i="1"/>
  <c r="E2595" i="1"/>
  <c r="D2595" i="1"/>
  <c r="C2595" i="1"/>
  <c r="B2595" i="1"/>
  <c r="G2594" i="1"/>
  <c r="F2594" i="1"/>
  <c r="E2594" i="1"/>
  <c r="D2594" i="1"/>
  <c r="C2594" i="1"/>
  <c r="B2594" i="1"/>
  <c r="G2593" i="1"/>
  <c r="F2593" i="1"/>
  <c r="E2593" i="1"/>
  <c r="D2593" i="1"/>
  <c r="C2593" i="1"/>
  <c r="B2593" i="1"/>
  <c r="G2592" i="1"/>
  <c r="F2592" i="1"/>
  <c r="E2592" i="1"/>
  <c r="D2592" i="1"/>
  <c r="C2592" i="1"/>
  <c r="B2592" i="1"/>
  <c r="G2591" i="1"/>
  <c r="F2591" i="1"/>
  <c r="E2591" i="1"/>
  <c r="D2591" i="1"/>
  <c r="C2591" i="1"/>
  <c r="B2591" i="1"/>
  <c r="G2590" i="1"/>
  <c r="F2590" i="1"/>
  <c r="E2590" i="1"/>
  <c r="D2590" i="1"/>
  <c r="C2590" i="1"/>
  <c r="B2590" i="1"/>
  <c r="G2589" i="1"/>
  <c r="F2589" i="1"/>
  <c r="E2589" i="1"/>
  <c r="D2589" i="1"/>
  <c r="C2589" i="1"/>
  <c r="B2589" i="1"/>
  <c r="G2588" i="1"/>
  <c r="F2588" i="1"/>
  <c r="E2588" i="1"/>
  <c r="D2588" i="1"/>
  <c r="C2588" i="1"/>
  <c r="B2588" i="1"/>
  <c r="G2587" i="1"/>
  <c r="F2587" i="1"/>
  <c r="E2587" i="1"/>
  <c r="D2587" i="1"/>
  <c r="C2587" i="1"/>
  <c r="B2587" i="1"/>
  <c r="G2586" i="1"/>
  <c r="F2586" i="1"/>
  <c r="E2586" i="1"/>
  <c r="D2586" i="1"/>
  <c r="C2586" i="1"/>
  <c r="B2586" i="1"/>
  <c r="G2585" i="1"/>
  <c r="F2585" i="1"/>
  <c r="E2585" i="1"/>
  <c r="D2585" i="1"/>
  <c r="C2585" i="1"/>
  <c r="B2585" i="1"/>
  <c r="G2584" i="1"/>
  <c r="F2584" i="1"/>
  <c r="E2584" i="1"/>
  <c r="D2584" i="1"/>
  <c r="C2584" i="1"/>
  <c r="B2584" i="1"/>
  <c r="G2583" i="1"/>
  <c r="F2583" i="1"/>
  <c r="E2583" i="1"/>
  <c r="D2583" i="1"/>
  <c r="C2583" i="1"/>
  <c r="B2583" i="1"/>
  <c r="G2582" i="1"/>
  <c r="F2582" i="1"/>
  <c r="E2582" i="1"/>
  <c r="D2582" i="1"/>
  <c r="C2582" i="1"/>
  <c r="B2582" i="1"/>
  <c r="G2581" i="1"/>
  <c r="F2581" i="1"/>
  <c r="E2581" i="1"/>
  <c r="D2581" i="1"/>
  <c r="C2581" i="1"/>
  <c r="B2581" i="1"/>
  <c r="G2580" i="1"/>
  <c r="F2580" i="1"/>
  <c r="E2580" i="1"/>
  <c r="D2580" i="1"/>
  <c r="C2580" i="1"/>
  <c r="B2580" i="1"/>
  <c r="G2579" i="1"/>
  <c r="F2579" i="1"/>
  <c r="E2579" i="1"/>
  <c r="D2579" i="1"/>
  <c r="C2579" i="1"/>
  <c r="B2579" i="1"/>
  <c r="G2578" i="1"/>
  <c r="F2578" i="1"/>
  <c r="E2578" i="1"/>
  <c r="D2578" i="1"/>
  <c r="C2578" i="1"/>
  <c r="B2578" i="1"/>
  <c r="G2577" i="1"/>
  <c r="F2577" i="1"/>
  <c r="E2577" i="1"/>
  <c r="D2577" i="1"/>
  <c r="C2577" i="1"/>
  <c r="B2577" i="1"/>
  <c r="G2576" i="1"/>
  <c r="F2576" i="1"/>
  <c r="E2576" i="1"/>
  <c r="D2576" i="1"/>
  <c r="C2576" i="1"/>
  <c r="B2576" i="1"/>
  <c r="G2575" i="1"/>
  <c r="F2575" i="1"/>
  <c r="E2575" i="1"/>
  <c r="D2575" i="1"/>
  <c r="C2575" i="1"/>
  <c r="B2575" i="1"/>
  <c r="G2574" i="1"/>
  <c r="F2574" i="1"/>
  <c r="E2574" i="1"/>
  <c r="D2574" i="1"/>
  <c r="C2574" i="1"/>
  <c r="B2574" i="1"/>
  <c r="G2573" i="1"/>
  <c r="F2573" i="1"/>
  <c r="E2573" i="1"/>
  <c r="D2573" i="1"/>
  <c r="C2573" i="1"/>
  <c r="B2573" i="1"/>
  <c r="G2572" i="1"/>
  <c r="F2572" i="1"/>
  <c r="E2572" i="1"/>
  <c r="D2572" i="1"/>
  <c r="C2572" i="1"/>
  <c r="B2572" i="1"/>
  <c r="G2571" i="1"/>
  <c r="F2571" i="1"/>
  <c r="E2571" i="1"/>
  <c r="D2571" i="1"/>
  <c r="C2571" i="1"/>
  <c r="B2571" i="1"/>
  <c r="G2570" i="1"/>
  <c r="F2570" i="1"/>
  <c r="E2570" i="1"/>
  <c r="D2570" i="1"/>
  <c r="C2570" i="1"/>
  <c r="B2570" i="1"/>
  <c r="G2569" i="1"/>
  <c r="F2569" i="1"/>
  <c r="E2569" i="1"/>
  <c r="D2569" i="1"/>
  <c r="C2569" i="1"/>
  <c r="B2569" i="1"/>
  <c r="G2568" i="1"/>
  <c r="F2568" i="1"/>
  <c r="E2568" i="1"/>
  <c r="D2568" i="1"/>
  <c r="C2568" i="1"/>
  <c r="B2568" i="1"/>
  <c r="G2567" i="1"/>
  <c r="F2567" i="1"/>
  <c r="E2567" i="1"/>
  <c r="D2567" i="1"/>
  <c r="C2567" i="1"/>
  <c r="B2567" i="1"/>
  <c r="G2566" i="1"/>
  <c r="F2566" i="1"/>
  <c r="E2566" i="1"/>
  <c r="D2566" i="1"/>
  <c r="C2566" i="1"/>
  <c r="B2566" i="1"/>
  <c r="G2565" i="1"/>
  <c r="F2565" i="1"/>
  <c r="E2565" i="1"/>
  <c r="D2565" i="1"/>
  <c r="C2565" i="1"/>
  <c r="B2565" i="1"/>
  <c r="G2564" i="1"/>
  <c r="F2564" i="1"/>
  <c r="E2564" i="1"/>
  <c r="D2564" i="1"/>
  <c r="C2564" i="1"/>
  <c r="B2564" i="1"/>
  <c r="G2563" i="1"/>
  <c r="F2563" i="1"/>
  <c r="E2563" i="1"/>
  <c r="D2563" i="1"/>
  <c r="C2563" i="1"/>
  <c r="B2563" i="1"/>
  <c r="G2562" i="1"/>
  <c r="F2562" i="1"/>
  <c r="E2562" i="1"/>
  <c r="D2562" i="1"/>
  <c r="C2562" i="1"/>
  <c r="B2562" i="1"/>
  <c r="G2561" i="1"/>
  <c r="F2561" i="1"/>
  <c r="E2561" i="1"/>
  <c r="D2561" i="1"/>
  <c r="C2561" i="1"/>
  <c r="B2561" i="1"/>
  <c r="G2560" i="1"/>
  <c r="F2560" i="1"/>
  <c r="E2560" i="1"/>
  <c r="D2560" i="1"/>
  <c r="C2560" i="1"/>
  <c r="B2560" i="1"/>
  <c r="G2559" i="1"/>
  <c r="F2559" i="1"/>
  <c r="E2559" i="1"/>
  <c r="D2559" i="1"/>
  <c r="C2559" i="1"/>
  <c r="B2559" i="1"/>
  <c r="G2558" i="1"/>
  <c r="F2558" i="1"/>
  <c r="E2558" i="1"/>
  <c r="D2558" i="1"/>
  <c r="C2558" i="1"/>
  <c r="B2558" i="1"/>
  <c r="G2557" i="1"/>
  <c r="F2557" i="1"/>
  <c r="E2557" i="1"/>
  <c r="D2557" i="1"/>
  <c r="C2557" i="1"/>
  <c r="B2557" i="1"/>
  <c r="G2556" i="1"/>
  <c r="F2556" i="1"/>
  <c r="E2556" i="1"/>
  <c r="D2556" i="1"/>
  <c r="C2556" i="1"/>
  <c r="B2556" i="1"/>
  <c r="G2555" i="1"/>
  <c r="F2555" i="1"/>
  <c r="E2555" i="1"/>
  <c r="D2555" i="1"/>
  <c r="C2555" i="1"/>
  <c r="B2555" i="1"/>
  <c r="G2554" i="1"/>
  <c r="F2554" i="1"/>
  <c r="E2554" i="1"/>
  <c r="D2554" i="1"/>
  <c r="C2554" i="1"/>
  <c r="B2554" i="1"/>
  <c r="G2553" i="1"/>
  <c r="F2553" i="1"/>
  <c r="E2553" i="1"/>
  <c r="D2553" i="1"/>
  <c r="C2553" i="1"/>
  <c r="B2553" i="1"/>
  <c r="G2552" i="1"/>
  <c r="F2552" i="1"/>
  <c r="E2552" i="1"/>
  <c r="D2552" i="1"/>
  <c r="C2552" i="1"/>
  <c r="B2552" i="1"/>
  <c r="G2551" i="1"/>
  <c r="F2551" i="1"/>
  <c r="E2551" i="1"/>
  <c r="D2551" i="1"/>
  <c r="C2551" i="1"/>
  <c r="B2551" i="1"/>
  <c r="G2550" i="1"/>
  <c r="F2550" i="1"/>
  <c r="E2550" i="1"/>
  <c r="D2550" i="1"/>
  <c r="C2550" i="1"/>
  <c r="B2550" i="1"/>
  <c r="G2549" i="1"/>
  <c r="F2549" i="1"/>
  <c r="E2549" i="1"/>
  <c r="D2549" i="1"/>
  <c r="C2549" i="1"/>
  <c r="B2549" i="1"/>
  <c r="G2548" i="1"/>
  <c r="F2548" i="1"/>
  <c r="E2548" i="1"/>
  <c r="D2548" i="1"/>
  <c r="C2548" i="1"/>
  <c r="B2548" i="1"/>
  <c r="G2547" i="1"/>
  <c r="F2547" i="1"/>
  <c r="E2547" i="1"/>
  <c r="D2547" i="1"/>
  <c r="C2547" i="1"/>
  <c r="B2547" i="1"/>
  <c r="G2546" i="1"/>
  <c r="F2546" i="1"/>
  <c r="E2546" i="1"/>
  <c r="D2546" i="1"/>
  <c r="C2546" i="1"/>
  <c r="B2546" i="1"/>
  <c r="G2545" i="1"/>
  <c r="F2545" i="1"/>
  <c r="E2545" i="1"/>
  <c r="D2545" i="1"/>
  <c r="C2545" i="1"/>
  <c r="B2545" i="1"/>
  <c r="G2544" i="1"/>
  <c r="F2544" i="1"/>
  <c r="E2544" i="1"/>
  <c r="D2544" i="1"/>
  <c r="C2544" i="1"/>
  <c r="B2544" i="1"/>
  <c r="G2543" i="1"/>
  <c r="F2543" i="1"/>
  <c r="E2543" i="1"/>
  <c r="D2543" i="1"/>
  <c r="C2543" i="1"/>
  <c r="B2543" i="1"/>
  <c r="G2542" i="1"/>
  <c r="F2542" i="1"/>
  <c r="E2542" i="1"/>
  <c r="D2542" i="1"/>
  <c r="C2542" i="1"/>
  <c r="B2542" i="1"/>
  <c r="G2541" i="1"/>
  <c r="F2541" i="1"/>
  <c r="E2541" i="1"/>
  <c r="D2541" i="1"/>
  <c r="C2541" i="1"/>
  <c r="B2541" i="1"/>
  <c r="G2540" i="1"/>
  <c r="F2540" i="1"/>
  <c r="E2540" i="1"/>
  <c r="D2540" i="1"/>
  <c r="C2540" i="1"/>
  <c r="B2540" i="1"/>
  <c r="G2539" i="1"/>
  <c r="F2539" i="1"/>
  <c r="E2539" i="1"/>
  <c r="D2539" i="1"/>
  <c r="C2539" i="1"/>
  <c r="B2539" i="1"/>
  <c r="G2538" i="1"/>
  <c r="F2538" i="1"/>
  <c r="E2538" i="1"/>
  <c r="D2538" i="1"/>
  <c r="C2538" i="1"/>
  <c r="B2538" i="1"/>
  <c r="G2537" i="1"/>
  <c r="F2537" i="1"/>
  <c r="E2537" i="1"/>
  <c r="D2537" i="1"/>
  <c r="C2537" i="1"/>
  <c r="B2537" i="1"/>
  <c r="G2536" i="1"/>
  <c r="F2536" i="1"/>
  <c r="E2536" i="1"/>
  <c r="D2536" i="1"/>
  <c r="C2536" i="1"/>
  <c r="B2536" i="1"/>
  <c r="G2535" i="1"/>
  <c r="F2535" i="1"/>
  <c r="E2535" i="1"/>
  <c r="D2535" i="1"/>
  <c r="C2535" i="1"/>
  <c r="B2535" i="1"/>
  <c r="G2534" i="1"/>
  <c r="F2534" i="1"/>
  <c r="E2534" i="1"/>
  <c r="D2534" i="1"/>
  <c r="C2534" i="1"/>
  <c r="B2534" i="1"/>
  <c r="G2533" i="1"/>
  <c r="F2533" i="1"/>
  <c r="E2533" i="1"/>
  <c r="D2533" i="1"/>
  <c r="C2533" i="1"/>
  <c r="B2533" i="1"/>
  <c r="G2532" i="1"/>
  <c r="F2532" i="1"/>
  <c r="E2532" i="1"/>
  <c r="D2532" i="1"/>
  <c r="C2532" i="1"/>
  <c r="B2532" i="1"/>
  <c r="G2531" i="1"/>
  <c r="F2531" i="1"/>
  <c r="E2531" i="1"/>
  <c r="D2531" i="1"/>
  <c r="C2531" i="1"/>
  <c r="B2531" i="1"/>
  <c r="G2530" i="1"/>
  <c r="F2530" i="1"/>
  <c r="E2530" i="1"/>
  <c r="D2530" i="1"/>
  <c r="C2530" i="1"/>
  <c r="B2530" i="1"/>
  <c r="G2529" i="1"/>
  <c r="F2529" i="1"/>
  <c r="E2529" i="1"/>
  <c r="D2529" i="1"/>
  <c r="C2529" i="1"/>
  <c r="B2529" i="1"/>
  <c r="G2528" i="1"/>
  <c r="F2528" i="1"/>
  <c r="E2528" i="1"/>
  <c r="D2528" i="1"/>
  <c r="C2528" i="1"/>
  <c r="B2528" i="1"/>
  <c r="G2527" i="1"/>
  <c r="F2527" i="1"/>
  <c r="E2527" i="1"/>
  <c r="D2527" i="1"/>
  <c r="C2527" i="1"/>
  <c r="B2527" i="1"/>
  <c r="G2526" i="1"/>
  <c r="F2526" i="1"/>
  <c r="E2526" i="1"/>
  <c r="D2526" i="1"/>
  <c r="C2526" i="1"/>
  <c r="B2526" i="1"/>
  <c r="G2525" i="1"/>
  <c r="F2525" i="1"/>
  <c r="E2525" i="1"/>
  <c r="D2525" i="1"/>
  <c r="C2525" i="1"/>
  <c r="B2525" i="1"/>
  <c r="G2524" i="1"/>
  <c r="F2524" i="1"/>
  <c r="E2524" i="1"/>
  <c r="D2524" i="1"/>
  <c r="C2524" i="1"/>
  <c r="B2524" i="1"/>
  <c r="G2523" i="1"/>
  <c r="F2523" i="1"/>
  <c r="E2523" i="1"/>
  <c r="D2523" i="1"/>
  <c r="C2523" i="1"/>
  <c r="B2523" i="1"/>
  <c r="G2522" i="1"/>
  <c r="F2522" i="1"/>
  <c r="E2522" i="1"/>
  <c r="D2522" i="1"/>
  <c r="C2522" i="1"/>
  <c r="B2522" i="1"/>
  <c r="G2521" i="1"/>
  <c r="F2521" i="1"/>
  <c r="E2521" i="1"/>
  <c r="D2521" i="1"/>
  <c r="C2521" i="1"/>
  <c r="B2521" i="1"/>
  <c r="G2520" i="1"/>
  <c r="F2520" i="1"/>
  <c r="E2520" i="1"/>
  <c r="D2520" i="1"/>
  <c r="C2520" i="1"/>
  <c r="B2520" i="1"/>
  <c r="G2519" i="1"/>
  <c r="F2519" i="1"/>
  <c r="E2519" i="1"/>
  <c r="D2519" i="1"/>
  <c r="C2519" i="1"/>
  <c r="B2519" i="1"/>
  <c r="G2518" i="1"/>
  <c r="F2518" i="1"/>
  <c r="E2518" i="1"/>
  <c r="D2518" i="1"/>
  <c r="C2518" i="1"/>
  <c r="B2518" i="1"/>
  <c r="G2517" i="1"/>
  <c r="F2517" i="1"/>
  <c r="E2517" i="1"/>
  <c r="D2517" i="1"/>
  <c r="C2517" i="1"/>
  <c r="B2517" i="1"/>
  <c r="G2516" i="1"/>
  <c r="F2516" i="1"/>
  <c r="E2516" i="1"/>
  <c r="D2516" i="1"/>
  <c r="C2516" i="1"/>
  <c r="B2516" i="1"/>
  <c r="G2515" i="1"/>
  <c r="F2515" i="1"/>
  <c r="E2515" i="1"/>
  <c r="D2515" i="1"/>
  <c r="C2515" i="1"/>
  <c r="B2515" i="1"/>
  <c r="G2514" i="1"/>
  <c r="F2514" i="1"/>
  <c r="E2514" i="1"/>
  <c r="D2514" i="1"/>
  <c r="C2514" i="1"/>
  <c r="B2514" i="1"/>
  <c r="G2513" i="1"/>
  <c r="F2513" i="1"/>
  <c r="E2513" i="1"/>
  <c r="D2513" i="1"/>
  <c r="C2513" i="1"/>
  <c r="B2513" i="1"/>
  <c r="G2512" i="1"/>
  <c r="F2512" i="1"/>
  <c r="E2512" i="1"/>
  <c r="D2512" i="1"/>
  <c r="C2512" i="1"/>
  <c r="B2512" i="1"/>
  <c r="G2511" i="1"/>
  <c r="F2511" i="1"/>
  <c r="E2511" i="1"/>
  <c r="D2511" i="1"/>
  <c r="C2511" i="1"/>
  <c r="B2511" i="1"/>
  <c r="G2510" i="1"/>
  <c r="F2510" i="1"/>
  <c r="E2510" i="1"/>
  <c r="D2510" i="1"/>
  <c r="C2510" i="1"/>
  <c r="B2510" i="1"/>
  <c r="G2509" i="1"/>
  <c r="F2509" i="1"/>
  <c r="E2509" i="1"/>
  <c r="D2509" i="1"/>
  <c r="C2509" i="1"/>
  <c r="B2509" i="1"/>
  <c r="G2508" i="1"/>
  <c r="F2508" i="1"/>
  <c r="E2508" i="1"/>
  <c r="D2508" i="1"/>
  <c r="C2508" i="1"/>
  <c r="B2508" i="1"/>
  <c r="G2507" i="1"/>
  <c r="F2507" i="1"/>
  <c r="E2507" i="1"/>
  <c r="D2507" i="1"/>
  <c r="C2507" i="1"/>
  <c r="B2507" i="1"/>
  <c r="G2506" i="1"/>
  <c r="F2506" i="1"/>
  <c r="E2506" i="1"/>
  <c r="D2506" i="1"/>
  <c r="C2506" i="1"/>
  <c r="B2506" i="1"/>
  <c r="G2505" i="1"/>
  <c r="F2505" i="1"/>
  <c r="E2505" i="1"/>
  <c r="D2505" i="1"/>
  <c r="C2505" i="1"/>
  <c r="B2505" i="1"/>
  <c r="G2504" i="1"/>
  <c r="F2504" i="1"/>
  <c r="E2504" i="1"/>
  <c r="D2504" i="1"/>
  <c r="C2504" i="1"/>
  <c r="B2504" i="1"/>
  <c r="G2503" i="1"/>
  <c r="F2503" i="1"/>
  <c r="E2503" i="1"/>
  <c r="D2503" i="1"/>
  <c r="C2503" i="1"/>
  <c r="B2503" i="1"/>
  <c r="G2502" i="1"/>
  <c r="F2502" i="1"/>
  <c r="E2502" i="1"/>
  <c r="D2502" i="1"/>
  <c r="C2502" i="1"/>
  <c r="B2502" i="1"/>
  <c r="G2501" i="1"/>
  <c r="F2501" i="1"/>
  <c r="E2501" i="1"/>
  <c r="D2501" i="1"/>
  <c r="C2501" i="1"/>
  <c r="B2501" i="1"/>
  <c r="G2500" i="1"/>
  <c r="F2500" i="1"/>
  <c r="E2500" i="1"/>
  <c r="D2500" i="1"/>
  <c r="C2500" i="1"/>
  <c r="B2500" i="1"/>
  <c r="G2499" i="1"/>
  <c r="F2499" i="1"/>
  <c r="E2499" i="1"/>
  <c r="D2499" i="1"/>
  <c r="C2499" i="1"/>
  <c r="B2499" i="1"/>
  <c r="G2498" i="1"/>
  <c r="F2498" i="1"/>
  <c r="E2498" i="1"/>
  <c r="D2498" i="1"/>
  <c r="C2498" i="1"/>
  <c r="B2498" i="1"/>
  <c r="G2497" i="1"/>
  <c r="F2497" i="1"/>
  <c r="E2497" i="1"/>
  <c r="D2497" i="1"/>
  <c r="C2497" i="1"/>
  <c r="B2497" i="1"/>
  <c r="G2496" i="1"/>
  <c r="F2496" i="1"/>
  <c r="E2496" i="1"/>
  <c r="D2496" i="1"/>
  <c r="C2496" i="1"/>
  <c r="B2496" i="1"/>
  <c r="G2495" i="1"/>
  <c r="F2495" i="1"/>
  <c r="E2495" i="1"/>
  <c r="D2495" i="1"/>
  <c r="C2495" i="1"/>
  <c r="B2495" i="1"/>
  <c r="G2494" i="1"/>
  <c r="F2494" i="1"/>
  <c r="E2494" i="1"/>
  <c r="D2494" i="1"/>
  <c r="C2494" i="1"/>
  <c r="B2494" i="1"/>
  <c r="G2493" i="1"/>
  <c r="F2493" i="1"/>
  <c r="E2493" i="1"/>
  <c r="D2493" i="1"/>
  <c r="C2493" i="1"/>
  <c r="B2493" i="1"/>
  <c r="G2492" i="1"/>
  <c r="F2492" i="1"/>
  <c r="E2492" i="1"/>
  <c r="D2492" i="1"/>
  <c r="C2492" i="1"/>
  <c r="B2492" i="1"/>
  <c r="G2491" i="1"/>
  <c r="F2491" i="1"/>
  <c r="E2491" i="1"/>
  <c r="D2491" i="1"/>
  <c r="C2491" i="1"/>
  <c r="B2491" i="1"/>
  <c r="G2490" i="1"/>
  <c r="F2490" i="1"/>
  <c r="E2490" i="1"/>
  <c r="D2490" i="1"/>
  <c r="C2490" i="1"/>
  <c r="B2490" i="1"/>
  <c r="G2489" i="1"/>
  <c r="F2489" i="1"/>
  <c r="E2489" i="1"/>
  <c r="D2489" i="1"/>
  <c r="C2489" i="1"/>
  <c r="B2489" i="1"/>
  <c r="G2488" i="1"/>
  <c r="F2488" i="1"/>
  <c r="E2488" i="1"/>
  <c r="D2488" i="1"/>
  <c r="C2488" i="1"/>
  <c r="B2488" i="1"/>
  <c r="G2487" i="1"/>
  <c r="F2487" i="1"/>
  <c r="E2487" i="1"/>
  <c r="D2487" i="1"/>
  <c r="C2487" i="1"/>
  <c r="B2487" i="1"/>
  <c r="G2486" i="1"/>
  <c r="F2486" i="1"/>
  <c r="E2486" i="1"/>
  <c r="D2486" i="1"/>
  <c r="C2486" i="1"/>
  <c r="B2486" i="1"/>
  <c r="G2485" i="1"/>
  <c r="F2485" i="1"/>
  <c r="E2485" i="1"/>
  <c r="D2485" i="1"/>
  <c r="C2485" i="1"/>
  <c r="B2485" i="1"/>
  <c r="G2484" i="1"/>
  <c r="F2484" i="1"/>
  <c r="E2484" i="1"/>
  <c r="D2484" i="1"/>
  <c r="C2484" i="1"/>
  <c r="B2484" i="1"/>
  <c r="G2483" i="1"/>
  <c r="F2483" i="1"/>
  <c r="E2483" i="1"/>
  <c r="D2483" i="1"/>
  <c r="C2483" i="1"/>
  <c r="B2483" i="1"/>
  <c r="G2482" i="1"/>
  <c r="F2482" i="1"/>
  <c r="E2482" i="1"/>
  <c r="D2482" i="1"/>
  <c r="C2482" i="1"/>
  <c r="B2482" i="1"/>
  <c r="G2481" i="1"/>
  <c r="F2481" i="1"/>
  <c r="E2481" i="1"/>
  <c r="D2481" i="1"/>
  <c r="C2481" i="1"/>
  <c r="B2481" i="1"/>
  <c r="G2480" i="1"/>
  <c r="F2480" i="1"/>
  <c r="E2480" i="1"/>
  <c r="D2480" i="1"/>
  <c r="C2480" i="1"/>
  <c r="B2480" i="1"/>
  <c r="G2479" i="1"/>
  <c r="F2479" i="1"/>
  <c r="E2479" i="1"/>
  <c r="D2479" i="1"/>
  <c r="C2479" i="1"/>
  <c r="B2479" i="1"/>
  <c r="G2478" i="1"/>
  <c r="F2478" i="1"/>
  <c r="E2478" i="1"/>
  <c r="D2478" i="1"/>
  <c r="C2478" i="1"/>
  <c r="B2478" i="1"/>
  <c r="G2477" i="1"/>
  <c r="F2477" i="1"/>
  <c r="E2477" i="1"/>
  <c r="D2477" i="1"/>
  <c r="C2477" i="1"/>
  <c r="B2477" i="1"/>
  <c r="G2476" i="1"/>
  <c r="F2476" i="1"/>
  <c r="E2476" i="1"/>
  <c r="D2476" i="1"/>
  <c r="C2476" i="1"/>
  <c r="B2476" i="1"/>
  <c r="G2475" i="1"/>
  <c r="F2475" i="1"/>
  <c r="E2475" i="1"/>
  <c r="D2475" i="1"/>
  <c r="C2475" i="1"/>
  <c r="B2475" i="1"/>
  <c r="G2474" i="1"/>
  <c r="F2474" i="1"/>
  <c r="E2474" i="1"/>
  <c r="D2474" i="1"/>
  <c r="C2474" i="1"/>
  <c r="B2474" i="1"/>
  <c r="G2473" i="1"/>
  <c r="F2473" i="1"/>
  <c r="E2473" i="1"/>
  <c r="D2473" i="1"/>
  <c r="C2473" i="1"/>
  <c r="B2473" i="1"/>
  <c r="G2472" i="1"/>
  <c r="F2472" i="1"/>
  <c r="E2472" i="1"/>
  <c r="D2472" i="1"/>
  <c r="C2472" i="1"/>
  <c r="B2472" i="1"/>
  <c r="G2471" i="1"/>
  <c r="F2471" i="1"/>
  <c r="E2471" i="1"/>
  <c r="D2471" i="1"/>
  <c r="C2471" i="1"/>
  <c r="B2471" i="1"/>
  <c r="G2470" i="1"/>
  <c r="F2470" i="1"/>
  <c r="E2470" i="1"/>
  <c r="D2470" i="1"/>
  <c r="C2470" i="1"/>
  <c r="B2470" i="1"/>
  <c r="G2469" i="1"/>
  <c r="F2469" i="1"/>
  <c r="E2469" i="1"/>
  <c r="D2469" i="1"/>
  <c r="C2469" i="1"/>
  <c r="B2469" i="1"/>
  <c r="G2468" i="1"/>
  <c r="F2468" i="1"/>
  <c r="E2468" i="1"/>
  <c r="D2468" i="1"/>
  <c r="C2468" i="1"/>
  <c r="B2468" i="1"/>
  <c r="G2467" i="1"/>
  <c r="F2467" i="1"/>
  <c r="E2467" i="1"/>
  <c r="D2467" i="1"/>
  <c r="C2467" i="1"/>
  <c r="B2467" i="1"/>
  <c r="G2466" i="1"/>
  <c r="F2466" i="1"/>
  <c r="E2466" i="1"/>
  <c r="D2466" i="1"/>
  <c r="C2466" i="1"/>
  <c r="B2466" i="1"/>
  <c r="G2465" i="1"/>
  <c r="F2465" i="1"/>
  <c r="E2465" i="1"/>
  <c r="D2465" i="1"/>
  <c r="C2465" i="1"/>
  <c r="B2465" i="1"/>
  <c r="G2464" i="1"/>
  <c r="F2464" i="1"/>
  <c r="E2464" i="1"/>
  <c r="D2464" i="1"/>
  <c r="C2464" i="1"/>
  <c r="B2464" i="1"/>
  <c r="G2463" i="1"/>
  <c r="F2463" i="1"/>
  <c r="E2463" i="1"/>
  <c r="D2463" i="1"/>
  <c r="C2463" i="1"/>
  <c r="B2463" i="1"/>
  <c r="G2462" i="1"/>
  <c r="F2462" i="1"/>
  <c r="E2462" i="1"/>
  <c r="D2462" i="1"/>
  <c r="C2462" i="1"/>
  <c r="B2462" i="1"/>
  <c r="G2461" i="1"/>
  <c r="F2461" i="1"/>
  <c r="E2461" i="1"/>
  <c r="D2461" i="1"/>
  <c r="C2461" i="1"/>
  <c r="B2461" i="1"/>
  <c r="G2460" i="1"/>
  <c r="F2460" i="1"/>
  <c r="E2460" i="1"/>
  <c r="D2460" i="1"/>
  <c r="C2460" i="1"/>
  <c r="B2460" i="1"/>
  <c r="G2459" i="1"/>
  <c r="F2459" i="1"/>
  <c r="E2459" i="1"/>
  <c r="D2459" i="1"/>
  <c r="C2459" i="1"/>
  <c r="B2459" i="1"/>
  <c r="G2458" i="1"/>
  <c r="F2458" i="1"/>
  <c r="E2458" i="1"/>
  <c r="D2458" i="1"/>
  <c r="C2458" i="1"/>
  <c r="B2458" i="1"/>
  <c r="G2457" i="1"/>
  <c r="F2457" i="1"/>
  <c r="E2457" i="1"/>
  <c r="D2457" i="1"/>
  <c r="C2457" i="1"/>
  <c r="B2457" i="1"/>
  <c r="G2456" i="1"/>
  <c r="F2456" i="1"/>
  <c r="E2456" i="1"/>
  <c r="D2456" i="1"/>
  <c r="C2456" i="1"/>
  <c r="B2456" i="1"/>
  <c r="G2455" i="1"/>
  <c r="F2455" i="1"/>
  <c r="E2455" i="1"/>
  <c r="D2455" i="1"/>
  <c r="C2455" i="1"/>
  <c r="B2455" i="1"/>
  <c r="G2454" i="1"/>
  <c r="F2454" i="1"/>
  <c r="E2454" i="1"/>
  <c r="D2454" i="1"/>
  <c r="C2454" i="1"/>
  <c r="B2454" i="1"/>
  <c r="G2453" i="1"/>
  <c r="F2453" i="1"/>
  <c r="E2453" i="1"/>
  <c r="D2453" i="1"/>
  <c r="C2453" i="1"/>
  <c r="B2453" i="1"/>
  <c r="G2452" i="1"/>
  <c r="F2452" i="1"/>
  <c r="E2452" i="1"/>
  <c r="D2452" i="1"/>
  <c r="C2452" i="1"/>
  <c r="B2452" i="1"/>
  <c r="G2451" i="1"/>
  <c r="F2451" i="1"/>
  <c r="E2451" i="1"/>
  <c r="D2451" i="1"/>
  <c r="C2451" i="1"/>
  <c r="B2451" i="1"/>
  <c r="G2450" i="1"/>
  <c r="F2450" i="1"/>
  <c r="E2450" i="1"/>
  <c r="D2450" i="1"/>
  <c r="C2450" i="1"/>
  <c r="B2450" i="1"/>
  <c r="G2449" i="1"/>
  <c r="F2449" i="1"/>
  <c r="E2449" i="1"/>
  <c r="D2449" i="1"/>
  <c r="C2449" i="1"/>
  <c r="B2449" i="1"/>
  <c r="G2448" i="1"/>
  <c r="F2448" i="1"/>
  <c r="E2448" i="1"/>
  <c r="D2448" i="1"/>
  <c r="C2448" i="1"/>
  <c r="B2448" i="1"/>
  <c r="G2447" i="1"/>
  <c r="F2447" i="1"/>
  <c r="E2447" i="1"/>
  <c r="D2447" i="1"/>
  <c r="C2447" i="1"/>
  <c r="B2447" i="1"/>
  <c r="G2446" i="1"/>
  <c r="F2446" i="1"/>
  <c r="E2446" i="1"/>
  <c r="D2446" i="1"/>
  <c r="C2446" i="1"/>
  <c r="B2446" i="1"/>
  <c r="G2445" i="1"/>
  <c r="F2445" i="1"/>
  <c r="E2445" i="1"/>
  <c r="D2445" i="1"/>
  <c r="C2445" i="1"/>
  <c r="B2445" i="1"/>
  <c r="G2444" i="1"/>
  <c r="F2444" i="1"/>
  <c r="E2444" i="1"/>
  <c r="D2444" i="1"/>
  <c r="C2444" i="1"/>
  <c r="B2444" i="1"/>
  <c r="G2443" i="1"/>
  <c r="F2443" i="1"/>
  <c r="E2443" i="1"/>
  <c r="D2443" i="1"/>
  <c r="C2443" i="1"/>
  <c r="B2443" i="1"/>
  <c r="G2442" i="1"/>
  <c r="F2442" i="1"/>
  <c r="E2442" i="1"/>
  <c r="D2442" i="1"/>
  <c r="C2442" i="1"/>
  <c r="B2442" i="1"/>
  <c r="G2441" i="1"/>
  <c r="F2441" i="1"/>
  <c r="E2441" i="1"/>
  <c r="D2441" i="1"/>
  <c r="C2441" i="1"/>
  <c r="B2441" i="1"/>
  <c r="G2440" i="1"/>
  <c r="F2440" i="1"/>
  <c r="E2440" i="1"/>
  <c r="D2440" i="1"/>
  <c r="C2440" i="1"/>
  <c r="B2440" i="1"/>
  <c r="G2439" i="1"/>
  <c r="F2439" i="1"/>
  <c r="E2439" i="1"/>
  <c r="D2439" i="1"/>
  <c r="C2439" i="1"/>
  <c r="B2439" i="1"/>
  <c r="G2438" i="1"/>
  <c r="F2438" i="1"/>
  <c r="E2438" i="1"/>
  <c r="D2438" i="1"/>
  <c r="C2438" i="1"/>
  <c r="B2438" i="1"/>
  <c r="G2437" i="1"/>
  <c r="F2437" i="1"/>
  <c r="E2437" i="1"/>
  <c r="D2437" i="1"/>
  <c r="C2437" i="1"/>
  <c r="B2437" i="1"/>
  <c r="G2436" i="1"/>
  <c r="F2436" i="1"/>
  <c r="E2436" i="1"/>
  <c r="D2436" i="1"/>
  <c r="C2436" i="1"/>
  <c r="B2436" i="1"/>
  <c r="G2435" i="1"/>
  <c r="F2435" i="1"/>
  <c r="E2435" i="1"/>
  <c r="D2435" i="1"/>
  <c r="C2435" i="1"/>
  <c r="B2435" i="1"/>
  <c r="G2434" i="1"/>
  <c r="F2434" i="1"/>
  <c r="E2434" i="1"/>
  <c r="D2434" i="1"/>
  <c r="C2434" i="1"/>
  <c r="B2434" i="1"/>
  <c r="G2433" i="1"/>
  <c r="F2433" i="1"/>
  <c r="E2433" i="1"/>
  <c r="D2433" i="1"/>
  <c r="C2433" i="1"/>
  <c r="B2433" i="1"/>
  <c r="G2432" i="1"/>
  <c r="F2432" i="1"/>
  <c r="E2432" i="1"/>
  <c r="D2432" i="1"/>
  <c r="C2432" i="1"/>
  <c r="B2432" i="1"/>
  <c r="G2431" i="1"/>
  <c r="F2431" i="1"/>
  <c r="E2431" i="1"/>
  <c r="D2431" i="1"/>
  <c r="C2431" i="1"/>
  <c r="B2431" i="1"/>
  <c r="G2430" i="1"/>
  <c r="F2430" i="1"/>
  <c r="E2430" i="1"/>
  <c r="D2430" i="1"/>
  <c r="C2430" i="1"/>
  <c r="B2430" i="1"/>
  <c r="G2429" i="1"/>
  <c r="F2429" i="1"/>
  <c r="E2429" i="1"/>
  <c r="D2429" i="1"/>
  <c r="C2429" i="1"/>
  <c r="B2429" i="1"/>
  <c r="G2428" i="1"/>
  <c r="F2428" i="1"/>
  <c r="E2428" i="1"/>
  <c r="D2428" i="1"/>
  <c r="C2428" i="1"/>
  <c r="B2428" i="1"/>
  <c r="G2427" i="1"/>
  <c r="F2427" i="1"/>
  <c r="E2427" i="1"/>
  <c r="D2427" i="1"/>
  <c r="C2427" i="1"/>
  <c r="B2427" i="1"/>
  <c r="G2426" i="1"/>
  <c r="F2426" i="1"/>
  <c r="E2426" i="1"/>
  <c r="D2426" i="1"/>
  <c r="C2426" i="1"/>
  <c r="B2426" i="1"/>
  <c r="G2425" i="1"/>
  <c r="F2425" i="1"/>
  <c r="E2425" i="1"/>
  <c r="D2425" i="1"/>
  <c r="C2425" i="1"/>
  <c r="B2425" i="1"/>
  <c r="G2424" i="1"/>
  <c r="F2424" i="1"/>
  <c r="E2424" i="1"/>
  <c r="D2424" i="1"/>
  <c r="C2424" i="1"/>
  <c r="B2424" i="1"/>
  <c r="G2423" i="1"/>
  <c r="F2423" i="1"/>
  <c r="E2423" i="1"/>
  <c r="D2423" i="1"/>
  <c r="C2423" i="1"/>
  <c r="B2423" i="1"/>
  <c r="G2422" i="1"/>
  <c r="F2422" i="1"/>
  <c r="E2422" i="1"/>
  <c r="D2422" i="1"/>
  <c r="C2422" i="1"/>
  <c r="B2422" i="1"/>
  <c r="G2421" i="1"/>
  <c r="F2421" i="1"/>
  <c r="E2421" i="1"/>
  <c r="D2421" i="1"/>
  <c r="C2421" i="1"/>
  <c r="B2421" i="1"/>
  <c r="G2420" i="1"/>
  <c r="F2420" i="1"/>
  <c r="E2420" i="1"/>
  <c r="D2420" i="1"/>
  <c r="C2420" i="1"/>
  <c r="B2420" i="1"/>
  <c r="G2419" i="1"/>
  <c r="F2419" i="1"/>
  <c r="E2419" i="1"/>
  <c r="D2419" i="1"/>
  <c r="C2419" i="1"/>
  <c r="B2419" i="1"/>
  <c r="G2418" i="1"/>
  <c r="F2418" i="1"/>
  <c r="E2418" i="1"/>
  <c r="D2418" i="1"/>
  <c r="C2418" i="1"/>
  <c r="B2418" i="1"/>
  <c r="G2417" i="1"/>
  <c r="F2417" i="1"/>
  <c r="E2417" i="1"/>
  <c r="D2417" i="1"/>
  <c r="C2417" i="1"/>
  <c r="B2417" i="1"/>
  <c r="G2416" i="1"/>
  <c r="F2416" i="1"/>
  <c r="E2416" i="1"/>
  <c r="D2416" i="1"/>
  <c r="C2416" i="1"/>
  <c r="B2416" i="1"/>
  <c r="G2415" i="1"/>
  <c r="F2415" i="1"/>
  <c r="E2415" i="1"/>
  <c r="D2415" i="1"/>
  <c r="C2415" i="1"/>
  <c r="B2415" i="1"/>
  <c r="G2414" i="1"/>
  <c r="F2414" i="1"/>
  <c r="E2414" i="1"/>
  <c r="D2414" i="1"/>
  <c r="C2414" i="1"/>
  <c r="B2414" i="1"/>
  <c r="G2413" i="1"/>
  <c r="F2413" i="1"/>
  <c r="E2413" i="1"/>
  <c r="D2413" i="1"/>
  <c r="C2413" i="1"/>
  <c r="B2413" i="1"/>
  <c r="G2412" i="1"/>
  <c r="F2412" i="1"/>
  <c r="E2412" i="1"/>
  <c r="D2412" i="1"/>
  <c r="C2412" i="1"/>
  <c r="B2412" i="1"/>
  <c r="G2411" i="1"/>
  <c r="F2411" i="1"/>
  <c r="E2411" i="1"/>
  <c r="D2411" i="1"/>
  <c r="C2411" i="1"/>
  <c r="B2411" i="1"/>
  <c r="G2410" i="1"/>
  <c r="F2410" i="1"/>
  <c r="E2410" i="1"/>
  <c r="D2410" i="1"/>
  <c r="C2410" i="1"/>
  <c r="B2410" i="1"/>
  <c r="G2409" i="1"/>
  <c r="F2409" i="1"/>
  <c r="E2409" i="1"/>
  <c r="D2409" i="1"/>
  <c r="C2409" i="1"/>
  <c r="B2409" i="1"/>
  <c r="G2408" i="1"/>
  <c r="F2408" i="1"/>
  <c r="E2408" i="1"/>
  <c r="D2408" i="1"/>
  <c r="C2408" i="1"/>
  <c r="B2408" i="1"/>
  <c r="G2407" i="1"/>
  <c r="F2407" i="1"/>
  <c r="E2407" i="1"/>
  <c r="D2407" i="1"/>
  <c r="C2407" i="1"/>
  <c r="B2407" i="1"/>
  <c r="G2406" i="1"/>
  <c r="F2406" i="1"/>
  <c r="E2406" i="1"/>
  <c r="D2406" i="1"/>
  <c r="C2406" i="1"/>
  <c r="B2406" i="1"/>
  <c r="G2405" i="1"/>
  <c r="F2405" i="1"/>
  <c r="E2405" i="1"/>
  <c r="D2405" i="1"/>
  <c r="C2405" i="1"/>
  <c r="B2405" i="1"/>
  <c r="G2404" i="1"/>
  <c r="F2404" i="1"/>
  <c r="E2404" i="1"/>
  <c r="D2404" i="1"/>
  <c r="C2404" i="1"/>
  <c r="B2404" i="1"/>
  <c r="G2403" i="1"/>
  <c r="F2403" i="1"/>
  <c r="E2403" i="1"/>
  <c r="D2403" i="1"/>
  <c r="C2403" i="1"/>
  <c r="B2403" i="1"/>
  <c r="G2402" i="1"/>
  <c r="F2402" i="1"/>
  <c r="E2402" i="1"/>
  <c r="D2402" i="1"/>
  <c r="C2402" i="1"/>
  <c r="B2402" i="1"/>
  <c r="G2401" i="1"/>
  <c r="F2401" i="1"/>
  <c r="E2401" i="1"/>
  <c r="D2401" i="1"/>
  <c r="C2401" i="1"/>
  <c r="B2401" i="1"/>
  <c r="G2400" i="1"/>
  <c r="F2400" i="1"/>
  <c r="E2400" i="1"/>
  <c r="D2400" i="1"/>
  <c r="C2400" i="1"/>
  <c r="B2400" i="1"/>
  <c r="G2399" i="1"/>
  <c r="F2399" i="1"/>
  <c r="E2399" i="1"/>
  <c r="D2399" i="1"/>
  <c r="C2399" i="1"/>
  <c r="B2399" i="1"/>
  <c r="G2398" i="1"/>
  <c r="F2398" i="1"/>
  <c r="E2398" i="1"/>
  <c r="D2398" i="1"/>
  <c r="C2398" i="1"/>
  <c r="B2398" i="1"/>
  <c r="G2397" i="1"/>
  <c r="F2397" i="1"/>
  <c r="E2397" i="1"/>
  <c r="D2397" i="1"/>
  <c r="C2397" i="1"/>
  <c r="B2397" i="1"/>
  <c r="G2396" i="1"/>
  <c r="F2396" i="1"/>
  <c r="E2396" i="1"/>
  <c r="D2396" i="1"/>
  <c r="C2396" i="1"/>
  <c r="B2396" i="1"/>
  <c r="G2395" i="1"/>
  <c r="F2395" i="1"/>
  <c r="E2395" i="1"/>
  <c r="D2395" i="1"/>
  <c r="C2395" i="1"/>
  <c r="B2395" i="1"/>
  <c r="G2394" i="1"/>
  <c r="F2394" i="1"/>
  <c r="E2394" i="1"/>
  <c r="D2394" i="1"/>
  <c r="C2394" i="1"/>
  <c r="B2394" i="1"/>
  <c r="G2393" i="1"/>
  <c r="F2393" i="1"/>
  <c r="E2393" i="1"/>
  <c r="D2393" i="1"/>
  <c r="C2393" i="1"/>
  <c r="B2393" i="1"/>
  <c r="G2392" i="1"/>
  <c r="F2392" i="1"/>
  <c r="E2392" i="1"/>
  <c r="D2392" i="1"/>
  <c r="C2392" i="1"/>
  <c r="B2392" i="1"/>
  <c r="G2391" i="1"/>
  <c r="F2391" i="1"/>
  <c r="E2391" i="1"/>
  <c r="D2391" i="1"/>
  <c r="C2391" i="1"/>
  <c r="B2391" i="1"/>
  <c r="G2390" i="1"/>
  <c r="F2390" i="1"/>
  <c r="E2390" i="1"/>
  <c r="D2390" i="1"/>
  <c r="C2390" i="1"/>
  <c r="B2390" i="1"/>
  <c r="G2389" i="1"/>
  <c r="F2389" i="1"/>
  <c r="E2389" i="1"/>
  <c r="D2389" i="1"/>
  <c r="C2389" i="1"/>
  <c r="B2389" i="1"/>
  <c r="G2388" i="1"/>
  <c r="F2388" i="1"/>
  <c r="E2388" i="1"/>
  <c r="D2388" i="1"/>
  <c r="C2388" i="1"/>
  <c r="B2388" i="1"/>
  <c r="G2387" i="1"/>
  <c r="F2387" i="1"/>
  <c r="E2387" i="1"/>
  <c r="D2387" i="1"/>
  <c r="C2387" i="1"/>
  <c r="B2387" i="1"/>
  <c r="G2386" i="1"/>
  <c r="F2386" i="1"/>
  <c r="E2386" i="1"/>
  <c r="D2386" i="1"/>
  <c r="C2386" i="1"/>
  <c r="B2386" i="1"/>
  <c r="G2385" i="1"/>
  <c r="F2385" i="1"/>
  <c r="E2385" i="1"/>
  <c r="D2385" i="1"/>
  <c r="C2385" i="1"/>
  <c r="B2385" i="1"/>
  <c r="G2384" i="1"/>
  <c r="F2384" i="1"/>
  <c r="E2384" i="1"/>
  <c r="D2384" i="1"/>
  <c r="C2384" i="1"/>
  <c r="B2384" i="1"/>
  <c r="G2383" i="1"/>
  <c r="F2383" i="1"/>
  <c r="E2383" i="1"/>
  <c r="D2383" i="1"/>
  <c r="C2383" i="1"/>
  <c r="B2383" i="1"/>
  <c r="G2382" i="1"/>
  <c r="F2382" i="1"/>
  <c r="E2382" i="1"/>
  <c r="D2382" i="1"/>
  <c r="C2382" i="1"/>
  <c r="B2382" i="1"/>
  <c r="G2381" i="1"/>
  <c r="F2381" i="1"/>
  <c r="E2381" i="1"/>
  <c r="D2381" i="1"/>
  <c r="C2381" i="1"/>
  <c r="B2381" i="1"/>
  <c r="G2380" i="1"/>
  <c r="F2380" i="1"/>
  <c r="E2380" i="1"/>
  <c r="D2380" i="1"/>
  <c r="C2380" i="1"/>
  <c r="B2380" i="1"/>
  <c r="G2379" i="1"/>
  <c r="F2379" i="1"/>
  <c r="E2379" i="1"/>
  <c r="D2379" i="1"/>
  <c r="C2379" i="1"/>
  <c r="B2379" i="1"/>
  <c r="G2378" i="1"/>
  <c r="F2378" i="1"/>
  <c r="E2378" i="1"/>
  <c r="D2378" i="1"/>
  <c r="C2378" i="1"/>
  <c r="B2378" i="1"/>
  <c r="G2377" i="1"/>
  <c r="F2377" i="1"/>
  <c r="E2377" i="1"/>
  <c r="D2377" i="1"/>
  <c r="C2377" i="1"/>
  <c r="B2377" i="1"/>
  <c r="G2376" i="1"/>
  <c r="F2376" i="1"/>
  <c r="E2376" i="1"/>
  <c r="D2376" i="1"/>
  <c r="C2376" i="1"/>
  <c r="B2376" i="1"/>
  <c r="G2375" i="1"/>
  <c r="F2375" i="1"/>
  <c r="E2375" i="1"/>
  <c r="D2375" i="1"/>
  <c r="C2375" i="1"/>
  <c r="B2375" i="1"/>
  <c r="G2374" i="1"/>
  <c r="F2374" i="1"/>
  <c r="E2374" i="1"/>
  <c r="D2374" i="1"/>
  <c r="C2374" i="1"/>
  <c r="B2374" i="1"/>
  <c r="G2373" i="1"/>
  <c r="F2373" i="1"/>
  <c r="E2373" i="1"/>
  <c r="D2373" i="1"/>
  <c r="C2373" i="1"/>
  <c r="B2373" i="1"/>
  <c r="G2372" i="1"/>
  <c r="F2372" i="1"/>
  <c r="E2372" i="1"/>
  <c r="D2372" i="1"/>
  <c r="C2372" i="1"/>
  <c r="B2372" i="1"/>
  <c r="G2371" i="1"/>
  <c r="F2371" i="1"/>
  <c r="E2371" i="1"/>
  <c r="D2371" i="1"/>
  <c r="C2371" i="1"/>
  <c r="B2371" i="1"/>
  <c r="G2370" i="1"/>
  <c r="F2370" i="1"/>
  <c r="E2370" i="1"/>
  <c r="D2370" i="1"/>
  <c r="C2370" i="1"/>
  <c r="B2370" i="1"/>
  <c r="G2369" i="1"/>
  <c r="F2369" i="1"/>
  <c r="E2369" i="1"/>
  <c r="D2369" i="1"/>
  <c r="C2369" i="1"/>
  <c r="B2369" i="1"/>
  <c r="G2368" i="1"/>
  <c r="F2368" i="1"/>
  <c r="E2368" i="1"/>
  <c r="D2368" i="1"/>
  <c r="C2368" i="1"/>
  <c r="B2368" i="1"/>
  <c r="G2367" i="1"/>
  <c r="F2367" i="1"/>
  <c r="E2367" i="1"/>
  <c r="D2367" i="1"/>
  <c r="C2367" i="1"/>
  <c r="B2367" i="1"/>
  <c r="G2366" i="1"/>
  <c r="F2366" i="1"/>
  <c r="E2366" i="1"/>
  <c r="D2366" i="1"/>
  <c r="C2366" i="1"/>
  <c r="B2366" i="1"/>
  <c r="G2365" i="1"/>
  <c r="F2365" i="1"/>
  <c r="E2365" i="1"/>
  <c r="D2365" i="1"/>
  <c r="C2365" i="1"/>
  <c r="B2365" i="1"/>
  <c r="G2364" i="1"/>
  <c r="F2364" i="1"/>
  <c r="E2364" i="1"/>
  <c r="D2364" i="1"/>
  <c r="C2364" i="1"/>
  <c r="B2364" i="1"/>
  <c r="G2363" i="1"/>
  <c r="F2363" i="1"/>
  <c r="E2363" i="1"/>
  <c r="D2363" i="1"/>
  <c r="C2363" i="1"/>
  <c r="B2363" i="1"/>
  <c r="G2362" i="1"/>
  <c r="F2362" i="1"/>
  <c r="E2362" i="1"/>
  <c r="D2362" i="1"/>
  <c r="C2362" i="1"/>
  <c r="B2362" i="1"/>
  <c r="G2361" i="1"/>
  <c r="F2361" i="1"/>
  <c r="E2361" i="1"/>
  <c r="D2361" i="1"/>
  <c r="C2361" i="1"/>
  <c r="B2361" i="1"/>
  <c r="G2360" i="1"/>
  <c r="F2360" i="1"/>
  <c r="E2360" i="1"/>
  <c r="D2360" i="1"/>
  <c r="C2360" i="1"/>
  <c r="B2360" i="1"/>
  <c r="G2359" i="1"/>
  <c r="F2359" i="1"/>
  <c r="E2359" i="1"/>
  <c r="D2359" i="1"/>
  <c r="C2359" i="1"/>
  <c r="B2359" i="1"/>
  <c r="G2358" i="1"/>
  <c r="F2358" i="1"/>
  <c r="E2358" i="1"/>
  <c r="D2358" i="1"/>
  <c r="C2358" i="1"/>
  <c r="B2358" i="1"/>
  <c r="G2357" i="1"/>
  <c r="F2357" i="1"/>
  <c r="E2357" i="1"/>
  <c r="D2357" i="1"/>
  <c r="C2357" i="1"/>
  <c r="B2357" i="1"/>
  <c r="G2356" i="1"/>
  <c r="F2356" i="1"/>
  <c r="E2356" i="1"/>
  <c r="D2356" i="1"/>
  <c r="C2356" i="1"/>
  <c r="B2356" i="1"/>
  <c r="G2355" i="1"/>
  <c r="F2355" i="1"/>
  <c r="E2355" i="1"/>
  <c r="D2355" i="1"/>
  <c r="C2355" i="1"/>
  <c r="B2355" i="1"/>
  <c r="G2354" i="1"/>
  <c r="F2354" i="1"/>
  <c r="E2354" i="1"/>
  <c r="D2354" i="1"/>
  <c r="C2354" i="1"/>
  <c r="B2354" i="1"/>
  <c r="G2353" i="1"/>
  <c r="F2353" i="1"/>
  <c r="E2353" i="1"/>
  <c r="D2353" i="1"/>
  <c r="C2353" i="1"/>
  <c r="B2353" i="1"/>
  <c r="G2352" i="1"/>
  <c r="F2352" i="1"/>
  <c r="E2352" i="1"/>
  <c r="D2352" i="1"/>
  <c r="C2352" i="1"/>
  <c r="B2352" i="1"/>
  <c r="G2351" i="1"/>
  <c r="F2351" i="1"/>
  <c r="E2351" i="1"/>
  <c r="D2351" i="1"/>
  <c r="C2351" i="1"/>
  <c r="B2351" i="1"/>
  <c r="G2350" i="1"/>
  <c r="F2350" i="1"/>
  <c r="E2350" i="1"/>
  <c r="D2350" i="1"/>
  <c r="C2350" i="1"/>
  <c r="B2350" i="1"/>
  <c r="G2349" i="1"/>
  <c r="F2349" i="1"/>
  <c r="E2349" i="1"/>
  <c r="D2349" i="1"/>
  <c r="C2349" i="1"/>
  <c r="B2349" i="1"/>
  <c r="G2348" i="1"/>
  <c r="F2348" i="1"/>
  <c r="E2348" i="1"/>
  <c r="D2348" i="1"/>
  <c r="C2348" i="1"/>
  <c r="B2348" i="1"/>
  <c r="G2347" i="1"/>
  <c r="F2347" i="1"/>
  <c r="E2347" i="1"/>
  <c r="D2347" i="1"/>
  <c r="C2347" i="1"/>
  <c r="B2347" i="1"/>
  <c r="G2346" i="1"/>
  <c r="F2346" i="1"/>
  <c r="E2346" i="1"/>
  <c r="D2346" i="1"/>
  <c r="C2346" i="1"/>
  <c r="B2346" i="1"/>
  <c r="G2345" i="1"/>
  <c r="F2345" i="1"/>
  <c r="E2345" i="1"/>
  <c r="D2345" i="1"/>
  <c r="C2345" i="1"/>
  <c r="B2345" i="1"/>
  <c r="G2344" i="1"/>
  <c r="F2344" i="1"/>
  <c r="E2344" i="1"/>
  <c r="D2344" i="1"/>
  <c r="C2344" i="1"/>
  <c r="B2344" i="1"/>
  <c r="G2343" i="1"/>
  <c r="F2343" i="1"/>
  <c r="E2343" i="1"/>
  <c r="D2343" i="1"/>
  <c r="C2343" i="1"/>
  <c r="B2343" i="1"/>
  <c r="G2342" i="1"/>
  <c r="F2342" i="1"/>
  <c r="E2342" i="1"/>
  <c r="D2342" i="1"/>
  <c r="C2342" i="1"/>
  <c r="B2342" i="1"/>
  <c r="G2341" i="1"/>
  <c r="F2341" i="1"/>
  <c r="E2341" i="1"/>
  <c r="D2341" i="1"/>
  <c r="C2341" i="1"/>
  <c r="B2341" i="1"/>
  <c r="G2340" i="1"/>
  <c r="F2340" i="1"/>
  <c r="E2340" i="1"/>
  <c r="D2340" i="1"/>
  <c r="C2340" i="1"/>
  <c r="B2340" i="1"/>
  <c r="G2339" i="1"/>
  <c r="F2339" i="1"/>
  <c r="E2339" i="1"/>
  <c r="D2339" i="1"/>
  <c r="C2339" i="1"/>
  <c r="B2339" i="1"/>
  <c r="G2338" i="1"/>
  <c r="F2338" i="1"/>
  <c r="E2338" i="1"/>
  <c r="D2338" i="1"/>
  <c r="C2338" i="1"/>
  <c r="B2338" i="1"/>
  <c r="G2337" i="1"/>
  <c r="F2337" i="1"/>
  <c r="E2337" i="1"/>
  <c r="D2337" i="1"/>
  <c r="C2337" i="1"/>
  <c r="B2337" i="1"/>
  <c r="G2336" i="1"/>
  <c r="F2336" i="1"/>
  <c r="E2336" i="1"/>
  <c r="D2336" i="1"/>
  <c r="C2336" i="1"/>
  <c r="B2336" i="1"/>
  <c r="G2335" i="1"/>
  <c r="F2335" i="1"/>
  <c r="E2335" i="1"/>
  <c r="D2335" i="1"/>
  <c r="C2335" i="1"/>
  <c r="B2335" i="1"/>
  <c r="G2334" i="1"/>
  <c r="F2334" i="1"/>
  <c r="E2334" i="1"/>
  <c r="D2334" i="1"/>
  <c r="C2334" i="1"/>
  <c r="B2334" i="1"/>
  <c r="G2333" i="1"/>
  <c r="F2333" i="1"/>
  <c r="E2333" i="1"/>
  <c r="D2333" i="1"/>
  <c r="C2333" i="1"/>
  <c r="B2333" i="1"/>
  <c r="G2332" i="1"/>
  <c r="F2332" i="1"/>
  <c r="E2332" i="1"/>
  <c r="D2332" i="1"/>
  <c r="C2332" i="1"/>
  <c r="B2332" i="1"/>
  <c r="G2331" i="1"/>
  <c r="F2331" i="1"/>
  <c r="E2331" i="1"/>
  <c r="D2331" i="1"/>
  <c r="C2331" i="1"/>
  <c r="B2331" i="1"/>
  <c r="G2330" i="1"/>
  <c r="F2330" i="1"/>
  <c r="E2330" i="1"/>
  <c r="D2330" i="1"/>
  <c r="C2330" i="1"/>
  <c r="B2330" i="1"/>
  <c r="G2329" i="1"/>
  <c r="F2329" i="1"/>
  <c r="E2329" i="1"/>
  <c r="D2329" i="1"/>
  <c r="C2329" i="1"/>
  <c r="B2329" i="1"/>
  <c r="G2328" i="1"/>
  <c r="F2328" i="1"/>
  <c r="E2328" i="1"/>
  <c r="D2328" i="1"/>
  <c r="C2328" i="1"/>
  <c r="B2328" i="1"/>
  <c r="G2327" i="1"/>
  <c r="F2327" i="1"/>
  <c r="E2327" i="1"/>
  <c r="D2327" i="1"/>
  <c r="C2327" i="1"/>
  <c r="B2327" i="1"/>
  <c r="G2326" i="1"/>
  <c r="F2326" i="1"/>
  <c r="E2326" i="1"/>
  <c r="D2326" i="1"/>
  <c r="C2326" i="1"/>
  <c r="B2326" i="1"/>
  <c r="G2325" i="1"/>
  <c r="F2325" i="1"/>
  <c r="E2325" i="1"/>
  <c r="D2325" i="1"/>
  <c r="C2325" i="1"/>
  <c r="B2325" i="1"/>
  <c r="G2324" i="1"/>
  <c r="F2324" i="1"/>
  <c r="E2324" i="1"/>
  <c r="D2324" i="1"/>
  <c r="C2324" i="1"/>
  <c r="B2324" i="1"/>
  <c r="G2323" i="1"/>
  <c r="F2323" i="1"/>
  <c r="E2323" i="1"/>
  <c r="D2323" i="1"/>
  <c r="C2323" i="1"/>
  <c r="B2323" i="1"/>
  <c r="G2322" i="1"/>
  <c r="F2322" i="1"/>
  <c r="E2322" i="1"/>
  <c r="D2322" i="1"/>
  <c r="C2322" i="1"/>
  <c r="B2322" i="1"/>
  <c r="G2321" i="1"/>
  <c r="F2321" i="1"/>
  <c r="E2321" i="1"/>
  <c r="D2321" i="1"/>
  <c r="C2321" i="1"/>
  <c r="B2321" i="1"/>
  <c r="G2320" i="1"/>
  <c r="F2320" i="1"/>
  <c r="E2320" i="1"/>
  <c r="D2320" i="1"/>
  <c r="C2320" i="1"/>
  <c r="B2320" i="1"/>
  <c r="G2319" i="1"/>
  <c r="F2319" i="1"/>
  <c r="E2319" i="1"/>
  <c r="D2319" i="1"/>
  <c r="C2319" i="1"/>
  <c r="B2319" i="1"/>
  <c r="G2318" i="1"/>
  <c r="F2318" i="1"/>
  <c r="E2318" i="1"/>
  <c r="D2318" i="1"/>
  <c r="C2318" i="1"/>
  <c r="B2318" i="1"/>
  <c r="G2317" i="1"/>
  <c r="F2317" i="1"/>
  <c r="E2317" i="1"/>
  <c r="D2317" i="1"/>
  <c r="C2317" i="1"/>
  <c r="B2317" i="1"/>
  <c r="G2316" i="1"/>
  <c r="F2316" i="1"/>
  <c r="E2316" i="1"/>
  <c r="D2316" i="1"/>
  <c r="C2316" i="1"/>
  <c r="B2316" i="1"/>
  <c r="G2315" i="1"/>
  <c r="F2315" i="1"/>
  <c r="E2315" i="1"/>
  <c r="D2315" i="1"/>
  <c r="C2315" i="1"/>
  <c r="B2315" i="1"/>
  <c r="G2314" i="1"/>
  <c r="F2314" i="1"/>
  <c r="E2314" i="1"/>
  <c r="D2314" i="1"/>
  <c r="C2314" i="1"/>
  <c r="B2314" i="1"/>
  <c r="G2313" i="1"/>
  <c r="F2313" i="1"/>
  <c r="E2313" i="1"/>
  <c r="D2313" i="1"/>
  <c r="C2313" i="1"/>
  <c r="B2313" i="1"/>
  <c r="G2312" i="1"/>
  <c r="F2312" i="1"/>
  <c r="E2312" i="1"/>
  <c r="D2312" i="1"/>
  <c r="C2312" i="1"/>
  <c r="B2312" i="1"/>
  <c r="G2311" i="1"/>
  <c r="F2311" i="1"/>
  <c r="E2311" i="1"/>
  <c r="D2311" i="1"/>
  <c r="C2311" i="1"/>
  <c r="B2311" i="1"/>
  <c r="G2310" i="1"/>
  <c r="F2310" i="1"/>
  <c r="E2310" i="1"/>
  <c r="D2310" i="1"/>
  <c r="C2310" i="1"/>
  <c r="B2310" i="1"/>
  <c r="G2309" i="1"/>
  <c r="F2309" i="1"/>
  <c r="E2309" i="1"/>
  <c r="D2309" i="1"/>
  <c r="C2309" i="1"/>
  <c r="B2309" i="1"/>
  <c r="G2308" i="1"/>
  <c r="F2308" i="1"/>
  <c r="E2308" i="1"/>
  <c r="D2308" i="1"/>
  <c r="C2308" i="1"/>
  <c r="B2308" i="1"/>
  <c r="G2307" i="1"/>
  <c r="F2307" i="1"/>
  <c r="E2307" i="1"/>
  <c r="D2307" i="1"/>
  <c r="C2307" i="1"/>
  <c r="B2307" i="1"/>
  <c r="G2306" i="1"/>
  <c r="F2306" i="1"/>
  <c r="E2306" i="1"/>
  <c r="D2306" i="1"/>
  <c r="C2306" i="1"/>
  <c r="B2306" i="1"/>
  <c r="G2305" i="1"/>
  <c r="F2305" i="1"/>
  <c r="E2305" i="1"/>
  <c r="D2305" i="1"/>
  <c r="C2305" i="1"/>
  <c r="B2305" i="1"/>
  <c r="G2304" i="1"/>
  <c r="F2304" i="1"/>
  <c r="E2304" i="1"/>
  <c r="D2304" i="1"/>
  <c r="C2304" i="1"/>
  <c r="B2304" i="1"/>
  <c r="G2303" i="1"/>
  <c r="F2303" i="1"/>
  <c r="E2303" i="1"/>
  <c r="D2303" i="1"/>
  <c r="C2303" i="1"/>
  <c r="B2303" i="1"/>
  <c r="G2302" i="1"/>
  <c r="F2302" i="1"/>
  <c r="E2302" i="1"/>
  <c r="D2302" i="1"/>
  <c r="C2302" i="1"/>
  <c r="B2302" i="1"/>
  <c r="G2301" i="1"/>
  <c r="F2301" i="1"/>
  <c r="E2301" i="1"/>
  <c r="D2301" i="1"/>
  <c r="C2301" i="1"/>
  <c r="B2301" i="1"/>
  <c r="G2300" i="1"/>
  <c r="F2300" i="1"/>
  <c r="E2300" i="1"/>
  <c r="D2300" i="1"/>
  <c r="C2300" i="1"/>
  <c r="B2300" i="1"/>
  <c r="G2299" i="1"/>
  <c r="F2299" i="1"/>
  <c r="E2299" i="1"/>
  <c r="D2299" i="1"/>
  <c r="C2299" i="1"/>
  <c r="B2299" i="1"/>
  <c r="G2298" i="1"/>
  <c r="F2298" i="1"/>
  <c r="E2298" i="1"/>
  <c r="D2298" i="1"/>
  <c r="C2298" i="1"/>
  <c r="B2298" i="1"/>
  <c r="G2297" i="1"/>
  <c r="F2297" i="1"/>
  <c r="E2297" i="1"/>
  <c r="D2297" i="1"/>
  <c r="C2297" i="1"/>
  <c r="B2297" i="1"/>
  <c r="G2296" i="1"/>
  <c r="F2296" i="1"/>
  <c r="E2296" i="1"/>
  <c r="D2296" i="1"/>
  <c r="C2296" i="1"/>
  <c r="B2296" i="1"/>
  <c r="G2295" i="1"/>
  <c r="F2295" i="1"/>
  <c r="E2295" i="1"/>
  <c r="D2295" i="1"/>
  <c r="C2295" i="1"/>
  <c r="B2295" i="1"/>
  <c r="G2294" i="1"/>
  <c r="F2294" i="1"/>
  <c r="E2294" i="1"/>
  <c r="D2294" i="1"/>
  <c r="C2294" i="1"/>
  <c r="B2294" i="1"/>
  <c r="G2293" i="1"/>
  <c r="F2293" i="1"/>
  <c r="E2293" i="1"/>
  <c r="D2293" i="1"/>
  <c r="C2293" i="1"/>
  <c r="B2293" i="1"/>
  <c r="G2292" i="1"/>
  <c r="F2292" i="1"/>
  <c r="E2292" i="1"/>
  <c r="D2292" i="1"/>
  <c r="C2292" i="1"/>
  <c r="B2292" i="1"/>
  <c r="G2291" i="1"/>
  <c r="F2291" i="1"/>
  <c r="E2291" i="1"/>
  <c r="D2291" i="1"/>
  <c r="C2291" i="1"/>
  <c r="B2291" i="1"/>
  <c r="G2290" i="1"/>
  <c r="F2290" i="1"/>
  <c r="E2290" i="1"/>
  <c r="D2290" i="1"/>
  <c r="C2290" i="1"/>
  <c r="B2290" i="1"/>
  <c r="G2289" i="1"/>
  <c r="F2289" i="1"/>
  <c r="E2289" i="1"/>
  <c r="D2289" i="1"/>
  <c r="C2289" i="1"/>
  <c r="B2289" i="1"/>
  <c r="G2288" i="1"/>
  <c r="F2288" i="1"/>
  <c r="E2288" i="1"/>
  <c r="D2288" i="1"/>
  <c r="C2288" i="1"/>
  <c r="B2288" i="1"/>
  <c r="G2287" i="1"/>
  <c r="F2287" i="1"/>
  <c r="E2287" i="1"/>
  <c r="D2287" i="1"/>
  <c r="C2287" i="1"/>
  <c r="B2287" i="1"/>
  <c r="G2286" i="1"/>
  <c r="F2286" i="1"/>
  <c r="E2286" i="1"/>
  <c r="D2286" i="1"/>
  <c r="C2286" i="1"/>
  <c r="B2286" i="1"/>
  <c r="G2285" i="1"/>
  <c r="F2285" i="1"/>
  <c r="E2285" i="1"/>
  <c r="D2285" i="1"/>
  <c r="C2285" i="1"/>
  <c r="B2285" i="1"/>
  <c r="G2284" i="1"/>
  <c r="F2284" i="1"/>
  <c r="E2284" i="1"/>
  <c r="D2284" i="1"/>
  <c r="C2284" i="1"/>
  <c r="B2284" i="1"/>
  <c r="G2283" i="1"/>
  <c r="F2283" i="1"/>
  <c r="E2283" i="1"/>
  <c r="D2283" i="1"/>
  <c r="C2283" i="1"/>
  <c r="B2283" i="1"/>
  <c r="G2282" i="1"/>
  <c r="F2282" i="1"/>
  <c r="E2282" i="1"/>
  <c r="D2282" i="1"/>
  <c r="C2282" i="1"/>
  <c r="B2282" i="1"/>
  <c r="G2281" i="1"/>
  <c r="F2281" i="1"/>
  <c r="E2281" i="1"/>
  <c r="D2281" i="1"/>
  <c r="C2281" i="1"/>
  <c r="B2281" i="1"/>
  <c r="G2280" i="1"/>
  <c r="F2280" i="1"/>
  <c r="E2280" i="1"/>
  <c r="D2280" i="1"/>
  <c r="C2280" i="1"/>
  <c r="B2280" i="1"/>
  <c r="G2279" i="1"/>
  <c r="F2279" i="1"/>
  <c r="E2279" i="1"/>
  <c r="D2279" i="1"/>
  <c r="C2279" i="1"/>
  <c r="B2279" i="1"/>
  <c r="G2278" i="1"/>
  <c r="F2278" i="1"/>
  <c r="E2278" i="1"/>
  <c r="D2278" i="1"/>
  <c r="C2278" i="1"/>
  <c r="B2278" i="1"/>
  <c r="G2277" i="1"/>
  <c r="F2277" i="1"/>
  <c r="E2277" i="1"/>
  <c r="D2277" i="1"/>
  <c r="C2277" i="1"/>
  <c r="B2277" i="1"/>
  <c r="G2276" i="1"/>
  <c r="F2276" i="1"/>
  <c r="E2276" i="1"/>
  <c r="D2276" i="1"/>
  <c r="C2276" i="1"/>
  <c r="B2276" i="1"/>
  <c r="G2275" i="1"/>
  <c r="F2275" i="1"/>
  <c r="E2275" i="1"/>
  <c r="D2275" i="1"/>
  <c r="C2275" i="1"/>
  <c r="B2275" i="1"/>
  <c r="G2274" i="1"/>
  <c r="F2274" i="1"/>
  <c r="E2274" i="1"/>
  <c r="D2274" i="1"/>
  <c r="C2274" i="1"/>
  <c r="B2274" i="1"/>
  <c r="G2273" i="1"/>
  <c r="F2273" i="1"/>
  <c r="E2273" i="1"/>
  <c r="D2273" i="1"/>
  <c r="C2273" i="1"/>
  <c r="B2273" i="1"/>
  <c r="G2272" i="1"/>
  <c r="F2272" i="1"/>
  <c r="E2272" i="1"/>
  <c r="D2272" i="1"/>
  <c r="C2272" i="1"/>
  <c r="B2272" i="1"/>
  <c r="G2271" i="1"/>
  <c r="F2271" i="1"/>
  <c r="E2271" i="1"/>
  <c r="D2271" i="1"/>
  <c r="C2271" i="1"/>
  <c r="B2271" i="1"/>
  <c r="G2270" i="1"/>
  <c r="F2270" i="1"/>
  <c r="E2270" i="1"/>
  <c r="D2270" i="1"/>
  <c r="C2270" i="1"/>
  <c r="B2270" i="1"/>
  <c r="G2269" i="1"/>
  <c r="F2269" i="1"/>
  <c r="E2269" i="1"/>
  <c r="D2269" i="1"/>
  <c r="C2269" i="1"/>
  <c r="B2269" i="1"/>
  <c r="G2268" i="1"/>
  <c r="F2268" i="1"/>
  <c r="E2268" i="1"/>
  <c r="D2268" i="1"/>
  <c r="C2268" i="1"/>
  <c r="B2268" i="1"/>
  <c r="G2267" i="1"/>
  <c r="F2267" i="1"/>
  <c r="E2267" i="1"/>
  <c r="D2267" i="1"/>
  <c r="C2267" i="1"/>
  <c r="B2267" i="1"/>
  <c r="G2266" i="1"/>
  <c r="F2266" i="1"/>
  <c r="E2266" i="1"/>
  <c r="D2266" i="1"/>
  <c r="C2266" i="1"/>
  <c r="B2266" i="1"/>
  <c r="G2265" i="1"/>
  <c r="F2265" i="1"/>
  <c r="E2265" i="1"/>
  <c r="D2265" i="1"/>
  <c r="C2265" i="1"/>
  <c r="B2265" i="1"/>
  <c r="G2264" i="1"/>
  <c r="F2264" i="1"/>
  <c r="E2264" i="1"/>
  <c r="D2264" i="1"/>
  <c r="C2264" i="1"/>
  <c r="B2264" i="1"/>
  <c r="G2263" i="1"/>
  <c r="F2263" i="1"/>
  <c r="E2263" i="1"/>
  <c r="D2263" i="1"/>
  <c r="C2263" i="1"/>
  <c r="B2263" i="1"/>
  <c r="G2262" i="1"/>
  <c r="F2262" i="1"/>
  <c r="E2262" i="1"/>
  <c r="D2262" i="1"/>
  <c r="C2262" i="1"/>
  <c r="B2262" i="1"/>
  <c r="G2261" i="1"/>
  <c r="F2261" i="1"/>
  <c r="E2261" i="1"/>
  <c r="D2261" i="1"/>
  <c r="C2261" i="1"/>
  <c r="B2261" i="1"/>
  <c r="G2260" i="1"/>
  <c r="F2260" i="1"/>
  <c r="E2260" i="1"/>
  <c r="D2260" i="1"/>
  <c r="C2260" i="1"/>
  <c r="B2260" i="1"/>
  <c r="G2259" i="1"/>
  <c r="F2259" i="1"/>
  <c r="E2259" i="1"/>
  <c r="D2259" i="1"/>
  <c r="C2259" i="1"/>
  <c r="B2259" i="1"/>
  <c r="G2258" i="1"/>
  <c r="F2258" i="1"/>
  <c r="E2258" i="1"/>
  <c r="D2258" i="1"/>
  <c r="C2258" i="1"/>
  <c r="B2258" i="1"/>
  <c r="G2257" i="1"/>
  <c r="F2257" i="1"/>
  <c r="E2257" i="1"/>
  <c r="D2257" i="1"/>
  <c r="C2257" i="1"/>
  <c r="B2257" i="1"/>
  <c r="G2256" i="1"/>
  <c r="F2256" i="1"/>
  <c r="E2256" i="1"/>
  <c r="D2256" i="1"/>
  <c r="C2256" i="1"/>
  <c r="B2256" i="1"/>
  <c r="G2255" i="1"/>
  <c r="F2255" i="1"/>
  <c r="E2255" i="1"/>
  <c r="D2255" i="1"/>
  <c r="C2255" i="1"/>
  <c r="B2255" i="1"/>
  <c r="G2254" i="1"/>
  <c r="F2254" i="1"/>
  <c r="E2254" i="1"/>
  <c r="D2254" i="1"/>
  <c r="C2254" i="1"/>
  <c r="B2254" i="1"/>
  <c r="G2253" i="1"/>
  <c r="F2253" i="1"/>
  <c r="E2253" i="1"/>
  <c r="D2253" i="1"/>
  <c r="C2253" i="1"/>
  <c r="B2253" i="1"/>
  <c r="G2252" i="1"/>
  <c r="F2252" i="1"/>
  <c r="E2252" i="1"/>
  <c r="D2252" i="1"/>
  <c r="C2252" i="1"/>
  <c r="B2252" i="1"/>
  <c r="G2251" i="1"/>
  <c r="F2251" i="1"/>
  <c r="E2251" i="1"/>
  <c r="D2251" i="1"/>
  <c r="C2251" i="1"/>
  <c r="B2251" i="1"/>
  <c r="G2250" i="1"/>
  <c r="F2250" i="1"/>
  <c r="E2250" i="1"/>
  <c r="D2250" i="1"/>
  <c r="C2250" i="1"/>
  <c r="B2250" i="1"/>
  <c r="G2249" i="1"/>
  <c r="F2249" i="1"/>
  <c r="E2249" i="1"/>
  <c r="D2249" i="1"/>
  <c r="C2249" i="1"/>
  <c r="B2249" i="1"/>
  <c r="G2248" i="1"/>
  <c r="F2248" i="1"/>
  <c r="E2248" i="1"/>
  <c r="D2248" i="1"/>
  <c r="C2248" i="1"/>
  <c r="B2248" i="1"/>
  <c r="G2247" i="1"/>
  <c r="F2247" i="1"/>
  <c r="E2247" i="1"/>
  <c r="D2247" i="1"/>
  <c r="C2247" i="1"/>
  <c r="B2247" i="1"/>
  <c r="G2246" i="1"/>
  <c r="F2246" i="1"/>
  <c r="E2246" i="1"/>
  <c r="D2246" i="1"/>
  <c r="C2246" i="1"/>
  <c r="B2246" i="1"/>
  <c r="G2245" i="1"/>
  <c r="F2245" i="1"/>
  <c r="E2245" i="1"/>
  <c r="D2245" i="1"/>
  <c r="C2245" i="1"/>
  <c r="B2245" i="1"/>
  <c r="G2244" i="1"/>
  <c r="F2244" i="1"/>
  <c r="E2244" i="1"/>
  <c r="D2244" i="1"/>
  <c r="C2244" i="1"/>
  <c r="B2244" i="1"/>
  <c r="G2243" i="1"/>
  <c r="F2243" i="1"/>
  <c r="E2243" i="1"/>
  <c r="D2243" i="1"/>
  <c r="C2243" i="1"/>
  <c r="B2243" i="1"/>
  <c r="G2242" i="1"/>
  <c r="F2242" i="1"/>
  <c r="E2242" i="1"/>
  <c r="D2242" i="1"/>
  <c r="C2242" i="1"/>
  <c r="B2242" i="1"/>
  <c r="G2241" i="1"/>
  <c r="F2241" i="1"/>
  <c r="E2241" i="1"/>
  <c r="D2241" i="1"/>
  <c r="C2241" i="1"/>
  <c r="B2241" i="1"/>
  <c r="G2240" i="1"/>
  <c r="F2240" i="1"/>
  <c r="E2240" i="1"/>
  <c r="D2240" i="1"/>
  <c r="C2240" i="1"/>
  <c r="B2240" i="1"/>
  <c r="G2239" i="1"/>
  <c r="F2239" i="1"/>
  <c r="E2239" i="1"/>
  <c r="D2239" i="1"/>
  <c r="C2239" i="1"/>
  <c r="B2239" i="1"/>
  <c r="G2238" i="1"/>
  <c r="F2238" i="1"/>
  <c r="E2238" i="1"/>
  <c r="D2238" i="1"/>
  <c r="C2238" i="1"/>
  <c r="B2238" i="1"/>
  <c r="G2237" i="1"/>
  <c r="F2237" i="1"/>
  <c r="E2237" i="1"/>
  <c r="D2237" i="1"/>
  <c r="C2237" i="1"/>
  <c r="B2237" i="1"/>
  <c r="G2236" i="1"/>
  <c r="F2236" i="1"/>
  <c r="E2236" i="1"/>
  <c r="D2236" i="1"/>
  <c r="C2236" i="1"/>
  <c r="B2236" i="1"/>
  <c r="G2235" i="1"/>
  <c r="F2235" i="1"/>
  <c r="E2235" i="1"/>
  <c r="D2235" i="1"/>
  <c r="C2235" i="1"/>
  <c r="B2235" i="1"/>
  <c r="G2234" i="1"/>
  <c r="F2234" i="1"/>
  <c r="E2234" i="1"/>
  <c r="D2234" i="1"/>
  <c r="C2234" i="1"/>
  <c r="B2234" i="1"/>
  <c r="G2233" i="1"/>
  <c r="F2233" i="1"/>
  <c r="E2233" i="1"/>
  <c r="D2233" i="1"/>
  <c r="C2233" i="1"/>
  <c r="B2233" i="1"/>
  <c r="G2232" i="1"/>
  <c r="F2232" i="1"/>
  <c r="E2232" i="1"/>
  <c r="D2232" i="1"/>
  <c r="C2232" i="1"/>
  <c r="B2232" i="1"/>
  <c r="G2231" i="1"/>
  <c r="F2231" i="1"/>
  <c r="E2231" i="1"/>
  <c r="D2231" i="1"/>
  <c r="C2231" i="1"/>
  <c r="B2231" i="1"/>
  <c r="G2230" i="1"/>
  <c r="F2230" i="1"/>
  <c r="E2230" i="1"/>
  <c r="D2230" i="1"/>
  <c r="C2230" i="1"/>
  <c r="B2230" i="1"/>
  <c r="G2229" i="1"/>
  <c r="F2229" i="1"/>
  <c r="E2229" i="1"/>
  <c r="D2229" i="1"/>
  <c r="C2229" i="1"/>
  <c r="B2229" i="1"/>
  <c r="G2228" i="1"/>
  <c r="F2228" i="1"/>
  <c r="E2228" i="1"/>
  <c r="D2228" i="1"/>
  <c r="C2228" i="1"/>
  <c r="B2228" i="1"/>
  <c r="G2227" i="1"/>
  <c r="F2227" i="1"/>
  <c r="E2227" i="1"/>
  <c r="D2227" i="1"/>
  <c r="C2227" i="1"/>
  <c r="B2227" i="1"/>
  <c r="G2226" i="1"/>
  <c r="F2226" i="1"/>
  <c r="E2226" i="1"/>
  <c r="D2226" i="1"/>
  <c r="C2226" i="1"/>
  <c r="B2226" i="1"/>
  <c r="G2225" i="1"/>
  <c r="F2225" i="1"/>
  <c r="E2225" i="1"/>
  <c r="D2225" i="1"/>
  <c r="C2225" i="1"/>
  <c r="B2225" i="1"/>
  <c r="G2224" i="1"/>
  <c r="F2224" i="1"/>
  <c r="E2224" i="1"/>
  <c r="D2224" i="1"/>
  <c r="C2224" i="1"/>
  <c r="B2224" i="1"/>
  <c r="G2223" i="1"/>
  <c r="F2223" i="1"/>
  <c r="E2223" i="1"/>
  <c r="D2223" i="1"/>
  <c r="C2223" i="1"/>
  <c r="B2223" i="1"/>
  <c r="G2222" i="1"/>
  <c r="F2222" i="1"/>
  <c r="E2222" i="1"/>
  <c r="D2222" i="1"/>
  <c r="C2222" i="1"/>
  <c r="B2222" i="1"/>
  <c r="G2221" i="1"/>
  <c r="F2221" i="1"/>
  <c r="E2221" i="1"/>
  <c r="D2221" i="1"/>
  <c r="C2221" i="1"/>
  <c r="B2221" i="1"/>
  <c r="G2220" i="1"/>
  <c r="F2220" i="1"/>
  <c r="E2220" i="1"/>
  <c r="D2220" i="1"/>
  <c r="C2220" i="1"/>
  <c r="B2220" i="1"/>
  <c r="G2219" i="1"/>
  <c r="F2219" i="1"/>
  <c r="E2219" i="1"/>
  <c r="D2219" i="1"/>
  <c r="C2219" i="1"/>
  <c r="B2219" i="1"/>
  <c r="G2218" i="1"/>
  <c r="F2218" i="1"/>
  <c r="E2218" i="1"/>
  <c r="D2218" i="1"/>
  <c r="C2218" i="1"/>
  <c r="B2218" i="1"/>
  <c r="G2217" i="1"/>
  <c r="F2217" i="1"/>
  <c r="E2217" i="1"/>
  <c r="D2217" i="1"/>
  <c r="C2217" i="1"/>
  <c r="B2217" i="1"/>
  <c r="G2216" i="1"/>
  <c r="F2216" i="1"/>
  <c r="E2216" i="1"/>
  <c r="D2216" i="1"/>
  <c r="C2216" i="1"/>
  <c r="B2216" i="1"/>
  <c r="G2215" i="1"/>
  <c r="F2215" i="1"/>
  <c r="E2215" i="1"/>
  <c r="D2215" i="1"/>
  <c r="C2215" i="1"/>
  <c r="B2215" i="1"/>
  <c r="G2214" i="1"/>
  <c r="F2214" i="1"/>
  <c r="E2214" i="1"/>
  <c r="D2214" i="1"/>
  <c r="C2214" i="1"/>
  <c r="B2214" i="1"/>
  <c r="G2213" i="1"/>
  <c r="F2213" i="1"/>
  <c r="E2213" i="1"/>
  <c r="D2213" i="1"/>
  <c r="C2213" i="1"/>
  <c r="B2213" i="1"/>
  <c r="G2212" i="1"/>
  <c r="F2212" i="1"/>
  <c r="E2212" i="1"/>
  <c r="D2212" i="1"/>
  <c r="C2212" i="1"/>
  <c r="B2212" i="1"/>
  <c r="G2211" i="1"/>
  <c r="F2211" i="1"/>
  <c r="E2211" i="1"/>
  <c r="D2211" i="1"/>
  <c r="C2211" i="1"/>
  <c r="B2211" i="1"/>
  <c r="G2210" i="1"/>
  <c r="F2210" i="1"/>
  <c r="E2210" i="1"/>
  <c r="D2210" i="1"/>
  <c r="C2210" i="1"/>
  <c r="B2210" i="1"/>
  <c r="G2209" i="1"/>
  <c r="F2209" i="1"/>
  <c r="E2209" i="1"/>
  <c r="D2209" i="1"/>
  <c r="C2209" i="1"/>
  <c r="B2209" i="1"/>
  <c r="G2208" i="1"/>
  <c r="F2208" i="1"/>
  <c r="E2208" i="1"/>
  <c r="D2208" i="1"/>
  <c r="C2208" i="1"/>
  <c r="B2208" i="1"/>
  <c r="G2207" i="1"/>
  <c r="F2207" i="1"/>
  <c r="E2207" i="1"/>
  <c r="D2207" i="1"/>
  <c r="C2207" i="1"/>
  <c r="B2207" i="1"/>
  <c r="G2206" i="1"/>
  <c r="F2206" i="1"/>
  <c r="E2206" i="1"/>
  <c r="D2206" i="1"/>
  <c r="C2206" i="1"/>
  <c r="B2206" i="1"/>
  <c r="G2205" i="1"/>
  <c r="F2205" i="1"/>
  <c r="E2205" i="1"/>
  <c r="D2205" i="1"/>
  <c r="C2205" i="1"/>
  <c r="B2205" i="1"/>
  <c r="G2204" i="1"/>
  <c r="F2204" i="1"/>
  <c r="E2204" i="1"/>
  <c r="D2204" i="1"/>
  <c r="C2204" i="1"/>
  <c r="B2204" i="1"/>
  <c r="G2203" i="1"/>
  <c r="F2203" i="1"/>
  <c r="E2203" i="1"/>
  <c r="D2203" i="1"/>
  <c r="C2203" i="1"/>
  <c r="B2203" i="1"/>
  <c r="G2202" i="1"/>
  <c r="F2202" i="1"/>
  <c r="E2202" i="1"/>
  <c r="D2202" i="1"/>
  <c r="C2202" i="1"/>
  <c r="B2202" i="1"/>
  <c r="G2201" i="1"/>
  <c r="F2201" i="1"/>
  <c r="E2201" i="1"/>
  <c r="D2201" i="1"/>
  <c r="C2201" i="1"/>
  <c r="B2201" i="1"/>
  <c r="G2200" i="1"/>
  <c r="F2200" i="1"/>
  <c r="E2200" i="1"/>
  <c r="D2200" i="1"/>
  <c r="C2200" i="1"/>
  <c r="B2200" i="1"/>
  <c r="G2199" i="1"/>
  <c r="F2199" i="1"/>
  <c r="E2199" i="1"/>
  <c r="D2199" i="1"/>
  <c r="C2199" i="1"/>
  <c r="B2199" i="1"/>
  <c r="G2198" i="1"/>
  <c r="F2198" i="1"/>
  <c r="E2198" i="1"/>
  <c r="D2198" i="1"/>
  <c r="C2198" i="1"/>
  <c r="B2198" i="1"/>
  <c r="G2197" i="1"/>
  <c r="F2197" i="1"/>
  <c r="E2197" i="1"/>
  <c r="D2197" i="1"/>
  <c r="C2197" i="1"/>
  <c r="B2197" i="1"/>
  <c r="G2196" i="1"/>
  <c r="F2196" i="1"/>
  <c r="E2196" i="1"/>
  <c r="D2196" i="1"/>
  <c r="C2196" i="1"/>
  <c r="B2196" i="1"/>
  <c r="G2195" i="1"/>
  <c r="F2195" i="1"/>
  <c r="E2195" i="1"/>
  <c r="D2195" i="1"/>
  <c r="C2195" i="1"/>
  <c r="B2195" i="1"/>
  <c r="G2194" i="1"/>
  <c r="F2194" i="1"/>
  <c r="E2194" i="1"/>
  <c r="D2194" i="1"/>
  <c r="C2194" i="1"/>
  <c r="B2194" i="1"/>
  <c r="G2193" i="1"/>
  <c r="F2193" i="1"/>
  <c r="E2193" i="1"/>
  <c r="D2193" i="1"/>
  <c r="C2193" i="1"/>
  <c r="B2193" i="1"/>
  <c r="G2192" i="1"/>
  <c r="F2192" i="1"/>
  <c r="E2192" i="1"/>
  <c r="D2192" i="1"/>
  <c r="C2192" i="1"/>
  <c r="B2192" i="1"/>
  <c r="G2191" i="1"/>
  <c r="F2191" i="1"/>
  <c r="E2191" i="1"/>
  <c r="D2191" i="1"/>
  <c r="C2191" i="1"/>
  <c r="B2191" i="1"/>
  <c r="G2190" i="1"/>
  <c r="F2190" i="1"/>
  <c r="E2190" i="1"/>
  <c r="D2190" i="1"/>
  <c r="C2190" i="1"/>
  <c r="B2190" i="1"/>
  <c r="G2189" i="1"/>
  <c r="F2189" i="1"/>
  <c r="E2189" i="1"/>
  <c r="D2189" i="1"/>
  <c r="C2189" i="1"/>
  <c r="B2189" i="1"/>
  <c r="G2188" i="1"/>
  <c r="F2188" i="1"/>
  <c r="E2188" i="1"/>
  <c r="D2188" i="1"/>
  <c r="C2188" i="1"/>
  <c r="B2188" i="1"/>
  <c r="G2187" i="1"/>
  <c r="F2187" i="1"/>
  <c r="E2187" i="1"/>
  <c r="D2187" i="1"/>
  <c r="C2187" i="1"/>
  <c r="B2187" i="1"/>
  <c r="G2186" i="1"/>
  <c r="F2186" i="1"/>
  <c r="E2186" i="1"/>
  <c r="D2186" i="1"/>
  <c r="C2186" i="1"/>
  <c r="B2186" i="1"/>
  <c r="G2185" i="1"/>
  <c r="F2185" i="1"/>
  <c r="E2185" i="1"/>
  <c r="D2185" i="1"/>
  <c r="C2185" i="1"/>
  <c r="B2185" i="1"/>
  <c r="G2184" i="1"/>
  <c r="F2184" i="1"/>
  <c r="E2184" i="1"/>
  <c r="D2184" i="1"/>
  <c r="C2184" i="1"/>
  <c r="B2184" i="1"/>
  <c r="G2183" i="1"/>
  <c r="F2183" i="1"/>
  <c r="E2183" i="1"/>
  <c r="D2183" i="1"/>
  <c r="C2183" i="1"/>
  <c r="B2183" i="1"/>
  <c r="G2182" i="1"/>
  <c r="F2182" i="1"/>
  <c r="E2182" i="1"/>
  <c r="D2182" i="1"/>
  <c r="C2182" i="1"/>
  <c r="B2182" i="1"/>
  <c r="G2181" i="1"/>
  <c r="F2181" i="1"/>
  <c r="E2181" i="1"/>
  <c r="D2181" i="1"/>
  <c r="C2181" i="1"/>
  <c r="B2181" i="1"/>
  <c r="G2180" i="1"/>
  <c r="F2180" i="1"/>
  <c r="E2180" i="1"/>
  <c r="D2180" i="1"/>
  <c r="C2180" i="1"/>
  <c r="B2180" i="1"/>
  <c r="G2179" i="1"/>
  <c r="F2179" i="1"/>
  <c r="E2179" i="1"/>
  <c r="D2179" i="1"/>
  <c r="C2179" i="1"/>
  <c r="B2179" i="1"/>
  <c r="G2178" i="1"/>
  <c r="F2178" i="1"/>
  <c r="E2178" i="1"/>
  <c r="D2178" i="1"/>
  <c r="C2178" i="1"/>
  <c r="B2178" i="1"/>
  <c r="G2177" i="1"/>
  <c r="F2177" i="1"/>
  <c r="E2177" i="1"/>
  <c r="D2177" i="1"/>
  <c r="C2177" i="1"/>
  <c r="B2177" i="1"/>
  <c r="G2176" i="1"/>
  <c r="F2176" i="1"/>
  <c r="E2176" i="1"/>
  <c r="D2176" i="1"/>
  <c r="C2176" i="1"/>
  <c r="B2176" i="1"/>
  <c r="G2175" i="1"/>
  <c r="F2175" i="1"/>
  <c r="E2175" i="1"/>
  <c r="D2175" i="1"/>
  <c r="C2175" i="1"/>
  <c r="B2175" i="1"/>
  <c r="G2174" i="1"/>
  <c r="F2174" i="1"/>
  <c r="E2174" i="1"/>
  <c r="D2174" i="1"/>
  <c r="C2174" i="1"/>
  <c r="B2174" i="1"/>
  <c r="G2173" i="1"/>
  <c r="F2173" i="1"/>
  <c r="E2173" i="1"/>
  <c r="D2173" i="1"/>
  <c r="C2173" i="1"/>
  <c r="B2173" i="1"/>
  <c r="G2172" i="1"/>
  <c r="F2172" i="1"/>
  <c r="E2172" i="1"/>
  <c r="D2172" i="1"/>
  <c r="C2172" i="1"/>
  <c r="B2172" i="1"/>
  <c r="G2171" i="1"/>
  <c r="F2171" i="1"/>
  <c r="E2171" i="1"/>
  <c r="D2171" i="1"/>
  <c r="C2171" i="1"/>
  <c r="B2171" i="1"/>
  <c r="G2170" i="1"/>
  <c r="F2170" i="1"/>
  <c r="E2170" i="1"/>
  <c r="D2170" i="1"/>
  <c r="C2170" i="1"/>
  <c r="B2170" i="1"/>
  <c r="G2169" i="1"/>
  <c r="F2169" i="1"/>
  <c r="E2169" i="1"/>
  <c r="D2169" i="1"/>
  <c r="C2169" i="1"/>
  <c r="B2169" i="1"/>
  <c r="G2168" i="1"/>
  <c r="F2168" i="1"/>
  <c r="E2168" i="1"/>
  <c r="D2168" i="1"/>
  <c r="C2168" i="1"/>
  <c r="B2168" i="1"/>
  <c r="G2167" i="1"/>
  <c r="F2167" i="1"/>
  <c r="E2167" i="1"/>
  <c r="D2167" i="1"/>
  <c r="C2167" i="1"/>
  <c r="B2167" i="1"/>
  <c r="G2166" i="1"/>
  <c r="F2166" i="1"/>
  <c r="E2166" i="1"/>
  <c r="D2166" i="1"/>
  <c r="C2166" i="1"/>
  <c r="B2166" i="1"/>
  <c r="G2165" i="1"/>
  <c r="F2165" i="1"/>
  <c r="E2165" i="1"/>
  <c r="D2165" i="1"/>
  <c r="C2165" i="1"/>
  <c r="B2165" i="1"/>
  <c r="G2164" i="1"/>
  <c r="F2164" i="1"/>
  <c r="E2164" i="1"/>
  <c r="D2164" i="1"/>
  <c r="C2164" i="1"/>
  <c r="B2164" i="1"/>
  <c r="G2163" i="1"/>
  <c r="F2163" i="1"/>
  <c r="E2163" i="1"/>
  <c r="D2163" i="1"/>
  <c r="C2163" i="1"/>
  <c r="B2163" i="1"/>
  <c r="G2162" i="1"/>
  <c r="F2162" i="1"/>
  <c r="E2162" i="1"/>
  <c r="D2162" i="1"/>
  <c r="C2162" i="1"/>
  <c r="B2162" i="1"/>
  <c r="G2161" i="1"/>
  <c r="F2161" i="1"/>
  <c r="E2161" i="1"/>
  <c r="D2161" i="1"/>
  <c r="C2161" i="1"/>
  <c r="B2161" i="1"/>
  <c r="G2160" i="1"/>
  <c r="F2160" i="1"/>
  <c r="E2160" i="1"/>
  <c r="D2160" i="1"/>
  <c r="C2160" i="1"/>
  <c r="B2160" i="1"/>
  <c r="G2159" i="1"/>
  <c r="F2159" i="1"/>
  <c r="E2159" i="1"/>
  <c r="D2159" i="1"/>
  <c r="C2159" i="1"/>
  <c r="B2159" i="1"/>
  <c r="G2158" i="1"/>
  <c r="F2158" i="1"/>
  <c r="E2158" i="1"/>
  <c r="D2158" i="1"/>
  <c r="C2158" i="1"/>
  <c r="B2158" i="1"/>
  <c r="G2157" i="1"/>
  <c r="F2157" i="1"/>
  <c r="E2157" i="1"/>
  <c r="D2157" i="1"/>
  <c r="C2157" i="1"/>
  <c r="B2157" i="1"/>
  <c r="G2156" i="1"/>
  <c r="F2156" i="1"/>
  <c r="E2156" i="1"/>
  <c r="D2156" i="1"/>
  <c r="C2156" i="1"/>
  <c r="B2156" i="1"/>
  <c r="G2155" i="1"/>
  <c r="F2155" i="1"/>
  <c r="E2155" i="1"/>
  <c r="D2155" i="1"/>
  <c r="C2155" i="1"/>
  <c r="B2155" i="1"/>
  <c r="G2154" i="1"/>
  <c r="F2154" i="1"/>
  <c r="E2154" i="1"/>
  <c r="D2154" i="1"/>
  <c r="C2154" i="1"/>
  <c r="B2154" i="1"/>
  <c r="G2153" i="1"/>
  <c r="F2153" i="1"/>
  <c r="E2153" i="1"/>
  <c r="D2153" i="1"/>
  <c r="C2153" i="1"/>
  <c r="B2153" i="1"/>
  <c r="G2152" i="1"/>
  <c r="F2152" i="1"/>
  <c r="E2152" i="1"/>
  <c r="D2152" i="1"/>
  <c r="C2152" i="1"/>
  <c r="B2152" i="1"/>
  <c r="G2151" i="1"/>
  <c r="F2151" i="1"/>
  <c r="E2151" i="1"/>
  <c r="D2151" i="1"/>
  <c r="C2151" i="1"/>
  <c r="B2151" i="1"/>
  <c r="G2150" i="1"/>
  <c r="F2150" i="1"/>
  <c r="E2150" i="1"/>
  <c r="D2150" i="1"/>
  <c r="C2150" i="1"/>
  <c r="B2150" i="1"/>
  <c r="G2149" i="1"/>
  <c r="F2149" i="1"/>
  <c r="E2149" i="1"/>
  <c r="D2149" i="1"/>
  <c r="C2149" i="1"/>
  <c r="B2149" i="1"/>
  <c r="G2148" i="1"/>
  <c r="F2148" i="1"/>
  <c r="E2148" i="1"/>
  <c r="D2148" i="1"/>
  <c r="C2148" i="1"/>
  <c r="B2148" i="1"/>
  <c r="G2147" i="1"/>
  <c r="F2147" i="1"/>
  <c r="E2147" i="1"/>
  <c r="D2147" i="1"/>
  <c r="C2147" i="1"/>
  <c r="B2147" i="1"/>
  <c r="G2146" i="1"/>
  <c r="F2146" i="1"/>
  <c r="E2146" i="1"/>
  <c r="D2146" i="1"/>
  <c r="C2146" i="1"/>
  <c r="B2146" i="1"/>
  <c r="G2145" i="1"/>
  <c r="F2145" i="1"/>
  <c r="E2145" i="1"/>
  <c r="D2145" i="1"/>
  <c r="C2145" i="1"/>
  <c r="B2145" i="1"/>
  <c r="G2144" i="1"/>
  <c r="F2144" i="1"/>
  <c r="E2144" i="1"/>
  <c r="D2144" i="1"/>
  <c r="C2144" i="1"/>
  <c r="B2144" i="1"/>
  <c r="G2143" i="1"/>
  <c r="F2143" i="1"/>
  <c r="E2143" i="1"/>
  <c r="D2143" i="1"/>
  <c r="C2143" i="1"/>
  <c r="B2143" i="1"/>
  <c r="G2142" i="1"/>
  <c r="F2142" i="1"/>
  <c r="E2142" i="1"/>
  <c r="D2142" i="1"/>
  <c r="C2142" i="1"/>
  <c r="B2142" i="1"/>
  <c r="G2141" i="1"/>
  <c r="F2141" i="1"/>
  <c r="E2141" i="1"/>
  <c r="D2141" i="1"/>
  <c r="C2141" i="1"/>
  <c r="B2141" i="1"/>
  <c r="G2140" i="1"/>
  <c r="F2140" i="1"/>
  <c r="E2140" i="1"/>
  <c r="D2140" i="1"/>
  <c r="C2140" i="1"/>
  <c r="B2140" i="1"/>
  <c r="G2139" i="1"/>
  <c r="F2139" i="1"/>
  <c r="E2139" i="1"/>
  <c r="D2139" i="1"/>
  <c r="C2139" i="1"/>
  <c r="B2139" i="1"/>
  <c r="G2138" i="1"/>
  <c r="F2138" i="1"/>
  <c r="E2138" i="1"/>
  <c r="D2138" i="1"/>
  <c r="C2138" i="1"/>
  <c r="B2138" i="1"/>
  <c r="G2137" i="1"/>
  <c r="F2137" i="1"/>
  <c r="E2137" i="1"/>
  <c r="D2137" i="1"/>
  <c r="C2137" i="1"/>
  <c r="B2137" i="1"/>
  <c r="G2136" i="1"/>
  <c r="F2136" i="1"/>
  <c r="E2136" i="1"/>
  <c r="D2136" i="1"/>
  <c r="C2136" i="1"/>
  <c r="B2136" i="1"/>
  <c r="G2135" i="1"/>
  <c r="F2135" i="1"/>
  <c r="E2135" i="1"/>
  <c r="D2135" i="1"/>
  <c r="C2135" i="1"/>
  <c r="B2135" i="1"/>
  <c r="G2134" i="1"/>
  <c r="F2134" i="1"/>
  <c r="E2134" i="1"/>
  <c r="D2134" i="1"/>
  <c r="C2134" i="1"/>
  <c r="B2134" i="1"/>
  <c r="G2133" i="1"/>
  <c r="F2133" i="1"/>
  <c r="E2133" i="1"/>
  <c r="D2133" i="1"/>
  <c r="C2133" i="1"/>
  <c r="B2133" i="1"/>
  <c r="G2132" i="1"/>
  <c r="F2132" i="1"/>
  <c r="E2132" i="1"/>
  <c r="D2132" i="1"/>
  <c r="C2132" i="1"/>
  <c r="B2132" i="1"/>
  <c r="G2131" i="1"/>
  <c r="F2131" i="1"/>
  <c r="E2131" i="1"/>
  <c r="D2131" i="1"/>
  <c r="C2131" i="1"/>
  <c r="B2131" i="1"/>
  <c r="G2130" i="1"/>
  <c r="F2130" i="1"/>
  <c r="E2130" i="1"/>
  <c r="D2130" i="1"/>
  <c r="C2130" i="1"/>
  <c r="B2130" i="1"/>
  <c r="G2129" i="1"/>
  <c r="F2129" i="1"/>
  <c r="E2129" i="1"/>
  <c r="D2129" i="1"/>
  <c r="C2129" i="1"/>
  <c r="B2129" i="1"/>
  <c r="G2128" i="1"/>
  <c r="F2128" i="1"/>
  <c r="E2128" i="1"/>
  <c r="D2128" i="1"/>
  <c r="C2128" i="1"/>
  <c r="B2128" i="1"/>
  <c r="G2127" i="1"/>
  <c r="F2127" i="1"/>
  <c r="E2127" i="1"/>
  <c r="D2127" i="1"/>
  <c r="C2127" i="1"/>
  <c r="B2127" i="1"/>
  <c r="G2126" i="1"/>
  <c r="F2126" i="1"/>
  <c r="E2126" i="1"/>
  <c r="D2126" i="1"/>
  <c r="C2126" i="1"/>
  <c r="B2126" i="1"/>
  <c r="G2125" i="1"/>
  <c r="F2125" i="1"/>
  <c r="E2125" i="1"/>
  <c r="D2125" i="1"/>
  <c r="C2125" i="1"/>
  <c r="B2125" i="1"/>
  <c r="D2124" i="1"/>
  <c r="C2124" i="1"/>
  <c r="B2124" i="1"/>
  <c r="G2123" i="1"/>
  <c r="F2123" i="1"/>
  <c r="E2123" i="1"/>
  <c r="D2123" i="1"/>
  <c r="C2123" i="1"/>
  <c r="B2123" i="1"/>
  <c r="G2122" i="1"/>
  <c r="F2122" i="1"/>
  <c r="E2122" i="1"/>
  <c r="D2122" i="1"/>
  <c r="C2122" i="1"/>
  <c r="B2122" i="1"/>
  <c r="G2121" i="1"/>
  <c r="F2121" i="1"/>
  <c r="E2121" i="1"/>
  <c r="D2121" i="1"/>
  <c r="C2121" i="1"/>
  <c r="B2121" i="1"/>
  <c r="G2120" i="1"/>
  <c r="F2120" i="1"/>
  <c r="E2120" i="1"/>
  <c r="D2120" i="1"/>
  <c r="C2120" i="1"/>
  <c r="B2120" i="1"/>
  <c r="G2119" i="1"/>
  <c r="F2119" i="1"/>
  <c r="E2119" i="1"/>
  <c r="D2119" i="1"/>
  <c r="C2119" i="1"/>
  <c r="B2119" i="1"/>
  <c r="G2118" i="1"/>
  <c r="F2118" i="1"/>
  <c r="E2118" i="1"/>
  <c r="D2118" i="1"/>
  <c r="C2118" i="1"/>
  <c r="B2118" i="1"/>
  <c r="G2117" i="1"/>
  <c r="F2117" i="1"/>
  <c r="E2117" i="1"/>
  <c r="D2117" i="1"/>
  <c r="C2117" i="1"/>
  <c r="B2117" i="1"/>
  <c r="G2116" i="1"/>
  <c r="F2116" i="1"/>
  <c r="E2116" i="1"/>
  <c r="D2116" i="1"/>
  <c r="C2116" i="1"/>
  <c r="B2116" i="1"/>
  <c r="G2115" i="1"/>
  <c r="F2115" i="1"/>
  <c r="E2115" i="1"/>
  <c r="D2115" i="1"/>
  <c r="C2115" i="1"/>
  <c r="B2115" i="1"/>
  <c r="G2114" i="1"/>
  <c r="F2114" i="1"/>
  <c r="E2114" i="1"/>
  <c r="D2114" i="1"/>
  <c r="C2114" i="1"/>
  <c r="B2114" i="1"/>
  <c r="G2113" i="1"/>
  <c r="F2113" i="1"/>
  <c r="E2113" i="1"/>
  <c r="D2113" i="1"/>
  <c r="C2113" i="1"/>
  <c r="B2113" i="1"/>
  <c r="G2112" i="1"/>
  <c r="F2112" i="1"/>
  <c r="E2112" i="1"/>
  <c r="D2112" i="1"/>
  <c r="C2112" i="1"/>
  <c r="B2112" i="1"/>
  <c r="G2111" i="1"/>
  <c r="F2111" i="1"/>
  <c r="E2111" i="1"/>
  <c r="D2111" i="1"/>
  <c r="C2111" i="1"/>
  <c r="B2111" i="1"/>
  <c r="G2110" i="1"/>
  <c r="F2110" i="1"/>
  <c r="E2110" i="1"/>
  <c r="D2110" i="1"/>
  <c r="C2110" i="1"/>
  <c r="B2110" i="1"/>
  <c r="G2109" i="1"/>
  <c r="F2109" i="1"/>
  <c r="E2109" i="1"/>
  <c r="D2109" i="1"/>
  <c r="C2109" i="1"/>
  <c r="B2109" i="1"/>
  <c r="G2108" i="1"/>
  <c r="F2108" i="1"/>
  <c r="E2108" i="1"/>
  <c r="D2108" i="1"/>
  <c r="C2108" i="1"/>
  <c r="B2108" i="1"/>
  <c r="G2107" i="1"/>
  <c r="F2107" i="1"/>
  <c r="E2107" i="1"/>
  <c r="D2107" i="1"/>
  <c r="C2107" i="1"/>
  <c r="B2107" i="1"/>
  <c r="G2106" i="1"/>
  <c r="F2106" i="1"/>
  <c r="E2106" i="1"/>
  <c r="D2106" i="1"/>
  <c r="C2106" i="1"/>
  <c r="B2106" i="1"/>
  <c r="G2105" i="1"/>
  <c r="F2105" i="1"/>
  <c r="E2105" i="1"/>
  <c r="D2105" i="1"/>
  <c r="C2105" i="1"/>
  <c r="B2105" i="1"/>
  <c r="G2104" i="1"/>
  <c r="F2104" i="1"/>
  <c r="E2104" i="1"/>
  <c r="D2104" i="1"/>
  <c r="C2104" i="1"/>
  <c r="B2104" i="1"/>
  <c r="G2103" i="1"/>
  <c r="F2103" i="1"/>
  <c r="E2103" i="1"/>
  <c r="D2103" i="1"/>
  <c r="C2103" i="1"/>
  <c r="B2103" i="1"/>
  <c r="G2102" i="1"/>
  <c r="F2102" i="1"/>
  <c r="E2102" i="1"/>
  <c r="D2102" i="1"/>
  <c r="C2102" i="1"/>
  <c r="B2102" i="1"/>
  <c r="G2101" i="1"/>
  <c r="F2101" i="1"/>
  <c r="E2101" i="1"/>
  <c r="D2101" i="1"/>
  <c r="C2101" i="1"/>
  <c r="B2101" i="1"/>
  <c r="G2100" i="1"/>
  <c r="F2100" i="1"/>
  <c r="E2100" i="1"/>
  <c r="D2100" i="1"/>
  <c r="C2100" i="1"/>
  <c r="B2100" i="1"/>
  <c r="G2099" i="1"/>
  <c r="F2099" i="1"/>
  <c r="E2099" i="1"/>
  <c r="D2099" i="1"/>
  <c r="C2099" i="1"/>
  <c r="B2099" i="1"/>
  <c r="G2098" i="1"/>
  <c r="F2098" i="1"/>
  <c r="E2098" i="1"/>
  <c r="D2098" i="1"/>
  <c r="C2098" i="1"/>
  <c r="B2098" i="1"/>
  <c r="G2097" i="1"/>
  <c r="F2097" i="1"/>
  <c r="E2097" i="1"/>
  <c r="D2097" i="1"/>
  <c r="C2097" i="1"/>
  <c r="B2097" i="1"/>
  <c r="G2096" i="1"/>
  <c r="F2096" i="1"/>
  <c r="E2096" i="1"/>
  <c r="D2096" i="1"/>
  <c r="C2096" i="1"/>
  <c r="B2096" i="1"/>
  <c r="G2095" i="1"/>
  <c r="F2095" i="1"/>
  <c r="E2095" i="1"/>
  <c r="D2095" i="1"/>
  <c r="C2095" i="1"/>
  <c r="B2095" i="1"/>
  <c r="G2094" i="1"/>
  <c r="F2094" i="1"/>
  <c r="E2094" i="1"/>
  <c r="D2094" i="1"/>
  <c r="C2094" i="1"/>
  <c r="B2094" i="1"/>
  <c r="G2093" i="1"/>
  <c r="F2093" i="1"/>
  <c r="E2093" i="1"/>
  <c r="D2093" i="1"/>
  <c r="C2093" i="1"/>
  <c r="B2093" i="1"/>
  <c r="G2092" i="1"/>
  <c r="F2092" i="1"/>
  <c r="E2092" i="1"/>
  <c r="D2092" i="1"/>
  <c r="C2092" i="1"/>
  <c r="B2092" i="1"/>
  <c r="G2091" i="1"/>
  <c r="F2091" i="1"/>
  <c r="E2091" i="1"/>
  <c r="D2091" i="1"/>
  <c r="C2091" i="1"/>
  <c r="B2091" i="1"/>
  <c r="G2090" i="1"/>
  <c r="F2090" i="1"/>
  <c r="E2090" i="1"/>
  <c r="D2090" i="1"/>
  <c r="C2090" i="1"/>
  <c r="B2090" i="1"/>
  <c r="G2089" i="1"/>
  <c r="F2089" i="1"/>
  <c r="E2089" i="1"/>
  <c r="D2089" i="1"/>
  <c r="C2089" i="1"/>
  <c r="B2089" i="1"/>
  <c r="G2088" i="1"/>
  <c r="F2088" i="1"/>
  <c r="E2088" i="1"/>
  <c r="D2088" i="1"/>
  <c r="C2088" i="1"/>
  <c r="B2088" i="1"/>
  <c r="G2087" i="1"/>
  <c r="F2087" i="1"/>
  <c r="E2087" i="1"/>
  <c r="D2087" i="1"/>
  <c r="C2087" i="1"/>
  <c r="B2087" i="1"/>
  <c r="G2086" i="1"/>
  <c r="F2086" i="1"/>
  <c r="E2086" i="1"/>
  <c r="D2086" i="1"/>
  <c r="C2086" i="1"/>
  <c r="B2086" i="1"/>
  <c r="G2085" i="1"/>
  <c r="F2085" i="1"/>
  <c r="E2085" i="1"/>
  <c r="D2085" i="1"/>
  <c r="C2085" i="1"/>
  <c r="B2085" i="1"/>
  <c r="G2084" i="1"/>
  <c r="F2084" i="1"/>
  <c r="E2084" i="1"/>
  <c r="D2084" i="1"/>
  <c r="C2084" i="1"/>
  <c r="B2084" i="1"/>
  <c r="G2083" i="1"/>
  <c r="F2083" i="1"/>
  <c r="E2083" i="1"/>
  <c r="D2083" i="1"/>
  <c r="C2083" i="1"/>
  <c r="B2083" i="1"/>
  <c r="G2082" i="1"/>
  <c r="F2082" i="1"/>
  <c r="E2082" i="1"/>
  <c r="D2082" i="1"/>
  <c r="C2082" i="1"/>
  <c r="B2082" i="1"/>
  <c r="G2081" i="1"/>
  <c r="F2081" i="1"/>
  <c r="E2081" i="1"/>
  <c r="D2081" i="1"/>
  <c r="C2081" i="1"/>
  <c r="B2081" i="1"/>
  <c r="G2080" i="1"/>
  <c r="F2080" i="1"/>
  <c r="E2080" i="1"/>
  <c r="D2080" i="1"/>
  <c r="C2080" i="1"/>
  <c r="B2080" i="1"/>
  <c r="G2079" i="1"/>
  <c r="F2079" i="1"/>
  <c r="E2079" i="1"/>
  <c r="D2079" i="1"/>
  <c r="C2079" i="1"/>
  <c r="B2079" i="1"/>
  <c r="G2078" i="1"/>
  <c r="F2078" i="1"/>
  <c r="E2078" i="1"/>
  <c r="D2078" i="1"/>
  <c r="C2078" i="1"/>
  <c r="B2078" i="1"/>
  <c r="G2077" i="1"/>
  <c r="F2077" i="1"/>
  <c r="E2077" i="1"/>
  <c r="D2077" i="1"/>
  <c r="C2077" i="1"/>
  <c r="B2077" i="1"/>
  <c r="G2076" i="1"/>
  <c r="F2076" i="1"/>
  <c r="E2076" i="1"/>
  <c r="D2076" i="1"/>
  <c r="C2076" i="1"/>
  <c r="B2076" i="1"/>
  <c r="G2075" i="1"/>
  <c r="F2075" i="1"/>
  <c r="E2075" i="1"/>
  <c r="D2075" i="1"/>
  <c r="C2075" i="1"/>
  <c r="B2075" i="1"/>
  <c r="G2074" i="1"/>
  <c r="F2074" i="1"/>
  <c r="E2074" i="1"/>
  <c r="D2074" i="1"/>
  <c r="C2074" i="1"/>
  <c r="B2074" i="1"/>
  <c r="G2073" i="1"/>
  <c r="F2073" i="1"/>
  <c r="E2073" i="1"/>
  <c r="D2073" i="1"/>
  <c r="C2073" i="1"/>
  <c r="B2073" i="1"/>
  <c r="G2072" i="1"/>
  <c r="F2072" i="1"/>
  <c r="E2072" i="1"/>
  <c r="D2072" i="1"/>
  <c r="C2072" i="1"/>
  <c r="B2072" i="1"/>
  <c r="G2071" i="1"/>
  <c r="F2071" i="1"/>
  <c r="E2071" i="1"/>
  <c r="D2071" i="1"/>
  <c r="C2071" i="1"/>
  <c r="B2071" i="1"/>
  <c r="G2070" i="1"/>
  <c r="F2070" i="1"/>
  <c r="E2070" i="1"/>
  <c r="D2070" i="1"/>
  <c r="C2070" i="1"/>
  <c r="B2070" i="1"/>
  <c r="G2069" i="1"/>
  <c r="F2069" i="1"/>
  <c r="E2069" i="1"/>
  <c r="D2069" i="1"/>
  <c r="C2069" i="1"/>
  <c r="B2069" i="1"/>
  <c r="G2068" i="1"/>
  <c r="F2068" i="1"/>
  <c r="E2068" i="1"/>
  <c r="D2068" i="1"/>
  <c r="C2068" i="1"/>
  <c r="B2068" i="1"/>
  <c r="G2067" i="1"/>
  <c r="F2067" i="1"/>
  <c r="E2067" i="1"/>
  <c r="D2067" i="1"/>
  <c r="C2067" i="1"/>
  <c r="B2067" i="1"/>
  <c r="G2066" i="1"/>
  <c r="F2066" i="1"/>
  <c r="E2066" i="1"/>
  <c r="D2066" i="1"/>
  <c r="C2066" i="1"/>
  <c r="B2066" i="1"/>
  <c r="G2065" i="1"/>
  <c r="F2065" i="1"/>
  <c r="E2065" i="1"/>
  <c r="D2065" i="1"/>
  <c r="C2065" i="1"/>
  <c r="B2065" i="1"/>
  <c r="G2064" i="1"/>
  <c r="F2064" i="1"/>
  <c r="E2064" i="1"/>
  <c r="D2064" i="1"/>
  <c r="C2064" i="1"/>
  <c r="B2064" i="1"/>
  <c r="G2063" i="1"/>
  <c r="F2063" i="1"/>
  <c r="E2063" i="1"/>
  <c r="D2063" i="1"/>
  <c r="C2063" i="1"/>
  <c r="B2063" i="1"/>
  <c r="G2062" i="1"/>
  <c r="F2062" i="1"/>
  <c r="E2062" i="1"/>
  <c r="D2062" i="1"/>
  <c r="C2062" i="1"/>
  <c r="B2062" i="1"/>
  <c r="G2061" i="1"/>
  <c r="F2061" i="1"/>
  <c r="E2061" i="1"/>
  <c r="D2061" i="1"/>
  <c r="C2061" i="1"/>
  <c r="B2061" i="1"/>
  <c r="G2060" i="1"/>
  <c r="F2060" i="1"/>
  <c r="E2060" i="1"/>
  <c r="D2060" i="1"/>
  <c r="C2060" i="1"/>
  <c r="B2060" i="1"/>
  <c r="G2059" i="1"/>
  <c r="F2059" i="1"/>
  <c r="E2059" i="1"/>
  <c r="D2059" i="1"/>
  <c r="C2059" i="1"/>
  <c r="B2059" i="1"/>
  <c r="G2058" i="1"/>
  <c r="F2058" i="1"/>
  <c r="E2058" i="1"/>
  <c r="D2058" i="1"/>
  <c r="C2058" i="1"/>
  <c r="B2058" i="1"/>
  <c r="G2057" i="1"/>
  <c r="F2057" i="1"/>
  <c r="E2057" i="1"/>
  <c r="D2057" i="1"/>
  <c r="C2057" i="1"/>
  <c r="B2057" i="1"/>
  <c r="G2056" i="1"/>
  <c r="F2056" i="1"/>
  <c r="E2056" i="1"/>
  <c r="D2056" i="1"/>
  <c r="C2056" i="1"/>
  <c r="B2056" i="1"/>
  <c r="F2055" i="1"/>
  <c r="E2055" i="1"/>
  <c r="D2055" i="1"/>
  <c r="C2055" i="1"/>
  <c r="B2055" i="1"/>
  <c r="G2054" i="1"/>
  <c r="F2054" i="1"/>
  <c r="E2054" i="1"/>
  <c r="D2054" i="1"/>
  <c r="C2054" i="1"/>
  <c r="B2054" i="1"/>
  <c r="G2053" i="1"/>
  <c r="F2053" i="1"/>
  <c r="E2053" i="1"/>
  <c r="D2053" i="1"/>
  <c r="C2053" i="1"/>
  <c r="B2053" i="1"/>
  <c r="G2052" i="1"/>
  <c r="F2052" i="1"/>
  <c r="E2052" i="1"/>
  <c r="D2052" i="1"/>
  <c r="C2052" i="1"/>
  <c r="B2052" i="1"/>
  <c r="G2051" i="1"/>
  <c r="F2051" i="1"/>
  <c r="E2051" i="1"/>
  <c r="D2051" i="1"/>
  <c r="C2051" i="1"/>
  <c r="B2051" i="1"/>
  <c r="G2050" i="1"/>
  <c r="F2050" i="1"/>
  <c r="E2050" i="1"/>
  <c r="D2050" i="1"/>
  <c r="C2050" i="1"/>
  <c r="B2050" i="1"/>
  <c r="G2049" i="1"/>
  <c r="F2049" i="1"/>
  <c r="E2049" i="1"/>
  <c r="D2049" i="1"/>
  <c r="C2049" i="1"/>
  <c r="B2049" i="1"/>
  <c r="G2048" i="1"/>
  <c r="F2048" i="1"/>
  <c r="E2048" i="1"/>
  <c r="D2048" i="1"/>
  <c r="C2048" i="1"/>
  <c r="B2048" i="1"/>
  <c r="G2047" i="1"/>
  <c r="F2047" i="1"/>
  <c r="E2047" i="1"/>
  <c r="D2047" i="1"/>
  <c r="C2047" i="1"/>
  <c r="B2047" i="1"/>
  <c r="G2046" i="1"/>
  <c r="F2046" i="1"/>
  <c r="E2046" i="1"/>
  <c r="D2046" i="1"/>
  <c r="C2046" i="1"/>
  <c r="B2046" i="1"/>
  <c r="G2045" i="1"/>
  <c r="F2045" i="1"/>
  <c r="E2045" i="1"/>
  <c r="D2045" i="1"/>
  <c r="C2045" i="1"/>
  <c r="B2045" i="1"/>
  <c r="G2044" i="1"/>
  <c r="F2044" i="1"/>
  <c r="E2044" i="1"/>
  <c r="D2044" i="1"/>
  <c r="C2044" i="1"/>
  <c r="B2044" i="1"/>
  <c r="G2043" i="1"/>
  <c r="F2043" i="1"/>
  <c r="E2043" i="1"/>
  <c r="D2043" i="1"/>
  <c r="C2043" i="1"/>
  <c r="B2043" i="1"/>
  <c r="G2042" i="1"/>
  <c r="F2042" i="1"/>
  <c r="E2042" i="1"/>
  <c r="D2042" i="1"/>
  <c r="C2042" i="1"/>
  <c r="B2042" i="1"/>
  <c r="G2041" i="1"/>
  <c r="F2041" i="1"/>
  <c r="E2041" i="1"/>
  <c r="D2041" i="1"/>
  <c r="C2041" i="1"/>
  <c r="B2041" i="1"/>
  <c r="G2040" i="1"/>
  <c r="F2040" i="1"/>
  <c r="E2040" i="1"/>
  <c r="D2040" i="1"/>
  <c r="C2040" i="1"/>
  <c r="B2040" i="1"/>
  <c r="G2039" i="1"/>
  <c r="F2039" i="1"/>
  <c r="E2039" i="1"/>
  <c r="D2039" i="1"/>
  <c r="C2039" i="1"/>
  <c r="B2039" i="1"/>
  <c r="G2038" i="1"/>
  <c r="F2038" i="1"/>
  <c r="E2038" i="1"/>
  <c r="D2038" i="1"/>
  <c r="C2038" i="1"/>
  <c r="B2038" i="1"/>
  <c r="G2037" i="1"/>
  <c r="F2037" i="1"/>
  <c r="E2037" i="1"/>
  <c r="D2037" i="1"/>
  <c r="C2037" i="1"/>
  <c r="B2037" i="1"/>
  <c r="G2036" i="1"/>
  <c r="F2036" i="1"/>
  <c r="E2036" i="1"/>
  <c r="D2036" i="1"/>
  <c r="C2036" i="1"/>
  <c r="B2036" i="1"/>
  <c r="G2035" i="1"/>
  <c r="F2035" i="1"/>
  <c r="E2035" i="1"/>
  <c r="D2035" i="1"/>
  <c r="C2035" i="1"/>
  <c r="B2035" i="1"/>
  <c r="G2034" i="1"/>
  <c r="F2034" i="1"/>
  <c r="E2034" i="1"/>
  <c r="D2034" i="1"/>
  <c r="C2034" i="1"/>
  <c r="B2034" i="1"/>
  <c r="G2033" i="1"/>
  <c r="F2033" i="1"/>
  <c r="E2033" i="1"/>
  <c r="D2033" i="1"/>
  <c r="C2033" i="1"/>
  <c r="B2033" i="1"/>
  <c r="G2032" i="1"/>
  <c r="F2032" i="1"/>
  <c r="E2032" i="1"/>
  <c r="D2032" i="1"/>
  <c r="C2032" i="1"/>
  <c r="B2032" i="1"/>
  <c r="G2031" i="1"/>
  <c r="F2031" i="1"/>
  <c r="E2031" i="1"/>
  <c r="D2031" i="1"/>
  <c r="C2031" i="1"/>
  <c r="B2031" i="1"/>
  <c r="G2030" i="1"/>
  <c r="F2030" i="1"/>
  <c r="E2030" i="1"/>
  <c r="D2030" i="1"/>
  <c r="C2030" i="1"/>
  <c r="B2030" i="1"/>
  <c r="G2029" i="1"/>
  <c r="F2029" i="1"/>
  <c r="E2029" i="1"/>
  <c r="D2029" i="1"/>
  <c r="C2029" i="1"/>
  <c r="B2029" i="1"/>
  <c r="G2028" i="1"/>
  <c r="F2028" i="1"/>
  <c r="E2028" i="1"/>
  <c r="D2028" i="1"/>
  <c r="C2028" i="1"/>
  <c r="B2028" i="1"/>
  <c r="G2027" i="1"/>
  <c r="F2027" i="1"/>
  <c r="E2027" i="1"/>
  <c r="D2027" i="1"/>
  <c r="C2027" i="1"/>
  <c r="B2027" i="1"/>
  <c r="G2026" i="1"/>
  <c r="F2026" i="1"/>
  <c r="E2026" i="1"/>
  <c r="D2026" i="1"/>
  <c r="C2026" i="1"/>
  <c r="B2026" i="1"/>
  <c r="G2025" i="1"/>
  <c r="F2025" i="1"/>
  <c r="E2025" i="1"/>
  <c r="D2025" i="1"/>
  <c r="C2025" i="1"/>
  <c r="B2025" i="1"/>
  <c r="G2024" i="1"/>
  <c r="F2024" i="1"/>
  <c r="E2024" i="1"/>
  <c r="D2024" i="1"/>
  <c r="C2024" i="1"/>
  <c r="B2024" i="1"/>
  <c r="G2023" i="1"/>
  <c r="F2023" i="1"/>
  <c r="E2023" i="1"/>
  <c r="D2023" i="1"/>
  <c r="C2023" i="1"/>
  <c r="B2023" i="1"/>
  <c r="G2022" i="1"/>
  <c r="F2022" i="1"/>
  <c r="E2022" i="1"/>
  <c r="D2022" i="1"/>
  <c r="C2022" i="1"/>
  <c r="B2022" i="1"/>
  <c r="G2021" i="1"/>
  <c r="F2021" i="1"/>
  <c r="E2021" i="1"/>
  <c r="D2021" i="1"/>
  <c r="C2021" i="1"/>
  <c r="B2021" i="1"/>
  <c r="G2020" i="1"/>
  <c r="F2020" i="1"/>
  <c r="E2020" i="1"/>
  <c r="D2020" i="1"/>
  <c r="C2020" i="1"/>
  <c r="B2020" i="1"/>
  <c r="G2019" i="1"/>
  <c r="F2019" i="1"/>
  <c r="E2019" i="1"/>
  <c r="D2019" i="1"/>
  <c r="C2019" i="1"/>
  <c r="B2019" i="1"/>
  <c r="G2018" i="1"/>
  <c r="F2018" i="1"/>
  <c r="E2018" i="1"/>
  <c r="D2018" i="1"/>
  <c r="C2018" i="1"/>
  <c r="B2018" i="1"/>
  <c r="G2017" i="1"/>
  <c r="F2017" i="1"/>
  <c r="E2017" i="1"/>
  <c r="D2017" i="1"/>
  <c r="C2017" i="1"/>
  <c r="B2017" i="1"/>
  <c r="G2016" i="1"/>
  <c r="F2016" i="1"/>
  <c r="E2016" i="1"/>
  <c r="D2016" i="1"/>
  <c r="C2016" i="1"/>
  <c r="B2016" i="1"/>
  <c r="G2015" i="1"/>
  <c r="F2015" i="1"/>
  <c r="E2015" i="1"/>
  <c r="D2015" i="1"/>
  <c r="C2015" i="1"/>
  <c r="B2015" i="1"/>
  <c r="G2014" i="1"/>
  <c r="F2014" i="1"/>
  <c r="E2014" i="1"/>
  <c r="D2014" i="1"/>
  <c r="C2014" i="1"/>
  <c r="B2014" i="1"/>
  <c r="G2013" i="1"/>
  <c r="F2013" i="1"/>
  <c r="E2013" i="1"/>
  <c r="D2013" i="1"/>
  <c r="C2013" i="1"/>
  <c r="B2013" i="1"/>
  <c r="G2012" i="1"/>
  <c r="F2012" i="1"/>
  <c r="E2012" i="1"/>
  <c r="D2012" i="1"/>
  <c r="C2012" i="1"/>
  <c r="B2012" i="1"/>
  <c r="G2011" i="1"/>
  <c r="F2011" i="1"/>
  <c r="E2011" i="1"/>
  <c r="D2011" i="1"/>
  <c r="C2011" i="1"/>
  <c r="B2011" i="1"/>
  <c r="G2010" i="1"/>
  <c r="F2010" i="1"/>
  <c r="E2010" i="1"/>
  <c r="D2010" i="1"/>
  <c r="C2010" i="1"/>
  <c r="B2010" i="1"/>
  <c r="G2009" i="1"/>
  <c r="F2009" i="1"/>
  <c r="E2009" i="1"/>
  <c r="D2009" i="1"/>
  <c r="C2009" i="1"/>
  <c r="B2009" i="1"/>
  <c r="G2008" i="1"/>
  <c r="F2008" i="1"/>
  <c r="E2008" i="1"/>
  <c r="D2008" i="1"/>
  <c r="C2008" i="1"/>
  <c r="B2008" i="1"/>
  <c r="G2007" i="1"/>
  <c r="F2007" i="1"/>
  <c r="E2007" i="1"/>
  <c r="D2007" i="1"/>
  <c r="C2007" i="1"/>
  <c r="B2007" i="1"/>
  <c r="G2006" i="1"/>
  <c r="F2006" i="1"/>
  <c r="E2006" i="1"/>
  <c r="D2006" i="1"/>
  <c r="C2006" i="1"/>
  <c r="B2006" i="1"/>
  <c r="G2005" i="1"/>
  <c r="F2005" i="1"/>
  <c r="E2005" i="1"/>
  <c r="D2005" i="1"/>
  <c r="C2005" i="1"/>
  <c r="B2005" i="1"/>
  <c r="G2004" i="1"/>
  <c r="F2004" i="1"/>
  <c r="E2004" i="1"/>
  <c r="D2004" i="1"/>
  <c r="C2004" i="1"/>
  <c r="B2004" i="1"/>
  <c r="G2003" i="1"/>
  <c r="F2003" i="1"/>
  <c r="E2003" i="1"/>
  <c r="D2003" i="1"/>
  <c r="C2003" i="1"/>
  <c r="B2003" i="1"/>
  <c r="G2002" i="1"/>
  <c r="F2002" i="1"/>
  <c r="E2002" i="1"/>
  <c r="D2002" i="1"/>
  <c r="C2002" i="1"/>
  <c r="B2002" i="1"/>
  <c r="G2001" i="1"/>
  <c r="F2001" i="1"/>
  <c r="E2001" i="1"/>
  <c r="D2001" i="1"/>
  <c r="C2001" i="1"/>
  <c r="B2001" i="1"/>
  <c r="G2000" i="1"/>
  <c r="F2000" i="1"/>
  <c r="E2000" i="1"/>
  <c r="D2000" i="1"/>
  <c r="C2000" i="1"/>
  <c r="B2000" i="1"/>
  <c r="G1999" i="1"/>
  <c r="F1999" i="1"/>
  <c r="E1999" i="1"/>
  <c r="D1999" i="1"/>
  <c r="C1999" i="1"/>
  <c r="B1999" i="1"/>
  <c r="G1998" i="1"/>
  <c r="F1998" i="1"/>
  <c r="E1998" i="1"/>
  <c r="D1998" i="1"/>
  <c r="C1998" i="1"/>
  <c r="B1998" i="1"/>
  <c r="G1997" i="1"/>
  <c r="F1997" i="1"/>
  <c r="E1997" i="1"/>
  <c r="D1997" i="1"/>
  <c r="C1997" i="1"/>
  <c r="B1997" i="1"/>
  <c r="G1996" i="1"/>
  <c r="F1996" i="1"/>
  <c r="E1996" i="1"/>
  <c r="D1996" i="1"/>
  <c r="C1996" i="1"/>
  <c r="B1996" i="1"/>
  <c r="G1995" i="1"/>
  <c r="F1995" i="1"/>
  <c r="E1995" i="1"/>
  <c r="D1995" i="1"/>
  <c r="C1995" i="1"/>
  <c r="B1995" i="1"/>
  <c r="G1994" i="1"/>
  <c r="F1994" i="1"/>
  <c r="E1994" i="1"/>
  <c r="D1994" i="1"/>
  <c r="C1994" i="1"/>
  <c r="B1994" i="1"/>
  <c r="G1993" i="1"/>
  <c r="F1993" i="1"/>
  <c r="E1993" i="1"/>
  <c r="D1993" i="1"/>
  <c r="C1993" i="1"/>
  <c r="B1993" i="1"/>
  <c r="G1992" i="1"/>
  <c r="F1992" i="1"/>
  <c r="E1992" i="1"/>
  <c r="D1992" i="1"/>
  <c r="C1992" i="1"/>
  <c r="B1992" i="1"/>
  <c r="G1991" i="1"/>
  <c r="F1991" i="1"/>
  <c r="E1991" i="1"/>
  <c r="D1991" i="1"/>
  <c r="C1991" i="1"/>
  <c r="B1991" i="1"/>
  <c r="G1990" i="1"/>
  <c r="F1990" i="1"/>
  <c r="E1990" i="1"/>
  <c r="D1990" i="1"/>
  <c r="C1990" i="1"/>
  <c r="B1990" i="1"/>
  <c r="G1989" i="1"/>
  <c r="F1989" i="1"/>
  <c r="E1989" i="1"/>
  <c r="D1989" i="1"/>
  <c r="C1989" i="1"/>
  <c r="B1989" i="1"/>
  <c r="G1988" i="1"/>
  <c r="F1988" i="1"/>
  <c r="E1988" i="1"/>
  <c r="D1988" i="1"/>
  <c r="C1988" i="1"/>
  <c r="B1988" i="1"/>
  <c r="G1987" i="1"/>
  <c r="F1987" i="1"/>
  <c r="E1987" i="1"/>
  <c r="D1987" i="1"/>
  <c r="C1987" i="1"/>
  <c r="B1987" i="1"/>
  <c r="G1986" i="1"/>
  <c r="F1986" i="1"/>
  <c r="E1986" i="1"/>
  <c r="D1986" i="1"/>
  <c r="C1986" i="1"/>
  <c r="B1986" i="1"/>
  <c r="G1985" i="1"/>
  <c r="F1985" i="1"/>
  <c r="E1985" i="1"/>
  <c r="D1985" i="1"/>
  <c r="C1985" i="1"/>
  <c r="B1985" i="1"/>
  <c r="G1984" i="1"/>
  <c r="F1984" i="1"/>
  <c r="E1984" i="1"/>
  <c r="D1984" i="1"/>
  <c r="C1984" i="1"/>
  <c r="B1984" i="1"/>
  <c r="G1983" i="1"/>
  <c r="F1983" i="1"/>
  <c r="E1983" i="1"/>
  <c r="D1983" i="1"/>
  <c r="C1983" i="1"/>
  <c r="B1983" i="1"/>
  <c r="G1982" i="1"/>
  <c r="F1982" i="1"/>
  <c r="E1982" i="1"/>
  <c r="D1982" i="1"/>
  <c r="C1982" i="1"/>
  <c r="B1982" i="1"/>
  <c r="G1981" i="1"/>
  <c r="F1981" i="1"/>
  <c r="E1981" i="1"/>
  <c r="D1981" i="1"/>
  <c r="C1981" i="1"/>
  <c r="B1981" i="1"/>
  <c r="G1980" i="1"/>
  <c r="F1980" i="1"/>
  <c r="E1980" i="1"/>
  <c r="D1980" i="1"/>
  <c r="C1980" i="1"/>
  <c r="B1980" i="1"/>
  <c r="G1979" i="1"/>
  <c r="F1979" i="1"/>
  <c r="E1979" i="1"/>
  <c r="D1979" i="1"/>
  <c r="C1979" i="1"/>
  <c r="B1979" i="1"/>
  <c r="G1978" i="1"/>
  <c r="F1978" i="1"/>
  <c r="E1978" i="1"/>
  <c r="D1978" i="1"/>
  <c r="C1978" i="1"/>
  <c r="B1978" i="1"/>
  <c r="G1977" i="1"/>
  <c r="F1977" i="1"/>
  <c r="E1977" i="1"/>
  <c r="D1977" i="1"/>
  <c r="C1977" i="1"/>
  <c r="B1977" i="1"/>
  <c r="G1976" i="1"/>
  <c r="F1976" i="1"/>
  <c r="E1976" i="1"/>
  <c r="D1976" i="1"/>
  <c r="C1976" i="1"/>
  <c r="B1976" i="1"/>
  <c r="G1975" i="1"/>
  <c r="F1975" i="1"/>
  <c r="E1975" i="1"/>
  <c r="D1975" i="1"/>
  <c r="C1975" i="1"/>
  <c r="B1975" i="1"/>
  <c r="G1974" i="1"/>
  <c r="F1974" i="1"/>
  <c r="E1974" i="1"/>
  <c r="D1974" i="1"/>
  <c r="C1974" i="1"/>
  <c r="B1974" i="1"/>
  <c r="G1973" i="1"/>
  <c r="F1973" i="1"/>
  <c r="E1973" i="1"/>
  <c r="D1973" i="1"/>
  <c r="C1973" i="1"/>
  <c r="B1973" i="1"/>
  <c r="G1972" i="1"/>
  <c r="F1972" i="1"/>
  <c r="E1972" i="1"/>
  <c r="D1972" i="1"/>
  <c r="C1972" i="1"/>
  <c r="B1972" i="1"/>
  <c r="G1971" i="1"/>
  <c r="F1971" i="1"/>
  <c r="E1971" i="1"/>
  <c r="D1971" i="1"/>
  <c r="C1971" i="1"/>
  <c r="B1971" i="1"/>
  <c r="G1970" i="1"/>
  <c r="F1970" i="1"/>
  <c r="E1970" i="1"/>
  <c r="D1970" i="1"/>
  <c r="C1970" i="1"/>
  <c r="B1970" i="1"/>
  <c r="G1969" i="1"/>
  <c r="F1969" i="1"/>
  <c r="E1969" i="1"/>
  <c r="D1969" i="1"/>
  <c r="C1969" i="1"/>
  <c r="B1969" i="1"/>
  <c r="G1968" i="1"/>
  <c r="F1968" i="1"/>
  <c r="E1968" i="1"/>
  <c r="D1968" i="1"/>
  <c r="C1968" i="1"/>
  <c r="B1968" i="1"/>
  <c r="G1967" i="1"/>
  <c r="F1967" i="1"/>
  <c r="E1967" i="1"/>
  <c r="D1967" i="1"/>
  <c r="C1967" i="1"/>
  <c r="B1967" i="1"/>
  <c r="G1966" i="1"/>
  <c r="F1966" i="1"/>
  <c r="E1966" i="1"/>
  <c r="D1966" i="1"/>
  <c r="C1966" i="1"/>
  <c r="B1966" i="1"/>
  <c r="G1965" i="1"/>
  <c r="F1965" i="1"/>
  <c r="E1965" i="1"/>
  <c r="D1965" i="1"/>
  <c r="C1965" i="1"/>
  <c r="B1965" i="1"/>
  <c r="G1964" i="1"/>
  <c r="F1964" i="1"/>
  <c r="E1964" i="1"/>
  <c r="D1964" i="1"/>
  <c r="C1964" i="1"/>
  <c r="B1964" i="1"/>
  <c r="G1963" i="1"/>
  <c r="F1963" i="1"/>
  <c r="E1963" i="1"/>
  <c r="D1963" i="1"/>
  <c r="C1963" i="1"/>
  <c r="B1963" i="1"/>
  <c r="G1962" i="1"/>
  <c r="F1962" i="1"/>
  <c r="E1962" i="1"/>
  <c r="D1962" i="1"/>
  <c r="C1962" i="1"/>
  <c r="B1962" i="1"/>
  <c r="G1961" i="1"/>
  <c r="F1961" i="1"/>
  <c r="E1961" i="1"/>
  <c r="D1961" i="1"/>
  <c r="C1961" i="1"/>
  <c r="B1961" i="1"/>
  <c r="G1960" i="1"/>
  <c r="F1960" i="1"/>
  <c r="E1960" i="1"/>
  <c r="D1960" i="1"/>
  <c r="C1960" i="1"/>
  <c r="B1960" i="1"/>
  <c r="G1959" i="1"/>
  <c r="F1959" i="1"/>
  <c r="E1959" i="1"/>
  <c r="D1959" i="1"/>
  <c r="C1959" i="1"/>
  <c r="B1959" i="1"/>
  <c r="G1958" i="1"/>
  <c r="F1958" i="1"/>
  <c r="E1958" i="1"/>
  <c r="D1958" i="1"/>
  <c r="C1958" i="1"/>
  <c r="B1958" i="1"/>
  <c r="G1957" i="1"/>
  <c r="F1957" i="1"/>
  <c r="E1957" i="1"/>
  <c r="D1957" i="1"/>
  <c r="C1957" i="1"/>
  <c r="B1957" i="1"/>
  <c r="G1956" i="1"/>
  <c r="F1956" i="1"/>
  <c r="E1956" i="1"/>
  <c r="D1956" i="1"/>
  <c r="C1956" i="1"/>
  <c r="B1956" i="1"/>
  <c r="G1955" i="1"/>
  <c r="F1955" i="1"/>
  <c r="E1955" i="1"/>
  <c r="D1955" i="1"/>
  <c r="C1955" i="1"/>
  <c r="B1955" i="1"/>
  <c r="G1954" i="1"/>
  <c r="F1954" i="1"/>
  <c r="E1954" i="1"/>
  <c r="D1954" i="1"/>
  <c r="C1954" i="1"/>
  <c r="B1954" i="1"/>
  <c r="G1953" i="1"/>
  <c r="F1953" i="1"/>
  <c r="E1953" i="1"/>
  <c r="D1953" i="1"/>
  <c r="C1953" i="1"/>
  <c r="B1953" i="1"/>
  <c r="G1952" i="1"/>
  <c r="F1952" i="1"/>
  <c r="E1952" i="1"/>
  <c r="D1952" i="1"/>
  <c r="C1952" i="1"/>
  <c r="B1952" i="1"/>
  <c r="G1951" i="1"/>
  <c r="F1951" i="1"/>
  <c r="E1951" i="1"/>
  <c r="D1951" i="1"/>
  <c r="C1951" i="1"/>
  <c r="B1951" i="1"/>
  <c r="G1950" i="1"/>
  <c r="F1950" i="1"/>
  <c r="E1950" i="1"/>
  <c r="D1950" i="1"/>
  <c r="C1950" i="1"/>
  <c r="B1950" i="1"/>
  <c r="G1949" i="1"/>
  <c r="F1949" i="1"/>
  <c r="E1949" i="1"/>
  <c r="D1949" i="1"/>
  <c r="C1949" i="1"/>
  <c r="B1949" i="1"/>
  <c r="G1948" i="1"/>
  <c r="F1948" i="1"/>
  <c r="E1948" i="1"/>
  <c r="D1948" i="1"/>
  <c r="C1948" i="1"/>
  <c r="B1948" i="1"/>
  <c r="G1947" i="1"/>
  <c r="F1947" i="1"/>
  <c r="E1947" i="1"/>
  <c r="D1947" i="1"/>
  <c r="C1947" i="1"/>
  <c r="B1947" i="1"/>
  <c r="G1946" i="1"/>
  <c r="F1946" i="1"/>
  <c r="E1946" i="1"/>
  <c r="D1946" i="1"/>
  <c r="C1946" i="1"/>
  <c r="B1946" i="1"/>
  <c r="G1945" i="1"/>
  <c r="F1945" i="1"/>
  <c r="E1945" i="1"/>
  <c r="D1945" i="1"/>
  <c r="C1945" i="1"/>
  <c r="B1945" i="1"/>
  <c r="G1944" i="1"/>
  <c r="F1944" i="1"/>
  <c r="E1944" i="1"/>
  <c r="D1944" i="1"/>
  <c r="C1944" i="1"/>
  <c r="B1944" i="1"/>
  <c r="G1943" i="1"/>
  <c r="F1943" i="1"/>
  <c r="E1943" i="1"/>
  <c r="D1943" i="1"/>
  <c r="C1943" i="1"/>
  <c r="B1943" i="1"/>
  <c r="G1942" i="1"/>
  <c r="F1942" i="1"/>
  <c r="E1942" i="1"/>
  <c r="D1942" i="1"/>
  <c r="C1942" i="1"/>
  <c r="B1942" i="1"/>
  <c r="G1941" i="1"/>
  <c r="F1941" i="1"/>
  <c r="E1941" i="1"/>
  <c r="D1941" i="1"/>
  <c r="C1941" i="1"/>
  <c r="B1941" i="1"/>
  <c r="G1940" i="1"/>
  <c r="F1940" i="1"/>
  <c r="E1940" i="1"/>
  <c r="D1940" i="1"/>
  <c r="C1940" i="1"/>
  <c r="B1940" i="1"/>
  <c r="G1939" i="1"/>
  <c r="F1939" i="1"/>
  <c r="E1939" i="1"/>
  <c r="D1939" i="1"/>
  <c r="C1939" i="1"/>
  <c r="B1939" i="1"/>
  <c r="G1938" i="1"/>
  <c r="F1938" i="1"/>
  <c r="E1938" i="1"/>
  <c r="D1938" i="1"/>
  <c r="C1938" i="1"/>
  <c r="B1938" i="1"/>
  <c r="G1937" i="1"/>
  <c r="F1937" i="1"/>
  <c r="E1937" i="1"/>
  <c r="D1937" i="1"/>
  <c r="C1937" i="1"/>
  <c r="B1937" i="1"/>
  <c r="G1936" i="1"/>
  <c r="F1936" i="1"/>
  <c r="E1936" i="1"/>
  <c r="D1936" i="1"/>
  <c r="C1936" i="1"/>
  <c r="B1936" i="1"/>
  <c r="G1935" i="1"/>
  <c r="F1935" i="1"/>
  <c r="E1935" i="1"/>
  <c r="D1935" i="1"/>
  <c r="C1935" i="1"/>
  <c r="B1935" i="1"/>
  <c r="G1934" i="1"/>
  <c r="F1934" i="1"/>
  <c r="E1934" i="1"/>
  <c r="D1934" i="1"/>
  <c r="C1934" i="1"/>
  <c r="B1934" i="1"/>
  <c r="G1933" i="1"/>
  <c r="F1933" i="1"/>
  <c r="E1933" i="1"/>
  <c r="D1933" i="1"/>
  <c r="C1933" i="1"/>
  <c r="B1933" i="1"/>
  <c r="G1932" i="1"/>
  <c r="F1932" i="1"/>
  <c r="E1932" i="1"/>
  <c r="D1932" i="1"/>
  <c r="C1932" i="1"/>
  <c r="B1932" i="1"/>
  <c r="G1931" i="1"/>
  <c r="F1931" i="1"/>
  <c r="E1931" i="1"/>
  <c r="D1931" i="1"/>
  <c r="C1931" i="1"/>
  <c r="B1931" i="1"/>
  <c r="G1930" i="1"/>
  <c r="F1930" i="1"/>
  <c r="E1930" i="1"/>
  <c r="D1930" i="1"/>
  <c r="C1930" i="1"/>
  <c r="B1930" i="1"/>
  <c r="G1929" i="1"/>
  <c r="F1929" i="1"/>
  <c r="E1929" i="1"/>
  <c r="D1929" i="1"/>
  <c r="C1929" i="1"/>
  <c r="B1929" i="1"/>
  <c r="G1928" i="1"/>
  <c r="F1928" i="1"/>
  <c r="E1928" i="1"/>
  <c r="D1928" i="1"/>
  <c r="C1928" i="1"/>
  <c r="B1928" i="1"/>
  <c r="G1927" i="1"/>
  <c r="F1927" i="1"/>
  <c r="E1927" i="1"/>
  <c r="D1927" i="1"/>
  <c r="C1927" i="1"/>
  <c r="B1927" i="1"/>
  <c r="G1926" i="1"/>
  <c r="F1926" i="1"/>
  <c r="E1926" i="1"/>
  <c r="D1926" i="1"/>
  <c r="C1926" i="1"/>
  <c r="B1926" i="1"/>
  <c r="G1925" i="1"/>
  <c r="F1925" i="1"/>
  <c r="E1925" i="1"/>
  <c r="D1925" i="1"/>
  <c r="C1925" i="1"/>
  <c r="B1925" i="1"/>
  <c r="G1924" i="1"/>
  <c r="F1924" i="1"/>
  <c r="E1924" i="1"/>
  <c r="D1924" i="1"/>
  <c r="C1924" i="1"/>
  <c r="B1924" i="1"/>
  <c r="G1923" i="1"/>
  <c r="F1923" i="1"/>
  <c r="E1923" i="1"/>
  <c r="D1923" i="1"/>
  <c r="C1923" i="1"/>
  <c r="B1923" i="1"/>
  <c r="G1922" i="1"/>
  <c r="F1922" i="1"/>
  <c r="E1922" i="1"/>
  <c r="D1922" i="1"/>
  <c r="C1922" i="1"/>
  <c r="B1922" i="1"/>
  <c r="G1921" i="1"/>
  <c r="F1921" i="1"/>
  <c r="E1921" i="1"/>
  <c r="D1921" i="1"/>
  <c r="C1921" i="1"/>
  <c r="B1921" i="1"/>
  <c r="G1920" i="1"/>
  <c r="F1920" i="1"/>
  <c r="E1920" i="1"/>
  <c r="D1920" i="1"/>
  <c r="C1920" i="1"/>
  <c r="B1920" i="1"/>
  <c r="G1919" i="1"/>
  <c r="F1919" i="1"/>
  <c r="E1919" i="1"/>
  <c r="D1919" i="1"/>
  <c r="C1919" i="1"/>
  <c r="B1919" i="1"/>
  <c r="G1918" i="1"/>
  <c r="F1918" i="1"/>
  <c r="E1918" i="1"/>
  <c r="D1918" i="1"/>
  <c r="C1918" i="1"/>
  <c r="B1918" i="1"/>
  <c r="G1917" i="1"/>
  <c r="F1917" i="1"/>
  <c r="E1917" i="1"/>
  <c r="D1917" i="1"/>
  <c r="C1917" i="1"/>
  <c r="B1917" i="1"/>
  <c r="G1916" i="1"/>
  <c r="F1916" i="1"/>
  <c r="E1916" i="1"/>
  <c r="D1916" i="1"/>
  <c r="C1916" i="1"/>
  <c r="B1916" i="1"/>
  <c r="G1915" i="1"/>
  <c r="F1915" i="1"/>
  <c r="E1915" i="1"/>
  <c r="D1915" i="1"/>
  <c r="C1915" i="1"/>
  <c r="B1915" i="1"/>
  <c r="G1914" i="1"/>
  <c r="F1914" i="1"/>
  <c r="E1914" i="1"/>
  <c r="D1914" i="1"/>
  <c r="C1914" i="1"/>
  <c r="B1914" i="1"/>
  <c r="G1913" i="1"/>
  <c r="F1913" i="1"/>
  <c r="E1913" i="1"/>
  <c r="D1913" i="1"/>
  <c r="C1913" i="1"/>
  <c r="B1913" i="1"/>
  <c r="G1912" i="1"/>
  <c r="F1912" i="1"/>
  <c r="E1912" i="1"/>
  <c r="D1912" i="1"/>
  <c r="C1912" i="1"/>
  <c r="B1912" i="1"/>
  <c r="G1911" i="1"/>
  <c r="F1911" i="1"/>
  <c r="E1911" i="1"/>
  <c r="D1911" i="1"/>
  <c r="C1911" i="1"/>
  <c r="B1911" i="1"/>
  <c r="G1910" i="1"/>
  <c r="F1910" i="1"/>
  <c r="E1910" i="1"/>
  <c r="D1910" i="1"/>
  <c r="C1910" i="1"/>
  <c r="B1910" i="1"/>
  <c r="G1909" i="1"/>
  <c r="F1909" i="1"/>
  <c r="E1909" i="1"/>
  <c r="D1909" i="1"/>
  <c r="C1909" i="1"/>
  <c r="B1909" i="1"/>
  <c r="G1908" i="1"/>
  <c r="F1908" i="1"/>
  <c r="E1908" i="1"/>
  <c r="D1908" i="1"/>
  <c r="C1908" i="1"/>
  <c r="B1908" i="1"/>
  <c r="G1907" i="1"/>
  <c r="F1907" i="1"/>
  <c r="E1907" i="1"/>
  <c r="D1907" i="1"/>
  <c r="C1907" i="1"/>
  <c r="B1907" i="1"/>
  <c r="G1906" i="1"/>
  <c r="F1906" i="1"/>
  <c r="E1906" i="1"/>
  <c r="D1906" i="1"/>
  <c r="C1906" i="1"/>
  <c r="B1906" i="1"/>
  <c r="G1905" i="1"/>
  <c r="F1905" i="1"/>
  <c r="E1905" i="1"/>
  <c r="D1905" i="1"/>
  <c r="C1905" i="1"/>
  <c r="B1905" i="1"/>
  <c r="G1904" i="1"/>
  <c r="F1904" i="1"/>
  <c r="E1904" i="1"/>
  <c r="D1904" i="1"/>
  <c r="C1904" i="1"/>
  <c r="B1904" i="1"/>
  <c r="G1903" i="1"/>
  <c r="F1903" i="1"/>
  <c r="E1903" i="1"/>
  <c r="D1903" i="1"/>
  <c r="C1903" i="1"/>
  <c r="B1903" i="1"/>
  <c r="G1902" i="1"/>
  <c r="F1902" i="1"/>
  <c r="E1902" i="1"/>
  <c r="D1902" i="1"/>
  <c r="C1902" i="1"/>
  <c r="B1902" i="1"/>
  <c r="G1901" i="1"/>
  <c r="F1901" i="1"/>
  <c r="E1901" i="1"/>
  <c r="D1901" i="1"/>
  <c r="C1901" i="1"/>
  <c r="B1901" i="1"/>
  <c r="G1900" i="1"/>
  <c r="F1900" i="1"/>
  <c r="E1900" i="1"/>
  <c r="D1900" i="1"/>
  <c r="C1900" i="1"/>
  <c r="B1900" i="1"/>
  <c r="G1899" i="1"/>
  <c r="F1899" i="1"/>
  <c r="E1899" i="1"/>
  <c r="D1899" i="1"/>
  <c r="C1899" i="1"/>
  <c r="B1899" i="1"/>
  <c r="G1898" i="1"/>
  <c r="F1898" i="1"/>
  <c r="E1898" i="1"/>
  <c r="D1898" i="1"/>
  <c r="C1898" i="1"/>
  <c r="B1898" i="1"/>
  <c r="G1897" i="1"/>
  <c r="F1897" i="1"/>
  <c r="E1897" i="1"/>
  <c r="D1897" i="1"/>
  <c r="C1897" i="1"/>
  <c r="B1897" i="1"/>
  <c r="G1896" i="1"/>
  <c r="F1896" i="1"/>
  <c r="E1896" i="1"/>
  <c r="D1896" i="1"/>
  <c r="C1896" i="1"/>
  <c r="B1896" i="1"/>
  <c r="G1895" i="1"/>
  <c r="F1895" i="1"/>
  <c r="E1895" i="1"/>
  <c r="D1895" i="1"/>
  <c r="C1895" i="1"/>
  <c r="B1895" i="1"/>
  <c r="G1894" i="1"/>
  <c r="F1894" i="1"/>
  <c r="E1894" i="1"/>
  <c r="D1894" i="1"/>
  <c r="C1894" i="1"/>
  <c r="B1894" i="1"/>
  <c r="G1893" i="1"/>
  <c r="F1893" i="1"/>
  <c r="E1893" i="1"/>
  <c r="D1893" i="1"/>
  <c r="C1893" i="1"/>
  <c r="B1893" i="1"/>
  <c r="G1892" i="1"/>
  <c r="F1892" i="1"/>
  <c r="E1892" i="1"/>
  <c r="D1892" i="1"/>
  <c r="C1892" i="1"/>
  <c r="B1892" i="1"/>
  <c r="G1891" i="1"/>
  <c r="F1891" i="1"/>
  <c r="E1891" i="1"/>
  <c r="D1891" i="1"/>
  <c r="C1891" i="1"/>
  <c r="B1891" i="1"/>
  <c r="G1890" i="1"/>
  <c r="F1890" i="1"/>
  <c r="E1890" i="1"/>
  <c r="D1890" i="1"/>
  <c r="C1890" i="1"/>
  <c r="B1890" i="1"/>
  <c r="G1889" i="1"/>
  <c r="F1889" i="1"/>
  <c r="E1889" i="1"/>
  <c r="D1889" i="1"/>
  <c r="C1889" i="1"/>
  <c r="B1889" i="1"/>
  <c r="G1888" i="1"/>
  <c r="F1888" i="1"/>
  <c r="E1888" i="1"/>
  <c r="D1888" i="1"/>
  <c r="C1888" i="1"/>
  <c r="B1888" i="1"/>
  <c r="G1887" i="1"/>
  <c r="F1887" i="1"/>
  <c r="E1887" i="1"/>
  <c r="D1887" i="1"/>
  <c r="C1887" i="1"/>
  <c r="B1887" i="1"/>
  <c r="G1886" i="1"/>
  <c r="F1886" i="1"/>
  <c r="E1886" i="1"/>
  <c r="D1886" i="1"/>
  <c r="C1886" i="1"/>
  <c r="B1886" i="1"/>
  <c r="G1885" i="1"/>
  <c r="F1885" i="1"/>
  <c r="E1885" i="1"/>
  <c r="D1885" i="1"/>
  <c r="C1885" i="1"/>
  <c r="B1885" i="1"/>
  <c r="G1884" i="1"/>
  <c r="F1884" i="1"/>
  <c r="E1884" i="1"/>
  <c r="D1884" i="1"/>
  <c r="C1884" i="1"/>
  <c r="B1884" i="1"/>
  <c r="G1883" i="1"/>
  <c r="F1883" i="1"/>
  <c r="E1883" i="1"/>
  <c r="D1883" i="1"/>
  <c r="C1883" i="1"/>
  <c r="B1883" i="1"/>
  <c r="G1882" i="1"/>
  <c r="F1882" i="1"/>
  <c r="E1882" i="1"/>
  <c r="D1882" i="1"/>
  <c r="C1882" i="1"/>
  <c r="B1882" i="1"/>
  <c r="G1881" i="1"/>
  <c r="F1881" i="1"/>
  <c r="E1881" i="1"/>
  <c r="D1881" i="1"/>
  <c r="C1881" i="1"/>
  <c r="B1881" i="1"/>
  <c r="G1880" i="1"/>
  <c r="F1880" i="1"/>
  <c r="E1880" i="1"/>
  <c r="D1880" i="1"/>
  <c r="C1880" i="1"/>
  <c r="B1880" i="1"/>
  <c r="G1879" i="1"/>
  <c r="F1879" i="1"/>
  <c r="E1879" i="1"/>
  <c r="D1879" i="1"/>
  <c r="C1879" i="1"/>
  <c r="B1879" i="1"/>
  <c r="G1878" i="1"/>
  <c r="F1878" i="1"/>
  <c r="E1878" i="1"/>
  <c r="D1878" i="1"/>
  <c r="C1878" i="1"/>
  <c r="B1878" i="1"/>
  <c r="G1877" i="1"/>
  <c r="F1877" i="1"/>
  <c r="E1877" i="1"/>
  <c r="D1877" i="1"/>
  <c r="C1877" i="1"/>
  <c r="B1877" i="1"/>
  <c r="G1876" i="1"/>
  <c r="F1876" i="1"/>
  <c r="E1876" i="1"/>
  <c r="D1876" i="1"/>
  <c r="C1876" i="1"/>
  <c r="B1876" i="1"/>
  <c r="G1875" i="1"/>
  <c r="F1875" i="1"/>
  <c r="E1875" i="1"/>
  <c r="D1875" i="1"/>
  <c r="C1875" i="1"/>
  <c r="B1875" i="1"/>
  <c r="G1874" i="1"/>
  <c r="F1874" i="1"/>
  <c r="E1874" i="1"/>
  <c r="D1874" i="1"/>
  <c r="C1874" i="1"/>
  <c r="B1874" i="1"/>
  <c r="G1873" i="1"/>
  <c r="F1873" i="1"/>
  <c r="E1873" i="1"/>
  <c r="D1873" i="1"/>
  <c r="C1873" i="1"/>
  <c r="B1873" i="1"/>
  <c r="G1872" i="1"/>
  <c r="F1872" i="1"/>
  <c r="E1872" i="1"/>
  <c r="D1872" i="1"/>
  <c r="C1872" i="1"/>
  <c r="B1872" i="1"/>
  <c r="G1871" i="1"/>
  <c r="F1871" i="1"/>
  <c r="E1871" i="1"/>
  <c r="D1871" i="1"/>
  <c r="C1871" i="1"/>
  <c r="B1871" i="1"/>
  <c r="G1870" i="1"/>
  <c r="F1870" i="1"/>
  <c r="E1870" i="1"/>
  <c r="D1870" i="1"/>
  <c r="C1870" i="1"/>
  <c r="B1870" i="1"/>
  <c r="G1869" i="1"/>
  <c r="F1869" i="1"/>
  <c r="E1869" i="1"/>
  <c r="D1869" i="1"/>
  <c r="C1869" i="1"/>
  <c r="B1869" i="1"/>
  <c r="G1868" i="1"/>
  <c r="F1868" i="1"/>
  <c r="E1868" i="1"/>
  <c r="D1868" i="1"/>
  <c r="C1868" i="1"/>
  <c r="B1868" i="1"/>
  <c r="G1867" i="1"/>
  <c r="F1867" i="1"/>
  <c r="E1867" i="1"/>
  <c r="D1867" i="1"/>
  <c r="C1867" i="1"/>
  <c r="B1867" i="1"/>
  <c r="G1866" i="1"/>
  <c r="F1866" i="1"/>
  <c r="E1866" i="1"/>
  <c r="D1866" i="1"/>
  <c r="C1866" i="1"/>
  <c r="B1866" i="1"/>
  <c r="G1865" i="1"/>
  <c r="F1865" i="1"/>
  <c r="E1865" i="1"/>
  <c r="D1865" i="1"/>
  <c r="C1865" i="1"/>
  <c r="B1865" i="1"/>
  <c r="G1864" i="1"/>
  <c r="F1864" i="1"/>
  <c r="E1864" i="1"/>
  <c r="D1864" i="1"/>
  <c r="C1864" i="1"/>
  <c r="B1864" i="1"/>
  <c r="G1863" i="1"/>
  <c r="F1863" i="1"/>
  <c r="E1863" i="1"/>
  <c r="D1863" i="1"/>
  <c r="C1863" i="1"/>
  <c r="B1863" i="1"/>
  <c r="G1862" i="1"/>
  <c r="F1862" i="1"/>
  <c r="E1862" i="1"/>
  <c r="D1862" i="1"/>
  <c r="C1862" i="1"/>
  <c r="B1862" i="1"/>
  <c r="G1861" i="1"/>
  <c r="F1861" i="1"/>
  <c r="E1861" i="1"/>
  <c r="D1861" i="1"/>
  <c r="C1861" i="1"/>
  <c r="B1861" i="1"/>
  <c r="G1860" i="1"/>
  <c r="F1860" i="1"/>
  <c r="E1860" i="1"/>
  <c r="D1860" i="1"/>
  <c r="C1860" i="1"/>
  <c r="B1860" i="1"/>
  <c r="G1859" i="1"/>
  <c r="F1859" i="1"/>
  <c r="E1859" i="1"/>
  <c r="D1859" i="1"/>
  <c r="C1859" i="1"/>
  <c r="B1859" i="1"/>
  <c r="G1858" i="1"/>
  <c r="F1858" i="1"/>
  <c r="E1858" i="1"/>
  <c r="D1858" i="1"/>
  <c r="C1858" i="1"/>
  <c r="B1858" i="1"/>
  <c r="G1857" i="1"/>
  <c r="F1857" i="1"/>
  <c r="E1857" i="1"/>
  <c r="D1857" i="1"/>
  <c r="C1857" i="1"/>
  <c r="B1857" i="1"/>
  <c r="G1856" i="1"/>
  <c r="F1856" i="1"/>
  <c r="E1856" i="1"/>
  <c r="D1856" i="1"/>
  <c r="C1856" i="1"/>
  <c r="B1856" i="1"/>
  <c r="G1855" i="1"/>
  <c r="F1855" i="1"/>
  <c r="E1855" i="1"/>
  <c r="D1855" i="1"/>
  <c r="C1855" i="1"/>
  <c r="B1855" i="1"/>
  <c r="G1854" i="1"/>
  <c r="F1854" i="1"/>
  <c r="E1854" i="1"/>
  <c r="D1854" i="1"/>
  <c r="C1854" i="1"/>
  <c r="B1854" i="1"/>
  <c r="G1853" i="1"/>
  <c r="F1853" i="1"/>
  <c r="E1853" i="1"/>
  <c r="D1853" i="1"/>
  <c r="C1853" i="1"/>
  <c r="B1853" i="1"/>
  <c r="G1852" i="1"/>
  <c r="F1852" i="1"/>
  <c r="E1852" i="1"/>
  <c r="D1852" i="1"/>
  <c r="C1852" i="1"/>
  <c r="B1852" i="1"/>
  <c r="G1851" i="1"/>
  <c r="F1851" i="1"/>
  <c r="E1851" i="1"/>
  <c r="D1851" i="1"/>
  <c r="C1851" i="1"/>
  <c r="B1851" i="1"/>
  <c r="G1850" i="1"/>
  <c r="F1850" i="1"/>
  <c r="E1850" i="1"/>
  <c r="D1850" i="1"/>
  <c r="C1850" i="1"/>
  <c r="B1850" i="1"/>
  <c r="G1849" i="1"/>
  <c r="F1849" i="1"/>
  <c r="E1849" i="1"/>
  <c r="D1849" i="1"/>
  <c r="C1849" i="1"/>
  <c r="B1849" i="1"/>
  <c r="G1848" i="1"/>
  <c r="F1848" i="1"/>
  <c r="E1848" i="1"/>
  <c r="D1848" i="1"/>
  <c r="C1848" i="1"/>
  <c r="B1848" i="1"/>
  <c r="G1847" i="1"/>
  <c r="F1847" i="1"/>
  <c r="E1847" i="1"/>
  <c r="D1847" i="1"/>
  <c r="C1847" i="1"/>
  <c r="B1847" i="1"/>
  <c r="G1846" i="1"/>
  <c r="F1846" i="1"/>
  <c r="E1846" i="1"/>
  <c r="D1846" i="1"/>
  <c r="C1846" i="1"/>
  <c r="B1846" i="1"/>
  <c r="G1845" i="1"/>
  <c r="F1845" i="1"/>
  <c r="E1845" i="1"/>
  <c r="D1845" i="1"/>
  <c r="C1845" i="1"/>
  <c r="B1845" i="1"/>
  <c r="G1844" i="1"/>
  <c r="F1844" i="1"/>
  <c r="E1844" i="1"/>
  <c r="D1844" i="1"/>
  <c r="C1844" i="1"/>
  <c r="B1844" i="1"/>
  <c r="G1843" i="1"/>
  <c r="F1843" i="1"/>
  <c r="E1843" i="1"/>
  <c r="D1843" i="1"/>
  <c r="C1843" i="1"/>
  <c r="B1843" i="1"/>
  <c r="G1842" i="1"/>
  <c r="F1842" i="1"/>
  <c r="E1842" i="1"/>
  <c r="D1842" i="1"/>
  <c r="C1842" i="1"/>
  <c r="B1842" i="1"/>
  <c r="G1841" i="1"/>
  <c r="F1841" i="1"/>
  <c r="E1841" i="1"/>
  <c r="D1841" i="1"/>
  <c r="C1841" i="1"/>
  <c r="B1841" i="1"/>
  <c r="G1840" i="1"/>
  <c r="F1840" i="1"/>
  <c r="E1840" i="1"/>
  <c r="D1840" i="1"/>
  <c r="C1840" i="1"/>
  <c r="B1840" i="1"/>
  <c r="G1839" i="1"/>
  <c r="F1839" i="1"/>
  <c r="E1839" i="1"/>
  <c r="D1839" i="1"/>
  <c r="C1839" i="1"/>
  <c r="B1839" i="1"/>
  <c r="G1838" i="1"/>
  <c r="F1838" i="1"/>
  <c r="E1838" i="1"/>
  <c r="D1838" i="1"/>
  <c r="C1838" i="1"/>
  <c r="B1838" i="1"/>
  <c r="G1837" i="1"/>
  <c r="F1837" i="1"/>
  <c r="E1837" i="1"/>
  <c r="D1837" i="1"/>
  <c r="C1837" i="1"/>
  <c r="B1837" i="1"/>
  <c r="G1836" i="1"/>
  <c r="F1836" i="1"/>
  <c r="E1836" i="1"/>
  <c r="D1836" i="1"/>
  <c r="C1836" i="1"/>
  <c r="B1836" i="1"/>
  <c r="G1835" i="1"/>
  <c r="F1835" i="1"/>
  <c r="E1835" i="1"/>
  <c r="D1835" i="1"/>
  <c r="C1835" i="1"/>
  <c r="B1835" i="1"/>
  <c r="G1834" i="1"/>
  <c r="F1834" i="1"/>
  <c r="E1834" i="1"/>
  <c r="D1834" i="1"/>
  <c r="C1834" i="1"/>
  <c r="B1834" i="1"/>
  <c r="G1833" i="1"/>
  <c r="F1833" i="1"/>
  <c r="E1833" i="1"/>
  <c r="D1833" i="1"/>
  <c r="C1833" i="1"/>
  <c r="B1833" i="1"/>
  <c r="G1832" i="1"/>
  <c r="F1832" i="1"/>
  <c r="E1832" i="1"/>
  <c r="D1832" i="1"/>
  <c r="C1832" i="1"/>
  <c r="B1832" i="1"/>
  <c r="G1831" i="1"/>
  <c r="F1831" i="1"/>
  <c r="E1831" i="1"/>
  <c r="D1831" i="1"/>
  <c r="C1831" i="1"/>
  <c r="B1831" i="1"/>
  <c r="G1830" i="1"/>
  <c r="F1830" i="1"/>
  <c r="E1830" i="1"/>
  <c r="D1830" i="1"/>
  <c r="C1830" i="1"/>
  <c r="B1830" i="1"/>
  <c r="G1829" i="1"/>
  <c r="F1829" i="1"/>
  <c r="E1829" i="1"/>
  <c r="D1829" i="1"/>
  <c r="C1829" i="1"/>
  <c r="B1829" i="1"/>
  <c r="G1828" i="1"/>
  <c r="F1828" i="1"/>
  <c r="E1828" i="1"/>
  <c r="D1828" i="1"/>
  <c r="C1828" i="1"/>
  <c r="B1828" i="1"/>
  <c r="G1827" i="1"/>
  <c r="F1827" i="1"/>
  <c r="E1827" i="1"/>
  <c r="D1827" i="1"/>
  <c r="C1827" i="1"/>
  <c r="B1827" i="1"/>
  <c r="G1826" i="1"/>
  <c r="F1826" i="1"/>
  <c r="E1826" i="1"/>
  <c r="D1826" i="1"/>
  <c r="C1826" i="1"/>
  <c r="B1826" i="1"/>
  <c r="G1825" i="1"/>
  <c r="F1825" i="1"/>
  <c r="E1825" i="1"/>
  <c r="D1825" i="1"/>
  <c r="C1825" i="1"/>
  <c r="B1825" i="1"/>
  <c r="G1824" i="1"/>
  <c r="F1824" i="1"/>
  <c r="E1824" i="1"/>
  <c r="D1824" i="1"/>
  <c r="C1824" i="1"/>
  <c r="B1824" i="1"/>
  <c r="G1823" i="1"/>
  <c r="F1823" i="1"/>
  <c r="E1823" i="1"/>
  <c r="D1823" i="1"/>
  <c r="C1823" i="1"/>
  <c r="B1823" i="1"/>
  <c r="G1822" i="1"/>
  <c r="F1822" i="1"/>
  <c r="E1822" i="1"/>
  <c r="D1822" i="1"/>
  <c r="C1822" i="1"/>
  <c r="B1822" i="1"/>
  <c r="G1821" i="1"/>
  <c r="F1821" i="1"/>
  <c r="E1821" i="1"/>
  <c r="D1821" i="1"/>
  <c r="C1821" i="1"/>
  <c r="B1821" i="1"/>
  <c r="G1820" i="1"/>
  <c r="F1820" i="1"/>
  <c r="E1820" i="1"/>
  <c r="D1820" i="1"/>
  <c r="C1820" i="1"/>
  <c r="B1820" i="1"/>
  <c r="G1819" i="1"/>
  <c r="F1819" i="1"/>
  <c r="E1819" i="1"/>
  <c r="D1819" i="1"/>
  <c r="C1819" i="1"/>
  <c r="B1819" i="1"/>
  <c r="G1818" i="1"/>
  <c r="F1818" i="1"/>
  <c r="E1818" i="1"/>
  <c r="D1818" i="1"/>
  <c r="C1818" i="1"/>
  <c r="B1818" i="1"/>
  <c r="G1817" i="1"/>
  <c r="F1817" i="1"/>
  <c r="E1817" i="1"/>
  <c r="D1817" i="1"/>
  <c r="C1817" i="1"/>
  <c r="B1817" i="1"/>
  <c r="G1816" i="1"/>
  <c r="F1816" i="1"/>
  <c r="E1816" i="1"/>
  <c r="D1816" i="1"/>
  <c r="C1816" i="1"/>
  <c r="B1816" i="1"/>
  <c r="G1815" i="1"/>
  <c r="F1815" i="1"/>
  <c r="E1815" i="1"/>
  <c r="D1815" i="1"/>
  <c r="C1815" i="1"/>
  <c r="B1815" i="1"/>
  <c r="G1814" i="1"/>
  <c r="F1814" i="1"/>
  <c r="E1814" i="1"/>
  <c r="D1814" i="1"/>
  <c r="C1814" i="1"/>
  <c r="B1814" i="1"/>
  <c r="G1813" i="1"/>
  <c r="F1813" i="1"/>
  <c r="E1813" i="1"/>
  <c r="D1813" i="1"/>
  <c r="C1813" i="1"/>
  <c r="B1813" i="1"/>
  <c r="G1812" i="1"/>
  <c r="F1812" i="1"/>
  <c r="E1812" i="1"/>
  <c r="D1812" i="1"/>
  <c r="C1812" i="1"/>
  <c r="B1812" i="1"/>
  <c r="G1811" i="1"/>
  <c r="F1811" i="1"/>
  <c r="E1811" i="1"/>
  <c r="D1811" i="1"/>
  <c r="C1811" i="1"/>
  <c r="B1811" i="1"/>
  <c r="G1810" i="1"/>
  <c r="F1810" i="1"/>
  <c r="E1810" i="1"/>
  <c r="D1810" i="1"/>
  <c r="C1810" i="1"/>
  <c r="B1810" i="1"/>
  <c r="G1809" i="1"/>
  <c r="F1809" i="1"/>
  <c r="E1809" i="1"/>
  <c r="D1809" i="1"/>
  <c r="C1809" i="1"/>
  <c r="B1809" i="1"/>
  <c r="G1808" i="1"/>
  <c r="F1808" i="1"/>
  <c r="E1808" i="1"/>
  <c r="D1808" i="1"/>
  <c r="C1808" i="1"/>
  <c r="B1808" i="1"/>
  <c r="G1807" i="1"/>
  <c r="F1807" i="1"/>
  <c r="E1807" i="1"/>
  <c r="D1807" i="1"/>
  <c r="C1807" i="1"/>
  <c r="B1807" i="1"/>
  <c r="G1806" i="1"/>
  <c r="F1806" i="1"/>
  <c r="E1806" i="1"/>
  <c r="D1806" i="1"/>
  <c r="C1806" i="1"/>
  <c r="B1806" i="1"/>
  <c r="G1805" i="1"/>
  <c r="F1805" i="1"/>
  <c r="E1805" i="1"/>
  <c r="D1805" i="1"/>
  <c r="C1805" i="1"/>
  <c r="B1805" i="1"/>
  <c r="G1804" i="1"/>
  <c r="F1804" i="1"/>
  <c r="E1804" i="1"/>
  <c r="D1804" i="1"/>
  <c r="C1804" i="1"/>
  <c r="B1804" i="1"/>
  <c r="G1803" i="1"/>
  <c r="F1803" i="1"/>
  <c r="E1803" i="1"/>
  <c r="D1803" i="1"/>
  <c r="C1803" i="1"/>
  <c r="B1803" i="1"/>
  <c r="G1802" i="1"/>
  <c r="F1802" i="1"/>
  <c r="E1802" i="1"/>
  <c r="D1802" i="1"/>
  <c r="C1802" i="1"/>
  <c r="B1802" i="1"/>
  <c r="G1801" i="1"/>
  <c r="F1801" i="1"/>
  <c r="E1801" i="1"/>
  <c r="D1801" i="1"/>
  <c r="C1801" i="1"/>
  <c r="B1801" i="1"/>
  <c r="G1800" i="1"/>
  <c r="F1800" i="1"/>
  <c r="E1800" i="1"/>
  <c r="D1800" i="1"/>
  <c r="C1800" i="1"/>
  <c r="B1800" i="1"/>
  <c r="G1799" i="1"/>
  <c r="F1799" i="1"/>
  <c r="E1799" i="1"/>
  <c r="D1799" i="1"/>
  <c r="C1799" i="1"/>
  <c r="B1799" i="1"/>
  <c r="G1798" i="1"/>
  <c r="F1798" i="1"/>
  <c r="E1798" i="1"/>
  <c r="D1798" i="1"/>
  <c r="C1798" i="1"/>
  <c r="B1798" i="1"/>
  <c r="G1797" i="1"/>
  <c r="F1797" i="1"/>
  <c r="E1797" i="1"/>
  <c r="D1797" i="1"/>
  <c r="C1797" i="1"/>
  <c r="B1797" i="1"/>
  <c r="G1796" i="1"/>
  <c r="F1796" i="1"/>
  <c r="E1796" i="1"/>
  <c r="D1796" i="1"/>
  <c r="C1796" i="1"/>
  <c r="B1796" i="1"/>
  <c r="G1795" i="1"/>
  <c r="F1795" i="1"/>
  <c r="E1795" i="1"/>
  <c r="D1795" i="1"/>
  <c r="C1795" i="1"/>
  <c r="B1795" i="1"/>
  <c r="G1794" i="1"/>
  <c r="F1794" i="1"/>
  <c r="E1794" i="1"/>
  <c r="D1794" i="1"/>
  <c r="C1794" i="1"/>
  <c r="B1794" i="1"/>
  <c r="G1793" i="1"/>
  <c r="F1793" i="1"/>
  <c r="E1793" i="1"/>
  <c r="D1793" i="1"/>
  <c r="C1793" i="1"/>
  <c r="B1793" i="1"/>
  <c r="G1792" i="1"/>
  <c r="F1792" i="1"/>
  <c r="E1792" i="1"/>
  <c r="D1792" i="1"/>
  <c r="C1792" i="1"/>
  <c r="B1792" i="1"/>
  <c r="G1791" i="1"/>
  <c r="F1791" i="1"/>
  <c r="E1791" i="1"/>
  <c r="D1791" i="1"/>
  <c r="C1791" i="1"/>
  <c r="B1791" i="1"/>
  <c r="G1790" i="1"/>
  <c r="F1790" i="1"/>
  <c r="E1790" i="1"/>
  <c r="D1790" i="1"/>
  <c r="C1790" i="1"/>
  <c r="B1790" i="1"/>
  <c r="G1789" i="1"/>
  <c r="F1789" i="1"/>
  <c r="E1789" i="1"/>
  <c r="D1789" i="1"/>
  <c r="C1789" i="1"/>
  <c r="B1789" i="1"/>
  <c r="G1788" i="1"/>
  <c r="F1788" i="1"/>
  <c r="E1788" i="1"/>
  <c r="D1788" i="1"/>
  <c r="C1788" i="1"/>
  <c r="B1788" i="1"/>
  <c r="G1787" i="1"/>
  <c r="F1787" i="1"/>
  <c r="E1787" i="1"/>
  <c r="D1787" i="1"/>
  <c r="C1787" i="1"/>
  <c r="B1787" i="1"/>
  <c r="G1786" i="1"/>
  <c r="F1786" i="1"/>
  <c r="E1786" i="1"/>
  <c r="D1786" i="1"/>
  <c r="C1786" i="1"/>
  <c r="B1786" i="1"/>
  <c r="G1785" i="1"/>
  <c r="F1785" i="1"/>
  <c r="E1785" i="1"/>
  <c r="D1785" i="1"/>
  <c r="C1785" i="1"/>
  <c r="B1785" i="1"/>
  <c r="G1784" i="1"/>
  <c r="F1784" i="1"/>
  <c r="E1784" i="1"/>
  <c r="D1784" i="1"/>
  <c r="C1784" i="1"/>
  <c r="B1784" i="1"/>
  <c r="G1783" i="1"/>
  <c r="F1783" i="1"/>
  <c r="E1783" i="1"/>
  <c r="D1783" i="1"/>
  <c r="C1783" i="1"/>
  <c r="B1783" i="1"/>
  <c r="G1782" i="1"/>
  <c r="F1782" i="1"/>
  <c r="E1782" i="1"/>
  <c r="D1782" i="1"/>
  <c r="C1782" i="1"/>
  <c r="B1782" i="1"/>
  <c r="G1781" i="1"/>
  <c r="F1781" i="1"/>
  <c r="E1781" i="1"/>
  <c r="D1781" i="1"/>
  <c r="C1781" i="1"/>
  <c r="B1781" i="1"/>
  <c r="G1780" i="1"/>
  <c r="F1780" i="1"/>
  <c r="E1780" i="1"/>
  <c r="D1780" i="1"/>
  <c r="C1780" i="1"/>
  <c r="B1780" i="1"/>
  <c r="G1779" i="1"/>
  <c r="F1779" i="1"/>
  <c r="E1779" i="1"/>
  <c r="D1779" i="1"/>
  <c r="C1779" i="1"/>
  <c r="B1779" i="1"/>
  <c r="G1778" i="1"/>
  <c r="F1778" i="1"/>
  <c r="E1778" i="1"/>
  <c r="D1778" i="1"/>
  <c r="C1778" i="1"/>
  <c r="B1778" i="1"/>
  <c r="G1777" i="1"/>
  <c r="F1777" i="1"/>
  <c r="E1777" i="1"/>
  <c r="D1777" i="1"/>
  <c r="C1777" i="1"/>
  <c r="B1777" i="1"/>
  <c r="G1776" i="1"/>
  <c r="F1776" i="1"/>
  <c r="E1776" i="1"/>
  <c r="D1776" i="1"/>
  <c r="C1776" i="1"/>
  <c r="B1776" i="1"/>
  <c r="G1775" i="1"/>
  <c r="F1775" i="1"/>
  <c r="E1775" i="1"/>
  <c r="D1775" i="1"/>
  <c r="C1775" i="1"/>
  <c r="B1775" i="1"/>
  <c r="G1774" i="1"/>
  <c r="F1774" i="1"/>
  <c r="E1774" i="1"/>
  <c r="D1774" i="1"/>
  <c r="C1774" i="1"/>
  <c r="B1774" i="1"/>
  <c r="G1773" i="1"/>
  <c r="F1773" i="1"/>
  <c r="E1773" i="1"/>
  <c r="D1773" i="1"/>
  <c r="C1773" i="1"/>
  <c r="B1773" i="1"/>
  <c r="G1772" i="1"/>
  <c r="F1772" i="1"/>
  <c r="E1772" i="1"/>
  <c r="D1772" i="1"/>
  <c r="C1772" i="1"/>
  <c r="B1772" i="1"/>
  <c r="G1771" i="1"/>
  <c r="F1771" i="1"/>
  <c r="E1771" i="1"/>
  <c r="D1771" i="1"/>
  <c r="C1771" i="1"/>
  <c r="B1771" i="1"/>
  <c r="G1770" i="1"/>
  <c r="F1770" i="1"/>
  <c r="E1770" i="1"/>
  <c r="D1770" i="1"/>
  <c r="C1770" i="1"/>
  <c r="B1770" i="1"/>
  <c r="G1769" i="1"/>
  <c r="F1769" i="1"/>
  <c r="E1769" i="1"/>
  <c r="D1769" i="1"/>
  <c r="C1769" i="1"/>
  <c r="B1769" i="1"/>
  <c r="G1768" i="1"/>
  <c r="F1768" i="1"/>
  <c r="E1768" i="1"/>
  <c r="D1768" i="1"/>
  <c r="C1768" i="1"/>
  <c r="B1768" i="1"/>
  <c r="G1767" i="1"/>
  <c r="F1767" i="1"/>
  <c r="E1767" i="1"/>
  <c r="D1767" i="1"/>
  <c r="C1767" i="1"/>
  <c r="B1767" i="1"/>
  <c r="G1766" i="1"/>
  <c r="F1766" i="1"/>
  <c r="E1766" i="1"/>
  <c r="D1766" i="1"/>
  <c r="C1766" i="1"/>
  <c r="B1766" i="1"/>
  <c r="G1765" i="1"/>
  <c r="F1765" i="1"/>
  <c r="E1765" i="1"/>
  <c r="D1765" i="1"/>
  <c r="C1765" i="1"/>
  <c r="B1765" i="1"/>
  <c r="G1764" i="1"/>
  <c r="F1764" i="1"/>
  <c r="E1764" i="1"/>
  <c r="D1764" i="1"/>
  <c r="C1764" i="1"/>
  <c r="B1764" i="1"/>
  <c r="G1763" i="1"/>
  <c r="F1763" i="1"/>
  <c r="E1763" i="1"/>
  <c r="D1763" i="1"/>
  <c r="C1763" i="1"/>
  <c r="B1763" i="1"/>
  <c r="G1762" i="1"/>
  <c r="F1762" i="1"/>
  <c r="E1762" i="1"/>
  <c r="D1762" i="1"/>
  <c r="C1762" i="1"/>
  <c r="B1762" i="1"/>
  <c r="G1761" i="1"/>
  <c r="F1761" i="1"/>
  <c r="E1761" i="1"/>
  <c r="D1761" i="1"/>
  <c r="C1761" i="1"/>
  <c r="B1761" i="1"/>
  <c r="G1760" i="1"/>
  <c r="F1760" i="1"/>
  <c r="E1760" i="1"/>
  <c r="D1760" i="1"/>
  <c r="C1760" i="1"/>
  <c r="B1760" i="1"/>
  <c r="G1759" i="1"/>
  <c r="F1759" i="1"/>
  <c r="E1759" i="1"/>
  <c r="D1759" i="1"/>
  <c r="C1759" i="1"/>
  <c r="B1759" i="1"/>
  <c r="G1758" i="1"/>
  <c r="F1758" i="1"/>
  <c r="E1758" i="1"/>
  <c r="D1758" i="1"/>
  <c r="C1758" i="1"/>
  <c r="B1758" i="1"/>
  <c r="G1757" i="1"/>
  <c r="F1757" i="1"/>
  <c r="E1757" i="1"/>
  <c r="D1757" i="1"/>
  <c r="C1757" i="1"/>
  <c r="B1757" i="1"/>
  <c r="G1756" i="1"/>
  <c r="F1756" i="1"/>
  <c r="E1756" i="1"/>
  <c r="D1756" i="1"/>
  <c r="C1756" i="1"/>
  <c r="B1756" i="1"/>
  <c r="G1755" i="1"/>
  <c r="F1755" i="1"/>
  <c r="E1755" i="1"/>
  <c r="D1755" i="1"/>
  <c r="C1755" i="1"/>
  <c r="B1755" i="1"/>
  <c r="G1754" i="1"/>
  <c r="D1754" i="1"/>
  <c r="C1754" i="1"/>
  <c r="B1754" i="1"/>
  <c r="G1753" i="1"/>
  <c r="F1753" i="1"/>
  <c r="E1753" i="1"/>
  <c r="D1753" i="1"/>
  <c r="C1753" i="1"/>
  <c r="B1753" i="1"/>
  <c r="G1752" i="1"/>
  <c r="F1752" i="1"/>
  <c r="E1752" i="1"/>
  <c r="D1752" i="1"/>
  <c r="C1752" i="1"/>
  <c r="B1752" i="1"/>
  <c r="G1751" i="1"/>
  <c r="F1751" i="1"/>
  <c r="E1751" i="1"/>
  <c r="D1751" i="1"/>
  <c r="C1751" i="1"/>
  <c r="B1751" i="1"/>
  <c r="G1750" i="1"/>
  <c r="F1750" i="1"/>
  <c r="E1750" i="1"/>
  <c r="D1750" i="1"/>
  <c r="C1750" i="1"/>
  <c r="B1750" i="1"/>
  <c r="G1749" i="1"/>
  <c r="F1749" i="1"/>
  <c r="E1749" i="1"/>
  <c r="D1749" i="1"/>
  <c r="C1749" i="1"/>
  <c r="B1749" i="1"/>
  <c r="G1748" i="1"/>
  <c r="F1748" i="1"/>
  <c r="E1748" i="1"/>
  <c r="D1748" i="1"/>
  <c r="C1748" i="1"/>
  <c r="B1748" i="1"/>
  <c r="G1747" i="1"/>
  <c r="F1747" i="1"/>
  <c r="E1747" i="1"/>
  <c r="D1747" i="1"/>
  <c r="C1747" i="1"/>
  <c r="B1747" i="1"/>
  <c r="G1746" i="1"/>
  <c r="F1746" i="1"/>
  <c r="E1746" i="1"/>
  <c r="D1746" i="1"/>
  <c r="C1746" i="1"/>
  <c r="B1746" i="1"/>
  <c r="G1745" i="1"/>
  <c r="F1745" i="1"/>
  <c r="E1745" i="1"/>
  <c r="D1745" i="1"/>
  <c r="C1745" i="1"/>
  <c r="B1745" i="1"/>
  <c r="G1744" i="1"/>
  <c r="F1744" i="1"/>
  <c r="E1744" i="1"/>
  <c r="D1744" i="1"/>
  <c r="C1744" i="1"/>
  <c r="B1744" i="1"/>
  <c r="G1743" i="1"/>
  <c r="F1743" i="1"/>
  <c r="E1743" i="1"/>
  <c r="D1743" i="1"/>
  <c r="C1743" i="1"/>
  <c r="B1743" i="1"/>
  <c r="G1742" i="1"/>
  <c r="F1742" i="1"/>
  <c r="E1742" i="1"/>
  <c r="D1742" i="1"/>
  <c r="C1742" i="1"/>
  <c r="B1742" i="1"/>
  <c r="G1741" i="1"/>
  <c r="F1741" i="1"/>
  <c r="E1741" i="1"/>
  <c r="D1741" i="1"/>
  <c r="C1741" i="1"/>
  <c r="B1741" i="1"/>
  <c r="G1740" i="1"/>
  <c r="F1740" i="1"/>
  <c r="E1740" i="1"/>
  <c r="D1740" i="1"/>
  <c r="C1740" i="1"/>
  <c r="B1740" i="1"/>
  <c r="G1739" i="1"/>
  <c r="F1739" i="1"/>
  <c r="E1739" i="1"/>
  <c r="D1739" i="1"/>
  <c r="C1739" i="1"/>
  <c r="B1739" i="1"/>
  <c r="G1738" i="1"/>
  <c r="F1738" i="1"/>
  <c r="E1738" i="1"/>
  <c r="D1738" i="1"/>
  <c r="C1738" i="1"/>
  <c r="B1738" i="1"/>
  <c r="G1737" i="1"/>
  <c r="F1737" i="1"/>
  <c r="E1737" i="1"/>
  <c r="D1737" i="1"/>
  <c r="C1737" i="1"/>
  <c r="B1737" i="1"/>
  <c r="G1736" i="1"/>
  <c r="F1736" i="1"/>
  <c r="E1736" i="1"/>
  <c r="D1736" i="1"/>
  <c r="C1736" i="1"/>
  <c r="B1736" i="1"/>
  <c r="G1735" i="1"/>
  <c r="F1735" i="1"/>
  <c r="E1735" i="1"/>
  <c r="D1735" i="1"/>
  <c r="C1735" i="1"/>
  <c r="B1735" i="1"/>
  <c r="G1734" i="1"/>
  <c r="F1734" i="1"/>
  <c r="E1734" i="1"/>
  <c r="D1734" i="1"/>
  <c r="C1734" i="1"/>
  <c r="B1734" i="1"/>
  <c r="G1733" i="1"/>
  <c r="F1733" i="1"/>
  <c r="E1733" i="1"/>
  <c r="D1733" i="1"/>
  <c r="C1733" i="1"/>
  <c r="B1733" i="1"/>
  <c r="G1732" i="1"/>
  <c r="F1732" i="1"/>
  <c r="E1732" i="1"/>
  <c r="D1732" i="1"/>
  <c r="C1732" i="1"/>
  <c r="B1732" i="1"/>
  <c r="G1731" i="1"/>
  <c r="F1731" i="1"/>
  <c r="E1731" i="1"/>
  <c r="D1731" i="1"/>
  <c r="C1731" i="1"/>
  <c r="B1731" i="1"/>
  <c r="G1730" i="1"/>
  <c r="F1730" i="1"/>
  <c r="E1730" i="1"/>
  <c r="D1730" i="1"/>
  <c r="C1730" i="1"/>
  <c r="B1730" i="1"/>
  <c r="G1729" i="1"/>
  <c r="F1729" i="1"/>
  <c r="E1729" i="1"/>
  <c r="D1729" i="1"/>
  <c r="C1729" i="1"/>
  <c r="B1729" i="1"/>
  <c r="G1728" i="1"/>
  <c r="F1728" i="1"/>
  <c r="E1728" i="1"/>
  <c r="D1728" i="1"/>
  <c r="C1728" i="1"/>
  <c r="B1728" i="1"/>
  <c r="G1727" i="1"/>
  <c r="F1727" i="1"/>
  <c r="E1727" i="1"/>
  <c r="D1727" i="1"/>
  <c r="C1727" i="1"/>
  <c r="B1727" i="1"/>
  <c r="G1726" i="1"/>
  <c r="F1726" i="1"/>
  <c r="E1726" i="1"/>
  <c r="D1726" i="1"/>
  <c r="C1726" i="1"/>
  <c r="B1726" i="1"/>
  <c r="G1725" i="1"/>
  <c r="F1725" i="1"/>
  <c r="E1725" i="1"/>
  <c r="D1725" i="1"/>
  <c r="C1725" i="1"/>
  <c r="B1725" i="1"/>
  <c r="G1724" i="1"/>
  <c r="F1724" i="1"/>
  <c r="E1724" i="1"/>
  <c r="D1724" i="1"/>
  <c r="C1724" i="1"/>
  <c r="B1724" i="1"/>
  <c r="G1723" i="1"/>
  <c r="F1723" i="1"/>
  <c r="E1723" i="1"/>
  <c r="D1723" i="1"/>
  <c r="C1723" i="1"/>
  <c r="B1723" i="1"/>
  <c r="G1722" i="1"/>
  <c r="F1722" i="1"/>
  <c r="E1722" i="1"/>
  <c r="D1722" i="1"/>
  <c r="C1722" i="1"/>
  <c r="B1722" i="1"/>
  <c r="G1721" i="1"/>
  <c r="F1721" i="1"/>
  <c r="E1721" i="1"/>
  <c r="D1721" i="1"/>
  <c r="C1721" i="1"/>
  <c r="B1721" i="1"/>
  <c r="G1720" i="1"/>
  <c r="F1720" i="1"/>
  <c r="E1720" i="1"/>
  <c r="D1720" i="1"/>
  <c r="C1720" i="1"/>
  <c r="B1720" i="1"/>
  <c r="G1719" i="1"/>
  <c r="F1719" i="1"/>
  <c r="E1719" i="1"/>
  <c r="D1719" i="1"/>
  <c r="C1719" i="1"/>
  <c r="B1719" i="1"/>
  <c r="G1718" i="1"/>
  <c r="F1718" i="1"/>
  <c r="E1718" i="1"/>
  <c r="D1718" i="1"/>
  <c r="C1718" i="1"/>
  <c r="B1718" i="1"/>
  <c r="G1717" i="1"/>
  <c r="F1717" i="1"/>
  <c r="E1717" i="1"/>
  <c r="D1717" i="1"/>
  <c r="C1717" i="1"/>
  <c r="B1717" i="1"/>
  <c r="G1716" i="1"/>
  <c r="F1716" i="1"/>
  <c r="E1716" i="1"/>
  <c r="D1716" i="1"/>
  <c r="C1716" i="1"/>
  <c r="B1716" i="1"/>
  <c r="G1715" i="1"/>
  <c r="F1715" i="1"/>
  <c r="E1715" i="1"/>
  <c r="D1715" i="1"/>
  <c r="C1715" i="1"/>
  <c r="B1715" i="1"/>
  <c r="G1714" i="1"/>
  <c r="F1714" i="1"/>
  <c r="E1714" i="1"/>
  <c r="D1714" i="1"/>
  <c r="C1714" i="1"/>
  <c r="B1714" i="1"/>
  <c r="G1713" i="1"/>
  <c r="F1713" i="1"/>
  <c r="E1713" i="1"/>
  <c r="D1713" i="1"/>
  <c r="C1713" i="1"/>
  <c r="B1713" i="1"/>
  <c r="G1712" i="1"/>
  <c r="F1712" i="1"/>
  <c r="E1712" i="1"/>
  <c r="D1712" i="1"/>
  <c r="C1712" i="1"/>
  <c r="B1712" i="1"/>
  <c r="G1711" i="1"/>
  <c r="F1711" i="1"/>
  <c r="E1711" i="1"/>
  <c r="D1711" i="1"/>
  <c r="C1711" i="1"/>
  <c r="B1711" i="1"/>
  <c r="G1710" i="1"/>
  <c r="F1710" i="1"/>
  <c r="E1710" i="1"/>
  <c r="D1710" i="1"/>
  <c r="C1710" i="1"/>
  <c r="B1710" i="1"/>
  <c r="G1709" i="1"/>
  <c r="F1709" i="1"/>
  <c r="E1709" i="1"/>
  <c r="D1709" i="1"/>
  <c r="C1709" i="1"/>
  <c r="B1709" i="1"/>
  <c r="G1708" i="1"/>
  <c r="F1708" i="1"/>
  <c r="E1708" i="1"/>
  <c r="D1708" i="1"/>
  <c r="C1708" i="1"/>
  <c r="B1708" i="1"/>
  <c r="G1707" i="1"/>
  <c r="F1707" i="1"/>
  <c r="E1707" i="1"/>
  <c r="D1707" i="1"/>
  <c r="C1707" i="1"/>
  <c r="B1707" i="1"/>
  <c r="G1706" i="1"/>
  <c r="F1706" i="1"/>
  <c r="E1706" i="1"/>
  <c r="D1706" i="1"/>
  <c r="C1706" i="1"/>
  <c r="B1706" i="1"/>
  <c r="G1705" i="1"/>
  <c r="F1705" i="1"/>
  <c r="E1705" i="1"/>
  <c r="D1705" i="1"/>
  <c r="C1705" i="1"/>
  <c r="B1705" i="1"/>
  <c r="G1704" i="1"/>
  <c r="F1704" i="1"/>
  <c r="E1704" i="1"/>
  <c r="D1704" i="1"/>
  <c r="C1704" i="1"/>
  <c r="B1704" i="1"/>
  <c r="G1703" i="1"/>
  <c r="F1703" i="1"/>
  <c r="E1703" i="1"/>
  <c r="D1703" i="1"/>
  <c r="C1703" i="1"/>
  <c r="B1703" i="1"/>
  <c r="G1702" i="1"/>
  <c r="F1702" i="1"/>
  <c r="E1702" i="1"/>
  <c r="D1702" i="1"/>
  <c r="C1702" i="1"/>
  <c r="B1702" i="1"/>
  <c r="G1701" i="1"/>
  <c r="F1701" i="1"/>
  <c r="E1701" i="1"/>
  <c r="D1701" i="1"/>
  <c r="C1701" i="1"/>
  <c r="B1701" i="1"/>
  <c r="G1700" i="1"/>
  <c r="F1700" i="1"/>
  <c r="E1700" i="1"/>
  <c r="D1700" i="1"/>
  <c r="C1700" i="1"/>
  <c r="B1700" i="1"/>
  <c r="G1699" i="1"/>
  <c r="F1699" i="1"/>
  <c r="E1699" i="1"/>
  <c r="D1699" i="1"/>
  <c r="C1699" i="1"/>
  <c r="B1699" i="1"/>
  <c r="G1698" i="1"/>
  <c r="F1698" i="1"/>
  <c r="E1698" i="1"/>
  <c r="D1698" i="1"/>
  <c r="C1698" i="1"/>
  <c r="B1698" i="1"/>
  <c r="G1697" i="1"/>
  <c r="F1697" i="1"/>
  <c r="E1697" i="1"/>
  <c r="D1697" i="1"/>
  <c r="C1697" i="1"/>
  <c r="B1697" i="1"/>
  <c r="G1696" i="1"/>
  <c r="F1696" i="1"/>
  <c r="E1696" i="1"/>
  <c r="D1696" i="1"/>
  <c r="C1696" i="1"/>
  <c r="B1696" i="1"/>
  <c r="G1695" i="1"/>
  <c r="F1695" i="1"/>
  <c r="E1695" i="1"/>
  <c r="D1695" i="1"/>
  <c r="C1695" i="1"/>
  <c r="B1695" i="1"/>
  <c r="G1694" i="1"/>
  <c r="F1694" i="1"/>
  <c r="E1694" i="1"/>
  <c r="D1694" i="1"/>
  <c r="C1694" i="1"/>
  <c r="B1694" i="1"/>
  <c r="G1693" i="1"/>
  <c r="F1693" i="1"/>
  <c r="E1693" i="1"/>
  <c r="D1693" i="1"/>
  <c r="C1693" i="1"/>
  <c r="B1693" i="1"/>
  <c r="G1692" i="1"/>
  <c r="F1692" i="1"/>
  <c r="E1692" i="1"/>
  <c r="D1692" i="1"/>
  <c r="C1692" i="1"/>
  <c r="B1692" i="1"/>
  <c r="G1691" i="1"/>
  <c r="F1691" i="1"/>
  <c r="E1691" i="1"/>
  <c r="D1691" i="1"/>
  <c r="C1691" i="1"/>
  <c r="B1691" i="1"/>
  <c r="G1690" i="1"/>
  <c r="F1690" i="1"/>
  <c r="E1690" i="1"/>
  <c r="D1690" i="1"/>
  <c r="C1690" i="1"/>
  <c r="B1690" i="1"/>
  <c r="G1689" i="1"/>
  <c r="F1689" i="1"/>
  <c r="E1689" i="1"/>
  <c r="D1689" i="1"/>
  <c r="C1689" i="1"/>
  <c r="B1689" i="1"/>
  <c r="G1688" i="1"/>
  <c r="F1688" i="1"/>
  <c r="E1688" i="1"/>
  <c r="D1688" i="1"/>
  <c r="C1688" i="1"/>
  <c r="B1688" i="1"/>
  <c r="G1687" i="1"/>
  <c r="F1687" i="1"/>
  <c r="E1687" i="1"/>
  <c r="D1687" i="1"/>
  <c r="C1687" i="1"/>
  <c r="B1687" i="1"/>
  <c r="G1686" i="1"/>
  <c r="F1686" i="1"/>
  <c r="E1686" i="1"/>
  <c r="D1686" i="1"/>
  <c r="C1686" i="1"/>
  <c r="B1686" i="1"/>
  <c r="G1685" i="1"/>
  <c r="F1685" i="1"/>
  <c r="E1685" i="1"/>
  <c r="D1685" i="1"/>
  <c r="C1685" i="1"/>
  <c r="B1685" i="1"/>
  <c r="G1684" i="1"/>
  <c r="F1684" i="1"/>
  <c r="E1684" i="1"/>
  <c r="D1684" i="1"/>
  <c r="C1684" i="1"/>
  <c r="B1684" i="1"/>
  <c r="G1683" i="1"/>
  <c r="F1683" i="1"/>
  <c r="E1683" i="1"/>
  <c r="D1683" i="1"/>
  <c r="C1683" i="1"/>
  <c r="B1683" i="1"/>
  <c r="G1682" i="1"/>
  <c r="F1682" i="1"/>
  <c r="E1682" i="1"/>
  <c r="D1682" i="1"/>
  <c r="C1682" i="1"/>
  <c r="B1682" i="1"/>
  <c r="G1681" i="1"/>
  <c r="F1681" i="1"/>
  <c r="E1681" i="1"/>
  <c r="D1681" i="1"/>
  <c r="C1681" i="1"/>
  <c r="B1681" i="1"/>
  <c r="G1680" i="1"/>
  <c r="F1680" i="1"/>
  <c r="E1680" i="1"/>
  <c r="D1680" i="1"/>
  <c r="C1680" i="1"/>
  <c r="B1680" i="1"/>
  <c r="G1679" i="1"/>
  <c r="F1679" i="1"/>
  <c r="E1679" i="1"/>
  <c r="D1679" i="1"/>
  <c r="C1679" i="1"/>
  <c r="B1679" i="1"/>
  <c r="G1678" i="1"/>
  <c r="F1678" i="1"/>
  <c r="E1678" i="1"/>
  <c r="D1678" i="1"/>
  <c r="C1678" i="1"/>
  <c r="B1678" i="1"/>
  <c r="G1677" i="1"/>
  <c r="F1677" i="1"/>
  <c r="E1677" i="1"/>
  <c r="D1677" i="1"/>
  <c r="C1677" i="1"/>
  <c r="B1677" i="1"/>
  <c r="G1676" i="1"/>
  <c r="F1676" i="1"/>
  <c r="E1676" i="1"/>
  <c r="D1676" i="1"/>
  <c r="C1676" i="1"/>
  <c r="B1676" i="1"/>
  <c r="G1675" i="1"/>
  <c r="F1675" i="1"/>
  <c r="E1675" i="1"/>
  <c r="D1675" i="1"/>
  <c r="C1675" i="1"/>
  <c r="B1675" i="1"/>
  <c r="G1674" i="1"/>
  <c r="F1674" i="1"/>
  <c r="E1674" i="1"/>
  <c r="D1674" i="1"/>
  <c r="C1674" i="1"/>
  <c r="B1674" i="1"/>
  <c r="G1673" i="1"/>
  <c r="F1673" i="1"/>
  <c r="E1673" i="1"/>
  <c r="D1673" i="1"/>
  <c r="C1673" i="1"/>
  <c r="B1673" i="1"/>
  <c r="G1672" i="1"/>
  <c r="F1672" i="1"/>
  <c r="E1672" i="1"/>
  <c r="D1672" i="1"/>
  <c r="C1672" i="1"/>
  <c r="B1672" i="1"/>
  <c r="G1671" i="1"/>
  <c r="F1671" i="1"/>
  <c r="E1671" i="1"/>
  <c r="D1671" i="1"/>
  <c r="C1671" i="1"/>
  <c r="B1671" i="1"/>
  <c r="G1670" i="1"/>
  <c r="F1670" i="1"/>
  <c r="E1670" i="1"/>
  <c r="D1670" i="1"/>
  <c r="C1670" i="1"/>
  <c r="B1670" i="1"/>
  <c r="G1669" i="1"/>
  <c r="F1669" i="1"/>
  <c r="E1669" i="1"/>
  <c r="D1669" i="1"/>
  <c r="C1669" i="1"/>
  <c r="B1669" i="1"/>
  <c r="G1668" i="1"/>
  <c r="F1668" i="1"/>
  <c r="E1668" i="1"/>
  <c r="D1668" i="1"/>
  <c r="C1668" i="1"/>
  <c r="B1668" i="1"/>
  <c r="G1667" i="1"/>
  <c r="F1667" i="1"/>
  <c r="E1667" i="1"/>
  <c r="D1667" i="1"/>
  <c r="C1667" i="1"/>
  <c r="B1667" i="1"/>
  <c r="G1666" i="1"/>
  <c r="F1666" i="1"/>
  <c r="E1666" i="1"/>
  <c r="D1666" i="1"/>
  <c r="C1666" i="1"/>
  <c r="B1666" i="1"/>
  <c r="G1665" i="1"/>
  <c r="F1665" i="1"/>
  <c r="E1665" i="1"/>
  <c r="D1665" i="1"/>
  <c r="C1665" i="1"/>
  <c r="B1665" i="1"/>
  <c r="G1664" i="1"/>
  <c r="F1664" i="1"/>
  <c r="E1664" i="1"/>
  <c r="D1664" i="1"/>
  <c r="C1664" i="1"/>
  <c r="B1664" i="1"/>
  <c r="G1663" i="1"/>
  <c r="F1663" i="1"/>
  <c r="E1663" i="1"/>
  <c r="D1663" i="1"/>
  <c r="C1663" i="1"/>
  <c r="B1663" i="1"/>
  <c r="G1662" i="1"/>
  <c r="F1662" i="1"/>
  <c r="E1662" i="1"/>
  <c r="D1662" i="1"/>
  <c r="C1662" i="1"/>
  <c r="B1662" i="1"/>
  <c r="G1661" i="1"/>
  <c r="F1661" i="1"/>
  <c r="E1661" i="1"/>
  <c r="D1661" i="1"/>
  <c r="C1661" i="1"/>
  <c r="B1661" i="1"/>
  <c r="G1660" i="1"/>
  <c r="F1660" i="1"/>
  <c r="E1660" i="1"/>
  <c r="D1660" i="1"/>
  <c r="C1660" i="1"/>
  <c r="B1660" i="1"/>
  <c r="G1659" i="1"/>
  <c r="F1659" i="1"/>
  <c r="E1659" i="1"/>
  <c r="D1659" i="1"/>
  <c r="C1659" i="1"/>
  <c r="B1659" i="1"/>
  <c r="G1658" i="1"/>
  <c r="F1658" i="1"/>
  <c r="E1658" i="1"/>
  <c r="D1658" i="1"/>
  <c r="C1658" i="1"/>
  <c r="B1658" i="1"/>
  <c r="G1657" i="1"/>
  <c r="F1657" i="1"/>
  <c r="E1657" i="1"/>
  <c r="D1657" i="1"/>
  <c r="C1657" i="1"/>
  <c r="B1657" i="1"/>
  <c r="G1656" i="1"/>
  <c r="F1656" i="1"/>
  <c r="E1656" i="1"/>
  <c r="D1656" i="1"/>
  <c r="C1656" i="1"/>
  <c r="B1656" i="1"/>
  <c r="G1655" i="1"/>
  <c r="F1655" i="1"/>
  <c r="E1655" i="1"/>
  <c r="D1655" i="1"/>
  <c r="C1655" i="1"/>
  <c r="B1655" i="1"/>
  <c r="G1654" i="1"/>
  <c r="F1654" i="1"/>
  <c r="E1654" i="1"/>
  <c r="D1654" i="1"/>
  <c r="C1654" i="1"/>
  <c r="B1654" i="1"/>
  <c r="G1653" i="1"/>
  <c r="F1653" i="1"/>
  <c r="E1653" i="1"/>
  <c r="D1653" i="1"/>
  <c r="C1653" i="1"/>
  <c r="B1653" i="1"/>
  <c r="G1652" i="1"/>
  <c r="F1652" i="1"/>
  <c r="E1652" i="1"/>
  <c r="D1652" i="1"/>
  <c r="C1652" i="1"/>
  <c r="B1652" i="1"/>
  <c r="G1651" i="1"/>
  <c r="F1651" i="1"/>
  <c r="E1651" i="1"/>
  <c r="D1651" i="1"/>
  <c r="C1651" i="1"/>
  <c r="B1651" i="1"/>
  <c r="G1650" i="1"/>
  <c r="F1650" i="1"/>
  <c r="E1650" i="1"/>
  <c r="D1650" i="1"/>
  <c r="C1650" i="1"/>
  <c r="B1650" i="1"/>
  <c r="G1649" i="1"/>
  <c r="F1649" i="1"/>
  <c r="E1649" i="1"/>
  <c r="D1649" i="1"/>
  <c r="C1649" i="1"/>
  <c r="B1649" i="1"/>
  <c r="G1648" i="1"/>
  <c r="F1648" i="1"/>
  <c r="E1648" i="1"/>
  <c r="D1648" i="1"/>
  <c r="C1648" i="1"/>
  <c r="B1648" i="1"/>
  <c r="G1647" i="1"/>
  <c r="F1647" i="1"/>
  <c r="E1647" i="1"/>
  <c r="D1647" i="1"/>
  <c r="C1647" i="1"/>
  <c r="B1647" i="1"/>
  <c r="G1646" i="1"/>
  <c r="F1646" i="1"/>
  <c r="E1646" i="1"/>
  <c r="D1646" i="1"/>
  <c r="C1646" i="1"/>
  <c r="B1646" i="1"/>
  <c r="G1645" i="1"/>
  <c r="F1645" i="1"/>
  <c r="E1645" i="1"/>
  <c r="D1645" i="1"/>
  <c r="C1645" i="1"/>
  <c r="B1645" i="1"/>
  <c r="G1644" i="1"/>
  <c r="F1644" i="1"/>
  <c r="E1644" i="1"/>
  <c r="D1644" i="1"/>
  <c r="C1644" i="1"/>
  <c r="B1644" i="1"/>
  <c r="G1643" i="1"/>
  <c r="F1643" i="1"/>
  <c r="E1643" i="1"/>
  <c r="D1643" i="1"/>
  <c r="C1643" i="1"/>
  <c r="B1643" i="1"/>
  <c r="G1642" i="1"/>
  <c r="F1642" i="1"/>
  <c r="E1642" i="1"/>
  <c r="D1642" i="1"/>
  <c r="C1642" i="1"/>
  <c r="B1642" i="1"/>
  <c r="G1641" i="1"/>
  <c r="F1641" i="1"/>
  <c r="E1641" i="1"/>
  <c r="D1641" i="1"/>
  <c r="C1641" i="1"/>
  <c r="B1641" i="1"/>
  <c r="G1640" i="1"/>
  <c r="F1640" i="1"/>
  <c r="E1640" i="1"/>
  <c r="D1640" i="1"/>
  <c r="C1640" i="1"/>
  <c r="B1640" i="1"/>
  <c r="G1639" i="1"/>
  <c r="F1639" i="1"/>
  <c r="E1639" i="1"/>
  <c r="D1639" i="1"/>
  <c r="C1639" i="1"/>
  <c r="B1639" i="1"/>
  <c r="G1638" i="1"/>
  <c r="F1638" i="1"/>
  <c r="E1638" i="1"/>
  <c r="D1638" i="1"/>
  <c r="C1638" i="1"/>
  <c r="B1638" i="1"/>
  <c r="G1637" i="1"/>
  <c r="F1637" i="1"/>
  <c r="E1637" i="1"/>
  <c r="D1637" i="1"/>
  <c r="C1637" i="1"/>
  <c r="B1637" i="1"/>
  <c r="G1636" i="1"/>
  <c r="F1636" i="1"/>
  <c r="E1636" i="1"/>
  <c r="D1636" i="1"/>
  <c r="C1636" i="1"/>
  <c r="B1636" i="1"/>
  <c r="G1635" i="1"/>
  <c r="F1635" i="1"/>
  <c r="E1635" i="1"/>
  <c r="D1635" i="1"/>
  <c r="C1635" i="1"/>
  <c r="B1635" i="1"/>
  <c r="G1634" i="1"/>
  <c r="F1634" i="1"/>
  <c r="E1634" i="1"/>
  <c r="D1634" i="1"/>
  <c r="C1634" i="1"/>
  <c r="B1634" i="1"/>
  <c r="G1633" i="1"/>
  <c r="F1633" i="1"/>
  <c r="E1633" i="1"/>
  <c r="D1633" i="1"/>
  <c r="C1633" i="1"/>
  <c r="B1633" i="1"/>
  <c r="G1632" i="1"/>
  <c r="F1632" i="1"/>
  <c r="E1632" i="1"/>
  <c r="D1632" i="1"/>
  <c r="C1632" i="1"/>
  <c r="B1632" i="1"/>
  <c r="G1631" i="1"/>
  <c r="F1631" i="1"/>
  <c r="E1631" i="1"/>
  <c r="D1631" i="1"/>
  <c r="C1631" i="1"/>
  <c r="B1631" i="1"/>
  <c r="G1630" i="1"/>
  <c r="F1630" i="1"/>
  <c r="E1630" i="1"/>
  <c r="D1630" i="1"/>
  <c r="C1630" i="1"/>
  <c r="B1630" i="1"/>
  <c r="G1629" i="1"/>
  <c r="F1629" i="1"/>
  <c r="E1629" i="1"/>
  <c r="D1629" i="1"/>
  <c r="C1629" i="1"/>
  <c r="B1629" i="1"/>
  <c r="G1628" i="1"/>
  <c r="F1628" i="1"/>
  <c r="E1628" i="1"/>
  <c r="D1628" i="1"/>
  <c r="C1628" i="1"/>
  <c r="B1628" i="1"/>
  <c r="G1627" i="1"/>
  <c r="F1627" i="1"/>
  <c r="E1627" i="1"/>
  <c r="D1627" i="1"/>
  <c r="C1627" i="1"/>
  <c r="B1627" i="1"/>
  <c r="G1626" i="1"/>
  <c r="F1626" i="1"/>
  <c r="E1626" i="1"/>
  <c r="D1626" i="1"/>
  <c r="C1626" i="1"/>
  <c r="B1626" i="1"/>
  <c r="G1625" i="1"/>
  <c r="F1625" i="1"/>
  <c r="E1625" i="1"/>
  <c r="D1625" i="1"/>
  <c r="C1625" i="1"/>
  <c r="B1625" i="1"/>
  <c r="G1624" i="1"/>
  <c r="F1624" i="1"/>
  <c r="E1624" i="1"/>
  <c r="D1624" i="1"/>
  <c r="C1624" i="1"/>
  <c r="B1624" i="1"/>
  <c r="G1623" i="1"/>
  <c r="F1623" i="1"/>
  <c r="E1623" i="1"/>
  <c r="D1623" i="1"/>
  <c r="C1623" i="1"/>
  <c r="B1623" i="1"/>
  <c r="G1622" i="1"/>
  <c r="F1622" i="1"/>
  <c r="E1622" i="1"/>
  <c r="D1622" i="1"/>
  <c r="C1622" i="1"/>
  <c r="B1622" i="1"/>
  <c r="G1621" i="1"/>
  <c r="F1621" i="1"/>
  <c r="E1621" i="1"/>
  <c r="D1621" i="1"/>
  <c r="C1621" i="1"/>
  <c r="B1621" i="1"/>
  <c r="G1620" i="1"/>
  <c r="F1620" i="1"/>
  <c r="E1620" i="1"/>
  <c r="D1620" i="1"/>
  <c r="C1620" i="1"/>
  <c r="B1620" i="1"/>
  <c r="G1619" i="1"/>
  <c r="F1619" i="1"/>
  <c r="E1619" i="1"/>
  <c r="D1619" i="1"/>
  <c r="C1619" i="1"/>
  <c r="B1619" i="1"/>
  <c r="G1618" i="1"/>
  <c r="F1618" i="1"/>
  <c r="E1618" i="1"/>
  <c r="D1618" i="1"/>
  <c r="C1618" i="1"/>
  <c r="B1618" i="1"/>
  <c r="G1617" i="1"/>
  <c r="F1617" i="1"/>
  <c r="E1617" i="1"/>
  <c r="D1617" i="1"/>
  <c r="C1617" i="1"/>
  <c r="B1617" i="1"/>
  <c r="G1616" i="1"/>
  <c r="F1616" i="1"/>
  <c r="E1616" i="1"/>
  <c r="D1616" i="1"/>
  <c r="C1616" i="1"/>
  <c r="B1616" i="1"/>
  <c r="G1615" i="1"/>
  <c r="F1615" i="1"/>
  <c r="E1615" i="1"/>
  <c r="D1615" i="1"/>
  <c r="C1615" i="1"/>
  <c r="B1615" i="1"/>
  <c r="G1614" i="1"/>
  <c r="F1614" i="1"/>
  <c r="E1614" i="1"/>
  <c r="D1614" i="1"/>
  <c r="C1614" i="1"/>
  <c r="B1614" i="1"/>
  <c r="G1613" i="1"/>
  <c r="F1613" i="1"/>
  <c r="E1613" i="1"/>
  <c r="D1613" i="1"/>
  <c r="C1613" i="1"/>
  <c r="B1613" i="1"/>
  <c r="G1612" i="1"/>
  <c r="F1612" i="1"/>
  <c r="E1612" i="1"/>
  <c r="D1612" i="1"/>
  <c r="C1612" i="1"/>
  <c r="B1612" i="1"/>
  <c r="G1611" i="1"/>
  <c r="F1611" i="1"/>
  <c r="E1611" i="1"/>
  <c r="D1611" i="1"/>
  <c r="C1611" i="1"/>
  <c r="B1611" i="1"/>
  <c r="G1610" i="1"/>
  <c r="F1610" i="1"/>
  <c r="E1610" i="1"/>
  <c r="D1610" i="1"/>
  <c r="C1610" i="1"/>
  <c r="B1610" i="1"/>
  <c r="G1609" i="1"/>
  <c r="F1609" i="1"/>
  <c r="E1609" i="1"/>
  <c r="D1609" i="1"/>
  <c r="C1609" i="1"/>
  <c r="B1609" i="1"/>
  <c r="G1608" i="1"/>
  <c r="F1608" i="1"/>
  <c r="E1608" i="1"/>
  <c r="D1608" i="1"/>
  <c r="C1608" i="1"/>
  <c r="B1608" i="1"/>
  <c r="G1607" i="1"/>
  <c r="F1607" i="1"/>
  <c r="E1607" i="1"/>
  <c r="D1607" i="1"/>
  <c r="C1607" i="1"/>
  <c r="B1607" i="1"/>
  <c r="G1606" i="1"/>
  <c r="F1606" i="1"/>
  <c r="E1606" i="1"/>
  <c r="D1606" i="1"/>
  <c r="C1606" i="1"/>
  <c r="B1606" i="1"/>
  <c r="G1605" i="1"/>
  <c r="F1605" i="1"/>
  <c r="E1605" i="1"/>
  <c r="D1605" i="1"/>
  <c r="C1605" i="1"/>
  <c r="B1605" i="1"/>
  <c r="G1604" i="1"/>
  <c r="F1604" i="1"/>
  <c r="E1604" i="1"/>
  <c r="D1604" i="1"/>
  <c r="C1604" i="1"/>
  <c r="B1604" i="1"/>
  <c r="G1603" i="1"/>
  <c r="F1603" i="1"/>
  <c r="E1603" i="1"/>
  <c r="D1603" i="1"/>
  <c r="C1603" i="1"/>
  <c r="B1603" i="1"/>
  <c r="G1602" i="1"/>
  <c r="F1602" i="1"/>
  <c r="E1602" i="1"/>
  <c r="D1602" i="1"/>
  <c r="C1602" i="1"/>
  <c r="B1602" i="1"/>
  <c r="G1601" i="1"/>
  <c r="F1601" i="1"/>
  <c r="E1601" i="1"/>
  <c r="D1601" i="1"/>
  <c r="C1601" i="1"/>
  <c r="B1601" i="1"/>
  <c r="G1600" i="1"/>
  <c r="F1600" i="1"/>
  <c r="E1600" i="1"/>
  <c r="D1600" i="1"/>
  <c r="C1600" i="1"/>
  <c r="B1600" i="1"/>
  <c r="G1599" i="1"/>
  <c r="F1599" i="1"/>
  <c r="E1599" i="1"/>
  <c r="D1599" i="1"/>
  <c r="C1599" i="1"/>
  <c r="B1599" i="1"/>
  <c r="G1598" i="1"/>
  <c r="F1598" i="1"/>
  <c r="E1598" i="1"/>
  <c r="D1598" i="1"/>
  <c r="C1598" i="1"/>
  <c r="B1598" i="1"/>
  <c r="G1597" i="1"/>
  <c r="F1597" i="1"/>
  <c r="E1597" i="1"/>
  <c r="D1597" i="1"/>
  <c r="C1597" i="1"/>
  <c r="B1597" i="1"/>
  <c r="G1596" i="1"/>
  <c r="F1596" i="1"/>
  <c r="E1596" i="1"/>
  <c r="D1596" i="1"/>
  <c r="C1596" i="1"/>
  <c r="B1596" i="1"/>
  <c r="G1595" i="1"/>
  <c r="F1595" i="1"/>
  <c r="E1595" i="1"/>
  <c r="D1595" i="1"/>
  <c r="C1595" i="1"/>
  <c r="B1595" i="1"/>
  <c r="G1594" i="1"/>
  <c r="F1594" i="1"/>
  <c r="E1594" i="1"/>
  <c r="D1594" i="1"/>
  <c r="C1594" i="1"/>
  <c r="B1594" i="1"/>
  <c r="G1593" i="1"/>
  <c r="F1593" i="1"/>
  <c r="E1593" i="1"/>
  <c r="D1593" i="1"/>
  <c r="C1593" i="1"/>
  <c r="B1593" i="1"/>
  <c r="G1592" i="1"/>
  <c r="F1592" i="1"/>
  <c r="E1592" i="1"/>
  <c r="D1592" i="1"/>
  <c r="C1592" i="1"/>
  <c r="B1592" i="1"/>
  <c r="G1591" i="1"/>
  <c r="F1591" i="1"/>
  <c r="E1591" i="1"/>
  <c r="D1591" i="1"/>
  <c r="C1591" i="1"/>
  <c r="B1591" i="1"/>
  <c r="G1590" i="1"/>
  <c r="F1590" i="1"/>
  <c r="E1590" i="1"/>
  <c r="D1590" i="1"/>
  <c r="C1590" i="1"/>
  <c r="B1590" i="1"/>
  <c r="G1589" i="1"/>
  <c r="F1589" i="1"/>
  <c r="E1589" i="1"/>
  <c r="D1589" i="1"/>
  <c r="C1589" i="1"/>
  <c r="B1589" i="1"/>
  <c r="G1588" i="1"/>
  <c r="F1588" i="1"/>
  <c r="E1588" i="1"/>
  <c r="D1588" i="1"/>
  <c r="C1588" i="1"/>
  <c r="B1588" i="1"/>
  <c r="G1587" i="1"/>
  <c r="F1587" i="1"/>
  <c r="E1587" i="1"/>
  <c r="D1587" i="1"/>
  <c r="C1587" i="1"/>
  <c r="B1587" i="1"/>
  <c r="G1586" i="1"/>
  <c r="F1586" i="1"/>
  <c r="E1586" i="1"/>
  <c r="D1586" i="1"/>
  <c r="C1586" i="1"/>
  <c r="B1586" i="1"/>
  <c r="G1585" i="1"/>
  <c r="F1585" i="1"/>
  <c r="E1585" i="1"/>
  <c r="D1585" i="1"/>
  <c r="C1585" i="1"/>
  <c r="B1585" i="1"/>
  <c r="G1584" i="1"/>
  <c r="F1584" i="1"/>
  <c r="E1584" i="1"/>
  <c r="D1584" i="1"/>
  <c r="C1584" i="1"/>
  <c r="B1584" i="1"/>
  <c r="G1583" i="1"/>
  <c r="F1583" i="1"/>
  <c r="E1583" i="1"/>
  <c r="D1583" i="1"/>
  <c r="C1583" i="1"/>
  <c r="B1583" i="1"/>
  <c r="G1582" i="1"/>
  <c r="F1582" i="1"/>
  <c r="E1582" i="1"/>
  <c r="D1582" i="1"/>
  <c r="C1582" i="1"/>
  <c r="B1582" i="1"/>
  <c r="G1581" i="1"/>
  <c r="F1581" i="1"/>
  <c r="E1581" i="1"/>
  <c r="D1581" i="1"/>
  <c r="C1581" i="1"/>
  <c r="B1581" i="1"/>
  <c r="G1580" i="1"/>
  <c r="F1580" i="1"/>
  <c r="E1580" i="1"/>
  <c r="D1580" i="1"/>
  <c r="C1580" i="1"/>
  <c r="B1580" i="1"/>
  <c r="G1579" i="1"/>
  <c r="F1579" i="1"/>
  <c r="E1579" i="1"/>
  <c r="D1579" i="1"/>
  <c r="C1579" i="1"/>
  <c r="B1579" i="1"/>
  <c r="G1578" i="1"/>
  <c r="F1578" i="1"/>
  <c r="E1578" i="1"/>
  <c r="D1578" i="1"/>
  <c r="C1578" i="1"/>
  <c r="B1578" i="1"/>
  <c r="G1577" i="1"/>
  <c r="F1577" i="1"/>
  <c r="E1577" i="1"/>
  <c r="D1577" i="1"/>
  <c r="C1577" i="1"/>
  <c r="B1577" i="1"/>
  <c r="G1576" i="1"/>
  <c r="F1576" i="1"/>
  <c r="E1576" i="1"/>
  <c r="D1576" i="1"/>
  <c r="C1576" i="1"/>
  <c r="B1576" i="1"/>
  <c r="G1575" i="1"/>
  <c r="F1575" i="1"/>
  <c r="E1575" i="1"/>
  <c r="D1575" i="1"/>
  <c r="C1575" i="1"/>
  <c r="B1575" i="1"/>
  <c r="G1574" i="1"/>
  <c r="F1574" i="1"/>
  <c r="E1574" i="1"/>
  <c r="D1574" i="1"/>
  <c r="C1574" i="1"/>
  <c r="B1574" i="1"/>
  <c r="G1573" i="1"/>
  <c r="F1573" i="1"/>
  <c r="E1573" i="1"/>
  <c r="D1573" i="1"/>
  <c r="C1573" i="1"/>
  <c r="B1573" i="1"/>
  <c r="G1572" i="1"/>
  <c r="F1572" i="1"/>
  <c r="E1572" i="1"/>
  <c r="D1572" i="1"/>
  <c r="C1572" i="1"/>
  <c r="B1572" i="1"/>
  <c r="G1571" i="1"/>
  <c r="F1571" i="1"/>
  <c r="E1571" i="1"/>
  <c r="D1571" i="1"/>
  <c r="C1571" i="1"/>
  <c r="B1571" i="1"/>
  <c r="G1570" i="1"/>
  <c r="F1570" i="1"/>
  <c r="E1570" i="1"/>
  <c r="D1570" i="1"/>
  <c r="C1570" i="1"/>
  <c r="B1570" i="1"/>
  <c r="G1569" i="1"/>
  <c r="F1569" i="1"/>
  <c r="E1569" i="1"/>
  <c r="D1569" i="1"/>
  <c r="C1569" i="1"/>
  <c r="B1569" i="1"/>
  <c r="G1568" i="1"/>
  <c r="F1568" i="1"/>
  <c r="E1568" i="1"/>
  <c r="D1568" i="1"/>
  <c r="C1568" i="1"/>
  <c r="B1568" i="1"/>
  <c r="G1567" i="1"/>
  <c r="F1567" i="1"/>
  <c r="E1567" i="1"/>
  <c r="D1567" i="1"/>
  <c r="C1567" i="1"/>
  <c r="B1567" i="1"/>
  <c r="G1566" i="1"/>
  <c r="F1566" i="1"/>
  <c r="E1566" i="1"/>
  <c r="D1566" i="1"/>
  <c r="C1566" i="1"/>
  <c r="B1566" i="1"/>
  <c r="G1565" i="1"/>
  <c r="F1565" i="1"/>
  <c r="E1565" i="1"/>
  <c r="D1565" i="1"/>
  <c r="C1565" i="1"/>
  <c r="B1565" i="1"/>
  <c r="G1564" i="1"/>
  <c r="F1564" i="1"/>
  <c r="E1564" i="1"/>
  <c r="D1564" i="1"/>
  <c r="C1564" i="1"/>
  <c r="B1564" i="1"/>
  <c r="G1563" i="1"/>
  <c r="F1563" i="1"/>
  <c r="E1563" i="1"/>
  <c r="D1563" i="1"/>
  <c r="C1563" i="1"/>
  <c r="B1563" i="1"/>
  <c r="G1562" i="1"/>
  <c r="F1562" i="1"/>
  <c r="E1562" i="1"/>
  <c r="D1562" i="1"/>
  <c r="C1562" i="1"/>
  <c r="B1562" i="1"/>
  <c r="G1561" i="1"/>
  <c r="F1561" i="1"/>
  <c r="E1561" i="1"/>
  <c r="D1561" i="1"/>
  <c r="C1561" i="1"/>
  <c r="B1561" i="1"/>
  <c r="G1560" i="1"/>
  <c r="F1560" i="1"/>
  <c r="E1560" i="1"/>
  <c r="D1560" i="1"/>
  <c r="C1560" i="1"/>
  <c r="B1560" i="1"/>
  <c r="G1559" i="1"/>
  <c r="F1559" i="1"/>
  <c r="E1559" i="1"/>
  <c r="D1559" i="1"/>
  <c r="C1559" i="1"/>
  <c r="B1559" i="1"/>
  <c r="G1558" i="1"/>
  <c r="F1558" i="1"/>
  <c r="E1558" i="1"/>
  <c r="D1558" i="1"/>
  <c r="C1558" i="1"/>
  <c r="B1558" i="1"/>
  <c r="G1557" i="1"/>
  <c r="F1557" i="1"/>
  <c r="E1557" i="1"/>
  <c r="D1557" i="1"/>
  <c r="C1557" i="1"/>
  <c r="B1557" i="1"/>
  <c r="G1556" i="1"/>
  <c r="F1556" i="1"/>
  <c r="E1556" i="1"/>
  <c r="D1556" i="1"/>
  <c r="C1556" i="1"/>
  <c r="B1556" i="1"/>
  <c r="G1555" i="1"/>
  <c r="F1555" i="1"/>
  <c r="E1555" i="1"/>
  <c r="D1555" i="1"/>
  <c r="C1555" i="1"/>
  <c r="B1555" i="1"/>
  <c r="G1554" i="1"/>
  <c r="F1554" i="1"/>
  <c r="E1554" i="1"/>
  <c r="D1554" i="1"/>
  <c r="C1554" i="1"/>
  <c r="B1554" i="1"/>
  <c r="G1553" i="1"/>
  <c r="F1553" i="1"/>
  <c r="E1553" i="1"/>
  <c r="D1553" i="1"/>
  <c r="C1553" i="1"/>
  <c r="B1553" i="1"/>
  <c r="G1552" i="1"/>
  <c r="F1552" i="1"/>
  <c r="E1552" i="1"/>
  <c r="D1552" i="1"/>
  <c r="C1552" i="1"/>
  <c r="B1552" i="1"/>
  <c r="G1551" i="1"/>
  <c r="F1551" i="1"/>
  <c r="E1551" i="1"/>
  <c r="D1551" i="1"/>
  <c r="C1551" i="1"/>
  <c r="B1551" i="1"/>
  <c r="G1550" i="1"/>
  <c r="F1550" i="1"/>
  <c r="E1550" i="1"/>
  <c r="D1550" i="1"/>
  <c r="C1550" i="1"/>
  <c r="B1550" i="1"/>
  <c r="G1549" i="1"/>
  <c r="F1549" i="1"/>
  <c r="E1549" i="1"/>
  <c r="D1549" i="1"/>
  <c r="C1549" i="1"/>
  <c r="B1549" i="1"/>
  <c r="G1548" i="1"/>
  <c r="F1548" i="1"/>
  <c r="E1548" i="1"/>
  <c r="D1548" i="1"/>
  <c r="C1548" i="1"/>
  <c r="B1548" i="1"/>
  <c r="G1547" i="1"/>
  <c r="F1547" i="1"/>
  <c r="E1547" i="1"/>
  <c r="D1547" i="1"/>
  <c r="C1547" i="1"/>
  <c r="B1547" i="1"/>
  <c r="G1546" i="1"/>
  <c r="F1546" i="1"/>
  <c r="E1546" i="1"/>
  <c r="D1546" i="1"/>
  <c r="C1546" i="1"/>
  <c r="B1546" i="1"/>
  <c r="G1545" i="1"/>
  <c r="F1545" i="1"/>
  <c r="E1545" i="1"/>
  <c r="D1545" i="1"/>
  <c r="C1545" i="1"/>
  <c r="B1545" i="1"/>
  <c r="G1544" i="1"/>
  <c r="F1544" i="1"/>
  <c r="E1544" i="1"/>
  <c r="D1544" i="1"/>
  <c r="C1544" i="1"/>
  <c r="B1544" i="1"/>
  <c r="G1543" i="1"/>
  <c r="F1543" i="1"/>
  <c r="E1543" i="1"/>
  <c r="D1543" i="1"/>
  <c r="C1543" i="1"/>
  <c r="B1543" i="1"/>
  <c r="G1542" i="1"/>
  <c r="F1542" i="1"/>
  <c r="E1542" i="1"/>
  <c r="D1542" i="1"/>
  <c r="C1542" i="1"/>
  <c r="B1542" i="1"/>
  <c r="G1541" i="1"/>
  <c r="F1541" i="1"/>
  <c r="E1541" i="1"/>
  <c r="D1541" i="1"/>
  <c r="C1541" i="1"/>
  <c r="B1541" i="1"/>
  <c r="G1540" i="1"/>
  <c r="F1540" i="1"/>
  <c r="E1540" i="1"/>
  <c r="D1540" i="1"/>
  <c r="C1540" i="1"/>
  <c r="B1540" i="1"/>
  <c r="G1539" i="1"/>
  <c r="F1539" i="1"/>
  <c r="E1539" i="1"/>
  <c r="D1539" i="1"/>
  <c r="C1539" i="1"/>
  <c r="B1539" i="1"/>
  <c r="G1538" i="1"/>
  <c r="F1538" i="1"/>
  <c r="E1538" i="1"/>
  <c r="D1538" i="1"/>
  <c r="C1538" i="1"/>
  <c r="B1538" i="1"/>
  <c r="G1537" i="1"/>
  <c r="F1537" i="1"/>
  <c r="E1537" i="1"/>
  <c r="D1537" i="1"/>
  <c r="C1537" i="1"/>
  <c r="B1537" i="1"/>
  <c r="G1536" i="1"/>
  <c r="F1536" i="1"/>
  <c r="E1536" i="1"/>
  <c r="D1536" i="1"/>
  <c r="C1536" i="1"/>
  <c r="B1536" i="1"/>
  <c r="G1535" i="1"/>
  <c r="F1535" i="1"/>
  <c r="E1535" i="1"/>
  <c r="D1535" i="1"/>
  <c r="C1535" i="1"/>
  <c r="B1535" i="1"/>
  <c r="G1534" i="1"/>
  <c r="F1534" i="1"/>
  <c r="E1534" i="1"/>
  <c r="D1534" i="1"/>
  <c r="C1534" i="1"/>
  <c r="B1534" i="1"/>
  <c r="G1533" i="1"/>
  <c r="F1533" i="1"/>
  <c r="E1533" i="1"/>
  <c r="D1533" i="1"/>
  <c r="C1533" i="1"/>
  <c r="B1533" i="1"/>
  <c r="G1532" i="1"/>
  <c r="F1532" i="1"/>
  <c r="E1532" i="1"/>
  <c r="D1532" i="1"/>
  <c r="C1532" i="1"/>
  <c r="B1532" i="1"/>
  <c r="G1531" i="1"/>
  <c r="F1531" i="1"/>
  <c r="E1531" i="1"/>
  <c r="D1531" i="1"/>
  <c r="C1531" i="1"/>
  <c r="B1531" i="1"/>
  <c r="G1530" i="1"/>
  <c r="F1530" i="1"/>
  <c r="E1530" i="1"/>
  <c r="D1530" i="1"/>
  <c r="C1530" i="1"/>
  <c r="B1530" i="1"/>
  <c r="G1529" i="1"/>
  <c r="F1529" i="1"/>
  <c r="E1529" i="1"/>
  <c r="D1529" i="1"/>
  <c r="C1529" i="1"/>
  <c r="B1529" i="1"/>
  <c r="G1528" i="1"/>
  <c r="F1528" i="1"/>
  <c r="E1528" i="1"/>
  <c r="D1528" i="1"/>
  <c r="C1528" i="1"/>
  <c r="B1528" i="1"/>
  <c r="G1527" i="1"/>
  <c r="F1527" i="1"/>
  <c r="E1527" i="1"/>
  <c r="D1527" i="1"/>
  <c r="C1527" i="1"/>
  <c r="B1527" i="1"/>
  <c r="G1526" i="1"/>
  <c r="F1526" i="1"/>
  <c r="E1526" i="1"/>
  <c r="D1526" i="1"/>
  <c r="C1526" i="1"/>
  <c r="B1526" i="1"/>
  <c r="G1525" i="1"/>
  <c r="F1525" i="1"/>
  <c r="E1525" i="1"/>
  <c r="D1525" i="1"/>
  <c r="C1525" i="1"/>
  <c r="B1525" i="1"/>
  <c r="G1524" i="1"/>
  <c r="F1524" i="1"/>
  <c r="E1524" i="1"/>
  <c r="D1524" i="1"/>
  <c r="C1524" i="1"/>
  <c r="B1524" i="1"/>
  <c r="G1523" i="1"/>
  <c r="F1523" i="1"/>
  <c r="E1523" i="1"/>
  <c r="D1523" i="1"/>
  <c r="C1523" i="1"/>
  <c r="B1523" i="1"/>
  <c r="G1522" i="1"/>
  <c r="F1522" i="1"/>
  <c r="E1522" i="1"/>
  <c r="D1522" i="1"/>
  <c r="C1522" i="1"/>
  <c r="B1522" i="1"/>
  <c r="G1521" i="1"/>
  <c r="F1521" i="1"/>
  <c r="E1521" i="1"/>
  <c r="D1521" i="1"/>
  <c r="C1521" i="1"/>
  <c r="B1521" i="1"/>
  <c r="G1520" i="1"/>
  <c r="F1520" i="1"/>
  <c r="E1520" i="1"/>
  <c r="D1520" i="1"/>
  <c r="C1520" i="1"/>
  <c r="B1520" i="1"/>
  <c r="G1519" i="1"/>
  <c r="F1519" i="1"/>
  <c r="E1519" i="1"/>
  <c r="D1519" i="1"/>
  <c r="C1519" i="1"/>
  <c r="B1519" i="1"/>
  <c r="G1518" i="1"/>
  <c r="F1518" i="1"/>
  <c r="E1518" i="1"/>
  <c r="D1518" i="1"/>
  <c r="C1518" i="1"/>
  <c r="B1518" i="1"/>
  <c r="G1517" i="1"/>
  <c r="F1517" i="1"/>
  <c r="E1517" i="1"/>
  <c r="D1517" i="1"/>
  <c r="C1517" i="1"/>
  <c r="B1517" i="1"/>
  <c r="G1516" i="1"/>
  <c r="F1516" i="1"/>
  <c r="E1516" i="1"/>
  <c r="D1516" i="1"/>
  <c r="C1516" i="1"/>
  <c r="B1516" i="1"/>
  <c r="G1515" i="1"/>
  <c r="F1515" i="1"/>
  <c r="E1515" i="1"/>
  <c r="D1515" i="1"/>
  <c r="C1515" i="1"/>
  <c r="B1515" i="1"/>
  <c r="G1514" i="1"/>
  <c r="F1514" i="1"/>
  <c r="E1514" i="1"/>
  <c r="D1514" i="1"/>
  <c r="C1514" i="1"/>
  <c r="B1514" i="1"/>
  <c r="G1513" i="1"/>
  <c r="F1513" i="1"/>
  <c r="E1513" i="1"/>
  <c r="D1513" i="1"/>
  <c r="C1513" i="1"/>
  <c r="B1513" i="1"/>
  <c r="G1512" i="1"/>
  <c r="F1512" i="1"/>
  <c r="E1512" i="1"/>
  <c r="D1512" i="1"/>
  <c r="C1512" i="1"/>
  <c r="B1512" i="1"/>
  <c r="G1511" i="1"/>
  <c r="F1511" i="1"/>
  <c r="E1511" i="1"/>
  <c r="D1511" i="1"/>
  <c r="C1511" i="1"/>
  <c r="B1511" i="1"/>
  <c r="G1510" i="1"/>
  <c r="F1510" i="1"/>
  <c r="E1510" i="1"/>
  <c r="D1510" i="1"/>
  <c r="C1510" i="1"/>
  <c r="B1510" i="1"/>
  <c r="G1509" i="1"/>
  <c r="F1509" i="1"/>
  <c r="E1509" i="1"/>
  <c r="D1509" i="1"/>
  <c r="C1509" i="1"/>
  <c r="B1509" i="1"/>
  <c r="G1508" i="1"/>
  <c r="F1508" i="1"/>
  <c r="E1508" i="1"/>
  <c r="D1508" i="1"/>
  <c r="C1508" i="1"/>
  <c r="B1508" i="1"/>
  <c r="G1507" i="1"/>
  <c r="F1507" i="1"/>
  <c r="E1507" i="1"/>
  <c r="D1507" i="1"/>
  <c r="C1507" i="1"/>
  <c r="B1507" i="1"/>
  <c r="G1506" i="1"/>
  <c r="F1506" i="1"/>
  <c r="E1506" i="1"/>
  <c r="D1506" i="1"/>
  <c r="C1506" i="1"/>
  <c r="B1506" i="1"/>
  <c r="G1505" i="1"/>
  <c r="F1505" i="1"/>
  <c r="E1505" i="1"/>
  <c r="D1505" i="1"/>
  <c r="C1505" i="1"/>
  <c r="B1505" i="1"/>
  <c r="G1504" i="1"/>
  <c r="F1504" i="1"/>
  <c r="E1504" i="1"/>
  <c r="D1504" i="1"/>
  <c r="C1504" i="1"/>
  <c r="B1504" i="1"/>
  <c r="G1503" i="1"/>
  <c r="F1503" i="1"/>
  <c r="E1503" i="1"/>
  <c r="D1503" i="1"/>
  <c r="C1503" i="1"/>
  <c r="B1503" i="1"/>
  <c r="G1502" i="1"/>
  <c r="F1502" i="1"/>
  <c r="E1502" i="1"/>
  <c r="D1502" i="1"/>
  <c r="C1502" i="1"/>
  <c r="B1502" i="1"/>
  <c r="G1501" i="1"/>
  <c r="F1501" i="1"/>
  <c r="E1501" i="1"/>
  <c r="D1501" i="1"/>
  <c r="C1501" i="1"/>
  <c r="B1501" i="1"/>
  <c r="G1500" i="1"/>
  <c r="F1500" i="1"/>
  <c r="E1500" i="1"/>
  <c r="D1500" i="1"/>
  <c r="C1500" i="1"/>
  <c r="B1500" i="1"/>
  <c r="G1499" i="1"/>
  <c r="F1499" i="1"/>
  <c r="E1499" i="1"/>
  <c r="D1499" i="1"/>
  <c r="C1499" i="1"/>
  <c r="B1499" i="1"/>
  <c r="G1498" i="1"/>
  <c r="F1498" i="1"/>
  <c r="E1498" i="1"/>
  <c r="D1498" i="1"/>
  <c r="C1498" i="1"/>
  <c r="B1498" i="1"/>
  <c r="G1497" i="1"/>
  <c r="F1497" i="1"/>
  <c r="E1497" i="1"/>
  <c r="D1497" i="1"/>
  <c r="C1497" i="1"/>
  <c r="B1497" i="1"/>
  <c r="G1496" i="1"/>
  <c r="F1496" i="1"/>
  <c r="E1496" i="1"/>
  <c r="D1496" i="1"/>
  <c r="C1496" i="1"/>
  <c r="B1496" i="1"/>
  <c r="G1495" i="1"/>
  <c r="F1495" i="1"/>
  <c r="E1495" i="1"/>
  <c r="D1495" i="1"/>
  <c r="C1495" i="1"/>
  <c r="B1495" i="1"/>
  <c r="G1494" i="1"/>
  <c r="F1494" i="1"/>
  <c r="E1494" i="1"/>
  <c r="D1494" i="1"/>
  <c r="C1494" i="1"/>
  <c r="B1494" i="1"/>
  <c r="G1493" i="1"/>
  <c r="F1493" i="1"/>
  <c r="E1493" i="1"/>
  <c r="D1493" i="1"/>
  <c r="C1493" i="1"/>
  <c r="B1493" i="1"/>
  <c r="G1492" i="1"/>
  <c r="F1492" i="1"/>
  <c r="E1492" i="1"/>
  <c r="D1492" i="1"/>
  <c r="C1492" i="1"/>
  <c r="B1492" i="1"/>
  <c r="G1491" i="1"/>
  <c r="F1491" i="1"/>
  <c r="E1491" i="1"/>
  <c r="D1491" i="1"/>
  <c r="C1491" i="1"/>
  <c r="B1491" i="1"/>
  <c r="G1490" i="1"/>
  <c r="F1490" i="1"/>
  <c r="E1490" i="1"/>
  <c r="D1490" i="1"/>
  <c r="C1490" i="1"/>
  <c r="B1490" i="1"/>
  <c r="G1489" i="1"/>
  <c r="F1489" i="1"/>
  <c r="E1489" i="1"/>
  <c r="D1489" i="1"/>
  <c r="C1489" i="1"/>
  <c r="B1489" i="1"/>
  <c r="G1488" i="1"/>
  <c r="F1488" i="1"/>
  <c r="E1488" i="1"/>
  <c r="D1488" i="1"/>
  <c r="C1488" i="1"/>
  <c r="B1488" i="1"/>
  <c r="G1487" i="1"/>
  <c r="F1487" i="1"/>
  <c r="E1487" i="1"/>
  <c r="D1487" i="1"/>
  <c r="C1487" i="1"/>
  <c r="B1487" i="1"/>
  <c r="G1486" i="1"/>
  <c r="F1486" i="1"/>
  <c r="E1486" i="1"/>
  <c r="D1486" i="1"/>
  <c r="C1486" i="1"/>
  <c r="B1486" i="1"/>
  <c r="G1485" i="1"/>
  <c r="F1485" i="1"/>
  <c r="E1485" i="1"/>
  <c r="D1485" i="1"/>
  <c r="C1485" i="1"/>
  <c r="B1485" i="1"/>
  <c r="G1484" i="1"/>
  <c r="F1484" i="1"/>
  <c r="E1484" i="1"/>
  <c r="D1484" i="1"/>
  <c r="C1484" i="1"/>
  <c r="B1484" i="1"/>
  <c r="G1483" i="1"/>
  <c r="F1483" i="1"/>
  <c r="E1483" i="1"/>
  <c r="D1483" i="1"/>
  <c r="C1483" i="1"/>
  <c r="B1483" i="1"/>
  <c r="G1482" i="1"/>
  <c r="F1482" i="1"/>
  <c r="E1482" i="1"/>
  <c r="D1482" i="1"/>
  <c r="C1482" i="1"/>
  <c r="B1482" i="1"/>
  <c r="G1481" i="1"/>
  <c r="F1481" i="1"/>
  <c r="E1481" i="1"/>
  <c r="D1481" i="1"/>
  <c r="C1481" i="1"/>
  <c r="B1481" i="1"/>
  <c r="G1480" i="1"/>
  <c r="F1480" i="1"/>
  <c r="E1480" i="1"/>
  <c r="D1480" i="1"/>
  <c r="C1480" i="1"/>
  <c r="B1480" i="1"/>
  <c r="G1479" i="1"/>
  <c r="F1479" i="1"/>
  <c r="E1479" i="1"/>
  <c r="D1479" i="1"/>
  <c r="C1479" i="1"/>
  <c r="B1479" i="1"/>
  <c r="G1478" i="1"/>
  <c r="F1478" i="1"/>
  <c r="E1478" i="1"/>
  <c r="D1478" i="1"/>
  <c r="C1478" i="1"/>
  <c r="B1478" i="1"/>
  <c r="G1477" i="1"/>
  <c r="F1477" i="1"/>
  <c r="E1477" i="1"/>
  <c r="D1477" i="1"/>
  <c r="C1477" i="1"/>
  <c r="B1477" i="1"/>
  <c r="G1476" i="1"/>
  <c r="F1476" i="1"/>
  <c r="E1476" i="1"/>
  <c r="D1476" i="1"/>
  <c r="C1476" i="1"/>
  <c r="B1476" i="1"/>
  <c r="G1475" i="1"/>
  <c r="F1475" i="1"/>
  <c r="E1475" i="1"/>
  <c r="D1475" i="1"/>
  <c r="C1475" i="1"/>
  <c r="B1475" i="1"/>
  <c r="G1474" i="1"/>
  <c r="F1474" i="1"/>
  <c r="E1474" i="1"/>
  <c r="D1474" i="1"/>
  <c r="C1474" i="1"/>
  <c r="B1474" i="1"/>
  <c r="G1473" i="1"/>
  <c r="F1473" i="1"/>
  <c r="E1473" i="1"/>
  <c r="D1473" i="1"/>
  <c r="C1473" i="1"/>
  <c r="B1473" i="1"/>
  <c r="G1472" i="1"/>
  <c r="F1472" i="1"/>
  <c r="E1472" i="1"/>
  <c r="D1472" i="1"/>
  <c r="C1472" i="1"/>
  <c r="B1472" i="1"/>
  <c r="G1471" i="1"/>
  <c r="F1471" i="1"/>
  <c r="E1471" i="1"/>
  <c r="D1471" i="1"/>
  <c r="C1471" i="1"/>
  <c r="B1471" i="1"/>
  <c r="G1470" i="1"/>
  <c r="F1470" i="1"/>
  <c r="E1470" i="1"/>
  <c r="D1470" i="1"/>
  <c r="C1470" i="1"/>
  <c r="B1470" i="1"/>
  <c r="G1469" i="1"/>
  <c r="F1469" i="1"/>
  <c r="E1469" i="1"/>
  <c r="D1469" i="1"/>
  <c r="C1469" i="1"/>
  <c r="B1469" i="1"/>
  <c r="G1468" i="1"/>
  <c r="F1468" i="1"/>
  <c r="E1468" i="1"/>
  <c r="D1468" i="1"/>
  <c r="C1468" i="1"/>
  <c r="B1468" i="1"/>
  <c r="G1467" i="1"/>
  <c r="F1467" i="1"/>
  <c r="E1467" i="1"/>
  <c r="D1467" i="1"/>
  <c r="C1467" i="1"/>
  <c r="B1467" i="1"/>
  <c r="G1466" i="1"/>
  <c r="F1466" i="1"/>
  <c r="E1466" i="1"/>
  <c r="D1466" i="1"/>
  <c r="C1466" i="1"/>
  <c r="B1466" i="1"/>
  <c r="G1465" i="1"/>
  <c r="F1465" i="1"/>
  <c r="E1465" i="1"/>
  <c r="D1465" i="1"/>
  <c r="C1465" i="1"/>
  <c r="B1465" i="1"/>
  <c r="G1464" i="1"/>
  <c r="F1464" i="1"/>
  <c r="E1464" i="1"/>
  <c r="D1464" i="1"/>
  <c r="C1464" i="1"/>
  <c r="B1464" i="1"/>
  <c r="G1463" i="1"/>
  <c r="F1463" i="1"/>
  <c r="E1463" i="1"/>
  <c r="D1463" i="1"/>
  <c r="C1463" i="1"/>
  <c r="B1463" i="1"/>
  <c r="G1462" i="1"/>
  <c r="F1462" i="1"/>
  <c r="E1462" i="1"/>
  <c r="D1462" i="1"/>
  <c r="C1462" i="1"/>
  <c r="B1462" i="1"/>
  <c r="G1461" i="1"/>
  <c r="F1461" i="1"/>
  <c r="E1461" i="1"/>
  <c r="D1461" i="1"/>
  <c r="C1461" i="1"/>
  <c r="B1461" i="1"/>
  <c r="G1460" i="1"/>
  <c r="F1460" i="1"/>
  <c r="E1460" i="1"/>
  <c r="D1460" i="1"/>
  <c r="C1460" i="1"/>
  <c r="B1460" i="1"/>
  <c r="G1459" i="1"/>
  <c r="F1459" i="1"/>
  <c r="E1459" i="1"/>
  <c r="D1459" i="1"/>
  <c r="C1459" i="1"/>
  <c r="B1459" i="1"/>
  <c r="G1458" i="1"/>
  <c r="F1458" i="1"/>
  <c r="E1458" i="1"/>
  <c r="D1458" i="1"/>
  <c r="C1458" i="1"/>
  <c r="B1458" i="1"/>
  <c r="G1457" i="1"/>
  <c r="F1457" i="1"/>
  <c r="E1457" i="1"/>
  <c r="D1457" i="1"/>
  <c r="C1457" i="1"/>
  <c r="B1457" i="1"/>
  <c r="G1456" i="1"/>
  <c r="F1456" i="1"/>
  <c r="E1456" i="1"/>
  <c r="D1456" i="1"/>
  <c r="C1456" i="1"/>
  <c r="B1456" i="1"/>
  <c r="G1455" i="1"/>
  <c r="F1455" i="1"/>
  <c r="E1455" i="1"/>
  <c r="D1455" i="1"/>
  <c r="C1455" i="1"/>
  <c r="B1455" i="1"/>
  <c r="G1454" i="1"/>
  <c r="F1454" i="1"/>
  <c r="E1454" i="1"/>
  <c r="D1454" i="1"/>
  <c r="C1454" i="1"/>
  <c r="B1454" i="1"/>
  <c r="G1453" i="1"/>
  <c r="F1453" i="1"/>
  <c r="E1453" i="1"/>
  <c r="D1453" i="1"/>
  <c r="C1453" i="1"/>
  <c r="B1453" i="1"/>
  <c r="G1452" i="1"/>
  <c r="F1452" i="1"/>
  <c r="E1452" i="1"/>
  <c r="D1452" i="1"/>
  <c r="C1452" i="1"/>
  <c r="B1452" i="1"/>
  <c r="G1451" i="1"/>
  <c r="F1451" i="1"/>
  <c r="E1451" i="1"/>
  <c r="D1451" i="1"/>
  <c r="C1451" i="1"/>
  <c r="B1451" i="1"/>
  <c r="G1450" i="1"/>
  <c r="F1450" i="1"/>
  <c r="E1450" i="1"/>
  <c r="D1450" i="1"/>
  <c r="C1450" i="1"/>
  <c r="B1450" i="1"/>
  <c r="G1449" i="1"/>
  <c r="F1449" i="1"/>
  <c r="E1449" i="1"/>
  <c r="D1449" i="1"/>
  <c r="C1449" i="1"/>
  <c r="B1449" i="1"/>
  <c r="G1448" i="1"/>
  <c r="F1448" i="1"/>
  <c r="E1448" i="1"/>
  <c r="D1448" i="1"/>
  <c r="C1448" i="1"/>
  <c r="B1448" i="1"/>
  <c r="G1447" i="1"/>
  <c r="F1447" i="1"/>
  <c r="E1447" i="1"/>
  <c r="D1447" i="1"/>
  <c r="C1447" i="1"/>
  <c r="B1447" i="1"/>
  <c r="G1446" i="1"/>
  <c r="F1446" i="1"/>
  <c r="E1446" i="1"/>
  <c r="D1446" i="1"/>
  <c r="C1446" i="1"/>
  <c r="B1446" i="1"/>
  <c r="G1445" i="1"/>
  <c r="F1445" i="1"/>
  <c r="E1445" i="1"/>
  <c r="D1445" i="1"/>
  <c r="C1445" i="1"/>
  <c r="B1445" i="1"/>
  <c r="G1444" i="1"/>
  <c r="F1444" i="1"/>
  <c r="E1444" i="1"/>
  <c r="D1444" i="1"/>
  <c r="C1444" i="1"/>
  <c r="B1444" i="1"/>
  <c r="G1443" i="1"/>
  <c r="F1443" i="1"/>
  <c r="E1443" i="1"/>
  <c r="D1443" i="1"/>
  <c r="C1443" i="1"/>
  <c r="B1443" i="1"/>
  <c r="G1442" i="1"/>
  <c r="F1442" i="1"/>
  <c r="E1442" i="1"/>
  <c r="D1442" i="1"/>
  <c r="C1442" i="1"/>
  <c r="B1442" i="1"/>
  <c r="G1441" i="1"/>
  <c r="F1441" i="1"/>
  <c r="E1441" i="1"/>
  <c r="D1441" i="1"/>
  <c r="C1441" i="1"/>
  <c r="B1441" i="1"/>
  <c r="G1440" i="1"/>
  <c r="F1440" i="1"/>
  <c r="E1440" i="1"/>
  <c r="D1440" i="1"/>
  <c r="C1440" i="1"/>
  <c r="B1440" i="1"/>
  <c r="G1439" i="1"/>
  <c r="F1439" i="1"/>
  <c r="E1439" i="1"/>
  <c r="D1439" i="1"/>
  <c r="C1439" i="1"/>
  <c r="B1439" i="1"/>
  <c r="G1438" i="1"/>
  <c r="F1438" i="1"/>
  <c r="E1438" i="1"/>
  <c r="D1438" i="1"/>
  <c r="C1438" i="1"/>
  <c r="B1438" i="1"/>
  <c r="G1437" i="1"/>
  <c r="F1437" i="1"/>
  <c r="E1437" i="1"/>
  <c r="D1437" i="1"/>
  <c r="C1437" i="1"/>
  <c r="B1437" i="1"/>
  <c r="G1436" i="1"/>
  <c r="F1436" i="1"/>
  <c r="E1436" i="1"/>
  <c r="D1436" i="1"/>
  <c r="C1436" i="1"/>
  <c r="B1436" i="1"/>
  <c r="G1435" i="1"/>
  <c r="F1435" i="1"/>
  <c r="E1435" i="1"/>
  <c r="D1435" i="1"/>
  <c r="C1435" i="1"/>
  <c r="B1435" i="1"/>
  <c r="G1434" i="1"/>
  <c r="F1434" i="1"/>
  <c r="E1434" i="1"/>
  <c r="D1434" i="1"/>
  <c r="C1434" i="1"/>
  <c r="B1434" i="1"/>
  <c r="G1433" i="1"/>
  <c r="F1433" i="1"/>
  <c r="E1433" i="1"/>
  <c r="D1433" i="1"/>
  <c r="C1433" i="1"/>
  <c r="B1433" i="1"/>
  <c r="G1432" i="1"/>
  <c r="F1432" i="1"/>
  <c r="E1432" i="1"/>
  <c r="D1432" i="1"/>
  <c r="C1432" i="1"/>
  <c r="B1432" i="1"/>
  <c r="G1431" i="1"/>
  <c r="F1431" i="1"/>
  <c r="E1431" i="1"/>
  <c r="D1431" i="1"/>
  <c r="C1431" i="1"/>
  <c r="B1431" i="1"/>
  <c r="G1430" i="1"/>
  <c r="F1430" i="1"/>
  <c r="E1430" i="1"/>
  <c r="D1430" i="1"/>
  <c r="C1430" i="1"/>
  <c r="B1430" i="1"/>
  <c r="G1429" i="1"/>
  <c r="F1429" i="1"/>
  <c r="E1429" i="1"/>
  <c r="D1429" i="1"/>
  <c r="C1429" i="1"/>
  <c r="B1429" i="1"/>
  <c r="G1428" i="1"/>
  <c r="F1428" i="1"/>
  <c r="E1428" i="1"/>
  <c r="D1428" i="1"/>
  <c r="C1428" i="1"/>
  <c r="B1428" i="1"/>
  <c r="G1427" i="1"/>
  <c r="F1427" i="1"/>
  <c r="E1427" i="1"/>
  <c r="D1427" i="1"/>
  <c r="C1427" i="1"/>
  <c r="B1427" i="1"/>
  <c r="G1426" i="1"/>
  <c r="F1426" i="1"/>
  <c r="E1426" i="1"/>
  <c r="D1426" i="1"/>
  <c r="C1426" i="1"/>
  <c r="B1426" i="1"/>
  <c r="G1425" i="1"/>
  <c r="F1425" i="1"/>
  <c r="E1425" i="1"/>
  <c r="D1425" i="1"/>
  <c r="C1425" i="1"/>
  <c r="B1425" i="1"/>
  <c r="G1424" i="1"/>
  <c r="F1424" i="1"/>
  <c r="E1424" i="1"/>
  <c r="D1424" i="1"/>
  <c r="C1424" i="1"/>
  <c r="B1424" i="1"/>
  <c r="G1423" i="1"/>
  <c r="F1423" i="1"/>
  <c r="E1423" i="1"/>
  <c r="D1423" i="1"/>
  <c r="C1423" i="1"/>
  <c r="B1423" i="1"/>
  <c r="G1422" i="1"/>
  <c r="F1422" i="1"/>
  <c r="E1422" i="1"/>
  <c r="D1422" i="1"/>
  <c r="C1422" i="1"/>
  <c r="B1422" i="1"/>
  <c r="G1421" i="1"/>
  <c r="F1421" i="1"/>
  <c r="E1421" i="1"/>
  <c r="D1421" i="1"/>
  <c r="C1421" i="1"/>
  <c r="B1421" i="1"/>
  <c r="G1420" i="1"/>
  <c r="F1420" i="1"/>
  <c r="E1420" i="1"/>
  <c r="D1420" i="1"/>
  <c r="C1420" i="1"/>
  <c r="B1420" i="1"/>
  <c r="G1419" i="1"/>
  <c r="F1419" i="1"/>
  <c r="E1419" i="1"/>
  <c r="D1419" i="1"/>
  <c r="C1419" i="1"/>
  <c r="B1419" i="1"/>
  <c r="G1418" i="1"/>
  <c r="F1418" i="1"/>
  <c r="E1418" i="1"/>
  <c r="D1418" i="1"/>
  <c r="C1418" i="1"/>
  <c r="B1418" i="1"/>
  <c r="G1417" i="1"/>
  <c r="F1417" i="1"/>
  <c r="E1417" i="1"/>
  <c r="D1417" i="1"/>
  <c r="C1417" i="1"/>
  <c r="B1417" i="1"/>
  <c r="G1416" i="1"/>
  <c r="F1416" i="1"/>
  <c r="E1416" i="1"/>
  <c r="D1416" i="1"/>
  <c r="C1416" i="1"/>
  <c r="B1416" i="1"/>
  <c r="G1415" i="1"/>
  <c r="F1415" i="1"/>
  <c r="E1415" i="1"/>
  <c r="D1415" i="1"/>
  <c r="C1415" i="1"/>
  <c r="B1415" i="1"/>
  <c r="G1414" i="1"/>
  <c r="F1414" i="1"/>
  <c r="E1414" i="1"/>
  <c r="D1414" i="1"/>
  <c r="C1414" i="1"/>
  <c r="B1414" i="1"/>
  <c r="G1413" i="1"/>
  <c r="F1413" i="1"/>
  <c r="E1413" i="1"/>
  <c r="D1413" i="1"/>
  <c r="C1413" i="1"/>
  <c r="B1413" i="1"/>
  <c r="G1412" i="1"/>
  <c r="F1412" i="1"/>
  <c r="E1412" i="1"/>
  <c r="D1412" i="1"/>
  <c r="C1412" i="1"/>
  <c r="B1412" i="1"/>
  <c r="G1411" i="1"/>
  <c r="F1411" i="1"/>
  <c r="E1411" i="1"/>
  <c r="D1411" i="1"/>
  <c r="C1411" i="1"/>
  <c r="B1411" i="1"/>
  <c r="G1410" i="1"/>
  <c r="F1410" i="1"/>
  <c r="E1410" i="1"/>
  <c r="D1410" i="1"/>
  <c r="C1410" i="1"/>
  <c r="B1410" i="1"/>
  <c r="G1409" i="1"/>
  <c r="F1409" i="1"/>
  <c r="E1409" i="1"/>
  <c r="D1409" i="1"/>
  <c r="C1409" i="1"/>
  <c r="B1409" i="1"/>
  <c r="G1408" i="1"/>
  <c r="F1408" i="1"/>
  <c r="E1408" i="1"/>
  <c r="D1408" i="1"/>
  <c r="C1408" i="1"/>
  <c r="B1408" i="1"/>
  <c r="G1407" i="1"/>
  <c r="F1407" i="1"/>
  <c r="E1407" i="1"/>
  <c r="D1407" i="1"/>
  <c r="C1407" i="1"/>
  <c r="B1407" i="1"/>
  <c r="G1406" i="1"/>
  <c r="F1406" i="1"/>
  <c r="E1406" i="1"/>
  <c r="D1406" i="1"/>
  <c r="C1406" i="1"/>
  <c r="B1406" i="1"/>
  <c r="G1405" i="1"/>
  <c r="F1405" i="1"/>
  <c r="E1405" i="1"/>
  <c r="D1405" i="1"/>
  <c r="C1405" i="1"/>
  <c r="B1405" i="1"/>
  <c r="G1404" i="1"/>
  <c r="F1404" i="1"/>
  <c r="E1404" i="1"/>
  <c r="D1404" i="1"/>
  <c r="C1404" i="1"/>
  <c r="B1404" i="1"/>
  <c r="G1403" i="1"/>
  <c r="F1403" i="1"/>
  <c r="E1403" i="1"/>
  <c r="D1403" i="1"/>
  <c r="C1403" i="1"/>
  <c r="B1403" i="1"/>
  <c r="G1402" i="1"/>
  <c r="F1402" i="1"/>
  <c r="E1402" i="1"/>
  <c r="D1402" i="1"/>
  <c r="C1402" i="1"/>
  <c r="B1402" i="1"/>
  <c r="G1401" i="1"/>
  <c r="F1401" i="1"/>
  <c r="E1401" i="1"/>
  <c r="D1401" i="1"/>
  <c r="C1401" i="1"/>
  <c r="B1401" i="1"/>
  <c r="G1400" i="1"/>
  <c r="F1400" i="1"/>
  <c r="E1400" i="1"/>
  <c r="D1400" i="1"/>
  <c r="C1400" i="1"/>
  <c r="B1400" i="1"/>
  <c r="G1399" i="1"/>
  <c r="F1399" i="1"/>
  <c r="E1399" i="1"/>
  <c r="D1399" i="1"/>
  <c r="C1399" i="1"/>
  <c r="B1399" i="1"/>
  <c r="G1398" i="1"/>
  <c r="F1398" i="1"/>
  <c r="E1398" i="1"/>
  <c r="D1398" i="1"/>
  <c r="C1398" i="1"/>
  <c r="B1398" i="1"/>
  <c r="G1397" i="1"/>
  <c r="F1397" i="1"/>
  <c r="E1397" i="1"/>
  <c r="D1397" i="1"/>
  <c r="C1397" i="1"/>
  <c r="B1397" i="1"/>
  <c r="G1396" i="1"/>
  <c r="F1396" i="1"/>
  <c r="E1396" i="1"/>
  <c r="D1396" i="1"/>
  <c r="C1396" i="1"/>
  <c r="B1396" i="1"/>
  <c r="G1395" i="1"/>
  <c r="F1395" i="1"/>
  <c r="E1395" i="1"/>
  <c r="D1395" i="1"/>
  <c r="C1395" i="1"/>
  <c r="B1395" i="1"/>
  <c r="G1394" i="1"/>
  <c r="F1394" i="1"/>
  <c r="E1394" i="1"/>
  <c r="D1394" i="1"/>
  <c r="C1394" i="1"/>
  <c r="B1394" i="1"/>
  <c r="G1393" i="1"/>
  <c r="F1393" i="1"/>
  <c r="E1393" i="1"/>
  <c r="D1393" i="1"/>
  <c r="C1393" i="1"/>
  <c r="B1393" i="1"/>
  <c r="G1392" i="1"/>
  <c r="F1392" i="1"/>
  <c r="E1392" i="1"/>
  <c r="D1392" i="1"/>
  <c r="C1392" i="1"/>
  <c r="B1392" i="1"/>
  <c r="G1391" i="1"/>
  <c r="F1391" i="1"/>
  <c r="E1391" i="1"/>
  <c r="D1391" i="1"/>
  <c r="C1391" i="1"/>
  <c r="B1391" i="1"/>
  <c r="G1390" i="1"/>
  <c r="F1390" i="1"/>
  <c r="E1390" i="1"/>
  <c r="D1390" i="1"/>
  <c r="C1390" i="1"/>
  <c r="B1390" i="1"/>
  <c r="G1389" i="1"/>
  <c r="F1389" i="1"/>
  <c r="E1389" i="1"/>
  <c r="D1389" i="1"/>
  <c r="C1389" i="1"/>
  <c r="B1389" i="1"/>
  <c r="G1388" i="1"/>
  <c r="F1388" i="1"/>
  <c r="E1388" i="1"/>
  <c r="D1388" i="1"/>
  <c r="C1388" i="1"/>
  <c r="B1388" i="1"/>
  <c r="G1387" i="1"/>
  <c r="F1387" i="1"/>
  <c r="E1387" i="1"/>
  <c r="D1387" i="1"/>
  <c r="C1387" i="1"/>
  <c r="B1387" i="1"/>
  <c r="G1386" i="1"/>
  <c r="F1386" i="1"/>
  <c r="E1386" i="1"/>
  <c r="D1386" i="1"/>
  <c r="C1386" i="1"/>
  <c r="B1386" i="1"/>
  <c r="G1385" i="1"/>
  <c r="F1385" i="1"/>
  <c r="E1385" i="1"/>
  <c r="D1385" i="1"/>
  <c r="C1385" i="1"/>
  <c r="B1385" i="1"/>
  <c r="G1384" i="1"/>
  <c r="F1384" i="1"/>
  <c r="E1384" i="1"/>
  <c r="D1384" i="1"/>
  <c r="C1384" i="1"/>
  <c r="B1384" i="1"/>
  <c r="G1383" i="1"/>
  <c r="F1383" i="1"/>
  <c r="E1383" i="1"/>
  <c r="D1383" i="1"/>
  <c r="C1383" i="1"/>
  <c r="B1383" i="1"/>
  <c r="G1382" i="1"/>
  <c r="F1382" i="1"/>
  <c r="E1382" i="1"/>
  <c r="D1382" i="1"/>
  <c r="C1382" i="1"/>
  <c r="B1382" i="1"/>
  <c r="G1381" i="1"/>
  <c r="F1381" i="1"/>
  <c r="E1381" i="1"/>
  <c r="D1381" i="1"/>
  <c r="C1381" i="1"/>
  <c r="B1381" i="1"/>
  <c r="G1380" i="1"/>
  <c r="F1380" i="1"/>
  <c r="E1380" i="1"/>
  <c r="D1380" i="1"/>
  <c r="C1380" i="1"/>
  <c r="B1380" i="1"/>
  <c r="G1379" i="1"/>
  <c r="F1379" i="1"/>
  <c r="E1379" i="1"/>
  <c r="D1379" i="1"/>
  <c r="C1379" i="1"/>
  <c r="B1379" i="1"/>
  <c r="G1378" i="1"/>
  <c r="F1378" i="1"/>
  <c r="E1378" i="1"/>
  <c r="D1378" i="1"/>
  <c r="C1378" i="1"/>
  <c r="B1378" i="1"/>
  <c r="G1377" i="1"/>
  <c r="F1377" i="1"/>
  <c r="E1377" i="1"/>
  <c r="D1377" i="1"/>
  <c r="C1377" i="1"/>
  <c r="B1377" i="1"/>
  <c r="G1376" i="1"/>
  <c r="F1376" i="1"/>
  <c r="E1376" i="1"/>
  <c r="D1376" i="1"/>
  <c r="C1376" i="1"/>
  <c r="B1376" i="1"/>
  <c r="G1375" i="1"/>
  <c r="F1375" i="1"/>
  <c r="E1375" i="1"/>
  <c r="D1375" i="1"/>
  <c r="C1375" i="1"/>
  <c r="B1375" i="1"/>
  <c r="G1374" i="1"/>
  <c r="F1374" i="1"/>
  <c r="E1374" i="1"/>
  <c r="D1374" i="1"/>
  <c r="C1374" i="1"/>
  <c r="B1374" i="1"/>
  <c r="G1373" i="1"/>
  <c r="F1373" i="1"/>
  <c r="E1373" i="1"/>
  <c r="D1373" i="1"/>
  <c r="C1373" i="1"/>
  <c r="B1373" i="1"/>
  <c r="G1372" i="1"/>
  <c r="F1372" i="1"/>
  <c r="E1372" i="1"/>
  <c r="D1372" i="1"/>
  <c r="C1372" i="1"/>
  <c r="B1372" i="1"/>
  <c r="G1371" i="1"/>
  <c r="F1371" i="1"/>
  <c r="E1371" i="1"/>
  <c r="D1371" i="1"/>
  <c r="C1371" i="1"/>
  <c r="B1371" i="1"/>
  <c r="G1370" i="1"/>
  <c r="F1370" i="1"/>
  <c r="E1370" i="1"/>
  <c r="D1370" i="1"/>
  <c r="C1370" i="1"/>
  <c r="B1370" i="1"/>
  <c r="G1369" i="1"/>
  <c r="F1369" i="1"/>
  <c r="E1369" i="1"/>
  <c r="D1369" i="1"/>
  <c r="C1369" i="1"/>
  <c r="B1369" i="1"/>
  <c r="G1368" i="1"/>
  <c r="F1368" i="1"/>
  <c r="E1368" i="1"/>
  <c r="D1368" i="1"/>
  <c r="C1368" i="1"/>
  <c r="B1368" i="1"/>
  <c r="G1367" i="1"/>
  <c r="F1367" i="1"/>
  <c r="E1367" i="1"/>
  <c r="D1367" i="1"/>
  <c r="C1367" i="1"/>
  <c r="B1367" i="1"/>
  <c r="G1366" i="1"/>
  <c r="F1366" i="1"/>
  <c r="E1366" i="1"/>
  <c r="D1366" i="1"/>
  <c r="C1366" i="1"/>
  <c r="B1366" i="1"/>
  <c r="G1365" i="1"/>
  <c r="F1365" i="1"/>
  <c r="E1365" i="1"/>
  <c r="D1365" i="1"/>
  <c r="C1365" i="1"/>
  <c r="B1365" i="1"/>
  <c r="G1364" i="1"/>
  <c r="F1364" i="1"/>
  <c r="E1364" i="1"/>
  <c r="D1364" i="1"/>
  <c r="C1364" i="1"/>
  <c r="B1364" i="1"/>
  <c r="G1363" i="1"/>
  <c r="F1363" i="1"/>
  <c r="E1363" i="1"/>
  <c r="D1363" i="1"/>
  <c r="C1363" i="1"/>
  <c r="B1363" i="1"/>
  <c r="G1362" i="1"/>
  <c r="F1362" i="1"/>
  <c r="E1362" i="1"/>
  <c r="D1362" i="1"/>
  <c r="C1362" i="1"/>
  <c r="B1362" i="1"/>
  <c r="G1361" i="1"/>
  <c r="F1361" i="1"/>
  <c r="E1361" i="1"/>
  <c r="D1361" i="1"/>
  <c r="C1361" i="1"/>
  <c r="B1361" i="1"/>
  <c r="G1360" i="1"/>
  <c r="F1360" i="1"/>
  <c r="E1360" i="1"/>
  <c r="D1360" i="1"/>
  <c r="C1360" i="1"/>
  <c r="B1360" i="1"/>
  <c r="G1359" i="1"/>
  <c r="F1359" i="1"/>
  <c r="E1359" i="1"/>
  <c r="D1359" i="1"/>
  <c r="C1359" i="1"/>
  <c r="B1359" i="1"/>
  <c r="G1358" i="1"/>
  <c r="F1358" i="1"/>
  <c r="E1358" i="1"/>
  <c r="D1358" i="1"/>
  <c r="C1358" i="1"/>
  <c r="B1358" i="1"/>
  <c r="G1357" i="1"/>
  <c r="F1357" i="1"/>
  <c r="E1357" i="1"/>
  <c r="D1357" i="1"/>
  <c r="C1357" i="1"/>
  <c r="B1357" i="1"/>
  <c r="G1356" i="1"/>
  <c r="F1356" i="1"/>
  <c r="E1356" i="1"/>
  <c r="D1356" i="1"/>
  <c r="C1356" i="1"/>
  <c r="B1356" i="1"/>
  <c r="G1355" i="1"/>
  <c r="F1355" i="1"/>
  <c r="E1355" i="1"/>
  <c r="D1355" i="1"/>
  <c r="C1355" i="1"/>
  <c r="B1355" i="1"/>
  <c r="G1354" i="1"/>
  <c r="F1354" i="1"/>
  <c r="E1354" i="1"/>
  <c r="D1354" i="1"/>
  <c r="C1354" i="1"/>
  <c r="B1354" i="1"/>
  <c r="G1353" i="1"/>
  <c r="F1353" i="1"/>
  <c r="E1353" i="1"/>
  <c r="D1353" i="1"/>
  <c r="C1353" i="1"/>
  <c r="B1353" i="1"/>
  <c r="G1352" i="1"/>
  <c r="F1352" i="1"/>
  <c r="E1352" i="1"/>
  <c r="D1352" i="1"/>
  <c r="C1352" i="1"/>
  <c r="B1352" i="1"/>
  <c r="G1351" i="1"/>
  <c r="F1351" i="1"/>
  <c r="E1351" i="1"/>
  <c r="D1351" i="1"/>
  <c r="C1351" i="1"/>
  <c r="B1351" i="1"/>
  <c r="G1350" i="1"/>
  <c r="F1350" i="1"/>
  <c r="E1350" i="1"/>
  <c r="D1350" i="1"/>
  <c r="C1350" i="1"/>
  <c r="B1350" i="1"/>
  <c r="G1349" i="1"/>
  <c r="F1349" i="1"/>
  <c r="E1349" i="1"/>
  <c r="D1349" i="1"/>
  <c r="C1349" i="1"/>
  <c r="B1349" i="1"/>
  <c r="G1348" i="1"/>
  <c r="F1348" i="1"/>
  <c r="E1348" i="1"/>
  <c r="D1348" i="1"/>
  <c r="C1348" i="1"/>
  <c r="B1348" i="1"/>
  <c r="G1347" i="1"/>
  <c r="F1347" i="1"/>
  <c r="E1347" i="1"/>
  <c r="D1347" i="1"/>
  <c r="C1347" i="1"/>
  <c r="B1347" i="1"/>
  <c r="G1346" i="1"/>
  <c r="F1346" i="1"/>
  <c r="E1346" i="1"/>
  <c r="D1346" i="1"/>
  <c r="C1346" i="1"/>
  <c r="B1346" i="1"/>
  <c r="G1345" i="1"/>
  <c r="F1345" i="1"/>
  <c r="E1345" i="1"/>
  <c r="D1345" i="1"/>
  <c r="C1345" i="1"/>
  <c r="B1345" i="1"/>
  <c r="G1344" i="1"/>
  <c r="F1344" i="1"/>
  <c r="E1344" i="1"/>
  <c r="D1344" i="1"/>
  <c r="C1344" i="1"/>
  <c r="B1344" i="1"/>
  <c r="G1343" i="1"/>
  <c r="F1343" i="1"/>
  <c r="E1343" i="1"/>
  <c r="D1343" i="1"/>
  <c r="C1343" i="1"/>
  <c r="B1343" i="1"/>
  <c r="G1342" i="1"/>
  <c r="F1342" i="1"/>
  <c r="E1342" i="1"/>
  <c r="D1342" i="1"/>
  <c r="C1342" i="1"/>
  <c r="B1342" i="1"/>
  <c r="G1341" i="1"/>
  <c r="F1341" i="1"/>
  <c r="E1341" i="1"/>
  <c r="D1341" i="1"/>
  <c r="C1341" i="1"/>
  <c r="B1341" i="1"/>
  <c r="G1340" i="1"/>
  <c r="F1340" i="1"/>
  <c r="E1340" i="1"/>
  <c r="D1340" i="1"/>
  <c r="C1340" i="1"/>
  <c r="B1340" i="1"/>
  <c r="G1339" i="1"/>
  <c r="F1339" i="1"/>
  <c r="E1339" i="1"/>
  <c r="D1339" i="1"/>
  <c r="C1339" i="1"/>
  <c r="B1339" i="1"/>
  <c r="G1338" i="1"/>
  <c r="F1338" i="1"/>
  <c r="E1338" i="1"/>
  <c r="D1338" i="1"/>
  <c r="C1338" i="1"/>
  <c r="B1338" i="1"/>
  <c r="G1337" i="1"/>
  <c r="F1337" i="1"/>
  <c r="E1337" i="1"/>
  <c r="D1337" i="1"/>
  <c r="C1337" i="1"/>
  <c r="B1337" i="1"/>
  <c r="G1336" i="1"/>
  <c r="F1336" i="1"/>
  <c r="E1336" i="1"/>
  <c r="D1336" i="1"/>
  <c r="C1336" i="1"/>
  <c r="B1336" i="1"/>
  <c r="G1335" i="1"/>
  <c r="F1335" i="1"/>
  <c r="E1335" i="1"/>
  <c r="D1335" i="1"/>
  <c r="C1335" i="1"/>
  <c r="B1335" i="1"/>
  <c r="G1334" i="1"/>
  <c r="F1334" i="1"/>
  <c r="E1334" i="1"/>
  <c r="D1334" i="1"/>
  <c r="C1334" i="1"/>
  <c r="B1334" i="1"/>
  <c r="G1333" i="1"/>
  <c r="F1333" i="1"/>
  <c r="E1333" i="1"/>
  <c r="D1333" i="1"/>
  <c r="C1333" i="1"/>
  <c r="B1333" i="1"/>
  <c r="G1332" i="1"/>
  <c r="F1332" i="1"/>
  <c r="E1332" i="1"/>
  <c r="D1332" i="1"/>
  <c r="C1332" i="1"/>
  <c r="B1332" i="1"/>
  <c r="G1331" i="1"/>
  <c r="F1331" i="1"/>
  <c r="E1331" i="1"/>
  <c r="D1331" i="1"/>
  <c r="C1331" i="1"/>
  <c r="B1331" i="1"/>
  <c r="G1330" i="1"/>
  <c r="F1330" i="1"/>
  <c r="E1330" i="1"/>
  <c r="D1330" i="1"/>
  <c r="C1330" i="1"/>
  <c r="B1330" i="1"/>
  <c r="G1329" i="1"/>
  <c r="F1329" i="1"/>
  <c r="E1329" i="1"/>
  <c r="D1329" i="1"/>
  <c r="C1329" i="1"/>
  <c r="B1329" i="1"/>
  <c r="G1328" i="1"/>
  <c r="F1328" i="1"/>
  <c r="E1328" i="1"/>
  <c r="D1328" i="1"/>
  <c r="C1328" i="1"/>
  <c r="B1328" i="1"/>
  <c r="G1327" i="1"/>
  <c r="F1327" i="1"/>
  <c r="E1327" i="1"/>
  <c r="D1327" i="1"/>
  <c r="C1327" i="1"/>
  <c r="B1327" i="1"/>
  <c r="G1326" i="1"/>
  <c r="F1326" i="1"/>
  <c r="E1326" i="1"/>
  <c r="D1326" i="1"/>
  <c r="C1326" i="1"/>
  <c r="B1326" i="1"/>
  <c r="G1325" i="1"/>
  <c r="F1325" i="1"/>
  <c r="E1325" i="1"/>
  <c r="D1325" i="1"/>
  <c r="C1325" i="1"/>
  <c r="B1325" i="1"/>
  <c r="G1324" i="1"/>
  <c r="F1324" i="1"/>
  <c r="E1324" i="1"/>
  <c r="D1324" i="1"/>
  <c r="C1324" i="1"/>
  <c r="B1324" i="1"/>
  <c r="G1323" i="1"/>
  <c r="F1323" i="1"/>
  <c r="E1323" i="1"/>
  <c r="D1323" i="1"/>
  <c r="C1323" i="1"/>
  <c r="B1323" i="1"/>
  <c r="G1322" i="1"/>
  <c r="F1322" i="1"/>
  <c r="E1322" i="1"/>
  <c r="D1322" i="1"/>
  <c r="C1322" i="1"/>
  <c r="B1322" i="1"/>
  <c r="G1321" i="1"/>
  <c r="F1321" i="1"/>
  <c r="E1321" i="1"/>
  <c r="D1321" i="1"/>
  <c r="C1321" i="1"/>
  <c r="B1321" i="1"/>
  <c r="G1320" i="1"/>
  <c r="F1320" i="1"/>
  <c r="E1320" i="1"/>
  <c r="D1320" i="1"/>
  <c r="C1320" i="1"/>
  <c r="B1320" i="1"/>
  <c r="G1319" i="1"/>
  <c r="F1319" i="1"/>
  <c r="E1319" i="1"/>
  <c r="D1319" i="1"/>
  <c r="C1319" i="1"/>
  <c r="B1319" i="1"/>
  <c r="G1318" i="1"/>
  <c r="F1318" i="1"/>
  <c r="E1318" i="1"/>
  <c r="D1318" i="1"/>
  <c r="C1318" i="1"/>
  <c r="B1318" i="1"/>
  <c r="G1317" i="1"/>
  <c r="F1317" i="1"/>
  <c r="E1317" i="1"/>
  <c r="D1317" i="1"/>
  <c r="C1317" i="1"/>
  <c r="B1317" i="1"/>
  <c r="G1316" i="1"/>
  <c r="F1316" i="1"/>
  <c r="E1316" i="1"/>
  <c r="D1316" i="1"/>
  <c r="C1316" i="1"/>
  <c r="B1316" i="1"/>
  <c r="G1315" i="1"/>
  <c r="F1315" i="1"/>
  <c r="E1315" i="1"/>
  <c r="D1315" i="1"/>
  <c r="C1315" i="1"/>
  <c r="B1315" i="1"/>
  <c r="G1314" i="1"/>
  <c r="F1314" i="1"/>
  <c r="E1314" i="1"/>
  <c r="D1314" i="1"/>
  <c r="C1314" i="1"/>
  <c r="B1314" i="1"/>
  <c r="G1313" i="1"/>
  <c r="F1313" i="1"/>
  <c r="E1313" i="1"/>
  <c r="D1313" i="1"/>
  <c r="C1313" i="1"/>
  <c r="B1313" i="1"/>
  <c r="G1312" i="1"/>
  <c r="F1312" i="1"/>
  <c r="E1312" i="1"/>
  <c r="D1312" i="1"/>
  <c r="C1312" i="1"/>
  <c r="B1312" i="1"/>
  <c r="G1311" i="1"/>
  <c r="F1311" i="1"/>
  <c r="E1311" i="1"/>
  <c r="D1311" i="1"/>
  <c r="C1311" i="1"/>
  <c r="B1311" i="1"/>
  <c r="G1310" i="1"/>
  <c r="F1310" i="1"/>
  <c r="E1310" i="1"/>
  <c r="D1310" i="1"/>
  <c r="C1310" i="1"/>
  <c r="B1310" i="1"/>
  <c r="G1309" i="1"/>
  <c r="F1309" i="1"/>
  <c r="E1309" i="1"/>
  <c r="D1309" i="1"/>
  <c r="C1309" i="1"/>
  <c r="B1309" i="1"/>
  <c r="G1308" i="1"/>
  <c r="F1308" i="1"/>
  <c r="E1308" i="1"/>
  <c r="D1308" i="1"/>
  <c r="C1308" i="1"/>
  <c r="B1308" i="1"/>
  <c r="G1307" i="1"/>
  <c r="F1307" i="1"/>
  <c r="E1307" i="1"/>
  <c r="D1307" i="1"/>
  <c r="C1307" i="1"/>
  <c r="B1307" i="1"/>
  <c r="G1306" i="1"/>
  <c r="F1306" i="1"/>
  <c r="E1306" i="1"/>
  <c r="D1306" i="1"/>
  <c r="C1306" i="1"/>
  <c r="B1306" i="1"/>
  <c r="G1305" i="1"/>
  <c r="F1305" i="1"/>
  <c r="E1305" i="1"/>
  <c r="D1305" i="1"/>
  <c r="C1305" i="1"/>
  <c r="B1305" i="1"/>
  <c r="G1304" i="1"/>
  <c r="F1304" i="1"/>
  <c r="E1304" i="1"/>
  <c r="D1304" i="1"/>
  <c r="C1304" i="1"/>
  <c r="B1304" i="1"/>
  <c r="G1303" i="1"/>
  <c r="F1303" i="1"/>
  <c r="E1303" i="1"/>
  <c r="D1303" i="1"/>
  <c r="C1303" i="1"/>
  <c r="B1303" i="1"/>
  <c r="G1302" i="1"/>
  <c r="F1302" i="1"/>
  <c r="E1302" i="1"/>
  <c r="D1302" i="1"/>
  <c r="C1302" i="1"/>
  <c r="B1302" i="1"/>
  <c r="G1301" i="1"/>
  <c r="F1301" i="1"/>
  <c r="E1301" i="1"/>
  <c r="D1301" i="1"/>
  <c r="C1301" i="1"/>
  <c r="B1301" i="1"/>
  <c r="G1300" i="1"/>
  <c r="F1300" i="1"/>
  <c r="E1300" i="1"/>
  <c r="D1300" i="1"/>
  <c r="C1300" i="1"/>
  <c r="B1300" i="1"/>
  <c r="G1299" i="1"/>
  <c r="F1299" i="1"/>
  <c r="E1299" i="1"/>
  <c r="D1299" i="1"/>
  <c r="C1299" i="1"/>
  <c r="B1299" i="1"/>
  <c r="G1298" i="1"/>
  <c r="F1298" i="1"/>
  <c r="E1298" i="1"/>
  <c r="D1298" i="1"/>
  <c r="C1298" i="1"/>
  <c r="B1298" i="1"/>
  <c r="G1297" i="1"/>
  <c r="F1297" i="1"/>
  <c r="E1297" i="1"/>
  <c r="D1297" i="1"/>
  <c r="C1297" i="1"/>
  <c r="B1297" i="1"/>
  <c r="G1296" i="1"/>
  <c r="F1296" i="1"/>
  <c r="E1296" i="1"/>
  <c r="D1296" i="1"/>
  <c r="C1296" i="1"/>
  <c r="B1296" i="1"/>
  <c r="G1295" i="1"/>
  <c r="F1295" i="1"/>
  <c r="E1295" i="1"/>
  <c r="D1295" i="1"/>
  <c r="C1295" i="1"/>
  <c r="B1295" i="1"/>
  <c r="G1294" i="1"/>
  <c r="F1294" i="1"/>
  <c r="E1294" i="1"/>
  <c r="D1294" i="1"/>
  <c r="C1294" i="1"/>
  <c r="B1294" i="1"/>
  <c r="G1293" i="1"/>
  <c r="F1293" i="1"/>
  <c r="E1293" i="1"/>
  <c r="D1293" i="1"/>
  <c r="C1293" i="1"/>
  <c r="B1293" i="1"/>
  <c r="G1292" i="1"/>
  <c r="F1292" i="1"/>
  <c r="E1292" i="1"/>
  <c r="D1292" i="1"/>
  <c r="C1292" i="1"/>
  <c r="B1292" i="1"/>
  <c r="G1291" i="1"/>
  <c r="F1291" i="1"/>
  <c r="E1291" i="1"/>
  <c r="D1291" i="1"/>
  <c r="C1291" i="1"/>
  <c r="B1291" i="1"/>
  <c r="G1290" i="1"/>
  <c r="F1290" i="1"/>
  <c r="E1290" i="1"/>
  <c r="D1290" i="1"/>
  <c r="C1290" i="1"/>
  <c r="B1290" i="1"/>
  <c r="G1289" i="1"/>
  <c r="F1289" i="1"/>
  <c r="E1289" i="1"/>
  <c r="D1289" i="1"/>
  <c r="C1289" i="1"/>
  <c r="B1289" i="1"/>
  <c r="G1288" i="1"/>
  <c r="F1288" i="1"/>
  <c r="E1288" i="1"/>
  <c r="D1288" i="1"/>
  <c r="C1288" i="1"/>
  <c r="B1288" i="1"/>
  <c r="G1287" i="1"/>
  <c r="F1287" i="1"/>
  <c r="E1287" i="1"/>
  <c r="D1287" i="1"/>
  <c r="C1287" i="1"/>
  <c r="B1287" i="1"/>
  <c r="G1286" i="1"/>
  <c r="F1286" i="1"/>
  <c r="E1286" i="1"/>
  <c r="D1286" i="1"/>
  <c r="C1286" i="1"/>
  <c r="B1286" i="1"/>
  <c r="G1285" i="1"/>
  <c r="F1285" i="1"/>
  <c r="E1285" i="1"/>
  <c r="D1285" i="1"/>
  <c r="C1285" i="1"/>
  <c r="B1285" i="1"/>
  <c r="G1284" i="1"/>
  <c r="F1284" i="1"/>
  <c r="E1284" i="1"/>
  <c r="D1284" i="1"/>
  <c r="C1284" i="1"/>
  <c r="B1284" i="1"/>
  <c r="G1283" i="1"/>
  <c r="F1283" i="1"/>
  <c r="E1283" i="1"/>
  <c r="D1283" i="1"/>
  <c r="C1283" i="1"/>
  <c r="B1283" i="1"/>
  <c r="G1282" i="1"/>
  <c r="F1282" i="1"/>
  <c r="E1282" i="1"/>
  <c r="D1282" i="1"/>
  <c r="C1282" i="1"/>
  <c r="B1282" i="1"/>
  <c r="G1281" i="1"/>
  <c r="F1281" i="1"/>
  <c r="E1281" i="1"/>
  <c r="D1281" i="1"/>
  <c r="C1281" i="1"/>
  <c r="B1281" i="1"/>
  <c r="G1280" i="1"/>
  <c r="F1280" i="1"/>
  <c r="E1280" i="1"/>
  <c r="D1280" i="1"/>
  <c r="C1280" i="1"/>
  <c r="B1280" i="1"/>
  <c r="G1279" i="1"/>
  <c r="F1279" i="1"/>
  <c r="E1279" i="1"/>
  <c r="D1279" i="1"/>
  <c r="C1279" i="1"/>
  <c r="B1279" i="1"/>
  <c r="G1278" i="1"/>
  <c r="F1278" i="1"/>
  <c r="E1278" i="1"/>
  <c r="D1278" i="1"/>
  <c r="C1278" i="1"/>
  <c r="B1278" i="1"/>
  <c r="G1277" i="1"/>
  <c r="F1277" i="1"/>
  <c r="E1277" i="1"/>
  <c r="D1277" i="1"/>
  <c r="C1277" i="1"/>
  <c r="B1277" i="1"/>
  <c r="G1276" i="1"/>
  <c r="F1276" i="1"/>
  <c r="E1276" i="1"/>
  <c r="D1276" i="1"/>
  <c r="C1276" i="1"/>
  <c r="B1276" i="1"/>
  <c r="G1275" i="1"/>
  <c r="F1275" i="1"/>
  <c r="E1275" i="1"/>
  <c r="D1275" i="1"/>
  <c r="C1275" i="1"/>
  <c r="B1275" i="1"/>
  <c r="G1274" i="1"/>
  <c r="F1274" i="1"/>
  <c r="E1274" i="1"/>
  <c r="D1274" i="1"/>
  <c r="C1274" i="1"/>
  <c r="B1274" i="1"/>
  <c r="G1273" i="1"/>
  <c r="F1273" i="1"/>
  <c r="E1273" i="1"/>
  <c r="D1273" i="1"/>
  <c r="C1273" i="1"/>
  <c r="B1273" i="1"/>
  <c r="G1272" i="1"/>
  <c r="F1272" i="1"/>
  <c r="E1272" i="1"/>
  <c r="D1272" i="1"/>
  <c r="C1272" i="1"/>
  <c r="B1272" i="1"/>
  <c r="G1271" i="1"/>
  <c r="F1271" i="1"/>
  <c r="E1271" i="1"/>
  <c r="D1271" i="1"/>
  <c r="C1271" i="1"/>
  <c r="B1271" i="1"/>
  <c r="G1270" i="1"/>
  <c r="F1270" i="1"/>
  <c r="E1270" i="1"/>
  <c r="D1270" i="1"/>
  <c r="C1270" i="1"/>
  <c r="B1270" i="1"/>
  <c r="G1269" i="1"/>
  <c r="F1269" i="1"/>
  <c r="E1269" i="1"/>
  <c r="D1269" i="1"/>
  <c r="C1269" i="1"/>
  <c r="B1269" i="1"/>
  <c r="G1268" i="1"/>
  <c r="F1268" i="1"/>
  <c r="E1268" i="1"/>
  <c r="D1268" i="1"/>
  <c r="C1268" i="1"/>
  <c r="B1268" i="1"/>
  <c r="G1267" i="1"/>
  <c r="F1267" i="1"/>
  <c r="E1267" i="1"/>
  <c r="D1267" i="1"/>
  <c r="C1267" i="1"/>
  <c r="B1267" i="1"/>
  <c r="G1266" i="1"/>
  <c r="F1266" i="1"/>
  <c r="E1266" i="1"/>
  <c r="D1266" i="1"/>
  <c r="C1266" i="1"/>
  <c r="B1266" i="1"/>
  <c r="G1265" i="1"/>
  <c r="F1265" i="1"/>
  <c r="E1265" i="1"/>
  <c r="D1265" i="1"/>
  <c r="C1265" i="1"/>
  <c r="B1265" i="1"/>
  <c r="G1264" i="1"/>
  <c r="F1264" i="1"/>
  <c r="E1264" i="1"/>
  <c r="D1264" i="1"/>
  <c r="C1264" i="1"/>
  <c r="B1264" i="1"/>
  <c r="G1263" i="1"/>
  <c r="F1263" i="1"/>
  <c r="E1263" i="1"/>
  <c r="D1263" i="1"/>
  <c r="C1263" i="1"/>
  <c r="B1263" i="1"/>
  <c r="G1262" i="1"/>
  <c r="F1262" i="1"/>
  <c r="E1262" i="1"/>
  <c r="D1262" i="1"/>
  <c r="C1262" i="1"/>
  <c r="B1262" i="1"/>
  <c r="G1261" i="1"/>
  <c r="F1261" i="1"/>
  <c r="E1261" i="1"/>
  <c r="D1261" i="1"/>
  <c r="C1261" i="1"/>
  <c r="B1261" i="1"/>
  <c r="G1260" i="1"/>
  <c r="F1260" i="1"/>
  <c r="E1260" i="1"/>
  <c r="D1260" i="1"/>
  <c r="C1260" i="1"/>
  <c r="B1260" i="1"/>
  <c r="G1259" i="1"/>
  <c r="F1259" i="1"/>
  <c r="E1259" i="1"/>
  <c r="D1259" i="1"/>
  <c r="C1259" i="1"/>
  <c r="B1259" i="1"/>
  <c r="G1258" i="1"/>
  <c r="F1258" i="1"/>
  <c r="E1258" i="1"/>
  <c r="D1258" i="1"/>
  <c r="C1258" i="1"/>
  <c r="B1258" i="1"/>
  <c r="G1257" i="1"/>
  <c r="F1257" i="1"/>
  <c r="E1257" i="1"/>
  <c r="D1257" i="1"/>
  <c r="C1257" i="1"/>
  <c r="B1257" i="1"/>
  <c r="G1256" i="1"/>
  <c r="F1256" i="1"/>
  <c r="E1256" i="1"/>
  <c r="D1256" i="1"/>
  <c r="C1256" i="1"/>
  <c r="B1256" i="1"/>
  <c r="G1255" i="1"/>
  <c r="F1255" i="1"/>
  <c r="E1255" i="1"/>
  <c r="D1255" i="1"/>
  <c r="C1255" i="1"/>
  <c r="B1255" i="1"/>
  <c r="G1254" i="1"/>
  <c r="F1254" i="1"/>
  <c r="E1254" i="1"/>
  <c r="D1254" i="1"/>
  <c r="C1254" i="1"/>
  <c r="B1254" i="1"/>
  <c r="G1253" i="1"/>
  <c r="F1253" i="1"/>
  <c r="E1253" i="1"/>
  <c r="D1253" i="1"/>
  <c r="C1253" i="1"/>
  <c r="B1253" i="1"/>
  <c r="G1252" i="1"/>
  <c r="F1252" i="1"/>
  <c r="E1252" i="1"/>
  <c r="D1252" i="1"/>
  <c r="C1252" i="1"/>
  <c r="B1252" i="1"/>
  <c r="G1251" i="1"/>
  <c r="F1251" i="1"/>
  <c r="E1251" i="1"/>
  <c r="D1251" i="1"/>
  <c r="C1251" i="1"/>
  <c r="B1251" i="1"/>
  <c r="G1250" i="1"/>
  <c r="F1250" i="1"/>
  <c r="E1250" i="1"/>
  <c r="D1250" i="1"/>
  <c r="C1250" i="1"/>
  <c r="B1250" i="1"/>
  <c r="G1249" i="1"/>
  <c r="F1249" i="1"/>
  <c r="E1249" i="1"/>
  <c r="D1249" i="1"/>
  <c r="C1249" i="1"/>
  <c r="B1249" i="1"/>
  <c r="G1248" i="1"/>
  <c r="F1248" i="1"/>
  <c r="E1248" i="1"/>
  <c r="D1248" i="1"/>
  <c r="C1248" i="1"/>
  <c r="B1248" i="1"/>
  <c r="G1247" i="1"/>
  <c r="F1247" i="1"/>
  <c r="E1247" i="1"/>
  <c r="D1247" i="1"/>
  <c r="C1247" i="1"/>
  <c r="B1247" i="1"/>
  <c r="G1246" i="1"/>
  <c r="F1246" i="1"/>
  <c r="E1246" i="1"/>
  <c r="D1246" i="1"/>
  <c r="C1246" i="1"/>
  <c r="B1246" i="1"/>
  <c r="G1245" i="1"/>
  <c r="F1245" i="1"/>
  <c r="E1245" i="1"/>
  <c r="D1245" i="1"/>
  <c r="C1245" i="1"/>
  <c r="B1245" i="1"/>
  <c r="G1244" i="1"/>
  <c r="F1244" i="1"/>
  <c r="E1244" i="1"/>
  <c r="D1244" i="1"/>
  <c r="C1244" i="1"/>
  <c r="B1244" i="1"/>
  <c r="G1243" i="1"/>
  <c r="F1243" i="1"/>
  <c r="E1243" i="1"/>
  <c r="D1243" i="1"/>
  <c r="C1243" i="1"/>
  <c r="B1243" i="1"/>
  <c r="G1242" i="1"/>
  <c r="F1242" i="1"/>
  <c r="E1242" i="1"/>
  <c r="D1242" i="1"/>
  <c r="C1242" i="1"/>
  <c r="B1242" i="1"/>
  <c r="G1241" i="1"/>
  <c r="F1241" i="1"/>
  <c r="E1241" i="1"/>
  <c r="D1241" i="1"/>
  <c r="C1241" i="1"/>
  <c r="B1241" i="1"/>
  <c r="G1240" i="1"/>
  <c r="F1240" i="1"/>
  <c r="E1240" i="1"/>
  <c r="D1240" i="1"/>
  <c r="C1240" i="1"/>
  <c r="B1240" i="1"/>
  <c r="G1239" i="1"/>
  <c r="F1239" i="1"/>
  <c r="E1239" i="1"/>
  <c r="D1239" i="1"/>
  <c r="C1239" i="1"/>
  <c r="B1239" i="1"/>
  <c r="G1238" i="1"/>
  <c r="F1238" i="1"/>
  <c r="E1238" i="1"/>
  <c r="D1238" i="1"/>
  <c r="C1238" i="1"/>
  <c r="B1238" i="1"/>
  <c r="G1237" i="1"/>
  <c r="F1237" i="1"/>
  <c r="E1237" i="1"/>
  <c r="D1237" i="1"/>
  <c r="C1237" i="1"/>
  <c r="B1237" i="1"/>
  <c r="G1236" i="1"/>
  <c r="F1236" i="1"/>
  <c r="E1236" i="1"/>
  <c r="D1236" i="1"/>
  <c r="C1236" i="1"/>
  <c r="B1236" i="1"/>
  <c r="G1235" i="1"/>
  <c r="F1235" i="1"/>
  <c r="E1235" i="1"/>
  <c r="D1235" i="1"/>
  <c r="C1235" i="1"/>
  <c r="B1235" i="1"/>
  <c r="G1234" i="1"/>
  <c r="F1234" i="1"/>
  <c r="E1234" i="1"/>
  <c r="D1234" i="1"/>
  <c r="C1234" i="1"/>
  <c r="B1234" i="1"/>
  <c r="G1233" i="1"/>
  <c r="F1233" i="1"/>
  <c r="E1233" i="1"/>
  <c r="D1233" i="1"/>
  <c r="C1233" i="1"/>
  <c r="B1233" i="1"/>
  <c r="G1232" i="1"/>
  <c r="F1232" i="1"/>
  <c r="E1232" i="1"/>
  <c r="D1232" i="1"/>
  <c r="C1232" i="1"/>
  <c r="B1232" i="1"/>
  <c r="G1231" i="1"/>
  <c r="F1231" i="1"/>
  <c r="E1231" i="1"/>
  <c r="D1231" i="1"/>
  <c r="C1231" i="1"/>
  <c r="B1231" i="1"/>
  <c r="G1230" i="1"/>
  <c r="F1230" i="1"/>
  <c r="E1230" i="1"/>
  <c r="D1230" i="1"/>
  <c r="C1230" i="1"/>
  <c r="B1230" i="1"/>
  <c r="G1229" i="1"/>
  <c r="F1229" i="1"/>
  <c r="E1229" i="1"/>
  <c r="D1229" i="1"/>
  <c r="C1229" i="1"/>
  <c r="B1229" i="1"/>
  <c r="G1228" i="1"/>
  <c r="F1228" i="1"/>
  <c r="E1228" i="1"/>
  <c r="D1228" i="1"/>
  <c r="C1228" i="1"/>
  <c r="B1228" i="1"/>
  <c r="G1227" i="1"/>
  <c r="F1227" i="1"/>
  <c r="E1227" i="1"/>
  <c r="D1227" i="1"/>
  <c r="C1227" i="1"/>
  <c r="B1227" i="1"/>
  <c r="G1226" i="1"/>
  <c r="F1226" i="1"/>
  <c r="E1226" i="1"/>
  <c r="D1226" i="1"/>
  <c r="C1226" i="1"/>
  <c r="B1226" i="1"/>
  <c r="G1225" i="1"/>
  <c r="F1225" i="1"/>
  <c r="E1225" i="1"/>
  <c r="D1225" i="1"/>
  <c r="C1225" i="1"/>
  <c r="B1225" i="1"/>
  <c r="G1224" i="1"/>
  <c r="F1224" i="1"/>
  <c r="E1224" i="1"/>
  <c r="D1224" i="1"/>
  <c r="C1224" i="1"/>
  <c r="B1224" i="1"/>
  <c r="G1223" i="1"/>
  <c r="F1223" i="1"/>
  <c r="E1223" i="1"/>
  <c r="D1223" i="1"/>
  <c r="C1223" i="1"/>
  <c r="B1223" i="1"/>
  <c r="G1222" i="1"/>
  <c r="F1222" i="1"/>
  <c r="E1222" i="1"/>
  <c r="D1222" i="1"/>
  <c r="C1222" i="1"/>
  <c r="B1222" i="1"/>
  <c r="G1221" i="1"/>
  <c r="F1221" i="1"/>
  <c r="E1221" i="1"/>
  <c r="D1221" i="1"/>
  <c r="C1221" i="1"/>
  <c r="B1221" i="1"/>
  <c r="G1220" i="1"/>
  <c r="F1220" i="1"/>
  <c r="E1220" i="1"/>
  <c r="D1220" i="1"/>
  <c r="C1220" i="1"/>
  <c r="B1220" i="1"/>
  <c r="G1219" i="1"/>
  <c r="F1219" i="1"/>
  <c r="E1219" i="1"/>
  <c r="D1219" i="1"/>
  <c r="C1219" i="1"/>
  <c r="B1219" i="1"/>
  <c r="G1218" i="1"/>
  <c r="F1218" i="1"/>
  <c r="E1218" i="1"/>
  <c r="D1218" i="1"/>
  <c r="C1218" i="1"/>
  <c r="B1218" i="1"/>
  <c r="G1217" i="1"/>
  <c r="F1217" i="1"/>
  <c r="E1217" i="1"/>
  <c r="D1217" i="1"/>
  <c r="C1217" i="1"/>
  <c r="B1217" i="1"/>
  <c r="G1216" i="1"/>
  <c r="F1216" i="1"/>
  <c r="E1216" i="1"/>
  <c r="D1216" i="1"/>
  <c r="C1216" i="1"/>
  <c r="B1216" i="1"/>
  <c r="G1215" i="1"/>
  <c r="F1215" i="1"/>
  <c r="E1215" i="1"/>
  <c r="D1215" i="1"/>
  <c r="C1215" i="1"/>
  <c r="B1215" i="1"/>
  <c r="G1214" i="1"/>
  <c r="F1214" i="1"/>
  <c r="E1214" i="1"/>
  <c r="D1214" i="1"/>
  <c r="C1214" i="1"/>
  <c r="B1214" i="1"/>
  <c r="G1213" i="1"/>
  <c r="F1213" i="1"/>
  <c r="E1213" i="1"/>
  <c r="D1213" i="1"/>
  <c r="C1213" i="1"/>
  <c r="B1213" i="1"/>
  <c r="G1212" i="1"/>
  <c r="F1212" i="1"/>
  <c r="E1212" i="1"/>
  <c r="D1212" i="1"/>
  <c r="C1212" i="1"/>
  <c r="B1212" i="1"/>
  <c r="G1211" i="1"/>
  <c r="F1211" i="1"/>
  <c r="E1211" i="1"/>
  <c r="D1211" i="1"/>
  <c r="C1211" i="1"/>
  <c r="B1211" i="1"/>
  <c r="G1210" i="1"/>
  <c r="F1210" i="1"/>
  <c r="E1210" i="1"/>
  <c r="D1210" i="1"/>
  <c r="C1210" i="1"/>
  <c r="B1210" i="1"/>
  <c r="G1209" i="1"/>
  <c r="F1209" i="1"/>
  <c r="E1209" i="1"/>
  <c r="D1209" i="1"/>
  <c r="C1209" i="1"/>
  <c r="B1209" i="1"/>
  <c r="G1208" i="1"/>
  <c r="F1208" i="1"/>
  <c r="E1208" i="1"/>
  <c r="D1208" i="1"/>
  <c r="C1208" i="1"/>
  <c r="B1208" i="1"/>
  <c r="G1207" i="1"/>
  <c r="F1207" i="1"/>
  <c r="E1207" i="1"/>
  <c r="D1207" i="1"/>
  <c r="C1207" i="1"/>
  <c r="B1207" i="1"/>
  <c r="G1206" i="1"/>
  <c r="F1206" i="1"/>
  <c r="E1206" i="1"/>
  <c r="D1206" i="1"/>
  <c r="C1206" i="1"/>
  <c r="B1206" i="1"/>
  <c r="G1205" i="1"/>
  <c r="F1205" i="1"/>
  <c r="E1205" i="1"/>
  <c r="D1205" i="1"/>
  <c r="C1205" i="1"/>
  <c r="B1205" i="1"/>
  <c r="G1204" i="1"/>
  <c r="F1204" i="1"/>
  <c r="E1204" i="1"/>
  <c r="D1204" i="1"/>
  <c r="C1204" i="1"/>
  <c r="B1204" i="1"/>
  <c r="G1203" i="1"/>
  <c r="F1203" i="1"/>
  <c r="E1203" i="1"/>
  <c r="D1203" i="1"/>
  <c r="C1203" i="1"/>
  <c r="B1203" i="1"/>
  <c r="G1202" i="1"/>
  <c r="F1202" i="1"/>
  <c r="E1202" i="1"/>
  <c r="D1202" i="1"/>
  <c r="C1202" i="1"/>
  <c r="B1202" i="1"/>
  <c r="G1201" i="1"/>
  <c r="F1201" i="1"/>
  <c r="E1201" i="1"/>
  <c r="D1201" i="1"/>
  <c r="C1201" i="1"/>
  <c r="B1201" i="1"/>
  <c r="G1200" i="1"/>
  <c r="F1200" i="1"/>
  <c r="E1200" i="1"/>
  <c r="D1200" i="1"/>
  <c r="C1200" i="1"/>
  <c r="B1200" i="1"/>
  <c r="G1199" i="1"/>
  <c r="F1199" i="1"/>
  <c r="E1199" i="1"/>
  <c r="D1199" i="1"/>
  <c r="C1199" i="1"/>
  <c r="B1199" i="1"/>
  <c r="G1198" i="1"/>
  <c r="F1198" i="1"/>
  <c r="E1198" i="1"/>
  <c r="D1198" i="1"/>
  <c r="C1198" i="1"/>
  <c r="B1198" i="1"/>
  <c r="G1197" i="1"/>
  <c r="F1197" i="1"/>
  <c r="E1197" i="1"/>
  <c r="D1197" i="1"/>
  <c r="C1197" i="1"/>
  <c r="B1197" i="1"/>
  <c r="G1196" i="1"/>
  <c r="F1196" i="1"/>
  <c r="E1196" i="1"/>
  <c r="D1196" i="1"/>
  <c r="C1196" i="1"/>
  <c r="B1196" i="1"/>
  <c r="G1195" i="1"/>
  <c r="F1195" i="1"/>
  <c r="E1195" i="1"/>
  <c r="D1195" i="1"/>
  <c r="C1195" i="1"/>
  <c r="B1195" i="1"/>
  <c r="G1194" i="1"/>
  <c r="F1194" i="1"/>
  <c r="E1194" i="1"/>
  <c r="D1194" i="1"/>
  <c r="C1194" i="1"/>
  <c r="B1194" i="1"/>
  <c r="G1193" i="1"/>
  <c r="F1193" i="1"/>
  <c r="E1193" i="1"/>
  <c r="D1193" i="1"/>
  <c r="C1193" i="1"/>
  <c r="B1193" i="1"/>
  <c r="G1192" i="1"/>
  <c r="F1192" i="1"/>
  <c r="E1192" i="1"/>
  <c r="D1192" i="1"/>
  <c r="C1192" i="1"/>
  <c r="B1192" i="1"/>
  <c r="G1191" i="1"/>
  <c r="F1191" i="1"/>
  <c r="E1191" i="1"/>
  <c r="D1191" i="1"/>
  <c r="C1191" i="1"/>
  <c r="B1191" i="1"/>
  <c r="G1190" i="1"/>
  <c r="F1190" i="1"/>
  <c r="E1190" i="1"/>
  <c r="D1190" i="1"/>
  <c r="C1190" i="1"/>
  <c r="B1190" i="1"/>
  <c r="G1189" i="1"/>
  <c r="F1189" i="1"/>
  <c r="E1189" i="1"/>
  <c r="D1189" i="1"/>
  <c r="C1189" i="1"/>
  <c r="B1189" i="1"/>
  <c r="G1188" i="1"/>
  <c r="F1188" i="1"/>
  <c r="E1188" i="1"/>
  <c r="D1188" i="1"/>
  <c r="C1188" i="1"/>
  <c r="B1188" i="1"/>
  <c r="G1187" i="1"/>
  <c r="F1187" i="1"/>
  <c r="E1187" i="1"/>
  <c r="D1187" i="1"/>
  <c r="C1187" i="1"/>
  <c r="B1187" i="1"/>
  <c r="G1186" i="1"/>
  <c r="F1186" i="1"/>
  <c r="E1186" i="1"/>
  <c r="D1186" i="1"/>
  <c r="C1186" i="1"/>
  <c r="B1186" i="1"/>
  <c r="G1185" i="1"/>
  <c r="F1185" i="1"/>
  <c r="E1185" i="1"/>
  <c r="D1185" i="1"/>
  <c r="C1185" i="1"/>
  <c r="B1185" i="1"/>
  <c r="G1184" i="1"/>
  <c r="F1184" i="1"/>
  <c r="E1184" i="1"/>
  <c r="D1184" i="1"/>
  <c r="C1184" i="1"/>
  <c r="B1184" i="1"/>
  <c r="G1183" i="1"/>
  <c r="F1183" i="1"/>
  <c r="E1183" i="1"/>
  <c r="D1183" i="1"/>
  <c r="C1183" i="1"/>
  <c r="B1183" i="1"/>
  <c r="G1182" i="1"/>
  <c r="F1182" i="1"/>
  <c r="E1182" i="1"/>
  <c r="D1182" i="1"/>
  <c r="C1182" i="1"/>
  <c r="B1182" i="1"/>
  <c r="G1181" i="1"/>
  <c r="F1181" i="1"/>
  <c r="E1181" i="1"/>
  <c r="D1181" i="1"/>
  <c r="C1181" i="1"/>
  <c r="B1181" i="1"/>
  <c r="G1180" i="1"/>
  <c r="F1180" i="1"/>
  <c r="E1180" i="1"/>
  <c r="D1180" i="1"/>
  <c r="C1180" i="1"/>
  <c r="B1180" i="1"/>
  <c r="G1179" i="1"/>
  <c r="F1179" i="1"/>
  <c r="E1179" i="1"/>
  <c r="D1179" i="1"/>
  <c r="C1179" i="1"/>
  <c r="B1179" i="1"/>
  <c r="G1178" i="1"/>
  <c r="F1178" i="1"/>
  <c r="E1178" i="1"/>
  <c r="D1178" i="1"/>
  <c r="C1178" i="1"/>
  <c r="B1178" i="1"/>
  <c r="G1177" i="1"/>
  <c r="F1177" i="1"/>
  <c r="E1177" i="1"/>
  <c r="D1177" i="1"/>
  <c r="C1177" i="1"/>
  <c r="B1177" i="1"/>
  <c r="G1176" i="1"/>
  <c r="F1176" i="1"/>
  <c r="E1176" i="1"/>
  <c r="D1176" i="1"/>
  <c r="C1176" i="1"/>
  <c r="B1176" i="1"/>
  <c r="G1175" i="1"/>
  <c r="F1175" i="1"/>
  <c r="E1175" i="1"/>
  <c r="D1175" i="1"/>
  <c r="C1175" i="1"/>
  <c r="B1175" i="1"/>
  <c r="G1174" i="1"/>
  <c r="F1174" i="1"/>
  <c r="E1174" i="1"/>
  <c r="D1174" i="1"/>
  <c r="C1174" i="1"/>
  <c r="B1174" i="1"/>
  <c r="G1173" i="1"/>
  <c r="F1173" i="1"/>
  <c r="E1173" i="1"/>
  <c r="D1173" i="1"/>
  <c r="C1173" i="1"/>
  <c r="B1173" i="1"/>
  <c r="G1172" i="1"/>
  <c r="F1172" i="1"/>
  <c r="E1172" i="1"/>
  <c r="D1172" i="1"/>
  <c r="C1172" i="1"/>
  <c r="B1172" i="1"/>
  <c r="G1171" i="1"/>
  <c r="F1171" i="1"/>
  <c r="E1171" i="1"/>
  <c r="D1171" i="1"/>
  <c r="C1171" i="1"/>
  <c r="B1171" i="1"/>
  <c r="G1170" i="1"/>
  <c r="F1170" i="1"/>
  <c r="E1170" i="1"/>
  <c r="D1170" i="1"/>
  <c r="C1170" i="1"/>
  <c r="B1170" i="1"/>
  <c r="G1169" i="1"/>
  <c r="F1169" i="1"/>
  <c r="E1169" i="1"/>
  <c r="D1169" i="1"/>
  <c r="C1169" i="1"/>
  <c r="B1169" i="1"/>
  <c r="G1168" i="1"/>
  <c r="F1168" i="1"/>
  <c r="E1168" i="1"/>
  <c r="D1168" i="1"/>
  <c r="C1168" i="1"/>
  <c r="B1168" i="1"/>
  <c r="G1167" i="1"/>
  <c r="F1167" i="1"/>
  <c r="E1167" i="1"/>
  <c r="D1167" i="1"/>
  <c r="C1167" i="1"/>
  <c r="B1167" i="1"/>
  <c r="G1166" i="1"/>
  <c r="F1166" i="1"/>
  <c r="E1166" i="1"/>
  <c r="D1166" i="1"/>
  <c r="C1166" i="1"/>
  <c r="B1166" i="1"/>
  <c r="G1165" i="1"/>
  <c r="F1165" i="1"/>
  <c r="E1165" i="1"/>
  <c r="D1165" i="1"/>
  <c r="C1165" i="1"/>
  <c r="B1165" i="1"/>
  <c r="G1164" i="1"/>
  <c r="F1164" i="1"/>
  <c r="E1164" i="1"/>
  <c r="D1164" i="1"/>
  <c r="C1164" i="1"/>
  <c r="B1164" i="1"/>
  <c r="G1163" i="1"/>
  <c r="F1163" i="1"/>
  <c r="E1163" i="1"/>
  <c r="D1163" i="1"/>
  <c r="C1163" i="1"/>
  <c r="B1163" i="1"/>
  <c r="G1162" i="1"/>
  <c r="F1162" i="1"/>
  <c r="E1162" i="1"/>
  <c r="D1162" i="1"/>
  <c r="C1162" i="1"/>
  <c r="B1162" i="1"/>
  <c r="G1161" i="1"/>
  <c r="F1161" i="1"/>
  <c r="E1161" i="1"/>
  <c r="D1161" i="1"/>
  <c r="C1161" i="1"/>
  <c r="B1161" i="1"/>
  <c r="G1160" i="1"/>
  <c r="F1160" i="1"/>
  <c r="E1160" i="1"/>
  <c r="D1160" i="1"/>
  <c r="C1160" i="1"/>
  <c r="B1160" i="1"/>
  <c r="G1159" i="1"/>
  <c r="F1159" i="1"/>
  <c r="E1159" i="1"/>
  <c r="D1159" i="1"/>
  <c r="C1159" i="1"/>
  <c r="B1159" i="1"/>
  <c r="G1158" i="1"/>
  <c r="F1158" i="1"/>
  <c r="E1158" i="1"/>
  <c r="D1158" i="1"/>
  <c r="C1158" i="1"/>
  <c r="B1158" i="1"/>
  <c r="G1157" i="1"/>
  <c r="F1157" i="1"/>
  <c r="E1157" i="1"/>
  <c r="D1157" i="1"/>
  <c r="C1157" i="1"/>
  <c r="B1157" i="1"/>
  <c r="G1156" i="1"/>
  <c r="F1156" i="1"/>
  <c r="E1156" i="1"/>
  <c r="D1156" i="1"/>
  <c r="C1156" i="1"/>
  <c r="B1156" i="1"/>
  <c r="G1155" i="1"/>
  <c r="F1155" i="1"/>
  <c r="E1155" i="1"/>
  <c r="D1155" i="1"/>
  <c r="C1155" i="1"/>
  <c r="B1155" i="1"/>
  <c r="G1154" i="1"/>
  <c r="F1154" i="1"/>
  <c r="E1154" i="1"/>
  <c r="D1154" i="1"/>
  <c r="C1154" i="1"/>
  <c r="B1154" i="1"/>
  <c r="G1153" i="1"/>
  <c r="F1153" i="1"/>
  <c r="E1153" i="1"/>
  <c r="D1153" i="1"/>
  <c r="C1153" i="1"/>
  <c r="B1153" i="1"/>
  <c r="G1152" i="1"/>
  <c r="F1152" i="1"/>
  <c r="E1152" i="1"/>
  <c r="D1152" i="1"/>
  <c r="C1152" i="1"/>
  <c r="B1152" i="1"/>
  <c r="G1151" i="1"/>
  <c r="F1151" i="1"/>
  <c r="E1151" i="1"/>
  <c r="D1151" i="1"/>
  <c r="C1151" i="1"/>
  <c r="B1151" i="1"/>
  <c r="G1150" i="1"/>
  <c r="F1150" i="1"/>
  <c r="E1150" i="1"/>
  <c r="D1150" i="1"/>
  <c r="C1150" i="1"/>
  <c r="B1150" i="1"/>
  <c r="G1149" i="1"/>
  <c r="F1149" i="1"/>
  <c r="E1149" i="1"/>
  <c r="D1149" i="1"/>
  <c r="C1149" i="1"/>
  <c r="B1149" i="1"/>
  <c r="G1148" i="1"/>
  <c r="F1148" i="1"/>
  <c r="E1148" i="1"/>
  <c r="D1148" i="1"/>
  <c r="C1148" i="1"/>
  <c r="B1148" i="1"/>
  <c r="G1147" i="1"/>
  <c r="F1147" i="1"/>
  <c r="E1147" i="1"/>
  <c r="D1147" i="1"/>
  <c r="C1147" i="1"/>
  <c r="B1147" i="1"/>
  <c r="G1146" i="1"/>
  <c r="F1146" i="1"/>
  <c r="E1146" i="1"/>
  <c r="D1146" i="1"/>
  <c r="C1146" i="1"/>
  <c r="B1146" i="1"/>
  <c r="G1145" i="1"/>
  <c r="F1145" i="1"/>
  <c r="E1145" i="1"/>
  <c r="D1145" i="1"/>
  <c r="C1145" i="1"/>
  <c r="B1145" i="1"/>
  <c r="G1144" i="1"/>
  <c r="F1144" i="1"/>
  <c r="E1144" i="1"/>
  <c r="D1144" i="1"/>
  <c r="C1144" i="1"/>
  <c r="B1144" i="1"/>
  <c r="G1143" i="1"/>
  <c r="F1143" i="1"/>
  <c r="E1143" i="1"/>
  <c r="D1143" i="1"/>
  <c r="C1143" i="1"/>
  <c r="B1143" i="1"/>
  <c r="G1142" i="1"/>
  <c r="F1142" i="1"/>
  <c r="E1142" i="1"/>
  <c r="D1142" i="1"/>
  <c r="C1142" i="1"/>
  <c r="B1142" i="1"/>
  <c r="G1141" i="1"/>
  <c r="F1141" i="1"/>
  <c r="E1141" i="1"/>
  <c r="D1141" i="1"/>
  <c r="C1141" i="1"/>
  <c r="B1141" i="1"/>
  <c r="G1140" i="1"/>
  <c r="F1140" i="1"/>
  <c r="E1140" i="1"/>
  <c r="D1140" i="1"/>
  <c r="C1140" i="1"/>
  <c r="B1140" i="1"/>
  <c r="G1139" i="1"/>
  <c r="F1139" i="1"/>
  <c r="E1139" i="1"/>
  <c r="D1139" i="1"/>
  <c r="C1139" i="1"/>
  <c r="B1139" i="1"/>
  <c r="G1138" i="1"/>
  <c r="F1138" i="1"/>
  <c r="E1138" i="1"/>
  <c r="D1138" i="1"/>
  <c r="C1138" i="1"/>
  <c r="B1138" i="1"/>
  <c r="G1137" i="1"/>
  <c r="F1137" i="1"/>
  <c r="E1137" i="1"/>
  <c r="D1137" i="1"/>
  <c r="C1137" i="1"/>
  <c r="B1137" i="1"/>
  <c r="G1136" i="1"/>
  <c r="F1136" i="1"/>
  <c r="E1136" i="1"/>
  <c r="D1136" i="1"/>
  <c r="C1136" i="1"/>
  <c r="B1136" i="1"/>
  <c r="G1135" i="1"/>
  <c r="F1135" i="1"/>
  <c r="E1135" i="1"/>
  <c r="D1135" i="1"/>
  <c r="C1135" i="1"/>
  <c r="B1135" i="1"/>
  <c r="G1134" i="1"/>
  <c r="F1134" i="1"/>
  <c r="E1134" i="1"/>
  <c r="D1134" i="1"/>
  <c r="C1134" i="1"/>
  <c r="B1134" i="1"/>
  <c r="G1133" i="1"/>
  <c r="F1133" i="1"/>
  <c r="E1133" i="1"/>
  <c r="D1133" i="1"/>
  <c r="C1133" i="1"/>
  <c r="B1133" i="1"/>
  <c r="G1132" i="1"/>
  <c r="F1132" i="1"/>
  <c r="E1132" i="1"/>
  <c r="D1132" i="1"/>
  <c r="C1132" i="1"/>
  <c r="B1132" i="1"/>
  <c r="G1131" i="1"/>
  <c r="F1131" i="1"/>
  <c r="E1131" i="1"/>
  <c r="D1131" i="1"/>
  <c r="C1131" i="1"/>
  <c r="B1131" i="1"/>
  <c r="G1130" i="1"/>
  <c r="F1130" i="1"/>
  <c r="E1130" i="1"/>
  <c r="D1130" i="1"/>
  <c r="C1130" i="1"/>
  <c r="B1130" i="1"/>
  <c r="G1129" i="1"/>
  <c r="F1129" i="1"/>
  <c r="E1129" i="1"/>
  <c r="D1129" i="1"/>
  <c r="C1129" i="1"/>
  <c r="B1129" i="1"/>
  <c r="G1128" i="1"/>
  <c r="F1128" i="1"/>
  <c r="E1128" i="1"/>
  <c r="D1128" i="1"/>
  <c r="C1128" i="1"/>
  <c r="B1128" i="1"/>
  <c r="G1127" i="1"/>
  <c r="F1127" i="1"/>
  <c r="E1127" i="1"/>
  <c r="D1127" i="1"/>
  <c r="C1127" i="1"/>
  <c r="B1127" i="1"/>
  <c r="G1126" i="1"/>
  <c r="F1126" i="1"/>
  <c r="E1126" i="1"/>
  <c r="D1126" i="1"/>
  <c r="C1126" i="1"/>
  <c r="B1126" i="1"/>
  <c r="G1125" i="1"/>
  <c r="F1125" i="1"/>
  <c r="E1125" i="1"/>
  <c r="D1125" i="1"/>
  <c r="C1125" i="1"/>
  <c r="B1125" i="1"/>
  <c r="G1124" i="1"/>
  <c r="F1124" i="1"/>
  <c r="E1124" i="1"/>
  <c r="D1124" i="1"/>
  <c r="C1124" i="1"/>
  <c r="B1124" i="1"/>
  <c r="G1123" i="1"/>
  <c r="F1123" i="1"/>
  <c r="E1123" i="1"/>
  <c r="D1123" i="1"/>
  <c r="C1123" i="1"/>
  <c r="B1123" i="1"/>
  <c r="G1122" i="1"/>
  <c r="F1122" i="1"/>
  <c r="E1122" i="1"/>
  <c r="D1122" i="1"/>
  <c r="C1122" i="1"/>
  <c r="B1122" i="1"/>
  <c r="G1121" i="1"/>
  <c r="F1121" i="1"/>
  <c r="E1121" i="1"/>
  <c r="D1121" i="1"/>
  <c r="C1121" i="1"/>
  <c r="B1121" i="1"/>
  <c r="G1120" i="1"/>
  <c r="F1120" i="1"/>
  <c r="E1120" i="1"/>
  <c r="D1120" i="1"/>
  <c r="C1120" i="1"/>
  <c r="B1120" i="1"/>
  <c r="G1119" i="1"/>
  <c r="F1119" i="1"/>
  <c r="E1119" i="1"/>
  <c r="D1119" i="1"/>
  <c r="C1119" i="1"/>
  <c r="B1119" i="1"/>
  <c r="G1118" i="1"/>
  <c r="F1118" i="1"/>
  <c r="E1118" i="1"/>
  <c r="D1118" i="1"/>
  <c r="C1118" i="1"/>
  <c r="B1118" i="1"/>
  <c r="G1117" i="1"/>
  <c r="F1117" i="1"/>
  <c r="E1117" i="1"/>
  <c r="D1117" i="1"/>
  <c r="C1117" i="1"/>
  <c r="B1117" i="1"/>
  <c r="G1116" i="1"/>
  <c r="F1116" i="1"/>
  <c r="E1116" i="1"/>
  <c r="D1116" i="1"/>
  <c r="C1116" i="1"/>
  <c r="B1116" i="1"/>
  <c r="G1115" i="1"/>
  <c r="F1115" i="1"/>
  <c r="E1115" i="1"/>
  <c r="D1115" i="1"/>
  <c r="C1115" i="1"/>
  <c r="B1115" i="1"/>
  <c r="G1114" i="1"/>
  <c r="F1114" i="1"/>
  <c r="E1114" i="1"/>
  <c r="D1114" i="1"/>
  <c r="C1114" i="1"/>
  <c r="B1114" i="1"/>
  <c r="G1113" i="1"/>
  <c r="F1113" i="1"/>
  <c r="E1113" i="1"/>
  <c r="D1113" i="1"/>
  <c r="C1113" i="1"/>
  <c r="B1113" i="1"/>
  <c r="G1112" i="1"/>
  <c r="F1112" i="1"/>
  <c r="E1112" i="1"/>
  <c r="D1112" i="1"/>
  <c r="C1112" i="1"/>
  <c r="B1112" i="1"/>
  <c r="G1111" i="1"/>
  <c r="F1111" i="1"/>
  <c r="E1111" i="1"/>
  <c r="D1111" i="1"/>
  <c r="C1111" i="1"/>
  <c r="B1111" i="1"/>
  <c r="F1110" i="1"/>
  <c r="E1110" i="1"/>
  <c r="D1110" i="1"/>
  <c r="C1110" i="1"/>
  <c r="B1110" i="1"/>
  <c r="G1109" i="1"/>
  <c r="F1109" i="1"/>
  <c r="E1109" i="1"/>
  <c r="D1109" i="1"/>
  <c r="C1109" i="1"/>
  <c r="B1109" i="1"/>
  <c r="F1108" i="1"/>
  <c r="E1108" i="1"/>
  <c r="D1108" i="1"/>
  <c r="C1108" i="1"/>
  <c r="B1108" i="1"/>
  <c r="G1107" i="1"/>
  <c r="F1107" i="1"/>
  <c r="E1107" i="1"/>
  <c r="D1107" i="1"/>
  <c r="C1107" i="1"/>
  <c r="B1107" i="1"/>
  <c r="G1106" i="1"/>
  <c r="F1106" i="1"/>
  <c r="E1106" i="1"/>
  <c r="D1106" i="1"/>
  <c r="C1106" i="1"/>
  <c r="B1106" i="1"/>
  <c r="G1105" i="1"/>
  <c r="F1105" i="1"/>
  <c r="E1105" i="1"/>
  <c r="D1105" i="1"/>
  <c r="C1105" i="1"/>
  <c r="B1105" i="1"/>
  <c r="G1104" i="1"/>
  <c r="F1104" i="1"/>
  <c r="E1104" i="1"/>
  <c r="D1104" i="1"/>
  <c r="C1104" i="1"/>
  <c r="B1104" i="1"/>
  <c r="G1103" i="1"/>
  <c r="F1103" i="1"/>
  <c r="E1103" i="1"/>
  <c r="D1103" i="1"/>
  <c r="C1103" i="1"/>
  <c r="B1103" i="1"/>
  <c r="G1102" i="1"/>
  <c r="F1102" i="1"/>
  <c r="E1102" i="1"/>
  <c r="D1102" i="1"/>
  <c r="C1102" i="1"/>
  <c r="B1102" i="1"/>
  <c r="G1101" i="1"/>
  <c r="F1101" i="1"/>
  <c r="E1101" i="1"/>
  <c r="D1101" i="1"/>
  <c r="C1101" i="1"/>
  <c r="B1101" i="1"/>
  <c r="G1100" i="1"/>
  <c r="F1100" i="1"/>
  <c r="E1100" i="1"/>
  <c r="D1100" i="1"/>
  <c r="C1100" i="1"/>
  <c r="B1100" i="1"/>
  <c r="G1099" i="1"/>
  <c r="F1099" i="1"/>
  <c r="E1099" i="1"/>
  <c r="D1099" i="1"/>
  <c r="C1099" i="1"/>
  <c r="B1099" i="1"/>
  <c r="G1098" i="1"/>
  <c r="F1098" i="1"/>
  <c r="E1098" i="1"/>
  <c r="D1098" i="1"/>
  <c r="C1098" i="1"/>
  <c r="B1098" i="1"/>
  <c r="G1097" i="1"/>
  <c r="F1097" i="1"/>
  <c r="E1097" i="1"/>
  <c r="D1097" i="1"/>
  <c r="C1097" i="1"/>
  <c r="B1097" i="1"/>
  <c r="G1096" i="1"/>
  <c r="F1096" i="1"/>
  <c r="E1096" i="1"/>
  <c r="D1096" i="1"/>
  <c r="C1096" i="1"/>
  <c r="B1096" i="1"/>
  <c r="G1095" i="1"/>
  <c r="F1095" i="1"/>
  <c r="E1095" i="1"/>
  <c r="D1095" i="1"/>
  <c r="C1095" i="1"/>
  <c r="B1095" i="1"/>
  <c r="G1094" i="1"/>
  <c r="F1094" i="1"/>
  <c r="E1094" i="1"/>
  <c r="D1094" i="1"/>
  <c r="C1094" i="1"/>
  <c r="B1094" i="1"/>
  <c r="G1093" i="1"/>
  <c r="F1093" i="1"/>
  <c r="E1093" i="1"/>
  <c r="D1093" i="1"/>
  <c r="C1093" i="1"/>
  <c r="B1093" i="1"/>
  <c r="G1092" i="1"/>
  <c r="F1092" i="1"/>
  <c r="E1092" i="1"/>
  <c r="D1092" i="1"/>
  <c r="C1092" i="1"/>
  <c r="B1092" i="1"/>
  <c r="G1091" i="1"/>
  <c r="F1091" i="1"/>
  <c r="E1091" i="1"/>
  <c r="D1091" i="1"/>
  <c r="C1091" i="1"/>
  <c r="B1091" i="1"/>
  <c r="G1090" i="1"/>
  <c r="F1090" i="1"/>
  <c r="E1090" i="1"/>
  <c r="D1090" i="1"/>
  <c r="C1090" i="1"/>
  <c r="B1090" i="1"/>
  <c r="G1089" i="1"/>
  <c r="F1089" i="1"/>
  <c r="E1089" i="1"/>
  <c r="D1089" i="1"/>
  <c r="C1089" i="1"/>
  <c r="B1089" i="1"/>
  <c r="G1088" i="1"/>
  <c r="F1088" i="1"/>
  <c r="E1088" i="1"/>
  <c r="D1088" i="1"/>
  <c r="C1088" i="1"/>
  <c r="B1088" i="1"/>
  <c r="G1087" i="1"/>
  <c r="F1087" i="1"/>
  <c r="E1087" i="1"/>
  <c r="D1087" i="1"/>
  <c r="C1087" i="1"/>
  <c r="B1087" i="1"/>
  <c r="G1086" i="1"/>
  <c r="F1086" i="1"/>
  <c r="E1086" i="1"/>
  <c r="D1086" i="1"/>
  <c r="C1086" i="1"/>
  <c r="B1086" i="1"/>
  <c r="G1085" i="1"/>
  <c r="F1085" i="1"/>
  <c r="E1085" i="1"/>
  <c r="D1085" i="1"/>
  <c r="C1085" i="1"/>
  <c r="B1085" i="1"/>
  <c r="G1084" i="1"/>
  <c r="F1084" i="1"/>
  <c r="E1084" i="1"/>
  <c r="D1084" i="1"/>
  <c r="C1084" i="1"/>
  <c r="B1084" i="1"/>
  <c r="F1083" i="1"/>
  <c r="E1083" i="1"/>
  <c r="D1083" i="1"/>
  <c r="C1083" i="1"/>
  <c r="B1083" i="1"/>
  <c r="G1082" i="1"/>
  <c r="F1082" i="1"/>
  <c r="E1082" i="1"/>
  <c r="D1082" i="1"/>
  <c r="C1082" i="1"/>
  <c r="B1082" i="1"/>
  <c r="G1081" i="1"/>
  <c r="F1081" i="1"/>
  <c r="E1081" i="1"/>
  <c r="D1081" i="1"/>
  <c r="C1081" i="1"/>
  <c r="B1081" i="1"/>
  <c r="G1080" i="1"/>
  <c r="F1080" i="1"/>
  <c r="E1080" i="1"/>
  <c r="D1080" i="1"/>
  <c r="C1080" i="1"/>
  <c r="B1080" i="1"/>
  <c r="G1079" i="1"/>
  <c r="F1079" i="1"/>
  <c r="E1079" i="1"/>
  <c r="D1079" i="1"/>
  <c r="C1079" i="1"/>
  <c r="B1079" i="1"/>
  <c r="G1078" i="1"/>
  <c r="F1078" i="1"/>
  <c r="E1078" i="1"/>
  <c r="D1078" i="1"/>
  <c r="C1078" i="1"/>
  <c r="B1078" i="1"/>
  <c r="G1077" i="1"/>
  <c r="F1077" i="1"/>
  <c r="E1077" i="1"/>
  <c r="D1077" i="1"/>
  <c r="C1077" i="1"/>
  <c r="B1077" i="1"/>
  <c r="G1076" i="1"/>
  <c r="F1076" i="1"/>
  <c r="E1076" i="1"/>
  <c r="D1076" i="1"/>
  <c r="C1076" i="1"/>
  <c r="B1076" i="1"/>
  <c r="G1075" i="1"/>
  <c r="F1075" i="1"/>
  <c r="E1075" i="1"/>
  <c r="D1075" i="1"/>
  <c r="C1075" i="1"/>
  <c r="B1075" i="1"/>
  <c r="G1074" i="1"/>
  <c r="F1074" i="1"/>
  <c r="E1074" i="1"/>
  <c r="D1074" i="1"/>
  <c r="C1074" i="1"/>
  <c r="B1074" i="1"/>
  <c r="G1073" i="1"/>
  <c r="F1073" i="1"/>
  <c r="E1073" i="1"/>
  <c r="D1073" i="1"/>
  <c r="C1073" i="1"/>
  <c r="B1073" i="1"/>
  <c r="G1072" i="1"/>
  <c r="F1072" i="1"/>
  <c r="E1072" i="1"/>
  <c r="D1072" i="1"/>
  <c r="C1072" i="1"/>
  <c r="B1072" i="1"/>
  <c r="G1071" i="1"/>
  <c r="F1071" i="1"/>
  <c r="E1071" i="1"/>
  <c r="D1071" i="1"/>
  <c r="C1071" i="1"/>
  <c r="B1071" i="1"/>
  <c r="G1070" i="1"/>
  <c r="F1070" i="1"/>
  <c r="E1070" i="1"/>
  <c r="D1070" i="1"/>
  <c r="C1070" i="1"/>
  <c r="B1070" i="1"/>
  <c r="G1069" i="1"/>
  <c r="F1069" i="1"/>
  <c r="E1069" i="1"/>
  <c r="D1069" i="1"/>
  <c r="C1069" i="1"/>
  <c r="B1069" i="1"/>
  <c r="G1068" i="1"/>
  <c r="F1068" i="1"/>
  <c r="E1068" i="1"/>
  <c r="D1068" i="1"/>
  <c r="C1068" i="1"/>
  <c r="B1068" i="1"/>
  <c r="G1067" i="1"/>
  <c r="F1067" i="1"/>
  <c r="E1067" i="1"/>
  <c r="D1067" i="1"/>
  <c r="C1067" i="1"/>
  <c r="B1067" i="1"/>
  <c r="G1066" i="1"/>
  <c r="F1066" i="1"/>
  <c r="E1066" i="1"/>
  <c r="D1066" i="1"/>
  <c r="C1066" i="1"/>
  <c r="B1066" i="1"/>
  <c r="G1065" i="1"/>
  <c r="F1065" i="1"/>
  <c r="E1065" i="1"/>
  <c r="D1065" i="1"/>
  <c r="C1065" i="1"/>
  <c r="B1065" i="1"/>
  <c r="G1064" i="1"/>
  <c r="F1064" i="1"/>
  <c r="E1064" i="1"/>
  <c r="D1064" i="1"/>
  <c r="C1064" i="1"/>
  <c r="B1064" i="1"/>
  <c r="G1063" i="1"/>
  <c r="F1063" i="1"/>
  <c r="E1063" i="1"/>
  <c r="D1063" i="1"/>
  <c r="C1063" i="1"/>
  <c r="B1063" i="1"/>
  <c r="G1062" i="1"/>
  <c r="F1062" i="1"/>
  <c r="E1062" i="1"/>
  <c r="D1062" i="1"/>
  <c r="C1062" i="1"/>
  <c r="B1062" i="1"/>
  <c r="G1061" i="1"/>
  <c r="F1061" i="1"/>
  <c r="E1061" i="1"/>
  <c r="D1061" i="1"/>
  <c r="C1061" i="1"/>
  <c r="B1061" i="1"/>
  <c r="G1060" i="1"/>
  <c r="F1060" i="1"/>
  <c r="E1060" i="1"/>
  <c r="D1060" i="1"/>
  <c r="C1060" i="1"/>
  <c r="B1060" i="1"/>
  <c r="G1059" i="1"/>
  <c r="F1059" i="1"/>
  <c r="E1059" i="1"/>
  <c r="D1059" i="1"/>
  <c r="C1059" i="1"/>
  <c r="B1059" i="1"/>
  <c r="G1058" i="1"/>
  <c r="F1058" i="1"/>
  <c r="E1058" i="1"/>
  <c r="D1058" i="1"/>
  <c r="C1058" i="1"/>
  <c r="B1058" i="1"/>
  <c r="G1057" i="1"/>
  <c r="F1057" i="1"/>
  <c r="E1057" i="1"/>
  <c r="D1057" i="1"/>
  <c r="C1057" i="1"/>
  <c r="B1057" i="1"/>
  <c r="G1056" i="1"/>
  <c r="F1056" i="1"/>
  <c r="E1056" i="1"/>
  <c r="D1056" i="1"/>
  <c r="C1056" i="1"/>
  <c r="B1056" i="1"/>
  <c r="G1055" i="1"/>
  <c r="F1055" i="1"/>
  <c r="E1055" i="1"/>
  <c r="D1055" i="1"/>
  <c r="C1055" i="1"/>
  <c r="B1055" i="1"/>
  <c r="G1054" i="1"/>
  <c r="F1054" i="1"/>
  <c r="E1054" i="1"/>
  <c r="D1054" i="1"/>
  <c r="C1054" i="1"/>
  <c r="B1054" i="1"/>
  <c r="G1053" i="1"/>
  <c r="F1053" i="1"/>
  <c r="E1053" i="1"/>
  <c r="D1053" i="1"/>
  <c r="C1053" i="1"/>
  <c r="B1053" i="1"/>
  <c r="G1052" i="1"/>
  <c r="F1052" i="1"/>
  <c r="E1052" i="1"/>
  <c r="D1052" i="1"/>
  <c r="C1052" i="1"/>
  <c r="B1052" i="1"/>
  <c r="G1051" i="1"/>
  <c r="F1051" i="1"/>
  <c r="E1051" i="1"/>
  <c r="D1051" i="1"/>
  <c r="C1051" i="1"/>
  <c r="B1051" i="1"/>
  <c r="G1050" i="1"/>
  <c r="F1050" i="1"/>
  <c r="E1050" i="1"/>
  <c r="D1050" i="1"/>
  <c r="C1050" i="1"/>
  <c r="B1050" i="1"/>
  <c r="G1049" i="1"/>
  <c r="F1049" i="1"/>
  <c r="E1049" i="1"/>
  <c r="D1049" i="1"/>
  <c r="C1049" i="1"/>
  <c r="B1049" i="1"/>
  <c r="G1048" i="1"/>
  <c r="F1048" i="1"/>
  <c r="E1048" i="1"/>
  <c r="D1048" i="1"/>
  <c r="C1048" i="1"/>
  <c r="B1048" i="1"/>
  <c r="G1047" i="1"/>
  <c r="F1047" i="1"/>
  <c r="E1047" i="1"/>
  <c r="D1047" i="1"/>
  <c r="C1047" i="1"/>
  <c r="B1047" i="1"/>
  <c r="G1046" i="1"/>
  <c r="F1046" i="1"/>
  <c r="E1046" i="1"/>
  <c r="D1046" i="1"/>
  <c r="C1046" i="1"/>
  <c r="B1046" i="1"/>
  <c r="G1045" i="1"/>
  <c r="F1045" i="1"/>
  <c r="E1045" i="1"/>
  <c r="D1045" i="1"/>
  <c r="C1045" i="1"/>
  <c r="B1045" i="1"/>
  <c r="G1044" i="1"/>
  <c r="F1044" i="1"/>
  <c r="E1044" i="1"/>
  <c r="D1044" i="1"/>
  <c r="C1044" i="1"/>
  <c r="B1044" i="1"/>
  <c r="G1043" i="1"/>
  <c r="F1043" i="1"/>
  <c r="E1043" i="1"/>
  <c r="D1043" i="1"/>
  <c r="C1043" i="1"/>
  <c r="B1043" i="1"/>
  <c r="G1042" i="1"/>
  <c r="F1042" i="1"/>
  <c r="E1042" i="1"/>
  <c r="D1042" i="1"/>
  <c r="C1042" i="1"/>
  <c r="B1042" i="1"/>
  <c r="G1041" i="1"/>
  <c r="F1041" i="1"/>
  <c r="E1041" i="1"/>
  <c r="D1041" i="1"/>
  <c r="C1041" i="1"/>
  <c r="B1041" i="1"/>
  <c r="G1040" i="1"/>
  <c r="F1040" i="1"/>
  <c r="E1040" i="1"/>
  <c r="D1040" i="1"/>
  <c r="C1040" i="1"/>
  <c r="B1040" i="1"/>
  <c r="G1039" i="1"/>
  <c r="F1039" i="1"/>
  <c r="E1039" i="1"/>
  <c r="D1039" i="1"/>
  <c r="C1039" i="1"/>
  <c r="B1039" i="1"/>
  <c r="G1038" i="1"/>
  <c r="F1038" i="1"/>
  <c r="E1038" i="1"/>
  <c r="D1038" i="1"/>
  <c r="C1038" i="1"/>
  <c r="B1038" i="1"/>
  <c r="G1037" i="1"/>
  <c r="F1037" i="1"/>
  <c r="E1037" i="1"/>
  <c r="D1037" i="1"/>
  <c r="C1037" i="1"/>
  <c r="B1037" i="1"/>
  <c r="G1036" i="1"/>
  <c r="F1036" i="1"/>
  <c r="E1036" i="1"/>
  <c r="D1036" i="1"/>
  <c r="C1036" i="1"/>
  <c r="B1036" i="1"/>
  <c r="G1035" i="1"/>
  <c r="F1035" i="1"/>
  <c r="E1035" i="1"/>
  <c r="D1035" i="1"/>
  <c r="C1035" i="1"/>
  <c r="B1035" i="1"/>
  <c r="G1034" i="1"/>
  <c r="F1034" i="1"/>
  <c r="E1034" i="1"/>
  <c r="D1034" i="1"/>
  <c r="C1034" i="1"/>
  <c r="B1034" i="1"/>
  <c r="G1033" i="1"/>
  <c r="F1033" i="1"/>
  <c r="E1033" i="1"/>
  <c r="D1033" i="1"/>
  <c r="C1033" i="1"/>
  <c r="B1033" i="1"/>
  <c r="G1032" i="1"/>
  <c r="F1032" i="1"/>
  <c r="E1032" i="1"/>
  <c r="D1032" i="1"/>
  <c r="C1032" i="1"/>
  <c r="B1032" i="1"/>
  <c r="G1031" i="1"/>
  <c r="F1031" i="1"/>
  <c r="E1031" i="1"/>
  <c r="D1031" i="1"/>
  <c r="C1031" i="1"/>
  <c r="B1031" i="1"/>
  <c r="G1030" i="1"/>
  <c r="F1030" i="1"/>
  <c r="E1030" i="1"/>
  <c r="D1030" i="1"/>
  <c r="C1030" i="1"/>
  <c r="B1030" i="1"/>
  <c r="G1029" i="1"/>
  <c r="F1029" i="1"/>
  <c r="E1029" i="1"/>
  <c r="D1029" i="1"/>
  <c r="C1029" i="1"/>
  <c r="B1029" i="1"/>
  <c r="G1028" i="1"/>
  <c r="F1028" i="1"/>
  <c r="E1028" i="1"/>
  <c r="D1028" i="1"/>
  <c r="C1028" i="1"/>
  <c r="B1028" i="1"/>
  <c r="G1027" i="1"/>
  <c r="F1027" i="1"/>
  <c r="E1027" i="1"/>
  <c r="D1027" i="1"/>
  <c r="C1027" i="1"/>
  <c r="B1027" i="1"/>
  <c r="G1026" i="1"/>
  <c r="F1026" i="1"/>
  <c r="E1026" i="1"/>
  <c r="D1026" i="1"/>
  <c r="C1026" i="1"/>
  <c r="B1026" i="1"/>
  <c r="G1025" i="1"/>
  <c r="F1025" i="1"/>
  <c r="E1025" i="1"/>
  <c r="D1025" i="1"/>
  <c r="C1025" i="1"/>
  <c r="B1025" i="1"/>
  <c r="G1024" i="1"/>
  <c r="F1024" i="1"/>
  <c r="E1024" i="1"/>
  <c r="D1024" i="1"/>
  <c r="C1024" i="1"/>
  <c r="B1024" i="1"/>
  <c r="G1023" i="1"/>
  <c r="F1023" i="1"/>
  <c r="E1023" i="1"/>
  <c r="D1023" i="1"/>
  <c r="C1023" i="1"/>
  <c r="B1023" i="1"/>
  <c r="F1022" i="1"/>
  <c r="E1022" i="1"/>
  <c r="D1022" i="1"/>
  <c r="C1022" i="1"/>
  <c r="B1022" i="1"/>
  <c r="G1021" i="1"/>
  <c r="F1021" i="1"/>
  <c r="E1021" i="1"/>
  <c r="D1021" i="1"/>
  <c r="C1021" i="1"/>
  <c r="B1021" i="1"/>
  <c r="G1020" i="1"/>
  <c r="F1020" i="1"/>
  <c r="E1020" i="1"/>
  <c r="D1020" i="1"/>
  <c r="C1020" i="1"/>
  <c r="B1020" i="1"/>
  <c r="G1019" i="1"/>
  <c r="F1019" i="1"/>
  <c r="E1019" i="1"/>
  <c r="D1019" i="1"/>
  <c r="C1019" i="1"/>
  <c r="B1019" i="1"/>
  <c r="G1018" i="1"/>
  <c r="F1018" i="1"/>
  <c r="E1018" i="1"/>
  <c r="D1018" i="1"/>
  <c r="C1018" i="1"/>
  <c r="B1018" i="1"/>
  <c r="G1017" i="1"/>
  <c r="F1017" i="1"/>
  <c r="E1017" i="1"/>
  <c r="D1017" i="1"/>
  <c r="C1017" i="1"/>
  <c r="B1017" i="1"/>
  <c r="G1016" i="1"/>
  <c r="F1016" i="1"/>
  <c r="E1016" i="1"/>
  <c r="D1016" i="1"/>
  <c r="C1016" i="1"/>
  <c r="B1016" i="1"/>
  <c r="G1015" i="1"/>
  <c r="F1015" i="1"/>
  <c r="E1015" i="1"/>
  <c r="D1015" i="1"/>
  <c r="C1015" i="1"/>
  <c r="B1015" i="1"/>
  <c r="G1014" i="1"/>
  <c r="F1014" i="1"/>
  <c r="E1014" i="1"/>
  <c r="D1014" i="1"/>
  <c r="C1014" i="1"/>
  <c r="B1014" i="1"/>
  <c r="G1013" i="1"/>
  <c r="F1013" i="1"/>
  <c r="E1013" i="1"/>
  <c r="D1013" i="1"/>
  <c r="C1013" i="1"/>
  <c r="B1013" i="1"/>
  <c r="G1012" i="1"/>
  <c r="F1012" i="1"/>
  <c r="E1012" i="1"/>
  <c r="D1012" i="1"/>
  <c r="C1012" i="1"/>
  <c r="B1012" i="1"/>
  <c r="G1011" i="1"/>
  <c r="F1011" i="1"/>
  <c r="E1011" i="1"/>
  <c r="D1011" i="1"/>
  <c r="C1011" i="1"/>
  <c r="B1011" i="1"/>
  <c r="G1010" i="1"/>
  <c r="F1010" i="1"/>
  <c r="E1010" i="1"/>
  <c r="D1010" i="1"/>
  <c r="C1010" i="1"/>
  <c r="B1010" i="1"/>
  <c r="G1009" i="1"/>
  <c r="F1009" i="1"/>
  <c r="E1009" i="1"/>
  <c r="D1009" i="1"/>
  <c r="C1009" i="1"/>
  <c r="B1009" i="1"/>
  <c r="G1008" i="1"/>
  <c r="F1008" i="1"/>
  <c r="E1008" i="1"/>
  <c r="D1008" i="1"/>
  <c r="C1008" i="1"/>
  <c r="B1008" i="1"/>
  <c r="G1007" i="1"/>
  <c r="F1007" i="1"/>
  <c r="E1007" i="1"/>
  <c r="D1007" i="1"/>
  <c r="C1007" i="1"/>
  <c r="B1007" i="1"/>
  <c r="G1006" i="1"/>
  <c r="F1006" i="1"/>
  <c r="E1006" i="1"/>
  <c r="D1006" i="1"/>
  <c r="C1006" i="1"/>
  <c r="B1006" i="1"/>
  <c r="G1005" i="1"/>
  <c r="F1005" i="1"/>
  <c r="E1005" i="1"/>
  <c r="D1005" i="1"/>
  <c r="C1005" i="1"/>
  <c r="B1005" i="1"/>
  <c r="G1004" i="1"/>
  <c r="F1004" i="1"/>
  <c r="E1004" i="1"/>
  <c r="D1004" i="1"/>
  <c r="C1004" i="1"/>
  <c r="B1004" i="1"/>
  <c r="G1003" i="1"/>
  <c r="F1003" i="1"/>
  <c r="E1003" i="1"/>
  <c r="D1003" i="1"/>
  <c r="C1003" i="1"/>
  <c r="B1003" i="1"/>
  <c r="G1002" i="1"/>
  <c r="F1002" i="1"/>
  <c r="E1002" i="1"/>
  <c r="D1002" i="1"/>
  <c r="C1002" i="1"/>
  <c r="B1002" i="1"/>
  <c r="G1001" i="1"/>
  <c r="F1001" i="1"/>
  <c r="E1001" i="1"/>
  <c r="D1001" i="1"/>
  <c r="C1001" i="1"/>
  <c r="B1001" i="1"/>
  <c r="G1000" i="1"/>
  <c r="F1000" i="1"/>
  <c r="E1000" i="1"/>
  <c r="D1000" i="1"/>
  <c r="C1000" i="1"/>
  <c r="B1000" i="1"/>
  <c r="G999" i="1"/>
  <c r="F999" i="1"/>
  <c r="E999" i="1"/>
  <c r="D999" i="1"/>
  <c r="C999" i="1"/>
  <c r="B999" i="1"/>
  <c r="G998" i="1"/>
  <c r="F998" i="1"/>
  <c r="E998" i="1"/>
  <c r="D998" i="1"/>
  <c r="C998" i="1"/>
  <c r="B998" i="1"/>
  <c r="G997" i="1"/>
  <c r="F997" i="1"/>
  <c r="E997" i="1"/>
  <c r="D997" i="1"/>
  <c r="C997" i="1"/>
  <c r="B997" i="1"/>
  <c r="G996" i="1"/>
  <c r="F996" i="1"/>
  <c r="E996" i="1"/>
  <c r="D996" i="1"/>
  <c r="C996" i="1"/>
  <c r="B996" i="1"/>
  <c r="G995" i="1"/>
  <c r="F995" i="1"/>
  <c r="E995" i="1"/>
  <c r="D995" i="1"/>
  <c r="C995" i="1"/>
  <c r="B995" i="1"/>
  <c r="G994" i="1"/>
  <c r="F994" i="1"/>
  <c r="E994" i="1"/>
  <c r="D994" i="1"/>
  <c r="C994" i="1"/>
  <c r="B994" i="1"/>
  <c r="G993" i="1"/>
  <c r="F993" i="1"/>
  <c r="E993" i="1"/>
  <c r="D993" i="1"/>
  <c r="C993" i="1"/>
  <c r="B993" i="1"/>
  <c r="G992" i="1"/>
  <c r="F992" i="1"/>
  <c r="E992" i="1"/>
  <c r="D992" i="1"/>
  <c r="C992" i="1"/>
  <c r="B992" i="1"/>
  <c r="G991" i="1"/>
  <c r="F991" i="1"/>
  <c r="E991" i="1"/>
  <c r="D991" i="1"/>
  <c r="C991" i="1"/>
  <c r="B991" i="1"/>
  <c r="G990" i="1"/>
  <c r="F990" i="1"/>
  <c r="E990" i="1"/>
  <c r="D990" i="1"/>
  <c r="C990" i="1"/>
  <c r="B990" i="1"/>
  <c r="G989" i="1"/>
  <c r="F989" i="1"/>
  <c r="E989" i="1"/>
  <c r="D989" i="1"/>
  <c r="C989" i="1"/>
  <c r="B989" i="1"/>
  <c r="G988" i="1"/>
  <c r="F988" i="1"/>
  <c r="E988" i="1"/>
  <c r="D988" i="1"/>
  <c r="C988" i="1"/>
  <c r="B988" i="1"/>
  <c r="G987" i="1"/>
  <c r="F987" i="1"/>
  <c r="E987" i="1"/>
  <c r="D987" i="1"/>
  <c r="C987" i="1"/>
  <c r="B987" i="1"/>
  <c r="G986" i="1"/>
  <c r="F986" i="1"/>
  <c r="E986" i="1"/>
  <c r="D986" i="1"/>
  <c r="C986" i="1"/>
  <c r="B986" i="1"/>
  <c r="G985" i="1"/>
  <c r="F985" i="1"/>
  <c r="E985" i="1"/>
  <c r="D985" i="1"/>
  <c r="C985" i="1"/>
  <c r="B985" i="1"/>
  <c r="G984" i="1"/>
  <c r="F984" i="1"/>
  <c r="E984" i="1"/>
  <c r="D984" i="1"/>
  <c r="C984" i="1"/>
  <c r="B984" i="1"/>
  <c r="G983" i="1"/>
  <c r="F983" i="1"/>
  <c r="E983" i="1"/>
  <c r="D983" i="1"/>
  <c r="C983" i="1"/>
  <c r="B983" i="1"/>
  <c r="G982" i="1"/>
  <c r="F982" i="1"/>
  <c r="E982" i="1"/>
  <c r="D982" i="1"/>
  <c r="C982" i="1"/>
  <c r="B982" i="1"/>
  <c r="G981" i="1"/>
  <c r="F981" i="1"/>
  <c r="E981" i="1"/>
  <c r="D981" i="1"/>
  <c r="C981" i="1"/>
  <c r="B981" i="1"/>
  <c r="G980" i="1"/>
  <c r="F980" i="1"/>
  <c r="E980" i="1"/>
  <c r="D980" i="1"/>
  <c r="C980" i="1"/>
  <c r="B980" i="1"/>
  <c r="G979" i="1"/>
  <c r="F979" i="1"/>
  <c r="E979" i="1"/>
  <c r="D979" i="1"/>
  <c r="C979" i="1"/>
  <c r="B979" i="1"/>
  <c r="G978" i="1"/>
  <c r="F978" i="1"/>
  <c r="E978" i="1"/>
  <c r="D978" i="1"/>
  <c r="C978" i="1"/>
  <c r="B978" i="1"/>
  <c r="G977" i="1"/>
  <c r="F977" i="1"/>
  <c r="E977" i="1"/>
  <c r="D977" i="1"/>
  <c r="C977" i="1"/>
  <c r="B977" i="1"/>
  <c r="G976" i="1"/>
  <c r="F976" i="1"/>
  <c r="E976" i="1"/>
  <c r="D976" i="1"/>
  <c r="C976" i="1"/>
  <c r="B976" i="1"/>
  <c r="G975" i="1"/>
  <c r="F975" i="1"/>
  <c r="E975" i="1"/>
  <c r="D975" i="1"/>
  <c r="C975" i="1"/>
  <c r="B975" i="1"/>
  <c r="G974" i="1"/>
  <c r="F974" i="1"/>
  <c r="E974" i="1"/>
  <c r="D974" i="1"/>
  <c r="C974" i="1"/>
  <c r="B974" i="1"/>
  <c r="G973" i="1"/>
  <c r="F973" i="1"/>
  <c r="E973" i="1"/>
  <c r="D973" i="1"/>
  <c r="C973" i="1"/>
  <c r="B973" i="1"/>
  <c r="G972" i="1"/>
  <c r="F972" i="1"/>
  <c r="E972" i="1"/>
  <c r="D972" i="1"/>
  <c r="C972" i="1"/>
  <c r="B972" i="1"/>
  <c r="G971" i="1"/>
  <c r="F971" i="1"/>
  <c r="E971" i="1"/>
  <c r="D971" i="1"/>
  <c r="C971" i="1"/>
  <c r="B971" i="1"/>
  <c r="G970" i="1"/>
  <c r="F970" i="1"/>
  <c r="E970" i="1"/>
  <c r="D970" i="1"/>
  <c r="C970" i="1"/>
  <c r="B970" i="1"/>
  <c r="G969" i="1"/>
  <c r="F969" i="1"/>
  <c r="E969" i="1"/>
  <c r="D969" i="1"/>
  <c r="C969" i="1"/>
  <c r="B969" i="1"/>
  <c r="G968" i="1"/>
  <c r="F968" i="1"/>
  <c r="E968" i="1"/>
  <c r="D968" i="1"/>
  <c r="C968" i="1"/>
  <c r="B968" i="1"/>
  <c r="G967" i="1"/>
  <c r="F967" i="1"/>
  <c r="E967" i="1"/>
  <c r="D967" i="1"/>
  <c r="C967" i="1"/>
  <c r="B967" i="1"/>
  <c r="G966" i="1"/>
  <c r="F966" i="1"/>
  <c r="E966" i="1"/>
  <c r="D966" i="1"/>
  <c r="C966" i="1"/>
  <c r="B966" i="1"/>
  <c r="G965" i="1"/>
  <c r="F965" i="1"/>
  <c r="E965" i="1"/>
  <c r="D965" i="1"/>
  <c r="C965" i="1"/>
  <c r="B965" i="1"/>
  <c r="G964" i="1"/>
  <c r="F964" i="1"/>
  <c r="E964" i="1"/>
  <c r="D964" i="1"/>
  <c r="C964" i="1"/>
  <c r="B964" i="1"/>
  <c r="G963" i="1"/>
  <c r="F963" i="1"/>
  <c r="E963" i="1"/>
  <c r="D963" i="1"/>
  <c r="C963" i="1"/>
  <c r="B963" i="1"/>
  <c r="G962" i="1"/>
  <c r="F962" i="1"/>
  <c r="E962" i="1"/>
  <c r="D962" i="1"/>
  <c r="C962" i="1"/>
  <c r="B962" i="1"/>
  <c r="G961" i="1"/>
  <c r="F961" i="1"/>
  <c r="E961" i="1"/>
  <c r="D961" i="1"/>
  <c r="C961" i="1"/>
  <c r="B961" i="1"/>
  <c r="G960" i="1"/>
  <c r="F960" i="1"/>
  <c r="E960" i="1"/>
  <c r="D960" i="1"/>
  <c r="C960" i="1"/>
  <c r="B960" i="1"/>
  <c r="G959" i="1"/>
  <c r="F959" i="1"/>
  <c r="E959" i="1"/>
  <c r="D959" i="1"/>
  <c r="C959" i="1"/>
  <c r="B959" i="1"/>
  <c r="G958" i="1"/>
  <c r="F958" i="1"/>
  <c r="E958" i="1"/>
  <c r="D958" i="1"/>
  <c r="C958" i="1"/>
  <c r="B958" i="1"/>
  <c r="G957" i="1"/>
  <c r="F957" i="1"/>
  <c r="E957" i="1"/>
  <c r="D957" i="1"/>
  <c r="C957" i="1"/>
  <c r="B957" i="1"/>
  <c r="G956" i="1"/>
  <c r="F956" i="1"/>
  <c r="E956" i="1"/>
  <c r="D956" i="1"/>
  <c r="C956" i="1"/>
  <c r="B956" i="1"/>
  <c r="G955" i="1"/>
  <c r="F955" i="1"/>
  <c r="E955" i="1"/>
  <c r="D955" i="1"/>
  <c r="C955" i="1"/>
  <c r="B955" i="1"/>
  <c r="G954" i="1"/>
  <c r="F954" i="1"/>
  <c r="E954" i="1"/>
  <c r="D954" i="1"/>
  <c r="C954" i="1"/>
  <c r="B954" i="1"/>
  <c r="G953" i="1"/>
  <c r="F953" i="1"/>
  <c r="E953" i="1"/>
  <c r="D953" i="1"/>
  <c r="C953" i="1"/>
  <c r="B953" i="1"/>
  <c r="G952" i="1"/>
  <c r="F952" i="1"/>
  <c r="E952" i="1"/>
  <c r="D952" i="1"/>
  <c r="C952" i="1"/>
  <c r="B952" i="1"/>
  <c r="G951" i="1"/>
  <c r="F951" i="1"/>
  <c r="E951" i="1"/>
  <c r="D951" i="1"/>
  <c r="C951" i="1"/>
  <c r="B951" i="1"/>
  <c r="G950" i="1"/>
  <c r="F950" i="1"/>
  <c r="E950" i="1"/>
  <c r="D950" i="1"/>
  <c r="C950" i="1"/>
  <c r="B950" i="1"/>
  <c r="G949" i="1"/>
  <c r="F949" i="1"/>
  <c r="E949" i="1"/>
  <c r="D949" i="1"/>
  <c r="C949" i="1"/>
  <c r="B949" i="1"/>
  <c r="G948" i="1"/>
  <c r="F948" i="1"/>
  <c r="E948" i="1"/>
  <c r="D948" i="1"/>
  <c r="C948" i="1"/>
  <c r="B948" i="1"/>
  <c r="G947" i="1"/>
  <c r="F947" i="1"/>
  <c r="E947" i="1"/>
  <c r="D947" i="1"/>
  <c r="C947" i="1"/>
  <c r="B947" i="1"/>
  <c r="G946" i="1"/>
  <c r="F946" i="1"/>
  <c r="E946" i="1"/>
  <c r="D946" i="1"/>
  <c r="C946" i="1"/>
  <c r="B946" i="1"/>
  <c r="G945" i="1"/>
  <c r="F945" i="1"/>
  <c r="E945" i="1"/>
  <c r="D945" i="1"/>
  <c r="C945" i="1"/>
  <c r="B945" i="1"/>
  <c r="G944" i="1"/>
  <c r="F944" i="1"/>
  <c r="E944" i="1"/>
  <c r="D944" i="1"/>
  <c r="C944" i="1"/>
  <c r="B944" i="1"/>
  <c r="G943" i="1"/>
  <c r="F943" i="1"/>
  <c r="E943" i="1"/>
  <c r="D943" i="1"/>
  <c r="C943" i="1"/>
  <c r="B943" i="1"/>
  <c r="G942" i="1"/>
  <c r="F942" i="1"/>
  <c r="E942" i="1"/>
  <c r="D942" i="1"/>
  <c r="C942" i="1"/>
  <c r="B942" i="1"/>
  <c r="G941" i="1"/>
  <c r="F941" i="1"/>
  <c r="E941" i="1"/>
  <c r="D941" i="1"/>
  <c r="C941" i="1"/>
  <c r="B941" i="1"/>
  <c r="G940" i="1"/>
  <c r="F940" i="1"/>
  <c r="E940" i="1"/>
  <c r="D940" i="1"/>
  <c r="C940" i="1"/>
  <c r="B940" i="1"/>
  <c r="G939" i="1"/>
  <c r="F939" i="1"/>
  <c r="E939" i="1"/>
  <c r="D939" i="1"/>
  <c r="C939" i="1"/>
  <c r="B939" i="1"/>
  <c r="G938" i="1"/>
  <c r="F938" i="1"/>
  <c r="E938" i="1"/>
  <c r="D938" i="1"/>
  <c r="C938" i="1"/>
  <c r="B938" i="1"/>
  <c r="G937" i="1"/>
  <c r="F937" i="1"/>
  <c r="E937" i="1"/>
  <c r="D937" i="1"/>
  <c r="C937" i="1"/>
  <c r="B937" i="1"/>
  <c r="G936" i="1"/>
  <c r="F936" i="1"/>
  <c r="E936" i="1"/>
  <c r="D936" i="1"/>
  <c r="C936" i="1"/>
  <c r="B936" i="1"/>
  <c r="G935" i="1"/>
  <c r="F935" i="1"/>
  <c r="E935" i="1"/>
  <c r="D935" i="1"/>
  <c r="C935" i="1"/>
  <c r="B935" i="1"/>
  <c r="G934" i="1"/>
  <c r="F934" i="1"/>
  <c r="E934" i="1"/>
  <c r="D934" i="1"/>
  <c r="C934" i="1"/>
  <c r="B934" i="1"/>
  <c r="G933" i="1"/>
  <c r="F933" i="1"/>
  <c r="E933" i="1"/>
  <c r="D933" i="1"/>
  <c r="C933" i="1"/>
  <c r="B933" i="1"/>
  <c r="G932" i="1"/>
  <c r="F932" i="1"/>
  <c r="E932" i="1"/>
  <c r="D932" i="1"/>
  <c r="C932" i="1"/>
  <c r="B932" i="1"/>
  <c r="G931" i="1"/>
  <c r="F931" i="1"/>
  <c r="E931" i="1"/>
  <c r="D931" i="1"/>
  <c r="C931" i="1"/>
  <c r="B931" i="1"/>
  <c r="G930" i="1"/>
  <c r="F930" i="1"/>
  <c r="E930" i="1"/>
  <c r="D930" i="1"/>
  <c r="C930" i="1"/>
  <c r="B930" i="1"/>
  <c r="G929" i="1"/>
  <c r="F929" i="1"/>
  <c r="E929" i="1"/>
  <c r="D929" i="1"/>
  <c r="C929" i="1"/>
  <c r="B929" i="1"/>
  <c r="G928" i="1"/>
  <c r="F928" i="1"/>
  <c r="E928" i="1"/>
  <c r="D928" i="1"/>
  <c r="C928" i="1"/>
  <c r="B928" i="1"/>
  <c r="G927" i="1"/>
  <c r="F927" i="1"/>
  <c r="E927" i="1"/>
  <c r="D927" i="1"/>
  <c r="C927" i="1"/>
  <c r="B927" i="1"/>
  <c r="G926" i="1"/>
  <c r="F926" i="1"/>
  <c r="E926" i="1"/>
  <c r="D926" i="1"/>
  <c r="C926" i="1"/>
  <c r="B926" i="1"/>
  <c r="G925" i="1"/>
  <c r="F925" i="1"/>
  <c r="E925" i="1"/>
  <c r="D925" i="1"/>
  <c r="C925" i="1"/>
  <c r="B925" i="1"/>
  <c r="G924" i="1"/>
  <c r="F924" i="1"/>
  <c r="E924" i="1"/>
  <c r="D924" i="1"/>
  <c r="C924" i="1"/>
  <c r="B924" i="1"/>
  <c r="G923" i="1"/>
  <c r="F923" i="1"/>
  <c r="E923" i="1"/>
  <c r="D923" i="1"/>
  <c r="C923" i="1"/>
  <c r="B923" i="1"/>
  <c r="G922" i="1"/>
  <c r="F922" i="1"/>
  <c r="E922" i="1"/>
  <c r="D922" i="1"/>
  <c r="C922" i="1"/>
  <c r="B922" i="1"/>
  <c r="G921" i="1"/>
  <c r="F921" i="1"/>
  <c r="E921" i="1"/>
  <c r="D921" i="1"/>
  <c r="C921" i="1"/>
  <c r="B921" i="1"/>
  <c r="G920" i="1"/>
  <c r="F920" i="1"/>
  <c r="E920" i="1"/>
  <c r="D920" i="1"/>
  <c r="C920" i="1"/>
  <c r="B920" i="1"/>
  <c r="G919" i="1"/>
  <c r="F919" i="1"/>
  <c r="E919" i="1"/>
  <c r="D919" i="1"/>
  <c r="C919" i="1"/>
  <c r="B919" i="1"/>
  <c r="G918" i="1"/>
  <c r="F918" i="1"/>
  <c r="E918" i="1"/>
  <c r="D918" i="1"/>
  <c r="C918" i="1"/>
  <c r="B918" i="1"/>
  <c r="G917" i="1"/>
  <c r="F917" i="1"/>
  <c r="E917" i="1"/>
  <c r="D917" i="1"/>
  <c r="C917" i="1"/>
  <c r="B917" i="1"/>
  <c r="G916" i="1"/>
  <c r="F916" i="1"/>
  <c r="E916" i="1"/>
  <c r="D916" i="1"/>
  <c r="C916" i="1"/>
  <c r="B916" i="1"/>
  <c r="G915" i="1"/>
  <c r="F915" i="1"/>
  <c r="E915" i="1"/>
  <c r="D915" i="1"/>
  <c r="C915" i="1"/>
  <c r="B915" i="1"/>
  <c r="G914" i="1"/>
  <c r="F914" i="1"/>
  <c r="E914" i="1"/>
  <c r="D914" i="1"/>
  <c r="C914" i="1"/>
  <c r="B914" i="1"/>
  <c r="G913" i="1"/>
  <c r="F913" i="1"/>
  <c r="E913" i="1"/>
  <c r="D913" i="1"/>
  <c r="C913" i="1"/>
  <c r="B913" i="1"/>
  <c r="G912" i="1"/>
  <c r="F912" i="1"/>
  <c r="E912" i="1"/>
  <c r="D912" i="1"/>
  <c r="C912" i="1"/>
  <c r="B912" i="1"/>
  <c r="G911" i="1"/>
  <c r="F911" i="1"/>
  <c r="E911" i="1"/>
  <c r="D911" i="1"/>
  <c r="C911" i="1"/>
  <c r="B911" i="1"/>
  <c r="G910" i="1"/>
  <c r="F910" i="1"/>
  <c r="E910" i="1"/>
  <c r="D910" i="1"/>
  <c r="C910" i="1"/>
  <c r="B910" i="1"/>
  <c r="G909" i="1"/>
  <c r="F909" i="1"/>
  <c r="E909" i="1"/>
  <c r="D909" i="1"/>
  <c r="C909" i="1"/>
  <c r="B909" i="1"/>
  <c r="G908" i="1"/>
  <c r="F908" i="1"/>
  <c r="E908" i="1"/>
  <c r="D908" i="1"/>
  <c r="C908" i="1"/>
  <c r="B908" i="1"/>
  <c r="G907" i="1"/>
  <c r="F907" i="1"/>
  <c r="E907" i="1"/>
  <c r="D907" i="1"/>
  <c r="C907" i="1"/>
  <c r="B907" i="1"/>
  <c r="G906" i="1"/>
  <c r="F906" i="1"/>
  <c r="E906" i="1"/>
  <c r="D906" i="1"/>
  <c r="C906" i="1"/>
  <c r="B906" i="1"/>
  <c r="G905" i="1"/>
  <c r="F905" i="1"/>
  <c r="E905" i="1"/>
  <c r="D905" i="1"/>
  <c r="C905" i="1"/>
  <c r="B905" i="1"/>
  <c r="G904" i="1"/>
  <c r="F904" i="1"/>
  <c r="E904" i="1"/>
  <c r="D904" i="1"/>
  <c r="C904" i="1"/>
  <c r="B904" i="1"/>
  <c r="G903" i="1"/>
  <c r="F903" i="1"/>
  <c r="E903" i="1"/>
  <c r="D903" i="1"/>
  <c r="C903" i="1"/>
  <c r="B903" i="1"/>
  <c r="G902" i="1"/>
  <c r="F902" i="1"/>
  <c r="E902" i="1"/>
  <c r="D902" i="1"/>
  <c r="C902" i="1"/>
  <c r="B902" i="1"/>
  <c r="G901" i="1"/>
  <c r="F901" i="1"/>
  <c r="E901" i="1"/>
  <c r="D901" i="1"/>
  <c r="C901" i="1"/>
  <c r="B901" i="1"/>
  <c r="G900" i="1"/>
  <c r="F900" i="1"/>
  <c r="E900" i="1"/>
  <c r="D900" i="1"/>
  <c r="C900" i="1"/>
  <c r="B900" i="1"/>
  <c r="G899" i="1"/>
  <c r="F899" i="1"/>
  <c r="E899" i="1"/>
  <c r="D899" i="1"/>
  <c r="C899" i="1"/>
  <c r="B899" i="1"/>
  <c r="G898" i="1"/>
  <c r="F898" i="1"/>
  <c r="E898" i="1"/>
  <c r="D898" i="1"/>
  <c r="C898" i="1"/>
  <c r="B898" i="1"/>
  <c r="G897" i="1"/>
  <c r="F897" i="1"/>
  <c r="E897" i="1"/>
  <c r="D897" i="1"/>
  <c r="C897" i="1"/>
  <c r="B897" i="1"/>
  <c r="G896" i="1"/>
  <c r="F896" i="1"/>
  <c r="E896" i="1"/>
  <c r="D896" i="1"/>
  <c r="C896" i="1"/>
  <c r="B896" i="1"/>
  <c r="G895" i="1"/>
  <c r="F895" i="1"/>
  <c r="E895" i="1"/>
  <c r="D895" i="1"/>
  <c r="C895" i="1"/>
  <c r="B895" i="1"/>
  <c r="G894" i="1"/>
  <c r="F894" i="1"/>
  <c r="E894" i="1"/>
  <c r="D894" i="1"/>
  <c r="C894" i="1"/>
  <c r="B894" i="1"/>
  <c r="G893" i="1"/>
  <c r="F893" i="1"/>
  <c r="E893" i="1"/>
  <c r="D893" i="1"/>
  <c r="C893" i="1"/>
  <c r="B893" i="1"/>
  <c r="G892" i="1"/>
  <c r="F892" i="1"/>
  <c r="E892" i="1"/>
  <c r="D892" i="1"/>
  <c r="C892" i="1"/>
  <c r="B892" i="1"/>
  <c r="G891" i="1"/>
  <c r="F891" i="1"/>
  <c r="E891" i="1"/>
  <c r="D891" i="1"/>
  <c r="C891" i="1"/>
  <c r="B891" i="1"/>
  <c r="G890" i="1"/>
  <c r="F890" i="1"/>
  <c r="E890" i="1"/>
  <c r="D890" i="1"/>
  <c r="C890" i="1"/>
  <c r="B890" i="1"/>
  <c r="G889" i="1"/>
  <c r="F889" i="1"/>
  <c r="E889" i="1"/>
  <c r="D889" i="1"/>
  <c r="C889" i="1"/>
  <c r="B889" i="1"/>
  <c r="G888" i="1"/>
  <c r="F888" i="1"/>
  <c r="E888" i="1"/>
  <c r="D888" i="1"/>
  <c r="C888" i="1"/>
  <c r="B888" i="1"/>
  <c r="G887" i="1"/>
  <c r="F887" i="1"/>
  <c r="E887" i="1"/>
  <c r="D887" i="1"/>
  <c r="C887" i="1"/>
  <c r="B887" i="1"/>
  <c r="G886" i="1"/>
  <c r="F886" i="1"/>
  <c r="E886" i="1"/>
  <c r="D886" i="1"/>
  <c r="C886" i="1"/>
  <c r="B886" i="1"/>
  <c r="G885" i="1"/>
  <c r="F885" i="1"/>
  <c r="E885" i="1"/>
  <c r="D885" i="1"/>
  <c r="C885" i="1"/>
  <c r="B885" i="1"/>
  <c r="G884" i="1"/>
  <c r="F884" i="1"/>
  <c r="E884" i="1"/>
  <c r="D884" i="1"/>
  <c r="C884" i="1"/>
  <c r="B884" i="1"/>
  <c r="G883" i="1"/>
  <c r="F883" i="1"/>
  <c r="E883" i="1"/>
  <c r="D883" i="1"/>
  <c r="C883" i="1"/>
  <c r="B883" i="1"/>
  <c r="G882" i="1"/>
  <c r="F882" i="1"/>
  <c r="E882" i="1"/>
  <c r="D882" i="1"/>
  <c r="C882" i="1"/>
  <c r="B882" i="1"/>
  <c r="G881" i="1"/>
  <c r="F881" i="1"/>
  <c r="E881" i="1"/>
  <c r="D881" i="1"/>
  <c r="C881" i="1"/>
  <c r="B881" i="1"/>
  <c r="G880" i="1"/>
  <c r="F880" i="1"/>
  <c r="E880" i="1"/>
  <c r="D880" i="1"/>
  <c r="C880" i="1"/>
  <c r="B880" i="1"/>
  <c r="G879" i="1"/>
  <c r="F879" i="1"/>
  <c r="E879" i="1"/>
  <c r="D879" i="1"/>
  <c r="C879" i="1"/>
  <c r="B879" i="1"/>
  <c r="G878" i="1"/>
  <c r="F878" i="1"/>
  <c r="E878" i="1"/>
  <c r="D878" i="1"/>
  <c r="C878" i="1"/>
  <c r="B878" i="1"/>
  <c r="G877" i="1"/>
  <c r="F877" i="1"/>
  <c r="E877" i="1"/>
  <c r="D877" i="1"/>
  <c r="C877" i="1"/>
  <c r="B877" i="1"/>
  <c r="G876" i="1"/>
  <c r="F876" i="1"/>
  <c r="E876" i="1"/>
  <c r="D876" i="1"/>
  <c r="C876" i="1"/>
  <c r="B876" i="1"/>
  <c r="G875" i="1"/>
  <c r="F875" i="1"/>
  <c r="E875" i="1"/>
  <c r="D875" i="1"/>
  <c r="C875" i="1"/>
  <c r="B875" i="1"/>
  <c r="G874" i="1"/>
  <c r="F874" i="1"/>
  <c r="E874" i="1"/>
  <c r="D874" i="1"/>
  <c r="C874" i="1"/>
  <c r="B874" i="1"/>
  <c r="G873" i="1"/>
  <c r="F873" i="1"/>
  <c r="E873" i="1"/>
  <c r="D873" i="1"/>
  <c r="C873" i="1"/>
  <c r="B873" i="1"/>
  <c r="G872" i="1"/>
  <c r="F872" i="1"/>
  <c r="E872" i="1"/>
  <c r="D872" i="1"/>
  <c r="C872" i="1"/>
  <c r="B872" i="1"/>
  <c r="G871" i="1"/>
  <c r="F871" i="1"/>
  <c r="E871" i="1"/>
  <c r="D871" i="1"/>
  <c r="C871" i="1"/>
  <c r="B871" i="1"/>
  <c r="F870" i="1"/>
  <c r="E870" i="1"/>
  <c r="D870" i="1"/>
  <c r="C870" i="1"/>
  <c r="B870" i="1"/>
  <c r="G869" i="1"/>
  <c r="F869" i="1"/>
  <c r="E869" i="1"/>
  <c r="D869" i="1"/>
  <c r="C869" i="1"/>
  <c r="B869" i="1"/>
  <c r="G868" i="1"/>
  <c r="F868" i="1"/>
  <c r="E868" i="1"/>
  <c r="D868" i="1"/>
  <c r="C868" i="1"/>
  <c r="B868" i="1"/>
  <c r="G867" i="1"/>
  <c r="F867" i="1"/>
  <c r="E867" i="1"/>
  <c r="D867" i="1"/>
  <c r="C867" i="1"/>
  <c r="B867" i="1"/>
  <c r="G866" i="1"/>
  <c r="F866" i="1"/>
  <c r="E866" i="1"/>
  <c r="D866" i="1"/>
  <c r="C866" i="1"/>
  <c r="B866" i="1"/>
  <c r="G865" i="1"/>
  <c r="F865" i="1"/>
  <c r="E865" i="1"/>
  <c r="D865" i="1"/>
  <c r="C865" i="1"/>
  <c r="B865" i="1"/>
  <c r="G864" i="1"/>
  <c r="F864" i="1"/>
  <c r="E864" i="1"/>
  <c r="D864" i="1"/>
  <c r="C864" i="1"/>
  <c r="B864" i="1"/>
  <c r="G863" i="1"/>
  <c r="F863" i="1"/>
  <c r="E863" i="1"/>
  <c r="D863" i="1"/>
  <c r="C863" i="1"/>
  <c r="B863" i="1"/>
  <c r="G862" i="1"/>
  <c r="F862" i="1"/>
  <c r="E862" i="1"/>
  <c r="D862" i="1"/>
  <c r="C862" i="1"/>
  <c r="B862" i="1"/>
  <c r="G861" i="1"/>
  <c r="F861" i="1"/>
  <c r="E861" i="1"/>
  <c r="D861" i="1"/>
  <c r="C861" i="1"/>
  <c r="B861" i="1"/>
  <c r="G860" i="1"/>
  <c r="F860" i="1"/>
  <c r="E860" i="1"/>
  <c r="D860" i="1"/>
  <c r="C860" i="1"/>
  <c r="B860" i="1"/>
  <c r="G859" i="1"/>
  <c r="F859" i="1"/>
  <c r="E859" i="1"/>
  <c r="D859" i="1"/>
  <c r="C859" i="1"/>
  <c r="B859" i="1"/>
  <c r="G858" i="1"/>
  <c r="F858" i="1"/>
  <c r="E858" i="1"/>
  <c r="D858" i="1"/>
  <c r="C858" i="1"/>
  <c r="B858" i="1"/>
  <c r="G857" i="1"/>
  <c r="F857" i="1"/>
  <c r="E857" i="1"/>
  <c r="D857" i="1"/>
  <c r="C857" i="1"/>
  <c r="B857" i="1"/>
  <c r="G856" i="1"/>
  <c r="F856" i="1"/>
  <c r="E856" i="1"/>
  <c r="D856" i="1"/>
  <c r="C856" i="1"/>
  <c r="B856" i="1"/>
  <c r="G855" i="1"/>
  <c r="F855" i="1"/>
  <c r="E855" i="1"/>
  <c r="D855" i="1"/>
  <c r="C855" i="1"/>
  <c r="B855" i="1"/>
  <c r="G854" i="1"/>
  <c r="F854" i="1"/>
  <c r="E854" i="1"/>
  <c r="D854" i="1"/>
  <c r="C854" i="1"/>
  <c r="B854" i="1"/>
  <c r="G853" i="1"/>
  <c r="F853" i="1"/>
  <c r="E853" i="1"/>
  <c r="D853" i="1"/>
  <c r="C853" i="1"/>
  <c r="B853" i="1"/>
  <c r="G852" i="1"/>
  <c r="F852" i="1"/>
  <c r="E852" i="1"/>
  <c r="D852" i="1"/>
  <c r="C852" i="1"/>
  <c r="B852" i="1"/>
  <c r="G851" i="1"/>
  <c r="F851" i="1"/>
  <c r="E851" i="1"/>
  <c r="D851" i="1"/>
  <c r="C851" i="1"/>
  <c r="B851" i="1"/>
  <c r="G850" i="1"/>
  <c r="F850" i="1"/>
  <c r="E850" i="1"/>
  <c r="D850" i="1"/>
  <c r="C850" i="1"/>
  <c r="B850" i="1"/>
  <c r="G849" i="1"/>
  <c r="F849" i="1"/>
  <c r="E849" i="1"/>
  <c r="D849" i="1"/>
  <c r="C849" i="1"/>
  <c r="B849" i="1"/>
  <c r="G848" i="1"/>
  <c r="F848" i="1"/>
  <c r="E848" i="1"/>
  <c r="D848" i="1"/>
  <c r="C848" i="1"/>
  <c r="B848" i="1"/>
  <c r="G847" i="1"/>
  <c r="F847" i="1"/>
  <c r="E847" i="1"/>
  <c r="D847" i="1"/>
  <c r="C847" i="1"/>
  <c r="B847" i="1"/>
  <c r="G846" i="1"/>
  <c r="F846" i="1"/>
  <c r="E846" i="1"/>
  <c r="D846" i="1"/>
  <c r="C846" i="1"/>
  <c r="B846" i="1"/>
  <c r="G845" i="1"/>
  <c r="F845" i="1"/>
  <c r="E845" i="1"/>
  <c r="D845" i="1"/>
  <c r="C845" i="1"/>
  <c r="B845" i="1"/>
  <c r="G844" i="1"/>
  <c r="F844" i="1"/>
  <c r="E844" i="1"/>
  <c r="D844" i="1"/>
  <c r="C844" i="1"/>
  <c r="B844" i="1"/>
  <c r="G843" i="1"/>
  <c r="F843" i="1"/>
  <c r="E843" i="1"/>
  <c r="D843" i="1"/>
  <c r="C843" i="1"/>
  <c r="B843" i="1"/>
  <c r="G842" i="1"/>
  <c r="F842" i="1"/>
  <c r="E842" i="1"/>
  <c r="D842" i="1"/>
  <c r="C842" i="1"/>
  <c r="B842" i="1"/>
  <c r="G841" i="1"/>
  <c r="F841" i="1"/>
  <c r="E841" i="1"/>
  <c r="D841" i="1"/>
  <c r="C841" i="1"/>
  <c r="B841" i="1"/>
  <c r="G840" i="1"/>
  <c r="F840" i="1"/>
  <c r="E840" i="1"/>
  <c r="D840" i="1"/>
  <c r="C840" i="1"/>
  <c r="B840" i="1"/>
  <c r="G839" i="1"/>
  <c r="F839" i="1"/>
  <c r="E839" i="1"/>
  <c r="D839" i="1"/>
  <c r="C839" i="1"/>
  <c r="B839" i="1"/>
  <c r="G838" i="1"/>
  <c r="F838" i="1"/>
  <c r="E838" i="1"/>
  <c r="D838" i="1"/>
  <c r="C838" i="1"/>
  <c r="B838" i="1"/>
  <c r="G837" i="1"/>
  <c r="F837" i="1"/>
  <c r="E837" i="1"/>
  <c r="D837" i="1"/>
  <c r="C837" i="1"/>
  <c r="B837" i="1"/>
  <c r="G836" i="1"/>
  <c r="F836" i="1"/>
  <c r="E836" i="1"/>
  <c r="D836" i="1"/>
  <c r="C836" i="1"/>
  <c r="B836" i="1"/>
  <c r="G835" i="1"/>
  <c r="F835" i="1"/>
  <c r="E835" i="1"/>
  <c r="D835" i="1"/>
  <c r="C835" i="1"/>
  <c r="B835" i="1"/>
  <c r="G834" i="1"/>
  <c r="F834" i="1"/>
  <c r="E834" i="1"/>
  <c r="D834" i="1"/>
  <c r="C834" i="1"/>
  <c r="B834" i="1"/>
  <c r="G833" i="1"/>
  <c r="F833" i="1"/>
  <c r="E833" i="1"/>
  <c r="D833" i="1"/>
  <c r="C833" i="1"/>
  <c r="B833" i="1"/>
  <c r="G832" i="1"/>
  <c r="F832" i="1"/>
  <c r="E832" i="1"/>
  <c r="D832" i="1"/>
  <c r="C832" i="1"/>
  <c r="B832" i="1"/>
  <c r="G831" i="1"/>
  <c r="F831" i="1"/>
  <c r="E831" i="1"/>
  <c r="D831" i="1"/>
  <c r="C831" i="1"/>
  <c r="B831" i="1"/>
  <c r="G830" i="1"/>
  <c r="F830" i="1"/>
  <c r="E830" i="1"/>
  <c r="D830" i="1"/>
  <c r="C830" i="1"/>
  <c r="B830" i="1"/>
  <c r="G829" i="1"/>
  <c r="F829" i="1"/>
  <c r="E829" i="1"/>
  <c r="D829" i="1"/>
  <c r="C829" i="1"/>
  <c r="B829" i="1"/>
  <c r="G828" i="1"/>
  <c r="F828" i="1"/>
  <c r="E828" i="1"/>
  <c r="D828" i="1"/>
  <c r="C828" i="1"/>
  <c r="B828" i="1"/>
  <c r="G827" i="1"/>
  <c r="F827" i="1"/>
  <c r="E827" i="1"/>
  <c r="D827" i="1"/>
  <c r="C827" i="1"/>
  <c r="B827" i="1"/>
  <c r="G826" i="1"/>
  <c r="F826" i="1"/>
  <c r="E826" i="1"/>
  <c r="D826" i="1"/>
  <c r="C826" i="1"/>
  <c r="B826" i="1"/>
  <c r="G825" i="1"/>
  <c r="F825" i="1"/>
  <c r="E825" i="1"/>
  <c r="D825" i="1"/>
  <c r="C825" i="1"/>
  <c r="B825" i="1"/>
  <c r="G824" i="1"/>
  <c r="F824" i="1"/>
  <c r="E824" i="1"/>
  <c r="D824" i="1"/>
  <c r="C824" i="1"/>
  <c r="B824" i="1"/>
  <c r="G823" i="1"/>
  <c r="F823" i="1"/>
  <c r="E823" i="1"/>
  <c r="D823" i="1"/>
  <c r="C823" i="1"/>
  <c r="B823" i="1"/>
  <c r="G822" i="1"/>
  <c r="F822" i="1"/>
  <c r="E822" i="1"/>
  <c r="D822" i="1"/>
  <c r="C822" i="1"/>
  <c r="B822" i="1"/>
  <c r="G821" i="1"/>
  <c r="F821" i="1"/>
  <c r="E821" i="1"/>
  <c r="D821" i="1"/>
  <c r="C821" i="1"/>
  <c r="B821" i="1"/>
  <c r="G820" i="1"/>
  <c r="F820" i="1"/>
  <c r="E820" i="1"/>
  <c r="D820" i="1"/>
  <c r="C820" i="1"/>
  <c r="B820" i="1"/>
  <c r="G819" i="1"/>
  <c r="F819" i="1"/>
  <c r="E819" i="1"/>
  <c r="D819" i="1"/>
  <c r="C819" i="1"/>
  <c r="B819" i="1"/>
  <c r="G818" i="1"/>
  <c r="F818" i="1"/>
  <c r="E818" i="1"/>
  <c r="D818" i="1"/>
  <c r="C818" i="1"/>
  <c r="B818" i="1"/>
  <c r="G817" i="1"/>
  <c r="F817" i="1"/>
  <c r="E817" i="1"/>
  <c r="D817" i="1"/>
  <c r="C817" i="1"/>
  <c r="B817" i="1"/>
  <c r="G816" i="1"/>
  <c r="F816" i="1"/>
  <c r="E816" i="1"/>
  <c r="D816" i="1"/>
  <c r="C816" i="1"/>
  <c r="B816" i="1"/>
  <c r="G815" i="1"/>
  <c r="F815" i="1"/>
  <c r="E815" i="1"/>
  <c r="D815" i="1"/>
  <c r="C815" i="1"/>
  <c r="B815" i="1"/>
  <c r="G814" i="1"/>
  <c r="F814" i="1"/>
  <c r="E814" i="1"/>
  <c r="D814" i="1"/>
  <c r="C814" i="1"/>
  <c r="B814" i="1"/>
  <c r="G813" i="1"/>
  <c r="F813" i="1"/>
  <c r="E813" i="1"/>
  <c r="D813" i="1"/>
  <c r="C813" i="1"/>
  <c r="B813" i="1"/>
  <c r="G812" i="1"/>
  <c r="F812" i="1"/>
  <c r="E812" i="1"/>
  <c r="D812" i="1"/>
  <c r="C812" i="1"/>
  <c r="B812" i="1"/>
  <c r="G811" i="1"/>
  <c r="F811" i="1"/>
  <c r="E811" i="1"/>
  <c r="D811" i="1"/>
  <c r="C811" i="1"/>
  <c r="B811" i="1"/>
  <c r="G810" i="1"/>
  <c r="F810" i="1"/>
  <c r="E810" i="1"/>
  <c r="D810" i="1"/>
  <c r="C810" i="1"/>
  <c r="B810" i="1"/>
  <c r="G809" i="1"/>
  <c r="F809" i="1"/>
  <c r="E809" i="1"/>
  <c r="D809" i="1"/>
  <c r="C809" i="1"/>
  <c r="B809" i="1"/>
  <c r="G808" i="1"/>
  <c r="F808" i="1"/>
  <c r="E808" i="1"/>
  <c r="D808" i="1"/>
  <c r="C808" i="1"/>
  <c r="B808" i="1"/>
  <c r="G807" i="1"/>
  <c r="F807" i="1"/>
  <c r="E807" i="1"/>
  <c r="D807" i="1"/>
  <c r="C807" i="1"/>
  <c r="B807" i="1"/>
  <c r="G806" i="1"/>
  <c r="F806" i="1"/>
  <c r="E806" i="1"/>
  <c r="D806" i="1"/>
  <c r="C806" i="1"/>
  <c r="B806" i="1"/>
  <c r="G805" i="1"/>
  <c r="F805" i="1"/>
  <c r="E805" i="1"/>
  <c r="D805" i="1"/>
  <c r="C805" i="1"/>
  <c r="B805" i="1"/>
  <c r="G804" i="1"/>
  <c r="F804" i="1"/>
  <c r="E804" i="1"/>
  <c r="D804" i="1"/>
  <c r="C804" i="1"/>
  <c r="B804" i="1"/>
  <c r="G803" i="1"/>
  <c r="F803" i="1"/>
  <c r="E803" i="1"/>
  <c r="D803" i="1"/>
  <c r="C803" i="1"/>
  <c r="B803" i="1"/>
  <c r="G802" i="1"/>
  <c r="F802" i="1"/>
  <c r="E802" i="1"/>
  <c r="D802" i="1"/>
  <c r="C802" i="1"/>
  <c r="B802" i="1"/>
  <c r="G801" i="1"/>
  <c r="F801" i="1"/>
  <c r="E801" i="1"/>
  <c r="D801" i="1"/>
  <c r="C801" i="1"/>
  <c r="B801" i="1"/>
  <c r="G800" i="1"/>
  <c r="F800" i="1"/>
  <c r="E800" i="1"/>
  <c r="D800" i="1"/>
  <c r="C800" i="1"/>
  <c r="B800" i="1"/>
  <c r="G799" i="1"/>
  <c r="F799" i="1"/>
  <c r="E799" i="1"/>
  <c r="D799" i="1"/>
  <c r="C799" i="1"/>
  <c r="B799" i="1"/>
  <c r="G798" i="1"/>
  <c r="F798" i="1"/>
  <c r="E798" i="1"/>
  <c r="D798" i="1"/>
  <c r="C798" i="1"/>
  <c r="B798" i="1"/>
  <c r="G797" i="1"/>
  <c r="F797" i="1"/>
  <c r="E797" i="1"/>
  <c r="D797" i="1"/>
  <c r="C797" i="1"/>
  <c r="B797" i="1"/>
  <c r="G796" i="1"/>
  <c r="F796" i="1"/>
  <c r="E796" i="1"/>
  <c r="D796" i="1"/>
  <c r="C796" i="1"/>
  <c r="B796" i="1"/>
  <c r="G795" i="1"/>
  <c r="F795" i="1"/>
  <c r="E795" i="1"/>
  <c r="D795" i="1"/>
  <c r="C795" i="1"/>
  <c r="B795" i="1"/>
  <c r="G794" i="1"/>
  <c r="F794" i="1"/>
  <c r="E794" i="1"/>
  <c r="D794" i="1"/>
  <c r="C794" i="1"/>
  <c r="B794" i="1"/>
  <c r="G793" i="1"/>
  <c r="F793" i="1"/>
  <c r="E793" i="1"/>
  <c r="D793" i="1"/>
  <c r="C793" i="1"/>
  <c r="B793" i="1"/>
  <c r="G792" i="1"/>
  <c r="F792" i="1"/>
  <c r="E792" i="1"/>
  <c r="D792" i="1"/>
  <c r="C792" i="1"/>
  <c r="B792" i="1"/>
  <c r="G791" i="1"/>
  <c r="F791" i="1"/>
  <c r="E791" i="1"/>
  <c r="D791" i="1"/>
  <c r="C791" i="1"/>
  <c r="B791" i="1"/>
  <c r="G790" i="1"/>
  <c r="F790" i="1"/>
  <c r="E790" i="1"/>
  <c r="D790" i="1"/>
  <c r="C790" i="1"/>
  <c r="B790" i="1"/>
  <c r="G789" i="1"/>
  <c r="F789" i="1"/>
  <c r="E789" i="1"/>
  <c r="D789" i="1"/>
  <c r="C789" i="1"/>
  <c r="B789" i="1"/>
  <c r="G788" i="1"/>
  <c r="F788" i="1"/>
  <c r="E788" i="1"/>
  <c r="D788" i="1"/>
  <c r="C788" i="1"/>
  <c r="B788" i="1"/>
  <c r="G787" i="1"/>
  <c r="F787" i="1"/>
  <c r="E787" i="1"/>
  <c r="D787" i="1"/>
  <c r="C787" i="1"/>
  <c r="B787" i="1"/>
  <c r="G786" i="1"/>
  <c r="F786" i="1"/>
  <c r="E786" i="1"/>
  <c r="D786" i="1"/>
  <c r="C786" i="1"/>
  <c r="B786" i="1"/>
  <c r="G785" i="1"/>
  <c r="F785" i="1"/>
  <c r="E785" i="1"/>
  <c r="D785" i="1"/>
  <c r="C785" i="1"/>
  <c r="B785" i="1"/>
  <c r="G784" i="1"/>
  <c r="F784" i="1"/>
  <c r="E784" i="1"/>
  <c r="D784" i="1"/>
  <c r="C784" i="1"/>
  <c r="B784" i="1"/>
  <c r="G783" i="1"/>
  <c r="F783" i="1"/>
  <c r="E783" i="1"/>
  <c r="D783" i="1"/>
  <c r="C783" i="1"/>
  <c r="B783" i="1"/>
  <c r="G782" i="1"/>
  <c r="F782" i="1"/>
  <c r="E782" i="1"/>
  <c r="D782" i="1"/>
  <c r="C782" i="1"/>
  <c r="B782" i="1"/>
  <c r="G781" i="1"/>
  <c r="F781" i="1"/>
  <c r="E781" i="1"/>
  <c r="D781" i="1"/>
  <c r="C781" i="1"/>
  <c r="B781" i="1"/>
  <c r="G780" i="1"/>
  <c r="F780" i="1"/>
  <c r="E780" i="1"/>
  <c r="D780" i="1"/>
  <c r="C780" i="1"/>
  <c r="B780" i="1"/>
  <c r="G779" i="1"/>
  <c r="F779" i="1"/>
  <c r="E779" i="1"/>
  <c r="D779" i="1"/>
  <c r="C779" i="1"/>
  <c r="B779" i="1"/>
  <c r="G778" i="1"/>
  <c r="F778" i="1"/>
  <c r="E778" i="1"/>
  <c r="D778" i="1"/>
  <c r="C778" i="1"/>
  <c r="B778" i="1"/>
  <c r="G777" i="1"/>
  <c r="F777" i="1"/>
  <c r="E777" i="1"/>
  <c r="D777" i="1"/>
  <c r="C777" i="1"/>
  <c r="B777" i="1"/>
  <c r="G776" i="1"/>
  <c r="F776" i="1"/>
  <c r="E776" i="1"/>
  <c r="D776" i="1"/>
  <c r="C776" i="1"/>
  <c r="B776" i="1"/>
  <c r="G775" i="1"/>
  <c r="F775" i="1"/>
  <c r="E775" i="1"/>
  <c r="D775" i="1"/>
  <c r="C775" i="1"/>
  <c r="B775" i="1"/>
  <c r="G774" i="1"/>
  <c r="F774" i="1"/>
  <c r="E774" i="1"/>
  <c r="D774" i="1"/>
  <c r="C774" i="1"/>
  <c r="B774" i="1"/>
  <c r="G773" i="1"/>
  <c r="F773" i="1"/>
  <c r="E773" i="1"/>
  <c r="D773" i="1"/>
  <c r="C773" i="1"/>
  <c r="B773" i="1"/>
  <c r="G772" i="1"/>
  <c r="F772" i="1"/>
  <c r="E772" i="1"/>
  <c r="D772" i="1"/>
  <c r="C772" i="1"/>
  <c r="B772" i="1"/>
  <c r="G771" i="1"/>
  <c r="F771" i="1"/>
  <c r="E771" i="1"/>
  <c r="D771" i="1"/>
  <c r="C771" i="1"/>
  <c r="B771" i="1"/>
  <c r="G770" i="1"/>
  <c r="F770" i="1"/>
  <c r="E770" i="1"/>
  <c r="D770" i="1"/>
  <c r="C770" i="1"/>
  <c r="B770" i="1"/>
  <c r="G769" i="1"/>
  <c r="F769" i="1"/>
  <c r="E769" i="1"/>
  <c r="D769" i="1"/>
  <c r="C769" i="1"/>
  <c r="B769" i="1"/>
  <c r="G768" i="1"/>
  <c r="F768" i="1"/>
  <c r="E768" i="1"/>
  <c r="D768" i="1"/>
  <c r="C768" i="1"/>
  <c r="B768" i="1"/>
  <c r="G767" i="1"/>
  <c r="F767" i="1"/>
  <c r="E767" i="1"/>
  <c r="D767" i="1"/>
  <c r="C767" i="1"/>
  <c r="B767" i="1"/>
  <c r="G766" i="1"/>
  <c r="F766" i="1"/>
  <c r="E766" i="1"/>
  <c r="D766" i="1"/>
  <c r="C766" i="1"/>
  <c r="B766" i="1"/>
  <c r="G765" i="1"/>
  <c r="F765" i="1"/>
  <c r="E765" i="1"/>
  <c r="D765" i="1"/>
  <c r="C765" i="1"/>
  <c r="B765" i="1"/>
  <c r="G764" i="1"/>
  <c r="F764" i="1"/>
  <c r="E764" i="1"/>
  <c r="D764" i="1"/>
  <c r="C764" i="1"/>
  <c r="B764" i="1"/>
  <c r="G763" i="1"/>
  <c r="F763" i="1"/>
  <c r="E763" i="1"/>
  <c r="D763" i="1"/>
  <c r="C763" i="1"/>
  <c r="B763" i="1"/>
  <c r="G762" i="1"/>
  <c r="F762" i="1"/>
  <c r="E762" i="1"/>
  <c r="D762" i="1"/>
  <c r="C762" i="1"/>
  <c r="B762" i="1"/>
  <c r="G761" i="1"/>
  <c r="F761" i="1"/>
  <c r="E761" i="1"/>
  <c r="D761" i="1"/>
  <c r="C761" i="1"/>
  <c r="B761" i="1"/>
  <c r="G760" i="1"/>
  <c r="F760" i="1"/>
  <c r="E760" i="1"/>
  <c r="D760" i="1"/>
  <c r="C760" i="1"/>
  <c r="B760" i="1"/>
  <c r="G759" i="1"/>
  <c r="F759" i="1"/>
  <c r="E759" i="1"/>
  <c r="D759" i="1"/>
  <c r="C759" i="1"/>
  <c r="B759" i="1"/>
  <c r="G758" i="1"/>
  <c r="F758" i="1"/>
  <c r="E758" i="1"/>
  <c r="D758" i="1"/>
  <c r="C758" i="1"/>
  <c r="B758" i="1"/>
  <c r="G757" i="1"/>
  <c r="F757" i="1"/>
  <c r="E757" i="1"/>
  <c r="D757" i="1"/>
  <c r="C757" i="1"/>
  <c r="B757" i="1"/>
  <c r="G756" i="1"/>
  <c r="F756" i="1"/>
  <c r="E756" i="1"/>
  <c r="D756" i="1"/>
  <c r="C756" i="1"/>
  <c r="B756" i="1"/>
  <c r="G755" i="1"/>
  <c r="F755" i="1"/>
  <c r="E755" i="1"/>
  <c r="D755" i="1"/>
  <c r="C755" i="1"/>
  <c r="B755" i="1"/>
  <c r="G754" i="1"/>
  <c r="F754" i="1"/>
  <c r="E754" i="1"/>
  <c r="D754" i="1"/>
  <c r="C754" i="1"/>
  <c r="B754" i="1"/>
  <c r="G753" i="1"/>
  <c r="F753" i="1"/>
  <c r="E753" i="1"/>
  <c r="D753" i="1"/>
  <c r="C753" i="1"/>
  <c r="B753" i="1"/>
  <c r="G752" i="1"/>
  <c r="F752" i="1"/>
  <c r="E752" i="1"/>
  <c r="D752" i="1"/>
  <c r="C752" i="1"/>
  <c r="B752" i="1"/>
  <c r="G751" i="1"/>
  <c r="F751" i="1"/>
  <c r="E751" i="1"/>
  <c r="D751" i="1"/>
  <c r="C751" i="1"/>
  <c r="B751" i="1"/>
  <c r="G750" i="1"/>
  <c r="F750" i="1"/>
  <c r="E750" i="1"/>
  <c r="D750" i="1"/>
  <c r="C750" i="1"/>
  <c r="B750" i="1"/>
  <c r="G749" i="1"/>
  <c r="F749" i="1"/>
  <c r="E749" i="1"/>
  <c r="D749" i="1"/>
  <c r="C749" i="1"/>
  <c r="B749" i="1"/>
  <c r="G748" i="1"/>
  <c r="F748" i="1"/>
  <c r="E748" i="1"/>
  <c r="D748" i="1"/>
  <c r="C748" i="1"/>
  <c r="B748" i="1"/>
  <c r="G747" i="1"/>
  <c r="F747" i="1"/>
  <c r="E747" i="1"/>
  <c r="D747" i="1"/>
  <c r="C747" i="1"/>
  <c r="B747" i="1"/>
  <c r="G746" i="1"/>
  <c r="F746" i="1"/>
  <c r="E746" i="1"/>
  <c r="D746" i="1"/>
  <c r="C746" i="1"/>
  <c r="B746" i="1"/>
  <c r="G745" i="1"/>
  <c r="F745" i="1"/>
  <c r="E745" i="1"/>
  <c r="D745" i="1"/>
  <c r="C745" i="1"/>
  <c r="B745" i="1"/>
  <c r="G744" i="1"/>
  <c r="F744" i="1"/>
  <c r="E744" i="1"/>
  <c r="D744" i="1"/>
  <c r="C744" i="1"/>
  <c r="B744" i="1"/>
  <c r="G743" i="1"/>
  <c r="F743" i="1"/>
  <c r="E743" i="1"/>
  <c r="D743" i="1"/>
  <c r="C743" i="1"/>
  <c r="B743" i="1"/>
  <c r="G742" i="1"/>
  <c r="F742" i="1"/>
  <c r="E742" i="1"/>
  <c r="D742" i="1"/>
  <c r="C742" i="1"/>
  <c r="B742" i="1"/>
  <c r="G741" i="1"/>
  <c r="F741" i="1"/>
  <c r="E741" i="1"/>
  <c r="D741" i="1"/>
  <c r="C741" i="1"/>
  <c r="B741" i="1"/>
  <c r="G740" i="1"/>
  <c r="F740" i="1"/>
  <c r="E740" i="1"/>
  <c r="D740" i="1"/>
  <c r="C740" i="1"/>
  <c r="B740" i="1"/>
  <c r="G739" i="1"/>
  <c r="F739" i="1"/>
  <c r="E739" i="1"/>
  <c r="D739" i="1"/>
  <c r="C739" i="1"/>
  <c r="B739" i="1"/>
  <c r="G738" i="1"/>
  <c r="F738" i="1"/>
  <c r="E738" i="1"/>
  <c r="D738" i="1"/>
  <c r="C738" i="1"/>
  <c r="B738" i="1"/>
  <c r="G737" i="1"/>
  <c r="F737" i="1"/>
  <c r="E737" i="1"/>
  <c r="D737" i="1"/>
  <c r="C737" i="1"/>
  <c r="B737" i="1"/>
  <c r="G736" i="1"/>
  <c r="F736" i="1"/>
  <c r="E736" i="1"/>
  <c r="D736" i="1"/>
  <c r="C736" i="1"/>
  <c r="B736" i="1"/>
  <c r="G735" i="1"/>
  <c r="F735" i="1"/>
  <c r="E735" i="1"/>
  <c r="D735" i="1"/>
  <c r="C735" i="1"/>
  <c r="B735" i="1"/>
  <c r="G734" i="1"/>
  <c r="F734" i="1"/>
  <c r="E734" i="1"/>
  <c r="D734" i="1"/>
  <c r="C734" i="1"/>
  <c r="B734" i="1"/>
  <c r="G733" i="1"/>
  <c r="F733" i="1"/>
  <c r="E733" i="1"/>
  <c r="D733" i="1"/>
  <c r="C733" i="1"/>
  <c r="B733" i="1"/>
  <c r="G732" i="1"/>
  <c r="F732" i="1"/>
  <c r="E732" i="1"/>
  <c r="D732" i="1"/>
  <c r="C732" i="1"/>
  <c r="B732" i="1"/>
  <c r="G731" i="1"/>
  <c r="F731" i="1"/>
  <c r="E731" i="1"/>
  <c r="D731" i="1"/>
  <c r="C731" i="1"/>
  <c r="B731" i="1"/>
  <c r="G730" i="1"/>
  <c r="F730" i="1"/>
  <c r="E730" i="1"/>
  <c r="D730" i="1"/>
  <c r="C730" i="1"/>
  <c r="B730" i="1"/>
  <c r="G729" i="1"/>
  <c r="F729" i="1"/>
  <c r="E729" i="1"/>
  <c r="D729" i="1"/>
  <c r="C729" i="1"/>
  <c r="B729" i="1"/>
  <c r="G728" i="1"/>
  <c r="F728" i="1"/>
  <c r="E728" i="1"/>
  <c r="D728" i="1"/>
  <c r="C728" i="1"/>
  <c r="B728" i="1"/>
  <c r="G727" i="1"/>
  <c r="F727" i="1"/>
  <c r="E727" i="1"/>
  <c r="D727" i="1"/>
  <c r="C727" i="1"/>
  <c r="B727" i="1"/>
  <c r="G726" i="1"/>
  <c r="F726" i="1"/>
  <c r="E726" i="1"/>
  <c r="D726" i="1"/>
  <c r="C726" i="1"/>
  <c r="B726" i="1"/>
  <c r="G725" i="1"/>
  <c r="F725" i="1"/>
  <c r="E725" i="1"/>
  <c r="D725" i="1"/>
  <c r="C725" i="1"/>
  <c r="B725" i="1"/>
  <c r="G724" i="1"/>
  <c r="F724" i="1"/>
  <c r="E724" i="1"/>
  <c r="D724" i="1"/>
  <c r="C724" i="1"/>
  <c r="B724" i="1"/>
  <c r="G723" i="1"/>
  <c r="F723" i="1"/>
  <c r="E723" i="1"/>
  <c r="D723" i="1"/>
  <c r="C723" i="1"/>
  <c r="B723" i="1"/>
  <c r="G722" i="1"/>
  <c r="F722" i="1"/>
  <c r="E722" i="1"/>
  <c r="D722" i="1"/>
  <c r="C722" i="1"/>
  <c r="B722" i="1"/>
  <c r="G721" i="1"/>
  <c r="F721" i="1"/>
  <c r="E721" i="1"/>
  <c r="D721" i="1"/>
  <c r="C721" i="1"/>
  <c r="B721" i="1"/>
  <c r="G720" i="1"/>
  <c r="F720" i="1"/>
  <c r="E720" i="1"/>
  <c r="D720" i="1"/>
  <c r="C720" i="1"/>
  <c r="B720" i="1"/>
  <c r="G719" i="1"/>
  <c r="F719" i="1"/>
  <c r="E719" i="1"/>
  <c r="G718" i="1"/>
  <c r="F718" i="1"/>
  <c r="E718" i="1"/>
  <c r="D718" i="1"/>
  <c r="C718" i="1"/>
  <c r="B718" i="1"/>
  <c r="G717" i="1"/>
  <c r="F717" i="1"/>
  <c r="E717" i="1"/>
  <c r="D717" i="1"/>
  <c r="C717" i="1"/>
  <c r="B717" i="1"/>
  <c r="G716" i="1"/>
  <c r="F716" i="1"/>
  <c r="E716" i="1"/>
  <c r="D716" i="1"/>
  <c r="C716" i="1"/>
  <c r="B716" i="1"/>
  <c r="G715" i="1"/>
  <c r="F715" i="1"/>
  <c r="E715" i="1"/>
  <c r="D715" i="1"/>
  <c r="C715" i="1"/>
  <c r="B715" i="1"/>
  <c r="G714" i="1"/>
  <c r="F714" i="1"/>
  <c r="E714" i="1"/>
  <c r="D714" i="1"/>
  <c r="C714" i="1"/>
  <c r="B714" i="1"/>
  <c r="G713" i="1"/>
  <c r="F713" i="1"/>
  <c r="E713" i="1"/>
  <c r="D713" i="1"/>
  <c r="C713" i="1"/>
  <c r="B713" i="1"/>
  <c r="G712" i="1"/>
  <c r="F712" i="1"/>
  <c r="E712" i="1"/>
  <c r="D712" i="1"/>
  <c r="C712" i="1"/>
  <c r="B712" i="1"/>
  <c r="G711" i="1"/>
  <c r="F711" i="1"/>
  <c r="E711" i="1"/>
  <c r="D711" i="1"/>
  <c r="C711" i="1"/>
  <c r="B711" i="1"/>
  <c r="G710" i="1"/>
  <c r="F710" i="1"/>
  <c r="E710" i="1"/>
  <c r="D710" i="1"/>
  <c r="C710" i="1"/>
  <c r="B710" i="1"/>
  <c r="G709" i="1"/>
  <c r="F709" i="1"/>
  <c r="E709" i="1"/>
  <c r="D709" i="1"/>
  <c r="C709" i="1"/>
  <c r="B709" i="1"/>
  <c r="G708" i="1"/>
  <c r="F708" i="1"/>
  <c r="E708" i="1"/>
  <c r="D708" i="1"/>
  <c r="C708" i="1"/>
  <c r="B708" i="1"/>
  <c r="G707" i="1"/>
  <c r="F707" i="1"/>
  <c r="E707" i="1"/>
  <c r="D707" i="1"/>
  <c r="C707" i="1"/>
  <c r="B707" i="1"/>
  <c r="G706" i="1"/>
  <c r="F706" i="1"/>
  <c r="E706" i="1"/>
  <c r="D706" i="1"/>
  <c r="C706" i="1"/>
  <c r="B706" i="1"/>
  <c r="G705" i="1"/>
  <c r="F705" i="1"/>
  <c r="E705" i="1"/>
  <c r="D705" i="1"/>
  <c r="C705" i="1"/>
  <c r="B705" i="1"/>
  <c r="G704" i="1"/>
  <c r="F704" i="1"/>
  <c r="E704" i="1"/>
  <c r="D704" i="1"/>
  <c r="C704" i="1"/>
  <c r="B704" i="1"/>
  <c r="G703" i="1"/>
  <c r="F703" i="1"/>
  <c r="E703" i="1"/>
  <c r="D703" i="1"/>
  <c r="C703" i="1"/>
  <c r="B703" i="1"/>
  <c r="G702" i="1"/>
  <c r="F702" i="1"/>
  <c r="E702" i="1"/>
  <c r="D702" i="1"/>
  <c r="C702" i="1"/>
  <c r="B702" i="1"/>
  <c r="G701" i="1"/>
  <c r="F701" i="1"/>
  <c r="E701" i="1"/>
  <c r="D701" i="1"/>
  <c r="C701" i="1"/>
  <c r="B701" i="1"/>
  <c r="G700" i="1"/>
  <c r="F700" i="1"/>
  <c r="E700" i="1"/>
  <c r="D700" i="1"/>
  <c r="C700" i="1"/>
  <c r="B700" i="1"/>
  <c r="G699" i="1"/>
  <c r="F699" i="1"/>
  <c r="E699" i="1"/>
  <c r="D699" i="1"/>
  <c r="C699" i="1"/>
  <c r="B699" i="1"/>
  <c r="G698" i="1"/>
  <c r="F698" i="1"/>
  <c r="E698" i="1"/>
  <c r="D698" i="1"/>
  <c r="C698" i="1"/>
  <c r="B698" i="1"/>
  <c r="G697" i="1"/>
  <c r="F697" i="1"/>
  <c r="E697" i="1"/>
  <c r="D697" i="1"/>
  <c r="C697" i="1"/>
  <c r="B697" i="1"/>
  <c r="G696" i="1"/>
  <c r="F696" i="1"/>
  <c r="E696" i="1"/>
  <c r="D696" i="1"/>
  <c r="C696" i="1"/>
  <c r="B696" i="1"/>
  <c r="G695" i="1"/>
  <c r="F695" i="1"/>
  <c r="E695" i="1"/>
  <c r="D695" i="1"/>
  <c r="C695" i="1"/>
  <c r="B695" i="1"/>
  <c r="G694" i="1"/>
  <c r="F694" i="1"/>
  <c r="E694" i="1"/>
  <c r="D694" i="1"/>
  <c r="C694" i="1"/>
  <c r="B694" i="1"/>
  <c r="G693" i="1"/>
  <c r="F693" i="1"/>
  <c r="E693" i="1"/>
  <c r="D693" i="1"/>
  <c r="C693" i="1"/>
  <c r="B693" i="1"/>
  <c r="G692" i="1"/>
  <c r="F692" i="1"/>
  <c r="E692" i="1"/>
  <c r="D692" i="1"/>
  <c r="C692" i="1"/>
  <c r="B692" i="1"/>
  <c r="G691" i="1"/>
  <c r="F691" i="1"/>
  <c r="E691" i="1"/>
  <c r="D691" i="1"/>
  <c r="C691" i="1"/>
  <c r="B691" i="1"/>
  <c r="G690" i="1"/>
  <c r="F690" i="1"/>
  <c r="E690" i="1"/>
  <c r="D690" i="1"/>
  <c r="C690" i="1"/>
  <c r="B690" i="1"/>
  <c r="G689" i="1"/>
  <c r="F689" i="1"/>
  <c r="E689" i="1"/>
  <c r="D689" i="1"/>
  <c r="C689" i="1"/>
  <c r="B689" i="1"/>
  <c r="G688" i="1"/>
  <c r="F688" i="1"/>
  <c r="E688" i="1"/>
  <c r="D688" i="1"/>
  <c r="C688" i="1"/>
  <c r="B688" i="1"/>
  <c r="G687" i="1"/>
  <c r="F687" i="1"/>
  <c r="E687" i="1"/>
  <c r="D687" i="1"/>
  <c r="C687" i="1"/>
  <c r="B687" i="1"/>
  <c r="G686" i="1"/>
  <c r="F686" i="1"/>
  <c r="E686" i="1"/>
  <c r="D686" i="1"/>
  <c r="C686" i="1"/>
  <c r="B686" i="1"/>
  <c r="G685" i="1"/>
  <c r="F685" i="1"/>
  <c r="E685" i="1"/>
  <c r="D685" i="1"/>
  <c r="C685" i="1"/>
  <c r="B685" i="1"/>
  <c r="G684" i="1"/>
  <c r="F684" i="1"/>
  <c r="E684" i="1"/>
  <c r="D684" i="1"/>
  <c r="C684" i="1"/>
  <c r="B684" i="1"/>
  <c r="G683" i="1"/>
  <c r="F683" i="1"/>
  <c r="E683" i="1"/>
  <c r="D683" i="1"/>
  <c r="C683" i="1"/>
  <c r="B683" i="1"/>
  <c r="G682" i="1"/>
  <c r="F682" i="1"/>
  <c r="E682" i="1"/>
  <c r="D682" i="1"/>
  <c r="C682" i="1"/>
  <c r="B682" i="1"/>
  <c r="G681" i="1"/>
  <c r="F681" i="1"/>
  <c r="E681" i="1"/>
  <c r="D681" i="1"/>
  <c r="C681" i="1"/>
  <c r="B681" i="1"/>
  <c r="G680" i="1"/>
  <c r="F680" i="1"/>
  <c r="E680" i="1"/>
  <c r="D680" i="1"/>
  <c r="C680" i="1"/>
  <c r="B680" i="1"/>
  <c r="G679" i="1"/>
  <c r="F679" i="1"/>
  <c r="E679" i="1"/>
  <c r="D679" i="1"/>
  <c r="C679" i="1"/>
  <c r="B679" i="1"/>
  <c r="G678" i="1"/>
  <c r="F678" i="1"/>
  <c r="E678" i="1"/>
  <c r="D678" i="1"/>
  <c r="C678" i="1"/>
  <c r="B678" i="1"/>
  <c r="G677" i="1"/>
  <c r="F677" i="1"/>
  <c r="E677" i="1"/>
  <c r="D677" i="1"/>
  <c r="C677" i="1"/>
  <c r="B677" i="1"/>
  <c r="G676" i="1"/>
  <c r="F676" i="1"/>
  <c r="E676" i="1"/>
  <c r="D676" i="1"/>
  <c r="C676" i="1"/>
  <c r="B676" i="1"/>
  <c r="G675" i="1"/>
  <c r="F675" i="1"/>
  <c r="E675" i="1"/>
  <c r="D675" i="1"/>
  <c r="C675" i="1"/>
  <c r="B675" i="1"/>
  <c r="G674" i="1"/>
  <c r="F674" i="1"/>
  <c r="E674" i="1"/>
  <c r="D674" i="1"/>
  <c r="C674" i="1"/>
  <c r="B674" i="1"/>
  <c r="G673" i="1"/>
  <c r="F673" i="1"/>
  <c r="E673" i="1"/>
  <c r="D673" i="1"/>
  <c r="C673" i="1"/>
  <c r="B673" i="1"/>
  <c r="G672" i="1"/>
  <c r="F672" i="1"/>
  <c r="E672" i="1"/>
  <c r="D672" i="1"/>
  <c r="C672" i="1"/>
  <c r="B672" i="1"/>
  <c r="G671" i="1"/>
  <c r="F671" i="1"/>
  <c r="E671" i="1"/>
  <c r="D671" i="1"/>
  <c r="C671" i="1"/>
  <c r="B671" i="1"/>
  <c r="G670" i="1"/>
  <c r="F670" i="1"/>
  <c r="E670" i="1"/>
  <c r="D670" i="1"/>
  <c r="C670" i="1"/>
  <c r="B670" i="1"/>
  <c r="G669" i="1"/>
  <c r="F669" i="1"/>
  <c r="E669" i="1"/>
  <c r="D669" i="1"/>
  <c r="C669" i="1"/>
  <c r="B669" i="1"/>
  <c r="G668" i="1"/>
  <c r="F668" i="1"/>
  <c r="E668" i="1"/>
  <c r="D668" i="1"/>
  <c r="C668" i="1"/>
  <c r="B668" i="1"/>
  <c r="G667" i="1"/>
  <c r="F667" i="1"/>
  <c r="E667" i="1"/>
  <c r="D667" i="1"/>
  <c r="C667" i="1"/>
  <c r="B667" i="1"/>
  <c r="G666" i="1"/>
  <c r="F666" i="1"/>
  <c r="E666" i="1"/>
  <c r="D666" i="1"/>
  <c r="C666" i="1"/>
  <c r="B666" i="1"/>
  <c r="G665" i="1"/>
  <c r="F665" i="1"/>
  <c r="E665" i="1"/>
  <c r="D665" i="1"/>
  <c r="C665" i="1"/>
  <c r="B665" i="1"/>
  <c r="G664" i="1"/>
  <c r="F664" i="1"/>
  <c r="E664" i="1"/>
  <c r="D664" i="1"/>
  <c r="C664" i="1"/>
  <c r="B664" i="1"/>
  <c r="G663" i="1"/>
  <c r="F663" i="1"/>
  <c r="E663" i="1"/>
  <c r="D663" i="1"/>
  <c r="C663" i="1"/>
  <c r="B663" i="1"/>
  <c r="G662" i="1"/>
  <c r="F662" i="1"/>
  <c r="E662" i="1"/>
  <c r="D662" i="1"/>
  <c r="C662" i="1"/>
  <c r="B662" i="1"/>
  <c r="G661" i="1"/>
  <c r="F661" i="1"/>
  <c r="E661" i="1"/>
  <c r="D661" i="1"/>
  <c r="C661" i="1"/>
  <c r="B661" i="1"/>
  <c r="G660" i="1"/>
  <c r="F660" i="1"/>
  <c r="E660" i="1"/>
  <c r="D660" i="1"/>
  <c r="C660" i="1"/>
  <c r="B660" i="1"/>
  <c r="G659" i="1"/>
  <c r="F659" i="1"/>
  <c r="E659" i="1"/>
  <c r="D659" i="1"/>
  <c r="C659" i="1"/>
  <c r="B659" i="1"/>
  <c r="G658" i="1"/>
  <c r="F658" i="1"/>
  <c r="E658" i="1"/>
  <c r="D658" i="1"/>
  <c r="C658" i="1"/>
  <c r="B658" i="1"/>
  <c r="G657" i="1"/>
  <c r="F657" i="1"/>
  <c r="E657" i="1"/>
  <c r="D657" i="1"/>
  <c r="C657" i="1"/>
  <c r="B657" i="1"/>
  <c r="G656" i="1"/>
  <c r="F656" i="1"/>
  <c r="E656" i="1"/>
  <c r="D656" i="1"/>
  <c r="C656" i="1"/>
  <c r="B656" i="1"/>
  <c r="G655" i="1"/>
  <c r="F655" i="1"/>
  <c r="E655" i="1"/>
  <c r="D655" i="1"/>
  <c r="C655" i="1"/>
  <c r="B655" i="1"/>
  <c r="G654" i="1"/>
  <c r="F654" i="1"/>
  <c r="E654" i="1"/>
  <c r="D654" i="1"/>
  <c r="C654" i="1"/>
  <c r="B654" i="1"/>
  <c r="G653" i="1"/>
  <c r="F653" i="1"/>
  <c r="E653" i="1"/>
  <c r="D653" i="1"/>
  <c r="C653" i="1"/>
  <c r="B653" i="1"/>
  <c r="G652" i="1"/>
  <c r="F652" i="1"/>
  <c r="E652" i="1"/>
  <c r="D652" i="1"/>
  <c r="C652" i="1"/>
  <c r="B652" i="1"/>
  <c r="G651" i="1"/>
  <c r="F651" i="1"/>
  <c r="E651" i="1"/>
  <c r="D651" i="1"/>
  <c r="C651" i="1"/>
  <c r="B651" i="1"/>
  <c r="G650" i="1"/>
  <c r="F650" i="1"/>
  <c r="E650" i="1"/>
  <c r="D650" i="1"/>
  <c r="C650" i="1"/>
  <c r="B650" i="1"/>
  <c r="G649" i="1"/>
  <c r="F649" i="1"/>
  <c r="E649" i="1"/>
  <c r="D649" i="1"/>
  <c r="C649" i="1"/>
  <c r="B649" i="1"/>
  <c r="G648" i="1"/>
  <c r="F648" i="1"/>
  <c r="E648" i="1"/>
  <c r="D648" i="1"/>
  <c r="C648" i="1"/>
  <c r="B648" i="1"/>
  <c r="G647" i="1"/>
  <c r="F647" i="1"/>
  <c r="E647" i="1"/>
  <c r="D647" i="1"/>
  <c r="C647" i="1"/>
  <c r="B647" i="1"/>
  <c r="G646" i="1"/>
  <c r="F646" i="1"/>
  <c r="E646" i="1"/>
  <c r="D646" i="1"/>
  <c r="C646" i="1"/>
  <c r="B646" i="1"/>
  <c r="G645" i="1"/>
  <c r="F645" i="1"/>
  <c r="E645" i="1"/>
  <c r="D645" i="1"/>
  <c r="C645" i="1"/>
  <c r="B645" i="1"/>
  <c r="G644" i="1"/>
  <c r="F644" i="1"/>
  <c r="E644" i="1"/>
  <c r="D644" i="1"/>
  <c r="C644" i="1"/>
  <c r="B644" i="1"/>
  <c r="G643" i="1"/>
  <c r="F643" i="1"/>
  <c r="E643" i="1"/>
  <c r="D643" i="1"/>
  <c r="C643" i="1"/>
  <c r="B643" i="1"/>
  <c r="G642" i="1"/>
  <c r="F642" i="1"/>
  <c r="E642" i="1"/>
  <c r="D642" i="1"/>
  <c r="C642" i="1"/>
  <c r="B642" i="1"/>
  <c r="G641" i="1"/>
  <c r="F641" i="1"/>
  <c r="E641" i="1"/>
  <c r="D641" i="1"/>
  <c r="C641" i="1"/>
  <c r="B641" i="1"/>
  <c r="G640" i="1"/>
  <c r="F640" i="1"/>
  <c r="E640" i="1"/>
  <c r="D640" i="1"/>
  <c r="C640" i="1"/>
  <c r="B640" i="1"/>
  <c r="G639" i="1"/>
  <c r="F639" i="1"/>
  <c r="E639" i="1"/>
  <c r="D639" i="1"/>
  <c r="C639" i="1"/>
  <c r="B639" i="1"/>
  <c r="G638" i="1"/>
  <c r="F638" i="1"/>
  <c r="E638" i="1"/>
  <c r="D638" i="1"/>
  <c r="C638" i="1"/>
  <c r="B638" i="1"/>
  <c r="G637" i="1"/>
  <c r="F637" i="1"/>
  <c r="E637" i="1"/>
  <c r="D637" i="1"/>
  <c r="C637" i="1"/>
  <c r="B637" i="1"/>
  <c r="G636" i="1"/>
  <c r="F636" i="1"/>
  <c r="E636" i="1"/>
  <c r="D636" i="1"/>
  <c r="C636" i="1"/>
  <c r="B636" i="1"/>
  <c r="G635" i="1"/>
  <c r="F635" i="1"/>
  <c r="E635" i="1"/>
  <c r="D635" i="1"/>
  <c r="C635" i="1"/>
  <c r="B635" i="1"/>
  <c r="G634" i="1"/>
  <c r="F634" i="1"/>
  <c r="E634" i="1"/>
  <c r="D634" i="1"/>
  <c r="C634" i="1"/>
  <c r="B634" i="1"/>
  <c r="G633" i="1"/>
  <c r="F633" i="1"/>
  <c r="E633" i="1"/>
  <c r="G632" i="1"/>
  <c r="F632" i="1"/>
  <c r="E632" i="1"/>
  <c r="D632" i="1"/>
  <c r="C632" i="1"/>
  <c r="B632" i="1"/>
  <c r="G631" i="1"/>
  <c r="F631" i="1"/>
  <c r="E631" i="1"/>
  <c r="D631" i="1"/>
  <c r="C631" i="1"/>
  <c r="B631" i="1"/>
  <c r="G630" i="1"/>
  <c r="F630" i="1"/>
  <c r="E630" i="1"/>
  <c r="D630" i="1"/>
  <c r="C630" i="1"/>
  <c r="B630" i="1"/>
  <c r="G629" i="1"/>
  <c r="F629" i="1"/>
  <c r="E629" i="1"/>
  <c r="D629" i="1"/>
  <c r="C629" i="1"/>
  <c r="B629" i="1"/>
  <c r="G628" i="1"/>
  <c r="F628" i="1"/>
  <c r="E628" i="1"/>
  <c r="D628" i="1"/>
  <c r="C628" i="1"/>
  <c r="B628" i="1"/>
  <c r="G627" i="1"/>
  <c r="F627" i="1"/>
  <c r="E627" i="1"/>
  <c r="D627" i="1"/>
  <c r="C627" i="1"/>
  <c r="B627" i="1"/>
  <c r="G626" i="1"/>
  <c r="F626" i="1"/>
  <c r="E626" i="1"/>
  <c r="D626" i="1"/>
  <c r="C626" i="1"/>
  <c r="B626" i="1"/>
  <c r="G625" i="1"/>
  <c r="F625" i="1"/>
  <c r="E625" i="1"/>
  <c r="D625" i="1"/>
  <c r="C625" i="1"/>
  <c r="B625" i="1"/>
  <c r="G624" i="1"/>
  <c r="F624" i="1"/>
  <c r="E624" i="1"/>
  <c r="D624" i="1"/>
  <c r="C624" i="1"/>
  <c r="B624" i="1"/>
  <c r="G623" i="1"/>
  <c r="F623" i="1"/>
  <c r="E623" i="1"/>
  <c r="D623" i="1"/>
  <c r="C623" i="1"/>
  <c r="B623" i="1"/>
  <c r="G622" i="1"/>
  <c r="F622" i="1"/>
  <c r="E622" i="1"/>
  <c r="D622" i="1"/>
  <c r="C622" i="1"/>
  <c r="B622" i="1"/>
  <c r="G621" i="1"/>
  <c r="F621" i="1"/>
  <c r="E621" i="1"/>
  <c r="D621" i="1"/>
  <c r="C621" i="1"/>
  <c r="B621" i="1"/>
  <c r="G620" i="1"/>
  <c r="F620" i="1"/>
  <c r="E620" i="1"/>
  <c r="D620" i="1"/>
  <c r="C620" i="1"/>
  <c r="B620" i="1"/>
  <c r="G619" i="1"/>
  <c r="F619" i="1"/>
  <c r="E619" i="1"/>
  <c r="D619" i="1"/>
  <c r="C619" i="1"/>
  <c r="B619" i="1"/>
  <c r="G618" i="1"/>
  <c r="F618" i="1"/>
  <c r="E618" i="1"/>
  <c r="D618" i="1"/>
  <c r="C618" i="1"/>
  <c r="B618" i="1"/>
  <c r="G617" i="1"/>
  <c r="F617" i="1"/>
  <c r="E617" i="1"/>
  <c r="D617" i="1"/>
  <c r="C617" i="1"/>
  <c r="B617" i="1"/>
  <c r="G616" i="1"/>
  <c r="F616" i="1"/>
  <c r="E616" i="1"/>
  <c r="D616" i="1"/>
  <c r="C616" i="1"/>
  <c r="B616" i="1"/>
  <c r="G615" i="1"/>
  <c r="F615" i="1"/>
  <c r="E615" i="1"/>
  <c r="D615" i="1"/>
  <c r="C615" i="1"/>
  <c r="B615" i="1"/>
  <c r="G614" i="1"/>
  <c r="F614" i="1"/>
  <c r="E614" i="1"/>
  <c r="D614" i="1"/>
  <c r="C614" i="1"/>
  <c r="B614" i="1"/>
  <c r="G613" i="1"/>
  <c r="F613" i="1"/>
  <c r="E613" i="1"/>
  <c r="D613" i="1"/>
  <c r="C613" i="1"/>
  <c r="B613" i="1"/>
  <c r="G612" i="1"/>
  <c r="F612" i="1"/>
  <c r="E612" i="1"/>
  <c r="D612" i="1"/>
  <c r="C612" i="1"/>
  <c r="B612" i="1"/>
  <c r="G611" i="1"/>
  <c r="F611" i="1"/>
  <c r="E611" i="1"/>
  <c r="G610" i="1"/>
  <c r="F610" i="1"/>
  <c r="E610" i="1"/>
  <c r="D610" i="1"/>
  <c r="C610" i="1"/>
  <c r="B610" i="1"/>
  <c r="G609" i="1"/>
  <c r="F609" i="1"/>
  <c r="E609" i="1"/>
  <c r="D609" i="1"/>
  <c r="C609" i="1"/>
  <c r="B609" i="1"/>
  <c r="G608" i="1"/>
  <c r="F608" i="1"/>
  <c r="E608" i="1"/>
  <c r="D608" i="1"/>
  <c r="C608" i="1"/>
  <c r="B608" i="1"/>
  <c r="G607" i="1"/>
  <c r="F607" i="1"/>
  <c r="E607" i="1"/>
  <c r="D607" i="1"/>
  <c r="C607" i="1"/>
  <c r="B607" i="1"/>
  <c r="G606" i="1"/>
  <c r="F606" i="1"/>
  <c r="E606" i="1"/>
  <c r="D606" i="1"/>
  <c r="C606" i="1"/>
  <c r="B606" i="1"/>
  <c r="G605" i="1"/>
  <c r="F605" i="1"/>
  <c r="E605" i="1"/>
  <c r="D605" i="1"/>
  <c r="C605" i="1"/>
  <c r="B605" i="1"/>
  <c r="G604" i="1"/>
  <c r="F604" i="1"/>
  <c r="E604" i="1"/>
  <c r="D604" i="1"/>
  <c r="C604" i="1"/>
  <c r="B604" i="1"/>
  <c r="G603" i="1"/>
  <c r="F603" i="1"/>
  <c r="E603" i="1"/>
  <c r="D603" i="1"/>
  <c r="C603" i="1"/>
  <c r="B603" i="1"/>
  <c r="G602" i="1"/>
  <c r="F602" i="1"/>
  <c r="E602" i="1"/>
  <c r="D602" i="1"/>
  <c r="C602" i="1"/>
  <c r="B602" i="1"/>
  <c r="G601" i="1"/>
  <c r="F601" i="1"/>
  <c r="E601" i="1"/>
  <c r="D601" i="1"/>
  <c r="C601" i="1"/>
  <c r="B601" i="1"/>
  <c r="G600" i="1"/>
  <c r="F600" i="1"/>
  <c r="E600" i="1"/>
  <c r="D600" i="1"/>
  <c r="C600" i="1"/>
  <c r="B600" i="1"/>
  <c r="G599" i="1"/>
  <c r="F599" i="1"/>
  <c r="E599" i="1"/>
  <c r="D599" i="1"/>
  <c r="C599" i="1"/>
  <c r="B599" i="1"/>
  <c r="G598" i="1"/>
  <c r="F598" i="1"/>
  <c r="E598" i="1"/>
  <c r="D598" i="1"/>
  <c r="C598" i="1"/>
  <c r="B598" i="1"/>
  <c r="G597" i="1"/>
  <c r="F597" i="1"/>
  <c r="E597" i="1"/>
  <c r="D597" i="1"/>
  <c r="C597" i="1"/>
  <c r="B597" i="1"/>
  <c r="G596" i="1"/>
  <c r="F596" i="1"/>
  <c r="E596" i="1"/>
  <c r="D596" i="1"/>
  <c r="C596" i="1"/>
  <c r="B596" i="1"/>
  <c r="G595" i="1"/>
  <c r="F595" i="1"/>
  <c r="E595" i="1"/>
  <c r="D595" i="1"/>
  <c r="C595" i="1"/>
  <c r="B595" i="1"/>
  <c r="G594" i="1"/>
  <c r="F594" i="1"/>
  <c r="E594" i="1"/>
  <c r="D594" i="1"/>
  <c r="C594" i="1"/>
  <c r="B594" i="1"/>
  <c r="G593" i="1"/>
  <c r="F593" i="1"/>
  <c r="E593" i="1"/>
  <c r="D593" i="1"/>
  <c r="C593" i="1"/>
  <c r="B593" i="1"/>
  <c r="G592" i="1"/>
  <c r="F592" i="1"/>
  <c r="E592" i="1"/>
  <c r="D592" i="1"/>
  <c r="C592" i="1"/>
  <c r="B592" i="1"/>
  <c r="G591" i="1"/>
  <c r="F591" i="1"/>
  <c r="E591" i="1"/>
  <c r="D591" i="1"/>
  <c r="C591" i="1"/>
  <c r="B591" i="1"/>
  <c r="G590" i="1"/>
  <c r="F590" i="1"/>
  <c r="E590" i="1"/>
  <c r="D590" i="1"/>
  <c r="C590" i="1"/>
  <c r="B590" i="1"/>
  <c r="G589" i="1"/>
  <c r="F589" i="1"/>
  <c r="E589" i="1"/>
  <c r="D589" i="1"/>
  <c r="C589" i="1"/>
  <c r="B589" i="1"/>
  <c r="G588" i="1"/>
  <c r="F588" i="1"/>
  <c r="E588" i="1"/>
  <c r="D588" i="1"/>
  <c r="C588" i="1"/>
  <c r="B588" i="1"/>
  <c r="G587" i="1"/>
  <c r="F587" i="1"/>
  <c r="E587" i="1"/>
  <c r="D587" i="1"/>
  <c r="C587" i="1"/>
  <c r="B587" i="1"/>
  <c r="G586" i="1"/>
  <c r="F586" i="1"/>
  <c r="E586" i="1"/>
  <c r="D586" i="1"/>
  <c r="C586" i="1"/>
  <c r="B586" i="1"/>
  <c r="G585" i="1"/>
  <c r="F585" i="1"/>
  <c r="E585" i="1"/>
  <c r="D585" i="1"/>
  <c r="C585" i="1"/>
  <c r="B585" i="1"/>
  <c r="G584" i="1"/>
  <c r="F584" i="1"/>
  <c r="E584" i="1"/>
  <c r="D584" i="1"/>
  <c r="C584" i="1"/>
  <c r="B584" i="1"/>
  <c r="G583" i="1"/>
  <c r="F583" i="1"/>
  <c r="E583" i="1"/>
  <c r="D583" i="1"/>
  <c r="C583" i="1"/>
  <c r="B583" i="1"/>
  <c r="G582" i="1"/>
  <c r="F582" i="1"/>
  <c r="E582" i="1"/>
  <c r="D582" i="1"/>
  <c r="C582" i="1"/>
  <c r="B582" i="1"/>
  <c r="G581" i="1"/>
  <c r="F581" i="1"/>
  <c r="E581" i="1"/>
  <c r="D581" i="1"/>
  <c r="C581" i="1"/>
  <c r="B581" i="1"/>
  <c r="G580" i="1"/>
  <c r="F580" i="1"/>
  <c r="E580" i="1"/>
  <c r="D580" i="1"/>
  <c r="C580" i="1"/>
  <c r="B580" i="1"/>
  <c r="G579" i="1"/>
  <c r="F579" i="1"/>
  <c r="E579" i="1"/>
  <c r="D579" i="1"/>
  <c r="C579" i="1"/>
  <c r="B579" i="1"/>
  <c r="G578" i="1"/>
  <c r="D578" i="1"/>
  <c r="C578" i="1"/>
  <c r="B578" i="1"/>
  <c r="G577" i="1"/>
  <c r="F577" i="1"/>
  <c r="E577" i="1"/>
  <c r="D577" i="1"/>
  <c r="C577" i="1"/>
  <c r="B577" i="1"/>
  <c r="G576" i="1"/>
  <c r="F576" i="1"/>
  <c r="E576" i="1"/>
  <c r="D576" i="1"/>
  <c r="C576" i="1"/>
  <c r="B576" i="1"/>
  <c r="G575" i="1"/>
  <c r="F575" i="1"/>
  <c r="E575" i="1"/>
  <c r="D575" i="1"/>
  <c r="C575" i="1"/>
  <c r="B575" i="1"/>
  <c r="G574" i="1"/>
  <c r="F574" i="1"/>
  <c r="E574" i="1"/>
  <c r="D574" i="1"/>
  <c r="C574" i="1"/>
  <c r="B574" i="1"/>
  <c r="G573" i="1"/>
  <c r="F573" i="1"/>
  <c r="E573" i="1"/>
  <c r="D573" i="1"/>
  <c r="C573" i="1"/>
  <c r="B573" i="1"/>
  <c r="G572" i="1"/>
  <c r="F572" i="1"/>
  <c r="E572" i="1"/>
  <c r="D572" i="1"/>
  <c r="C572" i="1"/>
  <c r="B572" i="1"/>
  <c r="G571" i="1"/>
  <c r="F571" i="1"/>
  <c r="E571" i="1"/>
  <c r="D571" i="1"/>
  <c r="C571" i="1"/>
  <c r="B571" i="1"/>
  <c r="G570" i="1"/>
  <c r="F570" i="1"/>
  <c r="E570" i="1"/>
  <c r="D570" i="1"/>
  <c r="C570" i="1"/>
  <c r="B570" i="1"/>
  <c r="G569" i="1"/>
  <c r="F569" i="1"/>
  <c r="E569" i="1"/>
  <c r="D569" i="1"/>
  <c r="C569" i="1"/>
  <c r="B569" i="1"/>
  <c r="G568" i="1"/>
  <c r="F568" i="1"/>
  <c r="E568" i="1"/>
  <c r="D568" i="1"/>
  <c r="C568" i="1"/>
  <c r="B568" i="1"/>
  <c r="G567" i="1"/>
  <c r="F567" i="1"/>
  <c r="E567" i="1"/>
  <c r="D567" i="1"/>
  <c r="C567" i="1"/>
  <c r="B567" i="1"/>
  <c r="G566" i="1"/>
  <c r="F566" i="1"/>
  <c r="E566" i="1"/>
  <c r="D566" i="1"/>
  <c r="C566" i="1"/>
  <c r="B566" i="1"/>
  <c r="G565" i="1"/>
  <c r="F565" i="1"/>
  <c r="E565" i="1"/>
  <c r="D565" i="1"/>
  <c r="C565" i="1"/>
  <c r="B565" i="1"/>
  <c r="G564" i="1"/>
  <c r="F564" i="1"/>
  <c r="E564" i="1"/>
  <c r="D564" i="1"/>
  <c r="C564" i="1"/>
  <c r="B564" i="1"/>
  <c r="G563" i="1"/>
  <c r="F563" i="1"/>
  <c r="E563" i="1"/>
  <c r="D563" i="1"/>
  <c r="C563" i="1"/>
  <c r="B563" i="1"/>
  <c r="G562" i="1"/>
  <c r="F562" i="1"/>
  <c r="E562" i="1"/>
  <c r="D562" i="1"/>
  <c r="C562" i="1"/>
  <c r="B562" i="1"/>
  <c r="G561" i="1"/>
  <c r="F561" i="1"/>
  <c r="E561" i="1"/>
  <c r="D561" i="1"/>
  <c r="C561" i="1"/>
  <c r="B561" i="1"/>
  <c r="G560" i="1"/>
  <c r="F560" i="1"/>
  <c r="E560" i="1"/>
  <c r="D560" i="1"/>
  <c r="C560" i="1"/>
  <c r="B560" i="1"/>
  <c r="G559" i="1"/>
  <c r="F559" i="1"/>
  <c r="E559" i="1"/>
  <c r="D559" i="1"/>
  <c r="C559" i="1"/>
  <c r="B559" i="1"/>
  <c r="G558" i="1"/>
  <c r="F558" i="1"/>
  <c r="E558" i="1"/>
  <c r="D558" i="1"/>
  <c r="C558" i="1"/>
  <c r="B558" i="1"/>
  <c r="G557" i="1"/>
  <c r="F557" i="1"/>
  <c r="E557" i="1"/>
  <c r="D557" i="1"/>
  <c r="C557" i="1"/>
  <c r="B557" i="1"/>
  <c r="G556" i="1"/>
  <c r="F556" i="1"/>
  <c r="E556" i="1"/>
  <c r="D556" i="1"/>
  <c r="C556" i="1"/>
  <c r="B556" i="1"/>
  <c r="G555" i="1"/>
  <c r="F555" i="1"/>
  <c r="E555" i="1"/>
  <c r="D555" i="1"/>
  <c r="C555" i="1"/>
  <c r="B555" i="1"/>
  <c r="G554" i="1"/>
  <c r="F554" i="1"/>
  <c r="E554" i="1"/>
  <c r="D554" i="1"/>
  <c r="C554" i="1"/>
  <c r="B554" i="1"/>
  <c r="G553" i="1"/>
  <c r="F553" i="1"/>
  <c r="E553" i="1"/>
  <c r="D553" i="1"/>
  <c r="C553" i="1"/>
  <c r="B553" i="1"/>
  <c r="G552" i="1"/>
  <c r="F552" i="1"/>
  <c r="E552" i="1"/>
  <c r="D552" i="1"/>
  <c r="C552" i="1"/>
  <c r="B552" i="1"/>
  <c r="G551" i="1"/>
  <c r="F551" i="1"/>
  <c r="E551" i="1"/>
  <c r="D551" i="1"/>
  <c r="C551" i="1"/>
  <c r="B551" i="1"/>
  <c r="G550" i="1"/>
  <c r="F550" i="1"/>
  <c r="E550" i="1"/>
  <c r="D550" i="1"/>
  <c r="C550" i="1"/>
  <c r="B550" i="1"/>
  <c r="G549" i="1"/>
  <c r="F549" i="1"/>
  <c r="E549" i="1"/>
  <c r="D549" i="1"/>
  <c r="C549" i="1"/>
  <c r="B549" i="1"/>
  <c r="G548" i="1"/>
  <c r="F548" i="1"/>
  <c r="E548" i="1"/>
  <c r="D548" i="1"/>
  <c r="C548" i="1"/>
  <c r="B548" i="1"/>
  <c r="G547" i="1"/>
  <c r="F547" i="1"/>
  <c r="E547" i="1"/>
  <c r="D547" i="1"/>
  <c r="C547" i="1"/>
  <c r="B547" i="1"/>
  <c r="G546" i="1"/>
  <c r="F546" i="1"/>
  <c r="E546" i="1"/>
  <c r="D546" i="1"/>
  <c r="C546" i="1"/>
  <c r="B546" i="1"/>
  <c r="G545" i="1"/>
  <c r="F545" i="1"/>
  <c r="E545" i="1"/>
  <c r="D545" i="1"/>
  <c r="C545" i="1"/>
  <c r="B545" i="1"/>
  <c r="G544" i="1"/>
  <c r="F544" i="1"/>
  <c r="E544" i="1"/>
  <c r="D544" i="1"/>
  <c r="C544" i="1"/>
  <c r="B544" i="1"/>
  <c r="G543" i="1"/>
  <c r="F543" i="1"/>
  <c r="E543" i="1"/>
  <c r="D543" i="1"/>
  <c r="C543" i="1"/>
  <c r="B543" i="1"/>
  <c r="G542" i="1"/>
  <c r="F542" i="1"/>
  <c r="E542" i="1"/>
  <c r="D542" i="1"/>
  <c r="C542" i="1"/>
  <c r="B542" i="1"/>
  <c r="G541" i="1"/>
  <c r="F541" i="1"/>
  <c r="E541" i="1"/>
  <c r="D541" i="1"/>
  <c r="C541" i="1"/>
  <c r="B541" i="1"/>
  <c r="G540" i="1"/>
  <c r="F540" i="1"/>
  <c r="E540" i="1"/>
  <c r="D540" i="1"/>
  <c r="C540" i="1"/>
  <c r="B540" i="1"/>
  <c r="G539" i="1"/>
  <c r="F539" i="1"/>
  <c r="E539" i="1"/>
  <c r="D539" i="1"/>
  <c r="C539" i="1"/>
  <c r="B539" i="1"/>
  <c r="G538" i="1"/>
  <c r="F538" i="1"/>
  <c r="E538" i="1"/>
  <c r="D538" i="1"/>
  <c r="C538" i="1"/>
  <c r="B538" i="1"/>
  <c r="G537" i="1"/>
  <c r="F537" i="1"/>
  <c r="E537" i="1"/>
  <c r="D537" i="1"/>
  <c r="C537" i="1"/>
  <c r="B537" i="1"/>
  <c r="G536" i="1"/>
  <c r="F536" i="1"/>
  <c r="E536" i="1"/>
  <c r="D536" i="1"/>
  <c r="C536" i="1"/>
  <c r="B536" i="1"/>
  <c r="G535" i="1"/>
  <c r="F535" i="1"/>
  <c r="E535" i="1"/>
  <c r="D535" i="1"/>
  <c r="C535" i="1"/>
  <c r="B535" i="1"/>
  <c r="G534" i="1"/>
  <c r="F534" i="1"/>
  <c r="E534" i="1"/>
  <c r="D534" i="1"/>
  <c r="C534" i="1"/>
  <c r="B534" i="1"/>
  <c r="G533" i="1"/>
  <c r="F533" i="1"/>
  <c r="E533" i="1"/>
  <c r="D533" i="1"/>
  <c r="C533" i="1"/>
  <c r="B533" i="1"/>
  <c r="G532" i="1"/>
  <c r="F532" i="1"/>
  <c r="E532" i="1"/>
  <c r="D532" i="1"/>
  <c r="C532" i="1"/>
  <c r="B532" i="1"/>
  <c r="G531" i="1"/>
  <c r="F531" i="1"/>
  <c r="E531" i="1"/>
  <c r="D531" i="1"/>
  <c r="C531" i="1"/>
  <c r="B531" i="1"/>
  <c r="G530" i="1"/>
  <c r="F530" i="1"/>
  <c r="E530" i="1"/>
  <c r="D530" i="1"/>
  <c r="C530" i="1"/>
  <c r="B530" i="1"/>
  <c r="G529" i="1"/>
  <c r="F529" i="1"/>
  <c r="E529" i="1"/>
  <c r="D529" i="1"/>
  <c r="C529" i="1"/>
  <c r="B529" i="1"/>
  <c r="G528" i="1"/>
  <c r="F528" i="1"/>
  <c r="E528" i="1"/>
  <c r="D528" i="1"/>
  <c r="C528" i="1"/>
  <c r="B528" i="1"/>
  <c r="G527" i="1"/>
  <c r="F527" i="1"/>
  <c r="E527" i="1"/>
  <c r="D527" i="1"/>
  <c r="C527" i="1"/>
  <c r="B527" i="1"/>
  <c r="G526" i="1"/>
  <c r="F526" i="1"/>
  <c r="E526" i="1"/>
  <c r="D526" i="1"/>
  <c r="C526" i="1"/>
  <c r="B526" i="1"/>
  <c r="G525" i="1"/>
  <c r="F525" i="1"/>
  <c r="E525" i="1"/>
  <c r="D525" i="1"/>
  <c r="C525" i="1"/>
  <c r="B525" i="1"/>
  <c r="G524" i="1"/>
  <c r="F524" i="1"/>
  <c r="E524" i="1"/>
  <c r="D524" i="1"/>
  <c r="C524" i="1"/>
  <c r="B524" i="1"/>
  <c r="G523" i="1"/>
  <c r="F523" i="1"/>
  <c r="E523" i="1"/>
  <c r="D523" i="1"/>
  <c r="C523" i="1"/>
  <c r="B523" i="1"/>
  <c r="G522" i="1"/>
  <c r="F522" i="1"/>
  <c r="E522" i="1"/>
  <c r="D522" i="1"/>
  <c r="C522" i="1"/>
  <c r="B522" i="1"/>
  <c r="G521" i="1"/>
  <c r="F521" i="1"/>
  <c r="E521" i="1"/>
  <c r="D521" i="1"/>
  <c r="C521" i="1"/>
  <c r="B521" i="1"/>
  <c r="G520" i="1"/>
  <c r="F520" i="1"/>
  <c r="E520" i="1"/>
  <c r="D520" i="1"/>
  <c r="C520" i="1"/>
  <c r="B520" i="1"/>
  <c r="G519" i="1"/>
  <c r="F519" i="1"/>
  <c r="E519" i="1"/>
  <c r="D519" i="1"/>
  <c r="C519" i="1"/>
  <c r="B519" i="1"/>
  <c r="G518" i="1"/>
  <c r="F518" i="1"/>
  <c r="E518" i="1"/>
  <c r="D518" i="1"/>
  <c r="C518" i="1"/>
  <c r="B518" i="1"/>
  <c r="G517" i="1"/>
  <c r="F517" i="1"/>
  <c r="E517" i="1"/>
  <c r="D517" i="1"/>
  <c r="C517" i="1"/>
  <c r="B517" i="1"/>
  <c r="G516" i="1"/>
  <c r="F516" i="1"/>
  <c r="E516" i="1"/>
  <c r="D516" i="1"/>
  <c r="C516" i="1"/>
  <c r="B516" i="1"/>
  <c r="G515" i="1"/>
  <c r="F515" i="1"/>
  <c r="E515" i="1"/>
  <c r="D515" i="1"/>
  <c r="C515" i="1"/>
  <c r="B515" i="1"/>
  <c r="G514" i="1"/>
  <c r="F514" i="1"/>
  <c r="E514" i="1"/>
  <c r="D514" i="1"/>
  <c r="C514" i="1"/>
  <c r="B514" i="1"/>
  <c r="G513" i="1"/>
  <c r="F513" i="1"/>
  <c r="E513" i="1"/>
  <c r="D513" i="1"/>
  <c r="C513" i="1"/>
  <c r="B513" i="1"/>
  <c r="G512" i="1"/>
  <c r="F512" i="1"/>
  <c r="E512" i="1"/>
  <c r="D512" i="1"/>
  <c r="C512" i="1"/>
  <c r="B512" i="1"/>
  <c r="G511" i="1"/>
  <c r="F511" i="1"/>
  <c r="E511" i="1"/>
  <c r="D511" i="1"/>
  <c r="C511" i="1"/>
  <c r="B511" i="1"/>
  <c r="G510" i="1"/>
  <c r="F510" i="1"/>
  <c r="E510" i="1"/>
  <c r="D510" i="1"/>
  <c r="C510" i="1"/>
  <c r="B510" i="1"/>
  <c r="G509" i="1"/>
  <c r="F509" i="1"/>
  <c r="E509" i="1"/>
  <c r="D509" i="1"/>
  <c r="C509" i="1"/>
  <c r="B509" i="1"/>
  <c r="G508" i="1"/>
  <c r="F508" i="1"/>
  <c r="E508" i="1"/>
  <c r="D508" i="1"/>
  <c r="C508" i="1"/>
  <c r="B508" i="1"/>
  <c r="G507" i="1"/>
  <c r="F507" i="1"/>
  <c r="E507" i="1"/>
  <c r="D507" i="1"/>
  <c r="C507" i="1"/>
  <c r="B507" i="1"/>
  <c r="G506" i="1"/>
  <c r="F506" i="1"/>
  <c r="E506" i="1"/>
  <c r="D506" i="1"/>
  <c r="C506" i="1"/>
  <c r="B506" i="1"/>
  <c r="G505" i="1"/>
  <c r="F505" i="1"/>
  <c r="E505" i="1"/>
  <c r="D505" i="1"/>
  <c r="C505" i="1"/>
  <c r="B505" i="1"/>
  <c r="G504" i="1"/>
  <c r="F504" i="1"/>
  <c r="E504" i="1"/>
  <c r="D504" i="1"/>
  <c r="C504" i="1"/>
  <c r="B504" i="1"/>
  <c r="G503" i="1"/>
  <c r="F503" i="1"/>
  <c r="E503" i="1"/>
  <c r="D503" i="1"/>
  <c r="C503" i="1"/>
  <c r="B503" i="1"/>
  <c r="G502" i="1"/>
  <c r="F502" i="1"/>
  <c r="E502" i="1"/>
  <c r="D502" i="1"/>
  <c r="C502" i="1"/>
  <c r="B502" i="1"/>
  <c r="G501" i="1"/>
  <c r="F501" i="1"/>
  <c r="E501" i="1"/>
  <c r="D501" i="1"/>
  <c r="C501" i="1"/>
  <c r="B501" i="1"/>
  <c r="G500" i="1"/>
  <c r="F500" i="1"/>
  <c r="E500" i="1"/>
  <c r="D500" i="1"/>
  <c r="C500" i="1"/>
  <c r="B500" i="1"/>
  <c r="G499" i="1"/>
  <c r="F499" i="1"/>
  <c r="E499" i="1"/>
  <c r="D499" i="1"/>
  <c r="C499" i="1"/>
  <c r="B499" i="1"/>
  <c r="G498" i="1"/>
  <c r="F498" i="1"/>
  <c r="E498" i="1"/>
  <c r="D498" i="1"/>
  <c r="C498" i="1"/>
  <c r="B498" i="1"/>
  <c r="G497" i="1"/>
  <c r="F497" i="1"/>
  <c r="E497" i="1"/>
  <c r="D497" i="1"/>
  <c r="C497" i="1"/>
  <c r="B497" i="1"/>
  <c r="G496" i="1"/>
  <c r="F496" i="1"/>
  <c r="E496" i="1"/>
  <c r="D496" i="1"/>
  <c r="C496" i="1"/>
  <c r="B496" i="1"/>
  <c r="G495" i="1"/>
  <c r="F495" i="1"/>
  <c r="E495" i="1"/>
  <c r="D495" i="1"/>
  <c r="C495" i="1"/>
  <c r="B495" i="1"/>
  <c r="G494" i="1"/>
  <c r="F494" i="1"/>
  <c r="E494" i="1"/>
  <c r="D494" i="1"/>
  <c r="C494" i="1"/>
  <c r="B494" i="1"/>
  <c r="G493" i="1"/>
  <c r="F493" i="1"/>
  <c r="E493" i="1"/>
  <c r="D493" i="1"/>
  <c r="C493" i="1"/>
  <c r="B493" i="1"/>
  <c r="G492" i="1"/>
  <c r="F492" i="1"/>
  <c r="E492" i="1"/>
  <c r="D492" i="1"/>
  <c r="C492" i="1"/>
  <c r="B492" i="1"/>
  <c r="G491" i="1"/>
  <c r="F491" i="1"/>
  <c r="E491" i="1"/>
  <c r="D491" i="1"/>
  <c r="C491" i="1"/>
  <c r="B491" i="1"/>
  <c r="G490" i="1"/>
  <c r="F490" i="1"/>
  <c r="E490" i="1"/>
  <c r="D490" i="1"/>
  <c r="C490" i="1"/>
  <c r="B490" i="1"/>
  <c r="G489" i="1"/>
  <c r="F489" i="1"/>
  <c r="E489" i="1"/>
  <c r="D489" i="1"/>
  <c r="C489" i="1"/>
  <c r="B489" i="1"/>
  <c r="G488" i="1"/>
  <c r="F488" i="1"/>
  <c r="E488" i="1"/>
  <c r="D488" i="1"/>
  <c r="C488" i="1"/>
  <c r="B488" i="1"/>
  <c r="G487" i="1"/>
  <c r="F487" i="1"/>
  <c r="E487" i="1"/>
  <c r="D487" i="1"/>
  <c r="C487" i="1"/>
  <c r="B487" i="1"/>
  <c r="G486" i="1"/>
  <c r="F486" i="1"/>
  <c r="E486" i="1"/>
  <c r="D486" i="1"/>
  <c r="C486" i="1"/>
  <c r="B486" i="1"/>
  <c r="G485" i="1"/>
  <c r="F485" i="1"/>
  <c r="E485" i="1"/>
  <c r="D485" i="1"/>
  <c r="C485" i="1"/>
  <c r="B485" i="1"/>
  <c r="G484" i="1"/>
  <c r="F484" i="1"/>
  <c r="E484" i="1"/>
  <c r="D484" i="1"/>
  <c r="C484" i="1"/>
  <c r="B484" i="1"/>
  <c r="G483" i="1"/>
  <c r="F483" i="1"/>
  <c r="E483" i="1"/>
  <c r="D483" i="1"/>
  <c r="C483" i="1"/>
  <c r="B483" i="1"/>
  <c r="G482" i="1"/>
  <c r="F482" i="1"/>
  <c r="E482" i="1"/>
  <c r="D482" i="1"/>
  <c r="C482" i="1"/>
  <c r="B482" i="1"/>
  <c r="G481" i="1"/>
  <c r="F481" i="1"/>
  <c r="E481" i="1"/>
  <c r="D481" i="1"/>
  <c r="C481" i="1"/>
  <c r="B481" i="1"/>
  <c r="G480" i="1"/>
  <c r="F480" i="1"/>
  <c r="E480" i="1"/>
  <c r="D480" i="1"/>
  <c r="C480" i="1"/>
  <c r="B480" i="1"/>
  <c r="G479" i="1"/>
  <c r="F479" i="1"/>
  <c r="E479" i="1"/>
  <c r="D479" i="1"/>
  <c r="C479" i="1"/>
  <c r="B479" i="1"/>
  <c r="G478" i="1"/>
  <c r="F478" i="1"/>
  <c r="E478" i="1"/>
  <c r="D478" i="1"/>
  <c r="C478" i="1"/>
  <c r="B478" i="1"/>
  <c r="G477" i="1"/>
  <c r="F477" i="1"/>
  <c r="E477" i="1"/>
  <c r="D477" i="1"/>
  <c r="C477" i="1"/>
  <c r="B477" i="1"/>
  <c r="G476" i="1"/>
  <c r="F476" i="1"/>
  <c r="E476" i="1"/>
  <c r="D476" i="1"/>
  <c r="C476" i="1"/>
  <c r="B476" i="1"/>
  <c r="G475" i="1"/>
  <c r="F475" i="1"/>
  <c r="E475" i="1"/>
  <c r="D475" i="1"/>
  <c r="C475" i="1"/>
  <c r="B475" i="1"/>
  <c r="G474" i="1"/>
  <c r="F474" i="1"/>
  <c r="E474" i="1"/>
  <c r="D474" i="1"/>
  <c r="C474" i="1"/>
  <c r="B474" i="1"/>
  <c r="G473" i="1"/>
  <c r="F473" i="1"/>
  <c r="E473" i="1"/>
  <c r="D473" i="1"/>
  <c r="C473" i="1"/>
  <c r="B473" i="1"/>
  <c r="G472" i="1"/>
  <c r="F472" i="1"/>
  <c r="E472" i="1"/>
  <c r="D472" i="1"/>
  <c r="C472" i="1"/>
  <c r="B472" i="1"/>
  <c r="G471" i="1"/>
  <c r="F471" i="1"/>
  <c r="E471" i="1"/>
  <c r="D471" i="1"/>
  <c r="C471" i="1"/>
  <c r="B471" i="1"/>
  <c r="G470" i="1"/>
  <c r="F470" i="1"/>
  <c r="E470" i="1"/>
  <c r="D470" i="1"/>
  <c r="C470" i="1"/>
  <c r="B470" i="1"/>
  <c r="G469" i="1"/>
  <c r="F469" i="1"/>
  <c r="E469" i="1"/>
  <c r="D469" i="1"/>
  <c r="C469" i="1"/>
  <c r="B469" i="1"/>
  <c r="G468" i="1"/>
  <c r="F468" i="1"/>
  <c r="E468" i="1"/>
  <c r="D468" i="1"/>
  <c r="C468" i="1"/>
  <c r="B468" i="1"/>
  <c r="G467" i="1"/>
  <c r="F467" i="1"/>
  <c r="E467" i="1"/>
  <c r="D467" i="1"/>
  <c r="C467" i="1"/>
  <c r="B467" i="1"/>
  <c r="G466" i="1"/>
  <c r="F466" i="1"/>
  <c r="E466" i="1"/>
  <c r="D466" i="1"/>
  <c r="C466" i="1"/>
  <c r="B466" i="1"/>
  <c r="G465" i="1"/>
  <c r="F465" i="1"/>
  <c r="E465" i="1"/>
  <c r="D465" i="1"/>
  <c r="C465" i="1"/>
  <c r="B465" i="1"/>
  <c r="G464" i="1"/>
  <c r="F464" i="1"/>
  <c r="E464" i="1"/>
  <c r="D464" i="1"/>
  <c r="C464" i="1"/>
  <c r="B464" i="1"/>
  <c r="G463" i="1"/>
  <c r="F463" i="1"/>
  <c r="E463" i="1"/>
  <c r="D463" i="1"/>
  <c r="C463" i="1"/>
  <c r="B463" i="1"/>
  <c r="G462" i="1"/>
  <c r="F462" i="1"/>
  <c r="E462" i="1"/>
  <c r="D462" i="1"/>
  <c r="C462" i="1"/>
  <c r="B462" i="1"/>
  <c r="G461" i="1"/>
  <c r="F461" i="1"/>
  <c r="E461" i="1"/>
  <c r="D461" i="1"/>
  <c r="C461" i="1"/>
  <c r="B461" i="1"/>
  <c r="G460" i="1"/>
  <c r="F460" i="1"/>
  <c r="E460" i="1"/>
  <c r="D460" i="1"/>
  <c r="C460" i="1"/>
  <c r="B460" i="1"/>
  <c r="G459" i="1"/>
  <c r="F459" i="1"/>
  <c r="E459" i="1"/>
  <c r="D459" i="1"/>
  <c r="C459" i="1"/>
  <c r="B459" i="1"/>
  <c r="G458" i="1"/>
  <c r="F458" i="1"/>
  <c r="E458" i="1"/>
  <c r="D458" i="1"/>
  <c r="C458" i="1"/>
  <c r="B458" i="1"/>
  <c r="G457" i="1"/>
  <c r="F457" i="1"/>
  <c r="E457" i="1"/>
  <c r="D457" i="1"/>
  <c r="C457" i="1"/>
  <c r="B457" i="1"/>
  <c r="G456" i="1"/>
  <c r="F456" i="1"/>
  <c r="E456" i="1"/>
  <c r="D456" i="1"/>
  <c r="C456" i="1"/>
  <c r="B456" i="1"/>
  <c r="G455" i="1"/>
  <c r="F455" i="1"/>
  <c r="E455" i="1"/>
  <c r="D455" i="1"/>
  <c r="C455" i="1"/>
  <c r="B455" i="1"/>
  <c r="G454" i="1"/>
  <c r="F454" i="1"/>
  <c r="E454" i="1"/>
  <c r="D454" i="1"/>
  <c r="C454" i="1"/>
  <c r="B454" i="1"/>
  <c r="G453" i="1"/>
  <c r="F453" i="1"/>
  <c r="E453" i="1"/>
  <c r="D453" i="1"/>
  <c r="C453" i="1"/>
  <c r="B453" i="1"/>
  <c r="G452" i="1"/>
  <c r="F452" i="1"/>
  <c r="E452" i="1"/>
  <c r="D452" i="1"/>
  <c r="C452" i="1"/>
  <c r="B452" i="1"/>
  <c r="G451" i="1"/>
  <c r="F451" i="1"/>
  <c r="E451" i="1"/>
  <c r="D451" i="1"/>
  <c r="C451" i="1"/>
  <c r="B451" i="1"/>
  <c r="G450" i="1"/>
  <c r="F450" i="1"/>
  <c r="E450" i="1"/>
  <c r="D450" i="1"/>
  <c r="C450" i="1"/>
  <c r="B450" i="1"/>
  <c r="G449" i="1"/>
  <c r="F449" i="1"/>
  <c r="E449" i="1"/>
  <c r="D449" i="1"/>
  <c r="C449" i="1"/>
  <c r="B449" i="1"/>
  <c r="G448" i="1"/>
  <c r="F448" i="1"/>
  <c r="E448" i="1"/>
  <c r="D448" i="1"/>
  <c r="C448" i="1"/>
  <c r="B448" i="1"/>
  <c r="G447" i="1"/>
  <c r="F447" i="1"/>
  <c r="E447" i="1"/>
  <c r="D447" i="1"/>
  <c r="C447" i="1"/>
  <c r="B447" i="1"/>
  <c r="G446" i="1"/>
  <c r="F446" i="1"/>
  <c r="E446" i="1"/>
  <c r="D446" i="1"/>
  <c r="C446" i="1"/>
  <c r="B446" i="1"/>
  <c r="G445" i="1"/>
  <c r="F445" i="1"/>
  <c r="E445" i="1"/>
  <c r="D445" i="1"/>
  <c r="C445" i="1"/>
  <c r="B445" i="1"/>
  <c r="G444" i="1"/>
  <c r="F444" i="1"/>
  <c r="E444" i="1"/>
  <c r="D444" i="1"/>
  <c r="C444" i="1"/>
  <c r="B444" i="1"/>
  <c r="G443" i="1"/>
  <c r="F443" i="1"/>
  <c r="E443" i="1"/>
  <c r="D443" i="1"/>
  <c r="C443" i="1"/>
  <c r="B443" i="1"/>
  <c r="G442" i="1"/>
  <c r="F442" i="1"/>
  <c r="E442" i="1"/>
  <c r="D442" i="1"/>
  <c r="C442" i="1"/>
  <c r="B442" i="1"/>
  <c r="G441" i="1"/>
  <c r="F441" i="1"/>
  <c r="E441" i="1"/>
  <c r="D441" i="1"/>
  <c r="C441" i="1"/>
  <c r="B441" i="1"/>
  <c r="G440" i="1"/>
  <c r="F440" i="1"/>
  <c r="E440" i="1"/>
  <c r="D440" i="1"/>
  <c r="C440" i="1"/>
  <c r="B440" i="1"/>
  <c r="G439" i="1"/>
  <c r="F439" i="1"/>
  <c r="E439" i="1"/>
  <c r="D439" i="1"/>
  <c r="C439" i="1"/>
  <c r="B439" i="1"/>
  <c r="G438" i="1"/>
  <c r="F438" i="1"/>
  <c r="E438" i="1"/>
  <c r="D438" i="1"/>
  <c r="C438" i="1"/>
  <c r="B438" i="1"/>
  <c r="G437" i="1"/>
  <c r="F437" i="1"/>
  <c r="E437" i="1"/>
  <c r="D437" i="1"/>
  <c r="C437" i="1"/>
  <c r="B437" i="1"/>
  <c r="G436" i="1"/>
  <c r="F436" i="1"/>
  <c r="E436" i="1"/>
  <c r="D436" i="1"/>
  <c r="C436" i="1"/>
  <c r="B436" i="1"/>
  <c r="G435" i="1"/>
  <c r="F435" i="1"/>
  <c r="E435" i="1"/>
  <c r="D435" i="1"/>
  <c r="C435" i="1"/>
  <c r="B435" i="1"/>
  <c r="G434" i="1"/>
  <c r="F434" i="1"/>
  <c r="E434" i="1"/>
  <c r="D434" i="1"/>
  <c r="C434" i="1"/>
  <c r="B434" i="1"/>
  <c r="G433" i="1"/>
  <c r="F433" i="1"/>
  <c r="E433" i="1"/>
  <c r="D433" i="1"/>
  <c r="C433" i="1"/>
  <c r="B433" i="1"/>
  <c r="G432" i="1"/>
  <c r="F432" i="1"/>
  <c r="E432" i="1"/>
  <c r="D432" i="1"/>
  <c r="C432" i="1"/>
  <c r="B432" i="1"/>
  <c r="G431" i="1"/>
  <c r="F431" i="1"/>
  <c r="E431" i="1"/>
  <c r="D431" i="1"/>
  <c r="C431" i="1"/>
  <c r="B431" i="1"/>
  <c r="G430" i="1"/>
  <c r="F430" i="1"/>
  <c r="E430" i="1"/>
  <c r="D430" i="1"/>
  <c r="C430" i="1"/>
  <c r="B430" i="1"/>
  <c r="G429" i="1"/>
  <c r="F429" i="1"/>
  <c r="E429" i="1"/>
  <c r="D429" i="1"/>
  <c r="C429" i="1"/>
  <c r="B429" i="1"/>
  <c r="G428" i="1"/>
  <c r="F428" i="1"/>
  <c r="E428" i="1"/>
  <c r="D428" i="1"/>
  <c r="C428" i="1"/>
  <c r="B428" i="1"/>
  <c r="G427" i="1"/>
  <c r="F427" i="1"/>
  <c r="E427" i="1"/>
  <c r="D427" i="1"/>
  <c r="C427" i="1"/>
  <c r="B427" i="1"/>
  <c r="G426" i="1"/>
  <c r="F426" i="1"/>
  <c r="E426" i="1"/>
  <c r="D426" i="1"/>
  <c r="C426" i="1"/>
  <c r="B426" i="1"/>
  <c r="G425" i="1"/>
  <c r="F425" i="1"/>
  <c r="E425" i="1"/>
  <c r="D425" i="1"/>
  <c r="C425" i="1"/>
  <c r="B425" i="1"/>
  <c r="G424" i="1"/>
  <c r="F424" i="1"/>
  <c r="E424" i="1"/>
  <c r="D424" i="1"/>
  <c r="C424" i="1"/>
  <c r="B424" i="1"/>
  <c r="G423" i="1"/>
  <c r="F423" i="1"/>
  <c r="E423" i="1"/>
  <c r="D423" i="1"/>
  <c r="C423" i="1"/>
  <c r="B423" i="1"/>
  <c r="G422" i="1"/>
  <c r="F422" i="1"/>
  <c r="E422" i="1"/>
  <c r="D422" i="1"/>
  <c r="C422" i="1"/>
  <c r="B422" i="1"/>
  <c r="G421" i="1"/>
  <c r="F421" i="1"/>
  <c r="E421" i="1"/>
  <c r="D421" i="1"/>
  <c r="C421" i="1"/>
  <c r="B421" i="1"/>
  <c r="G420" i="1"/>
  <c r="F420" i="1"/>
  <c r="E420" i="1"/>
  <c r="D420" i="1"/>
  <c r="C420" i="1"/>
  <c r="B420" i="1"/>
  <c r="G419" i="1"/>
  <c r="F419" i="1"/>
  <c r="E419" i="1"/>
  <c r="D419" i="1"/>
  <c r="C419" i="1"/>
  <c r="B419" i="1"/>
  <c r="G418" i="1"/>
  <c r="F418" i="1"/>
  <c r="E418" i="1"/>
  <c r="D418" i="1"/>
  <c r="C418" i="1"/>
  <c r="B418" i="1"/>
  <c r="G417" i="1"/>
  <c r="F417" i="1"/>
  <c r="E417" i="1"/>
  <c r="D417" i="1"/>
  <c r="C417" i="1"/>
  <c r="B417" i="1"/>
  <c r="G416" i="1"/>
  <c r="F416" i="1"/>
  <c r="E416" i="1"/>
  <c r="D416" i="1"/>
  <c r="C416" i="1"/>
  <c r="B416" i="1"/>
  <c r="G415" i="1"/>
  <c r="F415" i="1"/>
  <c r="E415" i="1"/>
  <c r="D415" i="1"/>
  <c r="C415" i="1"/>
  <c r="B415" i="1"/>
  <c r="G414" i="1"/>
  <c r="F414" i="1"/>
  <c r="E414" i="1"/>
  <c r="D414" i="1"/>
  <c r="C414" i="1"/>
  <c r="B414" i="1"/>
  <c r="G413" i="1"/>
  <c r="F413" i="1"/>
  <c r="E413" i="1"/>
  <c r="D413" i="1"/>
  <c r="C413" i="1"/>
  <c r="B413" i="1"/>
  <c r="G412" i="1"/>
  <c r="F412" i="1"/>
  <c r="E412" i="1"/>
  <c r="D412" i="1"/>
  <c r="C412" i="1"/>
  <c r="B412" i="1"/>
  <c r="G411" i="1"/>
  <c r="F411" i="1"/>
  <c r="E411" i="1"/>
  <c r="D411" i="1"/>
  <c r="C411" i="1"/>
  <c r="B411" i="1"/>
  <c r="G410" i="1"/>
  <c r="F410" i="1"/>
  <c r="E410" i="1"/>
  <c r="D410" i="1"/>
  <c r="C410" i="1"/>
  <c r="B410" i="1"/>
  <c r="G409" i="1"/>
  <c r="F409" i="1"/>
  <c r="E409" i="1"/>
  <c r="D409" i="1"/>
  <c r="C409" i="1"/>
  <c r="B409" i="1"/>
  <c r="G408" i="1"/>
  <c r="F408" i="1"/>
  <c r="E408" i="1"/>
  <c r="D408" i="1"/>
  <c r="C408" i="1"/>
  <c r="B408" i="1"/>
  <c r="G407" i="1"/>
  <c r="F407" i="1"/>
  <c r="E407" i="1"/>
  <c r="D407" i="1"/>
  <c r="C407" i="1"/>
  <c r="B407" i="1"/>
  <c r="G406" i="1"/>
  <c r="F406" i="1"/>
  <c r="E406" i="1"/>
  <c r="D406" i="1"/>
  <c r="C406" i="1"/>
  <c r="B406" i="1"/>
  <c r="G405" i="1"/>
  <c r="F405" i="1"/>
  <c r="E405" i="1"/>
  <c r="D405" i="1"/>
  <c r="C405" i="1"/>
  <c r="B405" i="1"/>
  <c r="G404" i="1"/>
  <c r="F404" i="1"/>
  <c r="E404" i="1"/>
  <c r="D404" i="1"/>
  <c r="C404" i="1"/>
  <c r="B404" i="1"/>
  <c r="G403" i="1"/>
  <c r="F403" i="1"/>
  <c r="E403" i="1"/>
  <c r="D403" i="1"/>
  <c r="C403" i="1"/>
  <c r="B403" i="1"/>
  <c r="G402" i="1"/>
  <c r="F402" i="1"/>
  <c r="E402" i="1"/>
  <c r="D402" i="1"/>
  <c r="C402" i="1"/>
  <c r="B402" i="1"/>
  <c r="G401" i="1"/>
  <c r="F401" i="1"/>
  <c r="E401" i="1"/>
  <c r="D401" i="1"/>
  <c r="C401" i="1"/>
  <c r="B401" i="1"/>
  <c r="G400" i="1"/>
  <c r="F400" i="1"/>
  <c r="E400" i="1"/>
  <c r="D400" i="1"/>
  <c r="C400" i="1"/>
  <c r="B400" i="1"/>
  <c r="G399" i="1"/>
  <c r="F399" i="1"/>
  <c r="E399" i="1"/>
  <c r="D399" i="1"/>
  <c r="C399" i="1"/>
  <c r="B399" i="1"/>
  <c r="G398" i="1"/>
  <c r="F398" i="1"/>
  <c r="E398" i="1"/>
  <c r="D398" i="1"/>
  <c r="C398" i="1"/>
  <c r="B398" i="1"/>
  <c r="G397" i="1"/>
  <c r="F397" i="1"/>
  <c r="E397" i="1"/>
  <c r="D397" i="1"/>
  <c r="C397" i="1"/>
  <c r="B397" i="1"/>
  <c r="G396" i="1"/>
  <c r="F396" i="1"/>
  <c r="G395" i="1"/>
  <c r="F395" i="1"/>
  <c r="E395" i="1"/>
  <c r="D395" i="1"/>
  <c r="C395" i="1"/>
  <c r="B395" i="1"/>
  <c r="G394" i="1"/>
  <c r="F394" i="1"/>
  <c r="G393" i="1"/>
  <c r="F393" i="1"/>
  <c r="E393" i="1"/>
  <c r="D393" i="1"/>
  <c r="C393" i="1"/>
  <c r="B393" i="1"/>
  <c r="G392" i="1"/>
  <c r="F392" i="1"/>
  <c r="G391" i="1"/>
  <c r="F391" i="1"/>
  <c r="E391" i="1"/>
  <c r="D391" i="1"/>
  <c r="C391" i="1"/>
  <c r="B391" i="1"/>
  <c r="G390" i="1"/>
  <c r="F390" i="1"/>
  <c r="G389" i="1"/>
  <c r="F389" i="1"/>
  <c r="E389" i="1"/>
  <c r="D389" i="1"/>
  <c r="C389" i="1"/>
  <c r="B389" i="1"/>
  <c r="G388" i="1"/>
  <c r="F388" i="1"/>
  <c r="E388" i="1"/>
  <c r="D388" i="1"/>
  <c r="C388" i="1"/>
  <c r="B388" i="1"/>
  <c r="G387" i="1"/>
  <c r="F387" i="1"/>
  <c r="E387" i="1"/>
  <c r="D387" i="1"/>
  <c r="C387" i="1"/>
  <c r="B387" i="1"/>
  <c r="G386" i="1"/>
  <c r="F386" i="1"/>
  <c r="E386" i="1"/>
  <c r="D386" i="1"/>
  <c r="C386" i="1"/>
  <c r="B386" i="1"/>
  <c r="G385" i="1"/>
  <c r="F385" i="1"/>
  <c r="E385" i="1"/>
  <c r="D385" i="1"/>
  <c r="C385" i="1"/>
  <c r="B385" i="1"/>
  <c r="G384" i="1"/>
  <c r="F384" i="1"/>
  <c r="E384" i="1"/>
  <c r="D384" i="1"/>
  <c r="C384" i="1"/>
  <c r="B384" i="1"/>
  <c r="G383" i="1"/>
  <c r="F383" i="1"/>
  <c r="E383" i="1"/>
  <c r="D383" i="1"/>
  <c r="C383" i="1"/>
  <c r="B383" i="1"/>
  <c r="G382" i="1"/>
  <c r="F382" i="1"/>
  <c r="E382" i="1"/>
  <c r="D382" i="1"/>
  <c r="C382" i="1"/>
  <c r="B382" i="1"/>
  <c r="G381" i="1"/>
  <c r="F381" i="1"/>
  <c r="E381" i="1"/>
  <c r="D381" i="1"/>
  <c r="C381" i="1"/>
  <c r="B381" i="1"/>
  <c r="G380" i="1"/>
  <c r="F380" i="1"/>
  <c r="E380" i="1"/>
  <c r="D380" i="1"/>
  <c r="C380" i="1"/>
  <c r="B380" i="1"/>
  <c r="G379" i="1"/>
  <c r="F379" i="1"/>
  <c r="E379" i="1"/>
  <c r="D379" i="1"/>
  <c r="C379" i="1"/>
  <c r="B379" i="1"/>
  <c r="G378" i="1"/>
  <c r="F378" i="1"/>
  <c r="E378" i="1"/>
  <c r="D378" i="1"/>
  <c r="C378" i="1"/>
  <c r="B378" i="1"/>
  <c r="G377" i="1"/>
  <c r="F377" i="1"/>
  <c r="E377" i="1"/>
  <c r="D377" i="1"/>
  <c r="C377" i="1"/>
  <c r="B377" i="1"/>
  <c r="G376" i="1"/>
  <c r="F376" i="1"/>
  <c r="E376" i="1"/>
  <c r="D376" i="1"/>
  <c r="C376" i="1"/>
  <c r="B376" i="1"/>
  <c r="G375" i="1"/>
  <c r="F375" i="1"/>
  <c r="E375" i="1"/>
  <c r="D375" i="1"/>
  <c r="C375" i="1"/>
  <c r="B375" i="1"/>
  <c r="G374" i="1"/>
  <c r="F374" i="1"/>
  <c r="E374" i="1"/>
  <c r="D374" i="1"/>
  <c r="C374" i="1"/>
  <c r="B374" i="1"/>
  <c r="G373" i="1"/>
  <c r="F373" i="1"/>
  <c r="E373" i="1"/>
  <c r="D373" i="1"/>
  <c r="C373" i="1"/>
  <c r="B373" i="1"/>
  <c r="G372" i="1"/>
  <c r="F372" i="1"/>
  <c r="E372" i="1"/>
  <c r="D372" i="1"/>
  <c r="C372" i="1"/>
  <c r="B372" i="1"/>
  <c r="G371" i="1"/>
  <c r="F371" i="1"/>
  <c r="E371" i="1"/>
  <c r="D371" i="1"/>
  <c r="C371" i="1"/>
  <c r="B371" i="1"/>
  <c r="G370" i="1"/>
  <c r="F370" i="1"/>
  <c r="E370" i="1"/>
  <c r="D370" i="1"/>
  <c r="C370" i="1"/>
  <c r="B370" i="1"/>
  <c r="G369" i="1"/>
  <c r="F369" i="1"/>
  <c r="E369" i="1"/>
  <c r="D369" i="1"/>
  <c r="C369" i="1"/>
  <c r="B369" i="1"/>
  <c r="G368" i="1"/>
  <c r="F368" i="1"/>
  <c r="E368" i="1"/>
  <c r="D368" i="1"/>
  <c r="C368" i="1"/>
  <c r="B368" i="1"/>
  <c r="G367" i="1"/>
  <c r="F367" i="1"/>
  <c r="E367" i="1"/>
  <c r="D367" i="1"/>
  <c r="C367" i="1"/>
  <c r="B367" i="1"/>
  <c r="G366" i="1"/>
  <c r="F366" i="1"/>
  <c r="E366" i="1"/>
  <c r="D366" i="1"/>
  <c r="C366" i="1"/>
  <c r="B366" i="1"/>
  <c r="G365" i="1"/>
  <c r="F365" i="1"/>
  <c r="E365" i="1"/>
  <c r="D365" i="1"/>
  <c r="C365" i="1"/>
  <c r="B365" i="1"/>
  <c r="G364" i="1"/>
  <c r="F364" i="1"/>
  <c r="E364" i="1"/>
  <c r="D364" i="1"/>
  <c r="C364" i="1"/>
  <c r="B364" i="1"/>
  <c r="G363" i="1"/>
  <c r="F363" i="1"/>
  <c r="E363" i="1"/>
  <c r="D363" i="1"/>
  <c r="C363" i="1"/>
  <c r="B363" i="1"/>
  <c r="G362" i="1"/>
  <c r="F362" i="1"/>
  <c r="E362" i="1"/>
  <c r="D362" i="1"/>
  <c r="C362" i="1"/>
  <c r="B362" i="1"/>
  <c r="G361" i="1"/>
  <c r="F361" i="1"/>
  <c r="E361" i="1"/>
  <c r="D361" i="1"/>
  <c r="C361" i="1"/>
  <c r="B361" i="1"/>
  <c r="G360" i="1"/>
  <c r="F360" i="1"/>
  <c r="E360" i="1"/>
  <c r="D360" i="1"/>
  <c r="C360" i="1"/>
  <c r="B360" i="1"/>
  <c r="G359" i="1"/>
  <c r="F359" i="1"/>
  <c r="E359" i="1"/>
  <c r="D359" i="1"/>
  <c r="C359" i="1"/>
  <c r="B359" i="1"/>
  <c r="G358" i="1"/>
  <c r="F358" i="1"/>
  <c r="E358" i="1"/>
  <c r="D358" i="1"/>
  <c r="C358" i="1"/>
  <c r="B358" i="1"/>
  <c r="G357" i="1"/>
  <c r="F357" i="1"/>
  <c r="E357" i="1"/>
  <c r="D357" i="1"/>
  <c r="C357" i="1"/>
  <c r="B357" i="1"/>
  <c r="G356" i="1"/>
  <c r="F356" i="1"/>
  <c r="E356" i="1"/>
  <c r="D356" i="1"/>
  <c r="C356" i="1"/>
  <c r="B356" i="1"/>
  <c r="G355" i="1"/>
  <c r="F355" i="1"/>
  <c r="E355" i="1"/>
  <c r="D355" i="1"/>
  <c r="C355" i="1"/>
  <c r="B355" i="1"/>
  <c r="G354" i="1"/>
  <c r="F354" i="1"/>
  <c r="E354" i="1"/>
  <c r="D354" i="1"/>
  <c r="C354" i="1"/>
  <c r="B354" i="1"/>
  <c r="G353" i="1"/>
  <c r="F353" i="1"/>
  <c r="E353" i="1"/>
  <c r="D353" i="1"/>
  <c r="C353" i="1"/>
  <c r="B353" i="1"/>
  <c r="G352" i="1"/>
  <c r="F352" i="1"/>
  <c r="E352" i="1"/>
  <c r="D352" i="1"/>
  <c r="C352" i="1"/>
  <c r="B352" i="1"/>
  <c r="G351" i="1"/>
  <c r="F351" i="1"/>
  <c r="E351" i="1"/>
  <c r="D351" i="1"/>
  <c r="C351" i="1"/>
  <c r="B351" i="1"/>
  <c r="G350" i="1"/>
  <c r="F350" i="1"/>
  <c r="E350" i="1"/>
  <c r="D350" i="1"/>
  <c r="C350" i="1"/>
  <c r="B350" i="1"/>
  <c r="G349" i="1"/>
  <c r="F349" i="1"/>
  <c r="E349" i="1"/>
  <c r="D349" i="1"/>
  <c r="C349" i="1"/>
  <c r="B349" i="1"/>
  <c r="G348" i="1"/>
  <c r="F348" i="1"/>
  <c r="E348" i="1"/>
  <c r="D348" i="1"/>
  <c r="C348" i="1"/>
  <c r="B348" i="1"/>
  <c r="G347" i="1"/>
  <c r="F347" i="1"/>
  <c r="E347" i="1"/>
  <c r="D347" i="1"/>
  <c r="C347" i="1"/>
  <c r="B347" i="1"/>
  <c r="G346" i="1"/>
  <c r="F346" i="1"/>
  <c r="E346" i="1"/>
  <c r="D346" i="1"/>
  <c r="C346" i="1"/>
  <c r="B346" i="1"/>
  <c r="G345" i="1"/>
  <c r="F345" i="1"/>
  <c r="E345" i="1"/>
  <c r="D345" i="1"/>
  <c r="C345" i="1"/>
  <c r="B345" i="1"/>
  <c r="G344" i="1"/>
  <c r="F344" i="1"/>
  <c r="E344" i="1"/>
  <c r="D344" i="1"/>
  <c r="C344" i="1"/>
  <c r="B344" i="1"/>
  <c r="G343" i="1"/>
  <c r="F343" i="1"/>
  <c r="E343" i="1"/>
  <c r="D343" i="1"/>
  <c r="C343" i="1"/>
  <c r="B343" i="1"/>
  <c r="G342" i="1"/>
  <c r="F342" i="1"/>
  <c r="E342" i="1"/>
  <c r="D342" i="1"/>
  <c r="C342" i="1"/>
  <c r="B342" i="1"/>
  <c r="G341" i="1"/>
  <c r="F341" i="1"/>
  <c r="E341" i="1"/>
  <c r="D341" i="1"/>
  <c r="C341" i="1"/>
  <c r="B341" i="1"/>
  <c r="G340" i="1"/>
  <c r="F340" i="1"/>
  <c r="E340" i="1"/>
  <c r="D340" i="1"/>
  <c r="C340" i="1"/>
  <c r="B340" i="1"/>
  <c r="G339" i="1"/>
  <c r="F339" i="1"/>
  <c r="E339" i="1"/>
  <c r="D339" i="1"/>
  <c r="C339" i="1"/>
  <c r="B339" i="1"/>
  <c r="G338" i="1"/>
  <c r="F338" i="1"/>
  <c r="E338" i="1"/>
  <c r="D338" i="1"/>
  <c r="C338" i="1"/>
  <c r="B338" i="1"/>
  <c r="G337" i="1"/>
  <c r="F337" i="1"/>
  <c r="E337" i="1"/>
  <c r="D337" i="1"/>
  <c r="C337" i="1"/>
  <c r="B337" i="1"/>
  <c r="G336" i="1"/>
  <c r="F336" i="1"/>
  <c r="E336" i="1"/>
  <c r="D336" i="1"/>
  <c r="C336" i="1"/>
  <c r="B336" i="1"/>
  <c r="G335" i="1"/>
  <c r="F335" i="1"/>
  <c r="E335" i="1"/>
  <c r="D335" i="1"/>
  <c r="C335" i="1"/>
  <c r="B335" i="1"/>
  <c r="G334" i="1"/>
  <c r="F334" i="1"/>
  <c r="E334" i="1"/>
  <c r="D334" i="1"/>
  <c r="C334" i="1"/>
  <c r="B334" i="1"/>
  <c r="G333" i="1"/>
  <c r="F333" i="1"/>
  <c r="E333" i="1"/>
  <c r="D333" i="1"/>
  <c r="C333" i="1"/>
  <c r="B333" i="1"/>
  <c r="G332" i="1"/>
  <c r="F332" i="1"/>
  <c r="E332" i="1"/>
  <c r="D332" i="1"/>
  <c r="C332" i="1"/>
  <c r="B332" i="1"/>
  <c r="G331" i="1"/>
  <c r="F331" i="1"/>
  <c r="E331" i="1"/>
  <c r="D331" i="1"/>
  <c r="C331" i="1"/>
  <c r="B331" i="1"/>
  <c r="G330" i="1"/>
  <c r="F330" i="1"/>
  <c r="E330" i="1"/>
  <c r="D330" i="1"/>
  <c r="C330" i="1"/>
  <c r="B330" i="1"/>
  <c r="G329" i="1"/>
  <c r="F329" i="1"/>
  <c r="E329" i="1"/>
  <c r="D329" i="1"/>
  <c r="C329" i="1"/>
  <c r="B329" i="1"/>
  <c r="G328" i="1"/>
  <c r="F328" i="1"/>
  <c r="E328" i="1"/>
  <c r="D328" i="1"/>
  <c r="C328" i="1"/>
  <c r="B328" i="1"/>
  <c r="G327" i="1"/>
  <c r="F327" i="1"/>
  <c r="E327" i="1"/>
  <c r="D327" i="1"/>
  <c r="C327" i="1"/>
  <c r="B327" i="1"/>
  <c r="G326" i="1"/>
  <c r="F326" i="1"/>
  <c r="E326" i="1"/>
  <c r="D326" i="1"/>
  <c r="C326" i="1"/>
  <c r="B326" i="1"/>
  <c r="G325" i="1"/>
  <c r="F325" i="1"/>
  <c r="E325" i="1"/>
  <c r="D325" i="1"/>
  <c r="C325" i="1"/>
  <c r="B325" i="1"/>
  <c r="G324" i="1"/>
  <c r="F324" i="1"/>
  <c r="E324" i="1"/>
  <c r="D324" i="1"/>
  <c r="C324" i="1"/>
  <c r="B324" i="1"/>
  <c r="G323" i="1"/>
  <c r="F323" i="1"/>
  <c r="E323" i="1"/>
  <c r="D323" i="1"/>
  <c r="C323" i="1"/>
  <c r="B323" i="1"/>
  <c r="G322" i="1"/>
  <c r="F322" i="1"/>
  <c r="E322" i="1"/>
  <c r="D322" i="1"/>
  <c r="C322" i="1"/>
  <c r="B322" i="1"/>
  <c r="G321" i="1"/>
  <c r="F321" i="1"/>
  <c r="E321" i="1"/>
  <c r="D321" i="1"/>
  <c r="C321" i="1"/>
  <c r="B321" i="1"/>
  <c r="G320" i="1"/>
  <c r="F320" i="1"/>
  <c r="E320" i="1"/>
  <c r="D320" i="1"/>
  <c r="C320" i="1"/>
  <c r="B320" i="1"/>
  <c r="G319" i="1"/>
  <c r="F319" i="1"/>
  <c r="E319" i="1"/>
  <c r="D319" i="1"/>
  <c r="C319" i="1"/>
  <c r="B319" i="1"/>
  <c r="G318" i="1"/>
  <c r="F318" i="1"/>
  <c r="E318" i="1"/>
  <c r="D318" i="1"/>
  <c r="C318" i="1"/>
  <c r="B318" i="1"/>
  <c r="G317" i="1"/>
  <c r="F317" i="1"/>
  <c r="E317" i="1"/>
  <c r="D317" i="1"/>
  <c r="C317" i="1"/>
  <c r="B317" i="1"/>
  <c r="G316" i="1"/>
  <c r="F316" i="1"/>
  <c r="E316" i="1"/>
  <c r="D316" i="1"/>
  <c r="C316" i="1"/>
  <c r="B316" i="1"/>
  <c r="G315" i="1"/>
  <c r="F315" i="1"/>
  <c r="E315" i="1"/>
  <c r="D315" i="1"/>
  <c r="C315" i="1"/>
  <c r="B315" i="1"/>
  <c r="G314" i="1"/>
  <c r="F314" i="1"/>
  <c r="E314" i="1"/>
  <c r="D314" i="1"/>
  <c r="C314" i="1"/>
  <c r="B314" i="1"/>
  <c r="G313" i="1"/>
  <c r="F313" i="1"/>
  <c r="E313" i="1"/>
  <c r="D313" i="1"/>
  <c r="C313" i="1"/>
  <c r="B313" i="1"/>
  <c r="G312" i="1"/>
  <c r="F312" i="1"/>
  <c r="E312" i="1"/>
  <c r="D312" i="1"/>
  <c r="C312" i="1"/>
  <c r="B312" i="1"/>
  <c r="G311" i="1"/>
  <c r="F311" i="1"/>
  <c r="E311" i="1"/>
  <c r="D311" i="1"/>
  <c r="C311" i="1"/>
  <c r="B311" i="1"/>
  <c r="G310" i="1"/>
  <c r="F310" i="1"/>
  <c r="E310" i="1"/>
  <c r="D310" i="1"/>
  <c r="C310" i="1"/>
  <c r="B310" i="1"/>
  <c r="G309" i="1"/>
  <c r="F309" i="1"/>
  <c r="E309" i="1"/>
  <c r="D309" i="1"/>
  <c r="C309" i="1"/>
  <c r="B309" i="1"/>
  <c r="G308" i="1"/>
  <c r="F308" i="1"/>
  <c r="E308" i="1"/>
  <c r="D308" i="1"/>
  <c r="C308" i="1"/>
  <c r="B308" i="1"/>
  <c r="G307" i="1"/>
  <c r="F307" i="1"/>
  <c r="E307" i="1"/>
  <c r="D307" i="1"/>
  <c r="C307" i="1"/>
  <c r="B307" i="1"/>
  <c r="G306" i="1"/>
  <c r="F306" i="1"/>
  <c r="E306" i="1"/>
  <c r="D306" i="1"/>
  <c r="C306" i="1"/>
  <c r="B306" i="1"/>
  <c r="G305" i="1"/>
  <c r="F305" i="1"/>
  <c r="E305" i="1"/>
  <c r="D305" i="1"/>
  <c r="C305" i="1"/>
  <c r="B305" i="1"/>
  <c r="G304" i="1"/>
  <c r="F304" i="1"/>
  <c r="E304" i="1"/>
  <c r="D304" i="1"/>
  <c r="C304" i="1"/>
  <c r="B304" i="1"/>
  <c r="G303" i="1"/>
  <c r="F303" i="1"/>
  <c r="E303" i="1"/>
  <c r="D303" i="1"/>
  <c r="C303" i="1"/>
  <c r="B303" i="1"/>
  <c r="G302" i="1"/>
  <c r="F302" i="1"/>
  <c r="E302" i="1"/>
  <c r="D302" i="1"/>
  <c r="C302" i="1"/>
  <c r="B302" i="1"/>
  <c r="G301" i="1"/>
  <c r="F301" i="1"/>
  <c r="E301" i="1"/>
  <c r="D301" i="1"/>
  <c r="C301" i="1"/>
  <c r="B301" i="1"/>
  <c r="G300" i="1"/>
  <c r="F300" i="1"/>
  <c r="E300" i="1"/>
  <c r="D300" i="1"/>
  <c r="C300" i="1"/>
  <c r="B300" i="1"/>
  <c r="G299" i="1"/>
  <c r="F299" i="1"/>
  <c r="E299" i="1"/>
  <c r="D299" i="1"/>
  <c r="C299" i="1"/>
  <c r="B299" i="1"/>
  <c r="G298" i="1"/>
  <c r="F298" i="1"/>
  <c r="E298" i="1"/>
  <c r="D298" i="1"/>
  <c r="C298" i="1"/>
  <c r="B298" i="1"/>
  <c r="G297" i="1"/>
  <c r="F297" i="1"/>
  <c r="E297" i="1"/>
  <c r="D297" i="1"/>
  <c r="C297" i="1"/>
  <c r="B297" i="1"/>
  <c r="G296" i="1"/>
  <c r="F296" i="1"/>
  <c r="E296" i="1"/>
  <c r="D296" i="1"/>
  <c r="C296" i="1"/>
  <c r="B296" i="1"/>
  <c r="G295" i="1"/>
  <c r="F295" i="1"/>
  <c r="E295" i="1"/>
  <c r="D295" i="1"/>
  <c r="C295" i="1"/>
  <c r="B295" i="1"/>
  <c r="G294" i="1"/>
  <c r="F294" i="1"/>
  <c r="E294" i="1"/>
  <c r="D294" i="1"/>
  <c r="C294" i="1"/>
  <c r="B294" i="1"/>
  <c r="G293" i="1"/>
  <c r="F293" i="1"/>
  <c r="E293" i="1"/>
  <c r="D293" i="1"/>
  <c r="C293" i="1"/>
  <c r="B293" i="1"/>
  <c r="G292" i="1"/>
  <c r="F292" i="1"/>
  <c r="E292" i="1"/>
  <c r="D292" i="1"/>
  <c r="C292" i="1"/>
  <c r="B292" i="1"/>
  <c r="G291" i="1"/>
  <c r="F291" i="1"/>
  <c r="E291" i="1"/>
  <c r="D291" i="1"/>
  <c r="C291" i="1"/>
  <c r="B291" i="1"/>
  <c r="G290" i="1"/>
  <c r="F290" i="1"/>
  <c r="E290" i="1"/>
  <c r="D290" i="1"/>
  <c r="C290" i="1"/>
  <c r="B290" i="1"/>
  <c r="G289" i="1"/>
  <c r="F289" i="1"/>
  <c r="E289" i="1"/>
  <c r="D289" i="1"/>
  <c r="C289" i="1"/>
  <c r="B289" i="1"/>
  <c r="G288" i="1"/>
  <c r="F288" i="1"/>
  <c r="E288" i="1"/>
  <c r="D288" i="1"/>
  <c r="C288" i="1"/>
  <c r="B288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5" i="1"/>
  <c r="F285" i="1"/>
  <c r="E285" i="1"/>
  <c r="D285" i="1"/>
  <c r="C285" i="1"/>
  <c r="B285" i="1"/>
  <c r="G284" i="1"/>
  <c r="F284" i="1"/>
  <c r="E284" i="1"/>
  <c r="D284" i="1"/>
  <c r="C284" i="1"/>
  <c r="B284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G281" i="1"/>
  <c r="F281" i="1"/>
  <c r="E281" i="1"/>
  <c r="D281" i="1"/>
  <c r="C281" i="1"/>
  <c r="B281" i="1"/>
  <c r="G280" i="1"/>
  <c r="F280" i="1"/>
  <c r="E280" i="1"/>
  <c r="D280" i="1"/>
  <c r="C280" i="1"/>
  <c r="B280" i="1"/>
  <c r="G279" i="1"/>
  <c r="F279" i="1"/>
  <c r="E279" i="1"/>
  <c r="D279" i="1"/>
  <c r="C279" i="1"/>
  <c r="B279" i="1"/>
  <c r="G278" i="1"/>
  <c r="F278" i="1"/>
  <c r="E278" i="1"/>
  <c r="D278" i="1"/>
  <c r="C278" i="1"/>
  <c r="B278" i="1"/>
  <c r="G277" i="1"/>
  <c r="F277" i="1"/>
  <c r="E277" i="1"/>
  <c r="D277" i="1"/>
  <c r="C277" i="1"/>
  <c r="B277" i="1"/>
  <c r="G276" i="1"/>
  <c r="F276" i="1"/>
  <c r="E276" i="1"/>
  <c r="D276" i="1"/>
  <c r="C276" i="1"/>
  <c r="B276" i="1"/>
  <c r="G275" i="1"/>
  <c r="F275" i="1"/>
  <c r="E275" i="1"/>
  <c r="D275" i="1"/>
  <c r="C275" i="1"/>
  <c r="B275" i="1"/>
  <c r="G274" i="1"/>
  <c r="F274" i="1"/>
  <c r="E274" i="1"/>
  <c r="D274" i="1"/>
  <c r="C274" i="1"/>
  <c r="B274" i="1"/>
  <c r="G273" i="1"/>
  <c r="F273" i="1"/>
  <c r="E273" i="1"/>
  <c r="D273" i="1"/>
  <c r="C273" i="1"/>
  <c r="B273" i="1"/>
  <c r="G272" i="1"/>
  <c r="F272" i="1"/>
  <c r="E272" i="1"/>
  <c r="D272" i="1"/>
  <c r="C272" i="1"/>
  <c r="B272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9" i="1"/>
  <c r="F269" i="1"/>
  <c r="E269" i="1"/>
  <c r="D269" i="1"/>
  <c r="C269" i="1"/>
  <c r="B269" i="1"/>
  <c r="G268" i="1"/>
  <c r="F268" i="1"/>
  <c r="E268" i="1"/>
  <c r="D268" i="1"/>
  <c r="C268" i="1"/>
  <c r="B268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G265" i="1"/>
  <c r="F265" i="1"/>
  <c r="E265" i="1"/>
  <c r="D265" i="1"/>
  <c r="C265" i="1"/>
  <c r="B265" i="1"/>
  <c r="G264" i="1"/>
  <c r="F264" i="1"/>
  <c r="E264" i="1"/>
  <c r="D264" i="1"/>
  <c r="C264" i="1"/>
  <c r="B264" i="1"/>
  <c r="G263" i="1"/>
  <c r="F263" i="1"/>
  <c r="E263" i="1"/>
  <c r="D263" i="1"/>
  <c r="C263" i="1"/>
  <c r="B263" i="1"/>
  <c r="G262" i="1"/>
  <c r="F262" i="1"/>
  <c r="E262" i="1"/>
  <c r="D262" i="1"/>
  <c r="C262" i="1"/>
  <c r="B262" i="1"/>
  <c r="G261" i="1"/>
  <c r="F261" i="1"/>
  <c r="E261" i="1"/>
  <c r="D261" i="1"/>
  <c r="C261" i="1"/>
  <c r="B261" i="1"/>
  <c r="G260" i="1"/>
  <c r="F260" i="1"/>
  <c r="E260" i="1"/>
  <c r="D260" i="1"/>
  <c r="C260" i="1"/>
  <c r="B260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7" i="1"/>
  <c r="F257" i="1"/>
  <c r="E257" i="1"/>
  <c r="D257" i="1"/>
  <c r="C257" i="1"/>
  <c r="B257" i="1"/>
  <c r="G256" i="1"/>
  <c r="F256" i="1"/>
  <c r="E256" i="1"/>
  <c r="D256" i="1"/>
  <c r="C256" i="1"/>
  <c r="B256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3" i="1"/>
  <c r="F253" i="1"/>
  <c r="E253" i="1"/>
  <c r="D253" i="1"/>
  <c r="C253" i="1"/>
  <c r="B253" i="1"/>
  <c r="G252" i="1"/>
  <c r="F252" i="1"/>
  <c r="E252" i="1"/>
  <c r="D252" i="1"/>
  <c r="C252" i="1"/>
  <c r="B252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G249" i="1"/>
  <c r="F249" i="1"/>
  <c r="E249" i="1"/>
  <c r="D249" i="1"/>
  <c r="C249" i="1"/>
  <c r="B249" i="1"/>
  <c r="G248" i="1"/>
  <c r="F248" i="1"/>
  <c r="E248" i="1"/>
  <c r="D248" i="1"/>
  <c r="C248" i="1"/>
  <c r="B248" i="1"/>
  <c r="G247" i="1"/>
  <c r="F247" i="1"/>
  <c r="E247" i="1"/>
  <c r="D247" i="1"/>
  <c r="C247" i="1"/>
  <c r="B247" i="1"/>
  <c r="G246" i="1"/>
  <c r="F246" i="1"/>
  <c r="E246" i="1"/>
  <c r="D246" i="1"/>
  <c r="C246" i="1"/>
  <c r="B246" i="1"/>
  <c r="G245" i="1"/>
  <c r="F245" i="1"/>
  <c r="E245" i="1"/>
  <c r="D245" i="1"/>
  <c r="C245" i="1"/>
  <c r="B245" i="1"/>
  <c r="G244" i="1"/>
  <c r="F244" i="1"/>
  <c r="E244" i="1"/>
  <c r="D244" i="1"/>
  <c r="C244" i="1"/>
  <c r="B244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41" i="1"/>
  <c r="F241" i="1"/>
  <c r="E241" i="1"/>
  <c r="D241" i="1"/>
  <c r="C241" i="1"/>
  <c r="B241" i="1"/>
  <c r="G240" i="1"/>
  <c r="F240" i="1"/>
  <c r="E240" i="1"/>
  <c r="D240" i="1"/>
  <c r="C240" i="1"/>
  <c r="B240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7" i="1"/>
  <c r="F237" i="1"/>
  <c r="E237" i="1"/>
  <c r="D237" i="1"/>
  <c r="C237" i="1"/>
  <c r="B237" i="1"/>
  <c r="G236" i="1"/>
  <c r="F236" i="1"/>
  <c r="E236" i="1"/>
  <c r="D236" i="1"/>
  <c r="C236" i="1"/>
  <c r="B236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G233" i="1"/>
  <c r="F233" i="1"/>
  <c r="E233" i="1"/>
  <c r="D233" i="1"/>
  <c r="C233" i="1"/>
  <c r="B233" i="1"/>
  <c r="G232" i="1"/>
  <c r="F232" i="1"/>
  <c r="E232" i="1"/>
  <c r="D232" i="1"/>
  <c r="C232" i="1"/>
  <c r="B232" i="1"/>
  <c r="G231" i="1"/>
  <c r="F231" i="1"/>
  <c r="E231" i="1"/>
  <c r="D231" i="1"/>
  <c r="C231" i="1"/>
  <c r="B231" i="1"/>
  <c r="G230" i="1"/>
  <c r="F230" i="1"/>
  <c r="E230" i="1"/>
  <c r="D230" i="1"/>
  <c r="C230" i="1"/>
  <c r="B230" i="1"/>
  <c r="G229" i="1"/>
  <c r="F229" i="1"/>
  <c r="E229" i="1"/>
  <c r="D229" i="1"/>
  <c r="C229" i="1"/>
  <c r="B229" i="1"/>
  <c r="G228" i="1"/>
  <c r="F228" i="1"/>
  <c r="E228" i="1"/>
  <c r="D228" i="1"/>
  <c r="C228" i="1"/>
  <c r="B228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5" i="1"/>
  <c r="F225" i="1"/>
  <c r="E225" i="1"/>
  <c r="D225" i="1"/>
  <c r="C225" i="1"/>
  <c r="B225" i="1"/>
  <c r="G224" i="1"/>
  <c r="F224" i="1"/>
  <c r="E224" i="1"/>
  <c r="D224" i="1"/>
  <c r="C224" i="1"/>
  <c r="B224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21" i="1"/>
  <c r="F221" i="1"/>
  <c r="E221" i="1"/>
  <c r="D221" i="1"/>
  <c r="C221" i="1"/>
  <c r="B221" i="1"/>
  <c r="G220" i="1"/>
  <c r="F220" i="1"/>
  <c r="E220" i="1"/>
  <c r="D220" i="1"/>
  <c r="C220" i="1"/>
  <c r="B220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G217" i="1"/>
  <c r="F217" i="1"/>
  <c r="E217" i="1"/>
  <c r="D217" i="1"/>
  <c r="C217" i="1"/>
  <c r="B217" i="1"/>
  <c r="G216" i="1"/>
  <c r="F216" i="1"/>
  <c r="E216" i="1"/>
  <c r="D216" i="1"/>
  <c r="C216" i="1"/>
  <c r="B216" i="1"/>
  <c r="G215" i="1"/>
  <c r="F215" i="1"/>
  <c r="E215" i="1"/>
  <c r="D215" i="1"/>
  <c r="C215" i="1"/>
  <c r="B215" i="1"/>
  <c r="G214" i="1"/>
  <c r="F214" i="1"/>
  <c r="E214" i="1"/>
  <c r="D214" i="1"/>
  <c r="C214" i="1"/>
  <c r="B214" i="1"/>
  <c r="G213" i="1"/>
  <c r="F213" i="1"/>
  <c r="E213" i="1"/>
  <c r="D213" i="1"/>
  <c r="C213" i="1"/>
  <c r="B213" i="1"/>
  <c r="G212" i="1"/>
  <c r="F212" i="1"/>
  <c r="E212" i="1"/>
  <c r="D212" i="1"/>
  <c r="C212" i="1"/>
  <c r="B212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9" i="1"/>
  <c r="F209" i="1"/>
  <c r="E209" i="1"/>
  <c r="D209" i="1"/>
  <c r="C209" i="1"/>
  <c r="B209" i="1"/>
  <c r="G208" i="1"/>
  <c r="F208" i="1"/>
  <c r="E208" i="1"/>
  <c r="D208" i="1"/>
  <c r="C208" i="1"/>
  <c r="B208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5" i="1"/>
  <c r="F205" i="1"/>
  <c r="E205" i="1"/>
  <c r="D205" i="1"/>
  <c r="C205" i="1"/>
  <c r="B205" i="1"/>
  <c r="G204" i="1"/>
  <c r="F204" i="1"/>
  <c r="E204" i="1"/>
  <c r="D204" i="1"/>
  <c r="C204" i="1"/>
  <c r="B204" i="1"/>
  <c r="G203" i="1"/>
  <c r="F203" i="1"/>
  <c r="E203" i="1"/>
  <c r="D203" i="1"/>
  <c r="C203" i="1"/>
  <c r="B203" i="1"/>
  <c r="G202" i="1"/>
  <c r="F202" i="1"/>
  <c r="E202" i="1"/>
  <c r="D202" i="1"/>
  <c r="C202" i="1"/>
  <c r="B202" i="1"/>
  <c r="G201" i="1"/>
  <c r="F201" i="1"/>
  <c r="E201" i="1"/>
  <c r="D201" i="1"/>
  <c r="C201" i="1"/>
  <c r="B201" i="1"/>
  <c r="G200" i="1"/>
  <c r="F200" i="1"/>
  <c r="E200" i="1"/>
  <c r="D200" i="1"/>
  <c r="C200" i="1"/>
  <c r="B200" i="1"/>
  <c r="G199" i="1"/>
  <c r="F199" i="1"/>
  <c r="E199" i="1"/>
  <c r="D199" i="1"/>
  <c r="C199" i="1"/>
  <c r="B199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169" i="1"/>
  <c r="F169" i="1"/>
  <c r="E169" i="1"/>
  <c r="D169" i="1"/>
  <c r="C169" i="1"/>
  <c r="B169" i="1"/>
  <c r="G168" i="1"/>
  <c r="F168" i="1"/>
  <c r="E168" i="1"/>
  <c r="D168" i="1"/>
  <c r="C168" i="1"/>
  <c r="B168" i="1"/>
  <c r="G167" i="1"/>
  <c r="F167" i="1"/>
  <c r="E167" i="1"/>
  <c r="D167" i="1"/>
  <c r="C167" i="1"/>
  <c r="B167" i="1"/>
  <c r="G166" i="1"/>
  <c r="F166" i="1"/>
  <c r="E166" i="1"/>
  <c r="D166" i="1"/>
  <c r="C166" i="1"/>
  <c r="B166" i="1"/>
  <c r="G165" i="1"/>
  <c r="F165" i="1"/>
  <c r="E165" i="1"/>
  <c r="D165" i="1"/>
  <c r="C165" i="1"/>
  <c r="B165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61" i="1"/>
  <c r="F161" i="1"/>
  <c r="E161" i="1"/>
  <c r="D161" i="1"/>
  <c r="C161" i="1"/>
  <c r="B161" i="1"/>
  <c r="G160" i="1"/>
  <c r="F160" i="1"/>
  <c r="E160" i="1"/>
  <c r="D160" i="1"/>
  <c r="C160" i="1"/>
  <c r="B160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7" i="1"/>
  <c r="F157" i="1"/>
  <c r="E157" i="1"/>
  <c r="D157" i="1"/>
  <c r="C157" i="1"/>
  <c r="B157" i="1"/>
  <c r="G156" i="1"/>
  <c r="F156" i="1"/>
  <c r="E156" i="1"/>
  <c r="D156" i="1"/>
  <c r="C156" i="1"/>
  <c r="B156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G151" i="1"/>
  <c r="F151" i="1"/>
  <c r="E151" i="1"/>
  <c r="D151" i="1"/>
  <c r="C151" i="1"/>
  <c r="B151" i="1"/>
  <c r="G150" i="1"/>
  <c r="F150" i="1"/>
  <c r="E150" i="1"/>
  <c r="D150" i="1"/>
  <c r="C150" i="1"/>
  <c r="B150" i="1"/>
  <c r="G149" i="1"/>
  <c r="F149" i="1"/>
  <c r="E149" i="1"/>
  <c r="D149" i="1"/>
  <c r="C149" i="1"/>
  <c r="B149" i="1"/>
  <c r="G148" i="1"/>
  <c r="F148" i="1"/>
  <c r="E148" i="1"/>
  <c r="D148" i="1"/>
  <c r="C148" i="1"/>
  <c r="B148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5" i="1"/>
  <c r="F145" i="1"/>
  <c r="E145" i="1"/>
  <c r="D145" i="1"/>
  <c r="C145" i="1"/>
  <c r="B145" i="1"/>
  <c r="G144" i="1"/>
  <c r="F144" i="1"/>
  <c r="E144" i="1"/>
  <c r="D144" i="1"/>
  <c r="C144" i="1"/>
  <c r="B144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41" i="1"/>
  <c r="F141" i="1"/>
  <c r="E141" i="1"/>
  <c r="D141" i="1"/>
  <c r="C141" i="1"/>
  <c r="B141" i="1"/>
  <c r="G140" i="1"/>
  <c r="F140" i="1"/>
  <c r="E140" i="1"/>
  <c r="D140" i="1"/>
  <c r="C140" i="1"/>
  <c r="B140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G137" i="1"/>
  <c r="F137" i="1"/>
  <c r="E137" i="1"/>
  <c r="D137" i="1"/>
  <c r="C137" i="1"/>
  <c r="B137" i="1"/>
  <c r="G136" i="1"/>
  <c r="F136" i="1"/>
  <c r="E136" i="1"/>
  <c r="D136" i="1"/>
  <c r="C136" i="1"/>
  <c r="B136" i="1"/>
  <c r="G135" i="1"/>
  <c r="F135" i="1"/>
  <c r="E135" i="1"/>
  <c r="D135" i="1"/>
  <c r="C135" i="1"/>
  <c r="B135" i="1"/>
  <c r="G134" i="1"/>
  <c r="F134" i="1"/>
  <c r="E134" i="1"/>
  <c r="D134" i="1"/>
  <c r="C134" i="1"/>
  <c r="B134" i="1"/>
  <c r="G133" i="1"/>
  <c r="F133" i="1"/>
  <c r="E133" i="1"/>
  <c r="D133" i="1"/>
  <c r="C133" i="1"/>
  <c r="B133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G128" i="1"/>
  <c r="F128" i="1"/>
  <c r="E128" i="1"/>
  <c r="D128" i="1"/>
  <c r="C128" i="1"/>
  <c r="B128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5" i="1"/>
  <c r="F125" i="1"/>
  <c r="E125" i="1"/>
  <c r="D125" i="1"/>
  <c r="C125" i="1"/>
  <c r="B125" i="1"/>
  <c r="G124" i="1"/>
  <c r="F124" i="1"/>
  <c r="E124" i="1"/>
  <c r="D124" i="1"/>
  <c r="C124" i="1"/>
  <c r="B124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6" i="1"/>
  <c r="F116" i="1"/>
  <c r="E116" i="1"/>
  <c r="D116" i="1"/>
  <c r="C116" i="1"/>
  <c r="B116" i="1"/>
  <c r="G115" i="1"/>
  <c r="F115" i="1"/>
  <c r="E115" i="1"/>
  <c r="D115" i="1"/>
  <c r="C115" i="1"/>
  <c r="B115" i="1"/>
  <c r="G114" i="1"/>
  <c r="F114" i="1"/>
  <c r="E114" i="1"/>
  <c r="D114" i="1"/>
  <c r="C114" i="1"/>
  <c r="B114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9" i="1"/>
  <c r="F109" i="1"/>
  <c r="E109" i="1"/>
  <c r="D109" i="1"/>
  <c r="C109" i="1"/>
  <c r="B109" i="1"/>
  <c r="G108" i="1"/>
  <c r="F108" i="1"/>
  <c r="E108" i="1"/>
  <c r="D108" i="1"/>
  <c r="C108" i="1"/>
  <c r="B108" i="1"/>
  <c r="G107" i="1"/>
  <c r="F107" i="1"/>
  <c r="E107" i="1"/>
  <c r="D107" i="1"/>
  <c r="C107" i="1"/>
  <c r="B107" i="1"/>
  <c r="G106" i="1"/>
  <c r="F106" i="1"/>
  <c r="E106" i="1"/>
  <c r="D106" i="1"/>
  <c r="C106" i="1"/>
  <c r="B106" i="1"/>
  <c r="G105" i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<sst xmlns="http://schemas.openxmlformats.org/spreadsheetml/2006/main" count="13366" uniqueCount="59">
  <si>
    <t>tp_perfil</t>
  </si>
  <si>
    <t>SISTEMA</t>
  </si>
  <si>
    <t>16.04.2010 00:00:00</t>
  </si>
  <si>
    <t>=S"</t>
  </si>
  <si>
    <t>="SISTEMA"</t>
  </si>
  <si>
    <t>"RELAT</t>
  </si>
  <si>
    <t xml:space="preserve"> DE SOLICITAÇÃO DE EXAMES"</t>
  </si>
  <si>
    <t xml:space="preserve"> PARAMETER COM O MESMO NOME"</t>
  </si>
  <si>
    <t xml:space="preserve"> PELA TELA DE PARAMETER: R_FAT_GRU_FAT.FMX"</t>
  </si>
  <si>
    <t xml:space="preserve"> TELA DE PARAMETER COM O MESMO NOME"</t>
  </si>
  <si>
    <t>"Controladoria / Controle Financeiro (Cta a Pagar</t>
  </si>
  <si>
    <t>"Faturamento / Faturamento de Convênios e Particulares / Relatórios / Gerenciais / Auditoria de Contas / Por Convênio</t>
  </si>
  <si>
    <t>"Faturamento / Auditoria e Controle de Recursos de Glosas / Relatórios / Gerenciais / Auditoria de Contas / Por Convênio</t>
  </si>
  <si>
    <t>"RELATÓRIO  ESPÉCIE</t>
  </si>
  <si>
    <t xml:space="preserve"> CLASSE E SUB-CLASSE"</t>
  </si>
  <si>
    <t>="RELATORIO DE FATURAMENTO GLOBA</t>
  </si>
  <si>
    <t xml:space="preserve"> EXTRATO BANCARIO"</t>
  </si>
  <si>
    <t>="SISPES"</t>
  </si>
  <si>
    <t xml:space="preserve"> R_CIR_EQUIPE.FMX"</t>
  </si>
  <si>
    <t>"ESPECIE</t>
  </si>
  <si>
    <t xml:space="preserve"> CLASSE</t>
  </si>
  <si>
    <t xml:space="preserve"> SUB-CLASSE - COMPRAS"</t>
  </si>
  <si>
    <t>"Materiais e Logística / Compras / Relatórios / Ordem de Compra / Autorizadas</t>
  </si>
  <si>
    <t>"Materiais e Logística / Almoxarifado / Relatórios / Operacionais / Saídas</t>
  </si>
  <si>
    <t>"ANALISE DAS ENTRADA</t>
  </si>
  <si>
    <t xml:space="preserve"> SAÍDAS</t>
  </si>
  <si>
    <t xml:space="preserve"> CONSUMO E F"</t>
  </si>
  <si>
    <t>"RELATORIO DE SAIDAS POR SETOR</t>
  </si>
  <si>
    <t>ESPECIE"</t>
  </si>
  <si>
    <t>"REL DE SAIDAS POR SETOR</t>
  </si>
  <si>
    <t xml:space="preserve"> ESPECIE (SINT)"</t>
  </si>
  <si>
    <t xml:space="preserve"> ESPECIE"</t>
  </si>
  <si>
    <t xml:space="preserve"> SUB-CLASSE"</t>
  </si>
  <si>
    <t>"ANÁLISE DAS ENT</t>
  </si>
  <si>
    <t xml:space="preserve"> SAI</t>
  </si>
  <si>
    <t xml:space="preserve"> CONS E FATUR"</t>
  </si>
  <si>
    <t>="PESSOAL"</t>
  </si>
  <si>
    <t>"REL. QTD. SOL. ERROS</t>
  </si>
  <si>
    <t xml:space="preserve"> NOVIDADE E IMPLEME"</t>
  </si>
  <si>
    <t>="AVALIACAO (FORMULAS)</t>
  </si>
  <si>
    <t>"REL EST</t>
  </si>
  <si>
    <t xml:space="preserve"> DE ATEND POR CONVENIO X DESTINO"</t>
  </si>
  <si>
    <t>"GRUPOS</t>
  </si>
  <si>
    <t xml:space="preserve"> PERGUNTAS E RESPOSTAS"</t>
  </si>
  <si>
    <t>") LOCAL: MENU ""ENFERMAGEM""</t>
  </si>
  <si>
    <t xml:space="preserve"> ""SOLICI"</t>
  </si>
  <si>
    <t xml:space="preserve"> DE COMPONENTES"</t>
  </si>
  <si>
    <t>"CADASTRO: REGIÃO</t>
  </si>
  <si>
    <t xml:space="preserve"> DIR REGIONAL E UNIDADE"</t>
  </si>
  <si>
    <t>"MVSaude / Vendas / Internação / Consultas / Cirurgias ( Agendada</t>
  </si>
  <si>
    <t>"MVSaude / Atendimento / Autorizações de Guias / Internação / Consultas / Cirurgias ( Agendada</t>
  </si>
  <si>
    <t>"Atendimento / Internação / Consultas / Cirurgias (Agendada</t>
  </si>
  <si>
    <t>"REL. USUARIOS ATIVOS</t>
  </si>
  <si>
    <t xml:space="preserve"> INCLUÍDOS E EXCLUÍ"</t>
  </si>
  <si>
    <t>"USUARIOS ATIVOS</t>
  </si>
  <si>
    <t xml:space="preserve"> INCLUIDOS E EXCLUIDOS"</t>
  </si>
  <si>
    <t>"REL. USUARIOS INCLUÍDOS</t>
  </si>
  <si>
    <t xml:space="preserve"> ATIVOS E EXCL."</t>
  </si>
  <si>
    <t>=""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</si>
</sst>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203D-4DF2-46E7-8725-899099707365}">
  <dimension ref="A1:G12952"/>
  <sheetViews>
    <sheetView tabSelected="1" workbookViewId="0">
      <selection activeCell="J12" sqref="J12"/>
    </sheetView>
  </sheetViews>
  <sheetFormatPr defaultRowHeight="14.4" x14ac:dyDescent="0.3"/>
  <cols>
    <col min="5" max="5" width="39.33203125" customWidth="1"/>
    <col min="6" max="6" width="45" customWidth="1"/>
    <col min="7" max="7" width="125.6640625" customWidth="1"/>
  </cols>
  <sheetData>
    <row r="1" spans="1:7" x14ac:dyDescent="0.3">
      <c r="A1" s="1" t="s">
        <v>0</v>
      </c>
      <c r="B1" s="2" t="str">
        <f>"nm_sistema"</f>
        <v>nm_sistema</v>
      </c>
      <c r="C1" s="2" t="str">
        <f>"cd_produto"</f>
        <v>cd_produto</v>
      </c>
      <c r="D1" s="2" t="str">
        <f>"cd_sistema_dono"</f>
        <v>cd_sistema_dono</v>
      </c>
      <c r="E1" s="2" t="str">
        <f>"nm_modulo"</f>
        <v>nm_modulo</v>
      </c>
      <c r="F1" s="2" t="str">
        <f>"cd_modulo"</f>
        <v>cd_modulo</v>
      </c>
      <c r="G1" s="2" t="str">
        <f>"nm_menu"</f>
        <v>nm_menu</v>
      </c>
    </row>
    <row r="2" spans="1:7" x14ac:dyDescent="0.3">
      <c r="A2" s="1" t="s">
        <v>1</v>
      </c>
      <c r="B2" s="2" t="str">
        <f t="shared" ref="B2:B65" si="0">"SISTEMA DE MANUTENÇÃO"</f>
        <v>SISTEMA DE MANUTENÇÃO</v>
      </c>
      <c r="C2" s="2" t="str">
        <f t="shared" ref="C2:C65" si="1">"SUPRI"</f>
        <v>SUPRI</v>
      </c>
      <c r="D2" s="2" t="str">
        <f t="shared" ref="D2:D65" si="2">"ACMA"</f>
        <v>ACMA</v>
      </c>
      <c r="E2" s="2" t="str">
        <f>"ESPECIALIDADE"</f>
        <v>ESPECIALIDADE</v>
      </c>
      <c r="F2" s="2" t="str">
        <f>"R_SERVICO_PERIODO_ESPE.RDF"</f>
        <v>R_SERVICO_PERIODO_ESPE.RDF</v>
      </c>
      <c r="G2" s="2" t="str">
        <f>" ()"</f>
        <v xml:space="preserve"> ()</v>
      </c>
    </row>
    <row r="3" spans="1:7" x14ac:dyDescent="0.3">
      <c r="A3" s="1" t="s">
        <v>1</v>
      </c>
      <c r="B3" s="2" t="str">
        <f t="shared" si="0"/>
        <v>SISTEMA DE MANUTENÇÃO</v>
      </c>
      <c r="C3" s="2" t="str">
        <f t="shared" si="1"/>
        <v>SUPRI</v>
      </c>
      <c r="D3" s="2" t="str">
        <f t="shared" si="2"/>
        <v>ACMA</v>
      </c>
      <c r="E3" s="2" t="str">
        <f>"M_FNCC"</f>
        <v>M_FNCC</v>
      </c>
      <c r="F3" s="2" t="str">
        <f>"M_FNCC"</f>
        <v>M_FNCC</v>
      </c>
      <c r="G3" s="2" t="str">
        <f>" ()"</f>
        <v xml:space="preserve"> ()</v>
      </c>
    </row>
    <row r="4" spans="1:7" x14ac:dyDescent="0.3">
      <c r="A4" s="1" t="s">
        <v>1</v>
      </c>
      <c r="B4" s="2" t="str">
        <f t="shared" si="0"/>
        <v>SISTEMA DE MANUTENÇÃO</v>
      </c>
      <c r="C4" s="2" t="str">
        <f t="shared" si="1"/>
        <v>SUPRI</v>
      </c>
      <c r="D4" s="2" t="str">
        <f t="shared" si="2"/>
        <v>ACMA</v>
      </c>
      <c r="E4" s="2" t="str">
        <f>"ORDEM DE SERVIÇO DETALHADA"</f>
        <v>ORDEM DE SERVIÇO DETALHADA</v>
      </c>
      <c r="F4" s="2" t="str">
        <f>"R_ORDEM_SERVICO_DETALHADA.RDF"</f>
        <v>R_ORDEM_SERVICO_DETALHADA.RDF</v>
      </c>
      <c r="G4" s="2" t="str">
        <f>" ()"</f>
        <v xml:space="preserve"> ()</v>
      </c>
    </row>
    <row r="5" spans="1:7" x14ac:dyDescent="0.3">
      <c r="A5" s="1" t="s">
        <v>1</v>
      </c>
      <c r="B5" s="2" t="str">
        <f t="shared" si="0"/>
        <v>SISTEMA DE MANUTENÇÃO</v>
      </c>
      <c r="C5" s="2" t="str">
        <f t="shared" si="1"/>
        <v>SUPRI</v>
      </c>
      <c r="D5" s="2" t="str">
        <f t="shared" si="2"/>
        <v>ACMA</v>
      </c>
      <c r="E5" s="2" t="str">
        <f>"CADASTRO DE OFICINAS"</f>
        <v>CADASTRO DE OFICINAS</v>
      </c>
      <c r="F5" s="2" t="str">
        <f>"M_CAD_OFICINA"</f>
        <v>M_CAD_OFICINA</v>
      </c>
      <c r="G5" s="2" t="str">
        <f>"Serviços de Apoio / Manutenção / Tabelas / Oficinas (M_CAD_OFICINA)"</f>
        <v>Serviços de Apoio / Manutenção / Tabelas / Oficinas (M_CAD_OFICINA)</v>
      </c>
    </row>
    <row r="6" spans="1:7" x14ac:dyDescent="0.3">
      <c r="A6" s="1" t="s">
        <v>1</v>
      </c>
      <c r="B6" s="2" t="str">
        <f t="shared" si="0"/>
        <v>SISTEMA DE MANUTENÇÃO</v>
      </c>
      <c r="C6" s="2" t="str">
        <f t="shared" si="1"/>
        <v>SUPRI</v>
      </c>
      <c r="D6" s="2" t="str">
        <f t="shared" si="2"/>
        <v>ACMA</v>
      </c>
      <c r="E6" s="2" t="str">
        <f>"CADASTRO DAS LEITURAS"</f>
        <v>CADASTRO DAS LEITURAS</v>
      </c>
      <c r="F6" s="2" t="str">
        <f>"M_CAD_LEITURA"</f>
        <v>M_CAD_LEITURA</v>
      </c>
      <c r="G6" s="2" t="str">
        <f>"Serviços de Apoio / Manutenção / Tabelas / Cadastro de Leituras (M_CAD_LEITURA)"</f>
        <v>Serviços de Apoio / Manutenção / Tabelas / Cadastro de Leituras (M_CAD_LEITURA)</v>
      </c>
    </row>
    <row r="7" spans="1:7" x14ac:dyDescent="0.3">
      <c r="A7" s="1" t="s">
        <v>1</v>
      </c>
      <c r="B7" s="2" t="str">
        <f t="shared" si="0"/>
        <v>SISTEMA DE MANUTENÇÃO</v>
      </c>
      <c r="C7" s="2" t="str">
        <f t="shared" si="1"/>
        <v>SUPRI</v>
      </c>
      <c r="D7" s="2" t="str">
        <f t="shared" si="2"/>
        <v>ACMA</v>
      </c>
      <c r="E7" s="2" t="str">
        <f>"Análise de Planos"</f>
        <v>Análise de Planos</v>
      </c>
      <c r="F7" s="2" t="str">
        <f>"R_SOLICITACAO_PLANO"</f>
        <v>R_SOLICITACAO_PLANO</v>
      </c>
      <c r="G7" s="2" t="str">
        <f>"Serviços de Apoio / Manutenção / Relatórios / Engenharia e Manutenção / Análise de Planos (R_SOLICITACAO_PLANO)"</f>
        <v>Serviços de Apoio / Manutenção / Relatórios / Engenharia e Manutenção / Análise de Planos (R_SOLICITACAO_PLANO)</v>
      </c>
    </row>
    <row r="8" spans="1:7" x14ac:dyDescent="0.3">
      <c r="A8" s="1" t="s">
        <v>1</v>
      </c>
      <c r="B8" s="2" t="str">
        <f t="shared" si="0"/>
        <v>SISTEMA DE MANUTENÇÃO</v>
      </c>
      <c r="C8" s="2" t="str">
        <f t="shared" si="1"/>
        <v>SUPRI</v>
      </c>
      <c r="D8" s="2" t="str">
        <f t="shared" si="2"/>
        <v>ACMA</v>
      </c>
      <c r="E8" s="2" t="str">
        <f>"Solicitação de Serviço"</f>
        <v>Solicitação de Serviço</v>
      </c>
      <c r="F8" s="2" t="str">
        <f>"R_SOLICITACAO_SERVICO"</f>
        <v>R_SOLICITACAO_SERVICO</v>
      </c>
      <c r="G8" s="2" t="str">
        <f>"Solicitação de Serviços (R_SOLICITACAO_SERVICO)"</f>
        <v>Solicitação de Serviços (R_SOLICITACAO_SERVICO)</v>
      </c>
    </row>
    <row r="9" spans="1:7" x14ac:dyDescent="0.3">
      <c r="A9" s="1" t="s">
        <v>1</v>
      </c>
      <c r="B9" s="2" t="str">
        <f t="shared" si="0"/>
        <v>SISTEMA DE MANUTENÇÃO</v>
      </c>
      <c r="C9" s="2" t="str">
        <f t="shared" si="1"/>
        <v>SUPRI</v>
      </c>
      <c r="D9" s="2" t="str">
        <f t="shared" si="2"/>
        <v>ACMA</v>
      </c>
      <c r="E9" s="2" t="str">
        <f>"Solicitação de Serviço"</f>
        <v>Solicitação de Serviço</v>
      </c>
      <c r="F9" s="2" t="str">
        <f>"R_SOLICITACAO_SERVICO"</f>
        <v>R_SOLICITACAO_SERVICO</v>
      </c>
      <c r="G9" s="2" t="str">
        <f>"Serviços de Apoio / Manutenção / Relatórios / Ordem Servico / Solicitação de Serviços (R_SOLICITACAO_SERVICO)"</f>
        <v>Serviços de Apoio / Manutenção / Relatórios / Ordem Servico / Solicitação de Serviços (R_SOLICITACAO_SERVICO)</v>
      </c>
    </row>
    <row r="10" spans="1:7" x14ac:dyDescent="0.3">
      <c r="A10" s="1" t="s">
        <v>1</v>
      </c>
      <c r="B10" s="2" t="str">
        <f t="shared" si="0"/>
        <v>SISTEMA DE MANUTENÇÃO</v>
      </c>
      <c r="C10" s="2" t="str">
        <f t="shared" si="1"/>
        <v>SUPRI</v>
      </c>
      <c r="D10" s="2" t="str">
        <f t="shared" si="2"/>
        <v>ACMA</v>
      </c>
      <c r="E10" s="2" t="str">
        <f>"Listagem de Ordens de Serviço"</f>
        <v>Listagem de Ordens de Serviço</v>
      </c>
      <c r="F10" s="2" t="str">
        <f>"R_ORDEM_SERVICO_DETALHE"</f>
        <v>R_ORDEM_SERVICO_DETALHE</v>
      </c>
      <c r="G10" s="2" t="str">
        <f>"Listagem de Ordens de Serviço (R_ORDEM_SERVICO_DETALHE)"</f>
        <v>Listagem de Ordens de Serviço (R_ORDEM_SERVICO_DETALHE)</v>
      </c>
    </row>
    <row r="11" spans="1:7" x14ac:dyDescent="0.3">
      <c r="A11" s="1" t="s">
        <v>1</v>
      </c>
      <c r="B11" s="2" t="str">
        <f t="shared" si="0"/>
        <v>SISTEMA DE MANUTENÇÃO</v>
      </c>
      <c r="C11" s="2" t="str">
        <f t="shared" si="1"/>
        <v>SUPRI</v>
      </c>
      <c r="D11" s="2" t="str">
        <f t="shared" si="2"/>
        <v>ACMA</v>
      </c>
      <c r="E11" s="2" t="str">
        <f>"Listagem de Ordens de Serviço"</f>
        <v>Listagem de Ordens de Serviço</v>
      </c>
      <c r="F11" s="2" t="str">
        <f>"R_ORDEM_SERVICO_DETALHE"</f>
        <v>R_ORDEM_SERVICO_DETALHE</v>
      </c>
      <c r="G11" s="2" t="str">
        <f>"Serviços de Apoio / Manutenção / Relatórios / Ordem Servico / Listagem de Ordens de Serviço (R_ORDEM_SERVICO_DETALHE)"</f>
        <v>Serviços de Apoio / Manutenção / Relatórios / Ordem Servico / Listagem de Ordens de Serviço (R_ORDEM_SERVICO_DETALHE)</v>
      </c>
    </row>
    <row r="12" spans="1:7" x14ac:dyDescent="0.3">
      <c r="A12" s="1" t="s">
        <v>1</v>
      </c>
      <c r="B12" s="2" t="str">
        <f t="shared" si="0"/>
        <v>SISTEMA DE MANUTENÇÃO</v>
      </c>
      <c r="C12" s="2" t="str">
        <f t="shared" si="1"/>
        <v>SUPRI</v>
      </c>
      <c r="D12" s="2" t="str">
        <f t="shared" si="2"/>
        <v>ACMA</v>
      </c>
      <c r="E12" s="2" t="str">
        <f>"Análise de Tempos"</f>
        <v>Análise de Tempos</v>
      </c>
      <c r="F12" s="2" t="str">
        <f>"R_SOLICITACAO_TEMPOS"</f>
        <v>R_SOLICITACAO_TEMPOS</v>
      </c>
      <c r="G12" s="2" t="str">
        <f>"Serviços de Apoio / Manutenção / Relatórios / Engenharia e Manutenção / Análise de Tempos (R_SOLICITACAO_TEMPOS)"</f>
        <v>Serviços de Apoio / Manutenção / Relatórios / Engenharia e Manutenção / Análise de Tempos (R_SOLICITACAO_TEMPOS)</v>
      </c>
    </row>
    <row r="13" spans="1:7" x14ac:dyDescent="0.3">
      <c r="A13" s="1" t="s">
        <v>1</v>
      </c>
      <c r="B13" s="2" t="str">
        <f t="shared" si="0"/>
        <v>SISTEMA DE MANUTENÇÃO</v>
      </c>
      <c r="C13" s="2" t="str">
        <f t="shared" si="1"/>
        <v>SUPRI</v>
      </c>
      <c r="D13" s="2" t="str">
        <f t="shared" si="2"/>
        <v>ACMA</v>
      </c>
      <c r="E13" s="2" t="str">
        <f>"Bens / Garantia"</f>
        <v>Bens / Garantia</v>
      </c>
      <c r="F13" s="2" t="str">
        <f>"R_BENS_GARANTIA"</f>
        <v>R_BENS_GARANTIA</v>
      </c>
      <c r="G13" s="2" t="str">
        <f>"Serviços de Apoio / Manutenção / Relatórios / Tabelas / Bens / Garantia (R_BENS_GARANTIA)"</f>
        <v>Serviços de Apoio / Manutenção / Relatórios / Tabelas / Bens / Garantia (R_BENS_GARANTIA)</v>
      </c>
    </row>
    <row r="14" spans="1:7" x14ac:dyDescent="0.3">
      <c r="A14" s="1" t="s">
        <v>1</v>
      </c>
      <c r="B14" s="2" t="str">
        <f t="shared" si="0"/>
        <v>SISTEMA DE MANUTENÇÃO</v>
      </c>
      <c r="C14" s="2" t="str">
        <f t="shared" si="1"/>
        <v>SUPRI</v>
      </c>
      <c r="D14" s="2" t="str">
        <f t="shared" si="2"/>
        <v>ACMA</v>
      </c>
      <c r="E14" s="2" t="str">
        <f>"Geração de Ordens de Serviço"</f>
        <v>Geração de Ordens de Serviço</v>
      </c>
      <c r="F14" s="2" t="str">
        <f>"M_GERACAO_ORDENS"</f>
        <v>M_GERACAO_ORDENS</v>
      </c>
      <c r="G14" s="2" t="str">
        <f>"Serviços de Apoio / Manutenção / Planos / Geração de Ordens de Serviço (M_GERACAO_ORDENS)"</f>
        <v>Serviços de Apoio / Manutenção / Planos / Geração de Ordens de Serviço (M_GERACAO_ORDENS)</v>
      </c>
    </row>
    <row r="15" spans="1:7" x14ac:dyDescent="0.3">
      <c r="A15" s="1" t="s">
        <v>1</v>
      </c>
      <c r="B15" s="2" t="str">
        <f t="shared" si="0"/>
        <v>SISTEMA DE MANUTENÇÃO</v>
      </c>
      <c r="C15" s="2" t="str">
        <f t="shared" si="1"/>
        <v>SUPRI</v>
      </c>
      <c r="D15" s="2" t="str">
        <f t="shared" si="2"/>
        <v>ACMA</v>
      </c>
      <c r="E15" s="2" t="str">
        <f>"Tipos de Email x Destinatário"</f>
        <v>Tipos de Email x Destinatário</v>
      </c>
      <c r="F15" s="2" t="str">
        <f>"M_EMAIL_USUARIO"</f>
        <v>M_EMAIL_USUARIO</v>
      </c>
      <c r="G15" s="2" t="str">
        <f>"Serviços de Apoio / Manutenção / Configuração / Tipos de Email x Destinatário (M_EMAIL_USUARIO)"</f>
        <v>Serviços de Apoio / Manutenção / Configuração / Tipos de Email x Destinatário (M_EMAIL_USUARIO)</v>
      </c>
    </row>
    <row r="16" spans="1:7" x14ac:dyDescent="0.3">
      <c r="A16" s="1" t="s">
        <v>1</v>
      </c>
      <c r="B16" s="2" t="str">
        <f t="shared" si="0"/>
        <v>SISTEMA DE MANUTENÇÃO</v>
      </c>
      <c r="C16" s="2" t="str">
        <f t="shared" si="1"/>
        <v>SUPRI</v>
      </c>
      <c r="D16" s="2" t="str">
        <f t="shared" si="2"/>
        <v>ACMA</v>
      </c>
      <c r="E16" s="2" t="str">
        <f>"Tipos de Ordem de Serviço"</f>
        <v>Tipos de Ordem de Serviço</v>
      </c>
      <c r="F16" s="2" t="str">
        <f>"R_TIPO_OS"</f>
        <v>R_TIPO_OS</v>
      </c>
      <c r="G16" s="2" t="str">
        <f>"Serviços de Apoio / Manutenção / Relatórios / Tabelas / Tipos de Ordem de Serviço (R_TIPO_OS)"</f>
        <v>Serviços de Apoio / Manutenção / Relatórios / Tabelas / Tipos de Ordem de Serviço (R_TIPO_OS)</v>
      </c>
    </row>
    <row r="17" spans="1:7" x14ac:dyDescent="0.3">
      <c r="A17" s="1" t="s">
        <v>1</v>
      </c>
      <c r="B17" s="2" t="str">
        <f t="shared" si="0"/>
        <v>SISTEMA DE MANUTENÇÃO</v>
      </c>
      <c r="C17" s="2" t="str">
        <f t="shared" si="1"/>
        <v>SUPRI</v>
      </c>
      <c r="D17" s="2" t="str">
        <f t="shared" si="2"/>
        <v>ACMA</v>
      </c>
      <c r="E17" s="2" t="str">
        <f>"Tipos de Cargo do Plano"</f>
        <v>Tipos de Cargo do Plano</v>
      </c>
      <c r="F17" s="2" t="str">
        <f>"M_TIPO_CARGO_PLANO"</f>
        <v>M_TIPO_CARGO_PLANO</v>
      </c>
      <c r="G17" s="2" t="str">
        <f>"Serviços de Apoio / Manutenção / Planos / Tipos de Cargo do Plano (M_TIPO_CARGO_PLANO)"</f>
        <v>Serviços de Apoio / Manutenção / Planos / Tipos de Cargo do Plano (M_TIPO_CARGO_PLANO)</v>
      </c>
    </row>
    <row r="18" spans="1:7" x14ac:dyDescent="0.3">
      <c r="A18" s="1" t="s">
        <v>1</v>
      </c>
      <c r="B18" s="2" t="str">
        <f t="shared" si="0"/>
        <v>SISTEMA DE MANUTENÇÃO</v>
      </c>
      <c r="C18" s="2" t="str">
        <f t="shared" si="1"/>
        <v>SUPRI</v>
      </c>
      <c r="D18" s="2" t="str">
        <f t="shared" si="2"/>
        <v>ACMA</v>
      </c>
      <c r="E18" s="2" t="str">
        <f>"Usuários x Oficina"</f>
        <v>Usuários x Oficina</v>
      </c>
      <c r="F18" s="2" t="str">
        <f>"M_USUARIOS_OFICINA"</f>
        <v>M_USUARIOS_OFICINA</v>
      </c>
      <c r="G18" s="2" t="str">
        <f>"Apoio a TI / Gestão de Usuários / Configurações de Acesso / Acessos Suprimentos / Usuários x Oficina (M_USUARIOS_OFICINA)"</f>
        <v>Apoio a TI / Gestão de Usuários / Configurações de Acesso / Acessos Suprimentos / Usuários x Oficina (M_USUARIOS_OFICINA)</v>
      </c>
    </row>
    <row r="19" spans="1:7" x14ac:dyDescent="0.3">
      <c r="A19" s="1" t="s">
        <v>1</v>
      </c>
      <c r="B19" s="2" t="str">
        <f t="shared" si="0"/>
        <v>SISTEMA DE MANUTENÇÃO</v>
      </c>
      <c r="C19" s="2" t="str">
        <f t="shared" si="1"/>
        <v>SUPRI</v>
      </c>
      <c r="D19" s="2" t="str">
        <f t="shared" si="2"/>
        <v>ACMA</v>
      </c>
      <c r="E19" s="2" t="str">
        <f>"Usuários x Modificação de O.S."</f>
        <v>Usuários x Modificação de O.S.</v>
      </c>
      <c r="F19" s="2" t="str">
        <f>"M_USUARIO_MODIFICA_OS"</f>
        <v>M_USUARIO_MODIFICA_OS</v>
      </c>
      <c r="G19" s="2" t="str">
        <f>"Apoio a TI / Gestão de Usuários / Configurações de Acesso / Acessos Suprimentos / Usuários x Modificação de O.S. (M_USUARIO_MODIFICA_OS)"</f>
        <v>Apoio a TI / Gestão de Usuários / Configurações de Acesso / Acessos Suprimentos / Usuários x Modificação de O.S. (M_USUARIO_MODIFICA_OS)</v>
      </c>
    </row>
    <row r="20" spans="1:7" x14ac:dyDescent="0.3">
      <c r="A20" s="1" t="s">
        <v>1</v>
      </c>
      <c r="B20" s="2" t="str">
        <f t="shared" si="0"/>
        <v>SISTEMA DE MANUTENÇÃO</v>
      </c>
      <c r="C20" s="2" t="str">
        <f t="shared" si="1"/>
        <v>SUPRI</v>
      </c>
      <c r="D20" s="2" t="str">
        <f t="shared" si="2"/>
        <v>ACMA</v>
      </c>
      <c r="E20" s="2" t="str">
        <f>"Tipos de Qualificações do Plano"</f>
        <v>Tipos de Qualificações do Plano</v>
      </c>
      <c r="F20" s="2" t="str">
        <f>"M_TIPO_QUALIFICA_PLANO"</f>
        <v>M_TIPO_QUALIFICA_PLANO</v>
      </c>
      <c r="G20" s="2" t="str">
        <f>"Serviços de Apoio / Manutenção / Planos / Tipos de Qualificações do Plano (M_TIPO_QUALIFICA_PLANO)"</f>
        <v>Serviços de Apoio / Manutenção / Planos / Tipos de Qualificações do Plano (M_TIPO_QUALIFICA_PLANO)</v>
      </c>
    </row>
    <row r="21" spans="1:7" x14ac:dyDescent="0.3">
      <c r="A21" s="1" t="s">
        <v>1</v>
      </c>
      <c r="B21" s="2" t="str">
        <f t="shared" si="0"/>
        <v>SISTEMA DE MANUTENÇÃO</v>
      </c>
      <c r="C21" s="2" t="str">
        <f t="shared" si="1"/>
        <v>SUPRI</v>
      </c>
      <c r="D21" s="2" t="str">
        <f t="shared" si="2"/>
        <v>ACMA</v>
      </c>
      <c r="E21" s="2" t="str">
        <f>"Tipos de Procedimentos do Plano"</f>
        <v>Tipos de Procedimentos do Plano</v>
      </c>
      <c r="F21" s="2" t="str">
        <f>"M_TIPO_PROC_PLANO"</f>
        <v>M_TIPO_PROC_PLANO</v>
      </c>
      <c r="G21" s="2" t="str">
        <f>"Serviços de Apoio / Manutenção / Planos / Tipos de Procedimentos do Plano (M_TIPO_PROC_PLANO)"</f>
        <v>Serviços de Apoio / Manutenção / Planos / Tipos de Procedimentos do Plano (M_TIPO_PROC_PLANO)</v>
      </c>
    </row>
    <row r="22" spans="1:7" x14ac:dyDescent="0.3">
      <c r="A22" s="1" t="s">
        <v>1</v>
      </c>
      <c r="B22" s="2" t="str">
        <f t="shared" si="0"/>
        <v>SISTEMA DE MANUTENÇÃO</v>
      </c>
      <c r="C22" s="2" t="str">
        <f t="shared" si="1"/>
        <v>SUPRI</v>
      </c>
      <c r="D22" s="2" t="str">
        <f t="shared" si="2"/>
        <v>ACMA</v>
      </c>
      <c r="E22" s="2" t="str">
        <f>"Qualificações do Plano"</f>
        <v>Qualificações do Plano</v>
      </c>
      <c r="F22" s="2" t="str">
        <f>"M_QUALIFICACOES_PLANO"</f>
        <v>M_QUALIFICACOES_PLANO</v>
      </c>
      <c r="G22" s="2" t="str">
        <f>"Serviços de Apoio / Manutenção / Planos / Qualificações do Plano (M_QUALIFICACOES_PLANO)"</f>
        <v>Serviços de Apoio / Manutenção / Planos / Qualificações do Plano (M_QUALIFICACOES_PLANO)</v>
      </c>
    </row>
    <row r="23" spans="1:7" x14ac:dyDescent="0.3">
      <c r="A23" s="1" t="s">
        <v>1</v>
      </c>
      <c r="B23" s="2" t="str">
        <f t="shared" si="0"/>
        <v>SISTEMA DE MANUTENÇÃO</v>
      </c>
      <c r="C23" s="2" t="str">
        <f t="shared" si="1"/>
        <v>SUPRI</v>
      </c>
      <c r="D23" s="2" t="str">
        <f t="shared" si="2"/>
        <v>ACMA</v>
      </c>
      <c r="E23" s="2" t="str">
        <f>"Programação sem Periodicidade"</f>
        <v>Programação sem Periodicidade</v>
      </c>
      <c r="F23" s="2" t="str">
        <f>"M_PROG_SEM_PERIODICIDADE"</f>
        <v>M_PROG_SEM_PERIODICIDADE</v>
      </c>
      <c r="G23" s="2" t="str">
        <f>"Serviços de Apoio / Manutenção / Planos / Programação sem Periodicidade (M_PROG_SEM_PERIODICIDADE)"</f>
        <v>Serviços de Apoio / Manutenção / Planos / Programação sem Periodicidade (M_PROG_SEM_PERIODICIDADE)</v>
      </c>
    </row>
    <row r="24" spans="1:7" x14ac:dyDescent="0.3">
      <c r="A24" s="1" t="s">
        <v>1</v>
      </c>
      <c r="B24" s="2" t="str">
        <f t="shared" si="0"/>
        <v>SISTEMA DE MANUTENÇÃO</v>
      </c>
      <c r="C24" s="2" t="str">
        <f t="shared" si="1"/>
        <v>SUPRI</v>
      </c>
      <c r="D24" s="2" t="str">
        <f t="shared" si="2"/>
        <v>ACMA</v>
      </c>
      <c r="E24" s="2" t="str">
        <f>"Progr. com Periodicidade: Periódica"</f>
        <v>Progr. com Periodicidade: Periódica</v>
      </c>
      <c r="F24" s="2" t="str">
        <f>"M_PROG_PERIODICA"</f>
        <v>M_PROG_PERIODICA</v>
      </c>
      <c r="G24" s="2" t="str">
        <f>"Serviços de Apoio / Manutenção / Planos / Prog. com Periodicidade: Periódica (M_PROG_PERIODICA)"</f>
        <v>Serviços de Apoio / Manutenção / Planos / Prog. com Periodicidade: Periódica (M_PROG_PERIODICA)</v>
      </c>
    </row>
    <row r="25" spans="1:7" x14ac:dyDescent="0.3">
      <c r="A25" s="1" t="s">
        <v>1</v>
      </c>
      <c r="B25" s="2" t="str">
        <f t="shared" si="0"/>
        <v>SISTEMA DE MANUTENÇÃO</v>
      </c>
      <c r="C25" s="2" t="str">
        <f t="shared" si="1"/>
        <v>SUPRI</v>
      </c>
      <c r="D25" s="2" t="str">
        <f t="shared" si="2"/>
        <v>ACMA</v>
      </c>
      <c r="E25" s="2" t="str">
        <f>"Prog. com Periodicidade: Data Específica"</f>
        <v>Prog. com Periodicidade: Data Específica</v>
      </c>
      <c r="F25" s="2" t="str">
        <f>"M_PROG_ESPECIFICA"</f>
        <v>M_PROG_ESPECIFICA</v>
      </c>
      <c r="G25" s="2" t="str">
        <f>"Serviços de Apoio / Manutenção / Planos / Prog. com Periodicidade: Data Específica (M_PROG_ESPECIFICA)"</f>
        <v>Serviços de Apoio / Manutenção / Planos / Prog. com Periodicidade: Data Específica (M_PROG_ESPECIFICA)</v>
      </c>
    </row>
    <row r="26" spans="1:7" x14ac:dyDescent="0.3">
      <c r="A26" s="1" t="s">
        <v>1</v>
      </c>
      <c r="B26" s="2" t="str">
        <f t="shared" si="0"/>
        <v>SISTEMA DE MANUTENÇÃO</v>
      </c>
      <c r="C26" s="2" t="str">
        <f t="shared" si="1"/>
        <v>SUPRI</v>
      </c>
      <c r="D26" s="2" t="str">
        <f t="shared" si="2"/>
        <v>ACMA</v>
      </c>
      <c r="E26" s="2" t="str">
        <f>"Procedimentos do Plano"</f>
        <v>Procedimentos do Plano</v>
      </c>
      <c r="F26" s="2" t="str">
        <f>"M_PROCEDIMENTOS_PLANO"</f>
        <v>M_PROCEDIMENTOS_PLANO</v>
      </c>
      <c r="G26" s="2" t="str">
        <f>"Serviços de Apoio / Manutenção / Planos / Procedimentos do Plano (M_PROCEDIMENTOS_PLANO)"</f>
        <v>Serviços de Apoio / Manutenção / Planos / Procedimentos do Plano (M_PROCEDIMENTOS_PLANO)</v>
      </c>
    </row>
    <row r="27" spans="1:7" x14ac:dyDescent="0.3">
      <c r="A27" s="1" t="s">
        <v>1</v>
      </c>
      <c r="B27" s="2" t="str">
        <f t="shared" si="0"/>
        <v>SISTEMA DE MANUTENÇÃO</v>
      </c>
      <c r="C27" s="2" t="str">
        <f t="shared" si="1"/>
        <v>SUPRI</v>
      </c>
      <c r="D27" s="2" t="str">
        <f t="shared" si="2"/>
        <v>ACMA</v>
      </c>
      <c r="E27" s="2" t="str">
        <f>"Planejamento de Manutenção"</f>
        <v>Planejamento de Manutenção</v>
      </c>
      <c r="F27" s="2" t="str">
        <f>"M_PLANO_MANUTENCAO"</f>
        <v>M_PLANO_MANUTENCAO</v>
      </c>
      <c r="G27" s="2" t="str">
        <f>"Serviços de Apoio / Manutenção / Planos / Planejamento de Manutenção (M_PLANO_MANUTENCAO)"</f>
        <v>Serviços de Apoio / Manutenção / Planos / Planejamento de Manutenção (M_PLANO_MANUTENCAO)</v>
      </c>
    </row>
    <row r="28" spans="1:7" x14ac:dyDescent="0.3">
      <c r="A28" s="1" t="s">
        <v>1</v>
      </c>
      <c r="B28" s="2" t="str">
        <f t="shared" si="0"/>
        <v>SISTEMA DE MANUTENÇÃO</v>
      </c>
      <c r="C28" s="2" t="str">
        <f t="shared" si="1"/>
        <v>SUPRI</v>
      </c>
      <c r="D28" s="2" t="str">
        <f t="shared" si="2"/>
        <v>ACMA</v>
      </c>
      <c r="E28" s="2" t="str">
        <f>"Tipos de Email x Oficina"</f>
        <v>Tipos de Email x Oficina</v>
      </c>
      <c r="F28" s="2" t="str">
        <f>"M_EMAIL_OFICINA"</f>
        <v>M_EMAIL_OFICINA</v>
      </c>
      <c r="G28" s="2" t="str">
        <f>"Serviços de Apoio / Manutenção / Configuração / Tipos de Email x Oficina (M_EMAIL_OFICINA)"</f>
        <v>Serviços de Apoio / Manutenção / Configuração / Tipos de Email x Oficina (M_EMAIL_OFICINA)</v>
      </c>
    </row>
    <row r="29" spans="1:7" x14ac:dyDescent="0.3">
      <c r="A29" s="1" t="s">
        <v>1</v>
      </c>
      <c r="B29" s="2" t="str">
        <f t="shared" si="0"/>
        <v>SISTEMA DE MANUTENÇÃO</v>
      </c>
      <c r="C29" s="2" t="str">
        <f t="shared" si="1"/>
        <v>SUPRI</v>
      </c>
      <c r="D29" s="2" t="str">
        <f t="shared" si="2"/>
        <v>ACMA</v>
      </c>
      <c r="E29" s="2" t="str">
        <f>"Cargos do Plano"</f>
        <v>Cargos do Plano</v>
      </c>
      <c r="F29" s="2" t="str">
        <f>"M_CARGOS_PLANO"</f>
        <v>M_CARGOS_PLANO</v>
      </c>
      <c r="G29" s="2" t="str">
        <f>"Serviços de Apoio / Manutenção / Planos / Cargos do Plano (M_CARGOS_PLANO)"</f>
        <v>Serviços de Apoio / Manutenção / Planos / Cargos do Plano (M_CARGOS_PLANO)</v>
      </c>
    </row>
    <row r="30" spans="1:7" x14ac:dyDescent="0.3">
      <c r="A30" s="1" t="s">
        <v>1</v>
      </c>
      <c r="B30" s="2" t="str">
        <f t="shared" si="0"/>
        <v>SISTEMA DE MANUTENÇÃO</v>
      </c>
      <c r="C30" s="2" t="str">
        <f t="shared" si="1"/>
        <v>SUPRI</v>
      </c>
      <c r="D30" s="2" t="str">
        <f t="shared" si="2"/>
        <v>ACMA</v>
      </c>
      <c r="E30" s="2" t="str">
        <f>"Cadastro de Email"</f>
        <v>Cadastro de Email</v>
      </c>
      <c r="F30" s="2" t="str">
        <f>"M_CAD_EMAIL_ACMA"</f>
        <v>M_CAD_EMAIL_ACMA</v>
      </c>
      <c r="G30" s="2" t="str">
        <f>"Serviços de Apoio / Manutenção / Configuração / Cadastro de Email (M_CAD_EMAIL_ACMA)"</f>
        <v>Serviços de Apoio / Manutenção / Configuração / Cadastro de Email (M_CAD_EMAIL_ACMA)</v>
      </c>
    </row>
    <row r="31" spans="1:7" x14ac:dyDescent="0.3">
      <c r="A31" s="1" t="s">
        <v>1</v>
      </c>
      <c r="B31" s="2" t="str">
        <f t="shared" si="0"/>
        <v>SISTEMA DE MANUTENÇÃO</v>
      </c>
      <c r="C31" s="2" t="str">
        <f t="shared" si="1"/>
        <v>SUPRI</v>
      </c>
      <c r="D31" s="2" t="str">
        <f t="shared" si="2"/>
        <v>ACMA</v>
      </c>
      <c r="E31" s="2" t="str">
        <f>"Feriados"</f>
        <v>Feriados</v>
      </c>
      <c r="F31" s="2" t="str">
        <f>"M_CAD_FERIADO"</f>
        <v>M_CAD_FERIADO</v>
      </c>
      <c r="G31" s="2" t="str">
        <f>"Serviços de Apoio / Manutenção / Tabelas / Feriados (M_CAD_FERIADO)"</f>
        <v>Serviços de Apoio / Manutenção / Tabelas / Feriados (M_CAD_FERIADO)</v>
      </c>
    </row>
    <row r="32" spans="1:7" x14ac:dyDescent="0.3">
      <c r="A32" s="1" t="s">
        <v>1</v>
      </c>
      <c r="B32" s="2" t="str">
        <f t="shared" si="0"/>
        <v>SISTEMA DE MANUTENÇÃO</v>
      </c>
      <c r="C32" s="2" t="str">
        <f t="shared" si="1"/>
        <v>SUPRI</v>
      </c>
      <c r="D32" s="2" t="str">
        <f t="shared" si="2"/>
        <v>ACMA</v>
      </c>
      <c r="E32" s="2" t="str">
        <f>"Avaliação de Serviços"</f>
        <v>Avaliação de Serviços</v>
      </c>
      <c r="F32" s="2" t="str">
        <f>"M_AVALIACAO_OS"</f>
        <v>M_AVALIACAO_OS</v>
      </c>
      <c r="G32" s="2" t="str">
        <f>"Serviços de Apoio / Manutenção / Ordem Serviço / Avaliação de Serviços (M_AVALIACAO_OS)"</f>
        <v>Serviços de Apoio / Manutenção / Ordem Serviço / Avaliação de Serviços (M_AVALIACAO_OS)</v>
      </c>
    </row>
    <row r="33" spans="1:7" x14ac:dyDescent="0.3">
      <c r="A33" s="1" t="s">
        <v>1</v>
      </c>
      <c r="B33" s="2" t="str">
        <f t="shared" si="0"/>
        <v>SISTEMA DE MANUTENÇÃO</v>
      </c>
      <c r="C33" s="2" t="str">
        <f t="shared" si="1"/>
        <v>SUPRI</v>
      </c>
      <c r="D33" s="2" t="str">
        <f t="shared" si="2"/>
        <v>ACMA</v>
      </c>
      <c r="E33" s="2" t="str">
        <f>"VENCIMENTO DOS CONTRATOS DE MANUTENÇÃO"</f>
        <v>VENCIMENTO DOS CONTRATOS DE MANUTENÇÃO</v>
      </c>
      <c r="F33" s="2" t="str">
        <f>"R_VCTO_CONTRATO_MANUTENCAO.RDF"</f>
        <v>R_VCTO_CONTRATO_MANUTENCAO.RDF</v>
      </c>
      <c r="G33" s="2" t="str">
        <f>" ()"</f>
        <v xml:space="preserve"> ()</v>
      </c>
    </row>
    <row r="34" spans="1:7" x14ac:dyDescent="0.3">
      <c r="A34" s="1" t="s">
        <v>1</v>
      </c>
      <c r="B34" s="2" t="str">
        <f t="shared" si="0"/>
        <v>SISTEMA DE MANUTENÇÃO</v>
      </c>
      <c r="C34" s="2" t="str">
        <f t="shared" si="1"/>
        <v>SUPRI</v>
      </c>
      <c r="D34" s="2" t="str">
        <f t="shared" si="2"/>
        <v>ACMA</v>
      </c>
      <c r="E34" s="2" t="str">
        <f>"Especialidades"</f>
        <v>Especialidades</v>
      </c>
      <c r="F34" s="2" t="str">
        <f>"R_ESPEC_ACMA"</f>
        <v>R_ESPEC_ACMA</v>
      </c>
      <c r="G34" s="2" t="str">
        <f>"Serviços de Apoio / Manutenção / Relatórios / Tabelas / Especialidades (R_ESPEC_ACMA)"</f>
        <v>Serviços de Apoio / Manutenção / Relatórios / Tabelas / Especialidades (R_ESPEC_ACMA)</v>
      </c>
    </row>
    <row r="35" spans="1:7" x14ac:dyDescent="0.3">
      <c r="A35" s="1" t="s">
        <v>1</v>
      </c>
      <c r="B35" s="2" t="str">
        <f t="shared" si="0"/>
        <v>SISTEMA DE MANUTENÇÃO</v>
      </c>
      <c r="C35" s="2" t="str">
        <f t="shared" si="1"/>
        <v>SUPRI</v>
      </c>
      <c r="D35" s="2" t="str">
        <f t="shared" si="2"/>
        <v>ACMA</v>
      </c>
      <c r="E35" s="2" t="str">
        <f>"Cadastro de Usuários x Oficinas x Função"</f>
        <v>Cadastro de Usuários x Oficinas x Função</v>
      </c>
      <c r="F35" s="2" t="str">
        <f>"M_USUARIOS_OFICINA_FUNC"</f>
        <v>M_USUARIOS_OFICINA_FUNC</v>
      </c>
      <c r="G35" s="2" t="str">
        <f>"Apoio a TI / Gestão de Usuários / Configurações de Acesso / Acessos Suprimentos / Usuários x Oficinas x Função (M_USUARIOS_OFICINA_FUNC)"</f>
        <v>Apoio a TI / Gestão de Usuários / Configurações de Acesso / Acessos Suprimentos / Usuários x Oficinas x Função (M_USUARIOS_OFICINA_FUNC)</v>
      </c>
    </row>
    <row r="36" spans="1:7" x14ac:dyDescent="0.3">
      <c r="A36" s="1" t="s">
        <v>1</v>
      </c>
      <c r="B36" s="2" t="str">
        <f t="shared" si="0"/>
        <v>SISTEMA DE MANUTENÇÃO</v>
      </c>
      <c r="C36" s="2" t="str">
        <f t="shared" si="1"/>
        <v>SUPRI</v>
      </c>
      <c r="D36" s="2" t="str">
        <f t="shared" si="2"/>
        <v>ACMA</v>
      </c>
      <c r="E36" s="2" t="str">
        <f>"Ordem de serviço de um bem"</f>
        <v>Ordem de serviço de um bem</v>
      </c>
      <c r="F36" s="2" t="str">
        <f>"C_SOLICITACAO_OS_BEM"</f>
        <v>C_SOLICITACAO_OS_BEM</v>
      </c>
      <c r="G36" s="2" t="str">
        <f>" ()"</f>
        <v xml:space="preserve"> ()</v>
      </c>
    </row>
    <row r="37" spans="1:7" x14ac:dyDescent="0.3">
      <c r="A37" s="1" t="s">
        <v>1</v>
      </c>
      <c r="B37" s="2" t="str">
        <f t="shared" si="0"/>
        <v>SISTEMA DE MANUTENÇÃO</v>
      </c>
      <c r="C37" s="2" t="str">
        <f t="shared" si="1"/>
        <v>SUPRI</v>
      </c>
      <c r="D37" s="2" t="str">
        <f t="shared" si="2"/>
        <v>ACMA</v>
      </c>
      <c r="E37" s="2" t="str">
        <f>"TIPO DE OS"</f>
        <v>TIPO DE OS</v>
      </c>
      <c r="F37" s="2" t="str">
        <f>"R_SERVICO_PERIODO_OS.RDF"</f>
        <v>R_SERVICO_PERIODO_OS.RDF</v>
      </c>
      <c r="G37" s="2" t="str">
        <f>" ()"</f>
        <v xml:space="preserve"> ()</v>
      </c>
    </row>
    <row r="38" spans="1:7" x14ac:dyDescent="0.3">
      <c r="A38" s="1" t="s">
        <v>1</v>
      </c>
      <c r="B38" s="2" t="str">
        <f t="shared" si="0"/>
        <v>SISTEMA DE MANUTENÇÃO</v>
      </c>
      <c r="C38" s="2" t="str">
        <f t="shared" si="1"/>
        <v>SUPRI</v>
      </c>
      <c r="D38" s="2" t="str">
        <f t="shared" si="2"/>
        <v>ACMA</v>
      </c>
      <c r="E38" s="2" t="str">
        <f>"SERVIÇOS POR TIPO DE OS"</f>
        <v>SERVIÇOS POR TIPO DE OS</v>
      </c>
      <c r="F38" s="2" t="str">
        <f>"R_SERVICO_PERIODO_OS"</f>
        <v>R_SERVICO_PERIODO_OS</v>
      </c>
      <c r="G38" s="2" t="str">
        <f>"Serviços de Apoio / Manutenção / Relatórios / Serviços / Tipo de OS (R_SERVICO_PERIODO_OS)"</f>
        <v>Serviços de Apoio / Manutenção / Relatórios / Serviços / Tipo de OS (R_SERVICO_PERIODO_OS)</v>
      </c>
    </row>
    <row r="39" spans="1:7" x14ac:dyDescent="0.3">
      <c r="A39" s="1" t="s">
        <v>1</v>
      </c>
      <c r="B39" s="2" t="str">
        <f t="shared" si="0"/>
        <v>SISTEMA DE MANUTENÇÃO</v>
      </c>
      <c r="C39" s="2" t="str">
        <f t="shared" si="1"/>
        <v>SUPRI</v>
      </c>
      <c r="D39" s="2" t="str">
        <f t="shared" si="2"/>
        <v>ACMA</v>
      </c>
      <c r="E39" s="2" t="str">
        <f>"SERVIÇOS POR SETOR / PERÍODO"</f>
        <v>SERVIÇOS POR SETOR / PERÍODO</v>
      </c>
      <c r="F39" s="2" t="str">
        <f>"R_SERVICO_PERIODO"</f>
        <v>R_SERVICO_PERIODO</v>
      </c>
      <c r="G39" s="2" t="str">
        <f>"Serviços de Apoio / Manutenção / Relatórios / Serviços / Setor / Período (R_SERVICO_PERIODO)"</f>
        <v>Serviços de Apoio / Manutenção / Relatórios / Serviços / Setor / Período (R_SERVICO_PERIODO)</v>
      </c>
    </row>
    <row r="40" spans="1:7" x14ac:dyDescent="0.3">
      <c r="A40" s="1" t="s">
        <v>1</v>
      </c>
      <c r="B40" s="2" t="str">
        <f t="shared" si="0"/>
        <v>SISTEMA DE MANUTENÇÃO</v>
      </c>
      <c r="C40" s="2" t="str">
        <f t="shared" si="1"/>
        <v>SUPRI</v>
      </c>
      <c r="D40" s="2" t="str">
        <f t="shared" si="2"/>
        <v>ACMA</v>
      </c>
      <c r="E40" s="2" t="str">
        <f>"CADASTRO DE SERVIÇO"</f>
        <v>CADASTRO DE SERVIÇO</v>
      </c>
      <c r="F40" s="2" t="str">
        <f>"M_SERVI"</f>
        <v>M_SERVI</v>
      </c>
      <c r="G40" s="2" t="str">
        <f>"Serviços de Apoio / Manutenção / Personalizados / Serviços - Tabela (M_SERVI)"</f>
        <v>Serviços de Apoio / Manutenção / Personalizados / Serviços - Tabela (M_SERVI)</v>
      </c>
    </row>
    <row r="41" spans="1:7" x14ac:dyDescent="0.3">
      <c r="A41" s="1" t="s">
        <v>1</v>
      </c>
      <c r="B41" s="2" t="str">
        <f t="shared" si="0"/>
        <v>SISTEMA DE MANUTENÇÃO</v>
      </c>
      <c r="C41" s="2" t="str">
        <f t="shared" si="1"/>
        <v>SUPRI</v>
      </c>
      <c r="D41" s="2" t="str">
        <f t="shared" si="2"/>
        <v>ACMA</v>
      </c>
      <c r="E41" s="2" t="str">
        <f>"CADASTRO DE SERVIÇO"</f>
        <v>CADASTRO DE SERVIÇO</v>
      </c>
      <c r="F41" s="2" t="str">
        <f>"M_SERVI"</f>
        <v>M_SERVI</v>
      </c>
      <c r="G41" s="2" t="str">
        <f>"Serviços de Apoio / Manutenção / Tabelas / Serviços (M_SERVI)"</f>
        <v>Serviços de Apoio / Manutenção / Tabelas / Serviços (M_SERVI)</v>
      </c>
    </row>
    <row r="42" spans="1:7" x14ac:dyDescent="0.3">
      <c r="A42" s="1" t="s">
        <v>1</v>
      </c>
      <c r="B42" s="2" t="str">
        <f t="shared" si="0"/>
        <v>SISTEMA DE MANUTENÇÃO</v>
      </c>
      <c r="C42" s="2" t="str">
        <f t="shared" si="1"/>
        <v>SUPRI</v>
      </c>
      <c r="D42" s="2" t="str">
        <f t="shared" si="2"/>
        <v>ACMA</v>
      </c>
      <c r="E42" s="2" t="str">
        <f>"SERVIÇOS"</f>
        <v>SERVIÇOS</v>
      </c>
      <c r="F42" s="2" t="str">
        <f>"R_SERVI"</f>
        <v>R_SERVI</v>
      </c>
      <c r="G42" s="2" t="str">
        <f>"Serviços de Apoio / Manutenção / Relatórios / Tabelas / Serviços (R_SERVI)"</f>
        <v>Serviços de Apoio / Manutenção / Relatórios / Tabelas / Serviços (R_SERVI)</v>
      </c>
    </row>
    <row r="43" spans="1:7" x14ac:dyDescent="0.3">
      <c r="A43" s="1" t="s">
        <v>1</v>
      </c>
      <c r="B43" s="2" t="str">
        <f t="shared" si="0"/>
        <v>SISTEMA DE MANUTENÇÃO</v>
      </c>
      <c r="C43" s="2" t="str">
        <f t="shared" si="1"/>
        <v>SUPRI</v>
      </c>
      <c r="D43" s="2" t="str">
        <f t="shared" si="2"/>
        <v>ACMA</v>
      </c>
      <c r="E43" s="2" t="str">
        <f>"ANÁLISE DE MANUTENÇÕES"</f>
        <v>ANÁLISE DE MANUTENÇÕES</v>
      </c>
      <c r="F43" s="2" t="str">
        <f>"M_ANA_MANUT"</f>
        <v>M_ANA_MANUT</v>
      </c>
      <c r="G43" s="2" t="str">
        <f>"Serviços de Apoio / Manutenção / Personalizados / Análise de Manutenções (M_ANA_MANUT)"</f>
        <v>Serviços de Apoio / Manutenção / Personalizados / Análise de Manutenções (M_ANA_MANUT)</v>
      </c>
    </row>
    <row r="44" spans="1:7" x14ac:dyDescent="0.3">
      <c r="A44" s="1" t="s">
        <v>1</v>
      </c>
      <c r="B44" s="2" t="str">
        <f t="shared" si="0"/>
        <v>SISTEMA DE MANUTENÇÃO</v>
      </c>
      <c r="C44" s="2" t="str">
        <f t="shared" si="1"/>
        <v>SUPRI</v>
      </c>
      <c r="D44" s="2" t="str">
        <f t="shared" si="2"/>
        <v>ACMA</v>
      </c>
      <c r="E44" s="2" t="str">
        <f>"RELATORIO DE ORDEM DE SERVICO"</f>
        <v>RELATORIO DE ORDEM DE SERVICO</v>
      </c>
      <c r="F44" s="2" t="str">
        <f>"R_ORDEM_SERVICO"</f>
        <v>R_ORDEM_SERVICO</v>
      </c>
      <c r="G44" s="2" t="str">
        <f>"Serviços de Apoio / Manutenção / Relatórios / Ordem Servico / Ordem de Serviço (R_ORDEM_SERVICO)"</f>
        <v>Serviços de Apoio / Manutenção / Relatórios / Ordem Servico / Ordem de Serviço (R_ORDEM_SERVICO)</v>
      </c>
    </row>
    <row r="45" spans="1:7" x14ac:dyDescent="0.3">
      <c r="A45" s="1" t="s">
        <v>1</v>
      </c>
      <c r="B45" s="2" t="str">
        <f t="shared" si="0"/>
        <v>SISTEMA DE MANUTENÇÃO</v>
      </c>
      <c r="C45" s="2" t="str">
        <f t="shared" si="1"/>
        <v>SUPRI</v>
      </c>
      <c r="D45" s="2" t="str">
        <f t="shared" si="2"/>
        <v>ACMA</v>
      </c>
      <c r="E45" s="2" t="str">
        <f>"RELATORIO DE ESPECIALIDADE POR FUNCIONAR"</f>
        <v>RELATORIO DE ESPECIALIDADE POR FUNCIONAR</v>
      </c>
      <c r="F45" s="2" t="str">
        <f>"R_FUNC_ESPEC"</f>
        <v>R_FUNC_ESPEC</v>
      </c>
      <c r="G45" s="2" t="str">
        <f>"Serviços de Apoio / Manutenção / Relatórios / Tabelas / Funcionários/Especialidades (R_FUNC_ESPEC)"</f>
        <v>Serviços de Apoio / Manutenção / Relatórios / Tabelas / Funcionários/Especialidades (R_FUNC_ESPEC)</v>
      </c>
    </row>
    <row r="46" spans="1:7" x14ac:dyDescent="0.3">
      <c r="A46" s="1" t="s">
        <v>1</v>
      </c>
      <c r="B46" s="2" t="str">
        <f t="shared" si="0"/>
        <v>SISTEMA DE MANUTENÇÃO</v>
      </c>
      <c r="C46" s="2" t="str">
        <f t="shared" si="1"/>
        <v>SUPRI</v>
      </c>
      <c r="D46" s="2" t="str">
        <f t="shared" si="2"/>
        <v>ACMA</v>
      </c>
      <c r="E46" s="2" t="str">
        <f>"RELATORIO DE FUNCIONARIO"</f>
        <v>RELATORIO DE FUNCIONARIO</v>
      </c>
      <c r="F46" s="2" t="str">
        <f>"R_FUNC"</f>
        <v>R_FUNC</v>
      </c>
      <c r="G46" s="2" t="str">
        <f>"Serviços de Apoio / Manutenção / Relatórios / Tabelas / Funcionários (R_FUNC)"</f>
        <v>Serviços de Apoio / Manutenção / Relatórios / Tabelas / Funcionários (R_FUNC)</v>
      </c>
    </row>
    <row r="47" spans="1:7" x14ac:dyDescent="0.3">
      <c r="A47" s="1" t="s">
        <v>1</v>
      </c>
      <c r="B47" s="2" t="str">
        <f t="shared" si="0"/>
        <v>SISTEMA DE MANUTENÇÃO</v>
      </c>
      <c r="C47" s="2" t="str">
        <f t="shared" si="1"/>
        <v>SUPRI</v>
      </c>
      <c r="D47" s="2" t="str">
        <f t="shared" si="2"/>
        <v>ACMA</v>
      </c>
      <c r="E47" s="2" t="str">
        <f>"RELATORIO DE ABERTURA DE OS"</f>
        <v>RELATORIO DE ABERTURA DE OS</v>
      </c>
      <c r="F47" s="2" t="str">
        <f>"R_ABERTURAOS"</f>
        <v>R_ABERTURAOS</v>
      </c>
      <c r="G47" s="2" t="str">
        <f>"Serviços de Apoio / Manutenção / Ordem Serviço / Termo de Abertura (R_ABERTURAOS)"</f>
        <v>Serviços de Apoio / Manutenção / Ordem Serviço / Termo de Abertura (R_ABERTURAOS)</v>
      </c>
    </row>
    <row r="48" spans="1:7" x14ac:dyDescent="0.3">
      <c r="A48" s="1" t="s">
        <v>1</v>
      </c>
      <c r="B48" s="2" t="str">
        <f t="shared" si="0"/>
        <v>SISTEMA DE MANUTENÇÃO</v>
      </c>
      <c r="C48" s="2" t="str">
        <f t="shared" si="1"/>
        <v>SUPRI</v>
      </c>
      <c r="D48" s="2" t="str">
        <f t="shared" si="2"/>
        <v>ACMA</v>
      </c>
      <c r="E48" s="2" t="str">
        <f>"CADASTRO DO TIPO DE ORDEM DE SERVICO"</f>
        <v>CADASTRO DO TIPO DE ORDEM DE SERVICO</v>
      </c>
      <c r="F48" s="2" t="str">
        <f>"M_TIPO_OS"</f>
        <v>M_TIPO_OS</v>
      </c>
      <c r="G48" s="2" t="str">
        <f>"Serviços de Apoio / Manutenção / Tabelas / Tipo de OS (M_TIPO_OS)"</f>
        <v>Serviços de Apoio / Manutenção / Tabelas / Tipo de OS (M_TIPO_OS)</v>
      </c>
    </row>
    <row r="49" spans="1:7" x14ac:dyDescent="0.3">
      <c r="A49" s="1" t="s">
        <v>1</v>
      </c>
      <c r="B49" s="2" t="str">
        <f t="shared" si="0"/>
        <v>SISTEMA DE MANUTENÇÃO</v>
      </c>
      <c r="C49" s="2" t="str">
        <f t="shared" si="1"/>
        <v>SUPRI</v>
      </c>
      <c r="D49" s="2" t="str">
        <f t="shared" si="2"/>
        <v>ACMA</v>
      </c>
      <c r="E49" s="2" t="str">
        <f>"VENCIMENTO DOS CONTRATOS DE MANUTENÇÃO"</f>
        <v>VENCIMENTO DOS CONTRATOS DE MANUTENÇÃO</v>
      </c>
      <c r="F49" s="2" t="str">
        <f>"R_VCTO_CONTRATO_MANUTENCAO"</f>
        <v>R_VCTO_CONTRATO_MANUTENCAO</v>
      </c>
      <c r="G49" s="2" t="str">
        <f>"Serviços de Apoio / Manutenção / Relatórios / Contratos de Manutenção / Vencimento dos Contratos de Manutenção (R_VCTO_CONTRATO_MANUTENCAO)"</f>
        <v>Serviços de Apoio / Manutenção / Relatórios / Contratos de Manutenção / Vencimento dos Contratos de Manutenção (R_VCTO_CONTRATO_MANUTENCAO)</v>
      </c>
    </row>
    <row r="50" spans="1:7" x14ac:dyDescent="0.3">
      <c r="A50" s="1" t="s">
        <v>1</v>
      </c>
      <c r="B50" s="2" t="str">
        <f t="shared" si="0"/>
        <v>SISTEMA DE MANUTENÇÃO</v>
      </c>
      <c r="C50" s="2" t="str">
        <f t="shared" si="1"/>
        <v>SUPRI</v>
      </c>
      <c r="D50" s="2" t="str">
        <f t="shared" si="2"/>
        <v>ACMA</v>
      </c>
      <c r="E50" s="2" t="str">
        <f>"R_BEM_CONTRATO_MANUTENCAO"</f>
        <v>R_BEM_CONTRATO_MANUTENCAO</v>
      </c>
      <c r="F50" s="2" t="str">
        <f>"R_BEM_CONTRATO_MANUTENCAO"</f>
        <v>R_BEM_CONTRATO_MANUTENCAO</v>
      </c>
      <c r="G50" s="2" t="str">
        <f>"Serviços de Apoio / Manutenção / Relatórios / Contratos de Manutenção / Contratos de Manutenção e Bens Relacionados (R_BEM_CONTRATO_MANUTENCAO)"</f>
        <v>Serviços de Apoio / Manutenção / Relatórios / Contratos de Manutenção / Contratos de Manutenção e Bens Relacionados (R_BEM_CONTRATO_MANUTENCAO)</v>
      </c>
    </row>
    <row r="51" spans="1:7" x14ac:dyDescent="0.3">
      <c r="A51" s="1" t="s">
        <v>1</v>
      </c>
      <c r="B51" s="2" t="str">
        <f t="shared" si="0"/>
        <v>SISTEMA DE MANUTENÇÃO</v>
      </c>
      <c r="C51" s="2" t="str">
        <f t="shared" si="1"/>
        <v>SUPRI</v>
      </c>
      <c r="D51" s="2" t="str">
        <f t="shared" si="2"/>
        <v>ACMA</v>
      </c>
      <c r="E51" s="2" t="str">
        <f>"CONTRATOS DE MANUTENÇÃO"</f>
        <v>CONTRATOS DE MANUTENÇÃO</v>
      </c>
      <c r="F51" s="2" t="str">
        <f>"R_CONTRATO_MANUTENCAO"</f>
        <v>R_CONTRATO_MANUTENCAO</v>
      </c>
      <c r="G51" s="2" t="str">
        <f>"Serviços de Apoio / Manutenção / Relatórios / Contratos de Manutenção / Contratos de Manutenção (R_CONTRATO_MANUTENCAO)"</f>
        <v>Serviços de Apoio / Manutenção / Relatórios / Contratos de Manutenção / Contratos de Manutenção (R_CONTRATO_MANUTENCAO)</v>
      </c>
    </row>
    <row r="52" spans="1:7" x14ac:dyDescent="0.3">
      <c r="A52" s="1" t="s">
        <v>1</v>
      </c>
      <c r="B52" s="2" t="str">
        <f t="shared" si="0"/>
        <v>SISTEMA DE MANUTENÇÃO</v>
      </c>
      <c r="C52" s="2" t="str">
        <f t="shared" si="1"/>
        <v>SUPRI</v>
      </c>
      <c r="D52" s="2" t="str">
        <f t="shared" si="2"/>
        <v>ACMA</v>
      </c>
      <c r="E52" s="2" t="str">
        <f>"CONFIGURAÇÃO OFICINA X CLASSIFICAÇÃO IOB"</f>
        <v>CONFIGURAÇÃO OFICINA X CLASSIFICAÇÃO IOB</v>
      </c>
      <c r="F52" s="2" t="str">
        <f>"M_CONFIG_OFICINA_IOB"</f>
        <v>M_CONFIG_OFICINA_IOB</v>
      </c>
      <c r="G52" s="2" t="str">
        <f>"Serviços de Apoio / Manutenção / Configuração / Oficinas X Classificação IOB (M_CONFIG_OFICINA_IOB)"</f>
        <v>Serviços de Apoio / Manutenção / Configuração / Oficinas X Classificação IOB (M_CONFIG_OFICINA_IOB)</v>
      </c>
    </row>
    <row r="53" spans="1:7" x14ac:dyDescent="0.3">
      <c r="A53" s="1" t="s">
        <v>1</v>
      </c>
      <c r="B53" s="2" t="str">
        <f t="shared" si="0"/>
        <v>SISTEMA DE MANUTENÇÃO</v>
      </c>
      <c r="C53" s="2" t="str">
        <f t="shared" si="1"/>
        <v>SUPRI</v>
      </c>
      <c r="D53" s="2" t="str">
        <f t="shared" si="2"/>
        <v>ACMA</v>
      </c>
      <c r="E53" s="2" t="str">
        <f>"PERSONALIZADOS DO ACMA"</f>
        <v>PERSONALIZADOS DO ACMA</v>
      </c>
      <c r="F53" s="2" t="str">
        <f>"R_PERSON_ACMA"</f>
        <v>R_PERSON_ACMA</v>
      </c>
      <c r="G53" s="2" t="str">
        <f>" ()"</f>
        <v xml:space="preserve"> ()</v>
      </c>
    </row>
    <row r="54" spans="1:7" x14ac:dyDescent="0.3">
      <c r="A54" s="1" t="s">
        <v>1</v>
      </c>
      <c r="B54" s="2" t="str">
        <f t="shared" si="0"/>
        <v>SISTEMA DE MANUTENÇÃO</v>
      </c>
      <c r="C54" s="2" t="str">
        <f t="shared" si="1"/>
        <v>SUPRI</v>
      </c>
      <c r="D54" s="2" t="str">
        <f t="shared" si="2"/>
        <v>ACMA</v>
      </c>
      <c r="E54" s="2" t="str">
        <f>"CADASTRO DE ORDEM DE SERVICO"</f>
        <v>CADASTRO DE ORDEM DE SERVICO</v>
      </c>
      <c r="F54" s="2" t="str">
        <f>"M_SOLICITACAO_OS"</f>
        <v>M_SOLICITACAO_OS</v>
      </c>
      <c r="G54" s="2" t="str">
        <f>"Serviços de Apoio / Manutenção / Ordem Serviço / Cadastro (M_SOLICITACAO_OS)"</f>
        <v>Serviços de Apoio / Manutenção / Ordem Serviço / Cadastro (M_SOLICITACAO_OS)</v>
      </c>
    </row>
    <row r="55" spans="1:7" x14ac:dyDescent="0.3">
      <c r="A55" s="1" t="s">
        <v>1</v>
      </c>
      <c r="B55" s="2" t="str">
        <f t="shared" si="0"/>
        <v>SISTEMA DE MANUTENÇÃO</v>
      </c>
      <c r="C55" s="2" t="str">
        <f t="shared" si="1"/>
        <v>SUPRI</v>
      </c>
      <c r="D55" s="2" t="str">
        <f t="shared" si="2"/>
        <v>ACMA</v>
      </c>
      <c r="E55" s="2" t="str">
        <f>"CADASTRO DE SERVICO"</f>
        <v>CADASTRO DE SERVICO</v>
      </c>
      <c r="F55" s="2" t="str">
        <f>"M_SERV"</f>
        <v>M_SERV</v>
      </c>
      <c r="G55" s="2" t="str">
        <f>" ()"</f>
        <v xml:space="preserve"> ()</v>
      </c>
    </row>
    <row r="56" spans="1:7" x14ac:dyDescent="0.3">
      <c r="A56" s="1" t="s">
        <v>1</v>
      </c>
      <c r="B56" s="2" t="str">
        <f t="shared" si="0"/>
        <v>SISTEMA DE MANUTENÇÃO</v>
      </c>
      <c r="C56" s="2" t="str">
        <f t="shared" si="1"/>
        <v>SUPRI</v>
      </c>
      <c r="D56" s="2" t="str">
        <f t="shared" si="2"/>
        <v>ACMA</v>
      </c>
      <c r="E56" s="2" t="str">
        <f>"CADASTRO DE FUNCIONARIO POR ESPECIALIDAD"</f>
        <v>CADASTRO DE FUNCIONARIO POR ESPECIALIDAD</v>
      </c>
      <c r="F56" s="2" t="str">
        <f>"M_FUNC_ESP"</f>
        <v>M_FUNC_ESP</v>
      </c>
      <c r="G56" s="2" t="str">
        <f>"Serviços de Apoio / Manutenção / Tabelas / Funcionários x Especilidades (M_FUNC_ESP)"</f>
        <v>Serviços de Apoio / Manutenção / Tabelas / Funcionários x Especilidades (M_FUNC_ESP)</v>
      </c>
    </row>
    <row r="57" spans="1:7" x14ac:dyDescent="0.3">
      <c r="A57" s="1" t="s">
        <v>1</v>
      </c>
      <c r="B57" s="2" t="str">
        <f t="shared" si="0"/>
        <v>SISTEMA DE MANUTENÇÃO</v>
      </c>
      <c r="C57" s="2" t="str">
        <f t="shared" si="1"/>
        <v>SUPRI</v>
      </c>
      <c r="D57" s="2" t="str">
        <f t="shared" si="2"/>
        <v>ACMA</v>
      </c>
      <c r="E57" s="2" t="str">
        <f>"CONSULTA FUNCIONARIO POR ESPECIALIDADE"</f>
        <v>CONSULTA FUNCIONARIO POR ESPECIALIDADE</v>
      </c>
      <c r="F57" s="2" t="str">
        <f>"M_ESPEC_FUNC"</f>
        <v>M_ESPEC_FUNC</v>
      </c>
      <c r="G57" s="2" t="str">
        <f>"Serviços de Apoio / Manutenção / Consultas / Especialidade x Funcionários (M_ESPEC_FUNC)"</f>
        <v>Serviços de Apoio / Manutenção / Consultas / Especialidade x Funcionários (M_ESPEC_FUNC)</v>
      </c>
    </row>
    <row r="58" spans="1:7" x14ac:dyDescent="0.3">
      <c r="A58" s="1" t="s">
        <v>1</v>
      </c>
      <c r="B58" s="2" t="str">
        <f t="shared" si="0"/>
        <v>SISTEMA DE MANUTENÇÃO</v>
      </c>
      <c r="C58" s="2" t="str">
        <f t="shared" si="1"/>
        <v>SUPRI</v>
      </c>
      <c r="D58" s="2" t="str">
        <f t="shared" si="2"/>
        <v>ACMA</v>
      </c>
      <c r="E58" s="2" t="str">
        <f>"CADASTRO DE ESPECIALIDADE"</f>
        <v>CADASTRO DE ESPECIALIDADE</v>
      </c>
      <c r="F58" s="2" t="str">
        <f>"M_ESPEC"</f>
        <v>M_ESPEC</v>
      </c>
      <c r="G58" s="2" t="str">
        <f>"Serviços de Apoio / Manutenção / Tabelas / Especialidade (M_ESPEC)"</f>
        <v>Serviços de Apoio / Manutenção / Tabelas / Especialidade (M_ESPEC)</v>
      </c>
    </row>
    <row r="59" spans="1:7" x14ac:dyDescent="0.3">
      <c r="A59" s="1" t="s">
        <v>1</v>
      </c>
      <c r="B59" s="2" t="str">
        <f t="shared" si="0"/>
        <v>SISTEMA DE MANUTENÇÃO</v>
      </c>
      <c r="C59" s="2" t="str">
        <f t="shared" si="1"/>
        <v>SUPRI</v>
      </c>
      <c r="D59" s="2" t="str">
        <f t="shared" si="2"/>
        <v>ACMA</v>
      </c>
      <c r="E59" s="2" t="str">
        <f>"R_GASTO_MANUTENCAO_IOB"</f>
        <v>R_GASTO_MANUTENCAO_IOB</v>
      </c>
      <c r="F59" s="2" t="str">
        <f>"R_GASTO_MANUTENCAO_IOB"</f>
        <v>R_GASTO_MANUTENCAO_IOB</v>
      </c>
      <c r="G59" s="2" t="str">
        <f>"Serviços de Apoio / Manutenção / Relatórios / Gerenciais / Custo de Manutenção por Classificação IOB (R_GASTO_MANUTENCAO_IOB)"</f>
        <v>Serviços de Apoio / Manutenção / Relatórios / Gerenciais / Custo de Manutenção por Classificação IOB (R_GASTO_MANUTENCAO_IOB)</v>
      </c>
    </row>
    <row r="60" spans="1:7" x14ac:dyDescent="0.3">
      <c r="A60" s="1" t="s">
        <v>1</v>
      </c>
      <c r="B60" s="2" t="str">
        <f t="shared" si="0"/>
        <v>SISTEMA DE MANUTENÇÃO</v>
      </c>
      <c r="C60" s="2" t="str">
        <f t="shared" si="1"/>
        <v>SUPRI</v>
      </c>
      <c r="D60" s="2" t="str">
        <f t="shared" si="2"/>
        <v>ACMA</v>
      </c>
      <c r="E60" s="2" t="str">
        <f>"CONFIGURAÇÕES DO SISTEMA DE MANUTENÇÃO"</f>
        <v>CONFIGURAÇÕES DO SISTEMA DE MANUTENÇÃO</v>
      </c>
      <c r="F60" s="2" t="str">
        <f>"M_CONFIG_ACMA"</f>
        <v>M_CONFIG_ACMA</v>
      </c>
      <c r="G60" s="2" t="str">
        <f>"Serviços de Apoio / Manutenção / Configuração / Funcionamento (M_CONFIG_ACMA)"</f>
        <v>Serviços de Apoio / Manutenção / Configuração / Funcionamento (M_CONFIG_ACMA)</v>
      </c>
    </row>
    <row r="61" spans="1:7" x14ac:dyDescent="0.3">
      <c r="A61" s="1" t="s">
        <v>1</v>
      </c>
      <c r="B61" s="2" t="str">
        <f t="shared" si="0"/>
        <v>SISTEMA DE MANUTENÇÃO</v>
      </c>
      <c r="C61" s="2" t="str">
        <f t="shared" si="1"/>
        <v>SUPRI</v>
      </c>
      <c r="D61" s="2" t="str">
        <f t="shared" si="2"/>
        <v>ACMA</v>
      </c>
      <c r="E61" s="2" t="str">
        <f t="shared" ref="E61:E71" si="3">" SOLICITAÇÃO DE SERVIÇO DE MANUTENÇÃO"</f>
        <v xml:space="preserve"> SOLICITAÇÃO DE SERVIÇO DE MANUTENÇÃO</v>
      </c>
      <c r="F61" s="2" t="str">
        <f t="shared" ref="F61:F71" si="4">"M_SOLICITACAO_SERV"</f>
        <v>M_SOLICITACAO_SERV</v>
      </c>
      <c r="G61" s="2" t="str">
        <f>"Clínica e Assistencial / Controle de Infecção Hospitalar / Estoque / Serviços de Manutenção (M_SOLICITACAO_SERV)"</f>
        <v>Clínica e Assistencial / Controle de Infecção Hospitalar / Estoque / Serviços de Manutenção (M_SOLICITACAO_SERV)</v>
      </c>
    </row>
    <row r="62" spans="1:7" x14ac:dyDescent="0.3">
      <c r="A62" s="1" t="s">
        <v>1</v>
      </c>
      <c r="B62" s="2" t="str">
        <f t="shared" si="0"/>
        <v>SISTEMA DE MANUTENÇÃO</v>
      </c>
      <c r="C62" s="2" t="str">
        <f t="shared" si="1"/>
        <v>SUPRI</v>
      </c>
      <c r="D62" s="2" t="str">
        <f t="shared" si="2"/>
        <v>ACMA</v>
      </c>
      <c r="E62" s="2" t="str">
        <f t="shared" si="3"/>
        <v xml:space="preserve"> SOLICITAÇÃO DE SERVIÇO DE MANUTENÇÃO</v>
      </c>
      <c r="F62" s="2" t="str">
        <f t="shared" si="4"/>
        <v>M_SOLICITACAO_SERV</v>
      </c>
      <c r="G62" s="2" t="str">
        <f>"MVSaude / Vendas / Internação / Solicitações / Serviços de Manutenção (M_SOLICITACAO_SERV)"</f>
        <v>MVSaude / Vendas / Internação / Solicitações / Serviços de Manutenção (M_SOLICITACAO_SERV)</v>
      </c>
    </row>
    <row r="63" spans="1:7" x14ac:dyDescent="0.3">
      <c r="A63" s="1" t="s">
        <v>1</v>
      </c>
      <c r="B63" s="2" t="str">
        <f t="shared" si="0"/>
        <v>SISTEMA DE MANUTENÇÃO</v>
      </c>
      <c r="C63" s="2" t="str">
        <f t="shared" si="1"/>
        <v>SUPRI</v>
      </c>
      <c r="D63" s="2" t="str">
        <f t="shared" si="2"/>
        <v>ACMA</v>
      </c>
      <c r="E63" s="2" t="str">
        <f t="shared" si="3"/>
        <v xml:space="preserve"> SOLICITAÇÃO DE SERVIÇO DE MANUTENÇÃO</v>
      </c>
      <c r="F63" s="2" t="str">
        <f t="shared" si="4"/>
        <v>M_SOLICITACAO_SERV</v>
      </c>
      <c r="G63" s="2" t="str">
        <f>"MVSaude / Atendimento / Autorizações de Guias / Internação / Solicitações / Serviços de Manutenção (M_SOLICITACAO_SERV)"</f>
        <v>MVSaude / Atendimento / Autorizações de Guias / Internação / Solicitações / Serviços de Manutenção (M_SOLICITACAO_SERV)</v>
      </c>
    </row>
    <row r="64" spans="1:7" x14ac:dyDescent="0.3">
      <c r="A64" s="1" t="s">
        <v>1</v>
      </c>
      <c r="B64" s="2" t="str">
        <f t="shared" si="0"/>
        <v>SISTEMA DE MANUTENÇÃO</v>
      </c>
      <c r="C64" s="2" t="str">
        <f t="shared" si="1"/>
        <v>SUPRI</v>
      </c>
      <c r="D64" s="2" t="str">
        <f t="shared" si="2"/>
        <v>ACMA</v>
      </c>
      <c r="E64" s="2" t="str">
        <f t="shared" si="3"/>
        <v xml:space="preserve"> SOLICITAÇÃO DE SERVIÇO DE MANUTENÇÃO</v>
      </c>
      <c r="F64" s="2" t="str">
        <f t="shared" si="4"/>
        <v>M_SOLICITACAO_SERV</v>
      </c>
      <c r="G64" s="2" t="str">
        <f>"Serviços de Apoio / Laprod / Solicitações / Serviços de Manutenção (M_SOLICITACAO_SERV)"</f>
        <v>Serviços de Apoio / Laprod / Solicitações / Serviços de Manutenção (M_SOLICITACAO_SERV)</v>
      </c>
    </row>
    <row r="65" spans="1:7" x14ac:dyDescent="0.3">
      <c r="A65" s="1" t="s">
        <v>1</v>
      </c>
      <c r="B65" s="2" t="str">
        <f t="shared" si="0"/>
        <v>SISTEMA DE MANUTENÇÃO</v>
      </c>
      <c r="C65" s="2" t="str">
        <f t="shared" si="1"/>
        <v>SUPRI</v>
      </c>
      <c r="D65" s="2" t="str">
        <f t="shared" si="2"/>
        <v>ACMA</v>
      </c>
      <c r="E65" s="2" t="str">
        <f t="shared" si="3"/>
        <v xml:space="preserve"> SOLICITAÇÃO DE SERVIÇO DE MANUTENÇÃO</v>
      </c>
      <c r="F65" s="2" t="str">
        <f t="shared" si="4"/>
        <v>M_SOLICITACAO_SERV</v>
      </c>
      <c r="G65" s="2" t="str">
        <f>"Serviços de Apoio / Lavanderia e Rouparia / Solicitações / Serviços de Manutenção (M_SOLICITACAO_SERV)"</f>
        <v>Serviços de Apoio / Lavanderia e Rouparia / Solicitações / Serviços de Manutenção (M_SOLICITACAO_SERV)</v>
      </c>
    </row>
    <row r="66" spans="1:7" x14ac:dyDescent="0.3">
      <c r="A66" s="1" t="s">
        <v>1</v>
      </c>
      <c r="B66" s="2" t="str">
        <f t="shared" ref="B66:B129" si="5">"SISTEMA DE MANUTENÇÃO"</f>
        <v>SISTEMA DE MANUTENÇÃO</v>
      </c>
      <c r="C66" s="2" t="str">
        <f t="shared" ref="C66:C129" si="6">"SUPRI"</f>
        <v>SUPRI</v>
      </c>
      <c r="D66" s="2" t="str">
        <f t="shared" ref="D66:D129" si="7">"ACMA"</f>
        <v>ACMA</v>
      </c>
      <c r="E66" s="2" t="str">
        <f t="shared" si="3"/>
        <v xml:space="preserve"> SOLICITAÇÃO DE SERVIÇO DE MANUTENÇÃO</v>
      </c>
      <c r="F66" s="2" t="str">
        <f t="shared" si="4"/>
        <v>M_SOLICITACAO_SERV</v>
      </c>
      <c r="G66" s="2" t="str">
        <f>"Materiais e Logística / Patrimônio / Solicitações / Serviços de Manutenção (M_SOLICITACAO_SERV)"</f>
        <v>Materiais e Logística / Patrimônio / Solicitações / Serviços de Manutenção (M_SOLICITACAO_SERV)</v>
      </c>
    </row>
    <row r="67" spans="1:7" x14ac:dyDescent="0.3">
      <c r="A67" s="1" t="s">
        <v>1</v>
      </c>
      <c r="B67" s="2" t="str">
        <f t="shared" si="5"/>
        <v>SISTEMA DE MANUTENÇÃO</v>
      </c>
      <c r="C67" s="2" t="str">
        <f t="shared" si="6"/>
        <v>SUPRI</v>
      </c>
      <c r="D67" s="2" t="str">
        <f t="shared" si="7"/>
        <v>ACMA</v>
      </c>
      <c r="E67" s="2" t="str">
        <f t="shared" si="3"/>
        <v xml:space="preserve"> SOLICITAÇÃO DE SERVIÇO DE MANUTENÇÃO</v>
      </c>
      <c r="F67" s="2" t="str">
        <f t="shared" si="4"/>
        <v>M_SOLICITACAO_SERV</v>
      </c>
      <c r="G67" s="2" t="str">
        <f>"Serviços de Apoio / Manutenção / Ordem Serviço / Solicitação de Serviço (M_SOLICITACAO_SERV)"</f>
        <v>Serviços de Apoio / Manutenção / Ordem Serviço / Solicitação de Serviço (M_SOLICITACAO_SERV)</v>
      </c>
    </row>
    <row r="68" spans="1:7" x14ac:dyDescent="0.3">
      <c r="A68" s="1" t="s">
        <v>1</v>
      </c>
      <c r="B68" s="2" t="str">
        <f t="shared" si="5"/>
        <v>SISTEMA DE MANUTENÇÃO</v>
      </c>
      <c r="C68" s="2" t="str">
        <f t="shared" si="6"/>
        <v>SUPRI</v>
      </c>
      <c r="D68" s="2" t="str">
        <f t="shared" si="7"/>
        <v>ACMA</v>
      </c>
      <c r="E68" s="2" t="str">
        <f t="shared" si="3"/>
        <v xml:space="preserve"> SOLICITAÇÃO DE SERVIÇO DE MANUTENÇÃO</v>
      </c>
      <c r="F68" s="2" t="str">
        <f t="shared" si="4"/>
        <v>M_SOLICITACAO_SERV</v>
      </c>
      <c r="G68" s="2" t="str">
        <f>"Serviços de Apoio / Central de Materiais Esterilizados / Solicitações / Serviços de Manutenção (M_SOLICITACAO_SERV)"</f>
        <v>Serviços de Apoio / Central de Materiais Esterilizados / Solicitações / Serviços de Manutenção (M_SOLICITACAO_SERV)</v>
      </c>
    </row>
    <row r="69" spans="1:7" x14ac:dyDescent="0.3">
      <c r="A69" s="1" t="s">
        <v>1</v>
      </c>
      <c r="B69" s="2" t="str">
        <f t="shared" si="5"/>
        <v>SISTEMA DE MANUTENÇÃO</v>
      </c>
      <c r="C69" s="2" t="str">
        <f t="shared" si="6"/>
        <v>SUPRI</v>
      </c>
      <c r="D69" s="2" t="str">
        <f t="shared" si="7"/>
        <v>ACMA</v>
      </c>
      <c r="E69" s="2" t="str">
        <f t="shared" si="3"/>
        <v xml:space="preserve"> SOLICITAÇÃO DE SERVIÇO DE MANUTENÇÃO</v>
      </c>
      <c r="F69" s="2" t="str">
        <f t="shared" si="4"/>
        <v>M_SOLICITACAO_SERV</v>
      </c>
      <c r="G69" s="2" t="str">
        <f>"Serviços de Apoio / Nutrição e Dietética / Solicitações / Serviços de Manutenção (M_SOLICITACAO_SERV)"</f>
        <v>Serviços de Apoio / Nutrição e Dietética / Solicitações / Serviços de Manutenção (M_SOLICITACAO_SERV)</v>
      </c>
    </row>
    <row r="70" spans="1:7" x14ac:dyDescent="0.3">
      <c r="A70" s="1" t="s">
        <v>1</v>
      </c>
      <c r="B70" s="2" t="str">
        <f t="shared" si="5"/>
        <v>SISTEMA DE MANUTENÇÃO</v>
      </c>
      <c r="C70" s="2" t="str">
        <f t="shared" si="6"/>
        <v>SUPRI</v>
      </c>
      <c r="D70" s="2" t="str">
        <f t="shared" si="7"/>
        <v>ACMA</v>
      </c>
      <c r="E70" s="2" t="str">
        <f t="shared" si="3"/>
        <v xml:space="preserve"> SOLICITAÇÃO DE SERVIÇO DE MANUTENÇÃO</v>
      </c>
      <c r="F70" s="2" t="str">
        <f t="shared" si="4"/>
        <v>M_SOLICITACAO_SERV</v>
      </c>
      <c r="G70" s="2" t="str">
        <f>"Atendimento / Internação Domiciliar (Home Care) / Solicitações / Serviços de Manutenção (M_SOLICITACAO_SERV)"</f>
        <v>Atendimento / Internação Domiciliar (Home Care) / Solicitações / Serviços de Manutenção (M_SOLICITACAO_SERV)</v>
      </c>
    </row>
    <row r="71" spans="1:7" x14ac:dyDescent="0.3">
      <c r="A71" s="1" t="s">
        <v>1</v>
      </c>
      <c r="B71" s="2" t="str">
        <f t="shared" si="5"/>
        <v>SISTEMA DE MANUTENÇÃO</v>
      </c>
      <c r="C71" s="2" t="str">
        <f t="shared" si="6"/>
        <v>SUPRI</v>
      </c>
      <c r="D71" s="2" t="str">
        <f t="shared" si="7"/>
        <v>ACMA</v>
      </c>
      <c r="E71" s="2" t="str">
        <f t="shared" si="3"/>
        <v xml:space="preserve"> SOLICITAÇÃO DE SERVIÇO DE MANUTENÇÃO</v>
      </c>
      <c r="F71" s="2" t="str">
        <f t="shared" si="4"/>
        <v>M_SOLICITACAO_SERV</v>
      </c>
      <c r="G71" s="2" t="str">
        <f>"MVSaude / Solicitações / Servicos de Manutencao (M_SOLICITACAO_SERV)"</f>
        <v>MVSaude / Solicitações / Servicos de Manutencao (M_SOLICITACAO_SERV)</v>
      </c>
    </row>
    <row r="72" spans="1:7" x14ac:dyDescent="0.3">
      <c r="A72" s="1" t="s">
        <v>1</v>
      </c>
      <c r="B72" s="2" t="str">
        <f t="shared" si="5"/>
        <v>SISTEMA DE MANUTENÇÃO</v>
      </c>
      <c r="C72" s="2" t="str">
        <f t="shared" si="6"/>
        <v>SUPRI</v>
      </c>
      <c r="D72" s="2" t="str">
        <f t="shared" si="7"/>
        <v>ACMA</v>
      </c>
      <c r="E72" s="2" t="str">
        <f>"SERVIÇOS POR FUNCIONÁRIO"</f>
        <v>SERVIÇOS POR FUNCIONÁRIO</v>
      </c>
      <c r="F72" s="2" t="str">
        <f>"R_SERVICO_PERIODO_FUNC"</f>
        <v>R_SERVICO_PERIODO_FUNC</v>
      </c>
      <c r="G72" s="2" t="str">
        <f>"Serviços de Apoio / Manutenção / Relatórios / Serviços / Funcionário (R_SERVICO_PERIODO_FUNC)"</f>
        <v>Serviços de Apoio / Manutenção / Relatórios / Serviços / Funcionário (R_SERVICO_PERIODO_FUNC)</v>
      </c>
    </row>
    <row r="73" spans="1:7" x14ac:dyDescent="0.3">
      <c r="A73" s="1" t="s">
        <v>1</v>
      </c>
      <c r="B73" s="2" t="str">
        <f t="shared" si="5"/>
        <v>SISTEMA DE MANUTENÇÃO</v>
      </c>
      <c r="C73" s="2" t="str">
        <f t="shared" si="6"/>
        <v>SUPRI</v>
      </c>
      <c r="D73" s="2" t="str">
        <f t="shared" si="7"/>
        <v>ACMA</v>
      </c>
      <c r="E73" s="2" t="str">
        <f>"CADASTRO: ESPECIALIDADE"</f>
        <v>CADASTRO: ESPECIALIDADE</v>
      </c>
      <c r="F73" s="2" t="str">
        <f>"C_DIV_PRELIMINAR"</f>
        <v>C_DIV_PRELIMINAR</v>
      </c>
      <c r="G73" s="2" t="str">
        <f>"Serviços de Apoio / Manutenção / Consultas / Gráfico de Distribuição das Manutenções (C_DIV_PRELIMINAR)"</f>
        <v>Serviços de Apoio / Manutenção / Consultas / Gráfico de Distribuição das Manutenções (C_DIV_PRELIMINAR)</v>
      </c>
    </row>
    <row r="74" spans="1:7" x14ac:dyDescent="0.3">
      <c r="A74" s="1" t="s">
        <v>1</v>
      </c>
      <c r="B74" s="2" t="str">
        <f t="shared" si="5"/>
        <v>SISTEMA DE MANUTENÇÃO</v>
      </c>
      <c r="C74" s="2" t="str">
        <f t="shared" si="6"/>
        <v>SUPRI</v>
      </c>
      <c r="D74" s="2" t="str">
        <f t="shared" si="7"/>
        <v>ACMA</v>
      </c>
      <c r="E74" s="2" t="str">
        <f>"CADASTRO: LOCALIDADES"</f>
        <v>CADASTRO: LOCALIDADES</v>
      </c>
      <c r="F74" s="2" t="str">
        <f>"M_LOCALIDADE"</f>
        <v>M_LOCALIDADE</v>
      </c>
      <c r="G74" s="2" t="str">
        <f>"Materiais e Logística / Patrimônio / Tabelas / Cadastro de Localidades (M_LOCALIDADE)"</f>
        <v>Materiais e Logística / Patrimônio / Tabelas / Cadastro de Localidades (M_LOCALIDADE)</v>
      </c>
    </row>
    <row r="75" spans="1:7" x14ac:dyDescent="0.3">
      <c r="A75" s="1" t="s">
        <v>1</v>
      </c>
      <c r="B75" s="2" t="str">
        <f t="shared" si="5"/>
        <v>SISTEMA DE MANUTENÇÃO</v>
      </c>
      <c r="C75" s="2" t="str">
        <f t="shared" si="6"/>
        <v>SUPRI</v>
      </c>
      <c r="D75" s="2" t="str">
        <f t="shared" si="7"/>
        <v>ACMA</v>
      </c>
      <c r="E75" s="2" t="str">
        <f>"CADASTRO: LOCALIDADES"</f>
        <v>CADASTRO: LOCALIDADES</v>
      </c>
      <c r="F75" s="2" t="str">
        <f>"M_LOCALIDADE"</f>
        <v>M_LOCALIDADE</v>
      </c>
      <c r="G75" s="2" t="str">
        <f>"Serviços de Apoio / Manutenção / Tabelas / Localidades (M_LOCALIDADE)"</f>
        <v>Serviços de Apoio / Manutenção / Tabelas / Localidades (M_LOCALIDADE)</v>
      </c>
    </row>
    <row r="76" spans="1:7" x14ac:dyDescent="0.3">
      <c r="A76" s="1" t="s">
        <v>1</v>
      </c>
      <c r="B76" s="2" t="str">
        <f t="shared" si="5"/>
        <v>SISTEMA DE MANUTENÇÃO</v>
      </c>
      <c r="C76" s="2" t="str">
        <f t="shared" si="6"/>
        <v>SUPRI</v>
      </c>
      <c r="D76" s="2" t="str">
        <f t="shared" si="7"/>
        <v>ACMA</v>
      </c>
      <c r="E76" s="2" t="str">
        <f>"CUSTO DE MANUTENÇÃO POR SETOR/PERÍODO"</f>
        <v>CUSTO DE MANUTENÇÃO POR SETOR/PERÍODO</v>
      </c>
      <c r="F76" s="2" t="str">
        <f>"R_GASTO_MANUTENCAO"</f>
        <v>R_GASTO_MANUTENCAO</v>
      </c>
      <c r="G76" s="2" t="str">
        <f>"Serviços de Apoio / Manutenção / Relatórios / Gerenciais / Custo de Manutenção por Setor/Período (R_GASTO_MANUTENCAO)"</f>
        <v>Serviços de Apoio / Manutenção / Relatórios / Gerenciais / Custo de Manutenção por Setor/Período (R_GASTO_MANUTENCAO)</v>
      </c>
    </row>
    <row r="77" spans="1:7" x14ac:dyDescent="0.3">
      <c r="A77" s="1" t="s">
        <v>1</v>
      </c>
      <c r="B77" s="2" t="str">
        <f t="shared" si="5"/>
        <v>SISTEMA DE MANUTENÇÃO</v>
      </c>
      <c r="C77" s="2" t="str">
        <f t="shared" si="6"/>
        <v>SUPRI</v>
      </c>
      <c r="D77" s="2" t="str">
        <f t="shared" si="7"/>
        <v>ACMA</v>
      </c>
      <c r="E77" s="2" t="str">
        <f>"M_ZELA"</f>
        <v>M_ZELA</v>
      </c>
      <c r="F77" s="2" t="str">
        <f>"M_ZELA"</f>
        <v>M_ZELA</v>
      </c>
      <c r="G77" s="2" t="str">
        <f t="shared" ref="G77:G85" si="8">" ()"</f>
        <v xml:space="preserve"> ()</v>
      </c>
    </row>
    <row r="78" spans="1:7" x14ac:dyDescent="0.3">
      <c r="A78" s="1" t="s">
        <v>1</v>
      </c>
      <c r="B78" s="2" t="str">
        <f t="shared" si="5"/>
        <v>SISTEMA DE MANUTENÇÃO</v>
      </c>
      <c r="C78" s="2" t="str">
        <f t="shared" si="6"/>
        <v>SUPRI</v>
      </c>
      <c r="D78" s="2" t="str">
        <f t="shared" si="7"/>
        <v>ACMA</v>
      </c>
      <c r="E78" s="2" t="str">
        <f>"M_SCCV"</f>
        <v>M_SCCV</v>
      </c>
      <c r="F78" s="2" t="str">
        <f>"M_SCCV"</f>
        <v>M_SCCV</v>
      </c>
      <c r="G78" s="2" t="str">
        <f t="shared" si="8"/>
        <v xml:space="preserve"> ()</v>
      </c>
    </row>
    <row r="79" spans="1:7" x14ac:dyDescent="0.3">
      <c r="A79" s="1" t="s">
        <v>1</v>
      </c>
      <c r="B79" s="2" t="str">
        <f t="shared" si="5"/>
        <v>SISTEMA DE MANUTENÇÃO</v>
      </c>
      <c r="C79" s="2" t="str">
        <f t="shared" si="6"/>
        <v>SUPRI</v>
      </c>
      <c r="D79" s="2" t="str">
        <f t="shared" si="7"/>
        <v>ACMA</v>
      </c>
      <c r="E79" s="2" t="str">
        <f>"MN_PBSA"</f>
        <v>MN_PBSA</v>
      </c>
      <c r="F79" s="2" t="str">
        <f>"MN_PBSA"</f>
        <v>MN_PBSA</v>
      </c>
      <c r="G79" s="2" t="str">
        <f t="shared" si="8"/>
        <v xml:space="preserve"> ()</v>
      </c>
    </row>
    <row r="80" spans="1:7" x14ac:dyDescent="0.3">
      <c r="A80" s="1" t="s">
        <v>1</v>
      </c>
      <c r="B80" s="2" t="str">
        <f t="shared" si="5"/>
        <v>SISTEMA DE MANUTENÇÃO</v>
      </c>
      <c r="C80" s="2" t="str">
        <f t="shared" si="6"/>
        <v>SUPRI</v>
      </c>
      <c r="D80" s="2" t="str">
        <f t="shared" si="7"/>
        <v>ACMA</v>
      </c>
      <c r="E80" s="2" t="str">
        <f>"M_FFIS"</f>
        <v>M_FFIS</v>
      </c>
      <c r="F80" s="2" t="str">
        <f>"M_FFIS"</f>
        <v>M_FFIS</v>
      </c>
      <c r="G80" s="2" t="str">
        <f t="shared" si="8"/>
        <v xml:space="preserve"> ()</v>
      </c>
    </row>
    <row r="81" spans="1:7" x14ac:dyDescent="0.3">
      <c r="A81" s="1" t="s">
        <v>1</v>
      </c>
      <c r="B81" s="2" t="str">
        <f t="shared" si="5"/>
        <v>SISTEMA DE MANUTENÇÃO</v>
      </c>
      <c r="C81" s="2" t="str">
        <f t="shared" si="6"/>
        <v>SUPRI</v>
      </c>
      <c r="D81" s="2" t="str">
        <f t="shared" si="7"/>
        <v>ACMA</v>
      </c>
      <c r="E81" s="2" t="str">
        <f>"M_FFAS"</f>
        <v>M_FFAS</v>
      </c>
      <c r="F81" s="2" t="str">
        <f>"M_FFAS"</f>
        <v>M_FFAS</v>
      </c>
      <c r="G81" s="2" t="str">
        <f t="shared" si="8"/>
        <v xml:space="preserve"> ()</v>
      </c>
    </row>
    <row r="82" spans="1:7" x14ac:dyDescent="0.3">
      <c r="A82" s="1" t="s">
        <v>1</v>
      </c>
      <c r="B82" s="2" t="str">
        <f t="shared" si="5"/>
        <v>SISTEMA DE MANUTENÇÃO</v>
      </c>
      <c r="C82" s="2" t="str">
        <f t="shared" si="6"/>
        <v>SUPRI</v>
      </c>
      <c r="D82" s="2" t="str">
        <f t="shared" si="7"/>
        <v>ACMA</v>
      </c>
      <c r="E82" s="2" t="str">
        <f>"M_ADMREP"</f>
        <v>M_ADMREP</v>
      </c>
      <c r="F82" s="2" t="str">
        <f>"M_ADMREP"</f>
        <v>M_ADMREP</v>
      </c>
      <c r="G82" s="2" t="str">
        <f t="shared" si="8"/>
        <v xml:space="preserve"> ()</v>
      </c>
    </row>
    <row r="83" spans="1:7" x14ac:dyDescent="0.3">
      <c r="A83" s="1" t="s">
        <v>1</v>
      </c>
      <c r="B83" s="2" t="str">
        <f t="shared" si="5"/>
        <v>SISTEMA DE MANUTENÇÃO</v>
      </c>
      <c r="C83" s="2" t="str">
        <f t="shared" si="6"/>
        <v>SUPRI</v>
      </c>
      <c r="D83" s="2" t="str">
        <f t="shared" si="7"/>
        <v>ACMA</v>
      </c>
      <c r="E83" s="2" t="str">
        <f>"ADMED.MMB"</f>
        <v>ADMED.MMB</v>
      </c>
      <c r="F83" s="2" t="str">
        <f>"ADMED.MMB"</f>
        <v>ADMED.MMB</v>
      </c>
      <c r="G83" s="2" t="str">
        <f t="shared" si="8"/>
        <v xml:space="preserve"> ()</v>
      </c>
    </row>
    <row r="84" spans="1:7" x14ac:dyDescent="0.3">
      <c r="A84" s="1" t="s">
        <v>1</v>
      </c>
      <c r="B84" s="2" t="str">
        <f t="shared" si="5"/>
        <v>SISTEMA DE MANUTENÇÃO</v>
      </c>
      <c r="C84" s="2" t="str">
        <f t="shared" si="6"/>
        <v>SUPRI</v>
      </c>
      <c r="D84" s="2" t="str">
        <f t="shared" si="7"/>
        <v>ACMA</v>
      </c>
      <c r="E84" s="2" t="str">
        <f>"M_ACPR"</f>
        <v>M_ACPR</v>
      </c>
      <c r="F84" s="2" t="str">
        <f>"M_ACPR"</f>
        <v>M_ACPR</v>
      </c>
      <c r="G84" s="2" t="str">
        <f t="shared" si="8"/>
        <v xml:space="preserve"> ()</v>
      </c>
    </row>
    <row r="85" spans="1:7" x14ac:dyDescent="0.3">
      <c r="A85" s="1" t="s">
        <v>1</v>
      </c>
      <c r="B85" s="2" t="str">
        <f t="shared" si="5"/>
        <v>SISTEMA DE MANUTENÇÃO</v>
      </c>
      <c r="C85" s="2" t="str">
        <f t="shared" si="6"/>
        <v>SUPRI</v>
      </c>
      <c r="D85" s="2" t="str">
        <f t="shared" si="7"/>
        <v>ACMA</v>
      </c>
      <c r="E85" s="2" t="str">
        <f>"M_ACMA"</f>
        <v>M_ACMA</v>
      </c>
      <c r="F85" s="2" t="str">
        <f>"M_ACMA"</f>
        <v>M_ACMA</v>
      </c>
      <c r="G85" s="2" t="str">
        <f t="shared" si="8"/>
        <v xml:space="preserve"> ()</v>
      </c>
    </row>
    <row r="86" spans="1:7" x14ac:dyDescent="0.3">
      <c r="A86" s="1" t="s">
        <v>1</v>
      </c>
      <c r="B86" s="2" t="str">
        <f t="shared" si="5"/>
        <v>SISTEMA DE MANUTENÇÃO</v>
      </c>
      <c r="C86" s="2" t="str">
        <f t="shared" si="6"/>
        <v>SUPRI</v>
      </c>
      <c r="D86" s="2" t="str">
        <f t="shared" si="7"/>
        <v>ACMA</v>
      </c>
      <c r="E86" s="2" t="str">
        <f>"SERVICIOS POR ESPECIALIDAD DEL EMPLEADO"</f>
        <v>SERVICIOS POR ESPECIALIDAD DEL EMPLEADO</v>
      </c>
      <c r="F86" s="2" t="str">
        <f>"R_SERVICO_PERIODO_ESPE"</f>
        <v>R_SERVICO_PERIODO_ESPE</v>
      </c>
      <c r="G86" s="2" t="str">
        <f>"Serviços de Apoio / Manutenção / Relatórios / Serviços / Especialidade (R_SERVICO_PERIODO_ESPE)"</f>
        <v>Serviços de Apoio / Manutenção / Relatórios / Serviços / Especialidade (R_SERVICO_PERIODO_ESPE)</v>
      </c>
    </row>
    <row r="87" spans="1:7" x14ac:dyDescent="0.3">
      <c r="A87" s="1" t="s">
        <v>1</v>
      </c>
      <c r="B87" s="2" t="str">
        <f t="shared" si="5"/>
        <v>SISTEMA DE MANUTENÇÃO</v>
      </c>
      <c r="C87" s="2" t="str">
        <f t="shared" si="6"/>
        <v>SUPRI</v>
      </c>
      <c r="D87" s="2" t="str">
        <f t="shared" si="7"/>
        <v>ACMA</v>
      </c>
      <c r="E87" s="2" t="str">
        <f>"RECEBIMENTO DE SOLICITAÇÕES EXTERNAS"</f>
        <v>RECEBIMENTO DE SOLICITAÇÕES EXTERNAS</v>
      </c>
      <c r="F87" s="2" t="str">
        <f>"M_RECEBE_PREVENTIVA"</f>
        <v>M_RECEBE_PREVENTIVA</v>
      </c>
      <c r="G87" s="2" t="str">
        <f>"Serviços de Apoio / Manutenção / Ordem Serviço / Recebimento de Manutenções do Patrimônio (M_RECEBE_PREVENTIVA)"</f>
        <v>Serviços de Apoio / Manutenção / Ordem Serviço / Recebimento de Manutenções do Patrimônio (M_RECEBE_PREVENTIVA)</v>
      </c>
    </row>
    <row r="88" spans="1:7" x14ac:dyDescent="0.3">
      <c r="A88" s="1" t="s">
        <v>1</v>
      </c>
      <c r="B88" s="2" t="str">
        <f t="shared" si="5"/>
        <v>SISTEMA DE MANUTENÇÃO</v>
      </c>
      <c r="C88" s="2" t="str">
        <f t="shared" si="6"/>
        <v>SUPRI</v>
      </c>
      <c r="D88" s="2" t="str">
        <f t="shared" si="7"/>
        <v>ACMA</v>
      </c>
      <c r="E88" s="2" t="str">
        <f t="shared" ref="E88:E96" si="9">"ORDEM DE SERVIÇO"</f>
        <v>ORDEM DE SERVIÇO</v>
      </c>
      <c r="F88" s="2" t="str">
        <f t="shared" ref="F88:F96" si="10">"C_SOLICITACAO_OS"</f>
        <v>C_SOLICITACAO_OS</v>
      </c>
      <c r="G88" s="2" t="str">
        <f>"Clínica e Assistencial / Controle de Infecção Hospitalar / Consultas / Ordens de Serviço (C_SOLICITACAO_OS)"</f>
        <v>Clínica e Assistencial / Controle de Infecção Hospitalar / Consultas / Ordens de Serviço (C_SOLICITACAO_OS)</v>
      </c>
    </row>
    <row r="89" spans="1:7" x14ac:dyDescent="0.3">
      <c r="A89" s="1" t="s">
        <v>1</v>
      </c>
      <c r="B89" s="2" t="str">
        <f t="shared" si="5"/>
        <v>SISTEMA DE MANUTENÇÃO</v>
      </c>
      <c r="C89" s="2" t="str">
        <f t="shared" si="6"/>
        <v>SUPRI</v>
      </c>
      <c r="D89" s="2" t="str">
        <f t="shared" si="7"/>
        <v>ACMA</v>
      </c>
      <c r="E89" s="2" t="str">
        <f t="shared" si="9"/>
        <v>ORDEM DE SERVIÇO</v>
      </c>
      <c r="F89" s="2" t="str">
        <f t="shared" si="10"/>
        <v>C_SOLICITACAO_OS</v>
      </c>
      <c r="G89" s="2" t="str">
        <f>"MVSaude / Vendas / Internação / Consultas / Ordens de Serviço (C_SOLICITACAO_OS)"</f>
        <v>MVSaude / Vendas / Internação / Consultas / Ordens de Serviço (C_SOLICITACAO_OS)</v>
      </c>
    </row>
    <row r="90" spans="1:7" x14ac:dyDescent="0.3">
      <c r="A90" s="1" t="s">
        <v>1</v>
      </c>
      <c r="B90" s="2" t="str">
        <f t="shared" si="5"/>
        <v>SISTEMA DE MANUTENÇÃO</v>
      </c>
      <c r="C90" s="2" t="str">
        <f t="shared" si="6"/>
        <v>SUPRI</v>
      </c>
      <c r="D90" s="2" t="str">
        <f t="shared" si="7"/>
        <v>ACMA</v>
      </c>
      <c r="E90" s="2" t="str">
        <f t="shared" si="9"/>
        <v>ORDEM DE SERVIÇO</v>
      </c>
      <c r="F90" s="2" t="str">
        <f t="shared" si="10"/>
        <v>C_SOLICITACAO_OS</v>
      </c>
      <c r="G90" s="2" t="str">
        <f>"Faturamento / Faturamento de Convênios e Particulares / Consultas / Ordens de Serviço (C_SOLICITACAO_OS)"</f>
        <v>Faturamento / Faturamento de Convênios e Particulares / Consultas / Ordens de Serviço (C_SOLICITACAO_OS)</v>
      </c>
    </row>
    <row r="91" spans="1:7" x14ac:dyDescent="0.3">
      <c r="A91" s="1" t="s">
        <v>1</v>
      </c>
      <c r="B91" s="2" t="str">
        <f t="shared" si="5"/>
        <v>SISTEMA DE MANUTENÇÃO</v>
      </c>
      <c r="C91" s="2" t="str">
        <f t="shared" si="6"/>
        <v>SUPRI</v>
      </c>
      <c r="D91" s="2" t="str">
        <f t="shared" si="7"/>
        <v>ACMA</v>
      </c>
      <c r="E91" s="2" t="str">
        <f t="shared" si="9"/>
        <v>ORDEM DE SERVIÇO</v>
      </c>
      <c r="F91" s="2" t="str">
        <f t="shared" si="10"/>
        <v>C_SOLICITACAO_OS</v>
      </c>
      <c r="G91" s="2" t="str">
        <f>"MVSaude / Atendimento / Autorizações de Guias / Internação / Consultas / Ordens de Serviço (C_SOLICITACAO_OS)"</f>
        <v>MVSaude / Atendimento / Autorizações de Guias / Internação / Consultas / Ordens de Serviço (C_SOLICITACAO_OS)</v>
      </c>
    </row>
    <row r="92" spans="1:7" x14ac:dyDescent="0.3">
      <c r="A92" s="1" t="s">
        <v>1</v>
      </c>
      <c r="B92" s="2" t="str">
        <f t="shared" si="5"/>
        <v>SISTEMA DE MANUTENÇÃO</v>
      </c>
      <c r="C92" s="2" t="str">
        <f t="shared" si="6"/>
        <v>SUPRI</v>
      </c>
      <c r="D92" s="2" t="str">
        <f t="shared" si="7"/>
        <v>ACMA</v>
      </c>
      <c r="E92" s="2" t="str">
        <f t="shared" si="9"/>
        <v>ORDEM DE SERVIÇO</v>
      </c>
      <c r="F92" s="2" t="str">
        <f t="shared" si="10"/>
        <v>C_SOLICITACAO_OS</v>
      </c>
      <c r="G92" s="2" t="str">
        <f>"Materiais e Logística / Patrimônio / Consultas / Ordens de Serviço (C_SOLICITACAO_OS)"</f>
        <v>Materiais e Logística / Patrimônio / Consultas / Ordens de Serviço (C_SOLICITACAO_OS)</v>
      </c>
    </row>
    <row r="93" spans="1:7" x14ac:dyDescent="0.3">
      <c r="A93" s="1" t="s">
        <v>1</v>
      </c>
      <c r="B93" s="2" t="str">
        <f t="shared" si="5"/>
        <v>SISTEMA DE MANUTENÇÃO</v>
      </c>
      <c r="C93" s="2" t="str">
        <f t="shared" si="6"/>
        <v>SUPRI</v>
      </c>
      <c r="D93" s="2" t="str">
        <f t="shared" si="7"/>
        <v>ACMA</v>
      </c>
      <c r="E93" s="2" t="str">
        <f t="shared" si="9"/>
        <v>ORDEM DE SERVIÇO</v>
      </c>
      <c r="F93" s="2" t="str">
        <f t="shared" si="10"/>
        <v>C_SOLICITACAO_OS</v>
      </c>
      <c r="G93" s="2" t="str">
        <f>"Serviços de Apoio / Manutenção / Consultas / Ordens de Serviço (C_SOLICITACAO_OS)"</f>
        <v>Serviços de Apoio / Manutenção / Consultas / Ordens de Serviço (C_SOLICITACAO_OS)</v>
      </c>
    </row>
    <row r="94" spans="1:7" x14ac:dyDescent="0.3">
      <c r="A94" s="1" t="s">
        <v>1</v>
      </c>
      <c r="B94" s="2" t="str">
        <f t="shared" si="5"/>
        <v>SISTEMA DE MANUTENÇÃO</v>
      </c>
      <c r="C94" s="2" t="str">
        <f t="shared" si="6"/>
        <v>SUPRI</v>
      </c>
      <c r="D94" s="2" t="str">
        <f t="shared" si="7"/>
        <v>ACMA</v>
      </c>
      <c r="E94" s="2" t="str">
        <f t="shared" si="9"/>
        <v>ORDEM DE SERVIÇO</v>
      </c>
      <c r="F94" s="2" t="str">
        <f t="shared" si="10"/>
        <v>C_SOLICITACAO_OS</v>
      </c>
      <c r="G94" s="2" t="str">
        <f>"Controladoria / Custos / Consultas / Ordens de Serviço (C_SOLICITACAO_OS)"</f>
        <v>Controladoria / Custos / Consultas / Ordens de Serviço (C_SOLICITACAO_OS)</v>
      </c>
    </row>
    <row r="95" spans="1:7" x14ac:dyDescent="0.3">
      <c r="A95" s="1" t="s">
        <v>1</v>
      </c>
      <c r="B95" s="2" t="str">
        <f t="shared" si="5"/>
        <v>SISTEMA DE MANUTENÇÃO</v>
      </c>
      <c r="C95" s="2" t="str">
        <f t="shared" si="6"/>
        <v>SUPRI</v>
      </c>
      <c r="D95" s="2" t="str">
        <f t="shared" si="7"/>
        <v>ACMA</v>
      </c>
      <c r="E95" s="2" t="str">
        <f t="shared" si="9"/>
        <v>ORDEM DE SERVIÇO</v>
      </c>
      <c r="F95" s="2" t="str">
        <f t="shared" si="10"/>
        <v>C_SOLICITACAO_OS</v>
      </c>
      <c r="G95" s="2" t="str">
        <f>"Serviços de Apoio / Nutrição e Dietética / Consultas / Ordens de Serviço (C_SOLICITACAO_OS)"</f>
        <v>Serviços de Apoio / Nutrição e Dietética / Consultas / Ordens de Serviço (C_SOLICITACAO_OS)</v>
      </c>
    </row>
    <row r="96" spans="1:7" x14ac:dyDescent="0.3">
      <c r="A96" s="1" t="s">
        <v>1</v>
      </c>
      <c r="B96" s="2" t="str">
        <f t="shared" si="5"/>
        <v>SISTEMA DE MANUTENÇÃO</v>
      </c>
      <c r="C96" s="2" t="str">
        <f t="shared" si="6"/>
        <v>SUPRI</v>
      </c>
      <c r="D96" s="2" t="str">
        <f t="shared" si="7"/>
        <v>ACMA</v>
      </c>
      <c r="E96" s="2" t="str">
        <f t="shared" si="9"/>
        <v>ORDEM DE SERVIÇO</v>
      </c>
      <c r="F96" s="2" t="str">
        <f t="shared" si="10"/>
        <v>C_SOLICITACAO_OS</v>
      </c>
      <c r="G96" s="2" t="str">
        <f>"Atendimento / Internação Domiciliar (Home Care) / Consultas / Ordens de Serviço (C_SOLICITACAO_OS)"</f>
        <v>Atendimento / Internação Domiciliar (Home Care) / Consultas / Ordens de Serviço (C_SOLICITACAO_OS)</v>
      </c>
    </row>
    <row r="97" spans="1:7" x14ac:dyDescent="0.3">
      <c r="A97" s="1" t="s">
        <v>1</v>
      </c>
      <c r="B97" s="2" t="str">
        <f t="shared" si="5"/>
        <v>SISTEMA DE MANUTENÇÃO</v>
      </c>
      <c r="C97" s="2" t="str">
        <f t="shared" si="6"/>
        <v>SUPRI</v>
      </c>
      <c r="D97" s="2" t="str">
        <f t="shared" si="7"/>
        <v>ACMA</v>
      </c>
      <c r="E97" s="2" t="str">
        <f>"RECEBIMENTO DE SOLICITAÇÕES EXTERNAS"</f>
        <v>RECEBIMENTO DE SOLICITAÇÕES EXTERNAS</v>
      </c>
      <c r="F97" s="2" t="str">
        <f>"M_RECEBE_SOL"</f>
        <v>M_RECEBE_SOL</v>
      </c>
      <c r="G97" s="2" t="str">
        <f>"Serviços de Apoio / Manutenção / Ordem Serviço / Recebimento de Solicitações (M_RECEBE_SOL)"</f>
        <v>Serviços de Apoio / Manutenção / Ordem Serviço / Recebimento de Solicitações (M_RECEBE_SOL)</v>
      </c>
    </row>
    <row r="98" spans="1:7" x14ac:dyDescent="0.3">
      <c r="A98" s="1" t="s">
        <v>1</v>
      </c>
      <c r="B98" s="2" t="str">
        <f t="shared" si="5"/>
        <v>SISTEMA DE MANUTENÇÃO</v>
      </c>
      <c r="C98" s="2" t="str">
        <f t="shared" si="6"/>
        <v>SUPRI</v>
      </c>
      <c r="D98" s="2" t="str">
        <f t="shared" si="7"/>
        <v>ACMA</v>
      </c>
      <c r="E98" s="2" t="str">
        <f>"R_SOL_EXTERNA"</f>
        <v>R_SOL_EXTERNA</v>
      </c>
      <c r="F98" s="2" t="str">
        <f>"R_SOL_EXTERNA"</f>
        <v>R_SOL_EXTERNA</v>
      </c>
      <c r="G98" s="2" t="str">
        <f>" ()"</f>
        <v xml:space="preserve"> ()</v>
      </c>
    </row>
    <row r="99" spans="1:7" x14ac:dyDescent="0.3">
      <c r="A99" s="1" t="s">
        <v>1</v>
      </c>
      <c r="B99" s="2" t="str">
        <f t="shared" si="5"/>
        <v>SISTEMA DE MANUTENÇÃO</v>
      </c>
      <c r="C99" s="2" t="str">
        <f t="shared" si="6"/>
        <v>SUPRI</v>
      </c>
      <c r="D99" s="2" t="str">
        <f t="shared" si="7"/>
        <v>ACMA</v>
      </c>
      <c r="E99" s="2" t="str">
        <f>"ORDEM DE SERVIÇO DETALHADA"</f>
        <v>ORDEM DE SERVIÇO DETALHADA</v>
      </c>
      <c r="F99" s="2" t="str">
        <f>"R_ORDEM_SERVICO_DETALHADA"</f>
        <v>R_ORDEM_SERVICO_DETALHADA</v>
      </c>
      <c r="G99" s="2" t="str">
        <f>"Serviços de Apoio / Manutenção / Relatórios / Ordem Servico / Ordem de Serviço Detalhada (R_ORDEM_SERVICO_DETALHADA)"</f>
        <v>Serviços de Apoio / Manutenção / Relatórios / Ordem Servico / Ordem de Serviço Detalhada (R_ORDEM_SERVICO_DETALHADA)</v>
      </c>
    </row>
    <row r="100" spans="1:7" x14ac:dyDescent="0.3">
      <c r="A100" s="1" t="s">
        <v>1</v>
      </c>
      <c r="B100" s="2" t="str">
        <f t="shared" si="5"/>
        <v>SISTEMA DE MANUTENÇÃO</v>
      </c>
      <c r="C100" s="2" t="str">
        <f t="shared" si="6"/>
        <v>SUPRI</v>
      </c>
      <c r="D100" s="2" t="str">
        <f t="shared" si="7"/>
        <v>ACMA</v>
      </c>
      <c r="E100" s="2" t="str">
        <f>"R_GASTO_MANUTENCAO_BENS_ANT"</f>
        <v>R_GASTO_MANUTENCAO_BENS_ANT</v>
      </c>
      <c r="F100" s="2" t="str">
        <f>"R_GASTO_MANUTENCAO_BENS_ANT"</f>
        <v>R_GASTO_MANUTENCAO_BENS_ANT</v>
      </c>
      <c r="G100" s="2" t="str">
        <f t="shared" ref="G100:G106" si="11">" ()"</f>
        <v xml:space="preserve"> ()</v>
      </c>
    </row>
    <row r="101" spans="1:7" x14ac:dyDescent="0.3">
      <c r="A101" s="1" t="s">
        <v>1</v>
      </c>
      <c r="B101" s="2" t="str">
        <f t="shared" si="5"/>
        <v>SISTEMA DE MANUTENÇÃO</v>
      </c>
      <c r="C101" s="2" t="str">
        <f t="shared" si="6"/>
        <v>SUPRI</v>
      </c>
      <c r="D101" s="2" t="str">
        <f t="shared" si="7"/>
        <v>ACMA</v>
      </c>
      <c r="E101" s="2" t="str">
        <f>"R_BEM_CONTRATO_MANUT"</f>
        <v>R_BEM_CONTRATO_MANUT</v>
      </c>
      <c r="F101" s="2" t="str">
        <f>"R_BEM_CONTRATO_MANUT"</f>
        <v>R_BEM_CONTRATO_MANUT</v>
      </c>
      <c r="G101" s="2" t="str">
        <f t="shared" si="11"/>
        <v xml:space="preserve"> ()</v>
      </c>
    </row>
    <row r="102" spans="1:7" x14ac:dyDescent="0.3">
      <c r="A102" s="1" t="s">
        <v>1</v>
      </c>
      <c r="B102" s="2" t="str">
        <f t="shared" si="5"/>
        <v>SISTEMA DE MANUTENÇÃO</v>
      </c>
      <c r="C102" s="2" t="str">
        <f t="shared" si="6"/>
        <v>SUPRI</v>
      </c>
      <c r="D102" s="2" t="str">
        <f t="shared" si="7"/>
        <v>ACMA</v>
      </c>
      <c r="E102" s="2" t="str">
        <f>"M_SOLICITACAO_OS_ANT"</f>
        <v>M_SOLICITACAO_OS_ANT</v>
      </c>
      <c r="F102" s="2" t="str">
        <f>"M_SOLICITACAO_OS_ANT"</f>
        <v>M_SOLICITACAO_OS_ANT</v>
      </c>
      <c r="G102" s="2" t="str">
        <f t="shared" si="11"/>
        <v xml:space="preserve"> ()</v>
      </c>
    </row>
    <row r="103" spans="1:7" x14ac:dyDescent="0.3">
      <c r="A103" s="1" t="s">
        <v>1</v>
      </c>
      <c r="B103" s="2" t="str">
        <f t="shared" si="5"/>
        <v>SISTEMA DE MANUTENÇÃO</v>
      </c>
      <c r="C103" s="2" t="str">
        <f t="shared" si="6"/>
        <v>SUPRI</v>
      </c>
      <c r="D103" s="2" t="str">
        <f t="shared" si="7"/>
        <v>ACMA</v>
      </c>
      <c r="E103" s="2" t="str">
        <f>"M_LOCALIDADEOLD"</f>
        <v>M_LOCALIDADEOLD</v>
      </c>
      <c r="F103" s="2" t="str">
        <f>"M_LOCALIDADEOLD"</f>
        <v>M_LOCALIDADEOLD</v>
      </c>
      <c r="G103" s="2" t="str">
        <f t="shared" si="11"/>
        <v xml:space="preserve"> ()</v>
      </c>
    </row>
    <row r="104" spans="1:7" x14ac:dyDescent="0.3">
      <c r="A104" s="1" t="s">
        <v>1</v>
      </c>
      <c r="B104" s="2" t="str">
        <f t="shared" si="5"/>
        <v>SISTEMA DE MANUTENÇÃO</v>
      </c>
      <c r="C104" s="2" t="str">
        <f t="shared" si="6"/>
        <v>SUPRI</v>
      </c>
      <c r="D104" s="2" t="str">
        <f t="shared" si="7"/>
        <v>ACMA</v>
      </c>
      <c r="E104" s="2" t="str">
        <f>"DEVPORT_1"</f>
        <v>DEVPORT_1</v>
      </c>
      <c r="F104" s="2" t="str">
        <f>"DEVPORT_1"</f>
        <v>DEVPORT_1</v>
      </c>
      <c r="G104" s="2" t="str">
        <f t="shared" si="11"/>
        <v xml:space="preserve"> ()</v>
      </c>
    </row>
    <row r="105" spans="1:7" x14ac:dyDescent="0.3">
      <c r="A105" s="1" t="s">
        <v>1</v>
      </c>
      <c r="B105" s="2" t="str">
        <f t="shared" si="5"/>
        <v>SISTEMA DE MANUTENÇÃO</v>
      </c>
      <c r="C105" s="2" t="str">
        <f t="shared" si="6"/>
        <v>SUPRI</v>
      </c>
      <c r="D105" s="2" t="str">
        <f t="shared" si="7"/>
        <v>ACMA</v>
      </c>
      <c r="E105" s="2" t="str">
        <f>"ACMA_CD"</f>
        <v>ACMA_CD</v>
      </c>
      <c r="F105" s="2" t="str">
        <f>"ACMA_CD"</f>
        <v>ACMA_CD</v>
      </c>
      <c r="G105" s="2" t="str">
        <f t="shared" si="11"/>
        <v xml:space="preserve"> ()</v>
      </c>
    </row>
    <row r="106" spans="1:7" x14ac:dyDescent="0.3">
      <c r="A106" s="1" t="s">
        <v>1</v>
      </c>
      <c r="B106" s="2" t="str">
        <f t="shared" si="5"/>
        <v>SISTEMA DE MANUTENÇÃO</v>
      </c>
      <c r="C106" s="2" t="str">
        <f t="shared" si="6"/>
        <v>SUPRI</v>
      </c>
      <c r="D106" s="2" t="str">
        <f t="shared" si="7"/>
        <v>ACMA</v>
      </c>
      <c r="E106" s="2" t="str">
        <f>"ACMA1"</f>
        <v>ACMA1</v>
      </c>
      <c r="F106" s="2" t="str">
        <f>"ACMA1"</f>
        <v>ACMA1</v>
      </c>
      <c r="G106" s="2" t="str">
        <f t="shared" si="11"/>
        <v xml:space="preserve"> ()</v>
      </c>
    </row>
    <row r="107" spans="1:7" x14ac:dyDescent="0.3">
      <c r="A107" s="1" t="s">
        <v>1</v>
      </c>
      <c r="B107" s="2" t="str">
        <f t="shared" si="5"/>
        <v>SISTEMA DE MANUTENÇÃO</v>
      </c>
      <c r="C107" s="2" t="str">
        <f t="shared" si="6"/>
        <v>SUPRI</v>
      </c>
      <c r="D107" s="2" t="str">
        <f t="shared" si="7"/>
        <v>ACMA</v>
      </c>
      <c r="E107" s="2" t="str">
        <f>"ACMA"</f>
        <v>ACMA</v>
      </c>
      <c r="F107" s="2" t="str">
        <f>"ACMA"</f>
        <v>ACMA</v>
      </c>
      <c r="G107" s="2" t="str">
        <f>"Serviços de Apoio / Manutenção / Relatórios / Personalizados (ACMA)"</f>
        <v>Serviços de Apoio / Manutenção / Relatórios / Personalizados (ACMA)</v>
      </c>
    </row>
    <row r="108" spans="1:7" x14ac:dyDescent="0.3">
      <c r="A108" s="1" t="s">
        <v>1</v>
      </c>
      <c r="B108" s="2" t="str">
        <f t="shared" si="5"/>
        <v>SISTEMA DE MANUTENÇÃO</v>
      </c>
      <c r="C108" s="2" t="str">
        <f t="shared" si="6"/>
        <v>SUPRI</v>
      </c>
      <c r="D108" s="2" t="str">
        <f t="shared" si="7"/>
        <v>ACMA</v>
      </c>
      <c r="E108" s="2" t="str">
        <f>"CUSTO DE MANUTENÇÃO POR BEM PATRIMONIAL"</f>
        <v>CUSTO DE MANUTENÇÃO POR BEM PATRIMONIAL</v>
      </c>
      <c r="F108" s="2" t="str">
        <f>"R_GAST_MANU_BENS"</f>
        <v>R_GAST_MANU_BENS</v>
      </c>
      <c r="G108" s="2" t="str">
        <f>"Serviços de Apoio / Manutenção / Relatórios / Gerenciais / Custo de Manutenção por Bem Patrimonial (R_GAST_MANU_BENS)"</f>
        <v>Serviços de Apoio / Manutenção / Relatórios / Gerenciais / Custo de Manutenção por Bem Patrimonial (R_GAST_MANU_BENS)</v>
      </c>
    </row>
    <row r="109" spans="1:7" x14ac:dyDescent="0.3">
      <c r="A109" s="1" t="s">
        <v>1</v>
      </c>
      <c r="B109" s="2" t="str">
        <f t="shared" si="5"/>
        <v>SISTEMA DE MANUTENÇÃO</v>
      </c>
      <c r="C109" s="2" t="str">
        <f t="shared" si="6"/>
        <v>SUPRI</v>
      </c>
      <c r="D109" s="2" t="str">
        <f t="shared" si="7"/>
        <v>ACMA</v>
      </c>
      <c r="E109" s="2" t="str">
        <f>"WIN_PRINCIPAL - HOSPITAL MV SISTEMAS"</f>
        <v>WIN_PRINCIPAL - HOSPITAL MV SISTEMAS</v>
      </c>
      <c r="F109" s="2" t="str">
        <f>"M_ESCALA_TRAB"</f>
        <v>M_ESCALA_TRAB</v>
      </c>
      <c r="G109" s="2" t="str">
        <f>"Serviços de Apoio / Manutenção / Tabelas / Escalas de Trabalho (M_ESCALA_TRAB)"</f>
        <v>Serviços de Apoio / Manutenção / Tabelas / Escalas de Trabalho (M_ESCALA_TRAB)</v>
      </c>
    </row>
    <row r="110" spans="1:7" x14ac:dyDescent="0.3">
      <c r="A110" s="1" t="s">
        <v>1</v>
      </c>
      <c r="B110" s="2" t="str">
        <f t="shared" si="5"/>
        <v>SISTEMA DE MANUTENÇÃO</v>
      </c>
      <c r="C110" s="2" t="str">
        <f t="shared" si="6"/>
        <v>SUPRI</v>
      </c>
      <c r="D110" s="2" t="str">
        <f t="shared" si="7"/>
        <v>ACMA</v>
      </c>
      <c r="E110" s="2" t="str">
        <f>"CADASTRO DO MOTIVO DO SERVIÇO"</f>
        <v>CADASTRO DO MOTIVO DO SERVIÇO</v>
      </c>
      <c r="F110" s="2" t="str">
        <f>"M_MOTIVO_SERV"</f>
        <v>M_MOTIVO_SERV</v>
      </c>
      <c r="G110" s="2" t="str">
        <f>"Serviços de Apoio / Manutenção / Tabelas / Motivo do Serviço (M_MOTIVO_SERV)"</f>
        <v>Serviços de Apoio / Manutenção / Tabelas / Motivo do Serviço (M_MOTIVO_SERV)</v>
      </c>
    </row>
    <row r="111" spans="1:7" x14ac:dyDescent="0.3">
      <c r="A111" s="1" t="s">
        <v>1</v>
      </c>
      <c r="B111" s="2" t="str">
        <f t="shared" si="5"/>
        <v>SISTEMA DE MANUTENÇÃO</v>
      </c>
      <c r="C111" s="2" t="str">
        <f t="shared" si="6"/>
        <v>SUPRI</v>
      </c>
      <c r="D111" s="2" t="str">
        <f t="shared" si="7"/>
        <v>ACMA</v>
      </c>
      <c r="E111" s="2" t="str">
        <f>"CUSTO DE MANUTENÇÃO POR BEM PATRIMONIAL"</f>
        <v>CUSTO DE MANUTENÇÃO POR BEM PATRIMONIAL</v>
      </c>
      <c r="F111" s="2" t="str">
        <f>"R_GASTO_MANUTENCAO_BENS"</f>
        <v>R_GASTO_MANUTENCAO_BENS</v>
      </c>
      <c r="G111" s="2" t="str">
        <f>" ()"</f>
        <v xml:space="preserve"> ()</v>
      </c>
    </row>
    <row r="112" spans="1:7" x14ac:dyDescent="0.3">
      <c r="A112" s="1" t="s">
        <v>1</v>
      </c>
      <c r="B112" s="2" t="str">
        <f t="shared" si="5"/>
        <v>SISTEMA DE MANUTENÇÃO</v>
      </c>
      <c r="C112" s="2" t="str">
        <f t="shared" si="6"/>
        <v>SUPRI</v>
      </c>
      <c r="D112" s="2" t="str">
        <f t="shared" si="7"/>
        <v>ACMA</v>
      </c>
      <c r="E112" s="2" t="str">
        <f>"ORDEM DE SERVIÇO"</f>
        <v>ORDEM DE SERVIÇO</v>
      </c>
      <c r="F112" s="2" t="str">
        <f>"R_BEM_MANUTENCAO"</f>
        <v>R_BEM_MANUTENCAO</v>
      </c>
      <c r="G112" s="2" t="str">
        <f>"Serviços de Apoio / Manutenção / Relatórios / Ordem Servico / Resumo de Bens e Manutenções (R_BEM_MANUTENCAO)"</f>
        <v>Serviços de Apoio / Manutenção / Relatórios / Ordem Servico / Resumo de Bens e Manutenções (R_BEM_MANUTENCAO)</v>
      </c>
    </row>
    <row r="113" spans="1:7" x14ac:dyDescent="0.3">
      <c r="A113" s="1" t="s">
        <v>1</v>
      </c>
      <c r="B113" s="2" t="str">
        <f t="shared" si="5"/>
        <v>SISTEMA DE MANUTENÇÃO</v>
      </c>
      <c r="C113" s="2" t="str">
        <f t="shared" si="6"/>
        <v>SUPRI</v>
      </c>
      <c r="D113" s="2" t="str">
        <f t="shared" si="7"/>
        <v>ACMA</v>
      </c>
      <c r="E113" s="2" t="str">
        <f>"CADASTRO DE LEITURAS"</f>
        <v>CADASTRO DE LEITURAS</v>
      </c>
      <c r="F113" s="2" t="str">
        <f>"R_CAD_LEITURA"</f>
        <v>R_CAD_LEITURA</v>
      </c>
      <c r="G113" s="2" t="str">
        <f>"Serviços de Apoio / Manutenção / Relatórios / Tabelas / Leituras (R_CAD_LEITURA)"</f>
        <v>Serviços de Apoio / Manutenção / Relatórios / Tabelas / Leituras (R_CAD_LEITURA)</v>
      </c>
    </row>
    <row r="114" spans="1:7" x14ac:dyDescent="0.3">
      <c r="A114" s="1" t="s">
        <v>1</v>
      </c>
      <c r="B114" s="2" t="str">
        <f t="shared" si="5"/>
        <v>SISTEMA DE MANUTENÇÃO</v>
      </c>
      <c r="C114" s="2" t="str">
        <f t="shared" si="6"/>
        <v>SUPRI</v>
      </c>
      <c r="D114" s="2" t="str">
        <f t="shared" si="7"/>
        <v>ACMA</v>
      </c>
      <c r="E114" s="2" t="str">
        <f>"CADASTRO DO CHECK LIST"</f>
        <v>CADASTRO DO CHECK LIST</v>
      </c>
      <c r="F114" s="2" t="str">
        <f>"M_CHECK_LIST"</f>
        <v>M_CHECK_LIST</v>
      </c>
      <c r="G114" s="2" t="str">
        <f>"Serviços de Apoio / Manutenção / Tabelas / Check List (M_CHECK_LIST)"</f>
        <v>Serviços de Apoio / Manutenção / Tabelas / Check List (M_CHECK_LIST)</v>
      </c>
    </row>
    <row r="115" spans="1:7" x14ac:dyDescent="0.3">
      <c r="A115" s="1" t="s">
        <v>1</v>
      </c>
      <c r="B115" s="2" t="str">
        <f t="shared" si="5"/>
        <v>SISTEMA DE MANUTENÇÃO</v>
      </c>
      <c r="C115" s="2" t="str">
        <f t="shared" si="6"/>
        <v>SUPRI</v>
      </c>
      <c r="D115" s="2" t="str">
        <f t="shared" si="7"/>
        <v>ACMA</v>
      </c>
      <c r="E115" s="2" t="str">
        <f>"ORDEM DE SERVIÇO"</f>
        <v>ORDEM DE SERVIÇO</v>
      </c>
      <c r="F115" s="2" t="str">
        <f>"R_ETIQ_MANUTENCAO"</f>
        <v>R_ETIQ_MANUTENCAO</v>
      </c>
      <c r="G115" s="2" t="str">
        <f>"Serviços de Apoio / Manutenção / Relatórios / Etiqueta de Manutenção (R_ETIQ_MANUTENCAO)"</f>
        <v>Serviços de Apoio / Manutenção / Relatórios / Etiqueta de Manutenção (R_ETIQ_MANUTENCAO)</v>
      </c>
    </row>
    <row r="116" spans="1:7" x14ac:dyDescent="0.3">
      <c r="A116" s="1" t="s">
        <v>1</v>
      </c>
      <c r="B116" s="2" t="str">
        <f t="shared" si="5"/>
        <v>SISTEMA DE MANUTENÇÃO</v>
      </c>
      <c r="C116" s="2" t="str">
        <f t="shared" si="6"/>
        <v>SUPRI</v>
      </c>
      <c r="D116" s="2" t="str">
        <f t="shared" si="7"/>
        <v>ACMA</v>
      </c>
      <c r="E116" s="2" t="str">
        <f>"ORDEM DE SERVIÇO RESUMIDA"</f>
        <v>ORDEM DE SERVIÇO RESUMIDA</v>
      </c>
      <c r="F116" s="2" t="str">
        <f>"R_RES_ORDEM_SERVICO"</f>
        <v>R_RES_ORDEM_SERVICO</v>
      </c>
      <c r="G116" s="2" t="str">
        <f>"Serviços de Apoio / Manutenção / Relatórios / Ordem Servico / Ordem de Serviço Resumida (R_RES_ORDEM_SERVICO)"</f>
        <v>Serviços de Apoio / Manutenção / Relatórios / Ordem Servico / Ordem de Serviço Resumida (R_RES_ORDEM_SERVICO)</v>
      </c>
    </row>
    <row r="117" spans="1:7" x14ac:dyDescent="0.3">
      <c r="A117" s="1" t="s">
        <v>1</v>
      </c>
      <c r="B117" s="2" t="str">
        <f t="shared" si="5"/>
        <v>SISTEMA DE MANUTENÇÃO</v>
      </c>
      <c r="C117" s="2" t="str">
        <f t="shared" si="6"/>
        <v>SUPRI</v>
      </c>
      <c r="D117" s="2" t="str">
        <f t="shared" si="7"/>
        <v>ACMA</v>
      </c>
      <c r="E117" s="2" t="str">
        <f>"ACMA_V_TIPO_OS"</f>
        <v>ACMA_V_TIPO_OS</v>
      </c>
      <c r="F117" s="2" t="str">
        <f>"ACMA_V_TIPO_OS"</f>
        <v>ACMA_V_TIPO_OS</v>
      </c>
      <c r="G117" s="2" t="str">
        <f>" ()"</f>
        <v xml:space="preserve"> ()</v>
      </c>
    </row>
    <row r="118" spans="1:7" x14ac:dyDescent="0.3">
      <c r="A118" s="1" t="s">
        <v>1</v>
      </c>
      <c r="B118" s="2" t="str">
        <f t="shared" si="5"/>
        <v>SISTEMA DE MANUTENÇÃO</v>
      </c>
      <c r="C118" s="2" t="str">
        <f t="shared" si="6"/>
        <v>SUPRI</v>
      </c>
      <c r="D118" s="2" t="str">
        <f t="shared" si="7"/>
        <v>ACMA</v>
      </c>
      <c r="E118" s="2" t="str">
        <f>"CONTRATO MANUTENÇÃO"</f>
        <v>CONTRATO MANUTENÇÃO</v>
      </c>
      <c r="F118" s="2" t="str">
        <f>"M_CONTRATO_MANUTENCAO"</f>
        <v>M_CONTRATO_MANUTENCAO</v>
      </c>
      <c r="G118" s="2" t="str">
        <f>"Serviços de Apoio / Manutenção / Tabelas / Contrato Manutenção (M_CONTRATO_MANUTENCAO)"</f>
        <v>Serviços de Apoio / Manutenção / Tabelas / Contrato Manutenção (M_CONTRATO_MANUTENCAO)</v>
      </c>
    </row>
    <row r="119" spans="1:7" x14ac:dyDescent="0.3">
      <c r="A119" s="1" t="s">
        <v>1</v>
      </c>
      <c r="B119" s="2" t="str">
        <f t="shared" si="5"/>
        <v>SISTEMA DE MANUTENÇÃO</v>
      </c>
      <c r="C119" s="2" t="str">
        <f t="shared" si="6"/>
        <v>SUPRI</v>
      </c>
      <c r="D119" s="2" t="str">
        <f t="shared" si="7"/>
        <v>ACMA</v>
      </c>
      <c r="E119" s="2" t="str">
        <f>"LEITURAS"</f>
        <v>LEITURAS</v>
      </c>
      <c r="F119" s="2" t="str">
        <f>"R_CAD_LEITURA.RDF"</f>
        <v>R_CAD_LEITURA.RDF</v>
      </c>
      <c r="G119" s="2" t="str">
        <f t="shared" ref="G119:G141" si="12">" ()"</f>
        <v xml:space="preserve"> ()</v>
      </c>
    </row>
    <row r="120" spans="1:7" x14ac:dyDescent="0.3">
      <c r="A120" s="1" t="s">
        <v>1</v>
      </c>
      <c r="B120" s="2" t="str">
        <f t="shared" si="5"/>
        <v>SISTEMA DE MANUTENÇÃO</v>
      </c>
      <c r="C120" s="2" t="str">
        <f t="shared" si="6"/>
        <v>SUPRI</v>
      </c>
      <c r="D120" s="2" t="str">
        <f t="shared" si="7"/>
        <v>ACMA</v>
      </c>
      <c r="E120" s="2" t="str">
        <f>"SERVIÇOS"</f>
        <v>SERVIÇOS</v>
      </c>
      <c r="F120" s="2" t="str">
        <f>"R_SERVI.RDF"</f>
        <v>R_SERVI.RDF</v>
      </c>
      <c r="G120" s="2" t="str">
        <f t="shared" si="12"/>
        <v xml:space="preserve"> ()</v>
      </c>
    </row>
    <row r="121" spans="1:7" x14ac:dyDescent="0.3">
      <c r="A121" s="1" t="s">
        <v>1</v>
      </c>
      <c r="B121" s="2" t="str">
        <f t="shared" si="5"/>
        <v>SISTEMA DE MANUTENÇÃO</v>
      </c>
      <c r="C121" s="2" t="str">
        <f t="shared" si="6"/>
        <v>SUPRI</v>
      </c>
      <c r="D121" s="2" t="str">
        <f t="shared" si="7"/>
        <v>ACMA</v>
      </c>
      <c r="E121" s="2" t="str">
        <f>"FUNCIONÁRIOS"</f>
        <v>FUNCIONÁRIOS</v>
      </c>
      <c r="F121" s="2" t="str">
        <f>"R_SERVICO_PERIODO_FUNC_SINT"</f>
        <v>R_SERVICO_PERIODO_FUNC_SINT</v>
      </c>
      <c r="G121" s="2" t="str">
        <f t="shared" si="12"/>
        <v xml:space="preserve"> ()</v>
      </c>
    </row>
    <row r="122" spans="1:7" x14ac:dyDescent="0.3">
      <c r="A122" s="1" t="s">
        <v>1</v>
      </c>
      <c r="B122" s="2" t="str">
        <f t="shared" si="5"/>
        <v>SISTEMA DE MANUTENÇÃO</v>
      </c>
      <c r="C122" s="2" t="str">
        <f t="shared" si="6"/>
        <v>SUPRI</v>
      </c>
      <c r="D122" s="2" t="str">
        <f t="shared" si="7"/>
        <v>ACMA</v>
      </c>
      <c r="E122" s="2" t="str">
        <f>"FUNCIONÁRIO"</f>
        <v>FUNCIONÁRIO</v>
      </c>
      <c r="F122" s="2" t="str">
        <f>"R_SERVICO_PERIODO_FUNC.RDF"</f>
        <v>R_SERVICO_PERIODO_FUNC.RDF</v>
      </c>
      <c r="G122" s="2" t="str">
        <f t="shared" si="12"/>
        <v xml:space="preserve"> ()</v>
      </c>
    </row>
    <row r="123" spans="1:7" x14ac:dyDescent="0.3">
      <c r="A123" s="1" t="s">
        <v>1</v>
      </c>
      <c r="B123" s="2" t="str">
        <f t="shared" si="5"/>
        <v>SISTEMA DE MANUTENÇÃO</v>
      </c>
      <c r="C123" s="2" t="str">
        <f t="shared" si="6"/>
        <v>SUPRI</v>
      </c>
      <c r="D123" s="2" t="str">
        <f t="shared" si="7"/>
        <v>ACMA</v>
      </c>
      <c r="E123" s="2" t="str">
        <f>"SETOR / PERÍODO"</f>
        <v>SETOR / PERÍODO</v>
      </c>
      <c r="F123" s="2" t="str">
        <f>"R_SERVICO_PERIODO.RDF"</f>
        <v>R_SERVICO_PERIODO.RDF</v>
      </c>
      <c r="G123" s="2" t="str">
        <f t="shared" si="12"/>
        <v xml:space="preserve"> ()</v>
      </c>
    </row>
    <row r="124" spans="1:7" x14ac:dyDescent="0.3">
      <c r="A124" s="1" t="s">
        <v>1</v>
      </c>
      <c r="B124" s="2" t="str">
        <f t="shared" si="5"/>
        <v>SISTEMA DE MANUTENÇÃO</v>
      </c>
      <c r="C124" s="2" t="str">
        <f t="shared" si="6"/>
        <v>SUPRI</v>
      </c>
      <c r="D124" s="2" t="str">
        <f t="shared" si="7"/>
        <v>ACMA</v>
      </c>
      <c r="E124" s="2" t="str">
        <f>"SETOR / PERÍODO"</f>
        <v>SETOR / PERÍODO</v>
      </c>
      <c r="F124" s="2" t="str">
        <f>"R_SERVICO_PERIODO_SINT"</f>
        <v>R_SERVICO_PERIODO_SINT</v>
      </c>
      <c r="G124" s="2" t="str">
        <f t="shared" si="12"/>
        <v xml:space="preserve"> ()</v>
      </c>
    </row>
    <row r="125" spans="1:7" x14ac:dyDescent="0.3">
      <c r="A125" s="1" t="s">
        <v>1</v>
      </c>
      <c r="B125" s="2" t="str">
        <f t="shared" si="5"/>
        <v>SISTEMA DE MANUTENÇÃO</v>
      </c>
      <c r="C125" s="2" t="str">
        <f t="shared" si="6"/>
        <v>SUPRI</v>
      </c>
      <c r="D125" s="2" t="str">
        <f t="shared" si="7"/>
        <v>ACMA</v>
      </c>
      <c r="E125" s="2" t="str">
        <f>"RESUMO DE BENS E MANUTENÇÕES"</f>
        <v>RESUMO DE BENS E MANUTENÇÕES</v>
      </c>
      <c r="F125" s="2" t="str">
        <f>"R_BEM_MANUTENCAO.RDF"</f>
        <v>R_BEM_MANUTENCAO.RDF</v>
      </c>
      <c r="G125" s="2" t="str">
        <f t="shared" si="12"/>
        <v xml:space="preserve"> ()</v>
      </c>
    </row>
    <row r="126" spans="1:7" x14ac:dyDescent="0.3">
      <c r="A126" s="1" t="s">
        <v>1</v>
      </c>
      <c r="B126" s="2" t="str">
        <f t="shared" si="5"/>
        <v>SISTEMA DE MANUTENÇÃO</v>
      </c>
      <c r="C126" s="2" t="str">
        <f t="shared" si="6"/>
        <v>SUPRI</v>
      </c>
      <c r="D126" s="2" t="str">
        <f t="shared" si="7"/>
        <v>ACMA</v>
      </c>
      <c r="E126" s="2" t="str">
        <f>"ORDEM DE SERVIÇO RESUMIDA"</f>
        <v>ORDEM DE SERVIÇO RESUMIDA</v>
      </c>
      <c r="F126" s="2" t="str">
        <f>"R_RES_ORDEM_SERVICO.RDF"</f>
        <v>R_RES_ORDEM_SERVICO.RDF</v>
      </c>
      <c r="G126" s="2" t="str">
        <f t="shared" si="12"/>
        <v xml:space="preserve"> ()</v>
      </c>
    </row>
    <row r="127" spans="1:7" x14ac:dyDescent="0.3">
      <c r="A127" s="1" t="s">
        <v>1</v>
      </c>
      <c r="B127" s="2" t="str">
        <f t="shared" si="5"/>
        <v>SISTEMA DE MANUTENÇÃO</v>
      </c>
      <c r="C127" s="2" t="str">
        <f t="shared" si="6"/>
        <v>SUPRI</v>
      </c>
      <c r="D127" s="2" t="str">
        <f t="shared" si="7"/>
        <v>ACMA</v>
      </c>
      <c r="E127" s="2" t="str">
        <f>"R_SERVICO_PERIODO_OS_SINT"</f>
        <v>R_SERVICO_PERIODO_OS_SINT</v>
      </c>
      <c r="F127" s="2" t="str">
        <f>"R_SERVICO_PERIODO_OS_SINT"</f>
        <v>R_SERVICO_PERIODO_OS_SINT</v>
      </c>
      <c r="G127" s="2" t="str">
        <f t="shared" si="12"/>
        <v xml:space="preserve"> ()</v>
      </c>
    </row>
    <row r="128" spans="1:7" x14ac:dyDescent="0.3">
      <c r="A128" s="1" t="s">
        <v>1</v>
      </c>
      <c r="B128" s="2" t="str">
        <f t="shared" si="5"/>
        <v>SISTEMA DE MANUTENÇÃO</v>
      </c>
      <c r="C128" s="2" t="str">
        <f t="shared" si="6"/>
        <v>SUPRI</v>
      </c>
      <c r="D128" s="2" t="str">
        <f t="shared" si="7"/>
        <v>ACMA</v>
      </c>
      <c r="E128" s="2" t="str">
        <f>"R_SERV_PER_FUNC_SINT"</f>
        <v>R_SERV_PER_FUNC_SINT</v>
      </c>
      <c r="F128" s="2" t="str">
        <f>"R_SERV_PER_FUNC_SINT"</f>
        <v>R_SERV_PER_FUNC_SINT</v>
      </c>
      <c r="G128" s="2" t="str">
        <f t="shared" si="12"/>
        <v xml:space="preserve"> ()</v>
      </c>
    </row>
    <row r="129" spans="1:7" x14ac:dyDescent="0.3">
      <c r="A129" s="1" t="s">
        <v>1</v>
      </c>
      <c r="B129" s="2" t="str">
        <f t="shared" si="5"/>
        <v>SISTEMA DE MANUTENÇÃO</v>
      </c>
      <c r="C129" s="2" t="str">
        <f t="shared" si="6"/>
        <v>SUPRI</v>
      </c>
      <c r="D129" s="2" t="str">
        <f t="shared" si="7"/>
        <v>ACMA</v>
      </c>
      <c r="E129" s="2" t="str">
        <f>"R_GASTO_MANUTENCAO_SINT"</f>
        <v>R_GASTO_MANUTENCAO_SINT</v>
      </c>
      <c r="F129" s="2" t="str">
        <f>"R_GASTO_MANUTENCAO_SINT"</f>
        <v>R_GASTO_MANUTENCAO_SINT</v>
      </c>
      <c r="G129" s="2" t="str">
        <f t="shared" si="12"/>
        <v xml:space="preserve"> ()</v>
      </c>
    </row>
    <row r="130" spans="1:7" x14ac:dyDescent="0.3">
      <c r="A130" s="1" t="s">
        <v>1</v>
      </c>
      <c r="B130" s="2" t="str">
        <f t="shared" ref="B130:B140" si="13">"SISTEMA DE MANUTENÇÃO"</f>
        <v>SISTEMA DE MANUTENÇÃO</v>
      </c>
      <c r="C130" s="2" t="str">
        <f t="shared" ref="C130:C140" si="14">"SUPRI"</f>
        <v>SUPRI</v>
      </c>
      <c r="D130" s="2" t="str">
        <f t="shared" ref="D130:D140" si="15">"ACMA"</f>
        <v>ACMA</v>
      </c>
      <c r="E130" s="2" t="str">
        <f>"GASTO DE MANUTENÇÃO POR BEM"</f>
        <v>GASTO DE MANUTENÇÃO POR BEM</v>
      </c>
      <c r="F130" s="2" t="str">
        <f>"R_GAST_MANU_BENS_SINT"</f>
        <v>R_GAST_MANU_BENS_SINT</v>
      </c>
      <c r="G130" s="2" t="str">
        <f t="shared" si="12"/>
        <v xml:space="preserve"> ()</v>
      </c>
    </row>
    <row r="131" spans="1:7" x14ac:dyDescent="0.3">
      <c r="A131" s="1" t="s">
        <v>1</v>
      </c>
      <c r="B131" s="2" t="str">
        <f t="shared" si="13"/>
        <v>SISTEMA DE MANUTENÇÃO</v>
      </c>
      <c r="C131" s="2" t="str">
        <f t="shared" si="14"/>
        <v>SUPRI</v>
      </c>
      <c r="D131" s="2" t="str">
        <f t="shared" si="15"/>
        <v>ACMA</v>
      </c>
      <c r="E131" s="2" t="str">
        <f>"RELATORIO DE ESPECIALIDADES"</f>
        <v>RELATORIO DE ESPECIALIDADES</v>
      </c>
      <c r="F131" s="2" t="str">
        <f>"R_SERVICO_PERIODO_ESPE_SINT"</f>
        <v>R_SERVICO_PERIODO_ESPE_SINT</v>
      </c>
      <c r="G131" s="2" t="str">
        <f t="shared" si="12"/>
        <v xml:space="preserve"> ()</v>
      </c>
    </row>
    <row r="132" spans="1:7" x14ac:dyDescent="0.3">
      <c r="A132" s="1" t="s">
        <v>1</v>
      </c>
      <c r="B132" s="2" t="str">
        <f t="shared" si="13"/>
        <v>SISTEMA DE MANUTENÇÃO</v>
      </c>
      <c r="C132" s="2" t="str">
        <f t="shared" si="14"/>
        <v>SUPRI</v>
      </c>
      <c r="D132" s="2" t="str">
        <f t="shared" si="15"/>
        <v>ACMA</v>
      </c>
      <c r="E132" s="2" t="str">
        <f>"RELATORIO DE ESPECIALIDADE SINTETICO"</f>
        <v>RELATORIO DE ESPECIALIDADE SINTETICO</v>
      </c>
      <c r="F132" s="2" t="str">
        <f>"R_SERVICO_PERIODO_ESP_SINT"</f>
        <v>R_SERVICO_PERIODO_ESP_SINT</v>
      </c>
      <c r="G132" s="2" t="str">
        <f t="shared" si="12"/>
        <v xml:space="preserve"> ()</v>
      </c>
    </row>
    <row r="133" spans="1:7" x14ac:dyDescent="0.3">
      <c r="A133" s="1" t="s">
        <v>1</v>
      </c>
      <c r="B133" s="2" t="str">
        <f t="shared" si="13"/>
        <v>SISTEMA DE MANUTENÇÃO</v>
      </c>
      <c r="C133" s="2" t="str">
        <f t="shared" si="14"/>
        <v>SUPRI</v>
      </c>
      <c r="D133" s="2" t="str">
        <f t="shared" si="15"/>
        <v>ACMA</v>
      </c>
      <c r="E133" s="2" t="str">
        <f>"ETIQUETA DE MANUTENÇÃO"</f>
        <v>ETIQUETA DE MANUTENÇÃO</v>
      </c>
      <c r="F133" s="2" t="str">
        <f>"R_ETIQ_MANUTENCAO.RDF"</f>
        <v>R_ETIQ_MANUTENCAO.RDF</v>
      </c>
      <c r="G133" s="2" t="str">
        <f t="shared" si="12"/>
        <v xml:space="preserve"> ()</v>
      </c>
    </row>
    <row r="134" spans="1:7" x14ac:dyDescent="0.3">
      <c r="A134" s="1" t="s">
        <v>1</v>
      </c>
      <c r="B134" s="2" t="str">
        <f t="shared" si="13"/>
        <v>SISTEMA DE MANUTENÇÃO</v>
      </c>
      <c r="C134" s="2" t="str">
        <f t="shared" si="14"/>
        <v>SUPRI</v>
      </c>
      <c r="D134" s="2" t="str">
        <f t="shared" si="15"/>
        <v>ACMA</v>
      </c>
      <c r="E134" s="2" t="str">
        <f>"CONTRATOS DE MANUTENÇÃO E BENS LISTADOS"</f>
        <v>CONTRATOS DE MANUTENÇÃO E BENS LISTADOS</v>
      </c>
      <c r="F134" s="2" t="str">
        <f>"R_BEM_CONTRATO_MANUT.RDF"</f>
        <v>R_BEM_CONTRATO_MANUT.RDF</v>
      </c>
      <c r="G134" s="2" t="str">
        <f t="shared" si="12"/>
        <v xml:space="preserve"> ()</v>
      </c>
    </row>
    <row r="135" spans="1:7" x14ac:dyDescent="0.3">
      <c r="A135" s="1" t="s">
        <v>1</v>
      </c>
      <c r="B135" s="2" t="str">
        <f t="shared" si="13"/>
        <v>SISTEMA DE MANUTENÇÃO</v>
      </c>
      <c r="C135" s="2" t="str">
        <f t="shared" si="14"/>
        <v>SUPRI</v>
      </c>
      <c r="D135" s="2" t="str">
        <f t="shared" si="15"/>
        <v>ACMA</v>
      </c>
      <c r="E135" s="2" t="str">
        <f>"CONTRATOS DE MANUTENÇÃO"</f>
        <v>CONTRATOS DE MANUTENÇÃO</v>
      </c>
      <c r="F135" s="2" t="str">
        <f>"R_CONTRATO_MANUTENCAO_SINT"</f>
        <v>R_CONTRATO_MANUTENCAO_SINT</v>
      </c>
      <c r="G135" s="2" t="str">
        <f t="shared" si="12"/>
        <v xml:space="preserve"> ()</v>
      </c>
    </row>
    <row r="136" spans="1:7" x14ac:dyDescent="0.3">
      <c r="A136" s="1" t="s">
        <v>1</v>
      </c>
      <c r="B136" s="2" t="str">
        <f t="shared" si="13"/>
        <v>SISTEMA DE MANUTENÇÃO</v>
      </c>
      <c r="C136" s="2" t="str">
        <f t="shared" si="14"/>
        <v>SUPRI</v>
      </c>
      <c r="D136" s="2" t="str">
        <f t="shared" si="15"/>
        <v>ACMA</v>
      </c>
      <c r="E136" s="2" t="str">
        <f>"CONTRATO DE MANUTENÇÃO"</f>
        <v>CONTRATO DE MANUTENÇÃO</v>
      </c>
      <c r="F136" s="2" t="str">
        <f>"R_CONTRATO_MANUTENCAO.RDF"</f>
        <v>R_CONTRATO_MANUTENCAO.RDF</v>
      </c>
      <c r="G136" s="2" t="str">
        <f t="shared" si="12"/>
        <v xml:space="preserve"> ()</v>
      </c>
    </row>
    <row r="137" spans="1:7" x14ac:dyDescent="0.3">
      <c r="A137" s="1" t="s">
        <v>1</v>
      </c>
      <c r="B137" s="2" t="str">
        <f t="shared" si="13"/>
        <v>SISTEMA DE MANUTENÇÃO</v>
      </c>
      <c r="C137" s="2" t="str">
        <f t="shared" si="14"/>
        <v>SUPRI</v>
      </c>
      <c r="D137" s="2" t="str">
        <f t="shared" si="15"/>
        <v>ACMA</v>
      </c>
      <c r="E137" s="2" t="str">
        <f>"CUSTO DE MANUTENÇÃO POR CLASIFICAÇÃO IOB"</f>
        <v>CUSTO DE MANUTENÇÃO POR CLASIFICAÇÃO IOB</v>
      </c>
      <c r="F137" s="2" t="str">
        <f>"R_GASTO_MANUTENCAO_IOB_SINT"</f>
        <v>R_GASTO_MANUTENCAO_IOB_SINT</v>
      </c>
      <c r="G137" s="2" t="str">
        <f t="shared" si="12"/>
        <v xml:space="preserve"> ()</v>
      </c>
    </row>
    <row r="138" spans="1:7" x14ac:dyDescent="0.3">
      <c r="A138" s="1" t="s">
        <v>1</v>
      </c>
      <c r="B138" s="2" t="str">
        <f t="shared" si="13"/>
        <v>SISTEMA DE MANUTENÇÃO</v>
      </c>
      <c r="C138" s="2" t="str">
        <f t="shared" si="14"/>
        <v>SUPRI</v>
      </c>
      <c r="D138" s="2" t="str">
        <f t="shared" si="15"/>
        <v>ACMA</v>
      </c>
      <c r="E138" s="2" t="str">
        <f>"CUSTO DE MANUTENÇÃO POR CLASIFICAÇÃO IOB"</f>
        <v>CUSTO DE MANUTENÇÃO POR CLASIFICAÇÃO IOB</v>
      </c>
      <c r="F138" s="2" t="str">
        <f>"R_GASTO_MANUTENCAO_IOB.RDF"</f>
        <v>R_GASTO_MANUTENCAO_IOB.RDF</v>
      </c>
      <c r="G138" s="2" t="str">
        <f t="shared" si="12"/>
        <v xml:space="preserve"> ()</v>
      </c>
    </row>
    <row r="139" spans="1:7" x14ac:dyDescent="0.3">
      <c r="A139" s="1" t="s">
        <v>1</v>
      </c>
      <c r="B139" s="2" t="str">
        <f t="shared" si="13"/>
        <v>SISTEMA DE MANUTENÇÃO</v>
      </c>
      <c r="C139" s="2" t="str">
        <f t="shared" si="14"/>
        <v>SUPRI</v>
      </c>
      <c r="D139" s="2" t="str">
        <f t="shared" si="15"/>
        <v>ACMA</v>
      </c>
      <c r="E139" s="2" t="str">
        <f>"CUSTO DE MANUTENÇÃO POR BEM PATRIMONIAL"</f>
        <v>CUSTO DE MANUTENÇÃO POR BEM PATRIMONIAL</v>
      </c>
      <c r="F139" s="2" t="str">
        <f>"R_GAST_MANU_BENS.RDF"</f>
        <v>R_GAST_MANU_BENS.RDF</v>
      </c>
      <c r="G139" s="2" t="str">
        <f t="shared" si="12"/>
        <v xml:space="preserve"> ()</v>
      </c>
    </row>
    <row r="140" spans="1:7" x14ac:dyDescent="0.3">
      <c r="A140" s="1" t="s">
        <v>1</v>
      </c>
      <c r="B140" s="2" t="str">
        <f t="shared" si="13"/>
        <v>SISTEMA DE MANUTENÇÃO</v>
      </c>
      <c r="C140" s="2" t="str">
        <f t="shared" si="14"/>
        <v>SUPRI</v>
      </c>
      <c r="D140" s="2" t="str">
        <f t="shared" si="15"/>
        <v>ACMA</v>
      </c>
      <c r="E140" s="2" t="str">
        <f>"CUSTO DE MANUTENÇÃO POR SETOR/PERÍODO"</f>
        <v>CUSTO DE MANUTENÇÃO POR SETOR/PERÍODO</v>
      </c>
      <c r="F140" s="2" t="str">
        <f>"R_GASTO_MANUTENCAO.RDF"</f>
        <v>R_GASTO_MANUTENCAO.RDF</v>
      </c>
      <c r="G140" s="2" t="str">
        <f t="shared" si="12"/>
        <v xml:space="preserve"> ()</v>
      </c>
    </row>
    <row r="141" spans="1:7" x14ac:dyDescent="0.3">
      <c r="A141" s="1" t="s">
        <v>1</v>
      </c>
      <c r="B141" s="2" t="str">
        <f t="shared" ref="B141:B204" si="16">"SISTEMA DE  CONTROLE DE PATRIMONIO"</f>
        <v>SISTEMA DE  CONTROLE DE PATRIMONIO</v>
      </c>
      <c r="C141" s="2" t="str">
        <f t="shared" ref="C141:C204" si="17">"CONTR"</f>
        <v>CONTR</v>
      </c>
      <c r="D141" s="2" t="str">
        <f t="shared" ref="D141:D204" si="18">"ACPR"</f>
        <v>ACPR</v>
      </c>
      <c r="E141" s="2" t="str">
        <f>"RELATÓRIO DE BENS INCONSISTENTES"</f>
        <v>RELATÓRIO DE BENS INCONSISTENTES</v>
      </c>
      <c r="F141" s="2" t="str">
        <f>"R_INVENTARIO_PATR.RDF"</f>
        <v>R_INVENTARIO_PATR.RDF</v>
      </c>
      <c r="G141" s="2" t="str">
        <f t="shared" si="12"/>
        <v xml:space="preserve"> ()</v>
      </c>
    </row>
    <row r="142" spans="1:7" x14ac:dyDescent="0.3">
      <c r="A142" s="1" t="s">
        <v>1</v>
      </c>
      <c r="B142" s="2" t="str">
        <f t="shared" si="16"/>
        <v>SISTEMA DE  CONTROLE DE PATRIMONIO</v>
      </c>
      <c r="C142" s="2" t="str">
        <f t="shared" si="17"/>
        <v>CONTR</v>
      </c>
      <c r="D142" s="2" t="str">
        <f t="shared" si="18"/>
        <v>ACPR</v>
      </c>
      <c r="E142" s="2" t="str">
        <f>"CENTRAL DO ATIVO"</f>
        <v>CENTRAL DO ATIVO</v>
      </c>
      <c r="F142" s="2" t="str">
        <f>"M_CENTRAL_ATIVO"</f>
        <v>M_CENTRAL_ATIVO</v>
      </c>
      <c r="G142" s="2" t="str">
        <f>"Materiais e Logística / Patrimônio / Gerenciamento / Central do Ativo (M_CENTRAL_ATIVO)"</f>
        <v>Materiais e Logística / Patrimônio / Gerenciamento / Central do Ativo (M_CENTRAL_ATIVO)</v>
      </c>
    </row>
    <row r="143" spans="1:7" x14ac:dyDescent="0.3">
      <c r="A143" s="1" t="s">
        <v>1</v>
      </c>
      <c r="B143" s="2" t="str">
        <f t="shared" si="16"/>
        <v>SISTEMA DE  CONTROLE DE PATRIMONIO</v>
      </c>
      <c r="C143" s="2" t="str">
        <f t="shared" si="17"/>
        <v>CONTR</v>
      </c>
      <c r="D143" s="2" t="str">
        <f t="shared" si="18"/>
        <v>ACPR</v>
      </c>
      <c r="E143" s="2" t="str">
        <f>"RELATÓRIO DE POSIÇÃO PATRIMONIAL"</f>
        <v>RELATÓRIO DE POSIÇÃO PATRIMONIAL</v>
      </c>
      <c r="F143" s="2" t="str">
        <f>"R_POSICAO_PATRIMONIO.RDF"</f>
        <v>R_POSICAO_PATRIMONIO.RDF</v>
      </c>
      <c r="G143" s="2" t="str">
        <f>" ()"</f>
        <v xml:space="preserve"> ()</v>
      </c>
    </row>
    <row r="144" spans="1:7" x14ac:dyDescent="0.3">
      <c r="A144" s="1" t="s">
        <v>1</v>
      </c>
      <c r="B144" s="2" t="str">
        <f t="shared" si="16"/>
        <v>SISTEMA DE  CONTROLE DE PATRIMONIO</v>
      </c>
      <c r="C144" s="2" t="str">
        <f t="shared" si="17"/>
        <v>CONTR</v>
      </c>
      <c r="D144" s="2" t="str">
        <f t="shared" si="18"/>
        <v>ACPR</v>
      </c>
      <c r="E144" s="2" t="str">
        <f>"R_PLANILHA_CONTAGEM"</f>
        <v>R_PLANILHA_CONTAGEM</v>
      </c>
      <c r="F144" s="2" t="str">
        <f>"R_PLANILHA_CONTAGEM"</f>
        <v>R_PLANILHA_CONTAGEM</v>
      </c>
      <c r="G144" s="2" t="str">
        <f>" ()"</f>
        <v xml:space="preserve"> ()</v>
      </c>
    </row>
    <row r="145" spans="1:7" x14ac:dyDescent="0.3">
      <c r="A145" s="1" t="s">
        <v>1</v>
      </c>
      <c r="B145" s="2" t="str">
        <f t="shared" si="16"/>
        <v>SISTEMA DE  CONTROLE DE PATRIMONIO</v>
      </c>
      <c r="C145" s="2" t="str">
        <f t="shared" si="17"/>
        <v>CONTR</v>
      </c>
      <c r="D145" s="2" t="str">
        <f t="shared" si="18"/>
        <v>ACPR</v>
      </c>
      <c r="E145" s="2" t="str">
        <f>"TRANSFERÊNCIA DE BENS"</f>
        <v>TRANSFERÊNCIA DE BENS</v>
      </c>
      <c r="F145" s="2" t="str">
        <f>"TRANSFERE_BEM"</f>
        <v>TRANSFERE_BEM</v>
      </c>
      <c r="G145" s="2" t="str">
        <f>"Materiais e Logística / Patrimônio / Inventário / Movimentação de Bens (TRANSFERE_BEM)"</f>
        <v>Materiais e Logística / Patrimônio / Inventário / Movimentação de Bens (TRANSFERE_BEM)</v>
      </c>
    </row>
    <row r="146" spans="1:7" x14ac:dyDescent="0.3">
      <c r="A146" s="1" t="s">
        <v>1</v>
      </c>
      <c r="B146" s="2" t="str">
        <f t="shared" si="16"/>
        <v>SISTEMA DE  CONTROLE DE PATRIMONIO</v>
      </c>
      <c r="C146" s="2" t="str">
        <f t="shared" si="17"/>
        <v>CONTR</v>
      </c>
      <c r="D146" s="2" t="str">
        <f t="shared" si="18"/>
        <v>ACPR</v>
      </c>
      <c r="E146" s="2" t="str">
        <f>"TRANSFERÊNCIA DE BENS"</f>
        <v>TRANSFERÊNCIA DE BENS</v>
      </c>
      <c r="F146" s="2" t="str">
        <f>"TRANSFERE_BEM"</f>
        <v>TRANSFERE_BEM</v>
      </c>
      <c r="G146" s="2" t="str">
        <f>"Serviços de Apoio / Central de Materiais Esterilizados / Consultas / Movimentação de Bens (TRANSFERE_BEM)"</f>
        <v>Serviços de Apoio / Central de Materiais Esterilizados / Consultas / Movimentação de Bens (TRANSFERE_BEM)</v>
      </c>
    </row>
    <row r="147" spans="1:7" x14ac:dyDescent="0.3">
      <c r="A147" s="1" t="s">
        <v>1</v>
      </c>
      <c r="B147" s="2" t="str">
        <f t="shared" si="16"/>
        <v>SISTEMA DE  CONTROLE DE PATRIMONIO</v>
      </c>
      <c r="C147" s="2" t="str">
        <f t="shared" si="17"/>
        <v>CONTR</v>
      </c>
      <c r="D147" s="2" t="str">
        <f t="shared" si="18"/>
        <v>ACPR</v>
      </c>
      <c r="E147" s="2" t="str">
        <f>"REL. DELOCALIDADES / SETOR"</f>
        <v>REL. DELOCALIDADES / SETOR</v>
      </c>
      <c r="F147" s="2" t="str">
        <f>"R_SETOR_LOCALIDADE.RDF"</f>
        <v>R_SETOR_LOCALIDADE.RDF</v>
      </c>
      <c r="G147" s="2" t="str">
        <f>" ()"</f>
        <v xml:space="preserve"> ()</v>
      </c>
    </row>
    <row r="148" spans="1:7" x14ac:dyDescent="0.3">
      <c r="A148" s="1" t="s">
        <v>1</v>
      </c>
      <c r="B148" s="2" t="str">
        <f t="shared" si="16"/>
        <v>SISTEMA DE  CONTROLE DE PATRIMONIO</v>
      </c>
      <c r="C148" s="2" t="str">
        <f t="shared" si="17"/>
        <v>CONTR</v>
      </c>
      <c r="D148" s="2" t="str">
        <f t="shared" si="18"/>
        <v>ACPR</v>
      </c>
      <c r="E148" s="2" t="str">
        <f>"RELATÓRIO DE RAZÃO PATRIMONIAL"</f>
        <v>RELATÓRIO DE RAZÃO PATRIMONIAL</v>
      </c>
      <c r="F148" s="2" t="str">
        <f>"R_RAZAO_PATRIMONIAL"</f>
        <v>R_RAZAO_PATRIMONIAL</v>
      </c>
      <c r="G148" s="2" t="str">
        <f>"Materiais e Logística / Patrimônio / Relatórios / Gerenciais / Relatório de Razão Auxiliar (R_RAZAO_PATRIMONIAL)"</f>
        <v>Materiais e Logística / Patrimônio / Relatórios / Gerenciais / Relatório de Razão Auxiliar (R_RAZAO_PATRIMONIAL)</v>
      </c>
    </row>
    <row r="149" spans="1:7" x14ac:dyDescent="0.3">
      <c r="A149" s="1" t="s">
        <v>1</v>
      </c>
      <c r="B149" s="2" t="str">
        <f t="shared" si="16"/>
        <v>SISTEMA DE  CONTROLE DE PATRIMONIO</v>
      </c>
      <c r="C149" s="2" t="str">
        <f t="shared" si="17"/>
        <v>CONTR</v>
      </c>
      <c r="D149" s="2" t="str">
        <f t="shared" si="18"/>
        <v>ACPR</v>
      </c>
      <c r="E149" s="2" t="str">
        <f>"ACPR_DEPRECIACAO1.OGD"</f>
        <v>ACPR_DEPRECIACAO1.OGD</v>
      </c>
      <c r="F149" s="2" t="str">
        <f>"ACPR_DEPRECIACAO1.OGD"</f>
        <v>ACPR_DEPRECIACAO1.OGD</v>
      </c>
      <c r="G149" s="2" t="str">
        <f>" ()"</f>
        <v xml:space="preserve"> ()</v>
      </c>
    </row>
    <row r="150" spans="1:7" x14ac:dyDescent="0.3">
      <c r="A150" s="1" t="s">
        <v>1</v>
      </c>
      <c r="B150" s="2" t="str">
        <f t="shared" si="16"/>
        <v>SISTEMA DE  CONTROLE DE PATRIMONIO</v>
      </c>
      <c r="C150" s="2" t="str">
        <f t="shared" si="17"/>
        <v>CONTR</v>
      </c>
      <c r="D150" s="2" t="str">
        <f t="shared" si="18"/>
        <v>ACPR</v>
      </c>
      <c r="E150" s="2" t="str">
        <f>"IMPORTACAO DE BENS"</f>
        <v>IMPORTACAO DE BENS</v>
      </c>
      <c r="F150" s="2" t="str">
        <f>"O_IMPORTA_BENS"</f>
        <v>O_IMPORTA_BENS</v>
      </c>
      <c r="G150" s="2" t="str">
        <f>"Materiais e Logística / Patrimônio / Gerenciamento / Importação do Cadastro de Bens (O_IMPORTA_BENS)"</f>
        <v>Materiais e Logística / Patrimônio / Gerenciamento / Importação do Cadastro de Bens (O_IMPORTA_BENS)</v>
      </c>
    </row>
    <row r="151" spans="1:7" x14ac:dyDescent="0.3">
      <c r="A151" s="1" t="s">
        <v>1</v>
      </c>
      <c r="B151" s="2" t="str">
        <f t="shared" si="16"/>
        <v>SISTEMA DE  CONTROLE DE PATRIMONIO</v>
      </c>
      <c r="C151" s="2" t="str">
        <f t="shared" si="17"/>
        <v>CONTR</v>
      </c>
      <c r="D151" s="2" t="str">
        <f t="shared" si="18"/>
        <v>ACPR</v>
      </c>
      <c r="E151" s="2" t="str">
        <f>"CADASTRO DAS MARCAS DOS BENS"</f>
        <v>CADASTRO DAS MARCAS DOS BENS</v>
      </c>
      <c r="F151" s="2" t="str">
        <f>"M_PRO_DEPRE"</f>
        <v>M_PRO_DEPRE</v>
      </c>
      <c r="G151" s="2" t="str">
        <f>"Materiais e Logística / Patrimônio / Depreciação / Projeção de Depreciação (M_PRO_DEPRE)"</f>
        <v>Materiais e Logística / Patrimônio / Depreciação / Projeção de Depreciação (M_PRO_DEPRE)</v>
      </c>
    </row>
    <row r="152" spans="1:7" x14ac:dyDescent="0.3">
      <c r="A152" s="1" t="s">
        <v>1</v>
      </c>
      <c r="B152" s="2" t="str">
        <f t="shared" si="16"/>
        <v>SISTEMA DE  CONTROLE DE PATRIMONIO</v>
      </c>
      <c r="C152" s="2" t="str">
        <f t="shared" si="17"/>
        <v>CONTR</v>
      </c>
      <c r="D152" s="2" t="str">
        <f t="shared" si="18"/>
        <v>ACPR</v>
      </c>
      <c r="E152" s="2" t="str">
        <f>"CADASTRO DAS MARCAS DOS BENS"</f>
        <v>CADASTRO DAS MARCAS DOS BENS</v>
      </c>
      <c r="F152" s="2" t="str">
        <f>"M_CONFIG_ACPR"</f>
        <v>M_CONFIG_ACPR</v>
      </c>
      <c r="G152" s="2" t="str">
        <f>"Materiais e Logística / Patrimônio / Configuração / Configurações Gerais (M_CONFIG_ACPR)"</f>
        <v>Materiais e Logística / Patrimônio / Configuração / Configurações Gerais (M_CONFIG_ACPR)</v>
      </c>
    </row>
    <row r="153" spans="1:7" x14ac:dyDescent="0.3">
      <c r="A153" s="1" t="s">
        <v>1</v>
      </c>
      <c r="B153" s="2" t="str">
        <f t="shared" si="16"/>
        <v>SISTEMA DE  CONTROLE DE PATRIMONIO</v>
      </c>
      <c r="C153" s="2" t="str">
        <f t="shared" si="17"/>
        <v>CONTR</v>
      </c>
      <c r="D153" s="2" t="str">
        <f t="shared" si="18"/>
        <v>ACPR</v>
      </c>
      <c r="E153" s="2" t="str">
        <f>"MOTIVOS DE BAIXA DE BENS"</f>
        <v>MOTIVOS DE BAIXA DE BENS</v>
      </c>
      <c r="F153" s="2" t="str">
        <f>"M_MOT_BAIXA"</f>
        <v>M_MOT_BAIXA</v>
      </c>
      <c r="G153" s="2" t="str">
        <f>"Materiais e Logística / Patrimônio / Tabelas / Motivos de Baixas de Bens (M_MOT_BAIXA)"</f>
        <v>Materiais e Logística / Patrimônio / Tabelas / Motivos de Baixas de Bens (M_MOT_BAIXA)</v>
      </c>
    </row>
    <row r="154" spans="1:7" x14ac:dyDescent="0.3">
      <c r="A154" s="1" t="s">
        <v>1</v>
      </c>
      <c r="B154" s="2" t="str">
        <f t="shared" si="16"/>
        <v>SISTEMA DE  CONTROLE DE PATRIMONIO</v>
      </c>
      <c r="C154" s="2" t="str">
        <f t="shared" si="17"/>
        <v>CONTR</v>
      </c>
      <c r="D154" s="2" t="str">
        <f t="shared" si="18"/>
        <v>ACPR</v>
      </c>
      <c r="E154" s="2" t="str">
        <f>"MOVIMENTAÇÕES DE BENS"</f>
        <v>MOVIMENTAÇÕES DE BENS</v>
      </c>
      <c r="F154" s="2" t="str">
        <f>"M_MOV_BEM"</f>
        <v>M_MOV_BEM</v>
      </c>
      <c r="G154" s="2" t="str">
        <f>" ()"</f>
        <v xml:space="preserve"> ()</v>
      </c>
    </row>
    <row r="155" spans="1:7" x14ac:dyDescent="0.3">
      <c r="A155" s="1" t="s">
        <v>1</v>
      </c>
      <c r="B155" s="2" t="str">
        <f t="shared" si="16"/>
        <v>SISTEMA DE  CONTROLE DE PATRIMONIO</v>
      </c>
      <c r="C155" s="2" t="str">
        <f t="shared" si="17"/>
        <v>CONTR</v>
      </c>
      <c r="D155" s="2" t="str">
        <f t="shared" si="18"/>
        <v>ACPR</v>
      </c>
      <c r="E155" s="2" t="str">
        <f>"CADASTRO DE TERCEIROS"</f>
        <v>CADASTRO DE TERCEIROS</v>
      </c>
      <c r="F155" s="2" t="str">
        <f>"M_TERCEIROS"</f>
        <v>M_TERCEIROS</v>
      </c>
      <c r="G155" s="2" t="str">
        <f>" ()"</f>
        <v xml:space="preserve"> ()</v>
      </c>
    </row>
    <row r="156" spans="1:7" x14ac:dyDescent="0.3">
      <c r="A156" s="1" t="s">
        <v>1</v>
      </c>
      <c r="B156" s="2" t="str">
        <f t="shared" si="16"/>
        <v>SISTEMA DE  CONTROLE DE PATRIMONIO</v>
      </c>
      <c r="C156" s="2" t="str">
        <f t="shared" si="17"/>
        <v>CONTR</v>
      </c>
      <c r="D156" s="2" t="str">
        <f t="shared" si="18"/>
        <v>ACPR</v>
      </c>
      <c r="E156" s="2" t="str">
        <f>"CADASTRO DE BENS DE TERCEIROS"</f>
        <v>CADASTRO DE BENS DE TERCEIROS</v>
      </c>
      <c r="F156" s="2" t="str">
        <f>"M_CAD_BEM_TERC"</f>
        <v>M_CAD_BEM_TERC</v>
      </c>
      <c r="G156" s="2" t="str">
        <f>" ()"</f>
        <v xml:space="preserve"> ()</v>
      </c>
    </row>
    <row r="157" spans="1:7" x14ac:dyDescent="0.3">
      <c r="A157" s="1" t="s">
        <v>1</v>
      </c>
      <c r="B157" s="2" t="str">
        <f t="shared" si="16"/>
        <v>SISTEMA DE  CONTROLE DE PATRIMONIO</v>
      </c>
      <c r="C157" s="2" t="str">
        <f t="shared" si="17"/>
        <v>CONTR</v>
      </c>
      <c r="D157" s="2" t="str">
        <f t="shared" si="18"/>
        <v>ACPR</v>
      </c>
      <c r="E157" s="2" t="str">
        <f>"CADASTRO DE BENS SEGURADOS"</f>
        <v>CADASTRO DE BENS SEGURADOS</v>
      </c>
      <c r="F157" s="2" t="str">
        <f>"M_BENS_SEGURADOS"</f>
        <v>M_BENS_SEGURADOS</v>
      </c>
      <c r="G157" s="2" t="str">
        <f>"Materiais e Logística / Patrimônio / Gerenciamento / Cadastro de Apólices e Bens Segurados (M_BENS_SEGURADOS)"</f>
        <v>Materiais e Logística / Patrimônio / Gerenciamento / Cadastro de Apólices e Bens Segurados (M_BENS_SEGURADOS)</v>
      </c>
    </row>
    <row r="158" spans="1:7" x14ac:dyDescent="0.3">
      <c r="A158" s="1" t="s">
        <v>1</v>
      </c>
      <c r="B158" s="2" t="str">
        <f t="shared" si="16"/>
        <v>SISTEMA DE  CONTROLE DE PATRIMONIO</v>
      </c>
      <c r="C158" s="2" t="str">
        <f t="shared" si="17"/>
        <v>CONTR</v>
      </c>
      <c r="D158" s="2" t="str">
        <f t="shared" si="18"/>
        <v>ACPR</v>
      </c>
      <c r="E158" s="2" t="str">
        <f>"R_BAIXA_BEM_SET"</f>
        <v>R_BAIXA_BEM_SET</v>
      </c>
      <c r="F158" s="2" t="str">
        <f>"R_BAIXA_BEM_SET"</f>
        <v>R_BAIXA_BEM_SET</v>
      </c>
      <c r="G158" s="2" t="str">
        <f>"Materiais e Logística / Patrimônio / Relatórios / Operacionais / Baixa de Bens por Setor e Localidade (R_BAIXA_BEM_SET)"</f>
        <v>Materiais e Logística / Patrimônio / Relatórios / Operacionais / Baixa de Bens por Setor e Localidade (R_BAIXA_BEM_SET)</v>
      </c>
    </row>
    <row r="159" spans="1:7" x14ac:dyDescent="0.3">
      <c r="A159" s="1" t="s">
        <v>1</v>
      </c>
      <c r="B159" s="2" t="str">
        <f t="shared" si="16"/>
        <v>SISTEMA DE  CONTROLE DE PATRIMONIO</v>
      </c>
      <c r="C159" s="2" t="str">
        <f t="shared" si="17"/>
        <v>CONTR</v>
      </c>
      <c r="D159" s="2" t="str">
        <f t="shared" si="18"/>
        <v>ACPR</v>
      </c>
      <c r="E159" s="2" t="str">
        <f>"R_HIST_DEPREC_IOB"</f>
        <v>R_HIST_DEPREC_IOB</v>
      </c>
      <c r="F159" s="2" t="str">
        <f>"R_HIST_DEPREC_IOB"</f>
        <v>R_HIST_DEPREC_IOB</v>
      </c>
      <c r="G159" s="2" t="str">
        <f>"Materiais e Logística / Patrimônio / Relatórios / Gerenciais / Histórico de Depreciação por Classificação (R_HIST_DEPREC_IOB)"</f>
        <v>Materiais e Logística / Patrimônio / Relatórios / Gerenciais / Histórico de Depreciação por Classificação (R_HIST_DEPREC_IOB)</v>
      </c>
    </row>
    <row r="160" spans="1:7" x14ac:dyDescent="0.3">
      <c r="A160" s="1" t="s">
        <v>1</v>
      </c>
      <c r="B160" s="2" t="str">
        <f t="shared" si="16"/>
        <v>SISTEMA DE  CONTROLE DE PATRIMONIO</v>
      </c>
      <c r="C160" s="2" t="str">
        <f t="shared" si="17"/>
        <v>CONTR</v>
      </c>
      <c r="D160" s="2" t="str">
        <f t="shared" si="18"/>
        <v>ACPR</v>
      </c>
      <c r="E160" s="2" t="str">
        <f>"PERSONALIZADOS ACPR"</f>
        <v>PERSONALIZADOS ACPR</v>
      </c>
      <c r="F160" s="2" t="str">
        <f>"R_PERSON_ACPR"</f>
        <v>R_PERSON_ACPR</v>
      </c>
      <c r="G160" s="2" t="str">
        <f>"Materiais e Logística / Patrimônio / Relatórios / Personalizados (R_PERSON_ACPR)"</f>
        <v>Materiais e Logística / Patrimônio / Relatórios / Personalizados (R_PERSON_ACPR)</v>
      </c>
    </row>
    <row r="161" spans="1:7" x14ac:dyDescent="0.3">
      <c r="A161" s="1" t="s">
        <v>1</v>
      </c>
      <c r="B161" s="2" t="str">
        <f t="shared" si="16"/>
        <v>SISTEMA DE  CONTROLE DE PATRIMONIO</v>
      </c>
      <c r="C161" s="2" t="str">
        <f t="shared" si="17"/>
        <v>CONTR</v>
      </c>
      <c r="D161" s="2" t="str">
        <f t="shared" si="18"/>
        <v>ACPR</v>
      </c>
      <c r="E161" s="2" t="str">
        <f>"REAVALIAÇÃO DE BENS"</f>
        <v>REAVALIAÇÃO DE BENS</v>
      </c>
      <c r="F161" s="2" t="str">
        <f>"BENS_REAVALIACAO"</f>
        <v>BENS_REAVALIACAO</v>
      </c>
      <c r="G161" s="2" t="str">
        <f>" ()"</f>
        <v xml:space="preserve"> ()</v>
      </c>
    </row>
    <row r="162" spans="1:7" x14ac:dyDescent="0.3">
      <c r="A162" s="1" t="s">
        <v>1</v>
      </c>
      <c r="B162" s="2" t="str">
        <f t="shared" si="16"/>
        <v>SISTEMA DE  CONTROLE DE PATRIMONIO</v>
      </c>
      <c r="C162" s="2" t="str">
        <f t="shared" si="17"/>
        <v>CONTR</v>
      </c>
      <c r="D162" s="2" t="str">
        <f t="shared" si="18"/>
        <v>ACPR</v>
      </c>
      <c r="E162" s="2" t="str">
        <f>"RELATÓRIO DE BENS BAIXADOS POR PERÍODO"</f>
        <v>RELATÓRIO DE BENS BAIXADOS POR PERÍODO</v>
      </c>
      <c r="F162" s="2" t="str">
        <f>"R_BAIXA_BEM"</f>
        <v>R_BAIXA_BEM</v>
      </c>
      <c r="G162" s="2" t="str">
        <f>"Materiais e Logística / Patrimônio / Relatórios / Operacionais / Baixa de Bens por Período (R_BAIXA_BEM)"</f>
        <v>Materiais e Logística / Patrimônio / Relatórios / Operacionais / Baixa de Bens por Período (R_BAIXA_BEM)</v>
      </c>
    </row>
    <row r="163" spans="1:7" x14ac:dyDescent="0.3">
      <c r="A163" s="1" t="s">
        <v>1</v>
      </c>
      <c r="B163" s="2" t="str">
        <f t="shared" si="16"/>
        <v>SISTEMA DE  CONTROLE DE PATRIMONIO</v>
      </c>
      <c r="C163" s="2" t="str">
        <f t="shared" si="17"/>
        <v>CONTR</v>
      </c>
      <c r="D163" s="2" t="str">
        <f t="shared" si="18"/>
        <v>ACPR</v>
      </c>
      <c r="E163" s="2" t="str">
        <f>"LISTAGEM DE BENS ADQUIRIDOS POR PERÍODO"</f>
        <v>LISTAGEM DE BENS ADQUIRIDOS POR PERÍODO</v>
      </c>
      <c r="F163" s="2" t="str">
        <f>"R_BENS_ADQUIRIDOS"</f>
        <v>R_BENS_ADQUIRIDOS</v>
      </c>
      <c r="G163" s="2" t="str">
        <f>"Materiais e Logística / Patrimônio / Relatórios / Gerenciais / Listagem de Bens Adquiridos por Período (R_BENS_ADQUIRIDOS)"</f>
        <v>Materiais e Logística / Patrimônio / Relatórios / Gerenciais / Listagem de Bens Adquiridos por Período (R_BENS_ADQUIRIDOS)</v>
      </c>
    </row>
    <row r="164" spans="1:7" x14ac:dyDescent="0.3">
      <c r="A164" s="1" t="s">
        <v>1</v>
      </c>
      <c r="B164" s="2" t="str">
        <f t="shared" si="16"/>
        <v>SISTEMA DE  CONTROLE DE PATRIMONIO</v>
      </c>
      <c r="C164" s="2" t="str">
        <f t="shared" si="17"/>
        <v>CONTR</v>
      </c>
      <c r="D164" s="2" t="str">
        <f t="shared" si="18"/>
        <v>ACPR</v>
      </c>
      <c r="E164" s="2" t="str">
        <f>"R_DEPREC_IOB"</f>
        <v>R_DEPREC_IOB</v>
      </c>
      <c r="F164" s="2" t="str">
        <f>"R_DEPREC_IOB"</f>
        <v>R_DEPREC_IOB</v>
      </c>
      <c r="G164" s="2" t="str">
        <f>"Materiais e Logística / Patrimônio / Relatórios / Gerenciais / Depreciação Patrimonial por Classificação (R_DEPREC_IOB)"</f>
        <v>Materiais e Logística / Patrimônio / Relatórios / Gerenciais / Depreciação Patrimonial por Classificação (R_DEPREC_IOB)</v>
      </c>
    </row>
    <row r="165" spans="1:7" x14ac:dyDescent="0.3">
      <c r="A165" s="1" t="s">
        <v>1</v>
      </c>
      <c r="B165" s="2" t="str">
        <f t="shared" si="16"/>
        <v>SISTEMA DE  CONTROLE DE PATRIMONIO</v>
      </c>
      <c r="C165" s="2" t="str">
        <f t="shared" si="17"/>
        <v>CONTR</v>
      </c>
      <c r="D165" s="2" t="str">
        <f t="shared" si="18"/>
        <v>ACPR</v>
      </c>
      <c r="E165" s="2" t="str">
        <f>"HISTÓRICO DE DEPRECIAÇÃO DE BENS"</f>
        <v>HISTÓRICO DE DEPRECIAÇÃO DE BENS</v>
      </c>
      <c r="F165" s="2" t="str">
        <f>"R_HIST_DEPREC"</f>
        <v>R_HIST_DEPREC</v>
      </c>
      <c r="G165" s="2" t="str">
        <f>"Materiais e Logística / Patrimônio / Relatórios / Gerenciais / Histórico de Depreciação de Bens (R_HIST_DEPREC)"</f>
        <v>Materiais e Logística / Patrimônio / Relatórios / Gerenciais / Histórico de Depreciação de Bens (R_HIST_DEPREC)</v>
      </c>
    </row>
    <row r="166" spans="1:7" x14ac:dyDescent="0.3">
      <c r="A166" s="1" t="s">
        <v>1</v>
      </c>
      <c r="B166" s="2" t="str">
        <f t="shared" si="16"/>
        <v>SISTEMA DE  CONTROLE DE PATRIMONIO</v>
      </c>
      <c r="C166" s="2" t="str">
        <f t="shared" si="17"/>
        <v>CONTR</v>
      </c>
      <c r="D166" s="2" t="str">
        <f t="shared" si="18"/>
        <v>ACPR</v>
      </c>
      <c r="E166" s="2" t="str">
        <f>"HISTÓRICO DE MOVIMENTAÇÃO DE BENS"</f>
        <v>HISTÓRICO DE MOVIMENTAÇÃO DE BENS</v>
      </c>
      <c r="F166" s="2" t="str">
        <f>"R_HIST_MOV"</f>
        <v>R_HIST_MOV</v>
      </c>
      <c r="G166" s="2" t="str">
        <f>"Materiais e Logística / Patrimônio / Relatórios / Operacionais / Histórico de Movimentação de Bens (R_HIST_MOV)"</f>
        <v>Materiais e Logística / Patrimônio / Relatórios / Operacionais / Histórico de Movimentação de Bens (R_HIST_MOV)</v>
      </c>
    </row>
    <row r="167" spans="1:7" x14ac:dyDescent="0.3">
      <c r="A167" s="1" t="s">
        <v>1</v>
      </c>
      <c r="B167" s="2" t="str">
        <f t="shared" si="16"/>
        <v>SISTEMA DE  CONTROLE DE PATRIMONIO</v>
      </c>
      <c r="C167" s="2" t="str">
        <f t="shared" si="17"/>
        <v>CONTR</v>
      </c>
      <c r="D167" s="2" t="str">
        <f t="shared" si="18"/>
        <v>ACPR</v>
      </c>
      <c r="E167" s="2" t="str">
        <f>"BENS / CLASSIFICAÇÃO / CENTRO DE CUSTO"</f>
        <v>BENS / CLASSIFICAÇÃO / CENTRO DE CUSTO</v>
      </c>
      <c r="F167" s="2" t="str">
        <f>"R_BEMS_LOCALIDADE"</f>
        <v>R_BEMS_LOCALIDADE</v>
      </c>
      <c r="G167" s="2" t="str">
        <f>" ()"</f>
        <v xml:space="preserve"> ()</v>
      </c>
    </row>
    <row r="168" spans="1:7" x14ac:dyDescent="0.3">
      <c r="A168" s="1" t="s">
        <v>1</v>
      </c>
      <c r="B168" s="2" t="str">
        <f t="shared" si="16"/>
        <v>SISTEMA DE  CONTROLE DE PATRIMONIO</v>
      </c>
      <c r="C168" s="2" t="str">
        <f t="shared" si="17"/>
        <v>CONTR</v>
      </c>
      <c r="D168" s="2" t="str">
        <f t="shared" si="18"/>
        <v>ACPR</v>
      </c>
      <c r="E168" s="2" t="str">
        <f>"LOCALIDADES / SETOR"</f>
        <v>LOCALIDADES / SETOR</v>
      </c>
      <c r="F168" s="2" t="str">
        <f>"R_SETOR_LOCALIDADE"</f>
        <v>R_SETOR_LOCALIDADE</v>
      </c>
      <c r="G168" s="2" t="str">
        <f>"Materiais e Logística / Patrimônio / Relatórios / Tabelas / Localidades / Setor (R_SETOR_LOCALIDADE)"</f>
        <v>Materiais e Logística / Patrimônio / Relatórios / Tabelas / Localidades / Setor (R_SETOR_LOCALIDADE)</v>
      </c>
    </row>
    <row r="169" spans="1:7" x14ac:dyDescent="0.3">
      <c r="A169" s="1" t="s">
        <v>1</v>
      </c>
      <c r="B169" s="2" t="str">
        <f t="shared" si="16"/>
        <v>SISTEMA DE  CONTROLE DE PATRIMONIO</v>
      </c>
      <c r="C169" s="2" t="str">
        <f t="shared" si="17"/>
        <v>CONTR</v>
      </c>
      <c r="D169" s="2" t="str">
        <f t="shared" si="18"/>
        <v>ACPR</v>
      </c>
      <c r="E169" s="2" t="str">
        <f>"CADASTRO DAS MARCAS DOS BENS"</f>
        <v>CADASTRO DAS MARCAS DOS BENS</v>
      </c>
      <c r="F169" s="2" t="str">
        <f>"M_BAIXA_BEM"</f>
        <v>M_BAIXA_BEM</v>
      </c>
      <c r="G169" s="2" t="str">
        <f>"Materiais e Logística / Patrimônio / Gerenciamento / Baixa de Bens (M_BAIXA_BEM)"</f>
        <v>Materiais e Logística / Patrimônio / Gerenciamento / Baixa de Bens (M_BAIXA_BEM)</v>
      </c>
    </row>
    <row r="170" spans="1:7" x14ac:dyDescent="0.3">
      <c r="A170" s="1" t="s">
        <v>1</v>
      </c>
      <c r="B170" s="2" t="str">
        <f t="shared" si="16"/>
        <v>SISTEMA DE  CONTROLE DE PATRIMONIO</v>
      </c>
      <c r="C170" s="2" t="str">
        <f t="shared" si="17"/>
        <v>CONTR</v>
      </c>
      <c r="D170" s="2" t="str">
        <f t="shared" si="18"/>
        <v>ACPR</v>
      </c>
      <c r="E170" s="2" t="str">
        <f>"INVENTÁRIO DE BENS PATR. POR SETOR"</f>
        <v>INVENTÁRIO DE BENS PATR. POR SETOR</v>
      </c>
      <c r="F170" s="2" t="str">
        <f>"M_INVENTARIO"</f>
        <v>M_INVENTARIO</v>
      </c>
      <c r="G170" s="2" t="str">
        <f>"Materiais e Logística / Patrimônio / Inventário / Geração da Planilha de Inventário (M_INVENTARIO)"</f>
        <v>Materiais e Logística / Patrimônio / Inventário / Geração da Planilha de Inventário (M_INVENTARIO)</v>
      </c>
    </row>
    <row r="171" spans="1:7" x14ac:dyDescent="0.3">
      <c r="A171" s="1" t="s">
        <v>1</v>
      </c>
      <c r="B171" s="2" t="str">
        <f t="shared" si="16"/>
        <v>SISTEMA DE  CONTROLE DE PATRIMONIO</v>
      </c>
      <c r="C171" s="2" t="str">
        <f t="shared" si="17"/>
        <v>CONTR</v>
      </c>
      <c r="D171" s="2" t="str">
        <f t="shared" si="18"/>
        <v>ACPR</v>
      </c>
      <c r="E171" s="2" t="str">
        <f>"INVENTÁRIO DE BENS PATR. POR SETOR"</f>
        <v>INVENTÁRIO DE BENS PATR. POR SETOR</v>
      </c>
      <c r="F171" s="2" t="str">
        <f>"M_INVENTARIO"</f>
        <v>M_INVENTARIO</v>
      </c>
      <c r="G171" s="2" t="str">
        <f>"Serviços de Apoio / Central de Materiais Esterilizados / Inventário / Geração da Planilha de Inventário (M_INVENTARIO)"</f>
        <v>Serviços de Apoio / Central de Materiais Esterilizados / Inventário / Geração da Planilha de Inventário (M_INVENTARIO)</v>
      </c>
    </row>
    <row r="172" spans="1:7" x14ac:dyDescent="0.3">
      <c r="A172" s="1" t="s">
        <v>1</v>
      </c>
      <c r="B172" s="2" t="str">
        <f t="shared" si="16"/>
        <v>SISTEMA DE  CONTROLE DE PATRIMONIO</v>
      </c>
      <c r="C172" s="2" t="str">
        <f t="shared" si="17"/>
        <v>CONTR</v>
      </c>
      <c r="D172" s="2" t="str">
        <f t="shared" si="18"/>
        <v>ACPR</v>
      </c>
      <c r="E172" s="2" t="str">
        <f>"CLASSIFICAÇÃO IOB DE BENS PATRIMONIAIS"</f>
        <v>CLASSIFICAÇÃO IOB DE BENS PATRIMONIAIS</v>
      </c>
      <c r="F172" s="2" t="str">
        <f>"M_CLAS_BENS"</f>
        <v>M_CLAS_BENS</v>
      </c>
      <c r="G172" s="2" t="str">
        <f>"Materiais e Logística / Patrimônio / Tabelas / Classificação dos Bens (M_CLAS_BENS)"</f>
        <v>Materiais e Logística / Patrimônio / Tabelas / Classificação dos Bens (M_CLAS_BENS)</v>
      </c>
    </row>
    <row r="173" spans="1:7" x14ac:dyDescent="0.3">
      <c r="A173" s="1" t="s">
        <v>1</v>
      </c>
      <c r="B173" s="2" t="str">
        <f t="shared" si="16"/>
        <v>SISTEMA DE  CONTROLE DE PATRIMONIO</v>
      </c>
      <c r="C173" s="2" t="str">
        <f t="shared" si="17"/>
        <v>CONTR</v>
      </c>
      <c r="D173" s="2" t="str">
        <f t="shared" si="18"/>
        <v>ACPR</v>
      </c>
      <c r="E173" s="2" t="str">
        <f>"CLASSIFICAÇÃO IOB DE BENS PATRIMONIAIS"</f>
        <v>CLASSIFICAÇÃO IOB DE BENS PATRIMONIAIS</v>
      </c>
      <c r="F173" s="2" t="str">
        <f>"M_CLAS_BENS"</f>
        <v>M_CLAS_BENS</v>
      </c>
      <c r="G173" s="2" t="str">
        <f>"Serviços de Apoio / Central de Materiais Esterilizados / Tabelas / Classificação / de Bens (M_CLAS_BENS)"</f>
        <v>Serviços de Apoio / Central de Materiais Esterilizados / Tabelas / Classificação / de Bens (M_CLAS_BENS)</v>
      </c>
    </row>
    <row r="174" spans="1:7" x14ac:dyDescent="0.3">
      <c r="A174" s="1" t="s">
        <v>1</v>
      </c>
      <c r="B174" s="2" t="str">
        <f t="shared" si="16"/>
        <v>SISTEMA DE  CONTROLE DE PATRIMONIO</v>
      </c>
      <c r="C174" s="2" t="str">
        <f t="shared" si="17"/>
        <v>CONTR</v>
      </c>
      <c r="D174" s="2" t="str">
        <f t="shared" si="18"/>
        <v>ACPR</v>
      </c>
      <c r="E174" s="2" t="str">
        <f>"TABELA IOB DE CLASSIFICAÇÃO DE BENS"</f>
        <v>TABELA IOB DE CLASSIFICAÇÃO DE BENS</v>
      </c>
      <c r="F174" s="2" t="str">
        <f>"R_CLASS_BENS"</f>
        <v>R_CLASS_BENS</v>
      </c>
      <c r="G174" s="2" t="str">
        <f>"Materiais e Logística / Patrimônio / Relatórios / Tabelas / Classificação de Bens (R_CLASS_BENS)"</f>
        <v>Materiais e Logística / Patrimônio / Relatórios / Tabelas / Classificação de Bens (R_CLASS_BENS)</v>
      </c>
    </row>
    <row r="175" spans="1:7" x14ac:dyDescent="0.3">
      <c r="A175" s="1" t="s">
        <v>1</v>
      </c>
      <c r="B175" s="2" t="str">
        <f t="shared" si="16"/>
        <v>SISTEMA DE  CONTROLE DE PATRIMONIO</v>
      </c>
      <c r="C175" s="2" t="str">
        <f t="shared" si="17"/>
        <v>CONTR</v>
      </c>
      <c r="D175" s="2" t="str">
        <f t="shared" si="18"/>
        <v>ACPR</v>
      </c>
      <c r="E175" s="2" t="str">
        <f>"RECEBIMENTO DE BENS PARA TOMBAMENTO"</f>
        <v>RECEBIMENTO DE BENS PARA TOMBAMENTO</v>
      </c>
      <c r="F175" s="2" t="str">
        <f>"M_RECEBE_NOTA"</f>
        <v>M_RECEBE_NOTA</v>
      </c>
      <c r="G175" s="2" t="str">
        <f>"Materiais e Logística / Patrimônio / Gerenciamento / Recebimento de Produtos Para Tombamento (M_RECEBE_NOTA)"</f>
        <v>Materiais e Logística / Patrimônio / Gerenciamento / Recebimento de Produtos Para Tombamento (M_RECEBE_NOTA)</v>
      </c>
    </row>
    <row r="176" spans="1:7" x14ac:dyDescent="0.3">
      <c r="A176" s="1" t="s">
        <v>1</v>
      </c>
      <c r="B176" s="2" t="str">
        <f t="shared" si="16"/>
        <v>SISTEMA DE  CONTROLE DE PATRIMONIO</v>
      </c>
      <c r="C176" s="2" t="str">
        <f t="shared" si="17"/>
        <v>CONTR</v>
      </c>
      <c r="D176" s="2" t="str">
        <f t="shared" si="18"/>
        <v>ACPR</v>
      </c>
      <c r="E176" s="2" t="str">
        <f>"RECEBIMENTO DE BENS PARA TOMBAMENTO"</f>
        <v>RECEBIMENTO DE BENS PARA TOMBAMENTO</v>
      </c>
      <c r="F176" s="2" t="str">
        <f>"M_RECEBE_NOTA"</f>
        <v>M_RECEBE_NOTA</v>
      </c>
      <c r="G176" s="2" t="str">
        <f>"Serviços de Apoio / Central de Materiais Esterilizados / Tabelas / Recebimento de Produtos para Tombamento (M_RECEBE_NOTA)"</f>
        <v>Serviços de Apoio / Central de Materiais Esterilizados / Tabelas / Recebimento de Produtos para Tombamento (M_RECEBE_NOTA)</v>
      </c>
    </row>
    <row r="177" spans="1:7" x14ac:dyDescent="0.3">
      <c r="A177" s="1" t="s">
        <v>1</v>
      </c>
      <c r="B177" s="2" t="str">
        <f t="shared" si="16"/>
        <v>SISTEMA DE  CONTROLE DE PATRIMONIO</v>
      </c>
      <c r="C177" s="2" t="str">
        <f t="shared" si="17"/>
        <v>CONTR</v>
      </c>
      <c r="D177" s="2" t="str">
        <f t="shared" si="18"/>
        <v>ACPR</v>
      </c>
      <c r="E177" s="2" t="str">
        <f>"CADASTRO DE BENS PATRIMONIAIS"</f>
        <v>CADASTRO DE BENS PATRIMONIAIS</v>
      </c>
      <c r="F177" s="2" t="str">
        <f>"M_CAD_BEM"</f>
        <v>M_CAD_BEM</v>
      </c>
      <c r="G177" s="2" t="str">
        <f>"Serviços de Apoio / Manutenção / Tabelas / Bens Patrimoniais (M_CAD_BEM)"</f>
        <v>Serviços de Apoio / Manutenção / Tabelas / Bens Patrimoniais (M_CAD_BEM)</v>
      </c>
    </row>
    <row r="178" spans="1:7" x14ac:dyDescent="0.3">
      <c r="A178" s="1" t="s">
        <v>1</v>
      </c>
      <c r="B178" s="2" t="str">
        <f t="shared" si="16"/>
        <v>SISTEMA DE  CONTROLE DE PATRIMONIO</v>
      </c>
      <c r="C178" s="2" t="str">
        <f t="shared" si="17"/>
        <v>CONTR</v>
      </c>
      <c r="D178" s="2" t="str">
        <f t="shared" si="18"/>
        <v>ACPR</v>
      </c>
      <c r="E178" s="2" t="str">
        <f>"CADASTRO DE BENS PATRIMONIAIS"</f>
        <v>CADASTRO DE BENS PATRIMONIAIS</v>
      </c>
      <c r="F178" s="2" t="str">
        <f>"M_CAD_BEM"</f>
        <v>M_CAD_BEM</v>
      </c>
      <c r="G178" s="2" t="str">
        <f>"Materiais e Logística / Patrimônio / Gerenciamento / Cadastro de Bens (M_CAD_BEM)"</f>
        <v>Materiais e Logística / Patrimônio / Gerenciamento / Cadastro de Bens (M_CAD_BEM)</v>
      </c>
    </row>
    <row r="179" spans="1:7" x14ac:dyDescent="0.3">
      <c r="A179" s="1" t="s">
        <v>1</v>
      </c>
      <c r="B179" s="2" t="str">
        <f t="shared" si="16"/>
        <v>SISTEMA DE  CONTROLE DE PATRIMONIO</v>
      </c>
      <c r="C179" s="2" t="str">
        <f t="shared" si="17"/>
        <v>CONTR</v>
      </c>
      <c r="D179" s="2" t="str">
        <f t="shared" si="18"/>
        <v>ACPR</v>
      </c>
      <c r="E179" s="2" t="str">
        <f>"CADASTRO DE BENS PATRIMONIAIS"</f>
        <v>CADASTRO DE BENS PATRIMONIAIS</v>
      </c>
      <c r="F179" s="2" t="str">
        <f>"M_CAD_BEM"</f>
        <v>M_CAD_BEM</v>
      </c>
      <c r="G179" s="2" t="str">
        <f>"Serviços de Apoio / Central de Materiais Esterilizados / Tabelas / Cadastro de Bens (M_CAD_BEM)"</f>
        <v>Serviços de Apoio / Central de Materiais Esterilizados / Tabelas / Cadastro de Bens (M_CAD_BEM)</v>
      </c>
    </row>
    <row r="180" spans="1:7" x14ac:dyDescent="0.3">
      <c r="A180" s="1" t="s">
        <v>1</v>
      </c>
      <c r="B180" s="2" t="str">
        <f t="shared" si="16"/>
        <v>SISTEMA DE  CONTROLE DE PATRIMONIO</v>
      </c>
      <c r="C180" s="2" t="str">
        <f t="shared" si="17"/>
        <v>CONTR</v>
      </c>
      <c r="D180" s="2" t="str">
        <f t="shared" si="18"/>
        <v>ACPR</v>
      </c>
      <c r="E180" s="2" t="str">
        <f>"LISTAGEM DE TERCEIROS"</f>
        <v>LISTAGEM DE TERCEIROS</v>
      </c>
      <c r="F180" s="2" t="str">
        <f>"R_TERCEIROS"</f>
        <v>R_TERCEIROS</v>
      </c>
      <c r="G180" s="2" t="str">
        <f>" ()"</f>
        <v xml:space="preserve"> ()</v>
      </c>
    </row>
    <row r="181" spans="1:7" x14ac:dyDescent="0.3">
      <c r="A181" s="1" t="s">
        <v>1</v>
      </c>
      <c r="B181" s="2" t="str">
        <f t="shared" si="16"/>
        <v>SISTEMA DE  CONTROLE DE PATRIMONIO</v>
      </c>
      <c r="C181" s="2" t="str">
        <f t="shared" si="17"/>
        <v>CONTR</v>
      </c>
      <c r="D181" s="2" t="str">
        <f t="shared" si="18"/>
        <v>ACPR</v>
      </c>
      <c r="E181" s="2" t="str">
        <f>"RELATÓRIO DE CONTROLE DE TOMBAMENTO"</f>
        <v>RELATÓRIO DE CONTROLE DE TOMBAMENTO</v>
      </c>
      <c r="F181" s="2" t="str">
        <f>"R_CONTR_TOMB"</f>
        <v>R_CONTR_TOMB</v>
      </c>
      <c r="G181" s="2" t="str">
        <f>"Materiais e Logística / Patrimônio / Relatórios / Operacionais / Controle de Tombamento (R_CONTR_TOMB)"</f>
        <v>Materiais e Logística / Patrimônio / Relatórios / Operacionais / Controle de Tombamento (R_CONTR_TOMB)</v>
      </c>
    </row>
    <row r="182" spans="1:7" x14ac:dyDescent="0.3">
      <c r="A182" s="1" t="s">
        <v>1</v>
      </c>
      <c r="B182" s="2" t="str">
        <f t="shared" si="16"/>
        <v>SISTEMA DE  CONTROLE DE PATRIMONIO</v>
      </c>
      <c r="C182" s="2" t="str">
        <f t="shared" si="17"/>
        <v>CONTR</v>
      </c>
      <c r="D182" s="2" t="str">
        <f t="shared" si="18"/>
        <v>ACPR</v>
      </c>
      <c r="E182" s="2" t="str">
        <f>"RELATÓRIO DE BENS SEGURADOS - ANALÍTICO"</f>
        <v>RELATÓRIO DE BENS SEGURADOS - ANALÍTICO</v>
      </c>
      <c r="F182" s="2" t="str">
        <f>"R_BENS_SEGURADOS_AN"</f>
        <v>R_BENS_SEGURADOS_AN</v>
      </c>
      <c r="G182" s="2" t="str">
        <f>" ()"</f>
        <v xml:space="preserve"> ()</v>
      </c>
    </row>
    <row r="183" spans="1:7" x14ac:dyDescent="0.3">
      <c r="A183" s="1" t="s">
        <v>1</v>
      </c>
      <c r="B183" s="2" t="str">
        <f t="shared" si="16"/>
        <v>SISTEMA DE  CONTROLE DE PATRIMONIO</v>
      </c>
      <c r="C183" s="2" t="str">
        <f t="shared" si="17"/>
        <v>CONTR</v>
      </c>
      <c r="D183" s="2" t="str">
        <f t="shared" si="18"/>
        <v>ACPR</v>
      </c>
      <c r="E183" s="2" t="str">
        <f>"LISTAGEM DE BENS POR SETOR"</f>
        <v>LISTAGEM DE BENS POR SETOR</v>
      </c>
      <c r="F183" s="2" t="str">
        <f>"R_BEM_POR_SETOR"</f>
        <v>R_BEM_POR_SETOR</v>
      </c>
      <c r="G183" s="2" t="str">
        <f>"Materiais e Logística / Patrimônio / Relatórios / Operacionais / Bens por Setor (R_BEM_POR_SETOR)"</f>
        <v>Materiais e Logística / Patrimônio / Relatórios / Operacionais / Bens por Setor (R_BEM_POR_SETOR)</v>
      </c>
    </row>
    <row r="184" spans="1:7" x14ac:dyDescent="0.3">
      <c r="A184" s="1" t="s">
        <v>1</v>
      </c>
      <c r="B184" s="2" t="str">
        <f t="shared" si="16"/>
        <v>SISTEMA DE  CONTROLE DE PATRIMONIO</v>
      </c>
      <c r="C184" s="2" t="str">
        <f t="shared" si="17"/>
        <v>CONTR</v>
      </c>
      <c r="D184" s="2" t="str">
        <f t="shared" si="18"/>
        <v>ACPR</v>
      </c>
      <c r="E184" s="2" t="str">
        <f>"LISTAGEM DAS SEGURADORAS"</f>
        <v>LISTAGEM DAS SEGURADORAS</v>
      </c>
      <c r="F184" s="2" t="str">
        <f>"R_SEGUROS"</f>
        <v>R_SEGUROS</v>
      </c>
      <c r="G184" s="2" t="str">
        <f>" ()"</f>
        <v xml:space="preserve"> ()</v>
      </c>
    </row>
    <row r="185" spans="1:7" x14ac:dyDescent="0.3">
      <c r="A185" s="1" t="s">
        <v>1</v>
      </c>
      <c r="B185" s="2" t="str">
        <f t="shared" si="16"/>
        <v>SISTEMA DE  CONTROLE DE PATRIMONIO</v>
      </c>
      <c r="C185" s="2" t="str">
        <f t="shared" si="17"/>
        <v>CONTR</v>
      </c>
      <c r="D185" s="2" t="str">
        <f t="shared" si="18"/>
        <v>ACPR</v>
      </c>
      <c r="E185" s="2" t="str">
        <f>"CÁLCULO DA DEPRECIAÇÃO DO PATRIMÔNIO"</f>
        <v>CÁLCULO DA DEPRECIAÇÃO DO PATRIMÔNIO</v>
      </c>
      <c r="F185" s="2" t="str">
        <f>"M_CALC_DEPREC"</f>
        <v>M_CALC_DEPREC</v>
      </c>
      <c r="G185" s="2" t="str">
        <f>"Materiais e Logística / Patrimônio / Depreciação / Cálculo da Depreciação do Bem (M_CALC_DEPREC)"</f>
        <v>Materiais e Logística / Patrimônio / Depreciação / Cálculo da Depreciação do Bem (M_CALC_DEPREC)</v>
      </c>
    </row>
    <row r="186" spans="1:7" x14ac:dyDescent="0.3">
      <c r="A186" s="1" t="s">
        <v>1</v>
      </c>
      <c r="B186" s="2" t="str">
        <f t="shared" si="16"/>
        <v>SISTEMA DE  CONTROLE DE PATRIMONIO</v>
      </c>
      <c r="C186" s="2" t="str">
        <f t="shared" si="17"/>
        <v>CONTR</v>
      </c>
      <c r="D186" s="2" t="str">
        <f t="shared" si="18"/>
        <v>ACPR</v>
      </c>
      <c r="E186" s="2" t="str">
        <f>"RELATÓRIO DE BENS  SEGURADOS"</f>
        <v>RELATÓRIO DE BENS  SEGURADOS</v>
      </c>
      <c r="F186" s="2" t="str">
        <f>"R_BENS_SEGURADOS"</f>
        <v>R_BENS_SEGURADOS</v>
      </c>
      <c r="G186" s="2" t="str">
        <f>"Materiais e Logística / Patrimônio / Relatórios / Operacionais / Bens Segurados (R_BENS_SEGURADOS)"</f>
        <v>Materiais e Logística / Patrimônio / Relatórios / Operacionais / Bens Segurados (R_BENS_SEGURADOS)</v>
      </c>
    </row>
    <row r="187" spans="1:7" x14ac:dyDescent="0.3">
      <c r="A187" s="1" t="s">
        <v>1</v>
      </c>
      <c r="B187" s="2" t="str">
        <f t="shared" si="16"/>
        <v>SISTEMA DE  CONTROLE DE PATRIMONIO</v>
      </c>
      <c r="C187" s="2" t="str">
        <f t="shared" si="17"/>
        <v>CONTR</v>
      </c>
      <c r="D187" s="2" t="str">
        <f t="shared" si="18"/>
        <v>ACPR</v>
      </c>
      <c r="E187" s="2" t="str">
        <f>"CADASTRO DAS SEGURADORAS"</f>
        <v>CADASTRO DAS SEGURADORAS</v>
      </c>
      <c r="F187" s="2" t="str">
        <f>"M_SEGURADORAS"</f>
        <v>M_SEGURADORAS</v>
      </c>
      <c r="G187" s="2" t="str">
        <f>" ()"</f>
        <v xml:space="preserve"> ()</v>
      </c>
    </row>
    <row r="188" spans="1:7" x14ac:dyDescent="0.3">
      <c r="A188" s="1" t="s">
        <v>1</v>
      </c>
      <c r="B188" s="2" t="str">
        <f t="shared" si="16"/>
        <v>SISTEMA DE  CONTROLE DE PATRIMONIO</v>
      </c>
      <c r="C188" s="2" t="str">
        <f t="shared" si="17"/>
        <v>CONTR</v>
      </c>
      <c r="D188" s="2" t="str">
        <f t="shared" si="18"/>
        <v>ACPR</v>
      </c>
      <c r="E188" s="2" t="str">
        <f>"HISTÓRICO DE SEGUROS DE BENS"</f>
        <v>HISTÓRICO DE SEGUROS DE BENS</v>
      </c>
      <c r="F188" s="2" t="str">
        <f>"R_HIST_SEGUROS"</f>
        <v>R_HIST_SEGUROS</v>
      </c>
      <c r="G188" s="2" t="str">
        <f>"Materiais e Logística / Patrimônio / Relatórios / Operacionais / Histórico de Seguros de Bens (R_HIST_SEGUROS)"</f>
        <v>Materiais e Logística / Patrimônio / Relatórios / Operacionais / Histórico de Seguros de Bens (R_HIST_SEGUROS)</v>
      </c>
    </row>
    <row r="189" spans="1:7" x14ac:dyDescent="0.3">
      <c r="A189" s="1" t="s">
        <v>1</v>
      </c>
      <c r="B189" s="2" t="str">
        <f t="shared" si="16"/>
        <v>SISTEMA DE  CONTROLE DE PATRIMONIO</v>
      </c>
      <c r="C189" s="2" t="str">
        <f t="shared" si="17"/>
        <v>CONTR</v>
      </c>
      <c r="D189" s="2" t="str">
        <f t="shared" si="18"/>
        <v>ACPR</v>
      </c>
      <c r="E189" s="2" t="str">
        <f>"CADASTRO DE AGREGAÇÃO DE BENS"</f>
        <v>CADASTRO DE AGREGAÇÃO DE BENS</v>
      </c>
      <c r="F189" s="2" t="str">
        <f>"M_BENS_AGREGADOS"</f>
        <v>M_BENS_AGREGADOS</v>
      </c>
      <c r="G189" s="2" t="str">
        <f>"Materiais e Logística / Patrimônio / Gerenciamento / Agregar Bens (M_BENS_AGREGADOS)"</f>
        <v>Materiais e Logística / Patrimônio / Gerenciamento / Agregar Bens (M_BENS_AGREGADOS)</v>
      </c>
    </row>
    <row r="190" spans="1:7" x14ac:dyDescent="0.3">
      <c r="A190" s="1" t="s">
        <v>1</v>
      </c>
      <c r="B190" s="2" t="str">
        <f t="shared" si="16"/>
        <v>SISTEMA DE  CONTROLE DE PATRIMONIO</v>
      </c>
      <c r="C190" s="2" t="str">
        <f t="shared" si="17"/>
        <v>CONTR</v>
      </c>
      <c r="D190" s="2" t="str">
        <f t="shared" si="18"/>
        <v>ACPR</v>
      </c>
      <c r="E190" s="2" t="str">
        <f>"RELATÓRIO DE LOCALIDADE DE BENS"</f>
        <v>RELATÓRIO DE LOCALIDADE DE BENS</v>
      </c>
      <c r="F190" s="2" t="str">
        <f>"R_BENS_LOCALIDADE"</f>
        <v>R_BENS_LOCALIDADE</v>
      </c>
      <c r="G190" s="2" t="str">
        <f>"Materiais e Logística / Patrimônio / Relatórios / Tabelas / Bens / Classificação/ Centro de Custo (R_BENS_LOCALIDADE)"</f>
        <v>Materiais e Logística / Patrimônio / Relatórios / Tabelas / Bens / Classificação/ Centro de Custo (R_BENS_LOCALIDADE)</v>
      </c>
    </row>
    <row r="191" spans="1:7" x14ac:dyDescent="0.3">
      <c r="A191" s="1" t="s">
        <v>1</v>
      </c>
      <c r="B191" s="2" t="str">
        <f t="shared" si="16"/>
        <v>SISTEMA DE  CONTROLE DE PATRIMONIO</v>
      </c>
      <c r="C191" s="2" t="str">
        <f t="shared" si="17"/>
        <v>CONTR</v>
      </c>
      <c r="D191" s="2" t="str">
        <f t="shared" si="18"/>
        <v>ACPR</v>
      </c>
      <c r="E191" s="2" t="str">
        <f>"RELATORIO DE BENS BAIXADOS"</f>
        <v>RELATORIO DE BENS BAIXADOS</v>
      </c>
      <c r="F191" s="2" t="str">
        <f>"R_BENS_BAIXADOS"</f>
        <v>R_BENS_BAIXADOS</v>
      </c>
      <c r="G191" s="2" t="str">
        <f>"Materiais e Logística / Patrimônio / Relatórios / Operacionais / Baixa de Bens por Motivo (R_BENS_BAIXADOS)"</f>
        <v>Materiais e Logística / Patrimônio / Relatórios / Operacionais / Baixa de Bens por Motivo (R_BENS_BAIXADOS)</v>
      </c>
    </row>
    <row r="192" spans="1:7" x14ac:dyDescent="0.3">
      <c r="A192" s="1" t="s">
        <v>1</v>
      </c>
      <c r="B192" s="2" t="str">
        <f t="shared" si="16"/>
        <v>SISTEMA DE  CONTROLE DE PATRIMONIO</v>
      </c>
      <c r="C192" s="2" t="str">
        <f t="shared" si="17"/>
        <v>CONTR</v>
      </c>
      <c r="D192" s="2" t="str">
        <f t="shared" si="18"/>
        <v>ACPR</v>
      </c>
      <c r="E192" s="2" t="str">
        <f>"CONFERÊNCIA DE INVENTÁRIO PATRIMONIAL"</f>
        <v>CONFERÊNCIA DE INVENTÁRIO PATRIMONIAL</v>
      </c>
      <c r="F192" s="2" t="str">
        <f>"M_CONF_INVENTARIO"</f>
        <v>M_CONF_INVENTARIO</v>
      </c>
      <c r="G192" s="2" t="str">
        <f>"Materiais e Logística / Patrimônio / Inventário / Conferência de Inventário Patrimonial (M_CONF_INVENTARIO)"</f>
        <v>Materiais e Logística / Patrimônio / Inventário / Conferência de Inventário Patrimonial (M_CONF_INVENTARIO)</v>
      </c>
    </row>
    <row r="193" spans="1:7" x14ac:dyDescent="0.3">
      <c r="A193" s="1" t="s">
        <v>1</v>
      </c>
      <c r="B193" s="2" t="str">
        <f t="shared" si="16"/>
        <v>SISTEMA DE  CONTROLE DE PATRIMONIO</v>
      </c>
      <c r="C193" s="2" t="str">
        <f t="shared" si="17"/>
        <v>CONTR</v>
      </c>
      <c r="D193" s="2" t="str">
        <f t="shared" si="18"/>
        <v>ACPR</v>
      </c>
      <c r="E193" s="2" t="str">
        <f>"RELATÓRIO DE BENS INCONSISTENTES"</f>
        <v>RELATÓRIO DE BENS INCONSISTENTES</v>
      </c>
      <c r="F193" s="2" t="str">
        <f>"R_INVENTARIO_PATR"</f>
        <v>R_INVENTARIO_PATR</v>
      </c>
      <c r="G193" s="2" t="str">
        <f>"Materiais e Logística / Patrimônio / Relatórios / Inventário / Bens Inconsistentes (R_INVENTARIO_PATR)"</f>
        <v>Materiais e Logística / Patrimônio / Relatórios / Inventário / Bens Inconsistentes (R_INVENTARIO_PATR)</v>
      </c>
    </row>
    <row r="194" spans="1:7" x14ac:dyDescent="0.3">
      <c r="A194" s="1" t="s">
        <v>1</v>
      </c>
      <c r="B194" s="2" t="str">
        <f t="shared" si="16"/>
        <v>SISTEMA DE  CONTROLE DE PATRIMONIO</v>
      </c>
      <c r="C194" s="2" t="str">
        <f t="shared" si="17"/>
        <v>CONTR</v>
      </c>
      <c r="D194" s="2" t="str">
        <f t="shared" si="18"/>
        <v>ACPR</v>
      </c>
      <c r="E194" s="2" t="str">
        <f>"WIN_PRINCIPAL"</f>
        <v>WIN_PRINCIPAL</v>
      </c>
      <c r="F194" s="2" t="str">
        <f>"M_INVENTARIO_PATR"</f>
        <v>M_INVENTARIO_PATR</v>
      </c>
      <c r="G194" s="2" t="str">
        <f>"Materiais e Logística / Patrimônio / Inventário / Abertura e Fechamento (M_INVENTARIO_PATR)"</f>
        <v>Materiais e Logística / Patrimônio / Inventário / Abertura e Fechamento (M_INVENTARIO_PATR)</v>
      </c>
    </row>
    <row r="195" spans="1:7" x14ac:dyDescent="0.3">
      <c r="A195" s="1" t="s">
        <v>1</v>
      </c>
      <c r="B195" s="2" t="str">
        <f t="shared" si="16"/>
        <v>SISTEMA DE  CONTROLE DE PATRIMONIO</v>
      </c>
      <c r="C195" s="2" t="str">
        <f t="shared" si="17"/>
        <v>CONTR</v>
      </c>
      <c r="D195" s="2" t="str">
        <f t="shared" si="18"/>
        <v>ACPR</v>
      </c>
      <c r="E195" s="2" t="str">
        <f>"REAVALIAÇÃO DE BENS"</f>
        <v>REAVALIAÇÃO DE BENS</v>
      </c>
      <c r="F195" s="2" t="str">
        <f>"M_BENS_REAVALIACAO"</f>
        <v>M_BENS_REAVALIACAO</v>
      </c>
      <c r="G195" s="2" t="str">
        <f>"Materiais e Logística / Patrimônio / Gerenciamento / Reavaliação de Bens (M_BENS_REAVALIACAO)"</f>
        <v>Materiais e Logística / Patrimônio / Gerenciamento / Reavaliação de Bens (M_BENS_REAVALIACAO)</v>
      </c>
    </row>
    <row r="196" spans="1:7" x14ac:dyDescent="0.3">
      <c r="A196" s="1" t="s">
        <v>1</v>
      </c>
      <c r="B196" s="2" t="str">
        <f t="shared" si="16"/>
        <v>SISTEMA DE  CONTROLE DE PATRIMONIO</v>
      </c>
      <c r="C196" s="2" t="str">
        <f t="shared" si="17"/>
        <v>CONTR</v>
      </c>
      <c r="D196" s="2" t="str">
        <f t="shared" si="18"/>
        <v>ACPR</v>
      </c>
      <c r="E196" s="2" t="str">
        <f>"RELATÓRIO DE POSIÇÃO PATRIMONIAL"</f>
        <v>RELATÓRIO DE POSIÇÃO PATRIMONIAL</v>
      </c>
      <c r="F196" s="2" t="str">
        <f>"R_POSICAO_PATRIMONIO"</f>
        <v>R_POSICAO_PATRIMONIO</v>
      </c>
      <c r="G196" s="2" t="str">
        <f>"Materiais e Logística / Patrimônio / Relatórios / Gerenciais / Posição Patrimonial (R_POSICAO_PATRIMONIO)"</f>
        <v>Materiais e Logística / Patrimônio / Relatórios / Gerenciais / Posição Patrimonial (R_POSICAO_PATRIMONIO)</v>
      </c>
    </row>
    <row r="197" spans="1:7" x14ac:dyDescent="0.3">
      <c r="A197" s="1" t="s">
        <v>1</v>
      </c>
      <c r="B197" s="2" t="str">
        <f t="shared" si="16"/>
        <v>SISTEMA DE  CONTROLE DE PATRIMONIO</v>
      </c>
      <c r="C197" s="2" t="str">
        <f t="shared" si="17"/>
        <v>CONTR</v>
      </c>
      <c r="D197" s="2" t="str">
        <f t="shared" si="18"/>
        <v>ACPR</v>
      </c>
      <c r="E197" s="2" t="str">
        <f>"TERMO DE RESPONSABILIDADE DE BENS MÓVEIS"</f>
        <v>TERMO DE RESPONSABILIDADE DE BENS MÓVEIS</v>
      </c>
      <c r="F197" s="2" t="str">
        <f>"R_TERMO_RESP_ACPR"</f>
        <v>R_TERMO_RESP_ACPR</v>
      </c>
      <c r="G197" s="2" t="str">
        <f>"Materiais e Logística / Patrimônio / Relatórios / Operacionais / Termo de Responsabilidade de Bens Móveis (R_TERMO_RESP_ACPR)"</f>
        <v>Materiais e Logística / Patrimônio / Relatórios / Operacionais / Termo de Responsabilidade de Bens Móveis (R_TERMO_RESP_ACPR)</v>
      </c>
    </row>
    <row r="198" spans="1:7" x14ac:dyDescent="0.3">
      <c r="A198" s="1" t="s">
        <v>1</v>
      </c>
      <c r="B198" s="2" t="str">
        <f t="shared" si="16"/>
        <v>SISTEMA DE  CONTROLE DE PATRIMONIO</v>
      </c>
      <c r="C198" s="2" t="str">
        <f t="shared" si="17"/>
        <v>CONTR</v>
      </c>
      <c r="D198" s="2" t="str">
        <f t="shared" si="18"/>
        <v>ACPR</v>
      </c>
      <c r="E198" s="2" t="str">
        <f>"BAIXA DE BENS POR MOTIVO"</f>
        <v>BAIXA DE BENS POR MOTIVO</v>
      </c>
      <c r="F198" s="2" t="str">
        <f>"R_BEMS_BAIXADOS"</f>
        <v>R_BEMS_BAIXADOS</v>
      </c>
      <c r="G198" s="2" t="str">
        <f t="shared" ref="G198:G203" si="19">" ()"</f>
        <v xml:space="preserve"> ()</v>
      </c>
    </row>
    <row r="199" spans="1:7" x14ac:dyDescent="0.3">
      <c r="A199" s="1" t="s">
        <v>1</v>
      </c>
      <c r="B199" s="2" t="str">
        <f t="shared" si="16"/>
        <v>SISTEMA DE  CONTROLE DE PATRIMONIO</v>
      </c>
      <c r="C199" s="2" t="str">
        <f t="shared" si="17"/>
        <v>CONTR</v>
      </c>
      <c r="D199" s="2" t="str">
        <f t="shared" si="18"/>
        <v>ACPR</v>
      </c>
      <c r="E199" s="2" t="str">
        <f>"RELATÓRIO DE DEPRECIAÇÃO DE BENS"</f>
        <v>RELATÓRIO DE DEPRECIAÇÃO DE BENS</v>
      </c>
      <c r="F199" s="2" t="str">
        <f>"R_BEMS_DEPRECIACAO"</f>
        <v>R_BEMS_DEPRECIACAO</v>
      </c>
      <c r="G199" s="2" t="str">
        <f t="shared" si="19"/>
        <v xml:space="preserve"> ()</v>
      </c>
    </row>
    <row r="200" spans="1:7" x14ac:dyDescent="0.3">
      <c r="A200" s="1" t="s">
        <v>1</v>
      </c>
      <c r="B200" s="2" t="str">
        <f t="shared" si="16"/>
        <v>SISTEMA DE  CONTROLE DE PATRIMONIO</v>
      </c>
      <c r="C200" s="2" t="str">
        <f t="shared" si="17"/>
        <v>CONTR</v>
      </c>
      <c r="D200" s="2" t="str">
        <f t="shared" si="18"/>
        <v>ACPR</v>
      </c>
      <c r="E200" s="2" t="str">
        <f>"R_CLAS_BEM_CONVERT"</f>
        <v>R_CLAS_BEM_CONVERT</v>
      </c>
      <c r="F200" s="2" t="str">
        <f>"R_CLAS_BEM_CONVERT"</f>
        <v>R_CLAS_BEM_CONVERT</v>
      </c>
      <c r="G200" s="2" t="str">
        <f t="shared" si="19"/>
        <v xml:space="preserve"> ()</v>
      </c>
    </row>
    <row r="201" spans="1:7" x14ac:dyDescent="0.3">
      <c r="A201" s="1" t="s">
        <v>1</v>
      </c>
      <c r="B201" s="2" t="str">
        <f t="shared" si="16"/>
        <v>SISTEMA DE  CONTROLE DE PATRIMONIO</v>
      </c>
      <c r="C201" s="2" t="str">
        <f t="shared" si="17"/>
        <v>CONTR</v>
      </c>
      <c r="D201" s="2" t="str">
        <f t="shared" si="18"/>
        <v>ACPR</v>
      </c>
      <c r="E201" s="2" t="str">
        <f>"R_CALEDARIO"</f>
        <v>R_CALEDARIO</v>
      </c>
      <c r="F201" s="2" t="str">
        <f>"R_CALEDARIO"</f>
        <v>R_CALEDARIO</v>
      </c>
      <c r="G201" s="2" t="str">
        <f t="shared" si="19"/>
        <v xml:space="preserve"> ()</v>
      </c>
    </row>
    <row r="202" spans="1:7" x14ac:dyDescent="0.3">
      <c r="A202" s="1" t="s">
        <v>1</v>
      </c>
      <c r="B202" s="2" t="str">
        <f t="shared" si="16"/>
        <v>SISTEMA DE  CONTROLE DE PATRIMONIO</v>
      </c>
      <c r="C202" s="2" t="str">
        <f t="shared" si="17"/>
        <v>CONTR</v>
      </c>
      <c r="D202" s="2" t="str">
        <f t="shared" si="18"/>
        <v>ACPR</v>
      </c>
      <c r="E202" s="2" t="str">
        <f>"M_BAIXA_BEM_ANT"</f>
        <v>M_BAIXA_BEM_ANT</v>
      </c>
      <c r="F202" s="2" t="str">
        <f>"M_BAIXA_BEM_ANT"</f>
        <v>M_BAIXA_BEM_ANT</v>
      </c>
      <c r="G202" s="2" t="str">
        <f t="shared" si="19"/>
        <v xml:space="preserve"> ()</v>
      </c>
    </row>
    <row r="203" spans="1:7" x14ac:dyDescent="0.3">
      <c r="A203" s="1" t="s">
        <v>1</v>
      </c>
      <c r="B203" s="2" t="str">
        <f t="shared" si="16"/>
        <v>SISTEMA DE  CONTROLE DE PATRIMONIO</v>
      </c>
      <c r="C203" s="2" t="str">
        <f t="shared" si="17"/>
        <v>CONTR</v>
      </c>
      <c r="D203" s="2" t="str">
        <f t="shared" si="18"/>
        <v>ACPR</v>
      </c>
      <c r="E203" s="2" t="str">
        <f>"M_AGE_MANUT"</f>
        <v>M_AGE_MANUT</v>
      </c>
      <c r="F203" s="2" t="str">
        <f>"M_AGE_MANUT"</f>
        <v>M_AGE_MANUT</v>
      </c>
      <c r="G203" s="2" t="str">
        <f t="shared" si="19"/>
        <v xml:space="preserve"> ()</v>
      </c>
    </row>
    <row r="204" spans="1:7" x14ac:dyDescent="0.3">
      <c r="A204" s="1" t="s">
        <v>1</v>
      </c>
      <c r="B204" s="2" t="str">
        <f t="shared" si="16"/>
        <v>SISTEMA DE  CONTROLE DE PATRIMONIO</v>
      </c>
      <c r="C204" s="2" t="str">
        <f t="shared" si="17"/>
        <v>CONTR</v>
      </c>
      <c r="D204" s="2" t="str">
        <f t="shared" si="18"/>
        <v>ACPR</v>
      </c>
      <c r="E204" s="2" t="str">
        <f>"RELATÓRIO DE BENS AGREGADOS"</f>
        <v>RELATÓRIO DE BENS AGREGADOS</v>
      </c>
      <c r="F204" s="2" t="str">
        <f>"R_BENS_AGREGADOS"</f>
        <v>R_BENS_AGREGADOS</v>
      </c>
      <c r="G204" s="2" t="str">
        <f>"Materiais e Logística / Patrimônio / Relatórios / Operacionais / Bens Agregados (R_BENS_AGREGADOS)"</f>
        <v>Materiais e Logística / Patrimônio / Relatórios / Operacionais / Bens Agregados (R_BENS_AGREGADOS)</v>
      </c>
    </row>
    <row r="205" spans="1:7" x14ac:dyDescent="0.3">
      <c r="A205" s="1" t="s">
        <v>1</v>
      </c>
      <c r="B205" s="2" t="str">
        <f t="shared" ref="B205:B234" si="20">"SISTEMA DE  CONTROLE DE PATRIMONIO"</f>
        <v>SISTEMA DE  CONTROLE DE PATRIMONIO</v>
      </c>
      <c r="C205" s="2" t="str">
        <f t="shared" ref="C205:C234" si="21">"CONTR"</f>
        <v>CONTR</v>
      </c>
      <c r="D205" s="2" t="str">
        <f t="shared" ref="D205:D234" si="22">"ACPR"</f>
        <v>ACPR</v>
      </c>
      <c r="E205" s="2" t="str">
        <f>"M HAB ESPEC: JANELA 0"</f>
        <v>M HAB ESPEC: JANELA 0</v>
      </c>
      <c r="F205" s="2" t="str">
        <f>"M_HAB_ESPEC"</f>
        <v>M_HAB_ESPEC</v>
      </c>
      <c r="G205" s="2" t="str">
        <f>" ()"</f>
        <v xml:space="preserve"> ()</v>
      </c>
    </row>
    <row r="206" spans="1:7" x14ac:dyDescent="0.3">
      <c r="A206" s="1" t="s">
        <v>1</v>
      </c>
      <c r="B206" s="2" t="str">
        <f t="shared" si="20"/>
        <v>SISTEMA DE  CONTROLE DE PATRIMONIO</v>
      </c>
      <c r="C206" s="2" t="str">
        <f t="shared" si="21"/>
        <v>CONTR</v>
      </c>
      <c r="D206" s="2" t="str">
        <f t="shared" si="22"/>
        <v>ACPR</v>
      </c>
      <c r="E206" s="2" t="str">
        <f>"IDENTIFICAÇÃO"</f>
        <v>IDENTIFICAÇÃO</v>
      </c>
      <c r="F206" s="2" t="str">
        <f>"ACPR"</f>
        <v>ACPR</v>
      </c>
      <c r="G206" s="2" t="str">
        <f>" ()"</f>
        <v xml:space="preserve"> ()</v>
      </c>
    </row>
    <row r="207" spans="1:7" x14ac:dyDescent="0.3">
      <c r="A207" s="1" t="s">
        <v>1</v>
      </c>
      <c r="B207" s="2" t="str">
        <f t="shared" si="20"/>
        <v>SISTEMA DE  CONTROLE DE PATRIMONIO</v>
      </c>
      <c r="C207" s="2" t="str">
        <f t="shared" si="21"/>
        <v>CONTR</v>
      </c>
      <c r="D207" s="2" t="str">
        <f t="shared" si="22"/>
        <v>ACPR</v>
      </c>
      <c r="E207" s="2" t="str">
        <f>"R_LCTO_PATR_CTA_CONTAB"</f>
        <v>R_LCTO_PATR_CTA_CONTAB</v>
      </c>
      <c r="F207" s="2" t="str">
        <f>"R_LCTO_PATR_CTA_CONTAB"</f>
        <v>R_LCTO_PATR_CTA_CONTAB</v>
      </c>
      <c r="G207" s="2" t="str">
        <f>"Materiais e Logística / Patrimônio / Relatórios / Gerenciais / Lançamentos Patrimonias por Contas Contábeis (R_LCTO_PATR_CTA_CONTAB)"</f>
        <v>Materiais e Logística / Patrimônio / Relatórios / Gerenciais / Lançamentos Patrimonias por Contas Contábeis (R_LCTO_PATR_CTA_CONTAB)</v>
      </c>
    </row>
    <row r="208" spans="1:7" x14ac:dyDescent="0.3">
      <c r="A208" s="1" t="s">
        <v>1</v>
      </c>
      <c r="B208" s="2" t="str">
        <f t="shared" si="20"/>
        <v>SISTEMA DE  CONTROLE DE PATRIMONIO</v>
      </c>
      <c r="C208" s="2" t="str">
        <f t="shared" si="21"/>
        <v>CONTR</v>
      </c>
      <c r="D208" s="2" t="str">
        <f t="shared" si="22"/>
        <v>ACPR</v>
      </c>
      <c r="E208" s="2" t="str">
        <f>"MOTIVOS DE BAIXA DE BENS"</f>
        <v>MOTIVOS DE BAIXA DE BENS</v>
      </c>
      <c r="F208" s="2" t="str">
        <f>"BENS_AGREGADOS"</f>
        <v>BENS_AGREGADOS</v>
      </c>
      <c r="G208" s="2" t="str">
        <f>" ()"</f>
        <v xml:space="preserve"> ()</v>
      </c>
    </row>
    <row r="209" spans="1:7" x14ac:dyDescent="0.3">
      <c r="A209" s="1" t="s">
        <v>1</v>
      </c>
      <c r="B209" s="2" t="str">
        <f t="shared" si="20"/>
        <v>SISTEMA DE  CONTROLE DE PATRIMONIO</v>
      </c>
      <c r="C209" s="2" t="str">
        <f t="shared" si="21"/>
        <v>CONTR</v>
      </c>
      <c r="D209" s="2" t="str">
        <f t="shared" si="22"/>
        <v>ACPR</v>
      </c>
      <c r="E209" s="2" t="str">
        <f>"MENU PRINCIPAL - HOSPITAL MV SISTEMAS"</f>
        <v>MENU PRINCIPAL - HOSPITAL MV SISTEMAS</v>
      </c>
      <c r="F209" s="2" t="str">
        <f>"SISTEMA"</f>
        <v>SISTEMA</v>
      </c>
      <c r="G209" s="2" t="str">
        <f>" ()"</f>
        <v xml:space="preserve"> ()</v>
      </c>
    </row>
    <row r="210" spans="1:7" x14ac:dyDescent="0.3">
      <c r="A210" s="1" t="s">
        <v>1</v>
      </c>
      <c r="B210" s="2" t="str">
        <f t="shared" si="20"/>
        <v>SISTEMA DE  CONTROLE DE PATRIMONIO</v>
      </c>
      <c r="C210" s="2" t="str">
        <f t="shared" si="21"/>
        <v>CONTR</v>
      </c>
      <c r="D210" s="2" t="str">
        <f t="shared" si="22"/>
        <v>ACPR</v>
      </c>
      <c r="E210" s="2" t="str">
        <f>"RELATÓRIO DE DEPRECIAÇÃO DE BENS"</f>
        <v>RELATÓRIO DE DEPRECIAÇÃO DE BENS</v>
      </c>
      <c r="F210" s="2" t="str">
        <f>"R_BENS_DEPRECIACAO"</f>
        <v>R_BENS_DEPRECIACAO</v>
      </c>
      <c r="G210" s="2" t="str">
        <f>"Materiais e Logística / Patrimônio / Relatórios / Gerenciais / Relatório de depreciação de bens (R_BENS_DEPRECIACAO)"</f>
        <v>Materiais e Logística / Patrimônio / Relatórios / Gerenciais / Relatório de depreciação de bens (R_BENS_DEPRECIACAO)</v>
      </c>
    </row>
    <row r="211" spans="1:7" x14ac:dyDescent="0.3">
      <c r="A211" s="1" t="s">
        <v>1</v>
      </c>
      <c r="B211" s="2" t="str">
        <f t="shared" si="20"/>
        <v>SISTEMA DE  CONTROLE DE PATRIMONIO</v>
      </c>
      <c r="C211" s="2" t="str">
        <f t="shared" si="21"/>
        <v>CONTR</v>
      </c>
      <c r="D211" s="2" t="str">
        <f t="shared" si="22"/>
        <v>ACPR</v>
      </c>
      <c r="E211" s="2" t="str">
        <f>"WIN_PRINCIPAL"</f>
        <v>WIN_PRINCIPAL</v>
      </c>
      <c r="F211" s="2" t="str">
        <f>"M_ALTERACAO_SUB_IOB_BEM"</f>
        <v>M_ALTERACAO_SUB_IOB_BEM</v>
      </c>
      <c r="G211" s="2" t="str">
        <f>"Materiais e Logística / Patrimônio / Gerenciamento / Alteração de Subclassificação dos Bens (M_ALTERACAO_SUB_IOB_BEM)"</f>
        <v>Materiais e Logística / Patrimônio / Gerenciamento / Alteração de Subclassificação dos Bens (M_ALTERACAO_SUB_IOB_BEM)</v>
      </c>
    </row>
    <row r="212" spans="1:7" x14ac:dyDescent="0.3">
      <c r="A212" s="1" t="s">
        <v>1</v>
      </c>
      <c r="B212" s="2" t="str">
        <f t="shared" si="20"/>
        <v>SISTEMA DE  CONTROLE DE PATRIMONIO</v>
      </c>
      <c r="C212" s="2" t="str">
        <f t="shared" si="21"/>
        <v>CONTR</v>
      </c>
      <c r="D212" s="2" t="str">
        <f t="shared" si="22"/>
        <v>ACPR</v>
      </c>
      <c r="E212" s="2" t="str">
        <f>"MOTIVOS DE BAIXA DE BENS"</f>
        <v>MOTIVOS DE BAIXA DE BENS</v>
      </c>
      <c r="F212" s="2" t="str">
        <f>"M_ENTIDADE"</f>
        <v>M_ENTIDADE</v>
      </c>
      <c r="G212" s="2" t="str">
        <f>"Materiais e Logística / Patrimônio / Tabelas / Entidades (M_ENTIDADE)"</f>
        <v>Materiais e Logística / Patrimônio / Tabelas / Entidades (M_ENTIDADE)</v>
      </c>
    </row>
    <row r="213" spans="1:7" x14ac:dyDescent="0.3">
      <c r="A213" s="1" t="s">
        <v>1</v>
      </c>
      <c r="B213" s="2" t="str">
        <f t="shared" si="20"/>
        <v>SISTEMA DE  CONTROLE DE PATRIMONIO</v>
      </c>
      <c r="C213" s="2" t="str">
        <f t="shared" si="21"/>
        <v>CONTR</v>
      </c>
      <c r="D213" s="2" t="str">
        <f t="shared" si="22"/>
        <v>ACPR</v>
      </c>
      <c r="E213" s="2" t="str">
        <f>"WIN_PRINCIPAL"</f>
        <v>WIN_PRINCIPAL</v>
      </c>
      <c r="F213" s="2" t="str">
        <f>"M_TIPO_AQUISICAO"</f>
        <v>M_TIPO_AQUISICAO</v>
      </c>
      <c r="G213" s="2" t="str">
        <f>"Materiais e Logística / Patrimônio / Tabelas / Tipo de Aquisição (M_TIPO_AQUISICAO)"</f>
        <v>Materiais e Logística / Patrimônio / Tabelas / Tipo de Aquisição (M_TIPO_AQUISICAO)</v>
      </c>
    </row>
    <row r="214" spans="1:7" x14ac:dyDescent="0.3">
      <c r="A214" s="1" t="s">
        <v>1</v>
      </c>
      <c r="B214" s="2" t="str">
        <f t="shared" si="20"/>
        <v>SISTEMA DE  CONTROLE DE PATRIMONIO</v>
      </c>
      <c r="C214" s="2" t="str">
        <f t="shared" si="21"/>
        <v>CONTR</v>
      </c>
      <c r="D214" s="2" t="str">
        <f t="shared" si="22"/>
        <v>ACPR</v>
      </c>
      <c r="E214" s="2" t="str">
        <f>"LISTAGEM DE BENS POR CLASSIFICAÇÃO IOB"</f>
        <v>LISTAGEM DE BENS POR CLASSIFICAÇÃO IOB</v>
      </c>
      <c r="F214" s="2" t="str">
        <f>"R_BENS_CLASSIF_IOB"</f>
        <v>R_BENS_CLASSIF_IOB</v>
      </c>
      <c r="G214" s="2" t="str">
        <f>"Materiais e Logística / Patrimônio / Relatórios / Operacionais / Bens por Classificação (R_BENS_CLASSIF_IOB)"</f>
        <v>Materiais e Logística / Patrimônio / Relatórios / Operacionais / Bens por Classificação (R_BENS_CLASSIF_IOB)</v>
      </c>
    </row>
    <row r="215" spans="1:7" x14ac:dyDescent="0.3">
      <c r="A215" s="1" t="s">
        <v>1</v>
      </c>
      <c r="B215" s="2" t="str">
        <f t="shared" si="20"/>
        <v>SISTEMA DE  CONTROLE DE PATRIMONIO</v>
      </c>
      <c r="C215" s="2" t="str">
        <f t="shared" si="21"/>
        <v>CONTR</v>
      </c>
      <c r="D215" s="2" t="str">
        <f t="shared" si="22"/>
        <v>ACPR</v>
      </c>
      <c r="E215" s="2" t="str">
        <f>"RELATÓRIO DOS BENS SEGURADOS SINT."</f>
        <v>RELATÓRIO DOS BENS SEGURADOS SINT.</v>
      </c>
      <c r="F215" s="2" t="str">
        <f>"R_BENS_SEGURADOS_SINT"</f>
        <v>R_BENS_SEGURADOS_SINT</v>
      </c>
      <c r="G215" s="2" t="str">
        <f t="shared" ref="G215:G235" si="23">" ()"</f>
        <v xml:space="preserve"> ()</v>
      </c>
    </row>
    <row r="216" spans="1:7" x14ac:dyDescent="0.3">
      <c r="A216" s="1" t="s">
        <v>1</v>
      </c>
      <c r="B216" s="2" t="str">
        <f t="shared" si="20"/>
        <v>SISTEMA DE  CONTROLE DE PATRIMONIO</v>
      </c>
      <c r="C216" s="2" t="str">
        <f t="shared" si="21"/>
        <v>CONTR</v>
      </c>
      <c r="D216" s="2" t="str">
        <f t="shared" si="22"/>
        <v>ACPR</v>
      </c>
      <c r="E216" s="2" t="str">
        <f>"LANÇAMENTOS PATRIMONIAIS POR CONTA"</f>
        <v>LANÇAMENTOS PATRIMONIAIS POR CONTA</v>
      </c>
      <c r="F216" s="2" t="str">
        <f>"R_LCTO_PATR_CTA_CONTAB.RDF"</f>
        <v>R_LCTO_PATR_CTA_CONTAB.RDF</v>
      </c>
      <c r="G216" s="2" t="str">
        <f t="shared" si="23"/>
        <v xml:space="preserve"> ()</v>
      </c>
    </row>
    <row r="217" spans="1:7" x14ac:dyDescent="0.3">
      <c r="A217" s="1" t="s">
        <v>1</v>
      </c>
      <c r="B217" s="2" t="str">
        <f t="shared" si="20"/>
        <v>SISTEMA DE  CONTROLE DE PATRIMONIO</v>
      </c>
      <c r="C217" s="2" t="str">
        <f t="shared" si="21"/>
        <v>CONTR</v>
      </c>
      <c r="D217" s="2" t="str">
        <f t="shared" si="22"/>
        <v>ACPR</v>
      </c>
      <c r="E217" s="2" t="str">
        <f>"REL. DE CLASSIFICAÇÃO DOS BENS"</f>
        <v>REL. DE CLASSIFICAÇÃO DOS BENS</v>
      </c>
      <c r="F217" s="2" t="str">
        <f>"R_CLASS_BENS.RDF"</f>
        <v>R_CLASS_BENS.RDF</v>
      </c>
      <c r="G217" s="2" t="str">
        <f t="shared" si="23"/>
        <v xml:space="preserve"> ()</v>
      </c>
    </row>
    <row r="218" spans="1:7" x14ac:dyDescent="0.3">
      <c r="A218" s="1" t="s">
        <v>1</v>
      </c>
      <c r="B218" s="2" t="str">
        <f t="shared" si="20"/>
        <v>SISTEMA DE  CONTROLE DE PATRIMONIO</v>
      </c>
      <c r="C218" s="2" t="str">
        <f t="shared" si="21"/>
        <v>CONTR</v>
      </c>
      <c r="D218" s="2" t="str">
        <f t="shared" si="22"/>
        <v>ACPR</v>
      </c>
      <c r="E218" s="2" t="str">
        <f>"RELATÓRIO DE DEPRECIAÇÃO DE BENS"</f>
        <v>RELATÓRIO DE DEPRECIAÇÃO DE BENS</v>
      </c>
      <c r="F218" s="2" t="str">
        <f>"R_BENS_DEPRECIACAO.RDF"</f>
        <v>R_BENS_DEPRECIACAO.RDF</v>
      </c>
      <c r="G218" s="2" t="str">
        <f t="shared" si="23"/>
        <v xml:space="preserve"> ()</v>
      </c>
    </row>
    <row r="219" spans="1:7" x14ac:dyDescent="0.3">
      <c r="A219" s="1" t="s">
        <v>1</v>
      </c>
      <c r="B219" s="2" t="str">
        <f t="shared" si="20"/>
        <v>SISTEMA DE  CONTROLE DE PATRIMONIO</v>
      </c>
      <c r="C219" s="2" t="str">
        <f t="shared" si="21"/>
        <v>CONTR</v>
      </c>
      <c r="D219" s="2" t="str">
        <f t="shared" si="22"/>
        <v>ACPR</v>
      </c>
      <c r="E219" s="2" t="str">
        <f>"RELATÓRIO DE RAZÃO AUXILIAR"</f>
        <v>RELATÓRIO DE RAZÃO AUXILIAR</v>
      </c>
      <c r="F219" s="2" t="str">
        <f>"R_RAZAO_PATRIMONIAL.RDF"</f>
        <v>R_RAZAO_PATRIMONIAL.RDF</v>
      </c>
      <c r="G219" s="2" t="str">
        <f t="shared" si="23"/>
        <v xml:space="preserve"> ()</v>
      </c>
    </row>
    <row r="220" spans="1:7" x14ac:dyDescent="0.3">
      <c r="A220" s="1" t="s">
        <v>1</v>
      </c>
      <c r="B220" s="2" t="str">
        <f t="shared" si="20"/>
        <v>SISTEMA DE  CONTROLE DE PATRIMONIO</v>
      </c>
      <c r="C220" s="2" t="str">
        <f t="shared" si="21"/>
        <v>CONTR</v>
      </c>
      <c r="D220" s="2" t="str">
        <f t="shared" si="22"/>
        <v>ACPR</v>
      </c>
      <c r="E220" s="2" t="str">
        <f>"LIST. BENS ADQUIRIDOS POR PERÍODO"</f>
        <v>LIST. BENS ADQUIRIDOS POR PERÍODO</v>
      </c>
      <c r="F220" s="2" t="str">
        <f>"R_BENS_ADQUIRIDOS.RDF"</f>
        <v>R_BENS_ADQUIRIDOS.RDF</v>
      </c>
      <c r="G220" s="2" t="str">
        <f t="shared" si="23"/>
        <v xml:space="preserve"> ()</v>
      </c>
    </row>
    <row r="221" spans="1:7" x14ac:dyDescent="0.3">
      <c r="A221" s="1" t="s">
        <v>1</v>
      </c>
      <c r="B221" s="2" t="str">
        <f t="shared" si="20"/>
        <v>SISTEMA DE  CONTROLE DE PATRIMONIO</v>
      </c>
      <c r="C221" s="2" t="str">
        <f t="shared" si="21"/>
        <v>CONTR</v>
      </c>
      <c r="D221" s="2" t="str">
        <f t="shared" si="22"/>
        <v>ACPR</v>
      </c>
      <c r="E221" s="2" t="str">
        <f>"HIST. DEPREC. DE BENS POR CLASSIFICAÇÃO"</f>
        <v>HIST. DEPREC. DE BENS POR CLASSIFICAÇÃO</v>
      </c>
      <c r="F221" s="2" t="str">
        <f>"R_DEPREC_IOB.RDF"</f>
        <v>R_DEPREC_IOB.RDF</v>
      </c>
      <c r="G221" s="2" t="str">
        <f t="shared" si="23"/>
        <v xml:space="preserve"> ()</v>
      </c>
    </row>
    <row r="222" spans="1:7" x14ac:dyDescent="0.3">
      <c r="A222" s="1" t="s">
        <v>1</v>
      </c>
      <c r="B222" s="2" t="str">
        <f t="shared" si="20"/>
        <v>SISTEMA DE  CONTROLE DE PATRIMONIO</v>
      </c>
      <c r="C222" s="2" t="str">
        <f t="shared" si="21"/>
        <v>CONTR</v>
      </c>
      <c r="D222" s="2" t="str">
        <f t="shared" si="22"/>
        <v>ACPR</v>
      </c>
      <c r="E222" s="2" t="str">
        <f>"HIST. DEPRECIAÇÃO DE BENS POR CLASSIFIC."</f>
        <v>HIST. DEPRECIAÇÃO DE BENS POR CLASSIFIC.</v>
      </c>
      <c r="F222" s="2" t="str">
        <f>"R_HIST_DEPREC_IOB.RDF"</f>
        <v>R_HIST_DEPREC_IOB.RDF</v>
      </c>
      <c r="G222" s="2" t="str">
        <f t="shared" si="23"/>
        <v xml:space="preserve"> ()</v>
      </c>
    </row>
    <row r="223" spans="1:7" x14ac:dyDescent="0.3">
      <c r="A223" s="1" t="s">
        <v>1</v>
      </c>
      <c r="B223" s="2" t="str">
        <f t="shared" si="20"/>
        <v>SISTEMA DE  CONTROLE DE PATRIMONIO</v>
      </c>
      <c r="C223" s="2" t="str">
        <f t="shared" si="21"/>
        <v>CONTR</v>
      </c>
      <c r="D223" s="2" t="str">
        <f t="shared" si="22"/>
        <v>ACPR</v>
      </c>
      <c r="E223" s="2" t="str">
        <f>"REL. DE DEPRECIAÇÃO DE BENS"</f>
        <v>REL. DE DEPRECIAÇÃO DE BENS</v>
      </c>
      <c r="F223" s="2" t="str">
        <f>"R_HIST_DEPREC.RDF"</f>
        <v>R_HIST_DEPREC.RDF</v>
      </c>
      <c r="G223" s="2" t="str">
        <f t="shared" si="23"/>
        <v xml:space="preserve"> ()</v>
      </c>
    </row>
    <row r="224" spans="1:7" x14ac:dyDescent="0.3">
      <c r="A224" s="1" t="s">
        <v>1</v>
      </c>
      <c r="B224" s="2" t="str">
        <f t="shared" si="20"/>
        <v>SISTEMA DE  CONTROLE DE PATRIMONIO</v>
      </c>
      <c r="C224" s="2" t="str">
        <f t="shared" si="21"/>
        <v>CONTR</v>
      </c>
      <c r="D224" s="2" t="str">
        <f t="shared" si="22"/>
        <v>ACPR</v>
      </c>
      <c r="E224" s="2" t="str">
        <f>"REL. DE TERMO DE RESPONS. BENS MÓVEIS"</f>
        <v>REL. DE TERMO DE RESPONS. BENS MÓVEIS</v>
      </c>
      <c r="F224" s="2" t="str">
        <f>"R_TERMO_RESP_ACPR.RDF"</f>
        <v>R_TERMO_RESP_ACPR.RDF</v>
      </c>
      <c r="G224" s="2" t="str">
        <f t="shared" si="23"/>
        <v xml:space="preserve"> ()</v>
      </c>
    </row>
    <row r="225" spans="1:7" x14ac:dyDescent="0.3">
      <c r="A225" s="1" t="s">
        <v>1</v>
      </c>
      <c r="B225" s="2" t="str">
        <f t="shared" si="20"/>
        <v>SISTEMA DE  CONTROLE DE PATRIMONIO</v>
      </c>
      <c r="C225" s="2" t="str">
        <f t="shared" si="21"/>
        <v>CONTR</v>
      </c>
      <c r="D225" s="2" t="str">
        <f t="shared" si="22"/>
        <v>ACPR</v>
      </c>
      <c r="E225" s="2" t="str">
        <f>"REL. BAIXA DE BENS POR PERÍODO"</f>
        <v>REL. BAIXA DE BENS POR PERÍODO</v>
      </c>
      <c r="F225" s="2" t="str">
        <f>"R_BAIXA_BEM.RDF"</f>
        <v>R_BAIXA_BEM.RDF</v>
      </c>
      <c r="G225" s="2" t="str">
        <f t="shared" si="23"/>
        <v xml:space="preserve"> ()</v>
      </c>
    </row>
    <row r="226" spans="1:7" x14ac:dyDescent="0.3">
      <c r="A226" s="1" t="s">
        <v>1</v>
      </c>
      <c r="B226" s="2" t="str">
        <f t="shared" si="20"/>
        <v>SISTEMA DE  CONTROLE DE PATRIMONIO</v>
      </c>
      <c r="C226" s="2" t="str">
        <f t="shared" si="21"/>
        <v>CONTR</v>
      </c>
      <c r="D226" s="2" t="str">
        <f t="shared" si="22"/>
        <v>ACPR</v>
      </c>
      <c r="E226" s="2" t="str">
        <f>"REL. BENS BAIXADOS POR SETOR E LOCAL."</f>
        <v>REL. BENS BAIXADOS POR SETOR E LOCAL.</v>
      </c>
      <c r="F226" s="2" t="str">
        <f>"R_BAIXA_BEM_SET.RDF"</f>
        <v>R_BAIXA_BEM_SET.RDF</v>
      </c>
      <c r="G226" s="2" t="str">
        <f t="shared" si="23"/>
        <v xml:space="preserve"> ()</v>
      </c>
    </row>
    <row r="227" spans="1:7" x14ac:dyDescent="0.3">
      <c r="A227" s="1" t="s">
        <v>1</v>
      </c>
      <c r="B227" s="2" t="str">
        <f t="shared" si="20"/>
        <v>SISTEMA DE  CONTROLE DE PATRIMONIO</v>
      </c>
      <c r="C227" s="2" t="str">
        <f t="shared" si="21"/>
        <v>CONTR</v>
      </c>
      <c r="D227" s="2" t="str">
        <f t="shared" si="22"/>
        <v>ACPR</v>
      </c>
      <c r="E227" s="2" t="str">
        <f>"REL. DE HIST. DE MOVIMENTAÇÕES DE BENS"</f>
        <v>REL. DE HIST. DE MOVIMENTAÇÕES DE BENS</v>
      </c>
      <c r="F227" s="2" t="str">
        <f>"R_HIST_MOV.RDF"</f>
        <v>R_HIST_MOV.RDF</v>
      </c>
      <c r="G227" s="2" t="str">
        <f t="shared" si="23"/>
        <v xml:space="preserve"> ()</v>
      </c>
    </row>
    <row r="228" spans="1:7" x14ac:dyDescent="0.3">
      <c r="A228" s="1" t="s">
        <v>1</v>
      </c>
      <c r="B228" s="2" t="str">
        <f t="shared" si="20"/>
        <v>SISTEMA DE  CONTROLE DE PATRIMONIO</v>
      </c>
      <c r="C228" s="2" t="str">
        <f t="shared" si="21"/>
        <v>CONTR</v>
      </c>
      <c r="D228" s="2" t="str">
        <f t="shared" si="22"/>
        <v>ACPR</v>
      </c>
      <c r="E228" s="2" t="str">
        <f>"REL. DE HISTÓRICO DE SEGUROS DE BENS"</f>
        <v>REL. DE HISTÓRICO DE SEGUROS DE BENS</v>
      </c>
      <c r="F228" s="2" t="str">
        <f>"R_HIST_SEGUROS.RDF"</f>
        <v>R_HIST_SEGUROS.RDF</v>
      </c>
      <c r="G228" s="2" t="str">
        <f t="shared" si="23"/>
        <v xml:space="preserve"> ()</v>
      </c>
    </row>
    <row r="229" spans="1:7" x14ac:dyDescent="0.3">
      <c r="A229" s="1" t="s">
        <v>1</v>
      </c>
      <c r="B229" s="2" t="str">
        <f t="shared" si="20"/>
        <v>SISTEMA DE  CONTROLE DE PATRIMONIO</v>
      </c>
      <c r="C229" s="2" t="str">
        <f t="shared" si="21"/>
        <v>CONTR</v>
      </c>
      <c r="D229" s="2" t="str">
        <f t="shared" si="22"/>
        <v>ACPR</v>
      </c>
      <c r="E229" s="2" t="str">
        <f>"REL. BENS SEGURADOS"</f>
        <v>REL. BENS SEGURADOS</v>
      </c>
      <c r="F229" s="2" t="str">
        <f>"R_BENS_SEGURADOS.RDF"</f>
        <v>R_BENS_SEGURADOS.RDF</v>
      </c>
      <c r="G229" s="2" t="str">
        <f t="shared" si="23"/>
        <v xml:space="preserve"> ()</v>
      </c>
    </row>
    <row r="230" spans="1:7" x14ac:dyDescent="0.3">
      <c r="A230" s="1" t="s">
        <v>1</v>
      </c>
      <c r="B230" s="2" t="str">
        <f t="shared" si="20"/>
        <v>SISTEMA DE  CONTROLE DE PATRIMONIO</v>
      </c>
      <c r="C230" s="2" t="str">
        <f t="shared" si="21"/>
        <v>CONTR</v>
      </c>
      <c r="D230" s="2" t="str">
        <f t="shared" si="22"/>
        <v>ACPR</v>
      </c>
      <c r="E230" s="2" t="str">
        <f>"REL. DE CONTROLE DE CADASTRO TOMBAM."</f>
        <v>REL. DE CONTROLE DE CADASTRO TOMBAM.</v>
      </c>
      <c r="F230" s="2" t="str">
        <f>"R_CONTR_TOMB.RDF"</f>
        <v>R_CONTR_TOMB.RDF</v>
      </c>
      <c r="G230" s="2" t="str">
        <f t="shared" si="23"/>
        <v xml:space="preserve"> ()</v>
      </c>
    </row>
    <row r="231" spans="1:7" x14ac:dyDescent="0.3">
      <c r="A231" s="1" t="s">
        <v>1</v>
      </c>
      <c r="B231" s="2" t="str">
        <f t="shared" si="20"/>
        <v>SISTEMA DE  CONTROLE DE PATRIMONIO</v>
      </c>
      <c r="C231" s="2" t="str">
        <f t="shared" si="21"/>
        <v>CONTR</v>
      </c>
      <c r="D231" s="2" t="str">
        <f t="shared" si="22"/>
        <v>ACPR</v>
      </c>
      <c r="E231" s="2" t="str">
        <f>"REL. DE BENS AGREGADOS"</f>
        <v>REL. DE BENS AGREGADOS</v>
      </c>
      <c r="F231" s="2" t="str">
        <f>"R_BENS_AGREGADOS.RDF"</f>
        <v>R_BENS_AGREGADOS.RDF</v>
      </c>
      <c r="G231" s="2" t="str">
        <f t="shared" si="23"/>
        <v xml:space="preserve"> ()</v>
      </c>
    </row>
    <row r="232" spans="1:7" x14ac:dyDescent="0.3">
      <c r="A232" s="1" t="s">
        <v>1</v>
      </c>
      <c r="B232" s="2" t="str">
        <f t="shared" si="20"/>
        <v>SISTEMA DE  CONTROLE DE PATRIMONIO</v>
      </c>
      <c r="C232" s="2" t="str">
        <f t="shared" si="21"/>
        <v>CONTR</v>
      </c>
      <c r="D232" s="2" t="str">
        <f t="shared" si="22"/>
        <v>ACPR</v>
      </c>
      <c r="E232" s="2" t="str">
        <f>"REL. DE BENS POR CLASSIFICAÇÃO"</f>
        <v>REL. DE BENS POR CLASSIFICAÇÃO</v>
      </c>
      <c r="F232" s="2" t="str">
        <f>"R_BENS_CLASSIF_IOB.RDF"</f>
        <v>R_BENS_CLASSIF_IOB.RDF</v>
      </c>
      <c r="G232" s="2" t="str">
        <f t="shared" si="23"/>
        <v xml:space="preserve"> ()</v>
      </c>
    </row>
    <row r="233" spans="1:7" x14ac:dyDescent="0.3">
      <c r="A233" s="1" t="s">
        <v>1</v>
      </c>
      <c r="B233" s="2" t="str">
        <f t="shared" si="20"/>
        <v>SISTEMA DE  CONTROLE DE PATRIMONIO</v>
      </c>
      <c r="C233" s="2" t="str">
        <f t="shared" si="21"/>
        <v>CONTR</v>
      </c>
      <c r="D233" s="2" t="str">
        <f t="shared" si="22"/>
        <v>ACPR</v>
      </c>
      <c r="E233" s="2" t="str">
        <f>"REL. DE BENS POR SETOR"</f>
        <v>REL. DE BENS POR SETOR</v>
      </c>
      <c r="F233" s="2" t="str">
        <f>"R_BEM_POR_SETOR.RDF"</f>
        <v>R_BEM_POR_SETOR.RDF</v>
      </c>
      <c r="G233" s="2" t="str">
        <f t="shared" si="23"/>
        <v xml:space="preserve"> ()</v>
      </c>
    </row>
    <row r="234" spans="1:7" x14ac:dyDescent="0.3">
      <c r="A234" s="1" t="s">
        <v>1</v>
      </c>
      <c r="B234" s="2" t="str">
        <f t="shared" si="20"/>
        <v>SISTEMA DE  CONTROLE DE PATRIMONIO</v>
      </c>
      <c r="C234" s="2" t="str">
        <f t="shared" si="21"/>
        <v>CONTR</v>
      </c>
      <c r="D234" s="2" t="str">
        <f t="shared" si="22"/>
        <v>ACPR</v>
      </c>
      <c r="E234" s="2" t="str">
        <f>"REL. DE BENS/CLASSIFICAÇÃO/CENTRO CUSTO"</f>
        <v>REL. DE BENS/CLASSIFICAÇÃO/CENTRO CUSTO</v>
      </c>
      <c r="F234" s="2" t="str">
        <f>"R_BENS_LOCALIDADE.RDF"</f>
        <v>R_BENS_LOCALIDADE.RDF</v>
      </c>
      <c r="G234" s="2" t="str">
        <f t="shared" si="23"/>
        <v xml:space="preserve"> ()</v>
      </c>
    </row>
    <row r="235" spans="1:7" x14ac:dyDescent="0.3">
      <c r="A235" s="1" t="s">
        <v>1</v>
      </c>
      <c r="B235" s="2" t="str">
        <f t="shared" ref="B235:B277" si="24">"SISTEMA CONTROLE DE ROUPARIA"</f>
        <v>SISTEMA CONTROLE DE ROUPARIA</v>
      </c>
      <c r="C235" s="2" t="str">
        <f t="shared" ref="C235:C277" si="25">"APOIO"</f>
        <v>APOIO</v>
      </c>
      <c r="D235" s="2" t="str">
        <f t="shared" ref="D235:D277" si="26">"ACRO"</f>
        <v>ACRO</v>
      </c>
      <c r="E235" s="2" t="str">
        <f>"RELATÓRIO DE TIPO DE PEÇAS"</f>
        <v>RELATÓRIO DE TIPO DE PEÇAS</v>
      </c>
      <c r="F235" s="2" t="str">
        <f>"R_TIPO_PECAS.RDF"</f>
        <v>R_TIPO_PECAS.RDF</v>
      </c>
      <c r="G235" s="2" t="str">
        <f t="shared" si="23"/>
        <v xml:space="preserve"> ()</v>
      </c>
    </row>
    <row r="236" spans="1:7" x14ac:dyDescent="0.3">
      <c r="A236" s="1" t="s">
        <v>1</v>
      </c>
      <c r="B236" s="2" t="str">
        <f t="shared" si="24"/>
        <v>SISTEMA CONTROLE DE ROUPARIA</v>
      </c>
      <c r="C236" s="2" t="str">
        <f t="shared" si="25"/>
        <v>APOIO</v>
      </c>
      <c r="D236" s="2" t="str">
        <f t="shared" si="26"/>
        <v>ACRO</v>
      </c>
      <c r="E236" s="2" t="str">
        <f>"Lavanderia Entrada"</f>
        <v>Lavanderia Entrada</v>
      </c>
      <c r="F236" s="2" t="str">
        <f>"R_LAVANDERIA_ENTRADA"</f>
        <v>R_LAVANDERIA_ENTRADA</v>
      </c>
      <c r="G236" s="2" t="str">
        <f>"Serviços de Apoio / Lavanderia e Rouparia / Relatórios / Operacionais / Lavanderia Entrada (R_LAVANDERIA_ENTRADA)"</f>
        <v>Serviços de Apoio / Lavanderia e Rouparia / Relatórios / Operacionais / Lavanderia Entrada (R_LAVANDERIA_ENTRADA)</v>
      </c>
    </row>
    <row r="237" spans="1:7" x14ac:dyDescent="0.3">
      <c r="A237" s="1" t="s">
        <v>1</v>
      </c>
      <c r="B237" s="2" t="str">
        <f t="shared" si="24"/>
        <v>SISTEMA CONTROLE DE ROUPARIA</v>
      </c>
      <c r="C237" s="2" t="str">
        <f t="shared" si="25"/>
        <v>APOIO</v>
      </c>
      <c r="D237" s="2" t="str">
        <f t="shared" si="26"/>
        <v>ACRO</v>
      </c>
      <c r="E237" s="2" t="str">
        <f>"R_TAB_KIT"</f>
        <v>R_TAB_KIT</v>
      </c>
      <c r="F237" s="2" t="str">
        <f>"R_TAB_KIT"</f>
        <v>R_TAB_KIT</v>
      </c>
      <c r="G237" s="2" t="str">
        <f>" ()"</f>
        <v xml:space="preserve"> ()</v>
      </c>
    </row>
    <row r="238" spans="1:7" x14ac:dyDescent="0.3">
      <c r="A238" s="1" t="s">
        <v>1</v>
      </c>
      <c r="B238" s="2" t="str">
        <f t="shared" si="24"/>
        <v>SISTEMA CONTROLE DE ROUPARIA</v>
      </c>
      <c r="C238" s="2" t="str">
        <f t="shared" si="25"/>
        <v>APOIO</v>
      </c>
      <c r="D238" s="2" t="str">
        <f t="shared" si="26"/>
        <v>ACRO</v>
      </c>
      <c r="E238" s="2" t="str">
        <f>"PERSONALIZADOS DO ACRO"</f>
        <v>PERSONALIZADOS DO ACRO</v>
      </c>
      <c r="F238" s="2" t="str">
        <f>"R_PERSON_ACRO"</f>
        <v>R_PERSON_ACRO</v>
      </c>
      <c r="G238" s="2" t="str">
        <f>"Serviços de Apoio / Lavanderia e Rouparia / Relatórios / Personalizados (R_PERSON_ACRO)"</f>
        <v>Serviços de Apoio / Lavanderia e Rouparia / Relatórios / Personalizados (R_PERSON_ACRO)</v>
      </c>
    </row>
    <row r="239" spans="1:7" x14ac:dyDescent="0.3">
      <c r="A239" s="1" t="s">
        <v>1</v>
      </c>
      <c r="B239" s="2" t="str">
        <f t="shared" si="24"/>
        <v>SISTEMA CONTROLE DE ROUPARIA</v>
      </c>
      <c r="C239" s="2" t="str">
        <f t="shared" si="25"/>
        <v>APOIO</v>
      </c>
      <c r="D239" s="2" t="str">
        <f t="shared" si="26"/>
        <v>ACRO</v>
      </c>
      <c r="E239" s="2" t="str">
        <f>"ENTRADA (COMPOSIÇÃO DE ROUPARIA)"</f>
        <v>ENTRADA (COMPOSIÇÃO DE ROUPARIA)</v>
      </c>
      <c r="F239" s="2" t="str">
        <f>"M_ENTRADA_ACRO"</f>
        <v>M_ENTRADA_ACRO</v>
      </c>
      <c r="G239" s="2" t="str">
        <f>"Serviços de Apoio / Lavanderia e Rouparia / Movimentações / Composição da Rouparia (M_ENTRADA_ACRO)"</f>
        <v>Serviços de Apoio / Lavanderia e Rouparia / Movimentações / Composição da Rouparia (M_ENTRADA_ACRO)</v>
      </c>
    </row>
    <row r="240" spans="1:7" x14ac:dyDescent="0.3">
      <c r="A240" s="1" t="s">
        <v>1</v>
      </c>
      <c r="B240" s="2" t="str">
        <f t="shared" si="24"/>
        <v>SISTEMA CONTROLE DE ROUPARIA</v>
      </c>
      <c r="C240" s="2" t="str">
        <f t="shared" si="25"/>
        <v>APOIO</v>
      </c>
      <c r="D240" s="2" t="str">
        <f t="shared" si="26"/>
        <v>ACRO</v>
      </c>
      <c r="E240" s="2" t="str">
        <f>"PRODUÇÃO - HOSPITAL MV SISTEMAS"</f>
        <v>PRODUÇÃO - HOSPITAL MV SISTEMAS</v>
      </c>
      <c r="F240" s="2" t="str">
        <f>"M_PRODUCAO_ACRO"</f>
        <v>M_PRODUCAO_ACRO</v>
      </c>
      <c r="G240" s="2" t="str">
        <f>" ()"</f>
        <v xml:space="preserve"> ()</v>
      </c>
    </row>
    <row r="241" spans="1:7" x14ac:dyDescent="0.3">
      <c r="A241" s="1" t="s">
        <v>1</v>
      </c>
      <c r="B241" s="2" t="str">
        <f t="shared" si="24"/>
        <v>SISTEMA CONTROLE DE ROUPARIA</v>
      </c>
      <c r="C241" s="2" t="str">
        <f t="shared" si="25"/>
        <v>APOIO</v>
      </c>
      <c r="D241" s="2" t="str">
        <f t="shared" si="26"/>
        <v>ACRO</v>
      </c>
      <c r="E241" s="2" t="str">
        <f>"TIPOS DE KITS - HOSPITAL MV SISTEMAS"</f>
        <v>TIPOS DE KITS - HOSPITAL MV SISTEMAS</v>
      </c>
      <c r="F241" s="2" t="str">
        <f>"M_KIT_ACRO"</f>
        <v>M_KIT_ACRO</v>
      </c>
      <c r="G241" s="2" t="str">
        <f>"Serviços de Apoio / Lavanderia e Rouparia / Tabelas / Tipos de Kits (M_KIT_ACRO)"</f>
        <v>Serviços de Apoio / Lavanderia e Rouparia / Tabelas / Tipos de Kits (M_KIT_ACRO)</v>
      </c>
    </row>
    <row r="242" spans="1:7" x14ac:dyDescent="0.3">
      <c r="A242" s="1" t="s">
        <v>1</v>
      </c>
      <c r="B242" s="2" t="str">
        <f t="shared" si="24"/>
        <v>SISTEMA CONTROLE DE ROUPARIA</v>
      </c>
      <c r="C242" s="2" t="str">
        <f t="shared" si="25"/>
        <v>APOIO</v>
      </c>
      <c r="D242" s="2" t="str">
        <f t="shared" si="26"/>
        <v>ACRO</v>
      </c>
      <c r="E242" s="2" t="str">
        <f>"R_COTAS"</f>
        <v>R_COTAS</v>
      </c>
      <c r="F242" s="2" t="str">
        <f>"R_COTAS"</f>
        <v>R_COTAS</v>
      </c>
      <c r="G242" s="2" t="str">
        <f>"Serviços de Apoio / Lavanderia e Rouparia / Relatórios / Tabelas / Cotas por Unidade (R_COTAS)"</f>
        <v>Serviços de Apoio / Lavanderia e Rouparia / Relatórios / Tabelas / Cotas por Unidade (R_COTAS)</v>
      </c>
    </row>
    <row r="243" spans="1:7" x14ac:dyDescent="0.3">
      <c r="A243" s="1" t="s">
        <v>1</v>
      </c>
      <c r="B243" s="2" t="str">
        <f t="shared" si="24"/>
        <v>SISTEMA CONTROLE DE ROUPARIA</v>
      </c>
      <c r="C243" s="2" t="str">
        <f t="shared" si="25"/>
        <v>APOIO</v>
      </c>
      <c r="D243" s="2" t="str">
        <f t="shared" si="26"/>
        <v>ACRO</v>
      </c>
      <c r="E243" s="2" t="str">
        <f>"RELATÓRIO DE MOTIVOS DE BAIXA"</f>
        <v>RELATÓRIO DE MOTIVOS DE BAIXA</v>
      </c>
      <c r="F243" s="2" t="str">
        <f>"R_MT_BAIXA"</f>
        <v>R_MT_BAIXA</v>
      </c>
      <c r="G243" s="2" t="str">
        <f>"Serviços de Apoio / Lavanderia e Rouparia / Relatórios / Tabelas / Motivos de Baixa (R_MT_BAIXA)"</f>
        <v>Serviços de Apoio / Lavanderia e Rouparia / Relatórios / Tabelas / Motivos de Baixa (R_MT_BAIXA)</v>
      </c>
    </row>
    <row r="244" spans="1:7" x14ac:dyDescent="0.3">
      <c r="A244" s="1" t="s">
        <v>1</v>
      </c>
      <c r="B244" s="2" t="str">
        <f t="shared" si="24"/>
        <v>SISTEMA CONTROLE DE ROUPARIA</v>
      </c>
      <c r="C244" s="2" t="str">
        <f t="shared" si="25"/>
        <v>APOIO</v>
      </c>
      <c r="D244" s="2" t="str">
        <f t="shared" si="26"/>
        <v>ACRO</v>
      </c>
      <c r="E244" s="2" t="str">
        <f>"RELATÓRIO DA TABELA DE TIPOS DE ENTRADA"</f>
        <v>RELATÓRIO DA TABELA DE TIPOS DE ENTRADA</v>
      </c>
      <c r="F244" s="2" t="str">
        <f>"R_ENTRA_ROUPA"</f>
        <v>R_ENTRA_ROUPA</v>
      </c>
      <c r="G244" s="2" t="str">
        <f>"Serviços de Apoio / Lavanderia e Rouparia / Relatórios / Tabelas / Tipos de Entrada (R_ENTRA_ROUPA)"</f>
        <v>Serviços de Apoio / Lavanderia e Rouparia / Relatórios / Tabelas / Tipos de Entrada (R_ENTRA_ROUPA)</v>
      </c>
    </row>
    <row r="245" spans="1:7" x14ac:dyDescent="0.3">
      <c r="A245" s="1" t="s">
        <v>1</v>
      </c>
      <c r="B245" s="2" t="str">
        <f t="shared" si="24"/>
        <v>SISTEMA CONTROLE DE ROUPARIA</v>
      </c>
      <c r="C245" s="2" t="str">
        <f t="shared" si="25"/>
        <v>APOIO</v>
      </c>
      <c r="D245" s="2" t="str">
        <f t="shared" si="26"/>
        <v>ACRO</v>
      </c>
      <c r="E245" s="2" t="str">
        <f>"TIPOS DE ENTRADA"</f>
        <v>TIPOS DE ENTRADA</v>
      </c>
      <c r="F245" s="2" t="str">
        <f>"M_TP_ENTRADA"</f>
        <v>M_TP_ENTRADA</v>
      </c>
      <c r="G245" s="2" t="str">
        <f>"Serviços de Apoio / Lavanderia e Rouparia / Tabelas / Tipos de Entrada (M_TP_ENTRADA)"</f>
        <v>Serviços de Apoio / Lavanderia e Rouparia / Tabelas / Tipos de Entrada (M_TP_ENTRADA)</v>
      </c>
    </row>
    <row r="246" spans="1:7" x14ac:dyDescent="0.3">
      <c r="A246" s="1" t="s">
        <v>1</v>
      </c>
      <c r="B246" s="2" t="str">
        <f t="shared" si="24"/>
        <v>SISTEMA CONTROLE DE ROUPARIA</v>
      </c>
      <c r="C246" s="2" t="str">
        <f t="shared" si="25"/>
        <v>APOIO</v>
      </c>
      <c r="D246" s="2" t="str">
        <f t="shared" si="26"/>
        <v>ACRO</v>
      </c>
      <c r="E246" s="2" t="str">
        <f>"COTAS POR UNIDADE DE INTERNAÇÃO"</f>
        <v>COTAS POR UNIDADE DE INTERNAÇÃO</v>
      </c>
      <c r="F246" s="2" t="str">
        <f>"M_COTA_UNIDADE"</f>
        <v>M_COTA_UNIDADE</v>
      </c>
      <c r="G246" s="2" t="str">
        <f>"Serviços de Apoio / Lavanderia e Rouparia / Tabelas / Cotas por Unidade (M_COTA_UNIDADE)"</f>
        <v>Serviços de Apoio / Lavanderia e Rouparia / Tabelas / Cotas por Unidade (M_COTA_UNIDADE)</v>
      </c>
    </row>
    <row r="247" spans="1:7" x14ac:dyDescent="0.3">
      <c r="A247" s="1" t="s">
        <v>1</v>
      </c>
      <c r="B247" s="2" t="str">
        <f t="shared" si="24"/>
        <v>SISTEMA CONTROLE DE ROUPARIA</v>
      </c>
      <c r="C247" s="2" t="str">
        <f t="shared" si="25"/>
        <v>APOIO</v>
      </c>
      <c r="D247" s="2" t="str">
        <f t="shared" si="26"/>
        <v>ACRO</v>
      </c>
      <c r="E247" s="2" t="str">
        <f>"COTAS POR SETOR"</f>
        <v>COTAS POR SETOR</v>
      </c>
      <c r="F247" s="2" t="str">
        <f>"M_COTAS"</f>
        <v>M_COTAS</v>
      </c>
      <c r="G247" s="2" t="str">
        <f>"Serviços de Apoio / Lavanderia e Rouparia / Tabelas / Cotas por Setor (M_COTAS)"</f>
        <v>Serviços de Apoio / Lavanderia e Rouparia / Tabelas / Cotas por Setor (M_COTAS)</v>
      </c>
    </row>
    <row r="248" spans="1:7" x14ac:dyDescent="0.3">
      <c r="A248" s="1" t="s">
        <v>1</v>
      </c>
      <c r="B248" s="2" t="str">
        <f t="shared" si="24"/>
        <v>SISTEMA CONTROLE DE ROUPARIA</v>
      </c>
      <c r="C248" s="2" t="str">
        <f t="shared" si="25"/>
        <v>APOIO</v>
      </c>
      <c r="D248" s="2" t="str">
        <f t="shared" si="26"/>
        <v>ACRO</v>
      </c>
      <c r="E248" s="2" t="str">
        <f>"ENTRADA PARA A ROUPARIA"</f>
        <v>ENTRADA PARA A ROUPARIA</v>
      </c>
      <c r="F248" s="2" t="str">
        <f>"M_ENTRA_LAVA"</f>
        <v>M_ENTRA_LAVA</v>
      </c>
      <c r="G248" s="2" t="str">
        <f>"Serviços de Apoio / Lavanderia e Rouparia / Movimentações / Rouparia (M_ENTRA_LAVA)"</f>
        <v>Serviços de Apoio / Lavanderia e Rouparia / Movimentações / Rouparia (M_ENTRA_LAVA)</v>
      </c>
    </row>
    <row r="249" spans="1:7" x14ac:dyDescent="0.3">
      <c r="A249" s="1" t="s">
        <v>1</v>
      </c>
      <c r="B249" s="2" t="str">
        <f t="shared" si="24"/>
        <v>SISTEMA CONTROLE DE ROUPARIA</v>
      </c>
      <c r="C249" s="2" t="str">
        <f t="shared" si="25"/>
        <v>APOIO</v>
      </c>
      <c r="D249" s="2" t="str">
        <f t="shared" si="26"/>
        <v>ACRO</v>
      </c>
      <c r="E249" s="2" t="str">
        <f>"LAVANDERIA SAÍDA (EXTERNO)"</f>
        <v>LAVANDERIA SAÍDA (EXTERNO)</v>
      </c>
      <c r="F249" s="2" t="str">
        <f>"M_SAI_LAVA"</f>
        <v>M_SAI_LAVA</v>
      </c>
      <c r="G249" s="2" t="str">
        <f>"Serviços de Apoio / Lavanderia e Rouparia / Movimentações / Lavanderia (M_SAI_LAVA)"</f>
        <v>Serviços de Apoio / Lavanderia e Rouparia / Movimentações / Lavanderia (M_SAI_LAVA)</v>
      </c>
    </row>
    <row r="250" spans="1:7" x14ac:dyDescent="0.3">
      <c r="A250" s="1" t="s">
        <v>1</v>
      </c>
      <c r="B250" s="2" t="str">
        <f t="shared" si="24"/>
        <v>SISTEMA CONTROLE DE ROUPARIA</v>
      </c>
      <c r="C250" s="2" t="str">
        <f t="shared" si="25"/>
        <v>APOIO</v>
      </c>
      <c r="D250" s="2" t="str">
        <f t="shared" si="26"/>
        <v>ACRO</v>
      </c>
      <c r="E250" s="2" t="str">
        <f>"SAÍDA PARA SETOR"</f>
        <v>SAÍDA PARA SETOR</v>
      </c>
      <c r="F250" s="2" t="str">
        <f>"M_SAI_SETOR"</f>
        <v>M_SAI_SETOR</v>
      </c>
      <c r="G250" s="2" t="str">
        <f>"Serviços de Apoio / Lavanderia e Rouparia / Movimentações / Saídas para Setor (M_SAI_SETOR)"</f>
        <v>Serviços de Apoio / Lavanderia e Rouparia / Movimentações / Saídas para Setor (M_SAI_SETOR)</v>
      </c>
    </row>
    <row r="251" spans="1:7" x14ac:dyDescent="0.3">
      <c r="A251" s="1" t="s">
        <v>1</v>
      </c>
      <c r="B251" s="2" t="str">
        <f t="shared" si="24"/>
        <v>SISTEMA CONTROLE DE ROUPARIA</v>
      </c>
      <c r="C251" s="2" t="str">
        <f t="shared" si="25"/>
        <v>APOIO</v>
      </c>
      <c r="D251" s="2" t="str">
        <f t="shared" si="26"/>
        <v>ACRO</v>
      </c>
      <c r="E251" s="2" t="str">
        <f>"MOTIVO DA BAIXA"</f>
        <v>MOTIVO DA BAIXA</v>
      </c>
      <c r="F251" s="2" t="str">
        <f>"M_MT_BAIXA"</f>
        <v>M_MT_BAIXA</v>
      </c>
      <c r="G251" s="2" t="str">
        <f>"Serviços de Apoio / Lavanderia e Rouparia / Tabelas / Motivos da Baixa (M_MT_BAIXA)"</f>
        <v>Serviços de Apoio / Lavanderia e Rouparia / Tabelas / Motivos da Baixa (M_MT_BAIXA)</v>
      </c>
    </row>
    <row r="252" spans="1:7" x14ac:dyDescent="0.3">
      <c r="A252" s="1" t="s">
        <v>1</v>
      </c>
      <c r="B252" s="2" t="str">
        <f t="shared" si="24"/>
        <v>SISTEMA CONTROLE DE ROUPARIA</v>
      </c>
      <c r="C252" s="2" t="str">
        <f t="shared" si="25"/>
        <v>APOIO</v>
      </c>
      <c r="D252" s="2" t="str">
        <f t="shared" si="26"/>
        <v>ACRO</v>
      </c>
      <c r="E252" s="2" t="str">
        <f>"COMPOSIÇÃO DOS KITS"</f>
        <v>COMPOSIÇÃO DOS KITS</v>
      </c>
      <c r="F252" s="2" t="str">
        <f>"M_COM_KIT"</f>
        <v>M_COM_KIT</v>
      </c>
      <c r="G252" s="2" t="str">
        <f>"Serviços de Apoio / Lavanderia e Rouparia / Tabelas / Composição de Kit (M_COM_KIT)"</f>
        <v>Serviços de Apoio / Lavanderia e Rouparia / Tabelas / Composição de Kit (M_COM_KIT)</v>
      </c>
    </row>
    <row r="253" spans="1:7" x14ac:dyDescent="0.3">
      <c r="A253" s="1" t="s">
        <v>1</v>
      </c>
      <c r="B253" s="2" t="str">
        <f t="shared" si="24"/>
        <v>SISTEMA CONTROLE DE ROUPARIA</v>
      </c>
      <c r="C253" s="2" t="str">
        <f t="shared" si="25"/>
        <v>APOIO</v>
      </c>
      <c r="D253" s="2" t="str">
        <f t="shared" si="26"/>
        <v>ACRO</v>
      </c>
      <c r="E253" s="2" t="str">
        <f>"CADASTRO DE PEÇAS"</f>
        <v>CADASTRO DE PEÇAS</v>
      </c>
      <c r="F253" s="2" t="str">
        <f>"M_CAD_PECAS"</f>
        <v>M_CAD_PECAS</v>
      </c>
      <c r="G253" s="2" t="str">
        <f>"Serviços de Apoio / Lavanderia e Rouparia / Tabelas / Cadastro de Peças (M_CAD_PECAS)"</f>
        <v>Serviços de Apoio / Lavanderia e Rouparia / Tabelas / Cadastro de Peças (M_CAD_PECAS)</v>
      </c>
    </row>
    <row r="254" spans="1:7" x14ac:dyDescent="0.3">
      <c r="A254" s="1" t="s">
        <v>1</v>
      </c>
      <c r="B254" s="2" t="str">
        <f t="shared" si="24"/>
        <v>SISTEMA CONTROLE DE ROUPARIA</v>
      </c>
      <c r="C254" s="2" t="str">
        <f t="shared" si="25"/>
        <v>APOIO</v>
      </c>
      <c r="D254" s="2" t="str">
        <f t="shared" si="26"/>
        <v>ACRO</v>
      </c>
      <c r="E254" s="2" t="str">
        <f>"R_TAB_KITS"</f>
        <v>R_TAB_KITS</v>
      </c>
      <c r="F254" s="2" t="str">
        <f>"R_TAB_KITS"</f>
        <v>R_TAB_KITS</v>
      </c>
      <c r="G254" s="2" t="str">
        <f>"Serviços de Apoio / Lavanderia e Rouparia / Relatórios / Tabelas / Tipos de Kits (R_TAB_KITS)"</f>
        <v>Serviços de Apoio / Lavanderia e Rouparia / Relatórios / Tabelas / Tipos de Kits (R_TAB_KITS)</v>
      </c>
    </row>
    <row r="255" spans="1:7" x14ac:dyDescent="0.3">
      <c r="A255" s="1" t="s">
        <v>1</v>
      </c>
      <c r="B255" s="2" t="str">
        <f t="shared" si="24"/>
        <v>SISTEMA CONTROLE DE ROUPARIA</v>
      </c>
      <c r="C255" s="2" t="str">
        <f t="shared" si="25"/>
        <v>APOIO</v>
      </c>
      <c r="D255" s="2" t="str">
        <f t="shared" si="26"/>
        <v>ACRO</v>
      </c>
      <c r="E255" s="2" t="str">
        <f>"M_TR_ESTOQUE"</f>
        <v>M_TR_ESTOQUE</v>
      </c>
      <c r="F255" s="2" t="str">
        <f>"M_TR_ESTOQUE"</f>
        <v>M_TR_ESTOQUE</v>
      </c>
      <c r="G255" s="2" t="str">
        <f>" ()"</f>
        <v xml:space="preserve"> ()</v>
      </c>
    </row>
    <row r="256" spans="1:7" x14ac:dyDescent="0.3">
      <c r="A256" s="1" t="s">
        <v>1</v>
      </c>
      <c r="B256" s="2" t="str">
        <f t="shared" si="24"/>
        <v>SISTEMA CONTROLE DE ROUPARIA</v>
      </c>
      <c r="C256" s="2" t="str">
        <f t="shared" si="25"/>
        <v>APOIO</v>
      </c>
      <c r="D256" s="2" t="str">
        <f t="shared" si="26"/>
        <v>ACRO</v>
      </c>
      <c r="E256" s="2" t="str">
        <f>"M_SAI_LAVA_INT"</f>
        <v>M_SAI_LAVA_INT</v>
      </c>
      <c r="F256" s="2" t="str">
        <f>"M_SAI_LAVA_INT"</f>
        <v>M_SAI_LAVA_INT</v>
      </c>
      <c r="G256" s="2" t="str">
        <f>" ()"</f>
        <v xml:space="preserve"> ()</v>
      </c>
    </row>
    <row r="257" spans="1:7" x14ac:dyDescent="0.3">
      <c r="A257" s="1" t="s">
        <v>1</v>
      </c>
      <c r="B257" s="2" t="str">
        <f t="shared" si="24"/>
        <v>SISTEMA CONTROLE DE ROUPARIA</v>
      </c>
      <c r="C257" s="2" t="str">
        <f t="shared" si="25"/>
        <v>APOIO</v>
      </c>
      <c r="D257" s="2" t="str">
        <f t="shared" si="26"/>
        <v>ACRO</v>
      </c>
      <c r="E257" s="2" t="str">
        <f>"M_ENTRA_LAVA_INT"</f>
        <v>M_ENTRA_LAVA_INT</v>
      </c>
      <c r="F257" s="2" t="str">
        <f>"M_ENTRA_LAVA_INT"</f>
        <v>M_ENTRA_LAVA_INT</v>
      </c>
      <c r="G257" s="2" t="str">
        <f>" ()"</f>
        <v xml:space="preserve"> ()</v>
      </c>
    </row>
    <row r="258" spans="1:7" x14ac:dyDescent="0.3">
      <c r="A258" s="1" t="s">
        <v>1</v>
      </c>
      <c r="B258" s="2" t="str">
        <f t="shared" si="24"/>
        <v>SISTEMA CONTROLE DE ROUPARIA</v>
      </c>
      <c r="C258" s="2" t="str">
        <f t="shared" si="25"/>
        <v>APOIO</v>
      </c>
      <c r="D258" s="2" t="str">
        <f t="shared" si="26"/>
        <v>ACRO</v>
      </c>
      <c r="E258" s="2" t="str">
        <f>"ACRO"</f>
        <v>ACRO</v>
      </c>
      <c r="F258" s="2" t="str">
        <f>"ACRO"</f>
        <v>ACRO</v>
      </c>
      <c r="G258" s="2" t="str">
        <f>" ()"</f>
        <v xml:space="preserve"> ()</v>
      </c>
    </row>
    <row r="259" spans="1:7" x14ac:dyDescent="0.3">
      <c r="A259" s="1" t="s">
        <v>1</v>
      </c>
      <c r="B259" s="2" t="str">
        <f t="shared" si="24"/>
        <v>SISTEMA CONTROLE DE ROUPARIA</v>
      </c>
      <c r="C259" s="2" t="str">
        <f t="shared" si="25"/>
        <v>APOIO</v>
      </c>
      <c r="D259" s="2" t="str">
        <f t="shared" si="26"/>
        <v>ACRO</v>
      </c>
      <c r="E259" s="2" t="str">
        <f>"BAIXA DA ROUPARIA"</f>
        <v>BAIXA DA ROUPARIA</v>
      </c>
      <c r="F259" s="2" t="str">
        <f>"M_BAIXA_ROUPARIA"</f>
        <v>M_BAIXA_ROUPARIA</v>
      </c>
      <c r="G259" s="2" t="str">
        <f>"Serviços de Apoio / Lavanderia e Rouparia / Movimentações / Baixa (M_BAIXA_ROUPARIA)"</f>
        <v>Serviços de Apoio / Lavanderia e Rouparia / Movimentações / Baixa (M_BAIXA_ROUPARIA)</v>
      </c>
    </row>
    <row r="260" spans="1:7" x14ac:dyDescent="0.3">
      <c r="A260" s="1" t="s">
        <v>1</v>
      </c>
      <c r="B260" s="2" t="str">
        <f t="shared" si="24"/>
        <v>SISTEMA CONTROLE DE ROUPARIA</v>
      </c>
      <c r="C260" s="2" t="str">
        <f t="shared" si="25"/>
        <v>APOIO</v>
      </c>
      <c r="D260" s="2" t="str">
        <f t="shared" si="26"/>
        <v>ACRO</v>
      </c>
      <c r="E260" s="2" t="str">
        <f>"ENTRADAS"</f>
        <v>ENTRADAS</v>
      </c>
      <c r="F260" s="2" t="str">
        <f>"M_ENTRADA"</f>
        <v>M_ENTRADA</v>
      </c>
      <c r="G260" s="2" t="str">
        <f>" ()"</f>
        <v xml:space="preserve"> ()</v>
      </c>
    </row>
    <row r="261" spans="1:7" x14ac:dyDescent="0.3">
      <c r="A261" s="1" t="s">
        <v>1</v>
      </c>
      <c r="B261" s="2" t="str">
        <f t="shared" si="24"/>
        <v>SISTEMA CONTROLE DE ROUPARIA</v>
      </c>
      <c r="C261" s="2" t="str">
        <f t="shared" si="25"/>
        <v>APOIO</v>
      </c>
      <c r="D261" s="2" t="str">
        <f t="shared" si="26"/>
        <v>ACRO</v>
      </c>
      <c r="E261" s="2" t="str">
        <f>"ENTRADA DE ROUPARIA"</f>
        <v>ENTRADA DE ROUPARIA</v>
      </c>
      <c r="F261" s="2" t="str">
        <f>"R_ENTRADA_ACRO"</f>
        <v>R_ENTRADA_ACRO</v>
      </c>
      <c r="G261" s="2" t="str">
        <f>" ()"</f>
        <v xml:space="preserve"> ()</v>
      </c>
    </row>
    <row r="262" spans="1:7" x14ac:dyDescent="0.3">
      <c r="A262" s="1" t="s">
        <v>1</v>
      </c>
      <c r="B262" s="2" t="str">
        <f t="shared" si="24"/>
        <v>SISTEMA CONTROLE DE ROUPARIA</v>
      </c>
      <c r="C262" s="2" t="str">
        <f t="shared" si="25"/>
        <v>APOIO</v>
      </c>
      <c r="D262" s="2" t="str">
        <f t="shared" si="26"/>
        <v>ACRO</v>
      </c>
      <c r="E262" s="2" t="str">
        <f>"RELATÓRIO DE TIPOS DE PEÇAS"</f>
        <v>RELATÓRIO DE TIPOS DE PEÇAS</v>
      </c>
      <c r="F262" s="2" t="str">
        <f>"R_TIPO_PECAS"</f>
        <v>R_TIPO_PECAS</v>
      </c>
      <c r="G262" s="2" t="str">
        <f>"Serviços de Apoio / Lavanderia e Rouparia / Relatórios / Tabelas / Tipos de Peças (R_TIPO_PECAS)"</f>
        <v>Serviços de Apoio / Lavanderia e Rouparia / Relatórios / Tabelas / Tipos de Peças (R_TIPO_PECAS)</v>
      </c>
    </row>
    <row r="263" spans="1:7" x14ac:dyDescent="0.3">
      <c r="A263" s="1" t="s">
        <v>1</v>
      </c>
      <c r="B263" s="2" t="str">
        <f t="shared" si="24"/>
        <v>SISTEMA CONTROLE DE ROUPARIA</v>
      </c>
      <c r="C263" s="2" t="str">
        <f t="shared" si="25"/>
        <v>APOIO</v>
      </c>
      <c r="D263" s="2" t="str">
        <f t="shared" si="26"/>
        <v>ACRO</v>
      </c>
      <c r="E263" s="2" t="str">
        <f>"CONSULTA - PENDÊNCIA (LAVANDERIA)"</f>
        <v>CONSULTA - PENDÊNCIA (LAVANDERIA)</v>
      </c>
      <c r="F263" s="2" t="str">
        <f>"C_PENDENCIA"</f>
        <v>C_PENDENCIA</v>
      </c>
      <c r="G263" s="2" t="str">
        <f>"Serviços de Apoio / Lavanderia e Rouparia / Consultas / Pendências - Lavanderias (C_PENDENCIA)"</f>
        <v>Serviços de Apoio / Lavanderia e Rouparia / Consultas / Pendências - Lavanderias (C_PENDENCIA)</v>
      </c>
    </row>
    <row r="264" spans="1:7" x14ac:dyDescent="0.3">
      <c r="A264" s="1" t="s">
        <v>1</v>
      </c>
      <c r="B264" s="2" t="str">
        <f t="shared" si="24"/>
        <v>SISTEMA CONTROLE DE ROUPARIA</v>
      </c>
      <c r="C264" s="2" t="str">
        <f t="shared" si="25"/>
        <v>APOIO</v>
      </c>
      <c r="D264" s="2" t="str">
        <f t="shared" si="26"/>
        <v>ACRO</v>
      </c>
      <c r="E264" s="2" t="str">
        <f>"CONSULTA DE BAIXA"</f>
        <v>CONSULTA DE BAIXA</v>
      </c>
      <c r="F264" s="2" t="str">
        <f>"C_BAIXA"</f>
        <v>C_BAIXA</v>
      </c>
      <c r="G264" s="2" t="str">
        <f>"Serviços de Apoio / Lavanderia e Rouparia / Consultas / Baixas (C_BAIXA)"</f>
        <v>Serviços de Apoio / Lavanderia e Rouparia / Consultas / Baixas (C_BAIXA)</v>
      </c>
    </row>
    <row r="265" spans="1:7" x14ac:dyDescent="0.3">
      <c r="A265" s="1" t="s">
        <v>1</v>
      </c>
      <c r="B265" s="2" t="str">
        <f t="shared" si="24"/>
        <v>SISTEMA CONTROLE DE ROUPARIA</v>
      </c>
      <c r="C265" s="2" t="str">
        <f t="shared" si="25"/>
        <v>APOIO</v>
      </c>
      <c r="D265" s="2" t="str">
        <f t="shared" si="26"/>
        <v>ACRO</v>
      </c>
      <c r="E265" s="2" t="str">
        <f>"SAÍDA PARA SETOR"</f>
        <v>SAÍDA PARA SETOR</v>
      </c>
      <c r="F265" s="2" t="str">
        <f>"C_SAI_SETOR"</f>
        <v>C_SAI_SETOR</v>
      </c>
      <c r="G265" s="2" t="str">
        <f>"Serviços de Apoio / Lavanderia e Rouparia / Consultas / Saídas para Setores (C_SAI_SETOR)"</f>
        <v>Serviços de Apoio / Lavanderia e Rouparia / Consultas / Saídas para Setores (C_SAI_SETOR)</v>
      </c>
    </row>
    <row r="266" spans="1:7" x14ac:dyDescent="0.3">
      <c r="A266" s="1" t="s">
        <v>1</v>
      </c>
      <c r="B266" s="2" t="str">
        <f t="shared" si="24"/>
        <v>SISTEMA CONTROLE DE ROUPARIA</v>
      </c>
      <c r="C266" s="2" t="str">
        <f t="shared" si="25"/>
        <v>APOIO</v>
      </c>
      <c r="D266" s="2" t="str">
        <f t="shared" si="26"/>
        <v>ACRO</v>
      </c>
      <c r="E266" s="2" t="str">
        <f>"CONSULTA - SALDOS"</f>
        <v>CONSULTA - SALDOS</v>
      </c>
      <c r="F266" s="2" t="str">
        <f>"C_SALDO"</f>
        <v>C_SALDO</v>
      </c>
      <c r="G266" s="2" t="str">
        <f>"Serviços de Apoio / Lavanderia e Rouparia / Consultas / Saldos (C_SALDO)"</f>
        <v>Serviços de Apoio / Lavanderia e Rouparia / Consultas / Saldos (C_SALDO)</v>
      </c>
    </row>
    <row r="267" spans="1:7" x14ac:dyDescent="0.3">
      <c r="A267" s="1" t="s">
        <v>1</v>
      </c>
      <c r="B267" s="2" t="str">
        <f t="shared" si="24"/>
        <v>SISTEMA CONTROLE DE ROUPARIA</v>
      </c>
      <c r="C267" s="2" t="str">
        <f t="shared" si="25"/>
        <v>APOIO</v>
      </c>
      <c r="D267" s="2" t="str">
        <f t="shared" si="26"/>
        <v>ACRO</v>
      </c>
      <c r="E267" s="2" t="str">
        <f>"RELATÓRIO DE COTAS POR SETOR"</f>
        <v>RELATÓRIO DE COTAS POR SETOR</v>
      </c>
      <c r="F267" s="2" t="str">
        <f>"R_COTAS_SETOR"</f>
        <v>R_COTAS_SETOR</v>
      </c>
      <c r="G267" s="2" t="str">
        <f>"Serviços de Apoio / Lavanderia e Rouparia / Relatórios / Tabelas / Cotas por Setor (R_COTAS_SETOR)"</f>
        <v>Serviços de Apoio / Lavanderia e Rouparia / Relatórios / Tabelas / Cotas por Setor (R_COTAS_SETOR)</v>
      </c>
    </row>
    <row r="268" spans="1:7" x14ac:dyDescent="0.3">
      <c r="A268" s="1" t="s">
        <v>1</v>
      </c>
      <c r="B268" s="2" t="str">
        <f t="shared" si="24"/>
        <v>SISTEMA CONTROLE DE ROUPARIA</v>
      </c>
      <c r="C268" s="2" t="str">
        <f t="shared" si="25"/>
        <v>APOIO</v>
      </c>
      <c r="D268" s="2" t="str">
        <f t="shared" si="26"/>
        <v>ACRO</v>
      </c>
      <c r="E268" s="2" t="str">
        <f>"CONSULTA DE SAÍDA PARA A LAVANDERIA"</f>
        <v>CONSULTA DE SAÍDA PARA A LAVANDERIA</v>
      </c>
      <c r="F268" s="2" t="str">
        <f>"C_SAI_LAVA"</f>
        <v>C_SAI_LAVA</v>
      </c>
      <c r="G268" s="2" t="str">
        <f>"Serviços de Apoio / Lavanderia e Rouparia / Consultas / Saídas para Lavanderias (C_SAI_LAVA)"</f>
        <v>Serviços de Apoio / Lavanderia e Rouparia / Consultas / Saídas para Lavanderias (C_SAI_LAVA)</v>
      </c>
    </row>
    <row r="269" spans="1:7" x14ac:dyDescent="0.3">
      <c r="A269" s="1" t="s">
        <v>1</v>
      </c>
      <c r="B269" s="2" t="str">
        <f t="shared" si="24"/>
        <v>SISTEMA CONTROLE DE ROUPARIA</v>
      </c>
      <c r="C269" s="2" t="str">
        <f t="shared" si="25"/>
        <v>APOIO</v>
      </c>
      <c r="D269" s="2" t="str">
        <f t="shared" si="26"/>
        <v>ACRO</v>
      </c>
      <c r="E269" s="2" t="str">
        <f>"C_ENTRADA"</f>
        <v>C_ENTRADA</v>
      </c>
      <c r="F269" s="2" t="str">
        <f>"C_ENTRADA"</f>
        <v>C_ENTRADA</v>
      </c>
      <c r="G269" s="2" t="str">
        <f>"Serviços de Apoio / Lavanderia e Rouparia / Consultas / Itens Produzidos (C_ENTRADA)"</f>
        <v>Serviços de Apoio / Lavanderia e Rouparia / Consultas / Itens Produzidos (C_ENTRADA)</v>
      </c>
    </row>
    <row r="270" spans="1:7" x14ac:dyDescent="0.3">
      <c r="A270" s="1" t="s">
        <v>1</v>
      </c>
      <c r="B270" s="2" t="str">
        <f t="shared" si="24"/>
        <v>SISTEMA CONTROLE DE ROUPARIA</v>
      </c>
      <c r="C270" s="2" t="str">
        <f t="shared" si="25"/>
        <v>APOIO</v>
      </c>
      <c r="D270" s="2" t="str">
        <f t="shared" si="26"/>
        <v>ACRO</v>
      </c>
      <c r="E270" s="2" t="str">
        <f>"C_ENTRADA"</f>
        <v>C_ENTRADA</v>
      </c>
      <c r="F270" s="2" t="str">
        <f>"C_ENTRADA"</f>
        <v>C_ENTRADA</v>
      </c>
      <c r="G270" s="2" t="str">
        <f>"Serviços de Apoio / Lavanderia e Rouparia / Consultas / Itens Produzidos/Entradas (C_ENTRADA)"</f>
        <v>Serviços de Apoio / Lavanderia e Rouparia / Consultas / Itens Produzidos/Entradas (C_ENTRADA)</v>
      </c>
    </row>
    <row r="271" spans="1:7" x14ac:dyDescent="0.3">
      <c r="A271" s="1" t="s">
        <v>1</v>
      </c>
      <c r="B271" s="2" t="str">
        <f t="shared" si="24"/>
        <v>SISTEMA CONTROLE DE ROUPARIA</v>
      </c>
      <c r="C271" s="2" t="str">
        <f t="shared" si="25"/>
        <v>APOIO</v>
      </c>
      <c r="D271" s="2" t="str">
        <f t="shared" si="26"/>
        <v>ACRO</v>
      </c>
      <c r="E271" s="2" t="str">
        <f>"CONFIGURAÇÕES - FUNCIONAMENTO"</f>
        <v>CONFIGURAÇÕES - FUNCIONAMENTO</v>
      </c>
      <c r="F271" s="2" t="str">
        <f>"M_CONFIG_FUNCIONA"</f>
        <v>M_CONFIG_FUNCIONA</v>
      </c>
      <c r="G271" s="2" t="str">
        <f>"Serviços de Apoio / Lavanderia e Rouparia / Configurações / Funcionamento (M_CONFIG_FUNCIONA)"</f>
        <v>Serviços de Apoio / Lavanderia e Rouparia / Configurações / Funcionamento (M_CONFIG_FUNCIONA)</v>
      </c>
    </row>
    <row r="272" spans="1:7" x14ac:dyDescent="0.3">
      <c r="A272" s="1" t="s">
        <v>1</v>
      </c>
      <c r="B272" s="2" t="str">
        <f t="shared" si="24"/>
        <v>SISTEMA CONTROLE DE ROUPARIA</v>
      </c>
      <c r="C272" s="2" t="str">
        <f t="shared" si="25"/>
        <v>APOIO</v>
      </c>
      <c r="D272" s="2" t="str">
        <f t="shared" si="26"/>
        <v>ACRO</v>
      </c>
      <c r="E272" s="2" t="str">
        <f>"RELATÓRIO DE COLETA DE MATERIAIS"</f>
        <v>RELATÓRIO DE COLETA DE MATERIAIS</v>
      </c>
      <c r="F272" s="2" t="str">
        <f>"R_BAIXA"</f>
        <v>R_BAIXA</v>
      </c>
      <c r="G272" s="2" t="str">
        <f>"Diagnóstico e Terapia / Laboratório de Análises Clínicas / Relatórios / Administrativos / Coleta de Materiais / Baixa de Solicitação (R_BAIXA)"</f>
        <v>Diagnóstico e Terapia / Laboratório de Análises Clínicas / Relatórios / Administrativos / Coleta de Materiais / Baixa de Solicitação (R_BAIXA)</v>
      </c>
    </row>
    <row r="273" spans="1:7" x14ac:dyDescent="0.3">
      <c r="A273" s="1" t="s">
        <v>1</v>
      </c>
      <c r="B273" s="2" t="str">
        <f t="shared" si="24"/>
        <v>SISTEMA CONTROLE DE ROUPARIA</v>
      </c>
      <c r="C273" s="2" t="str">
        <f t="shared" si="25"/>
        <v>APOIO</v>
      </c>
      <c r="D273" s="2" t="str">
        <f t="shared" si="26"/>
        <v>ACRO</v>
      </c>
      <c r="E273" s="2" t="str">
        <f>"RELATÓRIO DE COTAS POR SETOR"</f>
        <v>RELATÓRIO DE COTAS POR SETOR</v>
      </c>
      <c r="F273" s="2" t="str">
        <f>"R_COTAS_SETOR.RDF"</f>
        <v>R_COTAS_SETOR.RDF</v>
      </c>
      <c r="G273" s="2" t="str">
        <f t="shared" ref="G273:G283" si="27">" ()"</f>
        <v xml:space="preserve"> ()</v>
      </c>
    </row>
    <row r="274" spans="1:7" x14ac:dyDescent="0.3">
      <c r="A274" s="1" t="s">
        <v>1</v>
      </c>
      <c r="B274" s="2" t="str">
        <f t="shared" si="24"/>
        <v>SISTEMA CONTROLE DE ROUPARIA</v>
      </c>
      <c r="C274" s="2" t="str">
        <f t="shared" si="25"/>
        <v>APOIO</v>
      </c>
      <c r="D274" s="2" t="str">
        <f t="shared" si="26"/>
        <v>ACRO</v>
      </c>
      <c r="E274" s="2" t="str">
        <f>"RELATÓRIO DE COTAS POR UNIDADE"</f>
        <v>RELATÓRIO DE COTAS POR UNIDADE</v>
      </c>
      <c r="F274" s="2" t="str">
        <f>"R_COTAS.RDF"</f>
        <v>R_COTAS.RDF</v>
      </c>
      <c r="G274" s="2" t="str">
        <f t="shared" si="27"/>
        <v xml:space="preserve"> ()</v>
      </c>
    </row>
    <row r="275" spans="1:7" x14ac:dyDescent="0.3">
      <c r="A275" s="1" t="s">
        <v>1</v>
      </c>
      <c r="B275" s="2" t="str">
        <f t="shared" si="24"/>
        <v>SISTEMA CONTROLE DE ROUPARIA</v>
      </c>
      <c r="C275" s="2" t="str">
        <f t="shared" si="25"/>
        <v>APOIO</v>
      </c>
      <c r="D275" s="2" t="str">
        <f t="shared" si="26"/>
        <v>ACRO</v>
      </c>
      <c r="E275" s="2" t="str">
        <f>"RELATÓRIO DE MOTIVOS DE BAIXA"</f>
        <v>RELATÓRIO DE MOTIVOS DE BAIXA</v>
      </c>
      <c r="F275" s="2" t="str">
        <f>"R_MT_BAIXA.RDF"</f>
        <v>R_MT_BAIXA.RDF</v>
      </c>
      <c r="G275" s="2" t="str">
        <f t="shared" si="27"/>
        <v xml:space="preserve"> ()</v>
      </c>
    </row>
    <row r="276" spans="1:7" x14ac:dyDescent="0.3">
      <c r="A276" s="1" t="s">
        <v>1</v>
      </c>
      <c r="B276" s="2" t="str">
        <f t="shared" si="24"/>
        <v>SISTEMA CONTROLE DE ROUPARIA</v>
      </c>
      <c r="C276" s="2" t="str">
        <f t="shared" si="25"/>
        <v>APOIO</v>
      </c>
      <c r="D276" s="2" t="str">
        <f t="shared" si="26"/>
        <v>ACRO</v>
      </c>
      <c r="E276" s="2" t="str">
        <f>"RELATÓRIO DE TIPOS DE ENTRADA"</f>
        <v>RELATÓRIO DE TIPOS DE ENTRADA</v>
      </c>
      <c r="F276" s="2" t="str">
        <f>"R_ENTRA_ROUPA.RDF"</f>
        <v>R_ENTRA_ROUPA.RDF</v>
      </c>
      <c r="G276" s="2" t="str">
        <f t="shared" si="27"/>
        <v xml:space="preserve"> ()</v>
      </c>
    </row>
    <row r="277" spans="1:7" x14ac:dyDescent="0.3">
      <c r="A277" s="1" t="s">
        <v>1</v>
      </c>
      <c r="B277" s="2" t="str">
        <f t="shared" si="24"/>
        <v>SISTEMA CONTROLE DE ROUPARIA</v>
      </c>
      <c r="C277" s="2" t="str">
        <f t="shared" si="25"/>
        <v>APOIO</v>
      </c>
      <c r="D277" s="2" t="str">
        <f t="shared" si="26"/>
        <v>ACRO</v>
      </c>
      <c r="E277" s="2" t="str">
        <f>"RELATÓRIO DE TIPOS DE KITS"</f>
        <v>RELATÓRIO DE TIPOS DE KITS</v>
      </c>
      <c r="F277" s="2" t="str">
        <f>"R_TAB_KITS.RDF"</f>
        <v>R_TAB_KITS.RDF</v>
      </c>
      <c r="G277" s="2" t="str">
        <f t="shared" si="27"/>
        <v xml:space="preserve"> ()</v>
      </c>
    </row>
    <row r="278" spans="1:7" x14ac:dyDescent="0.3">
      <c r="A278" s="1" t="s">
        <v>1</v>
      </c>
      <c r="B278" s="2" t="str">
        <f t="shared" ref="B278:B283" si="28">"ADMED"</f>
        <v>ADMED</v>
      </c>
      <c r="C278" s="2" t="str">
        <f>""</f>
        <v/>
      </c>
      <c r="D278" s="2" t="str">
        <f t="shared" ref="D278:D283" si="29">"ADMED"</f>
        <v>ADMED</v>
      </c>
      <c r="E278" s="2" t="str">
        <f>"IMUNIZACAO"</f>
        <v>IMUNIZACAO</v>
      </c>
      <c r="F278" s="2" t="str">
        <f>"ADMED_IMUNIZACAO"</f>
        <v>ADMED_IMUNIZACAO</v>
      </c>
      <c r="G278" s="2" t="str">
        <f t="shared" si="27"/>
        <v xml:space="preserve"> ()</v>
      </c>
    </row>
    <row r="279" spans="1:7" x14ac:dyDescent="0.3">
      <c r="A279" s="1" t="s">
        <v>1</v>
      </c>
      <c r="B279" s="2" t="str">
        <f t="shared" si="28"/>
        <v>ADMED</v>
      </c>
      <c r="C279" s="2" t="str">
        <f>""</f>
        <v/>
      </c>
      <c r="D279" s="2" t="str">
        <f t="shared" si="29"/>
        <v>ADMED</v>
      </c>
      <c r="E279" s="2" t="str">
        <f>"RECEPÇÃO"</f>
        <v>RECEPÇÃO</v>
      </c>
      <c r="F279" s="2" t="str">
        <f>"M_RECEPCAO_613"</f>
        <v>M_RECEPCAO_613</v>
      </c>
      <c r="G279" s="2" t="str">
        <f t="shared" si="27"/>
        <v xml:space="preserve"> ()</v>
      </c>
    </row>
    <row r="280" spans="1:7" x14ac:dyDescent="0.3">
      <c r="A280" s="1" t="s">
        <v>1</v>
      </c>
      <c r="B280" s="2" t="str">
        <f t="shared" si="28"/>
        <v>ADMED</v>
      </c>
      <c r="C280" s="2" t="str">
        <f>""</f>
        <v/>
      </c>
      <c r="D280" s="2" t="str">
        <f t="shared" si="29"/>
        <v>ADMED</v>
      </c>
      <c r="E280" s="2" t="str">
        <f>"AGENDAMENTO E CONFIRMAÇÃO -- ADMED"</f>
        <v>AGENDAMENTO E CONFIRMAÇÃO -- ADMED</v>
      </c>
      <c r="F280" s="2" t="str">
        <f>"ATE_RAPIDO_613"</f>
        <v>ATE_RAPIDO_613</v>
      </c>
      <c r="G280" s="2" t="str">
        <f t="shared" si="27"/>
        <v xml:space="preserve"> ()</v>
      </c>
    </row>
    <row r="281" spans="1:7" x14ac:dyDescent="0.3">
      <c r="A281" s="1" t="s">
        <v>1</v>
      </c>
      <c r="B281" s="2" t="str">
        <f t="shared" si="28"/>
        <v>ADMED</v>
      </c>
      <c r="C281" s="2" t="str">
        <f>""</f>
        <v/>
      </c>
      <c r="D281" s="2" t="str">
        <f t="shared" si="29"/>
        <v>ADMED</v>
      </c>
      <c r="E281" s="2" t="str">
        <f>"CADASTRO DE ESCALAS"</f>
        <v>CADASTRO DE ESCALAS</v>
      </c>
      <c r="F281" s="2" t="str">
        <f>"M_P_ESCALA_613"</f>
        <v>M_P_ESCALA_613</v>
      </c>
      <c r="G281" s="2" t="str">
        <f t="shared" si="27"/>
        <v xml:space="preserve"> ()</v>
      </c>
    </row>
    <row r="282" spans="1:7" x14ac:dyDescent="0.3">
      <c r="A282" s="1" t="s">
        <v>1</v>
      </c>
      <c r="B282" s="2" t="str">
        <f t="shared" si="28"/>
        <v>ADMED</v>
      </c>
      <c r="C282" s="2" t="str">
        <f>""</f>
        <v/>
      </c>
      <c r="D282" s="2" t="str">
        <f t="shared" si="29"/>
        <v>ADMED</v>
      </c>
      <c r="E282" s="2" t="str">
        <f>"LIBERAÇÃO DE AGENDAS"</f>
        <v>LIBERAÇÃO DE AGENDAS</v>
      </c>
      <c r="F282" s="2" t="str">
        <f>"F_GERAPARA_613"</f>
        <v>F_GERAPARA_613</v>
      </c>
      <c r="G282" s="2" t="str">
        <f t="shared" si="27"/>
        <v xml:space="preserve"> ()</v>
      </c>
    </row>
    <row r="283" spans="1:7" x14ac:dyDescent="0.3">
      <c r="A283" s="1" t="s">
        <v>1</v>
      </c>
      <c r="B283" s="2" t="str">
        <f t="shared" si="28"/>
        <v>ADMED</v>
      </c>
      <c r="C283" s="2" t="str">
        <f>""</f>
        <v/>
      </c>
      <c r="D283" s="2" t="str">
        <f t="shared" si="29"/>
        <v>ADMED</v>
      </c>
      <c r="E283" s="2" t="str">
        <f>"AUTORIZAÇÕES POR USUÁRIO"</f>
        <v>AUTORIZAÇÕES POR USUÁRIO</v>
      </c>
      <c r="F283" s="2" t="str">
        <f>"M_USUARIO_AUTORIZACAO_613"</f>
        <v>M_USUARIO_AUTORIZACAO_613</v>
      </c>
      <c r="G283" s="2" t="str">
        <f t="shared" si="27"/>
        <v xml:space="preserve"> ()</v>
      </c>
    </row>
    <row r="284" spans="1:7" x14ac:dyDescent="0.3">
      <c r="A284" s="1" t="s">
        <v>1</v>
      </c>
      <c r="B284" s="2" t="str">
        <f t="shared" ref="B284:B301" si="30">"Admissão de pacientes"</f>
        <v>Admissão de pacientes</v>
      </c>
      <c r="C284" s="2" t="str">
        <f t="shared" ref="C284:C301" si="31">"ATEND"</f>
        <v>ATEND</v>
      </c>
      <c r="D284" s="2" t="str">
        <f t="shared" ref="D284:D301" si="32">"ADMPAC"</f>
        <v>ADMPAC</v>
      </c>
      <c r="E284" s="2" t="str">
        <f>"CADASTRO DE PACIENTES"</f>
        <v>CADASTRO DE PACIENTES</v>
      </c>
      <c r="F284" s="2" t="str">
        <f>"CAD_PAC"</f>
        <v>CAD_PAC</v>
      </c>
      <c r="G284" s="2" t="str">
        <f>"Outros / Fusam / Atendimentos / Cadastro de Pacientes (CAD_PAC)"</f>
        <v>Outros / Fusam / Atendimentos / Cadastro de Pacientes (CAD_PAC)</v>
      </c>
    </row>
    <row r="285" spans="1:7" x14ac:dyDescent="0.3">
      <c r="A285" s="1" t="s">
        <v>1</v>
      </c>
      <c r="B285" s="2" t="str">
        <f t="shared" si="30"/>
        <v>Admissão de pacientes</v>
      </c>
      <c r="C285" s="2" t="str">
        <f t="shared" si="31"/>
        <v>ATEND</v>
      </c>
      <c r="D285" s="2" t="str">
        <f t="shared" si="32"/>
        <v>ADMPAC</v>
      </c>
      <c r="E285" s="2" t="str">
        <f>"Dados Complementares do laudo AIH"</f>
        <v>Dados Complementares do laudo AIH</v>
      </c>
      <c r="F285" s="2" t="str">
        <f>"M_DADOS_AIH"</f>
        <v>M_DADOS_AIH</v>
      </c>
      <c r="G285" s="2" t="str">
        <f>" ()"</f>
        <v xml:space="preserve"> ()</v>
      </c>
    </row>
    <row r="286" spans="1:7" x14ac:dyDescent="0.3">
      <c r="A286" s="1" t="s">
        <v>1</v>
      </c>
      <c r="B286" s="2" t="str">
        <f t="shared" si="30"/>
        <v>Admissão de pacientes</v>
      </c>
      <c r="C286" s="2" t="str">
        <f t="shared" si="31"/>
        <v>ATEND</v>
      </c>
      <c r="D286" s="2" t="str">
        <f t="shared" si="32"/>
        <v>ADMPAC</v>
      </c>
      <c r="E286" s="2" t="str">
        <f>"M_CADASTRO_SENHA_AUT"</f>
        <v>M_CADASTRO_SENHA_AUT</v>
      </c>
      <c r="F286" s="2" t="str">
        <f>"M_CADASTRO_SENHA_AUT"</f>
        <v>M_CADASTRO_SENHA_AUT</v>
      </c>
      <c r="G286" s="2" t="str">
        <f>" ()"</f>
        <v xml:space="preserve"> ()</v>
      </c>
    </row>
    <row r="287" spans="1:7" x14ac:dyDescent="0.3">
      <c r="A287" s="1" t="s">
        <v>1</v>
      </c>
      <c r="B287" s="2" t="str">
        <f t="shared" si="30"/>
        <v>Admissão de pacientes</v>
      </c>
      <c r="C287" s="2" t="str">
        <f t="shared" si="31"/>
        <v>ATEND</v>
      </c>
      <c r="D287" s="2" t="str">
        <f t="shared" si="32"/>
        <v>ADMPAC</v>
      </c>
      <c r="E287" s="2" t="str">
        <f>"Consulta CEP da Pref. Santos"</f>
        <v>Consulta CEP da Pref. Santos</v>
      </c>
      <c r="F287" s="2" t="str">
        <f>"C_CONSULTA_CEP_SANTOS"</f>
        <v>C_CONSULTA_CEP_SANTOS</v>
      </c>
      <c r="G287" s="2" t="str">
        <f>" ()"</f>
        <v xml:space="preserve"> ()</v>
      </c>
    </row>
    <row r="288" spans="1:7" x14ac:dyDescent="0.3">
      <c r="A288" s="1" t="s">
        <v>1</v>
      </c>
      <c r="B288" s="2" t="str">
        <f t="shared" si="30"/>
        <v>Admissão de pacientes</v>
      </c>
      <c r="C288" s="2" t="str">
        <f t="shared" si="31"/>
        <v>ATEND</v>
      </c>
      <c r="D288" s="2" t="str">
        <f t="shared" si="32"/>
        <v>ADMPAC</v>
      </c>
      <c r="E288" s="2" t="str">
        <f>"Documentos do Atendimento"</f>
        <v>Documentos do Atendimento</v>
      </c>
      <c r="F288" s="2" t="str">
        <f>"M_ANEXO_ATENDIMENTO"</f>
        <v>M_ANEXO_ATENDIMENTO</v>
      </c>
      <c r="G288" s="2" t="str">
        <f>" ()"</f>
        <v xml:space="preserve"> ()</v>
      </c>
    </row>
    <row r="289" spans="1:7" x14ac:dyDescent="0.3">
      <c r="A289" s="1" t="s">
        <v>1</v>
      </c>
      <c r="B289" s="2" t="str">
        <f t="shared" si="30"/>
        <v>Admissão de pacientes</v>
      </c>
      <c r="C289" s="2" t="str">
        <f t="shared" si="31"/>
        <v>ATEND</v>
      </c>
      <c r="D289" s="2" t="str">
        <f t="shared" si="32"/>
        <v>ADMPAC</v>
      </c>
      <c r="E289" s="2" t="str">
        <f>"Solicitações de Regulação"</f>
        <v>Solicitações de Regulação</v>
      </c>
      <c r="F289" s="2" t="str">
        <f>"M_SOLIC_ATENDIMENTO_REGULACAO"</f>
        <v>M_SOLIC_ATENDIMENTO_REGULACAO</v>
      </c>
      <c r="G289" s="2" t="str">
        <f>"Atendimento / Internação / Atendimento / Solicitações de Regulação (M_SOLIC_ATENDIMENTO_REGULACAO)"</f>
        <v>Atendimento / Internação / Atendimento / Solicitações de Regulação (M_SOLIC_ATENDIMENTO_REGULACAO)</v>
      </c>
    </row>
    <row r="290" spans="1:7" x14ac:dyDescent="0.3">
      <c r="A290" s="1" t="s">
        <v>1</v>
      </c>
      <c r="B290" s="2" t="str">
        <f t="shared" si="30"/>
        <v>Admissão de pacientes</v>
      </c>
      <c r="C290" s="2" t="str">
        <f t="shared" si="31"/>
        <v>ATEND</v>
      </c>
      <c r="D290" s="2" t="str">
        <f t="shared" si="32"/>
        <v>ADMPAC</v>
      </c>
      <c r="E290" s="2" t="str">
        <f>"Consulta de Solicitações de Regulação"</f>
        <v>Consulta de Solicitações de Regulação</v>
      </c>
      <c r="F290" s="2" t="str">
        <f>"M_CONS_ATENDIMENTO_REGULACAO"</f>
        <v>M_CONS_ATENDIMENTO_REGULACAO</v>
      </c>
      <c r="G290" s="2" t="str">
        <f>"Atendimento / Internação / Consultas / Consulta de Solicitações de Regulação (M_CONS_ATENDIMENTO_REGULACAO)"</f>
        <v>Atendimento / Internação / Consultas / Consulta de Solicitações de Regulação (M_CONS_ATENDIMENTO_REGULACAO)</v>
      </c>
    </row>
    <row r="291" spans="1:7" x14ac:dyDescent="0.3">
      <c r="A291" s="1" t="s">
        <v>1</v>
      </c>
      <c r="B291" s="2" t="str">
        <f t="shared" si="30"/>
        <v>Admissão de pacientes</v>
      </c>
      <c r="C291" s="2" t="str">
        <f t="shared" si="31"/>
        <v>ATEND</v>
      </c>
      <c r="D291" s="2" t="str">
        <f t="shared" si="32"/>
        <v>ADMPAC</v>
      </c>
      <c r="E291" s="2" t="str">
        <f>"Tipos de Beneficiario"</f>
        <v>Tipos de Beneficiario</v>
      </c>
      <c r="F291" s="2" t="str">
        <f>"TIPO_BENEFICIARIO"</f>
        <v>TIPO_BENEFICIARIO</v>
      </c>
      <c r="G291" s="2" t="str">
        <f>"Atendimento / Internação / Tabelas / Tipo de Beneficiário (TIPO_BENEFICIARIO)"</f>
        <v>Atendimento / Internação / Tabelas / Tipo de Beneficiário (TIPO_BENEFICIARIO)</v>
      </c>
    </row>
    <row r="292" spans="1:7" x14ac:dyDescent="0.3">
      <c r="A292" s="1" t="s">
        <v>1</v>
      </c>
      <c r="B292" s="2" t="str">
        <f t="shared" si="30"/>
        <v>Admissão de pacientes</v>
      </c>
      <c r="C292" s="2" t="str">
        <f t="shared" si="31"/>
        <v>ATEND</v>
      </c>
      <c r="D292" s="2" t="str">
        <f t="shared" si="32"/>
        <v>ADMPAC</v>
      </c>
      <c r="E292" s="2" t="str">
        <f>"Configuração Perfil Alerta"</f>
        <v>Configuração Perfil Alerta</v>
      </c>
      <c r="F292" s="2" t="str">
        <f>"M_PERFIL_ALERTA"</f>
        <v>M_PERFIL_ALERTA</v>
      </c>
      <c r="G292" s="2" t="str">
        <f>"Serviços de Apoio / Global / Configurações / Configuração Perfil Alerta (M_PERFIL_ALERTA)"</f>
        <v>Serviços de Apoio / Global / Configurações / Configuração Perfil Alerta (M_PERFIL_ALERTA)</v>
      </c>
    </row>
    <row r="293" spans="1:7" x14ac:dyDescent="0.3">
      <c r="A293" s="1" t="s">
        <v>1</v>
      </c>
      <c r="B293" s="2" t="str">
        <f t="shared" si="30"/>
        <v>Admissão de pacientes</v>
      </c>
      <c r="C293" s="2" t="str">
        <f t="shared" si="31"/>
        <v>ATEND</v>
      </c>
      <c r="D293" s="2" t="str">
        <f t="shared" si="32"/>
        <v>ADMPAC</v>
      </c>
      <c r="E293" s="2" t="str">
        <f>"Configuração da Admissão do Paciente"</f>
        <v>Configuração da Admissão do Paciente</v>
      </c>
      <c r="F293" s="2" t="str">
        <f>"M_CONFIG_ADMPAC"</f>
        <v>M_CONFIG_ADMPAC</v>
      </c>
      <c r="G293" s="2" t="str">
        <f>"Atendimento / Urgência e Emergência / Configurações / Configuração da Admissão do Paciente (M_CONFIG_ADMPAC)"</f>
        <v>Atendimento / Urgência e Emergência / Configurações / Configuração da Admissão do Paciente (M_CONFIG_ADMPAC)</v>
      </c>
    </row>
    <row r="294" spans="1:7" x14ac:dyDescent="0.3">
      <c r="A294" s="1" t="s">
        <v>1</v>
      </c>
      <c r="B294" s="2" t="str">
        <f t="shared" si="30"/>
        <v>Admissão de pacientes</v>
      </c>
      <c r="C294" s="2" t="str">
        <f t="shared" si="31"/>
        <v>ATEND</v>
      </c>
      <c r="D294" s="2" t="str">
        <f t="shared" si="32"/>
        <v>ADMPAC</v>
      </c>
      <c r="E294" s="2" t="str">
        <f>"Contato paciente"</f>
        <v>Contato paciente</v>
      </c>
      <c r="F294" s="2" t="str">
        <f>"M_CONTATO_PACIENTE"</f>
        <v>M_CONTATO_PACIENTE</v>
      </c>
      <c r="G294" s="2" t="str">
        <f>" ()"</f>
        <v xml:space="preserve"> ()</v>
      </c>
    </row>
    <row r="295" spans="1:7" x14ac:dyDescent="0.3">
      <c r="A295" s="1" t="s">
        <v>1</v>
      </c>
      <c r="B295" s="2" t="str">
        <f t="shared" si="30"/>
        <v>Admissão de pacientes</v>
      </c>
      <c r="C295" s="2" t="str">
        <f t="shared" si="31"/>
        <v>ATEND</v>
      </c>
      <c r="D295" s="2" t="str">
        <f t="shared" si="32"/>
        <v>ADMPAC</v>
      </c>
      <c r="E295" s="2" t="str">
        <f>"Config de Usuario/Maquina para Atendime"</f>
        <v>Config de Usuario/Maquina para Atendime</v>
      </c>
      <c r="F295" s="2" t="str">
        <f>"M_CONFIG_USU_MAQUINA"</f>
        <v>M_CONFIG_USU_MAQUINA</v>
      </c>
      <c r="G295" s="2" t="str">
        <f>"Atendimento / Urgência e Emergência / Configurações / Configurações Usuário/Maquina para o Atendimento (M_CONFIG_USU_MAQUINA)"</f>
        <v>Atendimento / Urgência e Emergência / Configurações / Configurações Usuário/Maquina para o Atendimento (M_CONFIG_USU_MAQUINA)</v>
      </c>
    </row>
    <row r="296" spans="1:7" x14ac:dyDescent="0.3">
      <c r="A296" s="1" t="s">
        <v>1</v>
      </c>
      <c r="B296" s="2" t="str">
        <f t="shared" si="30"/>
        <v>Admissão de pacientes</v>
      </c>
      <c r="C296" s="2" t="str">
        <f t="shared" si="31"/>
        <v>ATEND</v>
      </c>
      <c r="D296" s="2" t="str">
        <f t="shared" si="32"/>
        <v>ADMPAC</v>
      </c>
      <c r="E296" s="2" t="str">
        <f>"Configuração do paciente"</f>
        <v>Configuração do paciente</v>
      </c>
      <c r="F296" s="2" t="str">
        <f>"M_CONFIGURACAO_PACIENTE"</f>
        <v>M_CONFIGURACAO_PACIENTE</v>
      </c>
      <c r="G296" s="2" t="str">
        <f>"Serviços de Apoio / Global / Configurações / Cadastro de Paciente (M_CONFIGURACAO_PACIENTE)"</f>
        <v>Serviços de Apoio / Global / Configurações / Cadastro de Paciente (M_CONFIGURACAO_PACIENTE)</v>
      </c>
    </row>
    <row r="297" spans="1:7" x14ac:dyDescent="0.3">
      <c r="A297" s="1" t="s">
        <v>1</v>
      </c>
      <c r="B297" s="2" t="str">
        <f t="shared" si="30"/>
        <v>Admissão de pacientes</v>
      </c>
      <c r="C297" s="2" t="str">
        <f t="shared" si="31"/>
        <v>ATEND</v>
      </c>
      <c r="D297" s="2" t="str">
        <f t="shared" si="32"/>
        <v>ADMPAC</v>
      </c>
      <c r="E297" s="2" t="str">
        <f>"M CONSULTA PACIENTE: JANELA 0"</f>
        <v>M CONSULTA PACIENTE: JANELA 0</v>
      </c>
      <c r="F297" s="2" t="str">
        <f>"M_CONSULTA_PACIENTE"</f>
        <v>M_CONSULTA_PACIENTE</v>
      </c>
      <c r="G297" s="2" t="str">
        <f>" ()"</f>
        <v xml:space="preserve"> ()</v>
      </c>
    </row>
    <row r="298" spans="1:7" x14ac:dyDescent="0.3">
      <c r="A298" s="1" t="s">
        <v>1</v>
      </c>
      <c r="B298" s="2" t="str">
        <f t="shared" si="30"/>
        <v>Admissão de pacientes</v>
      </c>
      <c r="C298" s="2" t="str">
        <f t="shared" si="31"/>
        <v>ATEND</v>
      </c>
      <c r="D298" s="2" t="str">
        <f t="shared" si="32"/>
        <v>ADMPAC</v>
      </c>
      <c r="E298" s="2" t="str">
        <f>"INTERNAÇÃO DE PACIENTE"</f>
        <v>INTERNAÇÃO DE PACIENTE</v>
      </c>
      <c r="F298" s="2" t="str">
        <f>"INT_PACOK"</f>
        <v>INT_PACOK</v>
      </c>
      <c r="G298" s="2" t="str">
        <f>" ()"</f>
        <v xml:space="preserve"> ()</v>
      </c>
    </row>
    <row r="299" spans="1:7" x14ac:dyDescent="0.3">
      <c r="A299" s="1" t="s">
        <v>1</v>
      </c>
      <c r="B299" s="2" t="str">
        <f t="shared" si="30"/>
        <v>Admissão de pacientes</v>
      </c>
      <c r="C299" s="2" t="str">
        <f t="shared" si="31"/>
        <v>ATEND</v>
      </c>
      <c r="D299" s="2" t="str">
        <f t="shared" si="32"/>
        <v>ADMPAC</v>
      </c>
      <c r="E299" s="2" t="str">
        <f>"CADASTRO DE PACIENTES"</f>
        <v>CADASTRO DE PACIENTES</v>
      </c>
      <c r="F299" s="2" t="str">
        <f>"CAD_PAC"</f>
        <v>CAD_PAC</v>
      </c>
      <c r="G299" s="2" t="str">
        <f>"MVSaude / Atendimento / Autorizações de Guias / Internação / Atendimento / Cadastro de Paciente (CAD_PAC)"</f>
        <v>MVSaude / Atendimento / Autorizações de Guias / Internação / Atendimento / Cadastro de Paciente (CAD_PAC)</v>
      </c>
    </row>
    <row r="300" spans="1:7" x14ac:dyDescent="0.3">
      <c r="A300" s="1" t="s">
        <v>1</v>
      </c>
      <c r="B300" s="2" t="str">
        <f t="shared" si="30"/>
        <v>Admissão de pacientes</v>
      </c>
      <c r="C300" s="2" t="str">
        <f t="shared" si="31"/>
        <v>ATEND</v>
      </c>
      <c r="D300" s="2" t="str">
        <f t="shared" si="32"/>
        <v>ADMPAC</v>
      </c>
      <c r="E300" s="2" t="str">
        <f>"CADASTRO DE PACIENTES"</f>
        <v>CADASTRO DE PACIENTES</v>
      </c>
      <c r="F300" s="2" t="str">
        <f>"CAD_PAC"</f>
        <v>CAD_PAC</v>
      </c>
      <c r="G300" s="2" t="str">
        <f>"Atendimento / Internação / Atendimento / Cadastro de Paciente (CAD_PAC)"</f>
        <v>Atendimento / Internação / Atendimento / Cadastro de Paciente (CAD_PAC)</v>
      </c>
    </row>
    <row r="301" spans="1:7" x14ac:dyDescent="0.3">
      <c r="A301" s="1" t="s">
        <v>1</v>
      </c>
      <c r="B301" s="2" t="str">
        <f t="shared" si="30"/>
        <v>Admissão de pacientes</v>
      </c>
      <c r="C301" s="2" t="str">
        <f t="shared" si="31"/>
        <v>ATEND</v>
      </c>
      <c r="D301" s="2" t="str">
        <f t="shared" si="32"/>
        <v>ADMPAC</v>
      </c>
      <c r="E301" s="2" t="str">
        <f>"CADASTRO DE PACIENTES"</f>
        <v>CADASTRO DE PACIENTES</v>
      </c>
      <c r="F301" s="2" t="str">
        <f>"CAD_PAC"</f>
        <v>CAD_PAC</v>
      </c>
      <c r="G301" s="2" t="str">
        <f>"MVSaude / Vendas / Internação / Atendimento / Cadastro de Paciente (CAD_PAC)"</f>
        <v>MVSaude / Vendas / Internação / Atendimento / Cadastro de Paciente (CAD_PAC)</v>
      </c>
    </row>
    <row r="302" spans="1:7" x14ac:dyDescent="0.3">
      <c r="A302" s="1" t="s">
        <v>1</v>
      </c>
      <c r="B302" s="2" t="str">
        <f t="shared" ref="B302:B365" si="33">"SISTEMA DE GERENCIAMENTO DE SAME"</f>
        <v>SISTEMA DE GERENCIAMENTO DE SAME</v>
      </c>
      <c r="C302" s="2" t="str">
        <f t="shared" ref="C302:C365" si="34">"APOIO"</f>
        <v>APOIO</v>
      </c>
      <c r="D302" s="2" t="str">
        <f t="shared" ref="D302:D365" si="35">"AMAP"</f>
        <v>AMAP</v>
      </c>
      <c r="E302" s="2" t="str">
        <f>"RELATÓRIO DE TRANSPORTADORES"</f>
        <v>RELATÓRIO DE TRANSPORTADORES</v>
      </c>
      <c r="F302" s="2" t="str">
        <f>"R_TRANSPORTADORES.RDF"</f>
        <v>R_TRANSPORTADORES.RDF</v>
      </c>
      <c r="G302" s="2" t="str">
        <f>" ()"</f>
        <v xml:space="preserve"> ()</v>
      </c>
    </row>
    <row r="303" spans="1:7" x14ac:dyDescent="0.3">
      <c r="A303" s="1" t="s">
        <v>1</v>
      </c>
      <c r="B303" s="2" t="str">
        <f t="shared" si="33"/>
        <v>SISTEMA DE GERENCIAMENTO DE SAME</v>
      </c>
      <c r="C303" s="2" t="str">
        <f t="shared" si="34"/>
        <v>APOIO</v>
      </c>
      <c r="D303" s="2" t="str">
        <f t="shared" si="35"/>
        <v>AMAP</v>
      </c>
      <c r="E303" s="2" t="str">
        <f>"Exclusao de Documentos do SAME"</f>
        <v>Exclusao de Documentos do SAME</v>
      </c>
      <c r="F303" s="2" t="str">
        <f>"R_LOG_SAME"</f>
        <v>R_LOG_SAME</v>
      </c>
      <c r="G303" s="2" t="str">
        <f>" ()"</f>
        <v xml:space="preserve"> ()</v>
      </c>
    </row>
    <row r="304" spans="1:7" x14ac:dyDescent="0.3">
      <c r="A304" s="1" t="s">
        <v>1</v>
      </c>
      <c r="B304" s="2" t="str">
        <f t="shared" si="33"/>
        <v>SISTEMA DE GERENCIAMENTO DE SAME</v>
      </c>
      <c r="C304" s="2" t="str">
        <f t="shared" si="34"/>
        <v>APOIO</v>
      </c>
      <c r="D304" s="2" t="str">
        <f t="shared" si="35"/>
        <v>AMAP</v>
      </c>
      <c r="E304" s="2" t="str">
        <f>"SAÍDA DE DOCUMENTOS DO SAME"</f>
        <v>SAÍDA DE DOCUMENTOS DO SAME</v>
      </c>
      <c r="F304" s="2" t="str">
        <f>"M_SAIDA_PRO_PARCIAL"</f>
        <v>M_SAIDA_PRO_PARCIAL</v>
      </c>
      <c r="G304" s="2" t="str">
        <f>" ()"</f>
        <v xml:space="preserve"> ()</v>
      </c>
    </row>
    <row r="305" spans="1:7" x14ac:dyDescent="0.3">
      <c r="A305" s="1" t="s">
        <v>1</v>
      </c>
      <c r="B305" s="2" t="str">
        <f t="shared" si="33"/>
        <v>SISTEMA DE GERENCIAMENTO DE SAME</v>
      </c>
      <c r="C305" s="2" t="str">
        <f t="shared" si="34"/>
        <v>APOIO</v>
      </c>
      <c r="D305" s="2" t="str">
        <f t="shared" si="35"/>
        <v>AMAP</v>
      </c>
      <c r="E305" s="2" t="str">
        <f>"RELATÓRIO DE ANO X PRÓXIMA MATRÍCULA"</f>
        <v>RELATÓRIO DE ANO X PRÓXIMA MATRÍCULA</v>
      </c>
      <c r="F305" s="2" t="str">
        <f>"R_MATRICULA_ANUAL_SAME.RDF"</f>
        <v>R_MATRICULA_ANUAL_SAME.RDF</v>
      </c>
      <c r="G305" s="2" t="str">
        <f>" ()"</f>
        <v xml:space="preserve"> ()</v>
      </c>
    </row>
    <row r="306" spans="1:7" x14ac:dyDescent="0.3">
      <c r="A306" s="1" t="s">
        <v>1</v>
      </c>
      <c r="B306" s="2" t="str">
        <f t="shared" si="33"/>
        <v>SISTEMA DE GERENCIAMENTO DE SAME</v>
      </c>
      <c r="C306" s="2" t="str">
        <f t="shared" si="34"/>
        <v>APOIO</v>
      </c>
      <c r="D306" s="2" t="str">
        <f t="shared" si="35"/>
        <v>AMAP</v>
      </c>
      <c r="E306" s="2" t="str">
        <f>"REMESSA PARA MICRO_FILMAGEM"</f>
        <v>REMESSA PARA MICRO_FILMAGEM</v>
      </c>
      <c r="F306" s="2" t="str">
        <f>"R_REMESSA"</f>
        <v>R_REMESSA</v>
      </c>
      <c r="G306" s="2" t="str">
        <f>"Serviços de Apoio / Serviço Arquivo Médico / Relatórios / Administrativos / Remessa dos Pacientes (R_REMESSA)"</f>
        <v>Serviços de Apoio / Serviço Arquivo Médico / Relatórios / Administrativos / Remessa dos Pacientes (R_REMESSA)</v>
      </c>
    </row>
    <row r="307" spans="1:7" x14ac:dyDescent="0.3">
      <c r="A307" s="1" t="s">
        <v>1</v>
      </c>
      <c r="B307" s="2" t="str">
        <f t="shared" si="33"/>
        <v>SISTEMA DE GERENCIAMENTO DE SAME</v>
      </c>
      <c r="C307" s="2" t="str">
        <f t="shared" si="34"/>
        <v>APOIO</v>
      </c>
      <c r="D307" s="2" t="str">
        <f t="shared" si="35"/>
        <v>AMAP</v>
      </c>
      <c r="E307" s="2" t="str">
        <f>"RELATÓRIO DE ENTRADAS POR PERÍODO"</f>
        <v>RELATÓRIO DE ENTRADAS POR PERÍODO</v>
      </c>
      <c r="F307" s="2" t="str">
        <f>"R_ENTRADAS_SAME"</f>
        <v>R_ENTRADAS_SAME</v>
      </c>
      <c r="G307" s="2" t="str">
        <f>"Serviços de Apoio / Serviço Arquivo Médico / Relatórios / Administrativos / Entradas por Período (R_ENTRADAS_SAME)"</f>
        <v>Serviços de Apoio / Serviço Arquivo Médico / Relatórios / Administrativos / Entradas por Período (R_ENTRADAS_SAME)</v>
      </c>
    </row>
    <row r="308" spans="1:7" x14ac:dyDescent="0.3">
      <c r="A308" s="1" t="s">
        <v>1</v>
      </c>
      <c r="B308" s="2" t="str">
        <f t="shared" si="33"/>
        <v>SISTEMA DE GERENCIAMENTO DE SAME</v>
      </c>
      <c r="C308" s="2" t="str">
        <f t="shared" si="34"/>
        <v>APOIO</v>
      </c>
      <c r="D308" s="2" t="str">
        <f t="shared" si="35"/>
        <v>AMAP</v>
      </c>
      <c r="E308" s="2" t="str">
        <f>"REL DE ALTAS"</f>
        <v>REL DE ALTAS</v>
      </c>
      <c r="F308" s="2" t="str">
        <f>"R_LIVRO_ALTAS"</f>
        <v>R_LIVRO_ALTAS</v>
      </c>
      <c r="G308" s="2" t="str">
        <f>" ()"</f>
        <v xml:space="preserve"> ()</v>
      </c>
    </row>
    <row r="309" spans="1:7" x14ac:dyDescent="0.3">
      <c r="A309" s="1" t="s">
        <v>1</v>
      </c>
      <c r="B309" s="2" t="str">
        <f t="shared" si="33"/>
        <v>SISTEMA DE GERENCIAMENTO DE SAME</v>
      </c>
      <c r="C309" s="2" t="str">
        <f t="shared" si="34"/>
        <v>APOIO</v>
      </c>
      <c r="D309" s="2" t="str">
        <f t="shared" si="35"/>
        <v>AMAP</v>
      </c>
      <c r="E309" s="2" t="str">
        <f>"R_INTERNACOES_297"</f>
        <v>R_INTERNACOES_297</v>
      </c>
      <c r="F309" s="2" t="str">
        <f>"R_INTERNACOES_297"</f>
        <v>R_INTERNACOES_297</v>
      </c>
      <c r="G309" s="2" t="str">
        <f>" ()"</f>
        <v xml:space="preserve"> ()</v>
      </c>
    </row>
    <row r="310" spans="1:7" x14ac:dyDescent="0.3">
      <c r="A310" s="1" t="s">
        <v>1</v>
      </c>
      <c r="B310" s="2" t="str">
        <f t="shared" si="33"/>
        <v>SISTEMA DE GERENCIAMENTO DE SAME</v>
      </c>
      <c r="C310" s="2" t="str">
        <f t="shared" si="34"/>
        <v>APOIO</v>
      </c>
      <c r="D310" s="2" t="str">
        <f t="shared" si="35"/>
        <v>AMAP</v>
      </c>
      <c r="E310" s="2" t="str">
        <f>"R_PESQATE"</f>
        <v>R_PESQATE</v>
      </c>
      <c r="F310" s="2" t="str">
        <f>"R_PESQATE"</f>
        <v>R_PESQATE</v>
      </c>
      <c r="G310" s="2" t="str">
        <f>" ()"</f>
        <v xml:space="preserve"> ()</v>
      </c>
    </row>
    <row r="311" spans="1:7" x14ac:dyDescent="0.3">
      <c r="A311" s="1" t="s">
        <v>1</v>
      </c>
      <c r="B311" s="2" t="str">
        <f t="shared" si="33"/>
        <v>SISTEMA DE GERENCIAMENTO DE SAME</v>
      </c>
      <c r="C311" s="2" t="str">
        <f t="shared" si="34"/>
        <v>APOIO</v>
      </c>
      <c r="D311" s="2" t="str">
        <f t="shared" si="35"/>
        <v>AMAP</v>
      </c>
      <c r="E311" s="2" t="str">
        <f>"PACIENTES INTERNADOS"</f>
        <v>PACIENTES INTERNADOS</v>
      </c>
      <c r="F311" s="2" t="str">
        <f>"R_INTERNACAO_DIA"</f>
        <v>R_INTERNACAO_DIA</v>
      </c>
      <c r="G311" s="2" t="str">
        <f>"Serviços de Apoio / Serviço Arquivo Médico / Relatórios / Administrativos / Pacientes Internados (R_INTERNACAO_DIA)"</f>
        <v>Serviços de Apoio / Serviço Arquivo Médico / Relatórios / Administrativos / Pacientes Internados (R_INTERNACAO_DIA)</v>
      </c>
    </row>
    <row r="312" spans="1:7" x14ac:dyDescent="0.3">
      <c r="A312" s="1" t="s">
        <v>1</v>
      </c>
      <c r="B312" s="2" t="str">
        <f t="shared" si="33"/>
        <v>SISTEMA DE GERENCIAMENTO DE SAME</v>
      </c>
      <c r="C312" s="2" t="str">
        <f t="shared" si="34"/>
        <v>APOIO</v>
      </c>
      <c r="D312" s="2" t="str">
        <f t="shared" si="35"/>
        <v>AMAP</v>
      </c>
      <c r="E312" s="2" t="str">
        <f>"R_ETIQ_TRANSF_DOC"</f>
        <v>R_ETIQ_TRANSF_DOC</v>
      </c>
      <c r="F312" s="2" t="str">
        <f>"R_ETIQ_TRANSF_DOC"</f>
        <v>R_ETIQ_TRANSF_DOC</v>
      </c>
      <c r="G312" s="2" t="str">
        <f>" ()"</f>
        <v xml:space="preserve"> ()</v>
      </c>
    </row>
    <row r="313" spans="1:7" x14ac:dyDescent="0.3">
      <c r="A313" s="1" t="s">
        <v>1</v>
      </c>
      <c r="B313" s="2" t="str">
        <f t="shared" si="33"/>
        <v>SISTEMA DE GERENCIAMENTO DE SAME</v>
      </c>
      <c r="C313" s="2" t="str">
        <f t="shared" si="34"/>
        <v>APOIO</v>
      </c>
      <c r="D313" s="2" t="str">
        <f t="shared" si="35"/>
        <v>AMAP</v>
      </c>
      <c r="E313" s="2" t="str">
        <f>"CALENDÁRIO"</f>
        <v>CALENDÁRIO</v>
      </c>
      <c r="F313" s="2" t="str">
        <f>"R_TRANSF_DOC"</f>
        <v>R_TRANSF_DOC</v>
      </c>
      <c r="G313" s="2" t="str">
        <f>"Serviços de Apoio / Serviço Arquivo Médico / Relatórios / Administrativos / Prontuários e Documentos Transferidos (R_TRANSF_DOC)"</f>
        <v>Serviços de Apoio / Serviço Arquivo Médico / Relatórios / Administrativos / Prontuários e Documentos Transferidos (R_TRANSF_DOC)</v>
      </c>
    </row>
    <row r="314" spans="1:7" x14ac:dyDescent="0.3">
      <c r="A314" s="1" t="s">
        <v>1</v>
      </c>
      <c r="B314" s="2" t="str">
        <f t="shared" si="33"/>
        <v>SISTEMA DE GERENCIAMENTO DE SAME</v>
      </c>
      <c r="C314" s="2" t="str">
        <f t="shared" si="34"/>
        <v>APOIO</v>
      </c>
      <c r="D314" s="2" t="str">
        <f t="shared" si="35"/>
        <v>AMAP</v>
      </c>
      <c r="E314" s="2" t="str">
        <f>"R_CAPA_PRONT"</f>
        <v>R_CAPA_PRONT</v>
      </c>
      <c r="F314" s="2" t="str">
        <f>"R_CAPA_PRONT"</f>
        <v>R_CAPA_PRONT</v>
      </c>
      <c r="G314" s="2" t="str">
        <f>" ()"</f>
        <v xml:space="preserve"> ()</v>
      </c>
    </row>
    <row r="315" spans="1:7" x14ac:dyDescent="0.3">
      <c r="A315" s="1" t="s">
        <v>1</v>
      </c>
      <c r="B315" s="2" t="str">
        <f t="shared" si="33"/>
        <v>SISTEMA DE GERENCIAMENTO DE SAME</v>
      </c>
      <c r="C315" s="2" t="str">
        <f t="shared" si="34"/>
        <v>APOIO</v>
      </c>
      <c r="D315" s="2" t="str">
        <f t="shared" si="35"/>
        <v>AMAP</v>
      </c>
      <c r="E315" s="2" t="str">
        <f>"REL DE LOCALIZ DE PRONTUÁRIOS POR ATEND"</f>
        <v>REL DE LOCALIZ DE PRONTUÁRIOS POR ATEND</v>
      </c>
      <c r="F315" s="2" t="str">
        <f>"R_LOCAL_PRONT_ATEND"</f>
        <v>R_LOCAL_PRONT_ATEND</v>
      </c>
      <c r="G315" s="2" t="str">
        <f>" ()"</f>
        <v xml:space="preserve"> ()</v>
      </c>
    </row>
    <row r="316" spans="1:7" x14ac:dyDescent="0.3">
      <c r="A316" s="1" t="s">
        <v>1</v>
      </c>
      <c r="B316" s="2" t="str">
        <f t="shared" si="33"/>
        <v>SISTEMA DE GERENCIAMENTO DE SAME</v>
      </c>
      <c r="C316" s="2" t="str">
        <f t="shared" si="34"/>
        <v>APOIO</v>
      </c>
      <c r="D316" s="2" t="str">
        <f t="shared" si="35"/>
        <v>AMAP</v>
      </c>
      <c r="E316" s="2" t="str">
        <f>"MENU PERSONALIZADO DO AMAP P/ IRMA DULCE"</f>
        <v>MENU PERSONALIZADO DO AMAP P/ IRMA DULCE</v>
      </c>
      <c r="F316" s="2" t="str">
        <f>"M_MICRO"</f>
        <v>M_MICRO</v>
      </c>
      <c r="G316" s="2" t="str">
        <f>" ()"</f>
        <v xml:space="preserve"> ()</v>
      </c>
    </row>
    <row r="317" spans="1:7" x14ac:dyDescent="0.3">
      <c r="A317" s="1" t="s">
        <v>1</v>
      </c>
      <c r="B317" s="2" t="str">
        <f t="shared" si="33"/>
        <v>SISTEMA DE GERENCIAMENTO DE SAME</v>
      </c>
      <c r="C317" s="2" t="str">
        <f t="shared" si="34"/>
        <v>APOIO</v>
      </c>
      <c r="D317" s="2" t="str">
        <f t="shared" si="35"/>
        <v>AMAP</v>
      </c>
      <c r="E317" s="2" t="str">
        <f>"REL DE MATRICULAS DO SAME"</f>
        <v>REL DE MATRICULAS DO SAME</v>
      </c>
      <c r="F317" s="2" t="str">
        <f>"R_MATRICULA"</f>
        <v>R_MATRICULA</v>
      </c>
      <c r="G317" s="2" t="str">
        <f>"Serviços de Apoio / Serviço Arquivo Médico / Relatórios / Administrativos / Matrículas do SAME (R_MATRICULA)"</f>
        <v>Serviços de Apoio / Serviço Arquivo Médico / Relatórios / Administrativos / Matrículas do SAME (R_MATRICULA)</v>
      </c>
    </row>
    <row r="318" spans="1:7" x14ac:dyDescent="0.3">
      <c r="A318" s="1" t="s">
        <v>1</v>
      </c>
      <c r="B318" s="2" t="str">
        <f t="shared" si="33"/>
        <v>SISTEMA DE GERENCIAMENTO DE SAME</v>
      </c>
      <c r="C318" s="2" t="str">
        <f t="shared" si="34"/>
        <v>APOIO</v>
      </c>
      <c r="D318" s="2" t="str">
        <f t="shared" si="35"/>
        <v>AMAP</v>
      </c>
      <c r="E318" s="2" t="str">
        <f>"COMPROVANTE DE DEVOLUÇÃO DE DOCUMENTO"</f>
        <v>COMPROVANTE DE DEVOLUÇÃO DE DOCUMENTO</v>
      </c>
      <c r="F318" s="2" t="str">
        <f>"R_PROTEDOC"</f>
        <v>R_PROTEDOC</v>
      </c>
      <c r="G318" s="2" t="str">
        <f>" ()"</f>
        <v xml:space="preserve"> ()</v>
      </c>
    </row>
    <row r="319" spans="1:7" x14ac:dyDescent="0.3">
      <c r="A319" s="1" t="s">
        <v>1</v>
      </c>
      <c r="B319" s="2" t="str">
        <f t="shared" si="33"/>
        <v>SISTEMA DE GERENCIAMENTO DE SAME</v>
      </c>
      <c r="C319" s="2" t="str">
        <f t="shared" si="34"/>
        <v>APOIO</v>
      </c>
      <c r="D319" s="2" t="str">
        <f t="shared" si="35"/>
        <v>AMAP</v>
      </c>
      <c r="E319" s="2" t="str">
        <f>"PROTOCOLO DE SAIDA DE DOCUMENTOS"</f>
        <v>PROTOCOLO DE SAIDA DE DOCUMENTOS</v>
      </c>
      <c r="F319" s="2" t="str">
        <f>"R_PROTSDOC"</f>
        <v>R_PROTSDOC</v>
      </c>
      <c r="G319" s="2" t="str">
        <f>"Serviços de Apoio / Serviço Arquivo Médico / Relatórios / Administrativos / Documentos  / Protocolo de Saída (R_PROTSDOC)"</f>
        <v>Serviços de Apoio / Serviço Arquivo Médico / Relatórios / Administrativos / Documentos  / Protocolo de Saída (R_PROTSDOC)</v>
      </c>
    </row>
    <row r="320" spans="1:7" x14ac:dyDescent="0.3">
      <c r="A320" s="1" t="s">
        <v>1</v>
      </c>
      <c r="B320" s="2" t="str">
        <f t="shared" si="33"/>
        <v>SISTEMA DE GERENCIAMENTO DE SAME</v>
      </c>
      <c r="C320" s="2" t="str">
        <f t="shared" si="34"/>
        <v>APOIO</v>
      </c>
      <c r="D320" s="2" t="str">
        <f t="shared" si="35"/>
        <v>AMAP</v>
      </c>
      <c r="E320" s="2" t="str">
        <f>"R_ETIQUETA_SAME"</f>
        <v>R_ETIQUETA_SAME</v>
      </c>
      <c r="F320" s="2" t="str">
        <f>"R_ETIQUETA_SAME"</f>
        <v>R_ETIQUETA_SAME</v>
      </c>
      <c r="G320" s="2" t="str">
        <f>" ()"</f>
        <v xml:space="preserve"> ()</v>
      </c>
    </row>
    <row r="321" spans="1:7" x14ac:dyDescent="0.3">
      <c r="A321" s="1" t="s">
        <v>1</v>
      </c>
      <c r="B321" s="2" t="str">
        <f t="shared" si="33"/>
        <v>SISTEMA DE GERENCIAMENTO DE SAME</v>
      </c>
      <c r="C321" s="2" t="str">
        <f t="shared" si="34"/>
        <v>APOIO</v>
      </c>
      <c r="D321" s="2" t="str">
        <f t="shared" si="35"/>
        <v>AMAP</v>
      </c>
      <c r="E321" s="2" t="str">
        <f>"TELA DE PARAMETROS DO REL DE MOV DIARIO"</f>
        <v>TELA DE PARAMETROS DO REL DE MOV DIARIO</v>
      </c>
      <c r="F321" s="2" t="str">
        <f>"R_LIVRO"</f>
        <v>R_LIVRO</v>
      </c>
      <c r="G321" s="2" t="str">
        <f>"Serviços de Apoio / Serviço Arquivo Médico / Relatórios / Administrativos / Movimento Diário (R_LIVRO)"</f>
        <v>Serviços de Apoio / Serviço Arquivo Médico / Relatórios / Administrativos / Movimento Diário (R_LIVRO)</v>
      </c>
    </row>
    <row r="322" spans="1:7" x14ac:dyDescent="0.3">
      <c r="A322" s="1" t="s">
        <v>1</v>
      </c>
      <c r="B322" s="2" t="str">
        <f t="shared" si="33"/>
        <v>SISTEMA DE GERENCIAMENTO DE SAME</v>
      </c>
      <c r="C322" s="2" t="str">
        <f t="shared" si="34"/>
        <v>APOIO</v>
      </c>
      <c r="D322" s="2" t="str">
        <f t="shared" si="35"/>
        <v>AMAP</v>
      </c>
      <c r="E322" s="2" t="str">
        <f>"REL DE MOVIMENTO DIARIO DO AMBULATORIO"</f>
        <v>REL DE MOVIMENTO DIARIO DO AMBULATORIO</v>
      </c>
      <c r="F322" s="2" t="str">
        <f>"R_LIVRO_AMBULATORIO"</f>
        <v>R_LIVRO_AMBULATORIO</v>
      </c>
      <c r="G322" s="2" t="str">
        <f>" ()"</f>
        <v xml:space="preserve"> ()</v>
      </c>
    </row>
    <row r="323" spans="1:7" x14ac:dyDescent="0.3">
      <c r="A323" s="1" t="s">
        <v>1</v>
      </c>
      <c r="B323" s="2" t="str">
        <f t="shared" si="33"/>
        <v>SISTEMA DE GERENCIAMENTO DE SAME</v>
      </c>
      <c r="C323" s="2" t="str">
        <f t="shared" si="34"/>
        <v>APOIO</v>
      </c>
      <c r="D323" s="2" t="str">
        <f t="shared" si="35"/>
        <v>AMAP</v>
      </c>
      <c r="E323" s="2" t="str">
        <f>"REL DE MOVIMENTO DIARIO DE INTERNACOES"</f>
        <v>REL DE MOVIMENTO DIARIO DE INTERNACOES</v>
      </c>
      <c r="F323" s="2" t="str">
        <f>"R_LIVRO_INTERNACOES"</f>
        <v>R_LIVRO_INTERNACOES</v>
      </c>
      <c r="G323" s="2" t="str">
        <f>" ()"</f>
        <v xml:space="preserve"> ()</v>
      </c>
    </row>
    <row r="324" spans="1:7" x14ac:dyDescent="0.3">
      <c r="A324" s="1" t="s">
        <v>1</v>
      </c>
      <c r="B324" s="2" t="str">
        <f t="shared" si="33"/>
        <v>SISTEMA DE GERENCIAMENTO DE SAME</v>
      </c>
      <c r="C324" s="2" t="str">
        <f t="shared" si="34"/>
        <v>APOIO</v>
      </c>
      <c r="D324" s="2" t="str">
        <f t="shared" si="35"/>
        <v>AMAP</v>
      </c>
      <c r="E324" s="2" t="str">
        <f>"REL MOVIMENTO DIARIO DE PRONTO SOCORRO"</f>
        <v>REL MOVIMENTO DIARIO DE PRONTO SOCORRO</v>
      </c>
      <c r="F324" s="2" t="str">
        <f>"R_LIVRO_URGENCIA"</f>
        <v>R_LIVRO_URGENCIA</v>
      </c>
      <c r="G324" s="2" t="str">
        <f>" ()"</f>
        <v xml:space="preserve"> ()</v>
      </c>
    </row>
    <row r="325" spans="1:7" x14ac:dyDescent="0.3">
      <c r="A325" s="1" t="s">
        <v>1</v>
      </c>
      <c r="B325" s="2" t="str">
        <f t="shared" si="33"/>
        <v>SISTEMA DE GERENCIAMENTO DE SAME</v>
      </c>
      <c r="C325" s="2" t="str">
        <f t="shared" si="34"/>
        <v>APOIO</v>
      </c>
      <c r="D325" s="2" t="str">
        <f t="shared" si="35"/>
        <v>AMAP</v>
      </c>
      <c r="E325" s="2" t="str">
        <f>"CONSULTA: DOCUMENTOS DO PACIENTE"</f>
        <v>CONSULTA: DOCUMENTOS DO PACIENTE</v>
      </c>
      <c r="F325" s="2" t="str">
        <f>"C_PAC_PRONT"</f>
        <v>C_PAC_PRONT</v>
      </c>
      <c r="G325" s="2" t="str">
        <f>"Serviços de Apoio / Serviço Arquivo Médico / Consultas / Histórico das Saídas de Documentos (C_PAC_PRONT)"</f>
        <v>Serviços de Apoio / Serviço Arquivo Médico / Consultas / Histórico das Saídas de Documentos (C_PAC_PRONT)</v>
      </c>
    </row>
    <row r="326" spans="1:7" x14ac:dyDescent="0.3">
      <c r="A326" s="1" t="s">
        <v>1</v>
      </c>
      <c r="B326" s="2" t="str">
        <f t="shared" si="33"/>
        <v>SISTEMA DE GERENCIAMENTO DE SAME</v>
      </c>
      <c r="C326" s="2" t="str">
        <f t="shared" si="34"/>
        <v>APOIO</v>
      </c>
      <c r="D326" s="2" t="str">
        <f t="shared" si="35"/>
        <v>AMAP</v>
      </c>
      <c r="E326" s="2" t="str">
        <f>"ENTRADA DE DOCUMENTOS"</f>
        <v>ENTRADA DE DOCUMENTOS</v>
      </c>
      <c r="F326" s="2" t="str">
        <f>"M_PRONT_SOL"</f>
        <v>M_PRONT_SOL</v>
      </c>
      <c r="G326" s="2" t="str">
        <f>"Serviços de Apoio / Serviço Arquivo Médico / SAME / Transferência de Pastas / Recebimento de Solicitações (M_PRONT_SOL)"</f>
        <v>Serviços de Apoio / Serviço Arquivo Médico / SAME / Transferência de Pastas / Recebimento de Solicitações (M_PRONT_SOL)</v>
      </c>
    </row>
    <row r="327" spans="1:7" x14ac:dyDescent="0.3">
      <c r="A327" s="1" t="s">
        <v>1</v>
      </c>
      <c r="B327" s="2" t="str">
        <f t="shared" si="33"/>
        <v>SISTEMA DE GERENCIAMENTO DE SAME</v>
      </c>
      <c r="C327" s="2" t="str">
        <f t="shared" si="34"/>
        <v>APOIO</v>
      </c>
      <c r="D327" s="2" t="str">
        <f t="shared" si="35"/>
        <v>AMAP</v>
      </c>
      <c r="E327" s="2" t="str">
        <f>"ENTRADA DE DOCUMENTOS"</f>
        <v>ENTRADA DE DOCUMENTOS</v>
      </c>
      <c r="F327" s="2" t="str">
        <f>"M_TRANS_FIM"</f>
        <v>M_TRANS_FIM</v>
      </c>
      <c r="G327" s="2" t="str">
        <f>"Serviços de Apoio / Serviço Arquivo Médico / SAME / Transferência de Pastas / Recebimento de Transferências (M_TRANS_FIM)"</f>
        <v>Serviços de Apoio / Serviço Arquivo Médico / SAME / Transferência de Pastas / Recebimento de Transferências (M_TRANS_FIM)</v>
      </c>
    </row>
    <row r="328" spans="1:7" x14ac:dyDescent="0.3">
      <c r="A328" s="1" t="s">
        <v>1</v>
      </c>
      <c r="B328" s="2" t="str">
        <f t="shared" si="33"/>
        <v>SISTEMA DE GERENCIAMENTO DE SAME</v>
      </c>
      <c r="C328" s="2" t="str">
        <f t="shared" si="34"/>
        <v>APOIO</v>
      </c>
      <c r="D328" s="2" t="str">
        <f t="shared" si="35"/>
        <v>AMAP</v>
      </c>
      <c r="E328" s="2" t="str">
        <f>"ENTRADA DE DOCUMENTOS"</f>
        <v>ENTRADA DE DOCUMENTOS</v>
      </c>
      <c r="F328" s="2" t="str">
        <f>"M_SOL_PRONT"</f>
        <v>M_SOL_PRONT</v>
      </c>
      <c r="G328" s="2" t="str">
        <f>"Serviços de Apoio / Serviço Arquivo Médico / SAME / Transferência de Pastas / Solicitação de Transferência (M_SOL_PRONT)"</f>
        <v>Serviços de Apoio / Serviço Arquivo Médico / SAME / Transferência de Pastas / Solicitação de Transferência (M_SOL_PRONT)</v>
      </c>
    </row>
    <row r="329" spans="1:7" x14ac:dyDescent="0.3">
      <c r="A329" s="1" t="s">
        <v>1</v>
      </c>
      <c r="B329" s="2" t="str">
        <f t="shared" si="33"/>
        <v>SISTEMA DE GERENCIAMENTO DE SAME</v>
      </c>
      <c r="C329" s="2" t="str">
        <f t="shared" si="34"/>
        <v>APOIO</v>
      </c>
      <c r="D329" s="2" t="str">
        <f t="shared" si="35"/>
        <v>AMAP</v>
      </c>
      <c r="E329" s="2" t="str">
        <f>"R_MATRICULA_ANUAL_SAME"</f>
        <v>R_MATRICULA_ANUAL_SAME</v>
      </c>
      <c r="F329" s="2" t="str">
        <f>"R_MATRICULA_ANUAL_SAME"</f>
        <v>R_MATRICULA_ANUAL_SAME</v>
      </c>
      <c r="G329" s="2" t="str">
        <f>"Serviços de Apoio / Serviço Arquivo Médico / Relatórios / Tabelas / Ano x Próxima Matrícula (R_MATRICULA_ANUAL_SAME)"</f>
        <v>Serviços de Apoio / Serviço Arquivo Médico / Relatórios / Tabelas / Ano x Próxima Matrícula (R_MATRICULA_ANUAL_SAME)</v>
      </c>
    </row>
    <row r="330" spans="1:7" x14ac:dyDescent="0.3">
      <c r="A330" s="1" t="s">
        <v>1</v>
      </c>
      <c r="B330" s="2" t="str">
        <f t="shared" si="33"/>
        <v>SISTEMA DE GERENCIAMENTO DE SAME</v>
      </c>
      <c r="C330" s="2" t="str">
        <f t="shared" si="34"/>
        <v>APOIO</v>
      </c>
      <c r="D330" s="2" t="str">
        <f t="shared" si="35"/>
        <v>AMAP</v>
      </c>
      <c r="E330" s="2" t="str">
        <f>"RELATÓRIO DE AGENDA DIÁRIA"</f>
        <v>RELATÓRIO DE AGENDA DIÁRIA</v>
      </c>
      <c r="F330" s="2" t="str">
        <f>"R_LISTA_PAC_AGENDA_970"</f>
        <v>R_LISTA_PAC_AGENDA_970</v>
      </c>
      <c r="G330" s="2" t="str">
        <f>" ()"</f>
        <v xml:space="preserve"> ()</v>
      </c>
    </row>
    <row r="331" spans="1:7" x14ac:dyDescent="0.3">
      <c r="A331" s="1" t="s">
        <v>1</v>
      </c>
      <c r="B331" s="2" t="str">
        <f t="shared" si="33"/>
        <v>SISTEMA DE GERENCIAMENTO DE SAME</v>
      </c>
      <c r="C331" s="2" t="str">
        <f t="shared" si="34"/>
        <v>APOIO</v>
      </c>
      <c r="D331" s="2" t="str">
        <f t="shared" si="35"/>
        <v>AMAP</v>
      </c>
      <c r="E331" s="2" t="str">
        <f>"WIN_PRINCIPAL - HOSPITAL MV SISTEMAS"</f>
        <v>WIN_PRINCIPAL - HOSPITAL MV SISTEMAS</v>
      </c>
      <c r="F331" s="2" t="str">
        <f>"M_ENT_PASTAPAR_SAME"</f>
        <v>M_ENT_PASTAPAR_SAME</v>
      </c>
      <c r="G331" s="2" t="str">
        <f>"Serviços de Apoio / Serviço Arquivo Médico / SAME / Pastas Parciais / Entrada de Pasta no SAME (M_ENT_PASTAPAR_SAME)"</f>
        <v>Serviços de Apoio / Serviço Arquivo Médico / SAME / Pastas Parciais / Entrada de Pasta no SAME (M_ENT_PASTAPAR_SAME)</v>
      </c>
    </row>
    <row r="332" spans="1:7" x14ac:dyDescent="0.3">
      <c r="A332" s="1" t="s">
        <v>1</v>
      </c>
      <c r="B332" s="2" t="str">
        <f t="shared" si="33"/>
        <v>SISTEMA DE GERENCIAMENTO DE SAME</v>
      </c>
      <c r="C332" s="2" t="str">
        <f t="shared" si="34"/>
        <v>APOIO</v>
      </c>
      <c r="D332" s="2" t="str">
        <f t="shared" si="35"/>
        <v>AMAP</v>
      </c>
      <c r="E332" s="2" t="str">
        <f>"PERSONALIZADOS DO AMAP"</f>
        <v>PERSONALIZADOS DO AMAP</v>
      </c>
      <c r="F332" s="2" t="str">
        <f>"R_PERSON_AMAP"</f>
        <v>R_PERSON_AMAP</v>
      </c>
      <c r="G332" s="2" t="str">
        <f>"Serviços de Apoio / Serviço Arquivo Médico / Relatórios / Personalizados (R_PERSON_AMAP)"</f>
        <v>Serviços de Apoio / Serviço Arquivo Médico / Relatórios / Personalizados (R_PERSON_AMAP)</v>
      </c>
    </row>
    <row r="333" spans="1:7" x14ac:dyDescent="0.3">
      <c r="A333" s="1" t="s">
        <v>1</v>
      </c>
      <c r="B333" s="2" t="str">
        <f t="shared" si="33"/>
        <v>SISTEMA DE GERENCIAMENTO DE SAME</v>
      </c>
      <c r="C333" s="2" t="str">
        <f t="shared" si="34"/>
        <v>APOIO</v>
      </c>
      <c r="D333" s="2" t="str">
        <f t="shared" si="35"/>
        <v>AMAP</v>
      </c>
      <c r="E333" s="2" t="str">
        <f>"SAIDA DE DOCUMENTOS DO SAME POR LOTES"</f>
        <v>SAIDA DE DOCUMENTOS DO SAME POR LOTES</v>
      </c>
      <c r="F333" s="2" t="str">
        <f>"M_SAIDASAME_LOTE"</f>
        <v>M_SAIDASAME_LOTE</v>
      </c>
      <c r="G333" s="2" t="str">
        <f>" ()"</f>
        <v xml:space="preserve"> ()</v>
      </c>
    </row>
    <row r="334" spans="1:7" x14ac:dyDescent="0.3">
      <c r="A334" s="1" t="s">
        <v>1</v>
      </c>
      <c r="B334" s="2" t="str">
        <f t="shared" si="33"/>
        <v>SISTEMA DE GERENCIAMENTO DE SAME</v>
      </c>
      <c r="C334" s="2" t="str">
        <f t="shared" si="34"/>
        <v>APOIO</v>
      </c>
      <c r="D334" s="2" t="str">
        <f t="shared" si="35"/>
        <v>AMAP</v>
      </c>
      <c r="E334" s="2" t="str">
        <f>"PROTOCOLO DE CTRL E MOV DE PRONTUARIOS"</f>
        <v>PROTOCOLO DE CTRL E MOV DE PRONTUARIOS</v>
      </c>
      <c r="F334" s="2" t="str">
        <f>"R_MOV_PRONTUARIOS600"</f>
        <v>R_MOV_PRONTUARIOS600</v>
      </c>
      <c r="G334" s="2" t="str">
        <f>" ()"</f>
        <v xml:space="preserve"> ()</v>
      </c>
    </row>
    <row r="335" spans="1:7" x14ac:dyDescent="0.3">
      <c r="A335" s="1" t="s">
        <v>1</v>
      </c>
      <c r="B335" s="2" t="str">
        <f t="shared" si="33"/>
        <v>SISTEMA DE GERENCIAMENTO DE SAME</v>
      </c>
      <c r="C335" s="2" t="str">
        <f t="shared" si="34"/>
        <v>APOIO</v>
      </c>
      <c r="D335" s="2" t="str">
        <f t="shared" si="35"/>
        <v>AMAP</v>
      </c>
      <c r="E335" s="2" t="str">
        <f>"SAÍDA DE DOCUMENTOS DO SAME"</f>
        <v>SAÍDA DE DOCUMENTOS DO SAME</v>
      </c>
      <c r="F335" s="2" t="str">
        <f>"M_SAIDA_AGENDA"</f>
        <v>M_SAIDA_AGENDA</v>
      </c>
      <c r="G335" s="2" t="str">
        <f>" ()"</f>
        <v xml:space="preserve"> ()</v>
      </c>
    </row>
    <row r="336" spans="1:7" x14ac:dyDescent="0.3">
      <c r="A336" s="1" t="s">
        <v>1</v>
      </c>
      <c r="B336" s="2" t="str">
        <f t="shared" si="33"/>
        <v>SISTEMA DE GERENCIAMENTO DE SAME</v>
      </c>
      <c r="C336" s="2" t="str">
        <f t="shared" si="34"/>
        <v>APOIO</v>
      </c>
      <c r="D336" s="2" t="str">
        <f t="shared" si="35"/>
        <v>AMAP</v>
      </c>
      <c r="E336" s="2" t="str">
        <f>"MENU DO SISTEMA AMAP"</f>
        <v>MENU DO SISTEMA AMAP</v>
      </c>
      <c r="F336" s="2" t="str">
        <f>"M_AMAP"</f>
        <v>M_AMAP</v>
      </c>
      <c r="G336" s="2" t="str">
        <f>" ()"</f>
        <v xml:space="preserve"> ()</v>
      </c>
    </row>
    <row r="337" spans="1:7" x14ac:dyDescent="0.3">
      <c r="A337" s="1" t="s">
        <v>1</v>
      </c>
      <c r="B337" s="2" t="str">
        <f t="shared" si="33"/>
        <v>SISTEMA DE GERENCIAMENTO DE SAME</v>
      </c>
      <c r="C337" s="2" t="str">
        <f t="shared" si="34"/>
        <v>APOIO</v>
      </c>
      <c r="D337" s="2" t="str">
        <f t="shared" si="35"/>
        <v>AMAP</v>
      </c>
      <c r="E337" s="2" t="str">
        <f>"SAÍDA DE DOCUMENTOS DO SAME"</f>
        <v>SAÍDA DE DOCUMENTOS DO SAME</v>
      </c>
      <c r="F337" s="2" t="str">
        <f>"C_DOCPROSAI"</f>
        <v>C_DOCPROSAI</v>
      </c>
      <c r="G337" s="2" t="str">
        <f>"Serviços de Apoio / Serviço Arquivo Médico / Consultas / Documentos Retirados (C_DOCPROSAI)"</f>
        <v>Serviços de Apoio / Serviço Arquivo Médico / Consultas / Documentos Retirados (C_DOCPROSAI)</v>
      </c>
    </row>
    <row r="338" spans="1:7" x14ac:dyDescent="0.3">
      <c r="A338" s="1" t="s">
        <v>1</v>
      </c>
      <c r="B338" s="2" t="str">
        <f t="shared" si="33"/>
        <v>SISTEMA DE GERENCIAMENTO DE SAME</v>
      </c>
      <c r="C338" s="2" t="str">
        <f t="shared" si="34"/>
        <v>APOIO</v>
      </c>
      <c r="D338" s="2" t="str">
        <f t="shared" si="35"/>
        <v>AMAP</v>
      </c>
      <c r="E338" s="2" t="str">
        <f>"AMAP"</f>
        <v>AMAP</v>
      </c>
      <c r="F338" s="2" t="str">
        <f>"AMAP"</f>
        <v>AMAP</v>
      </c>
      <c r="G338" s="2" t="str">
        <f>" ()"</f>
        <v xml:space="preserve"> ()</v>
      </c>
    </row>
    <row r="339" spans="1:7" x14ac:dyDescent="0.3">
      <c r="A339" s="1" t="s">
        <v>1</v>
      </c>
      <c r="B339" s="2" t="str">
        <f t="shared" si="33"/>
        <v>SISTEMA DE GERENCIAMENTO DE SAME</v>
      </c>
      <c r="C339" s="2" t="str">
        <f t="shared" si="34"/>
        <v>APOIO</v>
      </c>
      <c r="D339" s="2" t="str">
        <f t="shared" si="35"/>
        <v>AMAP</v>
      </c>
      <c r="E339" s="2" t="str">
        <f>"DEVDOCPRO"</f>
        <v>DEVDOCPRO</v>
      </c>
      <c r="F339" s="2" t="str">
        <f>"DEVDOCPRO"</f>
        <v>DEVDOCPRO</v>
      </c>
      <c r="G339" s="2" t="str">
        <f>"Serviços de Apoio / Serviço Arquivo Médico / SAME / Recebimento de Documentos / Confirmação de Recebimento (DEVDOCPRO)"</f>
        <v>Serviços de Apoio / Serviço Arquivo Médico / SAME / Recebimento de Documentos / Confirmação de Recebimento (DEVDOCPRO)</v>
      </c>
    </row>
    <row r="340" spans="1:7" x14ac:dyDescent="0.3">
      <c r="A340" s="1" t="s">
        <v>1</v>
      </c>
      <c r="B340" s="2" t="str">
        <f t="shared" si="33"/>
        <v>SISTEMA DE GERENCIAMENTO DE SAME</v>
      </c>
      <c r="C340" s="2" t="str">
        <f t="shared" si="34"/>
        <v>APOIO</v>
      </c>
      <c r="D340" s="2" t="str">
        <f t="shared" si="35"/>
        <v>AMAP</v>
      </c>
      <c r="E340" s="2" t="str">
        <f>"DEVOLUÇÃO DE DOCUMENTOS"</f>
        <v>DEVOLUÇÃO DE DOCUMENTOS</v>
      </c>
      <c r="F340" s="2" t="str">
        <f>"DEVTODOC"</f>
        <v>DEVTODOC</v>
      </c>
      <c r="G340" s="2" t="str">
        <f t="shared" ref="G340:G346" si="36">" ()"</f>
        <v xml:space="preserve"> ()</v>
      </c>
    </row>
    <row r="341" spans="1:7" x14ac:dyDescent="0.3">
      <c r="A341" s="1" t="s">
        <v>1</v>
      </c>
      <c r="B341" s="2" t="str">
        <f t="shared" si="33"/>
        <v>SISTEMA DE GERENCIAMENTO DE SAME</v>
      </c>
      <c r="C341" s="2" t="str">
        <f t="shared" si="34"/>
        <v>APOIO</v>
      </c>
      <c r="D341" s="2" t="str">
        <f t="shared" si="35"/>
        <v>AMAP</v>
      </c>
      <c r="E341" s="2" t="str">
        <f>"RELATÓRIO DE LOCALIZAÇÃO DE PRONTUÁRIOS"</f>
        <v>RELATÓRIO DE LOCALIZAÇÃO DE PRONTUÁRIOS</v>
      </c>
      <c r="F341" s="2" t="str">
        <f>"R_LOCAL_PRONT_DULCE"</f>
        <v>R_LOCAL_PRONT_DULCE</v>
      </c>
      <c r="G341" s="2" t="str">
        <f t="shared" si="36"/>
        <v xml:space="preserve"> ()</v>
      </c>
    </row>
    <row r="342" spans="1:7" x14ac:dyDescent="0.3">
      <c r="A342" s="1" t="s">
        <v>1</v>
      </c>
      <c r="B342" s="2" t="str">
        <f t="shared" si="33"/>
        <v>SISTEMA DE GERENCIAMENTO DE SAME</v>
      </c>
      <c r="C342" s="2" t="str">
        <f t="shared" si="34"/>
        <v>APOIO</v>
      </c>
      <c r="D342" s="2" t="str">
        <f t="shared" si="35"/>
        <v>AMAP</v>
      </c>
      <c r="E342" s="2" t="str">
        <f>"REL. DE TRANSFERÊNCIA DE PRONTUÁRIO"</f>
        <v>REL. DE TRANSFERÊNCIA DE PRONTUÁRIO</v>
      </c>
      <c r="F342" s="2" t="str">
        <f>"R_TRANSF_PRONTUARIO"</f>
        <v>R_TRANSF_PRONTUARIO</v>
      </c>
      <c r="G342" s="2" t="str">
        <f t="shared" si="36"/>
        <v xml:space="preserve"> ()</v>
      </c>
    </row>
    <row r="343" spans="1:7" x14ac:dyDescent="0.3">
      <c r="A343" s="1" t="s">
        <v>1</v>
      </c>
      <c r="B343" s="2" t="str">
        <f t="shared" si="33"/>
        <v>SISTEMA DE GERENCIAMENTO DE SAME</v>
      </c>
      <c r="C343" s="2" t="str">
        <f t="shared" si="34"/>
        <v>APOIO</v>
      </c>
      <c r="D343" s="2" t="str">
        <f t="shared" si="35"/>
        <v>AMAP</v>
      </c>
      <c r="E343" s="2" t="str">
        <f>"REL. DE TRANSFERÊNCIA DE DOCUMENTOS"</f>
        <v>REL. DE TRANSFERÊNCIA DE DOCUMENTOS</v>
      </c>
      <c r="F343" s="2" t="str">
        <f>"R_TRANSF_DOCUMENTO"</f>
        <v>R_TRANSF_DOCUMENTO</v>
      </c>
      <c r="G343" s="2" t="str">
        <f t="shared" si="36"/>
        <v xml:space="preserve"> ()</v>
      </c>
    </row>
    <row r="344" spans="1:7" x14ac:dyDescent="0.3">
      <c r="A344" s="1" t="s">
        <v>1</v>
      </c>
      <c r="B344" s="2" t="str">
        <f t="shared" si="33"/>
        <v>SISTEMA DE GERENCIAMENTO DE SAME</v>
      </c>
      <c r="C344" s="2" t="str">
        <f t="shared" si="34"/>
        <v>APOIO</v>
      </c>
      <c r="D344" s="2" t="str">
        <f t="shared" si="35"/>
        <v>AMAP</v>
      </c>
      <c r="E344" s="2" t="str">
        <f>"M_IMPORTA_PRONTUARIO"</f>
        <v>M_IMPORTA_PRONTUARIO</v>
      </c>
      <c r="F344" s="2" t="str">
        <f>"M_IMPORTA_PRONTUARIO"</f>
        <v>M_IMPORTA_PRONTUARIO</v>
      </c>
      <c r="G344" s="2" t="str">
        <f t="shared" si="36"/>
        <v xml:space="preserve"> ()</v>
      </c>
    </row>
    <row r="345" spans="1:7" x14ac:dyDescent="0.3">
      <c r="A345" s="1" t="s">
        <v>1</v>
      </c>
      <c r="B345" s="2" t="str">
        <f t="shared" si="33"/>
        <v>SISTEMA DE GERENCIAMENTO DE SAME</v>
      </c>
      <c r="C345" s="2" t="str">
        <f t="shared" si="34"/>
        <v>APOIO</v>
      </c>
      <c r="D345" s="2" t="str">
        <f t="shared" si="35"/>
        <v>AMAP</v>
      </c>
      <c r="E345" s="2" t="str">
        <f>"M_TRANSF_PASTA"</f>
        <v>M_TRANSF_PASTA</v>
      </c>
      <c r="F345" s="2" t="str">
        <f>"M_TRANSF_PASTA"</f>
        <v>M_TRANSF_PASTA</v>
      </c>
      <c r="G345" s="2" t="str">
        <f t="shared" si="36"/>
        <v xml:space="preserve"> ()</v>
      </c>
    </row>
    <row r="346" spans="1:7" x14ac:dyDescent="0.3">
      <c r="A346" s="1" t="s">
        <v>1</v>
      </c>
      <c r="B346" s="2" t="str">
        <f t="shared" si="33"/>
        <v>SISTEMA DE GERENCIAMENTO DE SAME</v>
      </c>
      <c r="C346" s="2" t="str">
        <f t="shared" si="34"/>
        <v>APOIO</v>
      </c>
      <c r="D346" s="2" t="str">
        <f t="shared" si="35"/>
        <v>AMAP</v>
      </c>
      <c r="E346" s="2" t="str">
        <f>"WIN_PRINCIPAL - HOSPITAL MV SISTEMAS"</f>
        <v>WIN_PRINCIPAL - HOSPITAL MV SISTEMAS</v>
      </c>
      <c r="F346" s="2" t="str">
        <f>"M_ENTRA_PASTAPARC_SAME"</f>
        <v>M_ENTRA_PASTAPARC_SAME</v>
      </c>
      <c r="G346" s="2" t="str">
        <f t="shared" si="36"/>
        <v xml:space="preserve"> ()</v>
      </c>
    </row>
    <row r="347" spans="1:7" x14ac:dyDescent="0.3">
      <c r="A347" s="1" t="s">
        <v>1</v>
      </c>
      <c r="B347" s="2" t="str">
        <f t="shared" si="33"/>
        <v>SISTEMA DE GERENCIAMENTO DE SAME</v>
      </c>
      <c r="C347" s="2" t="str">
        <f t="shared" si="34"/>
        <v>APOIO</v>
      </c>
      <c r="D347" s="2" t="str">
        <f t="shared" si="35"/>
        <v>AMAP</v>
      </c>
      <c r="E347" s="2" t="str">
        <f>"ENTRADA DE DOCUMENTOS"</f>
        <v>ENTRADA DE DOCUMENTOS</v>
      </c>
      <c r="F347" s="2" t="str">
        <f>"M_SAI_PASTAPARC_SAME"</f>
        <v>M_SAI_PASTAPARC_SAME</v>
      </c>
      <c r="G347" s="2" t="str">
        <f>"Serviços de Apoio / Serviço Arquivo Médico / SAME / Pastas Parciais / Saída de Pasta do SAME (M_SAI_PASTAPARC_SAME)"</f>
        <v>Serviços de Apoio / Serviço Arquivo Médico / SAME / Pastas Parciais / Saída de Pasta do SAME (M_SAI_PASTAPARC_SAME)</v>
      </c>
    </row>
    <row r="348" spans="1:7" x14ac:dyDescent="0.3">
      <c r="A348" s="1" t="s">
        <v>1</v>
      </c>
      <c r="B348" s="2" t="str">
        <f t="shared" si="33"/>
        <v>SISTEMA DE GERENCIAMENTO DE SAME</v>
      </c>
      <c r="C348" s="2" t="str">
        <f t="shared" si="34"/>
        <v>APOIO</v>
      </c>
      <c r="D348" s="2" t="str">
        <f t="shared" si="35"/>
        <v>AMAP</v>
      </c>
      <c r="E348" s="2" t="str">
        <f>"ETIQUETAS DE CÓDIGO DE BARRAS"</f>
        <v>ETIQUETAS DE CÓDIGO DE BARRAS</v>
      </c>
      <c r="F348" s="2" t="str">
        <f>"M_CONFIG_ETIQUETA_AMAP"</f>
        <v>M_CONFIG_ETIQUETA_AMAP</v>
      </c>
      <c r="G348" s="2" t="str">
        <f>"Serviços de Apoio / Serviço Arquivo Médico / Configurações / Configuração de Etiqueta de Código de Barras (M_CONFIG_ETIQUETA_AMAP)"</f>
        <v>Serviços de Apoio / Serviço Arquivo Médico / Configurações / Configuração de Etiqueta de Código de Barras (M_CONFIG_ETIQUETA_AMAP)</v>
      </c>
    </row>
    <row r="349" spans="1:7" x14ac:dyDescent="0.3">
      <c r="A349" s="1" t="s">
        <v>1</v>
      </c>
      <c r="B349" s="2" t="str">
        <f t="shared" si="33"/>
        <v>SISTEMA DE GERENCIAMENTO DE SAME</v>
      </c>
      <c r="C349" s="2" t="str">
        <f t="shared" si="34"/>
        <v>APOIO</v>
      </c>
      <c r="D349" s="2" t="str">
        <f t="shared" si="35"/>
        <v>AMAP</v>
      </c>
      <c r="E349" s="2" t="str">
        <f>"ETIQUETA DE CAPA DE PRONTUÁRIO"</f>
        <v>ETIQUETA DE CAPA DE PRONTUÁRIO</v>
      </c>
      <c r="F349" s="2" t="str">
        <f>"R_ETIQUETA_CAPA_PRONTUARIO_970"</f>
        <v>R_ETIQUETA_CAPA_PRONTUARIO_970</v>
      </c>
      <c r="G349" s="2" t="str">
        <f>" ()"</f>
        <v xml:space="preserve"> ()</v>
      </c>
    </row>
    <row r="350" spans="1:7" x14ac:dyDescent="0.3">
      <c r="A350" s="1" t="s">
        <v>1</v>
      </c>
      <c r="B350" s="2" t="str">
        <f t="shared" si="33"/>
        <v>SISTEMA DE GERENCIAMENTO DE SAME</v>
      </c>
      <c r="C350" s="2" t="str">
        <f t="shared" si="34"/>
        <v>APOIO</v>
      </c>
      <c r="D350" s="2" t="str">
        <f t="shared" si="35"/>
        <v>AMAP</v>
      </c>
      <c r="E350" s="2" t="str">
        <f>"TRANSFERÊNCIA DE DOCUMENTOS ENTRE PASTAS"</f>
        <v>TRANSFERÊNCIA DE DOCUMENTOS ENTRE PASTAS</v>
      </c>
      <c r="F350" s="2" t="str">
        <f>"M_TRANSF_DOCUMENTOS"</f>
        <v>M_TRANSF_DOCUMENTOS</v>
      </c>
      <c r="G350" s="2" t="str">
        <f>" ()"</f>
        <v xml:space="preserve"> ()</v>
      </c>
    </row>
    <row r="351" spans="1:7" x14ac:dyDescent="0.3">
      <c r="A351" s="1" t="s">
        <v>1</v>
      </c>
      <c r="B351" s="2" t="str">
        <f t="shared" si="33"/>
        <v>SISTEMA DE GERENCIAMENTO DE SAME</v>
      </c>
      <c r="C351" s="2" t="str">
        <f t="shared" si="34"/>
        <v>APOIO</v>
      </c>
      <c r="D351" s="2" t="str">
        <f t="shared" si="35"/>
        <v>AMAP</v>
      </c>
      <c r="E351" s="2" t="str">
        <f>"ENTRADA DE DOCUMENTOS POR ENVELOPE"</f>
        <v>ENTRADA DE DOCUMENTOS POR ENVELOPE</v>
      </c>
      <c r="F351" s="2" t="str">
        <f>"DOC_ENTRADA_ENVELOPE"</f>
        <v>DOC_ENTRADA_ENVELOPE</v>
      </c>
      <c r="G351" s="2" t="str">
        <f>"Serviços de Apoio / Serviço Arquivo Médico / SAME / Documentos - Envelope (DOC_ENTRADA_ENVELOPE)"</f>
        <v>Serviços de Apoio / Serviço Arquivo Médico / SAME / Documentos - Envelope (DOC_ENTRADA_ENVELOPE)</v>
      </c>
    </row>
    <row r="352" spans="1:7" x14ac:dyDescent="0.3">
      <c r="A352" s="1" t="s">
        <v>1</v>
      </c>
      <c r="B352" s="2" t="str">
        <f t="shared" si="33"/>
        <v>SISTEMA DE GERENCIAMENTO DE SAME</v>
      </c>
      <c r="C352" s="2" t="str">
        <f t="shared" si="34"/>
        <v>APOIO</v>
      </c>
      <c r="D352" s="2" t="str">
        <f t="shared" si="35"/>
        <v>AMAP</v>
      </c>
      <c r="E352" s="2" t="str">
        <f>"R_PRONT_SEM_MOV"</f>
        <v>R_PRONT_SEM_MOV</v>
      </c>
      <c r="F352" s="2" t="str">
        <f>"R_PRONT_SEM_MOV"</f>
        <v>R_PRONT_SEM_MOV</v>
      </c>
      <c r="G352" s="2" t="str">
        <f>"Serviços de Apoio / Serviço Arquivo Médico / Relatórios / Administrativos / Prontuários sem Movimentação no Período (R_PRONT_SEM_MOV)"</f>
        <v>Serviços de Apoio / Serviço Arquivo Médico / Relatórios / Administrativos / Prontuários sem Movimentação no Período (R_PRONT_SEM_MOV)</v>
      </c>
    </row>
    <row r="353" spans="1:7" x14ac:dyDescent="0.3">
      <c r="A353" s="1" t="s">
        <v>1</v>
      </c>
      <c r="B353" s="2" t="str">
        <f t="shared" si="33"/>
        <v>SISTEMA DE GERENCIAMENTO DE SAME</v>
      </c>
      <c r="C353" s="2" t="str">
        <f t="shared" si="34"/>
        <v>APOIO</v>
      </c>
      <c r="D353" s="2" t="str">
        <f t="shared" si="35"/>
        <v>AMAP</v>
      </c>
      <c r="E353" s="2" t="str">
        <f>"AGENDA MÉDICA"</f>
        <v>AGENDA MÉDICA</v>
      </c>
      <c r="F353" s="2" t="str">
        <f>"R_ENCAIXE"</f>
        <v>R_ENCAIXE</v>
      </c>
      <c r="G353" s="2" t="str">
        <f>"Serviços de Apoio / Serviço Arquivo Médico / Relatórios / Agendamentos / Lista de Encaixes (R_ENCAIXE)"</f>
        <v>Serviços de Apoio / Serviço Arquivo Médico / Relatórios / Agendamentos / Lista de Encaixes (R_ENCAIXE)</v>
      </c>
    </row>
    <row r="354" spans="1:7" x14ac:dyDescent="0.3">
      <c r="A354" s="1" t="s">
        <v>1</v>
      </c>
      <c r="B354" s="2" t="str">
        <f t="shared" si="33"/>
        <v>SISTEMA DE GERENCIAMENTO DE SAME</v>
      </c>
      <c r="C354" s="2" t="str">
        <f t="shared" si="34"/>
        <v>APOIO</v>
      </c>
      <c r="D354" s="2" t="str">
        <f t="shared" si="35"/>
        <v>AMAP</v>
      </c>
      <c r="E354" s="2" t="str">
        <f>"AGENDA MÉDICA"</f>
        <v>AGENDA MÉDICA</v>
      </c>
      <c r="F354" s="2" t="str">
        <f>"R_AGENDA_MEDICA_970"</f>
        <v>R_AGENDA_MEDICA_970</v>
      </c>
      <c r="G354" s="2" t="str">
        <f>" ()"</f>
        <v xml:space="preserve"> ()</v>
      </c>
    </row>
    <row r="355" spans="1:7" x14ac:dyDescent="0.3">
      <c r="A355" s="1" t="s">
        <v>1</v>
      </c>
      <c r="B355" s="2" t="str">
        <f t="shared" si="33"/>
        <v>SISTEMA DE GERENCIAMENTO DE SAME</v>
      </c>
      <c r="C355" s="2" t="str">
        <f t="shared" si="34"/>
        <v>APOIO</v>
      </c>
      <c r="D355" s="2" t="str">
        <f t="shared" si="35"/>
        <v>AMAP</v>
      </c>
      <c r="E355" s="2" t="str">
        <f>"ORACLE FORMS RUNTIME"</f>
        <v>ORACLE FORMS RUNTIME</v>
      </c>
      <c r="F355" s="2" t="str">
        <f>"M_CONFIG_PROCED"</f>
        <v>M_CONFIG_PROCED</v>
      </c>
      <c r="G355" s="2" t="str">
        <f>"Serviços de Apoio / Serviço Arquivo Médico / Configurações / Configuração de Procedimentos (M_CONFIG_PROCED)"</f>
        <v>Serviços de Apoio / Serviço Arquivo Médico / Configurações / Configuração de Procedimentos (M_CONFIG_PROCED)</v>
      </c>
    </row>
    <row r="356" spans="1:7" x14ac:dyDescent="0.3">
      <c r="A356" s="1" t="s">
        <v>1</v>
      </c>
      <c r="B356" s="2" t="str">
        <f t="shared" si="33"/>
        <v>SISTEMA DE GERENCIAMENTO DE SAME</v>
      </c>
      <c r="C356" s="2" t="str">
        <f t="shared" si="34"/>
        <v>APOIO</v>
      </c>
      <c r="D356" s="2" t="str">
        <f t="shared" si="35"/>
        <v>AMAP</v>
      </c>
      <c r="E356" s="2" t="str">
        <f>"R_SAME_ORIEST"</f>
        <v>R_SAME_ORIEST</v>
      </c>
      <c r="F356" s="2" t="str">
        <f>"R_SAME_ORIEST"</f>
        <v>R_SAME_ORIEST</v>
      </c>
      <c r="G356" s="2" t="str">
        <f t="shared" ref="G356:G363" si="37">" ()"</f>
        <v xml:space="preserve"> ()</v>
      </c>
    </row>
    <row r="357" spans="1:7" x14ac:dyDescent="0.3">
      <c r="A357" s="1" t="s">
        <v>1</v>
      </c>
      <c r="B357" s="2" t="str">
        <f t="shared" si="33"/>
        <v>SISTEMA DE GERENCIAMENTO DE SAME</v>
      </c>
      <c r="C357" s="2" t="str">
        <f t="shared" si="34"/>
        <v>APOIO</v>
      </c>
      <c r="D357" s="2" t="str">
        <f t="shared" si="35"/>
        <v>AMAP</v>
      </c>
      <c r="E357" s="2" t="str">
        <f>"M_TRASNFERE"</f>
        <v>M_TRASNFERE</v>
      </c>
      <c r="F357" s="2" t="str">
        <f>"M_TRASNFERE"</f>
        <v>M_TRASNFERE</v>
      </c>
      <c r="G357" s="2" t="str">
        <f t="shared" si="37"/>
        <v xml:space="preserve"> ()</v>
      </c>
    </row>
    <row r="358" spans="1:7" x14ac:dyDescent="0.3">
      <c r="A358" s="1" t="s">
        <v>1</v>
      </c>
      <c r="B358" s="2" t="str">
        <f t="shared" si="33"/>
        <v>SISTEMA DE GERENCIAMENTO DE SAME</v>
      </c>
      <c r="C358" s="2" t="str">
        <f t="shared" si="34"/>
        <v>APOIO</v>
      </c>
      <c r="D358" s="2" t="str">
        <f t="shared" si="35"/>
        <v>AMAP</v>
      </c>
      <c r="E358" s="2" t="str">
        <f>"M_SAIDA_AGENDA1"</f>
        <v>M_SAIDA_AGENDA1</v>
      </c>
      <c r="F358" s="2" t="str">
        <f>"M_SAIDA_AGENDA1"</f>
        <v>M_SAIDA_AGENDA1</v>
      </c>
      <c r="G358" s="2" t="str">
        <f t="shared" si="37"/>
        <v xml:space="preserve"> ()</v>
      </c>
    </row>
    <row r="359" spans="1:7" x14ac:dyDescent="0.3">
      <c r="A359" s="1" t="s">
        <v>1</v>
      </c>
      <c r="B359" s="2" t="str">
        <f t="shared" si="33"/>
        <v>SISTEMA DE GERENCIAMENTO DE SAME</v>
      </c>
      <c r="C359" s="2" t="str">
        <f t="shared" si="34"/>
        <v>APOIO</v>
      </c>
      <c r="D359" s="2" t="str">
        <f t="shared" si="35"/>
        <v>AMAP</v>
      </c>
      <c r="E359" s="2" t="str">
        <f>"DEVPORT_OLD"</f>
        <v>DEVPORT_OLD</v>
      </c>
      <c r="F359" s="2" t="str">
        <f>"DEVPORT_OLD"</f>
        <v>DEVPORT_OLD</v>
      </c>
      <c r="G359" s="2" t="str">
        <f t="shared" si="37"/>
        <v xml:space="preserve"> ()</v>
      </c>
    </row>
    <row r="360" spans="1:7" x14ac:dyDescent="0.3">
      <c r="A360" s="1" t="s">
        <v>1</v>
      </c>
      <c r="B360" s="2" t="str">
        <f t="shared" si="33"/>
        <v>SISTEMA DE GERENCIAMENTO DE SAME</v>
      </c>
      <c r="C360" s="2" t="str">
        <f t="shared" si="34"/>
        <v>APOIO</v>
      </c>
      <c r="D360" s="2" t="str">
        <f t="shared" si="35"/>
        <v>AMAP</v>
      </c>
      <c r="E360" s="2" t="str">
        <f>"DEVPORT_ERIK"</f>
        <v>DEVPORT_ERIK</v>
      </c>
      <c r="F360" s="2" t="str">
        <f>"DEVPORT_ERIK"</f>
        <v>DEVPORT_ERIK</v>
      </c>
      <c r="G360" s="2" t="str">
        <f t="shared" si="37"/>
        <v xml:space="preserve"> ()</v>
      </c>
    </row>
    <row r="361" spans="1:7" x14ac:dyDescent="0.3">
      <c r="A361" s="1" t="s">
        <v>1</v>
      </c>
      <c r="B361" s="2" t="str">
        <f t="shared" si="33"/>
        <v>SISTEMA DE GERENCIAMENTO DE SAME</v>
      </c>
      <c r="C361" s="2" t="str">
        <f t="shared" si="34"/>
        <v>APOIO</v>
      </c>
      <c r="D361" s="2" t="str">
        <f t="shared" si="35"/>
        <v>AMAP</v>
      </c>
      <c r="E361" s="2" t="str">
        <f>"C_DOC_PAC_OLD"</f>
        <v>C_DOC_PAC_OLD</v>
      </c>
      <c r="F361" s="2" t="str">
        <f>"C_DOC_PAC_OLD"</f>
        <v>C_DOC_PAC_OLD</v>
      </c>
      <c r="G361" s="2" t="str">
        <f t="shared" si="37"/>
        <v xml:space="preserve"> ()</v>
      </c>
    </row>
    <row r="362" spans="1:7" x14ac:dyDescent="0.3">
      <c r="A362" s="1" t="s">
        <v>1</v>
      </c>
      <c r="B362" s="2" t="str">
        <f t="shared" si="33"/>
        <v>SISTEMA DE GERENCIAMENTO DE SAME</v>
      </c>
      <c r="C362" s="2" t="str">
        <f t="shared" si="34"/>
        <v>APOIO</v>
      </c>
      <c r="D362" s="2" t="str">
        <f t="shared" si="35"/>
        <v>AMAP</v>
      </c>
      <c r="E362" s="2" t="str">
        <f>"C_DOC_PAC_ANTIGO"</f>
        <v>C_DOC_PAC_ANTIGO</v>
      </c>
      <c r="F362" s="2" t="str">
        <f>"C_DOC_PAC_ANTIGO"</f>
        <v>C_DOC_PAC_ANTIGO</v>
      </c>
      <c r="G362" s="2" t="str">
        <f t="shared" si="37"/>
        <v xml:space="preserve"> ()</v>
      </c>
    </row>
    <row r="363" spans="1:7" x14ac:dyDescent="0.3">
      <c r="A363" s="1" t="s">
        <v>1</v>
      </c>
      <c r="B363" s="2" t="str">
        <f t="shared" si="33"/>
        <v>SISTEMA DE GERENCIAMENTO DE SAME</v>
      </c>
      <c r="C363" s="2" t="str">
        <f t="shared" si="34"/>
        <v>APOIO</v>
      </c>
      <c r="D363" s="2" t="str">
        <f t="shared" si="35"/>
        <v>AMAP</v>
      </c>
      <c r="E363" s="2" t="str">
        <f>"AMAP2"</f>
        <v>AMAP2</v>
      </c>
      <c r="F363" s="2" t="str">
        <f>"AMAP2"</f>
        <v>AMAP2</v>
      </c>
      <c r="G363" s="2" t="str">
        <f t="shared" si="37"/>
        <v xml:space="preserve"> ()</v>
      </c>
    </row>
    <row r="364" spans="1:7" x14ac:dyDescent="0.3">
      <c r="A364" s="1" t="s">
        <v>1</v>
      </c>
      <c r="B364" s="2" t="str">
        <f t="shared" si="33"/>
        <v>SISTEMA DE GERENCIAMENTO DE SAME</v>
      </c>
      <c r="C364" s="2" t="str">
        <f t="shared" si="34"/>
        <v>APOIO</v>
      </c>
      <c r="D364" s="2" t="str">
        <f t="shared" si="35"/>
        <v>AMAP</v>
      </c>
      <c r="E364" s="2" t="str">
        <f>"CADASTRO PACIENTE - SAME"</f>
        <v>CADASTRO PACIENTE - SAME</v>
      </c>
      <c r="F364" s="2" t="str">
        <f>"CAD_PAC_AMAP"</f>
        <v>CAD_PAC_AMAP</v>
      </c>
      <c r="G364" s="2" t="str">
        <f>"Serviços de Apoio / Serviço Arquivo Médico / Pacientes / Cadastro de Paciente (CAD_PAC_AMAP)"</f>
        <v>Serviços de Apoio / Serviço Arquivo Médico / Pacientes / Cadastro de Paciente (CAD_PAC_AMAP)</v>
      </c>
    </row>
    <row r="365" spans="1:7" x14ac:dyDescent="0.3">
      <c r="A365" s="1" t="s">
        <v>1</v>
      </c>
      <c r="B365" s="2" t="str">
        <f t="shared" si="33"/>
        <v>SISTEMA DE GERENCIAMENTO DE SAME</v>
      </c>
      <c r="C365" s="2" t="str">
        <f t="shared" si="34"/>
        <v>APOIO</v>
      </c>
      <c r="D365" s="2" t="str">
        <f t="shared" si="35"/>
        <v>AMAP</v>
      </c>
      <c r="E365" s="2" t="str">
        <f>"REL ESTATISTICO DE SAME X PORTADORES"</f>
        <v>REL ESTATISTICO DE SAME X PORTADORES</v>
      </c>
      <c r="F365" s="2" t="str">
        <f>"R_PORTATIVO"</f>
        <v>R_PORTATIVO</v>
      </c>
      <c r="G365" s="2" t="str">
        <f>"Serviços de Apoio / Serviço Arquivo Médico / Relatórios / Estatísticos / Same x Portadores (R_PORTATIVO)"</f>
        <v>Serviços de Apoio / Serviço Arquivo Médico / Relatórios / Estatísticos / Same x Portadores (R_PORTATIVO)</v>
      </c>
    </row>
    <row r="366" spans="1:7" x14ac:dyDescent="0.3">
      <c r="A366" s="1" t="s">
        <v>1</v>
      </c>
      <c r="B366" s="2" t="str">
        <f t="shared" ref="B366:B389" si="38">"SISTEMA DE GERENCIAMENTO DE SAME"</f>
        <v>SISTEMA DE GERENCIAMENTO DE SAME</v>
      </c>
      <c r="C366" s="2" t="str">
        <f t="shared" ref="C366:C389" si="39">"APOIO"</f>
        <v>APOIO</v>
      </c>
      <c r="D366" s="2" t="str">
        <f t="shared" ref="D366:D389" si="40">"AMAP"</f>
        <v>AMAP</v>
      </c>
      <c r="E366" s="2" t="str">
        <f>"REL ESTATISTICO DE SAME X ORIGEM"</f>
        <v>REL ESTATISTICO DE SAME X ORIGEM</v>
      </c>
      <c r="F366" s="2" t="str">
        <f>"R_SAMEORIEST"</f>
        <v>R_SAMEORIEST</v>
      </c>
      <c r="G366" s="2" t="str">
        <f>"Serviços de Apoio / Serviço Arquivo Médico / Relatórios / Estatísticos / Same x Origens (R_SAMEORIEST)"</f>
        <v>Serviços de Apoio / Serviço Arquivo Médico / Relatórios / Estatísticos / Same x Origens (R_SAMEORIEST)</v>
      </c>
    </row>
    <row r="367" spans="1:7" x14ac:dyDescent="0.3">
      <c r="A367" s="1" t="s">
        <v>1</v>
      </c>
      <c r="B367" s="2" t="str">
        <f t="shared" si="38"/>
        <v>SISTEMA DE GERENCIAMENTO DE SAME</v>
      </c>
      <c r="C367" s="2" t="str">
        <f t="shared" si="39"/>
        <v>APOIO</v>
      </c>
      <c r="D367" s="2" t="str">
        <f t="shared" si="40"/>
        <v>AMAP</v>
      </c>
      <c r="E367" s="2" t="str">
        <f>"REL DE DOCUMENTOS EM CIRCULAÇÃO"</f>
        <v>REL DE DOCUMENTOS EM CIRCULAÇÃO</v>
      </c>
      <c r="F367" s="2" t="str">
        <f>"R_DOCFORA"</f>
        <v>R_DOCFORA</v>
      </c>
      <c r="G367" s="2" t="str">
        <f>"Serviços de Apoio / Serviço Arquivo Médico / Relatórios / Administrativos / Documentos  / Em Circulação (R_DOCFORA)"</f>
        <v>Serviços de Apoio / Serviço Arquivo Médico / Relatórios / Administrativos / Documentos  / Em Circulação (R_DOCFORA)</v>
      </c>
    </row>
    <row r="368" spans="1:7" x14ac:dyDescent="0.3">
      <c r="A368" s="1" t="s">
        <v>1</v>
      </c>
      <c r="B368" s="2" t="str">
        <f t="shared" si="38"/>
        <v>SISTEMA DE GERENCIAMENTO DE SAME</v>
      </c>
      <c r="C368" s="2" t="str">
        <f t="shared" si="39"/>
        <v>APOIO</v>
      </c>
      <c r="D368" s="2" t="str">
        <f t="shared" si="40"/>
        <v>AMAP</v>
      </c>
      <c r="E368" s="2" t="str">
        <f>"REL DE DOCUMENTOS RETIRADOS POR PORTADOR"</f>
        <v>REL DE DOCUMENTOS RETIRADOS POR PORTADOR</v>
      </c>
      <c r="F368" s="2" t="str">
        <f>"R_DOCRETPORT"</f>
        <v>R_DOCRETPORT</v>
      </c>
      <c r="G368" s="2" t="str">
        <f>"Serviços de Apoio / Serviço Arquivo Médico / Relatórios / Administrativos / Documentos  / Retirados por Portador (R_DOCRETPORT)"</f>
        <v>Serviços de Apoio / Serviço Arquivo Médico / Relatórios / Administrativos / Documentos  / Retirados por Portador (R_DOCRETPORT)</v>
      </c>
    </row>
    <row r="369" spans="1:7" x14ac:dyDescent="0.3">
      <c r="A369" s="1" t="s">
        <v>1</v>
      </c>
      <c r="B369" s="2" t="str">
        <f t="shared" si="38"/>
        <v>SISTEMA DE GERENCIAMENTO DE SAME</v>
      </c>
      <c r="C369" s="2" t="str">
        <f t="shared" si="39"/>
        <v>APOIO</v>
      </c>
      <c r="D369" s="2" t="str">
        <f t="shared" si="40"/>
        <v>AMAP</v>
      </c>
      <c r="E369" s="2" t="str">
        <f>"RELATORIO DE ARMARIOS"</f>
        <v>RELATORIO DE ARMARIOS</v>
      </c>
      <c r="F369" s="2" t="str">
        <f>"R_ARMARIOS"</f>
        <v>R_ARMARIOS</v>
      </c>
      <c r="G369" s="2" t="str">
        <f>"Serviços de Apoio / Serviço Arquivo Médico / Relatórios / Tabelas / Armários (R_ARMARIOS)"</f>
        <v>Serviços de Apoio / Serviço Arquivo Médico / Relatórios / Tabelas / Armários (R_ARMARIOS)</v>
      </c>
    </row>
    <row r="370" spans="1:7" x14ac:dyDescent="0.3">
      <c r="A370" s="1" t="s">
        <v>1</v>
      </c>
      <c r="B370" s="2" t="str">
        <f t="shared" si="38"/>
        <v>SISTEMA DE GERENCIAMENTO DE SAME</v>
      </c>
      <c r="C370" s="2" t="str">
        <f t="shared" si="39"/>
        <v>APOIO</v>
      </c>
      <c r="D370" s="2" t="str">
        <f t="shared" si="40"/>
        <v>AMAP</v>
      </c>
      <c r="E370" s="2" t="str">
        <f>"RELATÓRIO DE SALAS"</f>
        <v>RELATÓRIO DE SALAS</v>
      </c>
      <c r="F370" s="2" t="str">
        <f>"R_SALAS"</f>
        <v>R_SALAS</v>
      </c>
      <c r="G370" s="2" t="str">
        <f>"Serviços de Apoio / Serviço Arquivo Médico / Relatórios / Tabelas / Salas (R_SALAS)"</f>
        <v>Serviços de Apoio / Serviço Arquivo Médico / Relatórios / Tabelas / Salas (R_SALAS)</v>
      </c>
    </row>
    <row r="371" spans="1:7" x14ac:dyDescent="0.3">
      <c r="A371" s="1" t="s">
        <v>1</v>
      </c>
      <c r="B371" s="2" t="str">
        <f t="shared" si="38"/>
        <v>SISTEMA DE GERENCIAMENTO DE SAME</v>
      </c>
      <c r="C371" s="2" t="str">
        <f t="shared" si="39"/>
        <v>APOIO</v>
      </c>
      <c r="D371" s="2" t="str">
        <f t="shared" si="40"/>
        <v>AMAP</v>
      </c>
      <c r="E371" s="2" t="str">
        <f>"RELATÓRIO DE PORTADORES"</f>
        <v>RELATÓRIO DE PORTADORES</v>
      </c>
      <c r="F371" s="2" t="str">
        <f>"R_PORTADORES"</f>
        <v>R_PORTADORES</v>
      </c>
      <c r="G371" s="2" t="str">
        <f>"Serviços de Apoio / Serviço Arquivo Médico / Relatórios / Tabelas / Portadores (R_PORTADORES)"</f>
        <v>Serviços de Apoio / Serviço Arquivo Médico / Relatórios / Tabelas / Portadores (R_PORTADORES)</v>
      </c>
    </row>
    <row r="372" spans="1:7" x14ac:dyDescent="0.3">
      <c r="A372" s="1" t="s">
        <v>1</v>
      </c>
      <c r="B372" s="2" t="str">
        <f t="shared" si="38"/>
        <v>SISTEMA DE GERENCIAMENTO DE SAME</v>
      </c>
      <c r="C372" s="2" t="str">
        <f t="shared" si="39"/>
        <v>APOIO</v>
      </c>
      <c r="D372" s="2" t="str">
        <f t="shared" si="40"/>
        <v>AMAP</v>
      </c>
      <c r="E372" s="2" t="str">
        <f>"RELATÓRIO DE SAMES X ORIGENS"</f>
        <v>RELATÓRIO DE SAMES X ORIGENS</v>
      </c>
      <c r="F372" s="2" t="str">
        <f>"R_SAMEORI"</f>
        <v>R_SAMEORI</v>
      </c>
      <c r="G372" s="2" t="str">
        <f>"Serviços de Apoio / Serviço Arquivo Médico / Relatórios / Tabelas / SAMES x Origens (R_SAMEORI)"</f>
        <v>Serviços de Apoio / Serviço Arquivo Médico / Relatórios / Tabelas / SAMES x Origens (R_SAMEORI)</v>
      </c>
    </row>
    <row r="373" spans="1:7" x14ac:dyDescent="0.3">
      <c r="A373" s="1" t="s">
        <v>1</v>
      </c>
      <c r="B373" s="2" t="str">
        <f t="shared" si="38"/>
        <v>SISTEMA DE GERENCIAMENTO DE SAME</v>
      </c>
      <c r="C373" s="2" t="str">
        <f t="shared" si="39"/>
        <v>APOIO</v>
      </c>
      <c r="D373" s="2" t="str">
        <f t="shared" si="40"/>
        <v>AMAP</v>
      </c>
      <c r="E373" s="2" t="str">
        <f>"SAMES X ORIGENS"</f>
        <v>SAMES X ORIGENS</v>
      </c>
      <c r="F373" s="2" t="str">
        <f>"SAMEORIG"</f>
        <v>SAMEORIG</v>
      </c>
      <c r="G373" s="2" t="str">
        <f>"Serviços de Apoio / Serviço Arquivo Médico / Tabelas / Sames x Origens (SAMEORIG)"</f>
        <v>Serviços de Apoio / Serviço Arquivo Médico / Tabelas / Sames x Origens (SAMEORIG)</v>
      </c>
    </row>
    <row r="374" spans="1:7" x14ac:dyDescent="0.3">
      <c r="A374" s="1" t="s">
        <v>1</v>
      </c>
      <c r="B374" s="2" t="str">
        <f t="shared" si="38"/>
        <v>SISTEMA DE GERENCIAMENTO DE SAME</v>
      </c>
      <c r="C374" s="2" t="str">
        <f t="shared" si="39"/>
        <v>APOIO</v>
      </c>
      <c r="D374" s="2" t="str">
        <f t="shared" si="40"/>
        <v>AMAP</v>
      </c>
      <c r="E374" s="2" t="str">
        <f>"MANUTENÇÃO DE DOCUMENTOS"</f>
        <v>MANUTENÇÃO DE DOCUMENTOS</v>
      </c>
      <c r="F374" s="2" t="str">
        <f>"M_DOC_PAC"</f>
        <v>M_DOC_PAC</v>
      </c>
      <c r="G374" s="2" t="str">
        <f>"Serviços de Apoio / Serviço Arquivo Médico / Pacientes / Manutenção de Documentos (M_DOC_PAC)"</f>
        <v>Serviços de Apoio / Serviço Arquivo Médico / Pacientes / Manutenção de Documentos (M_DOC_PAC)</v>
      </c>
    </row>
    <row r="375" spans="1:7" x14ac:dyDescent="0.3">
      <c r="A375" s="1" t="s">
        <v>1</v>
      </c>
      <c r="B375" s="2" t="str">
        <f t="shared" si="38"/>
        <v>SISTEMA DE GERENCIAMENTO DE SAME</v>
      </c>
      <c r="C375" s="2" t="str">
        <f t="shared" si="39"/>
        <v>APOIO</v>
      </c>
      <c r="D375" s="2" t="str">
        <f t="shared" si="40"/>
        <v>AMAP</v>
      </c>
      <c r="E375" s="2" t="str">
        <f>"DEVOLUÇÃO DE DOCUMENTOS"</f>
        <v>DEVOLUÇÃO DE DOCUMENTOS</v>
      </c>
      <c r="F375" s="2" t="str">
        <f>"DEVPORT"</f>
        <v>DEVPORT</v>
      </c>
      <c r="G375" s="2" t="str">
        <f>" ()"</f>
        <v xml:space="preserve"> ()</v>
      </c>
    </row>
    <row r="376" spans="1:7" x14ac:dyDescent="0.3">
      <c r="A376" s="1" t="s">
        <v>1</v>
      </c>
      <c r="B376" s="2" t="str">
        <f t="shared" si="38"/>
        <v>SISTEMA DE GERENCIAMENTO DE SAME</v>
      </c>
      <c r="C376" s="2" t="str">
        <f t="shared" si="39"/>
        <v>APOIO</v>
      </c>
      <c r="D376" s="2" t="str">
        <f t="shared" si="40"/>
        <v>AMAP</v>
      </c>
      <c r="E376" s="2" t="str">
        <f>"ENTRADA DE DOCUMENTOS NO SAME"</f>
        <v>ENTRADA DE DOCUMENTOS NO SAME</v>
      </c>
      <c r="F376" s="2" t="str">
        <f>"DOCENTR"</f>
        <v>DOCENTR</v>
      </c>
      <c r="G376" s="2" t="str">
        <f>"Serviços de Apoio / Serviço Arquivo Médico / SAME / Entrada de Documentos (DOCENTR)"</f>
        <v>Serviços de Apoio / Serviço Arquivo Médico / SAME / Entrada de Documentos (DOCENTR)</v>
      </c>
    </row>
    <row r="377" spans="1:7" x14ac:dyDescent="0.3">
      <c r="A377" s="1" t="s">
        <v>1</v>
      </c>
      <c r="B377" s="2" t="str">
        <f t="shared" si="38"/>
        <v>SISTEMA DE GERENCIAMENTO DE SAME</v>
      </c>
      <c r="C377" s="2" t="str">
        <f t="shared" si="39"/>
        <v>APOIO</v>
      </c>
      <c r="D377" s="2" t="str">
        <f t="shared" si="40"/>
        <v>AMAP</v>
      </c>
      <c r="E377" s="2" t="str">
        <f>"USUÁRIOS POR SAME"</f>
        <v>USUÁRIOS POR SAME</v>
      </c>
      <c r="F377" s="2" t="str">
        <f>"M_USUARIO_CAD_SAME"</f>
        <v>M_USUARIO_CAD_SAME</v>
      </c>
      <c r="G377" s="2" t="str">
        <f>"Serviços de Apoio / Serviço Arquivo Médico / Configurações / Usuários por same (M_USUARIO_CAD_SAME)"</f>
        <v>Serviços de Apoio / Serviço Arquivo Médico / Configurações / Usuários por same (M_USUARIO_CAD_SAME)</v>
      </c>
    </row>
    <row r="378" spans="1:7" x14ac:dyDescent="0.3">
      <c r="A378" s="1" t="s">
        <v>1</v>
      </c>
      <c r="B378" s="2" t="str">
        <f t="shared" si="38"/>
        <v>SISTEMA DE GERENCIAMENTO DE SAME</v>
      </c>
      <c r="C378" s="2" t="str">
        <f t="shared" si="39"/>
        <v>APOIO</v>
      </c>
      <c r="D378" s="2" t="str">
        <f t="shared" si="40"/>
        <v>AMAP</v>
      </c>
      <c r="E378" s="2" t="str">
        <f>"USUÁRIOS POR SAME"</f>
        <v>USUÁRIOS POR SAME</v>
      </c>
      <c r="F378" s="2" t="str">
        <f>"M_USUARIO_CAD_SAME"</f>
        <v>M_USUARIO_CAD_SAME</v>
      </c>
      <c r="G378" s="2" t="str">
        <f>"Apoio a TI / Gestão de Usuários / Configurações de Acesso / Acessos Gerais / Usuários por SAME (M_USUARIO_CAD_SAME)"</f>
        <v>Apoio a TI / Gestão de Usuários / Configurações de Acesso / Acessos Gerais / Usuários por SAME (M_USUARIO_CAD_SAME)</v>
      </c>
    </row>
    <row r="379" spans="1:7" x14ac:dyDescent="0.3">
      <c r="A379" s="1" t="s">
        <v>1</v>
      </c>
      <c r="B379" s="2" t="str">
        <f t="shared" si="38"/>
        <v>SISTEMA DE GERENCIAMENTO DE SAME</v>
      </c>
      <c r="C379" s="2" t="str">
        <f t="shared" si="39"/>
        <v>APOIO</v>
      </c>
      <c r="D379" s="2" t="str">
        <f t="shared" si="40"/>
        <v>AMAP</v>
      </c>
      <c r="E379" s="2" t="str">
        <f>"ESCOLHE SAME"</f>
        <v>ESCOLHE SAME</v>
      </c>
      <c r="F379" s="2" t="str">
        <f>"ESC_SAME"</f>
        <v>ESC_SAME</v>
      </c>
      <c r="G379" s="2" t="str">
        <f>"Serviços de Apoio / Serviço Arquivo Médico / Configurações / Escolhe SAME (ESC_SAME)"</f>
        <v>Serviços de Apoio / Serviço Arquivo Médico / Configurações / Escolhe SAME (ESC_SAME)</v>
      </c>
    </row>
    <row r="380" spans="1:7" x14ac:dyDescent="0.3">
      <c r="A380" s="1" t="s">
        <v>1</v>
      </c>
      <c r="B380" s="2" t="str">
        <f t="shared" si="38"/>
        <v>SISTEMA DE GERENCIAMENTO DE SAME</v>
      </c>
      <c r="C380" s="2" t="str">
        <f t="shared" si="39"/>
        <v>APOIO</v>
      </c>
      <c r="D380" s="2" t="str">
        <f t="shared" si="40"/>
        <v>AMAP</v>
      </c>
      <c r="E380" s="2" t="str">
        <f>"DOCUMENTOS DO PACIENTE"</f>
        <v>DOCUMENTOS DO PACIENTE</v>
      </c>
      <c r="F380" s="2" t="str">
        <f>"C_DOC_PAC"</f>
        <v>C_DOC_PAC</v>
      </c>
      <c r="G380" s="2" t="str">
        <f>"Serviços de Apoio / Serviço Arquivo Médico / Consultas / Documentos do Paciente (C_DOC_PAC)"</f>
        <v>Serviços de Apoio / Serviço Arquivo Médico / Consultas / Documentos do Paciente (C_DOC_PAC)</v>
      </c>
    </row>
    <row r="381" spans="1:7" x14ac:dyDescent="0.3">
      <c r="A381" s="1" t="s">
        <v>1</v>
      </c>
      <c r="B381" s="2" t="str">
        <f t="shared" si="38"/>
        <v>SISTEMA DE GERENCIAMENTO DE SAME</v>
      </c>
      <c r="C381" s="2" t="str">
        <f t="shared" si="39"/>
        <v>APOIO</v>
      </c>
      <c r="D381" s="2" t="str">
        <f t="shared" si="40"/>
        <v>AMAP</v>
      </c>
      <c r="E381" s="2" t="str">
        <f>"ARMÁRIOS DAS SALAS"</f>
        <v>ARMÁRIOS DAS SALAS</v>
      </c>
      <c r="F381" s="2" t="str">
        <f>"M_ARM_SAME"</f>
        <v>M_ARM_SAME</v>
      </c>
      <c r="G381" s="2" t="str">
        <f>"Serviços de Apoio / Serviço Arquivo Médico / Tabelas / Armários das Salas (M_ARM_SAME)"</f>
        <v>Serviços de Apoio / Serviço Arquivo Médico / Tabelas / Armários das Salas (M_ARM_SAME)</v>
      </c>
    </row>
    <row r="382" spans="1:7" x14ac:dyDescent="0.3">
      <c r="A382" s="1" t="s">
        <v>1</v>
      </c>
      <c r="B382" s="2" t="str">
        <f t="shared" si="38"/>
        <v>SISTEMA DE GERENCIAMENTO DE SAME</v>
      </c>
      <c r="C382" s="2" t="str">
        <f t="shared" si="39"/>
        <v>APOIO</v>
      </c>
      <c r="D382" s="2" t="str">
        <f t="shared" si="40"/>
        <v>AMAP</v>
      </c>
      <c r="E382" s="2" t="str">
        <f>"SALAS DO SAME"</f>
        <v>SALAS DO SAME</v>
      </c>
      <c r="F382" s="2" t="str">
        <f>"M_SALA_SAME"</f>
        <v>M_SALA_SAME</v>
      </c>
      <c r="G382" s="2" t="str">
        <f>"Serviços de Apoio / Serviço Arquivo Médico / Tabelas / Salas do SAME (M_SALA_SAME)"</f>
        <v>Serviços de Apoio / Serviço Arquivo Médico / Tabelas / Salas do SAME (M_SALA_SAME)</v>
      </c>
    </row>
    <row r="383" spans="1:7" x14ac:dyDescent="0.3">
      <c r="A383" s="1" t="s">
        <v>1</v>
      </c>
      <c r="B383" s="2" t="str">
        <f t="shared" si="38"/>
        <v>SISTEMA DE GERENCIAMENTO DE SAME</v>
      </c>
      <c r="C383" s="2" t="str">
        <f t="shared" si="39"/>
        <v>APOIO</v>
      </c>
      <c r="D383" s="2" t="str">
        <f t="shared" si="40"/>
        <v>AMAP</v>
      </c>
      <c r="E383" s="2" t="str">
        <f>"PORTADORES"</f>
        <v>PORTADORES</v>
      </c>
      <c r="F383" s="2" t="str">
        <f>"CAD_PORT"</f>
        <v>CAD_PORT</v>
      </c>
      <c r="G383" s="2" t="str">
        <f>"Serviços de Apoio / Serviço Arquivo Médico / Tabelas / Portadores (CAD_PORT)"</f>
        <v>Serviços de Apoio / Serviço Arquivo Médico / Tabelas / Portadores (CAD_PORT)</v>
      </c>
    </row>
    <row r="384" spans="1:7" x14ac:dyDescent="0.3">
      <c r="A384" s="1" t="s">
        <v>1</v>
      </c>
      <c r="B384" s="2" t="str">
        <f t="shared" si="38"/>
        <v>SISTEMA DE GERENCIAMENTO DE SAME</v>
      </c>
      <c r="C384" s="2" t="str">
        <f t="shared" si="39"/>
        <v>APOIO</v>
      </c>
      <c r="D384" s="2" t="str">
        <f t="shared" si="40"/>
        <v>AMAP</v>
      </c>
      <c r="E384" s="2" t="str">
        <f>"REMESSA PARA MICRO_FILMAGEM"</f>
        <v>REMESSA PARA MICRO_FILMAGEM</v>
      </c>
      <c r="F384" s="2" t="str">
        <f>"M_CONTR_MF"</f>
        <v>M_CONTR_MF</v>
      </c>
      <c r="G384" s="2" t="str">
        <f>" ()"</f>
        <v xml:space="preserve"> ()</v>
      </c>
    </row>
    <row r="385" spans="1:7" x14ac:dyDescent="0.3">
      <c r="A385" s="1" t="s">
        <v>1</v>
      </c>
      <c r="B385" s="2" t="str">
        <f t="shared" si="38"/>
        <v>SISTEMA DE GERENCIAMENTO DE SAME</v>
      </c>
      <c r="C385" s="2" t="str">
        <f t="shared" si="39"/>
        <v>APOIO</v>
      </c>
      <c r="D385" s="2" t="str">
        <f t="shared" si="40"/>
        <v>AMAP</v>
      </c>
      <c r="E385" s="2" t="str">
        <f>"Localização de Prontuários"</f>
        <v>Localização de Prontuários</v>
      </c>
      <c r="F385" s="2" t="str">
        <f>"R_LOCAL_PRONT"</f>
        <v>R_LOCAL_PRONT</v>
      </c>
      <c r="G385" s="2" t="str">
        <f>" ()"</f>
        <v xml:space="preserve"> ()</v>
      </c>
    </row>
    <row r="386" spans="1:7" x14ac:dyDescent="0.3">
      <c r="A386" s="1" t="s">
        <v>1</v>
      </c>
      <c r="B386" s="2" t="str">
        <f t="shared" si="38"/>
        <v>SISTEMA DE GERENCIAMENTO DE SAME</v>
      </c>
      <c r="C386" s="2" t="str">
        <f t="shared" si="39"/>
        <v>APOIO</v>
      </c>
      <c r="D386" s="2" t="str">
        <f t="shared" si="40"/>
        <v>AMAP</v>
      </c>
      <c r="E386" s="2" t="str">
        <f>"SAIDA DE DOCUMENTOS"</f>
        <v>SAIDA DE DOCUMENTOS</v>
      </c>
      <c r="F386" s="2" t="str">
        <f>"SAIPORT"</f>
        <v>SAIPORT</v>
      </c>
      <c r="G386" s="2" t="str">
        <f>"Serviços de Apoio / Serviço Arquivo Médico / SAME / Saída de Documentos / Por Paciente / Agenda Médica (SAIPORT)"</f>
        <v>Serviços de Apoio / Serviço Arquivo Médico / SAME / Saída de Documentos / Por Paciente / Agenda Médica (SAIPORT)</v>
      </c>
    </row>
    <row r="387" spans="1:7" x14ac:dyDescent="0.3">
      <c r="A387" s="1" t="s">
        <v>1</v>
      </c>
      <c r="B387" s="2" t="str">
        <f t="shared" si="38"/>
        <v>SISTEMA DE GERENCIAMENTO DE SAME</v>
      </c>
      <c r="C387" s="2" t="str">
        <f t="shared" si="39"/>
        <v>APOIO</v>
      </c>
      <c r="D387" s="2" t="str">
        <f t="shared" si="40"/>
        <v>AMAP</v>
      </c>
      <c r="E387" s="2" t="str">
        <f>"CONSULTA DE ATENDIMENTO AVANÇADA"</f>
        <v>CONSULTA DE ATENDIMENTO AVANÇADA</v>
      </c>
      <c r="F387" s="2" t="str">
        <f>"PSQATEND"</f>
        <v>PSQATEND</v>
      </c>
      <c r="G387" s="2" t="str">
        <f>"Serviços de Apoio / Serviço Arquivo Médico / Consultas / Atendimentos (Avançada) (PSQATEND)"</f>
        <v>Serviços de Apoio / Serviço Arquivo Médico / Consultas / Atendimentos (Avançada) (PSQATEND)</v>
      </c>
    </row>
    <row r="388" spans="1:7" x14ac:dyDescent="0.3">
      <c r="A388" s="1" t="s">
        <v>1</v>
      </c>
      <c r="B388" s="2" t="str">
        <f t="shared" si="38"/>
        <v>SISTEMA DE GERENCIAMENTO DE SAME</v>
      </c>
      <c r="C388" s="2" t="str">
        <f t="shared" si="39"/>
        <v>APOIO</v>
      </c>
      <c r="D388" s="2" t="str">
        <f t="shared" si="40"/>
        <v>AMAP</v>
      </c>
      <c r="E388" s="2" t="str">
        <f>"CADASTRO DE PRONTUÁRIOS"</f>
        <v>CADASTRO DE PRONTUÁRIOS</v>
      </c>
      <c r="F388" s="2" t="str">
        <f>"M_CAD_PRONT"</f>
        <v>M_CAD_PRONT</v>
      </c>
      <c r="G388" s="2" t="str">
        <f>"Serviços de Apoio / Serviço Arquivo Médico / Pacientes / Cadastro de Prontuários (M_CAD_PRONT)"</f>
        <v>Serviços de Apoio / Serviço Arquivo Médico / Pacientes / Cadastro de Prontuários (M_CAD_PRONT)</v>
      </c>
    </row>
    <row r="389" spans="1:7" x14ac:dyDescent="0.3">
      <c r="A389" s="1" t="s">
        <v>1</v>
      </c>
      <c r="B389" s="2" t="str">
        <f t="shared" si="38"/>
        <v>SISTEMA DE GERENCIAMENTO DE SAME</v>
      </c>
      <c r="C389" s="2" t="str">
        <f t="shared" si="39"/>
        <v>APOIO</v>
      </c>
      <c r="D389" s="2" t="str">
        <f t="shared" si="40"/>
        <v>AMAP</v>
      </c>
      <c r="E389" s="2" t="str">
        <f>"TRANSFERÊNCIA DE DADOS DE PACIENTE"</f>
        <v>TRANSFERÊNCIA DE DADOS DE PACIENTE</v>
      </c>
      <c r="F389" s="2" t="str">
        <f>"M_TROCPAC"</f>
        <v>M_TROCPAC</v>
      </c>
      <c r="G389" s="2" t="str">
        <f>"MVSaude / Vendas / Internação / Configurações / Transferência de dados de Paciente (M_TROCPAC)"</f>
        <v>MVSaude / Vendas / Internação / Configurações / Transferência de dados de Paciente (M_TROCPAC)</v>
      </c>
    </row>
    <row r="390" spans="1:7" x14ac:dyDescent="0.3">
      <c r="A390" s="2"/>
      <c r="B390" s="2"/>
      <c r="C390" s="2"/>
      <c r="D390" s="2" t="s">
        <v>2</v>
      </c>
      <c r="E390" s="2" t="s">
        <v>3</v>
      </c>
      <c r="F390" s="2" t="str">
        <f>"N"</f>
        <v>N</v>
      </c>
      <c r="G390" s="2" t="str">
        <f>"N"</f>
        <v>N</v>
      </c>
    </row>
    <row r="391" spans="1:7" x14ac:dyDescent="0.3">
      <c r="A391" s="1" t="s">
        <v>4</v>
      </c>
      <c r="B391" s="2" t="str">
        <f>"SISTEMA DE GERENCIAMENTO DE SAME"</f>
        <v>SISTEMA DE GERENCIAMENTO DE SAME</v>
      </c>
      <c r="C391" s="2" t="str">
        <f>"APOIO"</f>
        <v>APOIO</v>
      </c>
      <c r="D391" s="2" t="str">
        <f>"AMAP"</f>
        <v>AMAP</v>
      </c>
      <c r="E391" s="2" t="str">
        <f>"TRANSFERÊNCIA DE DADOS DE PACIENTE"</f>
        <v>TRANSFERÊNCIA DE DADOS DE PACIENTE</v>
      </c>
      <c r="F391" s="2" t="str">
        <f>"M_TROCPAC"</f>
        <v>M_TROCPAC</v>
      </c>
      <c r="G391" s="2" t="str">
        <f>"MVSaude / Atendimento / Autorizações de Guias / Internação / Configurações / Transferência de dados de Paciente (M_TROCPAC)"</f>
        <v>MVSaude / Atendimento / Autorizações de Guias / Internação / Configurações / Transferência de dados de Paciente (M_TROCPAC)</v>
      </c>
    </row>
    <row r="392" spans="1:7" x14ac:dyDescent="0.3">
      <c r="A392" s="2"/>
      <c r="B392" s="2"/>
      <c r="C392" s="2"/>
      <c r="D392" s="2" t="s">
        <v>2</v>
      </c>
      <c r="E392" s="2" t="s">
        <v>3</v>
      </c>
      <c r="F392" s="2" t="str">
        <f>"N"</f>
        <v>N</v>
      </c>
      <c r="G392" s="2" t="str">
        <f>"N"</f>
        <v>N</v>
      </c>
    </row>
    <row r="393" spans="1:7" x14ac:dyDescent="0.3">
      <c r="A393" s="1" t="s">
        <v>4</v>
      </c>
      <c r="B393" s="2" t="str">
        <f>"SISTEMA DE GERENCIAMENTO DE SAME"</f>
        <v>SISTEMA DE GERENCIAMENTO DE SAME</v>
      </c>
      <c r="C393" s="2" t="str">
        <f>"APOIO"</f>
        <v>APOIO</v>
      </c>
      <c r="D393" s="2" t="str">
        <f>"AMAP"</f>
        <v>AMAP</v>
      </c>
      <c r="E393" s="2" t="str">
        <f>"TRANSFERÊNCIA DE DADOS DE PACIENTE"</f>
        <v>TRANSFERÊNCIA DE DADOS DE PACIENTE</v>
      </c>
      <c r="F393" s="2" t="str">
        <f>"M_TROCPAC"</f>
        <v>M_TROCPAC</v>
      </c>
      <c r="G393" s="2" t="str">
        <f>"Serviços de Apoio / Serviço Arquivo Médico / Configurações / Transferência de Dados de Paciente (M_TROCPAC)"</f>
        <v>Serviços de Apoio / Serviço Arquivo Médico / Configurações / Transferência de Dados de Paciente (M_TROCPAC)</v>
      </c>
    </row>
    <row r="394" spans="1:7" x14ac:dyDescent="0.3">
      <c r="A394" s="2"/>
      <c r="B394" s="2"/>
      <c r="C394" s="2"/>
      <c r="D394" s="2" t="s">
        <v>2</v>
      </c>
      <c r="E394" s="2" t="s">
        <v>3</v>
      </c>
      <c r="F394" s="2" t="str">
        <f>"N"</f>
        <v>N</v>
      </c>
      <c r="G394" s="2" t="str">
        <f>"N"</f>
        <v>N</v>
      </c>
    </row>
    <row r="395" spans="1:7" x14ac:dyDescent="0.3">
      <c r="A395" s="1" t="s">
        <v>4</v>
      </c>
      <c r="B395" s="2" t="str">
        <f>"SISTEMA DE GERENCIAMENTO DE SAME"</f>
        <v>SISTEMA DE GERENCIAMENTO DE SAME</v>
      </c>
      <c r="C395" s="2" t="str">
        <f>"APOIO"</f>
        <v>APOIO</v>
      </c>
      <c r="D395" s="2" t="str">
        <f>"AMAP"</f>
        <v>AMAP</v>
      </c>
      <c r="E395" s="2" t="str">
        <f>"TRANSFERÊNCIA DE DADOS DE PACIENTE"</f>
        <v>TRANSFERÊNCIA DE DADOS DE PACIENTE</v>
      </c>
      <c r="F395" s="2" t="str">
        <f>"M_TROCPAC"</f>
        <v>M_TROCPAC</v>
      </c>
      <c r="G395" s="2" t="str">
        <f>"Atendimento / Internação Domiciliar (Home Care) / Tabelas / Transferência de Dados de Paciente (M_TROCPAC)"</f>
        <v>Atendimento / Internação Domiciliar (Home Care) / Tabelas / Transferência de Dados de Paciente (M_TROCPAC)</v>
      </c>
    </row>
    <row r="396" spans="1:7" x14ac:dyDescent="0.3">
      <c r="A396" s="2"/>
      <c r="B396" s="2"/>
      <c r="C396" s="2"/>
      <c r="D396" s="2" t="s">
        <v>2</v>
      </c>
      <c r="E396" s="2" t="s">
        <v>3</v>
      </c>
      <c r="F396" s="2" t="str">
        <f>"N"</f>
        <v>N</v>
      </c>
      <c r="G396" s="2" t="str">
        <f>"N"</f>
        <v>N</v>
      </c>
    </row>
    <row r="397" spans="1:7" x14ac:dyDescent="0.3">
      <c r="A397" s="1" t="s">
        <v>1</v>
      </c>
      <c r="B397" s="2" t="str">
        <f t="shared" ref="B397:B424" si="41">"SISTEMA DE GERENCIAMENTO DE SAME"</f>
        <v>SISTEMA DE GERENCIAMENTO DE SAME</v>
      </c>
      <c r="C397" s="2" t="str">
        <f t="shared" ref="C397:C460" si="42">"APOIO"</f>
        <v>APOIO</v>
      </c>
      <c r="D397" s="2" t="str">
        <f t="shared" ref="D397:D424" si="43">"AMAP"</f>
        <v>AMAP</v>
      </c>
      <c r="E397" s="2" t="str">
        <f>"CADASTRO DE ATESTADO"</f>
        <v>CADASTRO DE ATESTADO</v>
      </c>
      <c r="F397" s="2" t="str">
        <f>"CADATEST"</f>
        <v>CADATEST</v>
      </c>
      <c r="G397" s="2" t="str">
        <f>"Serviços de Apoio / Serviço Arquivo Médico / SAME / Cadastro de Atestados (CADATEST)"</f>
        <v>Serviços de Apoio / Serviço Arquivo Médico / SAME / Cadastro de Atestados (CADATEST)</v>
      </c>
    </row>
    <row r="398" spans="1:7" x14ac:dyDescent="0.3">
      <c r="A398" s="1" t="s">
        <v>1</v>
      </c>
      <c r="B398" s="2" t="str">
        <f t="shared" si="41"/>
        <v>SISTEMA DE GERENCIAMENTO DE SAME</v>
      </c>
      <c r="C398" s="2" t="str">
        <f t="shared" si="42"/>
        <v>APOIO</v>
      </c>
      <c r="D398" s="2" t="str">
        <f t="shared" si="43"/>
        <v>AMAP</v>
      </c>
      <c r="E398" s="2" t="str">
        <f>"R_PROTETODOC"</f>
        <v>R_PROTETODOC</v>
      </c>
      <c r="F398" s="2" t="str">
        <f>"R_PROTETODOC"</f>
        <v>R_PROTETODOC</v>
      </c>
      <c r="G398" s="2" t="str">
        <f>" ()"</f>
        <v xml:space="preserve"> ()</v>
      </c>
    </row>
    <row r="399" spans="1:7" x14ac:dyDescent="0.3">
      <c r="A399" s="1" t="s">
        <v>1</v>
      </c>
      <c r="B399" s="2" t="str">
        <f t="shared" si="41"/>
        <v>SISTEMA DE GERENCIAMENTO DE SAME</v>
      </c>
      <c r="C399" s="2" t="str">
        <f t="shared" si="42"/>
        <v>APOIO</v>
      </c>
      <c r="D399" s="2" t="str">
        <f t="shared" si="43"/>
        <v>AMAP</v>
      </c>
      <c r="E399" s="2" t="str">
        <f>"ETIQUETA DE ENTRADA DE DOCUMENTO"</f>
        <v>ETIQUETA DE ENTRADA DE DOCUMENTO</v>
      </c>
      <c r="F399" s="2" t="str">
        <f>"R_ETQENTDOC"</f>
        <v>R_ETQENTDOC</v>
      </c>
      <c r="G399" s="2" t="str">
        <f>" ()"</f>
        <v xml:space="preserve"> ()</v>
      </c>
    </row>
    <row r="400" spans="1:7" x14ac:dyDescent="0.3">
      <c r="A400" s="1" t="s">
        <v>1</v>
      </c>
      <c r="B400" s="2" t="str">
        <f t="shared" si="41"/>
        <v>SISTEMA DE GERENCIAMENTO DE SAME</v>
      </c>
      <c r="C400" s="2" t="str">
        <f t="shared" si="42"/>
        <v>APOIO</v>
      </c>
      <c r="D400" s="2" t="str">
        <f t="shared" si="43"/>
        <v>AMAP</v>
      </c>
      <c r="E400" s="2" t="str">
        <f>"WIN_PRINCIPAL"</f>
        <v>WIN_PRINCIPAL</v>
      </c>
      <c r="F400" s="2" t="str">
        <f>"R_DOCFORA_PORTADOR"</f>
        <v>R_DOCFORA_PORTADOR</v>
      </c>
      <c r="G400" s="2" t="str">
        <f>"Serviços de Apoio / Serviço Arquivo Médico / Relatórios / Administrativos / Documentos  / Em Circulação por Portador (R_DOCFORA_PORTADOR)"</f>
        <v>Serviços de Apoio / Serviço Arquivo Médico / Relatórios / Administrativos / Documentos  / Em Circulação por Portador (R_DOCFORA_PORTADOR)</v>
      </c>
    </row>
    <row r="401" spans="1:7" x14ac:dyDescent="0.3">
      <c r="A401" s="1" t="s">
        <v>1</v>
      </c>
      <c r="B401" s="2" t="str">
        <f t="shared" si="41"/>
        <v>SISTEMA DE GERENCIAMENTO DE SAME</v>
      </c>
      <c r="C401" s="2" t="str">
        <f t="shared" si="42"/>
        <v>APOIO</v>
      </c>
      <c r="D401" s="2" t="str">
        <f t="shared" si="43"/>
        <v>AMAP</v>
      </c>
      <c r="E401" s="2" t="str">
        <f>"TRANSPORTADORES"</f>
        <v>TRANSPORTADORES</v>
      </c>
      <c r="F401" s="2" t="str">
        <f>"R_TRANSPORTADORES"</f>
        <v>R_TRANSPORTADORES</v>
      </c>
      <c r="G401" s="2" t="str">
        <f>"Serviços de Apoio / Serviço Arquivo Médico / Relatórios / Tabelas / Transportadores (R_TRANSPORTADORES)"</f>
        <v>Serviços de Apoio / Serviço Arquivo Médico / Relatórios / Tabelas / Transportadores (R_TRANSPORTADORES)</v>
      </c>
    </row>
    <row r="402" spans="1:7" x14ac:dyDescent="0.3">
      <c r="A402" s="1" t="s">
        <v>1</v>
      </c>
      <c r="B402" s="2" t="str">
        <f t="shared" si="41"/>
        <v>SISTEMA DE GERENCIAMENTO DE SAME</v>
      </c>
      <c r="C402" s="2" t="str">
        <f t="shared" si="42"/>
        <v>APOIO</v>
      </c>
      <c r="D402" s="2" t="str">
        <f t="shared" si="43"/>
        <v>AMAP</v>
      </c>
      <c r="E402" s="2" t="str">
        <f>"M_DEV_PRO_PARCIAL"</f>
        <v>M_DEV_PRO_PARCIAL</v>
      </c>
      <c r="F402" s="2" t="str">
        <f>"M_DEV_PRO_PARCIAL"</f>
        <v>M_DEV_PRO_PARCIAL</v>
      </c>
      <c r="G402" s="2" t="str">
        <f>"Serviços de Apoio / Serviço Arquivo Médico / SAME / Recebimento de Documentos / Confirmação de Recebimento Parcial (M_DEV_PRO_PARCIAL)"</f>
        <v>Serviços de Apoio / Serviço Arquivo Médico / SAME / Recebimento de Documentos / Confirmação de Recebimento Parcial (M_DEV_PRO_PARCIAL)</v>
      </c>
    </row>
    <row r="403" spans="1:7" x14ac:dyDescent="0.3">
      <c r="A403" s="1" t="s">
        <v>1</v>
      </c>
      <c r="B403" s="2" t="str">
        <f t="shared" si="41"/>
        <v>SISTEMA DE GERENCIAMENTO DE SAME</v>
      </c>
      <c r="C403" s="2" t="str">
        <f t="shared" si="42"/>
        <v>APOIO</v>
      </c>
      <c r="D403" s="2" t="str">
        <f t="shared" si="43"/>
        <v>AMAP</v>
      </c>
      <c r="E403" s="2" t="str">
        <f>"R_ETIQ_ENT_LOTE.PRT"</f>
        <v>R_ETIQ_ENT_LOTE.PRT</v>
      </c>
      <c r="F403" s="2" t="str">
        <f>"R_ETIQ_ENT_LOTE.PRT"</f>
        <v>R_ETIQ_ENT_LOTE.PRT</v>
      </c>
      <c r="G403" s="2" t="str">
        <f>" ()"</f>
        <v xml:space="preserve"> ()</v>
      </c>
    </row>
    <row r="404" spans="1:7" x14ac:dyDescent="0.3">
      <c r="A404" s="1" t="s">
        <v>1</v>
      </c>
      <c r="B404" s="2" t="str">
        <f t="shared" si="41"/>
        <v>SISTEMA DE GERENCIAMENTO DE SAME</v>
      </c>
      <c r="C404" s="2" t="str">
        <f t="shared" si="42"/>
        <v>APOIO</v>
      </c>
      <c r="D404" s="2" t="str">
        <f t="shared" si="43"/>
        <v>AMAP</v>
      </c>
      <c r="E404" s="2" t="str">
        <f>"R_ETIQ_ENT_LOTE"</f>
        <v>R_ETIQ_ENT_LOTE</v>
      </c>
      <c r="F404" s="2" t="str">
        <f>"R_ETIQ_ENT_LOTE"</f>
        <v>R_ETIQ_ENT_LOTE</v>
      </c>
      <c r="G404" s="2" t="str">
        <f>" ()"</f>
        <v xml:space="preserve"> ()</v>
      </c>
    </row>
    <row r="405" spans="1:7" x14ac:dyDescent="0.3">
      <c r="A405" s="1" t="s">
        <v>1</v>
      </c>
      <c r="B405" s="2" t="str">
        <f t="shared" si="41"/>
        <v>SISTEMA DE GERENCIAMENTO DE SAME</v>
      </c>
      <c r="C405" s="2" t="str">
        <f t="shared" si="42"/>
        <v>APOIO</v>
      </c>
      <c r="D405" s="2" t="str">
        <f t="shared" si="43"/>
        <v>AMAP</v>
      </c>
      <c r="E405" s="2" t="str">
        <f>"R_ETQ_ENT_LOTE"</f>
        <v>R_ETQ_ENT_LOTE</v>
      </c>
      <c r="F405" s="2" t="str">
        <f>"R_ETQ_ENT_LOTE"</f>
        <v>R_ETQ_ENT_LOTE</v>
      </c>
      <c r="G405" s="2" t="str">
        <f>" ()"</f>
        <v xml:space="preserve"> ()</v>
      </c>
    </row>
    <row r="406" spans="1:7" x14ac:dyDescent="0.3">
      <c r="A406" s="1" t="s">
        <v>1</v>
      </c>
      <c r="B406" s="2" t="str">
        <f t="shared" si="41"/>
        <v>SISTEMA DE GERENCIAMENTO DE SAME</v>
      </c>
      <c r="C406" s="2" t="str">
        <f t="shared" si="42"/>
        <v>APOIO</v>
      </c>
      <c r="D406" s="2" t="str">
        <f t="shared" si="43"/>
        <v>AMAP</v>
      </c>
      <c r="E406" s="2" t="str">
        <f>"HISTÓRICO DAS PASTAS DO PACIENTE"</f>
        <v>HISTÓRICO DAS PASTAS DO PACIENTE</v>
      </c>
      <c r="F406" s="2" t="str">
        <f>"C_RASTREAR_PASTA_PAC"</f>
        <v>C_RASTREAR_PASTA_PAC</v>
      </c>
      <c r="G406" s="2" t="str">
        <f>"Serviços de Apoio / Serviço Arquivo Médico / SAME / Pastas Parciais / Histórico das Pastas do Paciente (C_RASTREAR_PASTA_PAC)"</f>
        <v>Serviços de Apoio / Serviço Arquivo Médico / SAME / Pastas Parciais / Histórico das Pastas do Paciente (C_RASTREAR_PASTA_PAC)</v>
      </c>
    </row>
    <row r="407" spans="1:7" x14ac:dyDescent="0.3">
      <c r="A407" s="1" t="s">
        <v>1</v>
      </c>
      <c r="B407" s="2" t="str">
        <f t="shared" si="41"/>
        <v>SISTEMA DE GERENCIAMENTO DE SAME</v>
      </c>
      <c r="C407" s="2" t="str">
        <f t="shared" si="42"/>
        <v>APOIO</v>
      </c>
      <c r="D407" s="2" t="str">
        <f t="shared" si="43"/>
        <v>AMAP</v>
      </c>
      <c r="E407" s="2" t="str">
        <f>"HISTÓRICO DAS PASTAS DO PACIENTE"</f>
        <v>HISTÓRICO DAS PASTAS DO PACIENTE</v>
      </c>
      <c r="F407" s="2" t="str">
        <f>"C_RASTREAR_PASTA_PAC"</f>
        <v>C_RASTREAR_PASTA_PAC</v>
      </c>
      <c r="G407" s="2" t="str">
        <f>"Serviços de Apoio / Serviço Arquivo Médico / Consultas / Pastas do Paciente (C_RASTREAR_PASTA_PAC)"</f>
        <v>Serviços de Apoio / Serviço Arquivo Médico / Consultas / Pastas do Paciente (C_RASTREAR_PASTA_PAC)</v>
      </c>
    </row>
    <row r="408" spans="1:7" x14ac:dyDescent="0.3">
      <c r="A408" s="1" t="s">
        <v>1</v>
      </c>
      <c r="B408" s="2" t="str">
        <f t="shared" si="41"/>
        <v>SISTEMA DE GERENCIAMENTO DE SAME</v>
      </c>
      <c r="C408" s="2" t="str">
        <f t="shared" si="42"/>
        <v>APOIO</v>
      </c>
      <c r="D408" s="2" t="str">
        <f t="shared" si="43"/>
        <v>AMAP</v>
      </c>
      <c r="E408" s="2" t="str">
        <f>"SAÍDA DE DOCUMENTOS DO SAME"</f>
        <v>SAÍDA DE DOCUMENTOS DO SAME</v>
      </c>
      <c r="F408" s="2" t="str">
        <f>"M_SAIDA_PRO_SETOR"</f>
        <v>M_SAIDA_PRO_SETOR</v>
      </c>
      <c r="G408" s="2" t="str">
        <f>"Serviços de Apoio / Serviço Arquivo Médico / SAME / Saída de Documentos / Setor / Portador (M_SAIDA_PRO_SETOR)"</f>
        <v>Serviços de Apoio / Serviço Arquivo Médico / SAME / Saída de Documentos / Setor / Portador (M_SAIDA_PRO_SETOR)</v>
      </c>
    </row>
    <row r="409" spans="1:7" x14ac:dyDescent="0.3">
      <c r="A409" s="1" t="s">
        <v>1</v>
      </c>
      <c r="B409" s="2" t="str">
        <f t="shared" si="41"/>
        <v>SISTEMA DE GERENCIAMENTO DE SAME</v>
      </c>
      <c r="C409" s="2" t="str">
        <f t="shared" si="42"/>
        <v>APOIO</v>
      </c>
      <c r="D409" s="2" t="str">
        <f t="shared" si="43"/>
        <v>AMAP</v>
      </c>
      <c r="E409" s="2" t="str">
        <f>"RASTREAMENTO DE PASTAS MOVIMENTADAS"</f>
        <v>RASTREAMENTO DE PASTAS MOVIMENTADAS</v>
      </c>
      <c r="F409" s="2" t="str">
        <f>"M_LOCAL_PASTA"</f>
        <v>M_LOCAL_PASTA</v>
      </c>
      <c r="G409" s="2" t="str">
        <f>"Serviços de Apoio / Serviço Arquivo Médico / Consultas / Rastreamento de Pastas Movimentadas (M_LOCAL_PASTA)"</f>
        <v>Serviços de Apoio / Serviço Arquivo Médico / Consultas / Rastreamento de Pastas Movimentadas (M_LOCAL_PASTA)</v>
      </c>
    </row>
    <row r="410" spans="1:7" x14ac:dyDescent="0.3">
      <c r="A410" s="1" t="s">
        <v>1</v>
      </c>
      <c r="B410" s="2" t="str">
        <f t="shared" si="41"/>
        <v>SISTEMA DE GERENCIAMENTO DE SAME</v>
      </c>
      <c r="C410" s="2" t="str">
        <f t="shared" si="42"/>
        <v>APOIO</v>
      </c>
      <c r="D410" s="2" t="str">
        <f t="shared" si="43"/>
        <v>AMAP</v>
      </c>
      <c r="E410" s="2" t="str">
        <f>"M_MATRICULA_ANUAL_SAME"</f>
        <v>M_MATRICULA_ANUAL_SAME</v>
      </c>
      <c r="F410" s="2" t="str">
        <f>"M_MATRICULA_ANUAL_SAME"</f>
        <v>M_MATRICULA_ANUAL_SAME</v>
      </c>
      <c r="G410" s="2" t="str">
        <f>"Serviços de Apoio / Serviço Arquivo Médico / Tabelas / Ano x Próxima Matrícula (M_MATRICULA_ANUAL_SAME)"</f>
        <v>Serviços de Apoio / Serviço Arquivo Médico / Tabelas / Ano x Próxima Matrícula (M_MATRICULA_ANUAL_SAME)</v>
      </c>
    </row>
    <row r="411" spans="1:7" x14ac:dyDescent="0.3">
      <c r="A411" s="1" t="s">
        <v>1</v>
      </c>
      <c r="B411" s="2" t="str">
        <f t="shared" si="41"/>
        <v>SISTEMA DE GERENCIAMENTO DE SAME</v>
      </c>
      <c r="C411" s="2" t="str">
        <f t="shared" si="42"/>
        <v>APOIO</v>
      </c>
      <c r="D411" s="2" t="str">
        <f t="shared" si="43"/>
        <v>AMAP</v>
      </c>
      <c r="E411" s="2" t="str">
        <f>"WIN_PRINCIPAL"</f>
        <v>WIN_PRINCIPAL</v>
      </c>
      <c r="F411" s="2" t="str">
        <f>"M_TRANSPORTADOR"</f>
        <v>M_TRANSPORTADOR</v>
      </c>
      <c r="G411" s="2" t="str">
        <f>"Serviços de Apoio / Serviço Arquivo Médico / Tabelas / Transportadores (M_TRANSPORTADOR)"</f>
        <v>Serviços de Apoio / Serviço Arquivo Médico / Tabelas / Transportadores (M_TRANSPORTADOR)</v>
      </c>
    </row>
    <row r="412" spans="1:7" x14ac:dyDescent="0.3">
      <c r="A412" s="1" t="s">
        <v>1</v>
      </c>
      <c r="B412" s="2" t="str">
        <f t="shared" si="41"/>
        <v>SISTEMA DE GERENCIAMENTO DE SAME</v>
      </c>
      <c r="C412" s="2" t="str">
        <f t="shared" si="42"/>
        <v>APOIO</v>
      </c>
      <c r="D412" s="2" t="str">
        <f t="shared" si="43"/>
        <v>AMAP</v>
      </c>
      <c r="E412" s="2" t="str">
        <f>"R_PROT_TRANS_SAI"</f>
        <v>R_PROT_TRANS_SAI</v>
      </c>
      <c r="F412" s="2" t="str">
        <f>"R_PROT_TRANS_SAI"</f>
        <v>R_PROT_TRANS_SAI</v>
      </c>
      <c r="G412" s="2" t="str">
        <f>" ()"</f>
        <v xml:space="preserve"> ()</v>
      </c>
    </row>
    <row r="413" spans="1:7" x14ac:dyDescent="0.3">
      <c r="A413" s="1" t="s">
        <v>1</v>
      </c>
      <c r="B413" s="2" t="str">
        <f t="shared" si="41"/>
        <v>SISTEMA DE GERENCIAMENTO DE SAME</v>
      </c>
      <c r="C413" s="2" t="str">
        <f t="shared" si="42"/>
        <v>APOIO</v>
      </c>
      <c r="D413" s="2" t="str">
        <f t="shared" si="43"/>
        <v>AMAP</v>
      </c>
      <c r="E413" s="2" t="str">
        <f>"R_PAC_NAO_SAME"</f>
        <v>R_PAC_NAO_SAME</v>
      </c>
      <c r="F413" s="2" t="str">
        <f>"R_PAC_NAO_SAME"</f>
        <v>R_PAC_NAO_SAME</v>
      </c>
      <c r="G413" s="2" t="str">
        <f>"Serviços de Apoio / Serviço Arquivo Médico / Relatórios / Operacionais / Atendimentos / Que não Entraram no SAME (R_PAC_NAO_SAME)"</f>
        <v>Serviços de Apoio / Serviço Arquivo Médico / Relatórios / Operacionais / Atendimentos / Que não Entraram no SAME (R_PAC_NAO_SAME)</v>
      </c>
    </row>
    <row r="414" spans="1:7" x14ac:dyDescent="0.3">
      <c r="A414" s="1" t="s">
        <v>1</v>
      </c>
      <c r="B414" s="2" t="str">
        <f t="shared" si="41"/>
        <v>SISTEMA DE GERENCIAMENTO DE SAME</v>
      </c>
      <c r="C414" s="2" t="str">
        <f t="shared" si="42"/>
        <v>APOIO</v>
      </c>
      <c r="D414" s="2" t="str">
        <f t="shared" si="43"/>
        <v>AMAP</v>
      </c>
      <c r="E414" s="2" t="str">
        <f>"R_DOCDEVATRA"</f>
        <v>R_DOCDEVATRA</v>
      </c>
      <c r="F414" s="2" t="str">
        <f>"R_DOCDEVATRA"</f>
        <v>R_DOCDEVATRA</v>
      </c>
      <c r="G414" s="2" t="str">
        <f>"Serviços de Apoio / Serviço Arquivo Médico / Relatórios / Administrativos / Documentos  / Devolvidos  Após Data Prevista (R_DOCDEVATRA)"</f>
        <v>Serviços de Apoio / Serviço Arquivo Médico / Relatórios / Administrativos / Documentos  / Devolvidos  Após Data Prevista (R_DOCDEVATRA)</v>
      </c>
    </row>
    <row r="415" spans="1:7" x14ac:dyDescent="0.3">
      <c r="A415" s="1" t="s">
        <v>1</v>
      </c>
      <c r="B415" s="2" t="str">
        <f t="shared" si="41"/>
        <v>SISTEMA DE GERENCIAMENTO DE SAME</v>
      </c>
      <c r="C415" s="2" t="str">
        <f t="shared" si="42"/>
        <v>APOIO</v>
      </c>
      <c r="D415" s="2" t="str">
        <f t="shared" si="43"/>
        <v>AMAP</v>
      </c>
      <c r="E415" s="2" t="str">
        <f>"WIN_PRINCIPAL - HOSPITAL MV SISTEMAS"</f>
        <v>WIN_PRINCIPAL - HOSPITAL MV SISTEMAS</v>
      </c>
      <c r="F415" s="2" t="str">
        <f>"PESQPORT"</f>
        <v>PESQPORT</v>
      </c>
      <c r="G415" s="2" t="str">
        <f>" ()"</f>
        <v xml:space="preserve"> ()</v>
      </c>
    </row>
    <row r="416" spans="1:7" x14ac:dyDescent="0.3">
      <c r="A416" s="1" t="s">
        <v>1</v>
      </c>
      <c r="B416" s="2" t="str">
        <f t="shared" si="41"/>
        <v>SISTEMA DE GERENCIAMENTO DE SAME</v>
      </c>
      <c r="C416" s="2" t="str">
        <f t="shared" si="42"/>
        <v>APOIO</v>
      </c>
      <c r="D416" s="2" t="str">
        <f t="shared" si="43"/>
        <v>AMAP</v>
      </c>
      <c r="E416" s="2" t="str">
        <f>"TRANSFERÊNCIA DE DOCUMENTOS"</f>
        <v>TRANSFERÊNCIA DE DOCUMENTOS</v>
      </c>
      <c r="F416" s="2" t="str">
        <f>"M_TRANSF_DOC"</f>
        <v>M_TRANSF_DOC</v>
      </c>
      <c r="G416" s="2" t="str">
        <f>"Serviços de Apoio / Serviço Arquivo Médico / SAME / Transferência de Documentos (M_TRANSF_DOC)"</f>
        <v>Serviços de Apoio / Serviço Arquivo Médico / SAME / Transferência de Documentos (M_TRANSF_DOC)</v>
      </c>
    </row>
    <row r="417" spans="1:7" x14ac:dyDescent="0.3">
      <c r="A417" s="1" t="s">
        <v>1</v>
      </c>
      <c r="B417" s="2" t="str">
        <f t="shared" si="41"/>
        <v>SISTEMA DE GERENCIAMENTO DE SAME</v>
      </c>
      <c r="C417" s="2" t="str">
        <f t="shared" si="42"/>
        <v>APOIO</v>
      </c>
      <c r="D417" s="2" t="str">
        <f t="shared" si="43"/>
        <v>AMAP</v>
      </c>
      <c r="E417" s="2" t="str">
        <f>"DEVOLUÇÃO DE DOCUMENTOS"</f>
        <v>DEVOLUÇÃO DE DOCUMENTOS</v>
      </c>
      <c r="F417" s="2" t="str">
        <f>"DOCENTR_LOTE"</f>
        <v>DOCENTR_LOTE</v>
      </c>
      <c r="G417" s="2" t="str">
        <f>"Serviços de Apoio / Serviço Arquivo Médico / SAME / Entrada de Documentos por Lote (DOCENTR_LOTE)"</f>
        <v>Serviços de Apoio / Serviço Arquivo Médico / SAME / Entrada de Documentos por Lote (DOCENTR_LOTE)</v>
      </c>
    </row>
    <row r="418" spans="1:7" x14ac:dyDescent="0.3">
      <c r="A418" s="1" t="s">
        <v>1</v>
      </c>
      <c r="B418" s="2" t="str">
        <f t="shared" si="41"/>
        <v>SISTEMA DE GERENCIAMENTO DE SAME</v>
      </c>
      <c r="C418" s="2" t="str">
        <f t="shared" si="42"/>
        <v>APOIO</v>
      </c>
      <c r="D418" s="2" t="str">
        <f t="shared" si="43"/>
        <v>AMAP</v>
      </c>
      <c r="E418" s="2" t="str">
        <f>"PRONTUÁRIOS SEM MOVIMENTAÇÃO NO PERÍODO"</f>
        <v>PRONTUÁRIOS SEM MOVIMENTAÇÃO NO PERÍODO</v>
      </c>
      <c r="F418" s="2" t="str">
        <f>"R_PRONT_SEM_MOV.RDF"</f>
        <v>R_PRONT_SEM_MOV.RDF</v>
      </c>
      <c r="G418" s="2" t="str">
        <f t="shared" ref="G418:G425" si="44">" ()"</f>
        <v xml:space="preserve"> ()</v>
      </c>
    </row>
    <row r="419" spans="1:7" x14ac:dyDescent="0.3">
      <c r="A419" s="1" t="s">
        <v>1</v>
      </c>
      <c r="B419" s="2" t="str">
        <f t="shared" si="41"/>
        <v>SISTEMA DE GERENCIAMENTO DE SAME</v>
      </c>
      <c r="C419" s="2" t="str">
        <f t="shared" si="42"/>
        <v>APOIO</v>
      </c>
      <c r="D419" s="2" t="str">
        <f t="shared" si="43"/>
        <v>AMAP</v>
      </c>
      <c r="E419" s="2" t="str">
        <f>"RELATÓRIO DE MOVIMENTO DIÁRIO"</f>
        <v>RELATÓRIO DE MOVIMENTO DIÁRIO</v>
      </c>
      <c r="F419" s="2" t="str">
        <f>"R_LIVRO.RDF"</f>
        <v>R_LIVRO.RDF</v>
      </c>
      <c r="G419" s="2" t="str">
        <f t="shared" si="44"/>
        <v xml:space="preserve"> ()</v>
      </c>
    </row>
    <row r="420" spans="1:7" x14ac:dyDescent="0.3">
      <c r="A420" s="1" t="s">
        <v>1</v>
      </c>
      <c r="B420" s="2" t="str">
        <f t="shared" si="41"/>
        <v>SISTEMA DE GERENCIAMENTO DE SAME</v>
      </c>
      <c r="C420" s="2" t="str">
        <f t="shared" si="42"/>
        <v>APOIO</v>
      </c>
      <c r="D420" s="2" t="str">
        <f t="shared" si="43"/>
        <v>AMAP</v>
      </c>
      <c r="E420" s="2" t="str">
        <f>"DOCUMENTOS EM CIRCULAÇÃO POR PORTADOR"</f>
        <v>DOCUMENTOS EM CIRCULAÇÃO POR PORTADOR</v>
      </c>
      <c r="F420" s="2" t="str">
        <f>"R_DOCFORA_PORTADOR.RDF"</f>
        <v>R_DOCFORA_PORTADOR.RDF</v>
      </c>
      <c r="G420" s="2" t="str">
        <f t="shared" si="44"/>
        <v xml:space="preserve"> ()</v>
      </c>
    </row>
    <row r="421" spans="1:7" x14ac:dyDescent="0.3">
      <c r="A421" s="1" t="s">
        <v>1</v>
      </c>
      <c r="B421" s="2" t="str">
        <f t="shared" si="41"/>
        <v>SISTEMA DE GERENCIAMENTO DE SAME</v>
      </c>
      <c r="C421" s="2" t="str">
        <f t="shared" si="42"/>
        <v>APOIO</v>
      </c>
      <c r="D421" s="2" t="str">
        <f t="shared" si="43"/>
        <v>AMAP</v>
      </c>
      <c r="E421" s="2" t="str">
        <f>"RELATÓRIO DE PACIENTES INTERNADOS"</f>
        <v>RELATÓRIO DE PACIENTES INTERNADOS</v>
      </c>
      <c r="F421" s="2" t="str">
        <f>"R_INTERNACAO_DIA.RDF"</f>
        <v>R_INTERNACAO_DIA.RDF</v>
      </c>
      <c r="G421" s="2" t="str">
        <f t="shared" si="44"/>
        <v xml:space="preserve"> ()</v>
      </c>
    </row>
    <row r="422" spans="1:7" x14ac:dyDescent="0.3">
      <c r="A422" s="1" t="s">
        <v>1</v>
      </c>
      <c r="B422" s="2" t="str">
        <f t="shared" si="41"/>
        <v>SISTEMA DE GERENCIAMENTO DE SAME</v>
      </c>
      <c r="C422" s="2" t="str">
        <f t="shared" si="42"/>
        <v>APOIO</v>
      </c>
      <c r="D422" s="2" t="str">
        <f t="shared" si="43"/>
        <v>AMAP</v>
      </c>
      <c r="E422" s="2" t="str">
        <f>"PRONTUÁRIOS E DOCUMENTOS TRANSFERIDOS"</f>
        <v>PRONTUÁRIOS E DOCUMENTOS TRANSFERIDOS</v>
      </c>
      <c r="F422" s="2" t="str">
        <f>"R_TRANSF_DOC.RDF"</f>
        <v>R_TRANSF_DOC.RDF</v>
      </c>
      <c r="G422" s="2" t="str">
        <f t="shared" si="44"/>
        <v xml:space="preserve"> ()</v>
      </c>
    </row>
    <row r="423" spans="1:7" x14ac:dyDescent="0.3">
      <c r="A423" s="1" t="s">
        <v>1</v>
      </c>
      <c r="B423" s="2" t="str">
        <f t="shared" si="41"/>
        <v>SISTEMA DE GERENCIAMENTO DE SAME</v>
      </c>
      <c r="C423" s="2" t="str">
        <f t="shared" si="42"/>
        <v>APOIO</v>
      </c>
      <c r="D423" s="2" t="str">
        <f t="shared" si="43"/>
        <v>AMAP</v>
      </c>
      <c r="E423" s="2" t="str">
        <f>"ATENDIMENTOS QUE NÃO ENTRARAM NO SAME"</f>
        <v>ATENDIMENTOS QUE NÃO ENTRARAM NO SAME</v>
      </c>
      <c r="F423" s="2" t="str">
        <f>"R_PAC_NAO_SAME.RDF"</f>
        <v>R_PAC_NAO_SAME.RDF</v>
      </c>
      <c r="G423" s="2" t="str">
        <f t="shared" si="44"/>
        <v xml:space="preserve"> ()</v>
      </c>
    </row>
    <row r="424" spans="1:7" x14ac:dyDescent="0.3">
      <c r="A424" s="1" t="s">
        <v>1</v>
      </c>
      <c r="B424" s="2" t="str">
        <f t="shared" si="41"/>
        <v>SISTEMA DE GERENCIAMENTO DE SAME</v>
      </c>
      <c r="C424" s="2" t="str">
        <f t="shared" si="42"/>
        <v>APOIO</v>
      </c>
      <c r="D424" s="2" t="str">
        <f t="shared" si="43"/>
        <v>AMAP</v>
      </c>
      <c r="E424" s="2" t="str">
        <f>"RELATÓRIO DE LISTA DE ENCAIXE"</f>
        <v>RELATÓRIO DE LISTA DE ENCAIXE</v>
      </c>
      <c r="F424" s="2" t="str">
        <f>"R_ENCAIXE.RDF"</f>
        <v>R_ENCAIXE.RDF</v>
      </c>
      <c r="G424" s="2" t="str">
        <f t="shared" si="44"/>
        <v xml:space="preserve"> ()</v>
      </c>
    </row>
    <row r="425" spans="1:7" x14ac:dyDescent="0.3">
      <c r="A425" s="1" t="s">
        <v>1</v>
      </c>
      <c r="B425" s="2" t="str">
        <f t="shared" ref="B425:B488" si="45">"SISTEMA DE DIRETORIA CLINICA"</f>
        <v>SISTEMA DE DIRETORIA CLINICA</v>
      </c>
      <c r="C425" s="2" t="str">
        <f t="shared" si="42"/>
        <v>APOIO</v>
      </c>
      <c r="D425" s="2" t="str">
        <f t="shared" ref="D425:D488" si="46">"AMDC"</f>
        <v>AMDC</v>
      </c>
      <c r="E425" s="2" t="str">
        <f>"RELATÓRIO DE PRESTADORES POR ENDEREÇO"</f>
        <v>RELATÓRIO DE PRESTADORES POR ENDEREÇO</v>
      </c>
      <c r="F425" s="2" t="str">
        <f>"R_PRESTADOR_ENDERECO.RDF"</f>
        <v>R_PRESTADOR_ENDERECO.RDF</v>
      </c>
      <c r="G425" s="2" t="str">
        <f t="shared" si="44"/>
        <v xml:space="preserve"> ()</v>
      </c>
    </row>
    <row r="426" spans="1:7" x14ac:dyDescent="0.3">
      <c r="A426" s="1" t="s">
        <v>1</v>
      </c>
      <c r="B426" s="2" t="str">
        <f t="shared" si="45"/>
        <v>SISTEMA DE DIRETORIA CLINICA</v>
      </c>
      <c r="C426" s="2" t="str">
        <f t="shared" si="42"/>
        <v>APOIO</v>
      </c>
      <c r="D426" s="2" t="str">
        <f t="shared" si="46"/>
        <v>AMDC</v>
      </c>
      <c r="E426" s="2" t="str">
        <f>"INFORME DE ESPECIALIDAD POR PRESTADORES"</f>
        <v>INFORME DE ESPECIALIDAD POR PRESTADORES</v>
      </c>
      <c r="F426" s="2" t="str">
        <f>"R_PRESTADOR_ESPECIALIDADE"</f>
        <v>R_PRESTADOR_ESPECIALIDADE</v>
      </c>
      <c r="G426" s="2" t="str">
        <f>"Serviços de Apoio / Diretoria Clinica / Relatórios / Tabelas / Especialidade por Prestador (R_PRESTADOR_ESPECIALIDADE)"</f>
        <v>Serviços de Apoio / Diretoria Clinica / Relatórios / Tabelas / Especialidade por Prestador (R_PRESTADOR_ESPECIALIDADE)</v>
      </c>
    </row>
    <row r="427" spans="1:7" x14ac:dyDescent="0.3">
      <c r="A427" s="1" t="s">
        <v>1</v>
      </c>
      <c r="B427" s="2" t="str">
        <f t="shared" si="45"/>
        <v>SISTEMA DE DIRETORIA CLINICA</v>
      </c>
      <c r="C427" s="2" t="str">
        <f t="shared" si="42"/>
        <v>APOIO</v>
      </c>
      <c r="D427" s="2" t="str">
        <f t="shared" si="46"/>
        <v>AMDC</v>
      </c>
      <c r="E427" s="2" t="str">
        <f>"INFORME DE ESPECIALIDAD POR PRESTADORES"</f>
        <v>INFORME DE ESPECIALIDAD POR PRESTADORES</v>
      </c>
      <c r="F427" s="2" t="str">
        <f>"R_PRESTADOR_ESPECIALIDADE"</f>
        <v>R_PRESTADOR_ESPECIALIDADE</v>
      </c>
      <c r="G427" s="2" t="str">
        <f>"Serviços de Apoio / Serviço Arquivo Médico / Relatórios / Tabelas / Especialidades por Prestador (R_PRESTADOR_ESPECIALIDADE)"</f>
        <v>Serviços de Apoio / Serviço Arquivo Médico / Relatórios / Tabelas / Especialidades por Prestador (R_PRESTADOR_ESPECIALIDADE)</v>
      </c>
    </row>
    <row r="428" spans="1:7" x14ac:dyDescent="0.3">
      <c r="A428" s="1" t="s">
        <v>1</v>
      </c>
      <c r="B428" s="2" t="str">
        <f t="shared" si="45"/>
        <v>SISTEMA DE DIRETORIA CLINICA</v>
      </c>
      <c r="C428" s="2" t="str">
        <f t="shared" si="42"/>
        <v>APOIO</v>
      </c>
      <c r="D428" s="2" t="str">
        <f t="shared" si="46"/>
        <v>AMDC</v>
      </c>
      <c r="E428" s="2" t="str">
        <f>"INFORME DE ESPECIALIDAD POR PRESTADORES"</f>
        <v>INFORME DE ESPECIALIDAD POR PRESTADORES</v>
      </c>
      <c r="F428" s="2" t="str">
        <f>"R_PRESTADOR_ESPECIALIDADE"</f>
        <v>R_PRESTADOR_ESPECIALIDADE</v>
      </c>
      <c r="G428" s="2" t="str">
        <f>"Serviços de Apoio / Global / Relatórios / Prestadores / Especialidade por Prestador (R_PRESTADOR_ESPECIALIDADE)"</f>
        <v>Serviços de Apoio / Global / Relatórios / Prestadores / Especialidade por Prestador (R_PRESTADOR_ESPECIALIDADE)</v>
      </c>
    </row>
    <row r="429" spans="1:7" x14ac:dyDescent="0.3">
      <c r="A429" s="1" t="s">
        <v>1</v>
      </c>
      <c r="B429" s="2" t="str">
        <f t="shared" si="45"/>
        <v>SISTEMA DE DIRETORIA CLINICA</v>
      </c>
      <c r="C429" s="2" t="str">
        <f t="shared" si="42"/>
        <v>APOIO</v>
      </c>
      <c r="D429" s="2" t="str">
        <f t="shared" si="46"/>
        <v>AMDC</v>
      </c>
      <c r="E429" s="2" t="str">
        <f>"CADASTRO: CONSELHO DO PRESTADOR"</f>
        <v>CADASTRO: CONSELHO DO PRESTADOR</v>
      </c>
      <c r="F429" s="2" t="str">
        <f>"SITUACAO"</f>
        <v>SITUACAO</v>
      </c>
      <c r="G429" s="2" t="str">
        <f>" ()"</f>
        <v xml:space="preserve"> ()</v>
      </c>
    </row>
    <row r="430" spans="1:7" x14ac:dyDescent="0.3">
      <c r="A430" s="1" t="s">
        <v>1</v>
      </c>
      <c r="B430" s="2" t="str">
        <f t="shared" si="45"/>
        <v>SISTEMA DE DIRETORIA CLINICA</v>
      </c>
      <c r="C430" s="2" t="str">
        <f t="shared" si="42"/>
        <v>APOIO</v>
      </c>
      <c r="D430" s="2" t="str">
        <f t="shared" si="46"/>
        <v>AMDC</v>
      </c>
      <c r="E430" s="2" t="str">
        <f>"CADASTRO DAS OCORRÊNCIAS MÉDICAS"</f>
        <v>CADASTRO DAS OCORRÊNCIAS MÉDICAS</v>
      </c>
      <c r="F430" s="2" t="str">
        <f>"OCO_MED"</f>
        <v>OCO_MED</v>
      </c>
      <c r="G430" s="2" t="str">
        <f>"Serviços de Apoio / Diretoria Clinica / Ocorrências / Ocorrências Médicas (OCO_MED)"</f>
        <v>Serviços de Apoio / Diretoria Clinica / Ocorrências / Ocorrências Médicas (OCO_MED)</v>
      </c>
    </row>
    <row r="431" spans="1:7" x14ac:dyDescent="0.3">
      <c r="A431" s="1" t="s">
        <v>1</v>
      </c>
      <c r="B431" s="2" t="str">
        <f t="shared" si="45"/>
        <v>SISTEMA DE DIRETORIA CLINICA</v>
      </c>
      <c r="C431" s="2" t="str">
        <f t="shared" si="42"/>
        <v>APOIO</v>
      </c>
      <c r="D431" s="2" t="str">
        <f t="shared" si="46"/>
        <v>AMDC</v>
      </c>
      <c r="E431" s="2" t="str">
        <f>"Cadastro de Equipes"</f>
        <v>Cadastro de Equipes</v>
      </c>
      <c r="F431" s="2" t="str">
        <f>"CAD_EQUIPE"</f>
        <v>CAD_EQUIPE</v>
      </c>
      <c r="G431" s="2" t="str">
        <f>"Serviços de Apoio / Diretoria Clinica / Tabelas / Cadastro de Equipes (CAD_EQUIPE)"</f>
        <v>Serviços de Apoio / Diretoria Clinica / Tabelas / Cadastro de Equipes (CAD_EQUIPE)</v>
      </c>
    </row>
    <row r="432" spans="1:7" x14ac:dyDescent="0.3">
      <c r="A432" s="1" t="s">
        <v>1</v>
      </c>
      <c r="B432" s="2" t="str">
        <f t="shared" si="45"/>
        <v>SISTEMA DE DIRETORIA CLINICA</v>
      </c>
      <c r="C432" s="2" t="str">
        <f t="shared" si="42"/>
        <v>APOIO</v>
      </c>
      <c r="D432" s="2" t="str">
        <f t="shared" si="46"/>
        <v>AMDC</v>
      </c>
      <c r="E432" s="2" t="str">
        <f>"Modificações Cadastro do Prestador"</f>
        <v>Modificações Cadastro do Prestador</v>
      </c>
      <c r="F432" s="2" t="str">
        <f>"C_MODIFIC_PRESTADOR"</f>
        <v>C_MODIFIC_PRESTADOR</v>
      </c>
      <c r="G432" s="2" t="str">
        <f>"Serviços de Apoio / Diretoria Clinica / Consulta / Modificações Cadastro do Prestador (C_MODIFIC_PRESTADOR)"</f>
        <v>Serviços de Apoio / Diretoria Clinica / Consulta / Modificações Cadastro do Prestador (C_MODIFIC_PRESTADOR)</v>
      </c>
    </row>
    <row r="433" spans="1:7" x14ac:dyDescent="0.3">
      <c r="A433" s="1" t="s">
        <v>1</v>
      </c>
      <c r="B433" s="2" t="str">
        <f t="shared" si="45"/>
        <v>SISTEMA DE DIRETORIA CLINICA</v>
      </c>
      <c r="C433" s="2" t="str">
        <f t="shared" si="42"/>
        <v>APOIO</v>
      </c>
      <c r="D433" s="2" t="str">
        <f t="shared" si="46"/>
        <v>AMDC</v>
      </c>
      <c r="E433" s="2" t="str">
        <f>"Tipo de Desconto de Repasse"</f>
        <v>Tipo de Desconto de Repasse</v>
      </c>
      <c r="F433" s="2" t="str">
        <f>"M_TIP_DESCONTO_REP"</f>
        <v>M_TIP_DESCONTO_REP</v>
      </c>
      <c r="G433" s="2" t="str">
        <f>"Controladoria / Repasse Médico / Tabelas / Tipos de Desconto de Repasse (M_TIP_DESCONTO_REP)"</f>
        <v>Controladoria / Repasse Médico / Tabelas / Tipos de Desconto de Repasse (M_TIP_DESCONTO_REP)</v>
      </c>
    </row>
    <row r="434" spans="1:7" x14ac:dyDescent="0.3">
      <c r="A434" s="1" t="s">
        <v>1</v>
      </c>
      <c r="B434" s="2" t="str">
        <f t="shared" si="45"/>
        <v>SISTEMA DE DIRETORIA CLINICA</v>
      </c>
      <c r="C434" s="2" t="str">
        <f t="shared" si="42"/>
        <v>APOIO</v>
      </c>
      <c r="D434" s="2" t="str">
        <f t="shared" si="46"/>
        <v>AMDC</v>
      </c>
      <c r="E434" s="2" t="str">
        <f>"Importação de Prest. Externos(CREMESP)"</f>
        <v>Importação de Prest. Externos(CREMESP)</v>
      </c>
      <c r="F434" s="2" t="str">
        <f>"M_IMP_PRESTADOR_EXT_CREMESP"</f>
        <v>M_IMP_PRESTADOR_EXT_CREMESP</v>
      </c>
      <c r="G434" s="2" t="str">
        <f>"Serviços de Apoio / Diretoria Clinica / Importações / Importação de Prest. Externos(CREMESP) (M_IMP_PRESTADOR_EXT_CREMESP)"</f>
        <v>Serviços de Apoio / Diretoria Clinica / Importações / Importação de Prest. Externos(CREMESP) (M_IMP_PRESTADOR_EXT_CREMESP)</v>
      </c>
    </row>
    <row r="435" spans="1:7" x14ac:dyDescent="0.3">
      <c r="A435" s="1" t="s">
        <v>1</v>
      </c>
      <c r="B435" s="2" t="str">
        <f t="shared" si="45"/>
        <v>SISTEMA DE DIRETORIA CLINICA</v>
      </c>
      <c r="C435" s="2" t="str">
        <f t="shared" si="42"/>
        <v>APOIO</v>
      </c>
      <c r="D435" s="2" t="str">
        <f t="shared" si="46"/>
        <v>AMDC</v>
      </c>
      <c r="E435" s="2" t="str">
        <f>"PRESTADORES POR ATUAÇÃO"</f>
        <v>PRESTADORES POR ATUAÇÃO</v>
      </c>
      <c r="F435" s="2" t="str">
        <f>"R_PRESTADOR_ATUACAO.RDF"</f>
        <v>R_PRESTADOR_ATUACAO.RDF</v>
      </c>
      <c r="G435" s="2" t="str">
        <f>" ()"</f>
        <v xml:space="preserve"> ()</v>
      </c>
    </row>
    <row r="436" spans="1:7" x14ac:dyDescent="0.3">
      <c r="A436" s="1" t="s">
        <v>1</v>
      </c>
      <c r="B436" s="2" t="str">
        <f t="shared" si="45"/>
        <v>SISTEMA DE DIRETORIA CLINICA</v>
      </c>
      <c r="C436" s="2" t="str">
        <f t="shared" si="42"/>
        <v>APOIO</v>
      </c>
      <c r="D436" s="2" t="str">
        <f t="shared" si="46"/>
        <v>AMDC</v>
      </c>
      <c r="E436" s="2" t="str">
        <f>"CADASTRO DE ESPECIALIZAÇÕES DOS PRESTADO"</f>
        <v>CADASTRO DE ESPECIALIZAÇÕES DOS PRESTADO</v>
      </c>
      <c r="F436" s="2" t="str">
        <f>"CAD_ESPZ"</f>
        <v>CAD_ESPZ</v>
      </c>
      <c r="G436" s="2" t="str">
        <f>"Serviços de Apoio / Diretoria Clinica / Tabelas / Especializações (CAD_ESPZ)"</f>
        <v>Serviços de Apoio / Diretoria Clinica / Tabelas / Especializações (CAD_ESPZ)</v>
      </c>
    </row>
    <row r="437" spans="1:7" x14ac:dyDescent="0.3">
      <c r="A437" s="1" t="s">
        <v>1</v>
      </c>
      <c r="B437" s="2" t="str">
        <f t="shared" si="45"/>
        <v>SISTEMA DE DIRETORIA CLINICA</v>
      </c>
      <c r="C437" s="2" t="str">
        <f t="shared" si="42"/>
        <v>APOIO</v>
      </c>
      <c r="D437" s="2" t="str">
        <f t="shared" si="46"/>
        <v>AMDC</v>
      </c>
      <c r="E437" s="2" t="str">
        <f>"Relatório de Especialidades"</f>
        <v>Relatório de Especialidades</v>
      </c>
      <c r="F437" s="2" t="str">
        <f>"R_ESPECIALIDADE"</f>
        <v>R_ESPECIALIDADE</v>
      </c>
      <c r="G437" s="2" t="str">
        <f>"Faturamento / Faturamento Ambulatorial SUS (BPA e APAC) / Relatórios / Tabelas / Especialidades (R_ESPECIALIDADE)"</f>
        <v>Faturamento / Faturamento Ambulatorial SUS (BPA e APAC) / Relatórios / Tabelas / Especialidades (R_ESPECIALIDADE)</v>
      </c>
    </row>
    <row r="438" spans="1:7" x14ac:dyDescent="0.3">
      <c r="A438" s="1" t="s">
        <v>1</v>
      </c>
      <c r="B438" s="2" t="str">
        <f t="shared" si="45"/>
        <v>SISTEMA DE DIRETORIA CLINICA</v>
      </c>
      <c r="C438" s="2" t="str">
        <f t="shared" si="42"/>
        <v>APOIO</v>
      </c>
      <c r="D438" s="2" t="str">
        <f t="shared" si="46"/>
        <v>AMDC</v>
      </c>
      <c r="E438" s="2" t="str">
        <f>"Relatório de Especialidades"</f>
        <v>Relatório de Especialidades</v>
      </c>
      <c r="F438" s="2" t="str">
        <f>"R_ESPECIALIDADE"</f>
        <v>R_ESPECIALIDADE</v>
      </c>
      <c r="G438" s="2" t="str">
        <f>"Serviços de Apoio / Diretoria Clinica / Relatórios / Tabelas / Especialidades (R_ESPECIALIDADE)"</f>
        <v>Serviços de Apoio / Diretoria Clinica / Relatórios / Tabelas / Especialidades (R_ESPECIALIDADE)</v>
      </c>
    </row>
    <row r="439" spans="1:7" x14ac:dyDescent="0.3">
      <c r="A439" s="1" t="s">
        <v>1</v>
      </c>
      <c r="B439" s="2" t="str">
        <f t="shared" si="45"/>
        <v>SISTEMA DE DIRETORIA CLINICA</v>
      </c>
      <c r="C439" s="2" t="str">
        <f t="shared" si="42"/>
        <v>APOIO</v>
      </c>
      <c r="D439" s="2" t="str">
        <f t="shared" si="46"/>
        <v>AMDC</v>
      </c>
      <c r="E439" s="2" t="str">
        <f>"Relatório de Especialidades"</f>
        <v>Relatório de Especialidades</v>
      </c>
      <c r="F439" s="2" t="str">
        <f>"R_ESPECIALIDADE"</f>
        <v>R_ESPECIALIDADE</v>
      </c>
      <c r="G439" s="2" t="str">
        <f>"Serviços de Apoio / Serviço Arquivo Médico / Relatórios / Tabelas / Especialidades (R_ESPECIALIDADE)"</f>
        <v>Serviços de Apoio / Serviço Arquivo Médico / Relatórios / Tabelas / Especialidades (R_ESPECIALIDADE)</v>
      </c>
    </row>
    <row r="440" spans="1:7" x14ac:dyDescent="0.3">
      <c r="A440" s="1" t="s">
        <v>1</v>
      </c>
      <c r="B440" s="2" t="str">
        <f t="shared" si="45"/>
        <v>SISTEMA DE DIRETORIA CLINICA</v>
      </c>
      <c r="C440" s="2" t="str">
        <f t="shared" si="42"/>
        <v>APOIO</v>
      </c>
      <c r="D440" s="2" t="str">
        <f t="shared" si="46"/>
        <v>AMDC</v>
      </c>
      <c r="E440" s="2" t="str">
        <f>"Relatório de Especialidades"</f>
        <v>Relatório de Especialidades</v>
      </c>
      <c r="F440" s="2" t="str">
        <f>"R_ESPECIALIDADE"</f>
        <v>R_ESPECIALIDADE</v>
      </c>
      <c r="G440" s="2" t="str">
        <f>"Serviços de Apoio / Global / Relatórios / Prestadores / Especialidades (R_ESPECIALIDADE)"</f>
        <v>Serviços de Apoio / Global / Relatórios / Prestadores / Especialidades (R_ESPECIALIDADE)</v>
      </c>
    </row>
    <row r="441" spans="1:7" x14ac:dyDescent="0.3">
      <c r="A441" s="1" t="s">
        <v>1</v>
      </c>
      <c r="B441" s="2" t="str">
        <f t="shared" si="45"/>
        <v>SISTEMA DE DIRETORIA CLINICA</v>
      </c>
      <c r="C441" s="2" t="str">
        <f t="shared" si="42"/>
        <v>APOIO</v>
      </c>
      <c r="D441" s="2" t="str">
        <f t="shared" si="46"/>
        <v>AMDC</v>
      </c>
      <c r="E441" s="2" t="str">
        <f>"RELATÓRIO DE PRESTADORES POR CONVÊNIO"</f>
        <v>RELATÓRIO DE PRESTADORES POR CONVÊNIO</v>
      </c>
      <c r="F441" s="2" t="str">
        <f>"R_PRESTADOR_CONVENIO"</f>
        <v>R_PRESTADOR_CONVENIO</v>
      </c>
      <c r="G441" s="2" t="str">
        <f>"Serviços de Apoio / Serviço Arquivo Médico / Relatórios / Tabelas / Prestadores por Convênio (R_PRESTADOR_CONVENIO)"</f>
        <v>Serviços de Apoio / Serviço Arquivo Médico / Relatórios / Tabelas / Prestadores por Convênio (R_PRESTADOR_CONVENIO)</v>
      </c>
    </row>
    <row r="442" spans="1:7" x14ac:dyDescent="0.3">
      <c r="A442" s="1" t="s">
        <v>1</v>
      </c>
      <c r="B442" s="2" t="str">
        <f t="shared" si="45"/>
        <v>SISTEMA DE DIRETORIA CLINICA</v>
      </c>
      <c r="C442" s="2" t="str">
        <f t="shared" si="42"/>
        <v>APOIO</v>
      </c>
      <c r="D442" s="2" t="str">
        <f t="shared" si="46"/>
        <v>AMDC</v>
      </c>
      <c r="E442" s="2" t="str">
        <f>"RELATÓRIO DE PRESTADORES POR CONVÊNIO"</f>
        <v>RELATÓRIO DE PRESTADORES POR CONVÊNIO</v>
      </c>
      <c r="F442" s="2" t="str">
        <f>"R_PRESTADOR_CONVENIO"</f>
        <v>R_PRESTADOR_CONVENIO</v>
      </c>
      <c r="G442" s="2" t="str">
        <f>"Serviços de Apoio / Diretoria Clinica / Relatórios / Tabelas / Prestadores por convênio (R_PRESTADOR_CONVENIO)"</f>
        <v>Serviços de Apoio / Diretoria Clinica / Relatórios / Tabelas / Prestadores por convênio (R_PRESTADOR_CONVENIO)</v>
      </c>
    </row>
    <row r="443" spans="1:7" x14ac:dyDescent="0.3">
      <c r="A443" s="1" t="s">
        <v>1</v>
      </c>
      <c r="B443" s="2" t="str">
        <f t="shared" si="45"/>
        <v>SISTEMA DE DIRETORIA CLINICA</v>
      </c>
      <c r="C443" s="2" t="str">
        <f t="shared" si="42"/>
        <v>APOIO</v>
      </c>
      <c r="D443" s="2" t="str">
        <f t="shared" si="46"/>
        <v>AMDC</v>
      </c>
      <c r="E443" s="2" t="str">
        <f>"RELATÓRIO DE PRESTADORES"</f>
        <v>RELATÓRIO DE PRESTADORES</v>
      </c>
      <c r="F443" s="2" t="str">
        <f>"R_PRESTADOR_ENDERECO"</f>
        <v>R_PRESTADOR_ENDERECO</v>
      </c>
      <c r="G443" s="2" t="str">
        <f>"Serviços de Apoio / Diretoria Clinica / Relatórios / Tabelas / Prestadores por endereço (R_PRESTADOR_ENDERECO)"</f>
        <v>Serviços de Apoio / Diretoria Clinica / Relatórios / Tabelas / Prestadores por endereço (R_PRESTADOR_ENDERECO)</v>
      </c>
    </row>
    <row r="444" spans="1:7" x14ac:dyDescent="0.3">
      <c r="A444" s="1" t="s">
        <v>1</v>
      </c>
      <c r="B444" s="2" t="str">
        <f t="shared" si="45"/>
        <v>SISTEMA DE DIRETORIA CLINICA</v>
      </c>
      <c r="C444" s="2" t="str">
        <f t="shared" si="42"/>
        <v>APOIO</v>
      </c>
      <c r="D444" s="2" t="str">
        <f t="shared" si="46"/>
        <v>AMDC</v>
      </c>
      <c r="E444" s="2" t="str">
        <f>"RELATÓRIO DE PRESTADORES"</f>
        <v>RELATÓRIO DE PRESTADORES</v>
      </c>
      <c r="F444" s="2" t="str">
        <f>"R_PRESTADOR_ENDERECO"</f>
        <v>R_PRESTADOR_ENDERECO</v>
      </c>
      <c r="G444" s="2" t="str">
        <f>"Serviços de Apoio / Serviço Arquivo Médico / Relatórios / Tabelas / Prestadores por Endereço (R_PRESTADOR_ENDERECO)"</f>
        <v>Serviços de Apoio / Serviço Arquivo Médico / Relatórios / Tabelas / Prestadores por Endereço (R_PRESTADOR_ENDERECO)</v>
      </c>
    </row>
    <row r="445" spans="1:7" x14ac:dyDescent="0.3">
      <c r="A445" s="1" t="s">
        <v>1</v>
      </c>
      <c r="B445" s="2" t="str">
        <f t="shared" si="45"/>
        <v>SISTEMA DE DIRETORIA CLINICA</v>
      </c>
      <c r="C445" s="2" t="str">
        <f t="shared" si="42"/>
        <v>APOIO</v>
      </c>
      <c r="D445" s="2" t="str">
        <f t="shared" si="46"/>
        <v>AMDC</v>
      </c>
      <c r="E445" s="2" t="str">
        <f>"R_CIDA2"</f>
        <v>R_CIDA2</v>
      </c>
      <c r="F445" s="2" t="str">
        <f>"R_CIDA2"</f>
        <v>R_CIDA2</v>
      </c>
      <c r="G445" s="2" t="str">
        <f>" ()"</f>
        <v xml:space="preserve"> ()</v>
      </c>
    </row>
    <row r="446" spans="1:7" x14ac:dyDescent="0.3">
      <c r="A446" s="1" t="s">
        <v>1</v>
      </c>
      <c r="B446" s="2" t="str">
        <f t="shared" si="45"/>
        <v>SISTEMA DE DIRETORIA CLINICA</v>
      </c>
      <c r="C446" s="2" t="str">
        <f t="shared" si="42"/>
        <v>APOIO</v>
      </c>
      <c r="D446" s="2" t="str">
        <f t="shared" si="46"/>
        <v>AMDC</v>
      </c>
      <c r="E446" s="2" t="str">
        <f>"REL DE ETIQUETAS DE PRESTADOR"</f>
        <v>REL DE ETIQUETAS DE PRESTADOR</v>
      </c>
      <c r="F446" s="2" t="str">
        <f>"R_ETIQUETAS_PRESTADOR"</f>
        <v>R_ETIQUETAS_PRESTADOR</v>
      </c>
      <c r="G446" s="2" t="str">
        <f>"Serviços de Apoio / Diretoria Clinica / Relatórios / Tabelas / Etiqueta Prestador (R_ETIQUETAS_PRESTADOR)"</f>
        <v>Serviços de Apoio / Diretoria Clinica / Relatórios / Tabelas / Etiqueta Prestador (R_ETIQUETAS_PRESTADOR)</v>
      </c>
    </row>
    <row r="447" spans="1:7" x14ac:dyDescent="0.3">
      <c r="A447" s="1" t="s">
        <v>1</v>
      </c>
      <c r="B447" s="2" t="str">
        <f t="shared" si="45"/>
        <v>SISTEMA DE DIRETORIA CLINICA</v>
      </c>
      <c r="C447" s="2" t="str">
        <f t="shared" si="42"/>
        <v>APOIO</v>
      </c>
      <c r="D447" s="2" t="str">
        <f t="shared" si="46"/>
        <v>AMDC</v>
      </c>
      <c r="E447" s="2" t="str">
        <f>"MEIOS DE COMUNICAÇÃO DO PRESTADOR"</f>
        <v>MEIOS DE COMUNICAÇÃO DO PRESTADOR</v>
      </c>
      <c r="F447" s="2" t="str">
        <f>"MED_TIPCOM"</f>
        <v>MED_TIPCOM</v>
      </c>
      <c r="G447" s="2" t="str">
        <f>"MVSaude / Vendas / Internação / Consultas / Formas de Contato do Prestador (MED_TIPCOM)"</f>
        <v>MVSaude / Vendas / Internação / Consultas / Formas de Contato do Prestador (MED_TIPCOM)</v>
      </c>
    </row>
    <row r="448" spans="1:7" x14ac:dyDescent="0.3">
      <c r="A448" s="1" t="s">
        <v>1</v>
      </c>
      <c r="B448" s="2" t="str">
        <f t="shared" si="45"/>
        <v>SISTEMA DE DIRETORIA CLINICA</v>
      </c>
      <c r="C448" s="2" t="str">
        <f t="shared" si="42"/>
        <v>APOIO</v>
      </c>
      <c r="D448" s="2" t="str">
        <f t="shared" si="46"/>
        <v>AMDC</v>
      </c>
      <c r="E448" s="2" t="str">
        <f>"MEIOS DE COMUNICAÇÃO DO PRESTADOR"</f>
        <v>MEIOS DE COMUNICAÇÃO DO PRESTADOR</v>
      </c>
      <c r="F448" s="2" t="str">
        <f>"MED_TIPCOM"</f>
        <v>MED_TIPCOM</v>
      </c>
      <c r="G448" s="2" t="str">
        <f>"MVSaude / Atendimento / Autorizações de Guias / Internação / Consultas / Formas de Contato do Prestador (MED_TIPCOM)"</f>
        <v>MVSaude / Atendimento / Autorizações de Guias / Internação / Consultas / Formas de Contato do Prestador (MED_TIPCOM)</v>
      </c>
    </row>
    <row r="449" spans="1:7" x14ac:dyDescent="0.3">
      <c r="A449" s="1" t="s">
        <v>1</v>
      </c>
      <c r="B449" s="2" t="str">
        <f t="shared" si="45"/>
        <v>SISTEMA DE DIRETORIA CLINICA</v>
      </c>
      <c r="C449" s="2" t="str">
        <f t="shared" si="42"/>
        <v>APOIO</v>
      </c>
      <c r="D449" s="2" t="str">
        <f t="shared" si="46"/>
        <v>AMDC</v>
      </c>
      <c r="E449" s="2" t="str">
        <f>"MEIOS DE COMUNICAÇÃO DO PRESTADOR"</f>
        <v>MEIOS DE COMUNICAÇÃO DO PRESTADOR</v>
      </c>
      <c r="F449" s="2" t="str">
        <f>"MED_TIPCOM"</f>
        <v>MED_TIPCOM</v>
      </c>
      <c r="G449" s="2" t="str">
        <f>"Serviços de Apoio / Diretoria Clinica / Consulta / Formas de Contato do Prestador (MED_TIPCOM)"</f>
        <v>Serviços de Apoio / Diretoria Clinica / Consulta / Formas de Contato do Prestador (MED_TIPCOM)</v>
      </c>
    </row>
    <row r="450" spans="1:7" x14ac:dyDescent="0.3">
      <c r="A450" s="1" t="s">
        <v>1</v>
      </c>
      <c r="B450" s="2" t="str">
        <f t="shared" si="45"/>
        <v>SISTEMA DE DIRETORIA CLINICA</v>
      </c>
      <c r="C450" s="2" t="str">
        <f t="shared" si="42"/>
        <v>APOIO</v>
      </c>
      <c r="D450" s="2" t="str">
        <f t="shared" si="46"/>
        <v>AMDC</v>
      </c>
      <c r="E450" s="2" t="str">
        <f>"MEIOS DE COMUNICAÇÃO DO PRESTADOR"</f>
        <v>MEIOS DE COMUNICAÇÃO DO PRESTADOR</v>
      </c>
      <c r="F450" s="2" t="str">
        <f>"MED_TIPCOM"</f>
        <v>MED_TIPCOM</v>
      </c>
      <c r="G450" s="2" t="str">
        <f>"Outros / Fusam / Consultas / Formas de Contato do Prestador (MED_TIPCOM)"</f>
        <v>Outros / Fusam / Consultas / Formas de Contato do Prestador (MED_TIPCOM)</v>
      </c>
    </row>
    <row r="451" spans="1:7" x14ac:dyDescent="0.3">
      <c r="A451" s="1" t="s">
        <v>1</v>
      </c>
      <c r="B451" s="2" t="str">
        <f t="shared" si="45"/>
        <v>SISTEMA DE DIRETORIA CLINICA</v>
      </c>
      <c r="C451" s="2" t="str">
        <f t="shared" si="42"/>
        <v>APOIO</v>
      </c>
      <c r="D451" s="2" t="str">
        <f t="shared" si="46"/>
        <v>AMDC</v>
      </c>
      <c r="E451" s="2" t="str">
        <f>"RELATÓRIO DE OCORRÊNCIAS POR PRESTADOR"</f>
        <v>RELATÓRIO DE OCORRÊNCIAS POR PRESTADOR</v>
      </c>
      <c r="F451" s="2" t="str">
        <f>"R_OCORRENCIA_PRESTADOR"</f>
        <v>R_OCORRENCIA_PRESTADOR</v>
      </c>
      <c r="G451" s="2" t="str">
        <f>"Serviços de Apoio / Serviço Arquivo Médico / Relatórios / Tabelas / Ocorrências / Ocorrências por Prestador (R_OCORRENCIA_PRESTADOR)"</f>
        <v>Serviços de Apoio / Serviço Arquivo Médico / Relatórios / Tabelas / Ocorrências / Ocorrências por Prestador (R_OCORRENCIA_PRESTADOR)</v>
      </c>
    </row>
    <row r="452" spans="1:7" x14ac:dyDescent="0.3">
      <c r="A452" s="1" t="s">
        <v>1</v>
      </c>
      <c r="B452" s="2" t="str">
        <f t="shared" si="45"/>
        <v>SISTEMA DE DIRETORIA CLINICA</v>
      </c>
      <c r="C452" s="2" t="str">
        <f t="shared" si="42"/>
        <v>APOIO</v>
      </c>
      <c r="D452" s="2" t="str">
        <f t="shared" si="46"/>
        <v>AMDC</v>
      </c>
      <c r="E452" s="2" t="str">
        <f>"RELATÓRIO DE OCORRÊNCIAS POR PRESTADOR"</f>
        <v>RELATÓRIO DE OCORRÊNCIAS POR PRESTADOR</v>
      </c>
      <c r="F452" s="2" t="str">
        <f>"R_OCORRENCIA_PRESTADOR"</f>
        <v>R_OCORRENCIA_PRESTADOR</v>
      </c>
      <c r="G452" s="2" t="str">
        <f>"Serviços de Apoio / Diretoria Clinica / Relatórios / Ocorrências / Ocorrências por Prestador (R_OCORRENCIA_PRESTADOR)"</f>
        <v>Serviços de Apoio / Diretoria Clinica / Relatórios / Ocorrências / Ocorrências por Prestador (R_OCORRENCIA_PRESTADOR)</v>
      </c>
    </row>
    <row r="453" spans="1:7" x14ac:dyDescent="0.3">
      <c r="A453" s="1" t="s">
        <v>1</v>
      </c>
      <c r="B453" s="2" t="str">
        <f t="shared" si="45"/>
        <v>SISTEMA DE DIRETORIA CLINICA</v>
      </c>
      <c r="C453" s="2" t="str">
        <f t="shared" si="42"/>
        <v>APOIO</v>
      </c>
      <c r="D453" s="2" t="str">
        <f t="shared" si="46"/>
        <v>AMDC</v>
      </c>
      <c r="E453" s="2" t="str">
        <f>"PERSONALIZADOS DO AMDC"</f>
        <v>PERSONALIZADOS DO AMDC</v>
      </c>
      <c r="F453" s="2" t="str">
        <f>"R_PERSON_AMDC"</f>
        <v>R_PERSON_AMDC</v>
      </c>
      <c r="G453" s="2" t="str">
        <f>"Serviços de Apoio / Diretoria Clinica / Relatórios / Personalizados (R_PERSON_AMDC)"</f>
        <v>Serviços de Apoio / Diretoria Clinica / Relatórios / Personalizados (R_PERSON_AMDC)</v>
      </c>
    </row>
    <row r="454" spans="1:7" x14ac:dyDescent="0.3">
      <c r="A454" s="1" t="s">
        <v>1</v>
      </c>
      <c r="B454" s="2" t="str">
        <f t="shared" si="45"/>
        <v>SISTEMA DE DIRETORIA CLINICA</v>
      </c>
      <c r="C454" s="2" t="str">
        <f t="shared" si="42"/>
        <v>APOIO</v>
      </c>
      <c r="D454" s="2" t="str">
        <f t="shared" si="46"/>
        <v>AMDC</v>
      </c>
      <c r="E454" s="2" t="str">
        <f>"WIN_PRINCIPAL"</f>
        <v>WIN_PRINCIPAL</v>
      </c>
      <c r="F454" s="2" t="str">
        <f>"M_TIPO_OCO_MED"</f>
        <v>M_TIPO_OCO_MED</v>
      </c>
      <c r="G454" s="2" t="str">
        <f>"Serviços de Apoio / Diretoria Clinica / Tabelas / Tipo de Ocorrências (M_TIPO_OCO_MED)"</f>
        <v>Serviços de Apoio / Diretoria Clinica / Tabelas / Tipo de Ocorrências (M_TIPO_OCO_MED)</v>
      </c>
    </row>
    <row r="455" spans="1:7" x14ac:dyDescent="0.3">
      <c r="A455" s="1" t="s">
        <v>1</v>
      </c>
      <c r="B455" s="2" t="str">
        <f t="shared" si="45"/>
        <v>SISTEMA DE DIRETORIA CLINICA</v>
      </c>
      <c r="C455" s="2" t="str">
        <f t="shared" si="42"/>
        <v>APOIO</v>
      </c>
      <c r="D455" s="2" t="str">
        <f t="shared" si="46"/>
        <v>AMDC</v>
      </c>
      <c r="E455" s="2" t="str">
        <f>"DADOS DO REPASSE DO PRESTADOR - P321"</f>
        <v>DADOS DO REPASSE DO PRESTADOR - P321</v>
      </c>
      <c r="F455" s="2" t="str">
        <f>"M_PREST_REP_321"</f>
        <v>M_PREST_REP_321</v>
      </c>
      <c r="G455" s="2" t="str">
        <f>" ()"</f>
        <v xml:space="preserve"> ()</v>
      </c>
    </row>
    <row r="456" spans="1:7" x14ac:dyDescent="0.3">
      <c r="A456" s="1" t="s">
        <v>1</v>
      </c>
      <c r="B456" s="2" t="str">
        <f t="shared" si="45"/>
        <v>SISTEMA DE DIRETORIA CLINICA</v>
      </c>
      <c r="C456" s="2" t="str">
        <f t="shared" si="42"/>
        <v>APOIO</v>
      </c>
      <c r="D456" s="2" t="str">
        <f t="shared" si="46"/>
        <v>AMDC</v>
      </c>
      <c r="E456" s="2" t="str">
        <f>"R_ETIQUETAS_PRESTADOR_759"</f>
        <v>R_ETIQUETAS_PRESTADOR_759</v>
      </c>
      <c r="F456" s="2" t="str">
        <f>"R_ETIQUETAS_PRESTADOR_759"</f>
        <v>R_ETIQUETAS_PRESTADOR_759</v>
      </c>
      <c r="G456" s="2" t="str">
        <f>" ()"</f>
        <v xml:space="preserve"> ()</v>
      </c>
    </row>
    <row r="457" spans="1:7" x14ac:dyDescent="0.3">
      <c r="A457" s="1" t="s">
        <v>1</v>
      </c>
      <c r="B457" s="2" t="str">
        <f t="shared" si="45"/>
        <v>SISTEMA DE DIRETORIA CLINICA</v>
      </c>
      <c r="C457" s="2" t="str">
        <f t="shared" si="42"/>
        <v>APOIO</v>
      </c>
      <c r="D457" s="2" t="str">
        <f t="shared" si="46"/>
        <v>AMDC</v>
      </c>
      <c r="E457" s="2" t="str">
        <f>"RELATÓRIOS DE PRESTADORES POR ATUAÇÃO"</f>
        <v>RELATÓRIOS DE PRESTADORES POR ATUAÇÃO</v>
      </c>
      <c r="F457" s="2" t="str">
        <f>"R_PRESTADOR_ATUACAO"</f>
        <v>R_PRESTADOR_ATUACAO</v>
      </c>
      <c r="G457" s="2" t="str">
        <f>"Serviços de Apoio / Diretoria Clinica / Relatórios / Operacionais / Prestadores por atuação (R_PRESTADOR_ATUACAO)"</f>
        <v>Serviços de Apoio / Diretoria Clinica / Relatórios / Operacionais / Prestadores por atuação (R_PRESTADOR_ATUACAO)</v>
      </c>
    </row>
    <row r="458" spans="1:7" x14ac:dyDescent="0.3">
      <c r="A458" s="1" t="s">
        <v>1</v>
      </c>
      <c r="B458" s="2" t="str">
        <f t="shared" si="45"/>
        <v>SISTEMA DE DIRETORIA CLINICA</v>
      </c>
      <c r="C458" s="2" t="str">
        <f t="shared" si="42"/>
        <v>APOIO</v>
      </c>
      <c r="D458" s="2" t="str">
        <f t="shared" si="46"/>
        <v>AMDC</v>
      </c>
      <c r="E458" s="2" t="str">
        <f>"RELATÓRIO DE PRESTADOR ANIVERSARIANTE"</f>
        <v>RELATÓRIO DE PRESTADOR ANIVERSARIANTE</v>
      </c>
      <c r="F458" s="2" t="str">
        <f>"R_PRESTADOR_ANIVER"</f>
        <v>R_PRESTADOR_ANIVER</v>
      </c>
      <c r="G458" s="2" t="str">
        <f>"Serviços de Apoio / Diretoria Clinica / Relatórios / Tabelas / Prestador Aniversariante (R_PRESTADOR_ANIVER)"</f>
        <v>Serviços de Apoio / Diretoria Clinica / Relatórios / Tabelas / Prestador Aniversariante (R_PRESTADOR_ANIVER)</v>
      </c>
    </row>
    <row r="459" spans="1:7" x14ac:dyDescent="0.3">
      <c r="A459" s="1" t="s">
        <v>1</v>
      </c>
      <c r="B459" s="2" t="str">
        <f t="shared" si="45"/>
        <v>SISTEMA DE DIRETORIA CLINICA</v>
      </c>
      <c r="C459" s="2" t="str">
        <f t="shared" si="42"/>
        <v>APOIO</v>
      </c>
      <c r="D459" s="2" t="str">
        <f t="shared" si="46"/>
        <v>AMDC</v>
      </c>
      <c r="E459" s="2" t="str">
        <f>"RELATÓRIO DE PRESTADOR ANIVERSARIANTE"</f>
        <v>RELATÓRIO DE PRESTADOR ANIVERSARIANTE</v>
      </c>
      <c r="F459" s="2" t="str">
        <f>"R_PRESTADOR_ANIVER"</f>
        <v>R_PRESTADOR_ANIVER</v>
      </c>
      <c r="G459" s="2" t="str">
        <f>"Serviços de Apoio / Serviço Arquivo Médico / Relatórios / Tabelas / Prestador Aniversariante (R_PRESTADOR_ANIVER)"</f>
        <v>Serviços de Apoio / Serviço Arquivo Médico / Relatórios / Tabelas / Prestador Aniversariante (R_PRESTADOR_ANIVER)</v>
      </c>
    </row>
    <row r="460" spans="1:7" x14ac:dyDescent="0.3">
      <c r="A460" s="1" t="s">
        <v>1</v>
      </c>
      <c r="B460" s="2" t="str">
        <f t="shared" si="45"/>
        <v>SISTEMA DE DIRETORIA CLINICA</v>
      </c>
      <c r="C460" s="2" t="str">
        <f t="shared" si="42"/>
        <v>APOIO</v>
      </c>
      <c r="D460" s="2" t="str">
        <f t="shared" si="46"/>
        <v>AMDC</v>
      </c>
      <c r="E460" s="2" t="str">
        <f>"CADASTRO: PRESTADORES"</f>
        <v>CADASTRO: PRESTADORES</v>
      </c>
      <c r="F460" s="2" t="str">
        <f>"C_PRESTADOR"</f>
        <v>C_PRESTADOR</v>
      </c>
      <c r="G460" s="2" t="str">
        <f>"MVSaude / Vendas / Internação / Consultas / Prestador (C_PRESTADOR)"</f>
        <v>MVSaude / Vendas / Internação / Consultas / Prestador (C_PRESTADOR)</v>
      </c>
    </row>
    <row r="461" spans="1:7" x14ac:dyDescent="0.3">
      <c r="A461" s="1" t="s">
        <v>1</v>
      </c>
      <c r="B461" s="2" t="str">
        <f t="shared" si="45"/>
        <v>SISTEMA DE DIRETORIA CLINICA</v>
      </c>
      <c r="C461" s="2" t="str">
        <f t="shared" ref="C461:C524" si="47">"APOIO"</f>
        <v>APOIO</v>
      </c>
      <c r="D461" s="2" t="str">
        <f t="shared" si="46"/>
        <v>AMDC</v>
      </c>
      <c r="E461" s="2" t="str">
        <f>"CADASTRO: PRESTADORES"</f>
        <v>CADASTRO: PRESTADORES</v>
      </c>
      <c r="F461" s="2" t="str">
        <f>"C_PRESTADOR"</f>
        <v>C_PRESTADOR</v>
      </c>
      <c r="G461" s="2" t="str">
        <f>"MVSaude / Atendimento / Autorizações de Guias / Internação / Consultas / Prestador (C_PRESTADOR)"</f>
        <v>MVSaude / Atendimento / Autorizações de Guias / Internação / Consultas / Prestador (C_PRESTADOR)</v>
      </c>
    </row>
    <row r="462" spans="1:7" x14ac:dyDescent="0.3">
      <c r="A462" s="1" t="s">
        <v>1</v>
      </c>
      <c r="B462" s="2" t="str">
        <f t="shared" si="45"/>
        <v>SISTEMA DE DIRETORIA CLINICA</v>
      </c>
      <c r="C462" s="2" t="str">
        <f t="shared" si="47"/>
        <v>APOIO</v>
      </c>
      <c r="D462" s="2" t="str">
        <f t="shared" si="46"/>
        <v>AMDC</v>
      </c>
      <c r="E462" s="2" t="str">
        <f>"CADASTRO: PRESTADORES"</f>
        <v>CADASTRO: PRESTADORES</v>
      </c>
      <c r="F462" s="2" t="str">
        <f>"C_PRESTADOR"</f>
        <v>C_PRESTADOR</v>
      </c>
      <c r="G462" s="2" t="str">
        <f>"Serviços de Apoio / Diretoria Clinica / Consulta / Prestadores (C_PRESTADOR)"</f>
        <v>Serviços de Apoio / Diretoria Clinica / Consulta / Prestadores (C_PRESTADOR)</v>
      </c>
    </row>
    <row r="463" spans="1:7" x14ac:dyDescent="0.3">
      <c r="A463" s="1" t="s">
        <v>1</v>
      </c>
      <c r="B463" s="2" t="str">
        <f t="shared" si="45"/>
        <v>SISTEMA DE DIRETORIA CLINICA</v>
      </c>
      <c r="C463" s="2" t="str">
        <f t="shared" si="47"/>
        <v>APOIO</v>
      </c>
      <c r="D463" s="2" t="str">
        <f t="shared" si="46"/>
        <v>AMDC</v>
      </c>
      <c r="E463" s="2" t="str">
        <f>"CADASTRO: PRESTADORES"</f>
        <v>CADASTRO: PRESTADORES</v>
      </c>
      <c r="F463" s="2" t="str">
        <f>"C_PRESTADOR"</f>
        <v>C_PRESTADOR</v>
      </c>
      <c r="G463" s="2" t="str">
        <f>"Atendimento / Internação Domiciliar (Home Care) / Consultas / Prestador (C_PRESTADOR)"</f>
        <v>Atendimento / Internação Domiciliar (Home Care) / Consultas / Prestador (C_PRESTADOR)</v>
      </c>
    </row>
    <row r="464" spans="1:7" x14ac:dyDescent="0.3">
      <c r="A464" s="1" t="s">
        <v>1</v>
      </c>
      <c r="B464" s="2" t="str">
        <f t="shared" si="45"/>
        <v>SISTEMA DE DIRETORIA CLINICA</v>
      </c>
      <c r="C464" s="2" t="str">
        <f t="shared" si="47"/>
        <v>APOIO</v>
      </c>
      <c r="D464" s="2" t="str">
        <f t="shared" si="46"/>
        <v>AMDC</v>
      </c>
      <c r="E464" s="2" t="str">
        <f>"CADASTRO: PRESTADORES"</f>
        <v>CADASTRO: PRESTADORES</v>
      </c>
      <c r="F464" s="2" t="str">
        <f>"C_PRESTADOR"</f>
        <v>C_PRESTADOR</v>
      </c>
      <c r="G464" s="2" t="str">
        <f>"MVSaude / Consultas / Prestadores (C_PRESTADOR)"</f>
        <v>MVSaude / Consultas / Prestadores (C_PRESTADOR)</v>
      </c>
    </row>
    <row r="465" spans="1:7" x14ac:dyDescent="0.3">
      <c r="A465" s="1" t="s">
        <v>1</v>
      </c>
      <c r="B465" s="2" t="str">
        <f t="shared" si="45"/>
        <v>SISTEMA DE DIRETORIA CLINICA</v>
      </c>
      <c r="C465" s="2" t="str">
        <f t="shared" si="47"/>
        <v>APOIO</v>
      </c>
      <c r="D465" s="2" t="str">
        <f t="shared" si="46"/>
        <v>AMDC</v>
      </c>
      <c r="E465" s="2" t="str">
        <f>"M_CONFIG_AMDC"</f>
        <v>M_CONFIG_AMDC</v>
      </c>
      <c r="F465" s="2" t="str">
        <f>"M_CONFIG_AMDC"</f>
        <v>M_CONFIG_AMDC</v>
      </c>
      <c r="G465" s="2" t="str">
        <f>"Parâmetros (M_CONFIG_AMDC)"</f>
        <v>Parâmetros (M_CONFIG_AMDC)</v>
      </c>
    </row>
    <row r="466" spans="1:7" x14ac:dyDescent="0.3">
      <c r="A466" s="1" t="s">
        <v>1</v>
      </c>
      <c r="B466" s="2" t="str">
        <f t="shared" si="45"/>
        <v>SISTEMA DE DIRETORIA CLINICA</v>
      </c>
      <c r="C466" s="2" t="str">
        <f t="shared" si="47"/>
        <v>APOIO</v>
      </c>
      <c r="D466" s="2" t="str">
        <f t="shared" si="46"/>
        <v>AMDC</v>
      </c>
      <c r="E466" s="2" t="str">
        <f>"R_PRESTADOR_CONVENIO.RDF"</f>
        <v>R_PRESTADOR_CONVENIO.RDF</v>
      </c>
      <c r="F466" s="2" t="str">
        <f>"R_PRESTADOR_CONVENIO.RDF"</f>
        <v>R_PRESTADOR_CONVENIO.RDF</v>
      </c>
      <c r="G466" s="2" t="str">
        <f>" ()"</f>
        <v xml:space="preserve"> ()</v>
      </c>
    </row>
    <row r="467" spans="1:7" x14ac:dyDescent="0.3">
      <c r="A467" s="1" t="s">
        <v>1</v>
      </c>
      <c r="B467" s="2" t="str">
        <f t="shared" si="45"/>
        <v>SISTEMA DE DIRETORIA CLINICA</v>
      </c>
      <c r="C467" s="2" t="str">
        <f t="shared" si="47"/>
        <v>APOIO</v>
      </c>
      <c r="D467" s="2" t="str">
        <f t="shared" si="46"/>
        <v>AMDC</v>
      </c>
      <c r="E467" s="2" t="str">
        <f>"CONFIGURAÇÕES DA ESPECIALIDADE"</f>
        <v>CONFIGURAÇÕES DA ESPECIALIDADE</v>
      </c>
      <c r="F467" s="2" t="str">
        <f>"M_ESPECI_CFG"</f>
        <v>M_ESPECI_CFG</v>
      </c>
      <c r="G467" s="2" t="str">
        <f>"Serviços de Apoio / Diretoria Clinica / Configurações / Especialidades (M_ESPECI_CFG)"</f>
        <v>Serviços de Apoio / Diretoria Clinica / Configurações / Especialidades (M_ESPECI_CFG)</v>
      </c>
    </row>
    <row r="468" spans="1:7" x14ac:dyDescent="0.3">
      <c r="A468" s="1" t="s">
        <v>1</v>
      </c>
      <c r="B468" s="2" t="str">
        <f t="shared" si="45"/>
        <v>SISTEMA DE DIRETORIA CLINICA</v>
      </c>
      <c r="C468" s="2" t="str">
        <f t="shared" si="47"/>
        <v>APOIO</v>
      </c>
      <c r="D468" s="2" t="str">
        <f t="shared" si="46"/>
        <v>AMDC</v>
      </c>
      <c r="E468" s="2" t="str">
        <f>"M_AMDC"</f>
        <v>M_AMDC</v>
      </c>
      <c r="F468" s="2" t="str">
        <f>"M_AMDC"</f>
        <v>M_AMDC</v>
      </c>
      <c r="G468" s="2" t="str">
        <f>" ()"</f>
        <v xml:space="preserve"> ()</v>
      </c>
    </row>
    <row r="469" spans="1:7" x14ac:dyDescent="0.3">
      <c r="A469" s="1" t="s">
        <v>1</v>
      </c>
      <c r="B469" s="2" t="str">
        <f t="shared" si="45"/>
        <v>SISTEMA DE DIRETORIA CLINICA</v>
      </c>
      <c r="C469" s="2" t="str">
        <f t="shared" si="47"/>
        <v>APOIO</v>
      </c>
      <c r="D469" s="2" t="str">
        <f t="shared" si="46"/>
        <v>AMDC</v>
      </c>
      <c r="E469" s="2" t="str">
        <f>"ETIQUETA DE MALA DIRETA DE PRESTADORES"</f>
        <v>ETIQUETA DE MALA DIRETA DE PRESTADORES</v>
      </c>
      <c r="F469" s="2" t="str">
        <f>"R_ETIQUETA_PRESTADOR_445"</f>
        <v>R_ETIQUETA_PRESTADOR_445</v>
      </c>
      <c r="G469" s="2" t="str">
        <f>" ()"</f>
        <v xml:space="preserve"> ()</v>
      </c>
    </row>
    <row r="470" spans="1:7" x14ac:dyDescent="0.3">
      <c r="A470" s="1" t="s">
        <v>1</v>
      </c>
      <c r="B470" s="2" t="str">
        <f t="shared" si="45"/>
        <v>SISTEMA DE DIRETORIA CLINICA</v>
      </c>
      <c r="C470" s="2" t="str">
        <f t="shared" si="47"/>
        <v>APOIO</v>
      </c>
      <c r="D470" s="2" t="str">
        <f t="shared" si="46"/>
        <v>AMDC</v>
      </c>
      <c r="E470" s="2" t="str">
        <f>"M_MOV_PENDENCIA_PREST"</f>
        <v>M_MOV_PENDENCIA_PREST</v>
      </c>
      <c r="F470" s="2" t="str">
        <f>"M_MOV_PENDENCIA_PREST"</f>
        <v>M_MOV_PENDENCIA_PREST</v>
      </c>
      <c r="G470" s="2" t="str">
        <f>" ()"</f>
        <v xml:space="preserve"> ()</v>
      </c>
    </row>
    <row r="471" spans="1:7" x14ac:dyDescent="0.3">
      <c r="A471" s="1" t="s">
        <v>1</v>
      </c>
      <c r="B471" s="2" t="str">
        <f t="shared" si="45"/>
        <v>SISTEMA DE DIRETORIA CLINICA</v>
      </c>
      <c r="C471" s="2" t="str">
        <f t="shared" si="47"/>
        <v>APOIO</v>
      </c>
      <c r="D471" s="2" t="str">
        <f t="shared" si="46"/>
        <v>AMDC</v>
      </c>
      <c r="E471" s="2" t="str">
        <f>"M_TIPO_PENDENCIA_PREST"</f>
        <v>M_TIPO_PENDENCIA_PREST</v>
      </c>
      <c r="F471" s="2" t="str">
        <f>"M_TIPO_PENDENCIA_PREST"</f>
        <v>M_TIPO_PENDENCIA_PREST</v>
      </c>
      <c r="G471" s="2" t="str">
        <f>" ()"</f>
        <v xml:space="preserve"> ()</v>
      </c>
    </row>
    <row r="472" spans="1:7" x14ac:dyDescent="0.3">
      <c r="A472" s="1" t="s">
        <v>1</v>
      </c>
      <c r="B472" s="2" t="str">
        <f t="shared" si="45"/>
        <v>SISTEMA DE DIRETORIA CLINICA</v>
      </c>
      <c r="C472" s="2" t="str">
        <f t="shared" si="47"/>
        <v>APOIO</v>
      </c>
      <c r="D472" s="2" t="str">
        <f t="shared" si="46"/>
        <v>AMDC</v>
      </c>
      <c r="E472" s="2" t="str">
        <f>"RELATÓRIO TIPOS DE PRESTADORES"</f>
        <v>RELATÓRIO TIPOS DE PRESTADORES</v>
      </c>
      <c r="F472" s="2" t="str">
        <f>"R_TIPO_PRESTADOR"</f>
        <v>R_TIPO_PRESTADOR</v>
      </c>
      <c r="G472" s="2" t="str">
        <f>"Serviços de Apoio / Diretoria Clinica / Relatórios / Tabelas / Tipo de Prestadores (R_TIPO_PRESTADOR)"</f>
        <v>Serviços de Apoio / Diretoria Clinica / Relatórios / Tabelas / Tipo de Prestadores (R_TIPO_PRESTADOR)</v>
      </c>
    </row>
    <row r="473" spans="1:7" x14ac:dyDescent="0.3">
      <c r="A473" s="1" t="s">
        <v>1</v>
      </c>
      <c r="B473" s="2" t="str">
        <f t="shared" si="45"/>
        <v>SISTEMA DE DIRETORIA CLINICA</v>
      </c>
      <c r="C473" s="2" t="str">
        <f t="shared" si="47"/>
        <v>APOIO</v>
      </c>
      <c r="D473" s="2" t="str">
        <f t="shared" si="46"/>
        <v>AMDC</v>
      </c>
      <c r="E473" s="2" t="str">
        <f>"RELATÓRIO TIPOS DE PRESTADORES"</f>
        <v>RELATÓRIO TIPOS DE PRESTADORES</v>
      </c>
      <c r="F473" s="2" t="str">
        <f>"R_TIPO_PRESTADOR"</f>
        <v>R_TIPO_PRESTADOR</v>
      </c>
      <c r="G473" s="2" t="str">
        <f>"Serviços de Apoio / Serviço Arquivo Médico / Relatórios / Tabelas / Tipos de Prestadores (R_TIPO_PRESTADOR)"</f>
        <v>Serviços de Apoio / Serviço Arquivo Médico / Relatórios / Tabelas / Tipos de Prestadores (R_TIPO_PRESTADOR)</v>
      </c>
    </row>
    <row r="474" spans="1:7" x14ac:dyDescent="0.3">
      <c r="A474" s="1" t="s">
        <v>1</v>
      </c>
      <c r="B474" s="2" t="str">
        <f t="shared" si="45"/>
        <v>SISTEMA DE DIRETORIA CLINICA</v>
      </c>
      <c r="C474" s="2" t="str">
        <f t="shared" si="47"/>
        <v>APOIO</v>
      </c>
      <c r="D474" s="2" t="str">
        <f t="shared" si="46"/>
        <v>AMDC</v>
      </c>
      <c r="E474" s="2" t="str">
        <f>"RELATÓRIO TIPOS DE PRESTADORES"</f>
        <v>RELATÓRIO TIPOS DE PRESTADORES</v>
      </c>
      <c r="F474" s="2" t="str">
        <f>"R_TIPO_PRESTADOR"</f>
        <v>R_TIPO_PRESTADOR</v>
      </c>
      <c r="G474" s="2" t="str">
        <f>"Serviços de Apoio / Global / Relatórios / Prestadores / Tipo de Prestadores (R_TIPO_PRESTADOR)"</f>
        <v>Serviços de Apoio / Global / Relatórios / Prestadores / Tipo de Prestadores (R_TIPO_PRESTADOR)</v>
      </c>
    </row>
    <row r="475" spans="1:7" x14ac:dyDescent="0.3">
      <c r="A475" s="1" t="s">
        <v>1</v>
      </c>
      <c r="B475" s="2" t="str">
        <f t="shared" si="45"/>
        <v>SISTEMA DE DIRETORIA CLINICA</v>
      </c>
      <c r="C475" s="2" t="str">
        <f t="shared" si="47"/>
        <v>APOIO</v>
      </c>
      <c r="D475" s="2" t="str">
        <f t="shared" si="46"/>
        <v>AMDC</v>
      </c>
      <c r="E475" s="2" t="str">
        <f>"RELACIÓN DE MOTIVO DE ALTAS"</f>
        <v>RELACIÓN DE MOTIVO DE ALTAS</v>
      </c>
      <c r="F475" s="2" t="str">
        <f>"M_RELA_MOT_ALT"</f>
        <v>M_RELA_MOT_ALT</v>
      </c>
      <c r="G475" s="2" t="str">
        <f>"Serviços de Apoio / Diretoria Clinica / Tabelas / SAS / Relacionamentos / Motivos de Altas (M_RELA_MOT_ALT)"</f>
        <v>Serviços de Apoio / Diretoria Clinica / Tabelas / SAS / Relacionamentos / Motivos de Altas (M_RELA_MOT_ALT)</v>
      </c>
    </row>
    <row r="476" spans="1:7" x14ac:dyDescent="0.3">
      <c r="A476" s="1" t="s">
        <v>1</v>
      </c>
      <c r="B476" s="2" t="str">
        <f t="shared" si="45"/>
        <v>SISTEMA DE DIRETORIA CLINICA</v>
      </c>
      <c r="C476" s="2" t="str">
        <f t="shared" si="47"/>
        <v>APOIO</v>
      </c>
      <c r="D476" s="2" t="str">
        <f t="shared" si="46"/>
        <v>AMDC</v>
      </c>
      <c r="E476" s="2" t="str">
        <f>"WIN_PRINCIPAL"</f>
        <v>WIN_PRINCIPAL</v>
      </c>
      <c r="F476" s="2" t="str">
        <f>"R_IMPRIMI_ETIQ_AMDC"</f>
        <v>R_IMPRIMI_ETIQ_AMDC</v>
      </c>
      <c r="G476" s="2" t="str">
        <f>"Serviços de Apoio / Diretoria Clinica / Relatórios / Etiqueta de Código de Barra (R_IMPRIMI_ETIQ_AMDC)"</f>
        <v>Serviços de Apoio / Diretoria Clinica / Relatórios / Etiqueta de Código de Barra (R_IMPRIMI_ETIQ_AMDC)</v>
      </c>
    </row>
    <row r="477" spans="1:7" x14ac:dyDescent="0.3">
      <c r="A477" s="1" t="s">
        <v>1</v>
      </c>
      <c r="B477" s="2" t="str">
        <f t="shared" si="45"/>
        <v>SISTEMA DE DIRETORIA CLINICA</v>
      </c>
      <c r="C477" s="2" t="str">
        <f t="shared" si="47"/>
        <v>APOIO</v>
      </c>
      <c r="D477" s="2" t="str">
        <f t="shared" si="46"/>
        <v>AMDC</v>
      </c>
      <c r="E477" s="2" t="str">
        <f>"ÁREAS DE ATUAÇÃO"</f>
        <v>ÁREAS DE ATUAÇÃO</v>
      </c>
      <c r="F477" s="2" t="str">
        <f>"M_AREA_ATUACAO"</f>
        <v>M_AREA_ATUACAO</v>
      </c>
      <c r="G477" s="2" t="str">
        <f>"Serviços de Apoio / Diretoria Clinica / Tabelas / Áreas de Atuação (M_AREA_ATUACAO)"</f>
        <v>Serviços de Apoio / Diretoria Clinica / Tabelas / Áreas de Atuação (M_AREA_ATUACAO)</v>
      </c>
    </row>
    <row r="478" spans="1:7" x14ac:dyDescent="0.3">
      <c r="A478" s="1" t="s">
        <v>1</v>
      </c>
      <c r="B478" s="2" t="str">
        <f t="shared" si="45"/>
        <v>SISTEMA DE DIRETORIA CLINICA</v>
      </c>
      <c r="C478" s="2" t="str">
        <f t="shared" si="47"/>
        <v>APOIO</v>
      </c>
      <c r="D478" s="2" t="str">
        <f t="shared" si="46"/>
        <v>AMDC</v>
      </c>
      <c r="E478" s="2" t="str">
        <f>"WIN_PRINCIPAL"</f>
        <v>WIN_PRINCIPAL</v>
      </c>
      <c r="F478" s="2" t="str">
        <f>"M_HORARIO_CONTRATADO"</f>
        <v>M_HORARIO_CONTRATADO</v>
      </c>
      <c r="G478" s="2" t="str">
        <f>"Serviços de Apoio / Diretoria Clinica / Tabelas / Horários Contratados (M_HORARIO_CONTRATADO)"</f>
        <v>Serviços de Apoio / Diretoria Clinica / Tabelas / Horários Contratados (M_HORARIO_CONTRATADO)</v>
      </c>
    </row>
    <row r="479" spans="1:7" x14ac:dyDescent="0.3">
      <c r="A479" s="1" t="s">
        <v>1</v>
      </c>
      <c r="B479" s="2" t="str">
        <f t="shared" si="45"/>
        <v>SISTEMA DE DIRETORIA CLINICA</v>
      </c>
      <c r="C479" s="2" t="str">
        <f t="shared" si="47"/>
        <v>APOIO</v>
      </c>
      <c r="D479" s="2" t="str">
        <f t="shared" si="46"/>
        <v>AMDC</v>
      </c>
      <c r="E479" s="2" t="str">
        <f>"R_ETIQUETAS_PRESTADOR_297"</f>
        <v>R_ETIQUETAS_PRESTADOR_297</v>
      </c>
      <c r="F479" s="2" t="str">
        <f>"R_ETIQUETAS_PRESTADOR_297"</f>
        <v>R_ETIQUETAS_PRESTADOR_297</v>
      </c>
      <c r="G479" s="2" t="str">
        <f>" ()"</f>
        <v xml:space="preserve"> ()</v>
      </c>
    </row>
    <row r="480" spans="1:7" x14ac:dyDescent="0.3">
      <c r="A480" s="1" t="s">
        <v>1</v>
      </c>
      <c r="B480" s="2" t="str">
        <f t="shared" si="45"/>
        <v>SISTEMA DE DIRETORIA CLINICA</v>
      </c>
      <c r="C480" s="2" t="str">
        <f t="shared" si="47"/>
        <v>APOIO</v>
      </c>
      <c r="D480" s="2" t="str">
        <f t="shared" si="46"/>
        <v>AMDC</v>
      </c>
      <c r="E480" s="2" t="str">
        <f>"R_PRESTADOR_ESPECIALID"</f>
        <v>R_PRESTADOR_ESPECIALID</v>
      </c>
      <c r="F480" s="2" t="str">
        <f>"R_PRESTADOR_ESPECIALID"</f>
        <v>R_PRESTADOR_ESPECIALID</v>
      </c>
      <c r="G480" s="2" t="str">
        <f>" ()"</f>
        <v xml:space="preserve"> ()</v>
      </c>
    </row>
    <row r="481" spans="1:7" x14ac:dyDescent="0.3">
      <c r="A481" s="1" t="s">
        <v>1</v>
      </c>
      <c r="B481" s="2" t="str">
        <f t="shared" si="45"/>
        <v>SISTEMA DE DIRETORIA CLINICA</v>
      </c>
      <c r="C481" s="2" t="str">
        <f t="shared" si="47"/>
        <v>APOIO</v>
      </c>
      <c r="D481" s="2" t="str">
        <f t="shared" si="46"/>
        <v>AMDC</v>
      </c>
      <c r="E481" s="2" t="str">
        <f>"AMDC"</f>
        <v>AMDC</v>
      </c>
      <c r="F481" s="2" t="str">
        <f>"AMDC"</f>
        <v>AMDC</v>
      </c>
      <c r="G481" s="2" t="str">
        <f>" ()"</f>
        <v xml:space="preserve"> ()</v>
      </c>
    </row>
    <row r="482" spans="1:7" x14ac:dyDescent="0.3">
      <c r="A482" s="1" t="s">
        <v>1</v>
      </c>
      <c r="B482" s="2" t="str">
        <f t="shared" si="45"/>
        <v>SISTEMA DE DIRETORIA CLINICA</v>
      </c>
      <c r="C482" s="2" t="str">
        <f t="shared" si="47"/>
        <v>APOIO</v>
      </c>
      <c r="D482" s="2" t="str">
        <f t="shared" si="46"/>
        <v>AMDC</v>
      </c>
      <c r="E482" s="2" t="str">
        <f>"TABELAS - PRESTADORES"</f>
        <v>TABELAS - PRESTADORES</v>
      </c>
      <c r="F482" s="2" t="str">
        <f>"CAD_PRE"</f>
        <v>CAD_PRE</v>
      </c>
      <c r="G482" s="2" t="str">
        <f>"Serviços de Apoio / Diretoria Clinica / Tabelas / Prestadores (CAD_PRE)"</f>
        <v>Serviços de Apoio / Diretoria Clinica / Tabelas / Prestadores (CAD_PRE)</v>
      </c>
    </row>
    <row r="483" spans="1:7" x14ac:dyDescent="0.3">
      <c r="A483" s="1" t="s">
        <v>1</v>
      </c>
      <c r="B483" s="2" t="str">
        <f t="shared" si="45"/>
        <v>SISTEMA DE DIRETORIA CLINICA</v>
      </c>
      <c r="C483" s="2" t="str">
        <f t="shared" si="47"/>
        <v>APOIO</v>
      </c>
      <c r="D483" s="2" t="str">
        <f t="shared" si="46"/>
        <v>AMDC</v>
      </c>
      <c r="E483" s="2" t="str">
        <f>"TABELAS - PRESTADORES"</f>
        <v>TABELAS - PRESTADORES</v>
      </c>
      <c r="F483" s="2" t="str">
        <f>"CAD_PRE"</f>
        <v>CAD_PRE</v>
      </c>
      <c r="G483" s="2" t="str">
        <f>"Atendimento / Internação Domiciliar (Home Care) / Tabelas / Prestador / Cadastro de Prestadores (CAD_PRE)"</f>
        <v>Atendimento / Internação Domiciliar (Home Care) / Tabelas / Prestador / Cadastro de Prestadores (CAD_PRE)</v>
      </c>
    </row>
    <row r="484" spans="1:7" x14ac:dyDescent="0.3">
      <c r="A484" s="1" t="s">
        <v>1</v>
      </c>
      <c r="B484" s="2" t="str">
        <f t="shared" si="45"/>
        <v>SISTEMA DE DIRETORIA CLINICA</v>
      </c>
      <c r="C484" s="2" t="str">
        <f t="shared" si="47"/>
        <v>APOIO</v>
      </c>
      <c r="D484" s="2" t="str">
        <f t="shared" si="46"/>
        <v>AMDC</v>
      </c>
      <c r="E484" s="2" t="str">
        <f>"RELATORIO DE PRESTADOR X ESPECIALIZAÇÕES"</f>
        <v>RELATORIO DE PRESTADOR X ESPECIALIZAÇÕES</v>
      </c>
      <c r="F484" s="2" t="str">
        <f>"R_OCOPREESPEZ"</f>
        <v>R_OCOPREESPEZ</v>
      </c>
      <c r="G484" s="2" t="str">
        <f>"Serviços de Apoio / Diretoria Clinica / Relatórios / Ocorrências / Prestador/Especializações (R_OCOPREESPEZ)"</f>
        <v>Serviços de Apoio / Diretoria Clinica / Relatórios / Ocorrências / Prestador/Especializações (R_OCOPREESPEZ)</v>
      </c>
    </row>
    <row r="485" spans="1:7" x14ac:dyDescent="0.3">
      <c r="A485" s="1" t="s">
        <v>1</v>
      </c>
      <c r="B485" s="2" t="str">
        <f t="shared" si="45"/>
        <v>SISTEMA DE DIRETORIA CLINICA</v>
      </c>
      <c r="C485" s="2" t="str">
        <f t="shared" si="47"/>
        <v>APOIO</v>
      </c>
      <c r="D485" s="2" t="str">
        <f t="shared" si="46"/>
        <v>AMDC</v>
      </c>
      <c r="E485" s="2" t="str">
        <f>"RELATORIO DE PRESTADOR X ESPECIALIZAÇÕES"</f>
        <v>RELATORIO DE PRESTADOR X ESPECIALIZAÇÕES</v>
      </c>
      <c r="F485" s="2" t="str">
        <f>"R_OCOPREESPEZ"</f>
        <v>R_OCOPREESPEZ</v>
      </c>
      <c r="G485" s="2" t="str">
        <f>"Serviços de Apoio / Serviço Arquivo Médico / Relatórios / Tabelas / Ocorrências / Prestador/Especializações (R_OCOPREESPEZ)"</f>
        <v>Serviços de Apoio / Serviço Arquivo Médico / Relatórios / Tabelas / Ocorrências / Prestador/Especializações (R_OCOPREESPEZ)</v>
      </c>
    </row>
    <row r="486" spans="1:7" x14ac:dyDescent="0.3">
      <c r="A486" s="1" t="s">
        <v>1</v>
      </c>
      <c r="B486" s="2" t="str">
        <f t="shared" si="45"/>
        <v>SISTEMA DE DIRETORIA CLINICA</v>
      </c>
      <c r="C486" s="2" t="str">
        <f t="shared" si="47"/>
        <v>APOIO</v>
      </c>
      <c r="D486" s="2" t="str">
        <f t="shared" si="46"/>
        <v>AMDC</v>
      </c>
      <c r="E486" s="2" t="str">
        <f>"RELATORIO DE ESPECIALIZAÇÕES X PRESTADOR"</f>
        <v>RELATORIO DE ESPECIALIZAÇÕES X PRESTADOR</v>
      </c>
      <c r="F486" s="2" t="str">
        <f>"R_OCOESPZPRE"</f>
        <v>R_OCOESPZPRE</v>
      </c>
      <c r="G486" s="2" t="str">
        <f>"Serviços de Apoio / Diretoria Clinica / Relatórios / Ocorrências / Especializações/Prestador (R_OCOESPZPRE)"</f>
        <v>Serviços de Apoio / Diretoria Clinica / Relatórios / Ocorrências / Especializações/Prestador (R_OCOESPZPRE)</v>
      </c>
    </row>
    <row r="487" spans="1:7" x14ac:dyDescent="0.3">
      <c r="A487" s="1" t="s">
        <v>1</v>
      </c>
      <c r="B487" s="2" t="str">
        <f t="shared" si="45"/>
        <v>SISTEMA DE DIRETORIA CLINICA</v>
      </c>
      <c r="C487" s="2" t="str">
        <f t="shared" si="47"/>
        <v>APOIO</v>
      </c>
      <c r="D487" s="2" t="str">
        <f t="shared" si="46"/>
        <v>AMDC</v>
      </c>
      <c r="E487" s="2" t="str">
        <f>"RELATORIO DE ESPECIALIZAÇÕES X PRESTADOR"</f>
        <v>RELATORIO DE ESPECIALIZAÇÕES X PRESTADOR</v>
      </c>
      <c r="F487" s="2" t="str">
        <f>"R_OCOESPZPRE"</f>
        <v>R_OCOESPZPRE</v>
      </c>
      <c r="G487" s="2" t="str">
        <f>"Serviços de Apoio / Serviço Arquivo Médico / Relatórios / Tabelas / Ocorrências / Especializações/Prestador (R_OCOESPZPRE)"</f>
        <v>Serviços de Apoio / Serviço Arquivo Médico / Relatórios / Tabelas / Ocorrências / Especializações/Prestador (R_OCOESPZPRE)</v>
      </c>
    </row>
    <row r="488" spans="1:7" x14ac:dyDescent="0.3">
      <c r="A488" s="1" t="s">
        <v>1</v>
      </c>
      <c r="B488" s="2" t="str">
        <f t="shared" si="45"/>
        <v>SISTEMA DE DIRETORIA CLINICA</v>
      </c>
      <c r="C488" s="2" t="str">
        <f t="shared" si="47"/>
        <v>APOIO</v>
      </c>
      <c r="D488" s="2" t="str">
        <f t="shared" si="46"/>
        <v>AMDC</v>
      </c>
      <c r="E488" s="2" t="str">
        <f>"RELATORIO DE LICENÇAS MÉDICAS"</f>
        <v>RELATORIO DE LICENÇAS MÉDICAS</v>
      </c>
      <c r="F488" s="2" t="str">
        <f>"R_LICMED"</f>
        <v>R_LICMED</v>
      </c>
      <c r="G488" s="2" t="str">
        <f>"Serviços de Apoio / Diretoria Clinica / Relatórios / Ocorrências / Licenças Médicas (R_LICMED)"</f>
        <v>Serviços de Apoio / Diretoria Clinica / Relatórios / Ocorrências / Licenças Médicas (R_LICMED)</v>
      </c>
    </row>
    <row r="489" spans="1:7" x14ac:dyDescent="0.3">
      <c r="A489" s="1" t="s">
        <v>1</v>
      </c>
      <c r="B489" s="2" t="str">
        <f t="shared" ref="B489:B530" si="48">"SISTEMA DE DIRETORIA CLINICA"</f>
        <v>SISTEMA DE DIRETORIA CLINICA</v>
      </c>
      <c r="C489" s="2" t="str">
        <f t="shared" si="47"/>
        <v>APOIO</v>
      </c>
      <c r="D489" s="2" t="str">
        <f t="shared" ref="D489:D530" si="49">"AMDC"</f>
        <v>AMDC</v>
      </c>
      <c r="E489" s="2" t="str">
        <f>"RELATORIO DE LICENÇAS MÉDICAS"</f>
        <v>RELATORIO DE LICENÇAS MÉDICAS</v>
      </c>
      <c r="F489" s="2" t="str">
        <f>"R_LICMED"</f>
        <v>R_LICMED</v>
      </c>
      <c r="G489" s="2" t="str">
        <f>"Serviços de Apoio / Serviço Arquivo Médico / Relatórios / Tabelas / Ocorrências / Licenças Médicas (R_LICMED)"</f>
        <v>Serviços de Apoio / Serviço Arquivo Médico / Relatórios / Tabelas / Ocorrências / Licenças Médicas (R_LICMED)</v>
      </c>
    </row>
    <row r="490" spans="1:7" x14ac:dyDescent="0.3">
      <c r="A490" s="1" t="s">
        <v>1</v>
      </c>
      <c r="B490" s="2" t="str">
        <f t="shared" si="48"/>
        <v>SISTEMA DE DIRETORIA CLINICA</v>
      </c>
      <c r="C490" s="2" t="str">
        <f t="shared" si="47"/>
        <v>APOIO</v>
      </c>
      <c r="D490" s="2" t="str">
        <f t="shared" si="49"/>
        <v>AMDC</v>
      </c>
      <c r="E490" s="2" t="str">
        <f>"RELATORIO DE OCORRÊNCIAS MÉDICAS"</f>
        <v>RELATORIO DE OCORRÊNCIAS MÉDICAS</v>
      </c>
      <c r="F490" s="2" t="str">
        <f>"R_OCRMED"</f>
        <v>R_OCRMED</v>
      </c>
      <c r="G490" s="2" t="str">
        <f>"Serviços de Apoio / Diretoria Clinica / Relatórios / Ocorrências / Ocorrências Médicas (R_OCRMED)"</f>
        <v>Serviços de Apoio / Diretoria Clinica / Relatórios / Ocorrências / Ocorrências Médicas (R_OCRMED)</v>
      </c>
    </row>
    <row r="491" spans="1:7" x14ac:dyDescent="0.3">
      <c r="A491" s="1" t="s">
        <v>1</v>
      </c>
      <c r="B491" s="2" t="str">
        <f t="shared" si="48"/>
        <v>SISTEMA DE DIRETORIA CLINICA</v>
      </c>
      <c r="C491" s="2" t="str">
        <f t="shared" si="47"/>
        <v>APOIO</v>
      </c>
      <c r="D491" s="2" t="str">
        <f t="shared" si="49"/>
        <v>AMDC</v>
      </c>
      <c r="E491" s="2" t="str">
        <f>"RELATORIO DE OCORRÊNCIAS MÉDICAS"</f>
        <v>RELATORIO DE OCORRÊNCIAS MÉDICAS</v>
      </c>
      <c r="F491" s="2" t="str">
        <f>"R_OCRMED"</f>
        <v>R_OCRMED</v>
      </c>
      <c r="G491" s="2" t="str">
        <f>"Serviços de Apoio / Serviço Arquivo Médico / Relatórios / Tabelas / Ocorrências / Ocorrências Médicas (R_OCRMED)"</f>
        <v>Serviços de Apoio / Serviço Arquivo Médico / Relatórios / Tabelas / Ocorrências / Ocorrências Médicas (R_OCRMED)</v>
      </c>
    </row>
    <row r="492" spans="1:7" x14ac:dyDescent="0.3">
      <c r="A492" s="1" t="s">
        <v>1</v>
      </c>
      <c r="B492" s="2" t="str">
        <f t="shared" si="48"/>
        <v>SISTEMA DE DIRETORIA CLINICA</v>
      </c>
      <c r="C492" s="2" t="str">
        <f t="shared" si="47"/>
        <v>APOIO</v>
      </c>
      <c r="D492" s="2" t="str">
        <f t="shared" si="49"/>
        <v>AMDC</v>
      </c>
      <c r="E492" s="2" t="str">
        <f>"RELATORIO DE ESPECIALIZAÇÕES"</f>
        <v>RELATORIO DE ESPECIALIZAÇÕES</v>
      </c>
      <c r="F492" s="2" t="str">
        <f>"R_ESPECIALI"</f>
        <v>R_ESPECIALI</v>
      </c>
      <c r="G492" s="2" t="str">
        <f>"Serviços de Apoio / Diretoria Clinica / Relatórios / Tabelas / Especializações (R_ESPECIALI)"</f>
        <v>Serviços de Apoio / Diretoria Clinica / Relatórios / Tabelas / Especializações (R_ESPECIALI)</v>
      </c>
    </row>
    <row r="493" spans="1:7" x14ac:dyDescent="0.3">
      <c r="A493" s="1" t="s">
        <v>1</v>
      </c>
      <c r="B493" s="2" t="str">
        <f t="shared" si="48"/>
        <v>SISTEMA DE DIRETORIA CLINICA</v>
      </c>
      <c r="C493" s="2" t="str">
        <f t="shared" si="47"/>
        <v>APOIO</v>
      </c>
      <c r="D493" s="2" t="str">
        <f t="shared" si="49"/>
        <v>AMDC</v>
      </c>
      <c r="E493" s="2" t="str">
        <f>"RELATORIO DE ESPECIALIZAÇÕES"</f>
        <v>RELATORIO DE ESPECIALIZAÇÕES</v>
      </c>
      <c r="F493" s="2" t="str">
        <f>"R_ESPECIALI"</f>
        <v>R_ESPECIALI</v>
      </c>
      <c r="G493" s="2" t="str">
        <f>"Serviços de Apoio / Serviço Arquivo Médico / Relatórios / Tabelas / Especializações (R_ESPECIALI)"</f>
        <v>Serviços de Apoio / Serviço Arquivo Médico / Relatórios / Tabelas / Especializações (R_ESPECIALI)</v>
      </c>
    </row>
    <row r="494" spans="1:7" x14ac:dyDescent="0.3">
      <c r="A494" s="1" t="s">
        <v>1</v>
      </c>
      <c r="B494" s="2" t="str">
        <f t="shared" si="48"/>
        <v>SISTEMA DE DIRETORIA CLINICA</v>
      </c>
      <c r="C494" s="2" t="str">
        <f t="shared" si="47"/>
        <v>APOIO</v>
      </c>
      <c r="D494" s="2" t="str">
        <f t="shared" si="49"/>
        <v>AMDC</v>
      </c>
      <c r="E494" s="2" t="str">
        <f>"RELATORIO DE ESPECIALIZAÇÕES"</f>
        <v>RELATORIO DE ESPECIALIZAÇÕES</v>
      </c>
      <c r="F494" s="2" t="str">
        <f>"R_ESPECIALI"</f>
        <v>R_ESPECIALI</v>
      </c>
      <c r="G494" s="2" t="str">
        <f>"Serviços de Apoio / Global / Relatórios / Prestadores / Especializações (R_ESPECIALI)"</f>
        <v>Serviços de Apoio / Global / Relatórios / Prestadores / Especializações (R_ESPECIALI)</v>
      </c>
    </row>
    <row r="495" spans="1:7" x14ac:dyDescent="0.3">
      <c r="A495" s="1" t="s">
        <v>1</v>
      </c>
      <c r="B495" s="2" t="str">
        <f t="shared" si="48"/>
        <v>SISTEMA DE DIRETORIA CLINICA</v>
      </c>
      <c r="C495" s="2" t="str">
        <f t="shared" si="47"/>
        <v>APOIO</v>
      </c>
      <c r="D495" s="2" t="str">
        <f t="shared" si="49"/>
        <v>AMDC</v>
      </c>
      <c r="E495" s="2" t="str">
        <f>"RELATORIO DE CONSELHOS DOS PRESTADORES"</f>
        <v>RELATORIO DE CONSELHOS DOS PRESTADORES</v>
      </c>
      <c r="F495" s="2" t="str">
        <f>"R_CONSELHOS"</f>
        <v>R_CONSELHOS</v>
      </c>
      <c r="G495" s="2" t="str">
        <f>"Serviços de Apoio / Diretoria Clinica / Relatórios / Tabelas / Conselhos (R_CONSELHOS)"</f>
        <v>Serviços de Apoio / Diretoria Clinica / Relatórios / Tabelas / Conselhos (R_CONSELHOS)</v>
      </c>
    </row>
    <row r="496" spans="1:7" x14ac:dyDescent="0.3">
      <c r="A496" s="1" t="s">
        <v>1</v>
      </c>
      <c r="B496" s="2" t="str">
        <f t="shared" si="48"/>
        <v>SISTEMA DE DIRETORIA CLINICA</v>
      </c>
      <c r="C496" s="2" t="str">
        <f t="shared" si="47"/>
        <v>APOIO</v>
      </c>
      <c r="D496" s="2" t="str">
        <f t="shared" si="49"/>
        <v>AMDC</v>
      </c>
      <c r="E496" s="2" t="str">
        <f>"RELATORIO DE CONSELHOS DOS PRESTADORES"</f>
        <v>RELATORIO DE CONSELHOS DOS PRESTADORES</v>
      </c>
      <c r="F496" s="2" t="str">
        <f>"R_CONSELHOS"</f>
        <v>R_CONSELHOS</v>
      </c>
      <c r="G496" s="2" t="str">
        <f>"Serviços de Apoio / Serviço Arquivo Médico / Relatórios / Tabelas / Conselhos (R_CONSELHOS)"</f>
        <v>Serviços de Apoio / Serviço Arquivo Médico / Relatórios / Tabelas / Conselhos (R_CONSELHOS)</v>
      </c>
    </row>
    <row r="497" spans="1:7" x14ac:dyDescent="0.3">
      <c r="A497" s="1" t="s">
        <v>1</v>
      </c>
      <c r="B497" s="2" t="str">
        <f t="shared" si="48"/>
        <v>SISTEMA DE DIRETORIA CLINICA</v>
      </c>
      <c r="C497" s="2" t="str">
        <f t="shared" si="47"/>
        <v>APOIO</v>
      </c>
      <c r="D497" s="2" t="str">
        <f t="shared" si="49"/>
        <v>AMDC</v>
      </c>
      <c r="E497" s="2" t="str">
        <f>"RELATORIO DE CONSELHOS DOS PRESTADORES"</f>
        <v>RELATORIO DE CONSELHOS DOS PRESTADORES</v>
      </c>
      <c r="F497" s="2" t="str">
        <f>"R_CONSELHOS"</f>
        <v>R_CONSELHOS</v>
      </c>
      <c r="G497" s="2" t="str">
        <f>"Serviços de Apoio / Global / Relatórios / Prestadores / Conselhos (R_CONSELHOS)"</f>
        <v>Serviços de Apoio / Global / Relatórios / Prestadores / Conselhos (R_CONSELHOS)</v>
      </c>
    </row>
    <row r="498" spans="1:7" x14ac:dyDescent="0.3">
      <c r="A498" s="1" t="s">
        <v>1</v>
      </c>
      <c r="B498" s="2" t="str">
        <f t="shared" si="48"/>
        <v>SISTEMA DE DIRETORIA CLINICA</v>
      </c>
      <c r="C498" s="2" t="str">
        <f t="shared" si="47"/>
        <v>APOIO</v>
      </c>
      <c r="D498" s="2" t="str">
        <f t="shared" si="49"/>
        <v>AMDC</v>
      </c>
      <c r="E498" s="2" t="str">
        <f t="shared" ref="E498:E504" si="50">"REL. - TABELAS -  PRESTADORES"</f>
        <v>REL. - TABELAS -  PRESTADORES</v>
      </c>
      <c r="F498" s="2" t="str">
        <f t="shared" ref="F498:F504" si="51">"R_PRESTADOR"</f>
        <v>R_PRESTADOR</v>
      </c>
      <c r="G498" s="2" t="str">
        <f>"Faturamento / Faturamento de Convênios e Particulares / Relatórios / Tabelas / Gerais / Prestadores (R_PRESTADOR)"</f>
        <v>Faturamento / Faturamento de Convênios e Particulares / Relatórios / Tabelas / Gerais / Prestadores (R_PRESTADOR)</v>
      </c>
    </row>
    <row r="499" spans="1:7" x14ac:dyDescent="0.3">
      <c r="A499" s="1" t="s">
        <v>1</v>
      </c>
      <c r="B499" s="2" t="str">
        <f t="shared" si="48"/>
        <v>SISTEMA DE DIRETORIA CLINICA</v>
      </c>
      <c r="C499" s="2" t="str">
        <f t="shared" si="47"/>
        <v>APOIO</v>
      </c>
      <c r="D499" s="2" t="str">
        <f t="shared" si="49"/>
        <v>AMDC</v>
      </c>
      <c r="E499" s="2" t="str">
        <f t="shared" si="50"/>
        <v>REL. - TABELAS -  PRESTADORES</v>
      </c>
      <c r="F499" s="2" t="str">
        <f t="shared" si="51"/>
        <v>R_PRESTADOR</v>
      </c>
      <c r="G499" s="2" t="str">
        <f>"Controladoria / Repasse Médico / Relatórios / Tabelas / Prestadores (R_PRESTADOR)"</f>
        <v>Controladoria / Repasse Médico / Relatórios / Tabelas / Prestadores (R_PRESTADOR)</v>
      </c>
    </row>
    <row r="500" spans="1:7" x14ac:dyDescent="0.3">
      <c r="A500" s="1" t="s">
        <v>1</v>
      </c>
      <c r="B500" s="2" t="str">
        <f t="shared" si="48"/>
        <v>SISTEMA DE DIRETORIA CLINICA</v>
      </c>
      <c r="C500" s="2" t="str">
        <f t="shared" si="47"/>
        <v>APOIO</v>
      </c>
      <c r="D500" s="2" t="str">
        <f t="shared" si="49"/>
        <v>AMDC</v>
      </c>
      <c r="E500" s="2" t="str">
        <f t="shared" si="50"/>
        <v>REL. - TABELAS -  PRESTADORES</v>
      </c>
      <c r="F500" s="2" t="str">
        <f t="shared" si="51"/>
        <v>R_PRESTADOR</v>
      </c>
      <c r="G500" s="2" t="str">
        <f>"Serviços de Apoio / Diretoria Clinica / Relatórios / Tabelas / Prestadores (R_PRESTADOR)"</f>
        <v>Serviços de Apoio / Diretoria Clinica / Relatórios / Tabelas / Prestadores (R_PRESTADOR)</v>
      </c>
    </row>
    <row r="501" spans="1:7" x14ac:dyDescent="0.3">
      <c r="A501" s="1" t="s">
        <v>1</v>
      </c>
      <c r="B501" s="2" t="str">
        <f t="shared" si="48"/>
        <v>SISTEMA DE DIRETORIA CLINICA</v>
      </c>
      <c r="C501" s="2" t="str">
        <f t="shared" si="47"/>
        <v>APOIO</v>
      </c>
      <c r="D501" s="2" t="str">
        <f t="shared" si="49"/>
        <v>AMDC</v>
      </c>
      <c r="E501" s="2" t="str">
        <f t="shared" si="50"/>
        <v>REL. - TABELAS -  PRESTADORES</v>
      </c>
      <c r="F501" s="2" t="str">
        <f t="shared" si="51"/>
        <v>R_PRESTADOR</v>
      </c>
      <c r="G501" s="2" t="str">
        <f>"Faturamento / Auditoria e Controle de Recursos de Glosas / Relatórios / Tabelas / Gerais / Prestadores (R_PRESTADOR)"</f>
        <v>Faturamento / Auditoria e Controle de Recursos de Glosas / Relatórios / Tabelas / Gerais / Prestadores (R_PRESTADOR)</v>
      </c>
    </row>
    <row r="502" spans="1:7" x14ac:dyDescent="0.3">
      <c r="A502" s="1" t="s">
        <v>1</v>
      </c>
      <c r="B502" s="2" t="str">
        <f t="shared" si="48"/>
        <v>SISTEMA DE DIRETORIA CLINICA</v>
      </c>
      <c r="C502" s="2" t="str">
        <f t="shared" si="47"/>
        <v>APOIO</v>
      </c>
      <c r="D502" s="2" t="str">
        <f t="shared" si="49"/>
        <v>AMDC</v>
      </c>
      <c r="E502" s="2" t="str">
        <f t="shared" si="50"/>
        <v>REL. - TABELAS -  PRESTADORES</v>
      </c>
      <c r="F502" s="2" t="str">
        <f t="shared" si="51"/>
        <v>R_PRESTADOR</v>
      </c>
      <c r="G502" s="2" t="str">
        <f>"Serviços de Apoio / Serviço Arquivo Médico / Relatórios / Tabelas / Prestadores (R_PRESTADOR)"</f>
        <v>Serviços de Apoio / Serviço Arquivo Médico / Relatórios / Tabelas / Prestadores (R_PRESTADOR)</v>
      </c>
    </row>
    <row r="503" spans="1:7" x14ac:dyDescent="0.3">
      <c r="A503" s="1" t="s">
        <v>1</v>
      </c>
      <c r="B503" s="2" t="str">
        <f t="shared" si="48"/>
        <v>SISTEMA DE DIRETORIA CLINICA</v>
      </c>
      <c r="C503" s="2" t="str">
        <f t="shared" si="47"/>
        <v>APOIO</v>
      </c>
      <c r="D503" s="2" t="str">
        <f t="shared" si="49"/>
        <v>AMDC</v>
      </c>
      <c r="E503" s="2" t="str">
        <f t="shared" si="50"/>
        <v>REL. - TABELAS -  PRESTADORES</v>
      </c>
      <c r="F503" s="2" t="str">
        <f t="shared" si="51"/>
        <v>R_PRESTADOR</v>
      </c>
      <c r="G503" s="2" t="str">
        <f>"Serviços de Apoio / Central de Materiais Esterilizados / Relatórios / Tabelas / Colaboradores (R_PRESTADOR)"</f>
        <v>Serviços de Apoio / Central de Materiais Esterilizados / Relatórios / Tabelas / Colaboradores (R_PRESTADOR)</v>
      </c>
    </row>
    <row r="504" spans="1:7" x14ac:dyDescent="0.3">
      <c r="A504" s="1" t="s">
        <v>1</v>
      </c>
      <c r="B504" s="2" t="str">
        <f t="shared" si="48"/>
        <v>SISTEMA DE DIRETORIA CLINICA</v>
      </c>
      <c r="C504" s="2" t="str">
        <f t="shared" si="47"/>
        <v>APOIO</v>
      </c>
      <c r="D504" s="2" t="str">
        <f t="shared" si="49"/>
        <v>AMDC</v>
      </c>
      <c r="E504" s="2" t="str">
        <f t="shared" si="50"/>
        <v>REL. - TABELAS -  PRESTADORES</v>
      </c>
      <c r="F504" s="2" t="str">
        <f t="shared" si="51"/>
        <v>R_PRESTADOR</v>
      </c>
      <c r="G504" s="2" t="str">
        <f>"Serviços de Apoio / Global / Relatórios / Prestadores / Prestadores (R_PRESTADOR)"</f>
        <v>Serviços de Apoio / Global / Relatórios / Prestadores / Prestadores (R_PRESTADOR)</v>
      </c>
    </row>
    <row r="505" spans="1:7" x14ac:dyDescent="0.3">
      <c r="A505" s="1" t="s">
        <v>1</v>
      </c>
      <c r="B505" s="2" t="str">
        <f t="shared" si="48"/>
        <v>SISTEMA DE DIRETORIA CLINICA</v>
      </c>
      <c r="C505" s="2" t="str">
        <f t="shared" si="47"/>
        <v>APOIO</v>
      </c>
      <c r="D505" s="2" t="str">
        <f t="shared" si="49"/>
        <v>AMDC</v>
      </c>
      <c r="E505" s="2" t="str">
        <f>"MANUT.PRESTADORXESPECIALIZAÇÕES"</f>
        <v>MANUT.PRESTADORXESPECIALIZAÇÕES</v>
      </c>
      <c r="F505" s="2" t="str">
        <f>"OCO_ESPEZ"</f>
        <v>OCO_ESPEZ</v>
      </c>
      <c r="G505" s="2" t="str">
        <f>"Serviços de Apoio / Diretoria Clinica / Ocorrências / Especializações/Prestador (OCO_ESPEZ)"</f>
        <v>Serviços de Apoio / Diretoria Clinica / Ocorrências / Especializações/Prestador (OCO_ESPEZ)</v>
      </c>
    </row>
    <row r="506" spans="1:7" x14ac:dyDescent="0.3">
      <c r="A506" s="1" t="s">
        <v>1</v>
      </c>
      <c r="B506" s="2" t="str">
        <f t="shared" si="48"/>
        <v>SISTEMA DE DIRETORIA CLINICA</v>
      </c>
      <c r="C506" s="2" t="str">
        <f t="shared" si="47"/>
        <v>APOIO</v>
      </c>
      <c r="D506" s="2" t="str">
        <f t="shared" si="49"/>
        <v>AMDC</v>
      </c>
      <c r="E506" s="2" t="str">
        <f>"REL DE PRESTADOR POR ESPECIALIZAÇÃO"</f>
        <v>REL DE PRESTADOR POR ESPECIALIZAÇÃO</v>
      </c>
      <c r="F506" s="2" t="str">
        <f>"R_OCOPRESPEZ"</f>
        <v>R_OCOPRESPEZ</v>
      </c>
      <c r="G506" s="2" t="str">
        <f>" ()"</f>
        <v xml:space="preserve"> ()</v>
      </c>
    </row>
    <row r="507" spans="1:7" x14ac:dyDescent="0.3">
      <c r="A507" s="1" t="s">
        <v>1</v>
      </c>
      <c r="B507" s="2" t="str">
        <f t="shared" si="48"/>
        <v>SISTEMA DE DIRETORIA CLINICA</v>
      </c>
      <c r="C507" s="2" t="str">
        <f t="shared" si="47"/>
        <v>APOIO</v>
      </c>
      <c r="D507" s="2" t="str">
        <f t="shared" si="49"/>
        <v>AMDC</v>
      </c>
      <c r="E507" s="2" t="str">
        <f>"RELACIONAMENTO DE ESPECIALIDADES MÉDICAS"</f>
        <v>RELACIONAMENTO DE ESPECIALIDADES MÉDICAS</v>
      </c>
      <c r="F507" s="2" t="str">
        <f>"M_RELA_ESPEC"</f>
        <v>M_RELA_ESPEC</v>
      </c>
      <c r="G507" s="2" t="str">
        <f>"Serviços de Apoio / Diretoria Clinica / Tabelas / SAS / Relacionamentos / Especialidades Médicas (M_RELA_ESPEC)"</f>
        <v>Serviços de Apoio / Diretoria Clinica / Tabelas / SAS / Relacionamentos / Especialidades Médicas (M_RELA_ESPEC)</v>
      </c>
    </row>
    <row r="508" spans="1:7" x14ac:dyDescent="0.3">
      <c r="A508" s="1" t="s">
        <v>1</v>
      </c>
      <c r="B508" s="2" t="str">
        <f t="shared" si="48"/>
        <v>SISTEMA DE DIRETORIA CLINICA</v>
      </c>
      <c r="C508" s="2" t="str">
        <f t="shared" si="47"/>
        <v>APOIO</v>
      </c>
      <c r="D508" s="2" t="str">
        <f t="shared" si="49"/>
        <v>AMDC</v>
      </c>
      <c r="E508" s="2" t="str">
        <f>"ETIQUETAS DE CÓDIGO DE BARRAS"</f>
        <v>ETIQUETAS DE CÓDIGO DE BARRAS</v>
      </c>
      <c r="F508" s="2" t="str">
        <f>"M_CONFIG_ETIQUETA_AMDC"</f>
        <v>M_CONFIG_ETIQUETA_AMDC</v>
      </c>
      <c r="G508" s="2" t="str">
        <f>"Serviços de Apoio / Diretoria Clinica / Configurações / Etiqueta de Código de Barras (M_CONFIG_ETIQUETA_AMDC)"</f>
        <v>Serviços de Apoio / Diretoria Clinica / Configurações / Etiqueta de Código de Barras (M_CONFIG_ETIQUETA_AMDC)</v>
      </c>
    </row>
    <row r="509" spans="1:7" x14ac:dyDescent="0.3">
      <c r="A509" s="1" t="s">
        <v>1</v>
      </c>
      <c r="B509" s="2" t="str">
        <f t="shared" si="48"/>
        <v>SISTEMA DE DIRETORIA CLINICA</v>
      </c>
      <c r="C509" s="2" t="str">
        <f t="shared" si="47"/>
        <v>APOIO</v>
      </c>
      <c r="D509" s="2" t="str">
        <f t="shared" si="49"/>
        <v>AMDC</v>
      </c>
      <c r="E509" s="2" t="str">
        <f>"CADASTRO PRESTADOR RESUMIDO"</f>
        <v>CADASTRO PRESTADOR RESUMIDO</v>
      </c>
      <c r="F509" s="2" t="str">
        <f>"CAD_PRE_PROVISORIO"</f>
        <v>CAD_PRE_PROVISORIO</v>
      </c>
      <c r="G509" s="2" t="str">
        <f>"MVSaude / Vendas / Internação / Tabelas / Prestador Provisório (CAD_PRE_PROVISORIO)"</f>
        <v>MVSaude / Vendas / Internação / Tabelas / Prestador Provisório (CAD_PRE_PROVISORIO)</v>
      </c>
    </row>
    <row r="510" spans="1:7" x14ac:dyDescent="0.3">
      <c r="A510" s="1" t="s">
        <v>1</v>
      </c>
      <c r="B510" s="2" t="str">
        <f t="shared" si="48"/>
        <v>SISTEMA DE DIRETORIA CLINICA</v>
      </c>
      <c r="C510" s="2" t="str">
        <f t="shared" si="47"/>
        <v>APOIO</v>
      </c>
      <c r="D510" s="2" t="str">
        <f t="shared" si="49"/>
        <v>AMDC</v>
      </c>
      <c r="E510" s="2" t="str">
        <f>"CADASTRO PRESTADOR RESUMIDO"</f>
        <v>CADASTRO PRESTADOR RESUMIDO</v>
      </c>
      <c r="F510" s="2" t="str">
        <f>"CAD_PRE_PROVISORIO"</f>
        <v>CAD_PRE_PROVISORIO</v>
      </c>
      <c r="G510" s="2" t="str">
        <f>"MVSaude / Atendimento / Autorizações de Guias / Internação / Tabelas / Prestador Provisório (CAD_PRE_PROVISORIO)"</f>
        <v>MVSaude / Atendimento / Autorizações de Guias / Internação / Tabelas / Prestador Provisório (CAD_PRE_PROVISORIO)</v>
      </c>
    </row>
    <row r="511" spans="1:7" x14ac:dyDescent="0.3">
      <c r="A511" s="1" t="s">
        <v>1</v>
      </c>
      <c r="B511" s="2" t="str">
        <f t="shared" si="48"/>
        <v>SISTEMA DE DIRETORIA CLINICA</v>
      </c>
      <c r="C511" s="2" t="str">
        <f t="shared" si="47"/>
        <v>APOIO</v>
      </c>
      <c r="D511" s="2" t="str">
        <f t="shared" si="49"/>
        <v>AMDC</v>
      </c>
      <c r="E511" s="2" t="str">
        <f>"CADASTRO PRESTADOR RESUMIDO"</f>
        <v>CADASTRO PRESTADOR RESUMIDO</v>
      </c>
      <c r="F511" s="2" t="str">
        <f>"CAD_PRE_PROVISORIO"</f>
        <v>CAD_PRE_PROVISORIO</v>
      </c>
      <c r="G511" s="2" t="str">
        <f>"Atendimento / Internação / Atendimento / Prestador provisório (CAD_PRE_PROVISORIO)"</f>
        <v>Atendimento / Internação / Atendimento / Prestador provisório (CAD_PRE_PROVISORIO)</v>
      </c>
    </row>
    <row r="512" spans="1:7" x14ac:dyDescent="0.3">
      <c r="A512" s="1" t="s">
        <v>1</v>
      </c>
      <c r="B512" s="2" t="str">
        <f t="shared" si="48"/>
        <v>SISTEMA DE DIRETORIA CLINICA</v>
      </c>
      <c r="C512" s="2" t="str">
        <f t="shared" si="47"/>
        <v>APOIO</v>
      </c>
      <c r="D512" s="2" t="str">
        <f t="shared" si="49"/>
        <v>AMDC</v>
      </c>
      <c r="E512" s="2" t="str">
        <f>"CADASTRO: PREFERÊNCIAS"</f>
        <v>CADASTRO: PREFERÊNCIAS</v>
      </c>
      <c r="F512" s="2" t="str">
        <f>"CAD_PREFERENCIA"</f>
        <v>CAD_PREFERENCIA</v>
      </c>
      <c r="G512" s="2" t="str">
        <f>"Serviços de Apoio / Diretoria Clinica / Tabelas / Preferências (CAD_PREFERENCIA)"</f>
        <v>Serviços de Apoio / Diretoria Clinica / Tabelas / Preferências (CAD_PREFERENCIA)</v>
      </c>
    </row>
    <row r="513" spans="1:7" x14ac:dyDescent="0.3">
      <c r="A513" s="1" t="s">
        <v>1</v>
      </c>
      <c r="B513" s="2" t="str">
        <f t="shared" si="48"/>
        <v>SISTEMA DE DIRETORIA CLINICA</v>
      </c>
      <c r="C513" s="2" t="str">
        <f t="shared" si="47"/>
        <v>APOIO</v>
      </c>
      <c r="D513" s="2" t="str">
        <f t="shared" si="49"/>
        <v>AMDC</v>
      </c>
      <c r="E513" s="2" t="str">
        <f>"IMPORTAÇÃO DE PRESTADORES CREDENCIADOS"</f>
        <v>IMPORTAÇÃO DE PRESTADORES CREDENCIADOS</v>
      </c>
      <c r="F513" s="2" t="str">
        <f>"M_IMP_PREST_CONV_CREDENC"</f>
        <v>M_IMP_PREST_CONV_CREDENC</v>
      </c>
      <c r="G513" s="2" t="str">
        <f>"Serviços de Apoio / Diretoria Clinica / Importações / Importação de Prestadores Credenciados (M_IMP_PREST_CONV_CREDENC)"</f>
        <v>Serviços de Apoio / Diretoria Clinica / Importações / Importação de Prestadores Credenciados (M_IMP_PREST_CONV_CREDENC)</v>
      </c>
    </row>
    <row r="514" spans="1:7" x14ac:dyDescent="0.3">
      <c r="A514" s="1" t="s">
        <v>1</v>
      </c>
      <c r="B514" s="2" t="str">
        <f t="shared" si="48"/>
        <v>SISTEMA DE DIRETORIA CLINICA</v>
      </c>
      <c r="C514" s="2" t="str">
        <f t="shared" si="47"/>
        <v>APOIO</v>
      </c>
      <c r="D514" s="2" t="str">
        <f t="shared" si="49"/>
        <v>AMDC</v>
      </c>
      <c r="E514" s="2" t="str">
        <f>"PRESTADORES CREDENCIADOS"</f>
        <v>PRESTADORES CREDENCIADOS</v>
      </c>
      <c r="F514" s="2" t="str">
        <f>"M_CAD_PREST_CONV_CREDENC"</f>
        <v>M_CAD_PREST_CONV_CREDENC</v>
      </c>
      <c r="G514" s="2" t="str">
        <f>"Serviços de Apoio / Diretoria Clinica / Tabelas / Prestadores Credenciados (M_CAD_PREST_CONV_CREDENC)"</f>
        <v>Serviços de Apoio / Diretoria Clinica / Tabelas / Prestadores Credenciados (M_CAD_PREST_CONV_CREDENC)</v>
      </c>
    </row>
    <row r="515" spans="1:7" x14ac:dyDescent="0.3">
      <c r="A515" s="1" t="s">
        <v>1</v>
      </c>
      <c r="B515" s="2" t="str">
        <f t="shared" si="48"/>
        <v>SISTEMA DE DIRETORIA CLINICA</v>
      </c>
      <c r="C515" s="2" t="str">
        <f t="shared" si="47"/>
        <v>APOIO</v>
      </c>
      <c r="D515" s="2" t="str">
        <f t="shared" si="49"/>
        <v>AMDC</v>
      </c>
      <c r="E515" s="2" t="str">
        <f>"CADASTRO DAS LICENÇAS MÉDICAS"</f>
        <v>CADASTRO DAS LICENÇAS MÉDICAS</v>
      </c>
      <c r="F515" s="2" t="str">
        <f>"LIC_MED"</f>
        <v>LIC_MED</v>
      </c>
      <c r="G515" s="2" t="str">
        <f>"Serviços de Apoio / Diretoria Clinica / Ocorrências / Licenças (LIC_MED)"</f>
        <v>Serviços de Apoio / Diretoria Clinica / Ocorrências / Licenças (LIC_MED)</v>
      </c>
    </row>
    <row r="516" spans="1:7" x14ac:dyDescent="0.3">
      <c r="A516" s="1" t="s">
        <v>1</v>
      </c>
      <c r="B516" s="2" t="str">
        <f t="shared" si="48"/>
        <v>SISTEMA DE DIRETORIA CLINICA</v>
      </c>
      <c r="C516" s="2" t="str">
        <f t="shared" si="47"/>
        <v>APOIO</v>
      </c>
      <c r="D516" s="2" t="str">
        <f t="shared" si="49"/>
        <v>AMDC</v>
      </c>
      <c r="E516" s="2" t="str">
        <f>"CADASTRO DE ESPECIALIZAÇÕES DOS PRESTADO"</f>
        <v>CADASTRO DE ESPECIALIZAÇÕES DOS PRESTADO</v>
      </c>
      <c r="F516" s="2" t="str">
        <f>"CAD_ESPEZ"</f>
        <v>CAD_ESPEZ</v>
      </c>
      <c r="G516" s="2" t="str">
        <f>" ()"</f>
        <v xml:space="preserve"> ()</v>
      </c>
    </row>
    <row r="517" spans="1:7" x14ac:dyDescent="0.3">
      <c r="A517" s="1" t="s">
        <v>1</v>
      </c>
      <c r="B517" s="2" t="str">
        <f t="shared" si="48"/>
        <v>SISTEMA DE DIRETORIA CLINICA</v>
      </c>
      <c r="C517" s="2" t="str">
        <f t="shared" si="47"/>
        <v>APOIO</v>
      </c>
      <c r="D517" s="2" t="str">
        <f t="shared" si="49"/>
        <v>AMDC</v>
      </c>
      <c r="E517" s="2" t="str">
        <f>"CADASTRO DE ESPECIALIDADES"</f>
        <v>CADASTRO DE ESPECIALIDADES</v>
      </c>
      <c r="F517" s="2" t="str">
        <f>"M_ESPECI"</f>
        <v>M_ESPECI</v>
      </c>
      <c r="G517" s="2" t="str">
        <f>"Serviços de Apoio / Diretoria Clinica / Tabelas / Especialidades (M_ESPECI)"</f>
        <v>Serviços de Apoio / Diretoria Clinica / Tabelas / Especialidades (M_ESPECI)</v>
      </c>
    </row>
    <row r="518" spans="1:7" x14ac:dyDescent="0.3">
      <c r="A518" s="1" t="s">
        <v>1</v>
      </c>
      <c r="B518" s="2" t="str">
        <f t="shared" si="48"/>
        <v>SISTEMA DE DIRETORIA CLINICA</v>
      </c>
      <c r="C518" s="2" t="str">
        <f t="shared" si="47"/>
        <v>APOIO</v>
      </c>
      <c r="D518" s="2" t="str">
        <f t="shared" si="49"/>
        <v>AMDC</v>
      </c>
      <c r="E518" s="2" t="str">
        <f>"CADASTRO DE ESPECIALIDADES"</f>
        <v>CADASTRO DE ESPECIALIDADES</v>
      </c>
      <c r="F518" s="2" t="str">
        <f>"M_ESPECI"</f>
        <v>M_ESPECI</v>
      </c>
      <c r="G518" s="2" t="str">
        <f>"Atendimento / Internação Domiciliar (Home Care) / Tabelas / Prestador / Especialidade do Prestador (M_ESPECI)"</f>
        <v>Atendimento / Internação Domiciliar (Home Care) / Tabelas / Prestador / Especialidade do Prestador (M_ESPECI)</v>
      </c>
    </row>
    <row r="519" spans="1:7" x14ac:dyDescent="0.3">
      <c r="A519" s="1" t="s">
        <v>1</v>
      </c>
      <c r="B519" s="2" t="str">
        <f t="shared" si="48"/>
        <v>SISTEMA DE DIRETORIA CLINICA</v>
      </c>
      <c r="C519" s="2" t="str">
        <f t="shared" si="47"/>
        <v>APOIO</v>
      </c>
      <c r="D519" s="2" t="str">
        <f t="shared" si="49"/>
        <v>AMDC</v>
      </c>
      <c r="E519" s="2" t="str">
        <f>"CADASTRO DE CONSELHOS DOS PRESTADORES"</f>
        <v>CADASTRO DE CONSELHOS DOS PRESTADORES</v>
      </c>
      <c r="F519" s="2" t="str">
        <f>"CAD_CONS"</f>
        <v>CAD_CONS</v>
      </c>
      <c r="G519" s="2" t="str">
        <f>"Serviços de Apoio / Diretoria Clinica / Tabelas / Conselhos (CAD_CONS)"</f>
        <v>Serviços de Apoio / Diretoria Clinica / Tabelas / Conselhos (CAD_CONS)</v>
      </c>
    </row>
    <row r="520" spans="1:7" x14ac:dyDescent="0.3">
      <c r="A520" s="1" t="s">
        <v>1</v>
      </c>
      <c r="B520" s="2" t="str">
        <f t="shared" si="48"/>
        <v>SISTEMA DE DIRETORIA CLINICA</v>
      </c>
      <c r="C520" s="2" t="str">
        <f t="shared" si="47"/>
        <v>APOIO</v>
      </c>
      <c r="D520" s="2" t="str">
        <f t="shared" si="49"/>
        <v>AMDC</v>
      </c>
      <c r="E520" s="2" t="str">
        <f>"CADASTRO DE TIPOS DE PRESTADORES"</f>
        <v>CADASTRO DE TIPOS DE PRESTADORES</v>
      </c>
      <c r="F520" s="2" t="str">
        <f>"TIP_PRE"</f>
        <v>TIP_PRE</v>
      </c>
      <c r="G520" s="2" t="str">
        <f>"Serviços de Apoio / Diretoria Clinica / Tabelas / Tipo de Prestadores (TIP_PRE)"</f>
        <v>Serviços de Apoio / Diretoria Clinica / Tabelas / Tipo de Prestadores (TIP_PRE)</v>
      </c>
    </row>
    <row r="521" spans="1:7" x14ac:dyDescent="0.3">
      <c r="A521" s="1" t="s">
        <v>1</v>
      </c>
      <c r="B521" s="2" t="str">
        <f t="shared" si="48"/>
        <v>SISTEMA DE DIRETORIA CLINICA</v>
      </c>
      <c r="C521" s="2" t="str">
        <f t="shared" si="47"/>
        <v>APOIO</v>
      </c>
      <c r="D521" s="2" t="str">
        <f t="shared" si="49"/>
        <v>AMDC</v>
      </c>
      <c r="E521" s="2" t="str">
        <f>"CADASTRO DE TIPOS DE PRESTADORES"</f>
        <v>CADASTRO DE TIPOS DE PRESTADORES</v>
      </c>
      <c r="F521" s="2" t="str">
        <f>"TIP_PRE"</f>
        <v>TIP_PRE</v>
      </c>
      <c r="G521" s="2" t="str">
        <f>"Atendimento / Internação Domiciliar (Home Care) / Tabelas / Prestador / Tipo de Prestador (TIP_PRE)"</f>
        <v>Atendimento / Internação Domiciliar (Home Care) / Tabelas / Prestador / Tipo de Prestador (TIP_PRE)</v>
      </c>
    </row>
    <row r="522" spans="1:7" x14ac:dyDescent="0.3">
      <c r="A522" s="1" t="s">
        <v>1</v>
      </c>
      <c r="B522" s="2" t="str">
        <f t="shared" si="48"/>
        <v>SISTEMA DE DIRETORIA CLINICA</v>
      </c>
      <c r="C522" s="2" t="str">
        <f t="shared" si="47"/>
        <v>APOIO</v>
      </c>
      <c r="D522" s="2" t="str">
        <f t="shared" si="49"/>
        <v>AMDC</v>
      </c>
      <c r="E522" s="2" t="str">
        <f>"ÁREAS DE ATUAÇÃO"</f>
        <v>ÁREAS DE ATUAÇÃO</v>
      </c>
      <c r="F522" s="2" t="str">
        <f>"M_TESTE_CLAUDIO"</f>
        <v>M_TESTE_CLAUDIO</v>
      </c>
      <c r="G522" s="2" t="str">
        <f t="shared" ref="G522:G536" si="52">" ()"</f>
        <v xml:space="preserve"> ()</v>
      </c>
    </row>
    <row r="523" spans="1:7" x14ac:dyDescent="0.3">
      <c r="A523" s="1" t="s">
        <v>1</v>
      </c>
      <c r="B523" s="2" t="str">
        <f t="shared" si="48"/>
        <v>SISTEMA DE DIRETORIA CLINICA</v>
      </c>
      <c r="C523" s="2" t="str">
        <f t="shared" si="47"/>
        <v>APOIO</v>
      </c>
      <c r="D523" s="2" t="str">
        <f t="shared" si="49"/>
        <v>AMDC</v>
      </c>
      <c r="E523" s="2" t="str">
        <f>"MUDANÇA DE BASE DE CÁLCULOS"</f>
        <v>MUDANÇA DE BASE DE CÁLCULOS</v>
      </c>
      <c r="F523" s="2" t="str">
        <f>"R_REG_BASE_CALC.RDF"</f>
        <v>R_REG_BASE_CALC.RDF</v>
      </c>
      <c r="G523" s="2" t="str">
        <f t="shared" si="52"/>
        <v xml:space="preserve"> ()</v>
      </c>
    </row>
    <row r="524" spans="1:7" x14ac:dyDescent="0.3">
      <c r="A524" s="1" t="s">
        <v>1</v>
      </c>
      <c r="B524" s="2" t="str">
        <f t="shared" si="48"/>
        <v>SISTEMA DE DIRETORIA CLINICA</v>
      </c>
      <c r="C524" s="2" t="str">
        <f t="shared" si="47"/>
        <v>APOIO</v>
      </c>
      <c r="D524" s="2" t="str">
        <f t="shared" si="49"/>
        <v>AMDC</v>
      </c>
      <c r="E524" s="2" t="str">
        <f>"LANÇAMENTO SEM PRESTADOR"</f>
        <v>LANÇAMENTO SEM PRESTADOR</v>
      </c>
      <c r="F524" s="2" t="str">
        <f>"R_PRO_FAT_SEM_PRESTADOR.RDF"</f>
        <v>R_PRO_FAT_SEM_PRESTADOR.RDF</v>
      </c>
      <c r="G524" s="2" t="str">
        <f t="shared" si="52"/>
        <v xml:space="preserve"> ()</v>
      </c>
    </row>
    <row r="525" spans="1:7" x14ac:dyDescent="0.3">
      <c r="A525" s="1" t="s">
        <v>1</v>
      </c>
      <c r="B525" s="2" t="str">
        <f t="shared" si="48"/>
        <v>SISTEMA DE DIRETORIA CLINICA</v>
      </c>
      <c r="C525" s="2" t="str">
        <f t="shared" ref="C525:C530" si="53">"APOIO"</f>
        <v>APOIO</v>
      </c>
      <c r="D525" s="2" t="str">
        <f t="shared" si="49"/>
        <v>AMDC</v>
      </c>
      <c r="E525" s="2" t="str">
        <f>"ETIQUETA DE CÓDIGO DE BARRA"</f>
        <v>ETIQUETA DE CÓDIGO DE BARRA</v>
      </c>
      <c r="F525" s="2" t="str">
        <f>"R_IMPRIMI_ETIQ_AMDC.RDF"</f>
        <v>R_IMPRIMI_ETIQ_AMDC.RDF</v>
      </c>
      <c r="G525" s="2" t="str">
        <f t="shared" si="52"/>
        <v xml:space="preserve"> ()</v>
      </c>
    </row>
    <row r="526" spans="1:7" x14ac:dyDescent="0.3">
      <c r="A526" s="1" t="s">
        <v>1</v>
      </c>
      <c r="B526" s="2" t="str">
        <f t="shared" si="48"/>
        <v>SISTEMA DE DIRETORIA CLINICA</v>
      </c>
      <c r="C526" s="2" t="str">
        <f t="shared" si="53"/>
        <v>APOIO</v>
      </c>
      <c r="D526" s="2" t="str">
        <f t="shared" si="49"/>
        <v>AMDC</v>
      </c>
      <c r="E526" s="2" t="str">
        <f>"RELATÓRIO DE OCORRÊNCIAS POR PRESTADOR"</f>
        <v>RELATÓRIO DE OCORRÊNCIAS POR PRESTADOR</v>
      </c>
      <c r="F526" s="2" t="str">
        <f>"R_OCORRENCIA_PRESTADOR.RDF"</f>
        <v>R_OCORRENCIA_PRESTADOR.RDF</v>
      </c>
      <c r="G526" s="2" t="str">
        <f t="shared" si="52"/>
        <v xml:space="preserve"> ()</v>
      </c>
    </row>
    <row r="527" spans="1:7" x14ac:dyDescent="0.3">
      <c r="A527" s="1" t="s">
        <v>1</v>
      </c>
      <c r="B527" s="2" t="str">
        <f t="shared" si="48"/>
        <v>SISTEMA DE DIRETORIA CLINICA</v>
      </c>
      <c r="C527" s="2" t="str">
        <f t="shared" si="53"/>
        <v>APOIO</v>
      </c>
      <c r="D527" s="2" t="str">
        <f t="shared" si="49"/>
        <v>AMDC</v>
      </c>
      <c r="E527" s="2" t="str">
        <f>"RELATÓRIO ESPECIALIDADES POR PRESTADOR"</f>
        <v>RELATÓRIO ESPECIALIDADES POR PRESTADOR</v>
      </c>
      <c r="F527" s="2" t="str">
        <f>"R_PRESTADOR_ESPECIALIDADE.RDF"</f>
        <v>R_PRESTADOR_ESPECIALIDADE.RDF</v>
      </c>
      <c r="G527" s="2" t="str">
        <f t="shared" si="52"/>
        <v xml:space="preserve"> ()</v>
      </c>
    </row>
    <row r="528" spans="1:7" x14ac:dyDescent="0.3">
      <c r="A528" s="1" t="s">
        <v>1</v>
      </c>
      <c r="B528" s="2" t="str">
        <f t="shared" si="48"/>
        <v>SISTEMA DE DIRETORIA CLINICA</v>
      </c>
      <c r="C528" s="2" t="str">
        <f t="shared" si="53"/>
        <v>APOIO</v>
      </c>
      <c r="D528" s="2" t="str">
        <f t="shared" si="49"/>
        <v>AMDC</v>
      </c>
      <c r="E528" s="2" t="str">
        <f>"PRESTADOR POR ESPECIALIDADE"</f>
        <v>PRESTADOR POR ESPECIALIDADE</v>
      </c>
      <c r="F528" s="2" t="str">
        <f>"R_ESPPRE_SINT.RDF"</f>
        <v>R_ESPPRE_SINT.RDF</v>
      </c>
      <c r="G528" s="2" t="str">
        <f t="shared" si="52"/>
        <v xml:space="preserve"> ()</v>
      </c>
    </row>
    <row r="529" spans="1:7" x14ac:dyDescent="0.3">
      <c r="A529" s="1" t="s">
        <v>1</v>
      </c>
      <c r="B529" s="2" t="str">
        <f t="shared" si="48"/>
        <v>SISTEMA DE DIRETORIA CLINICA</v>
      </c>
      <c r="C529" s="2" t="str">
        <f t="shared" si="53"/>
        <v>APOIO</v>
      </c>
      <c r="D529" s="2" t="str">
        <f t="shared" si="49"/>
        <v>AMDC</v>
      </c>
      <c r="E529" s="2" t="str">
        <f>"RELATÓRIO DE TIPOS DE PRESTADORES"</f>
        <v>RELATÓRIO DE TIPOS DE PRESTADORES</v>
      </c>
      <c r="F529" s="2" t="str">
        <f>"R_TIPO_PRESTADOR.RDF"</f>
        <v>R_TIPO_PRESTADOR.RDF</v>
      </c>
      <c r="G529" s="2" t="str">
        <f t="shared" si="52"/>
        <v xml:space="preserve"> ()</v>
      </c>
    </row>
    <row r="530" spans="1:7" x14ac:dyDescent="0.3">
      <c r="A530" s="1" t="s">
        <v>1</v>
      </c>
      <c r="B530" s="2" t="str">
        <f t="shared" si="48"/>
        <v>SISTEMA DE DIRETORIA CLINICA</v>
      </c>
      <c r="C530" s="2" t="str">
        <f t="shared" si="53"/>
        <v>APOIO</v>
      </c>
      <c r="D530" s="2" t="str">
        <f t="shared" si="49"/>
        <v>AMDC</v>
      </c>
      <c r="E530" s="2" t="str">
        <f>"RELATÓRIO DE PRESTADOR ANIVERSARIANTE"</f>
        <v>RELATÓRIO DE PRESTADOR ANIVERSARIANTE</v>
      </c>
      <c r="F530" s="2" t="str">
        <f>"R_PRESTADOR_ANIVER.RDF"</f>
        <v>R_PRESTADOR_ANIVER.RDF</v>
      </c>
      <c r="G530" s="2" t="str">
        <f t="shared" si="52"/>
        <v xml:space="preserve"> ()</v>
      </c>
    </row>
    <row r="531" spans="1:7" x14ac:dyDescent="0.3">
      <c r="A531" s="1" t="s">
        <v>1</v>
      </c>
      <c r="B531" s="2" t="str">
        <f t="shared" ref="B531:B594" si="54">"PARA SER ALTERADO."</f>
        <v>PARA SER ALTERADO.</v>
      </c>
      <c r="C531" s="2" t="str">
        <f>""</f>
        <v/>
      </c>
      <c r="D531" s="2" t="str">
        <f t="shared" ref="D531:D594" si="55">"ANTIGO"</f>
        <v>ANTIGO</v>
      </c>
      <c r="E531" s="2" t="str">
        <f>"LANÇAMENTO PRODUÇÃO DE AGENDADOS"</f>
        <v>LANÇAMENTO PRODUÇÃO DE AGENDADOS</v>
      </c>
      <c r="F531" s="2" t="str">
        <f>"L_PA_ITEM"</f>
        <v>L_PA_ITEM</v>
      </c>
      <c r="G531" s="2" t="str">
        <f t="shared" si="52"/>
        <v xml:space="preserve"> ()</v>
      </c>
    </row>
    <row r="532" spans="1:7" x14ac:dyDescent="0.3">
      <c r="A532" s="1" t="s">
        <v>1</v>
      </c>
      <c r="B532" s="2" t="str">
        <f t="shared" si="54"/>
        <v>PARA SER ALTERADO.</v>
      </c>
      <c r="C532" s="2" t="str">
        <f>""</f>
        <v/>
      </c>
      <c r="D532" s="2" t="str">
        <f t="shared" si="55"/>
        <v>ANTIGO</v>
      </c>
      <c r="E532" s="2" t="str">
        <f>"RELATORIO DE NOTA FISCAL DO CONVENIO"</f>
        <v>RELATORIO DE NOTA FISCAL DO CONVENIO</v>
      </c>
      <c r="F532" s="2" t="str">
        <f>"R_NOTA_FISCAL"</f>
        <v>R_NOTA_FISCAL</v>
      </c>
      <c r="G532" s="2" t="str">
        <f t="shared" si="52"/>
        <v xml:space="preserve"> ()</v>
      </c>
    </row>
    <row r="533" spans="1:7" x14ac:dyDescent="0.3">
      <c r="A533" s="1" t="s">
        <v>1</v>
      </c>
      <c r="B533" s="2" t="str">
        <f t="shared" si="54"/>
        <v>PARA SER ALTERADO.</v>
      </c>
      <c r="C533" s="2" t="str">
        <f>""</f>
        <v/>
      </c>
      <c r="D533" s="2" t="str">
        <f t="shared" si="55"/>
        <v>ANTIGO</v>
      </c>
      <c r="E533" s="2" t="str">
        <f>"Pacientes Agendados"</f>
        <v>Pacientes Agendados</v>
      </c>
      <c r="F533" s="2" t="str">
        <f>"r_pront_agd"</f>
        <v>r_pront_agd</v>
      </c>
      <c r="G533" s="2" t="str">
        <f t="shared" si="52"/>
        <v xml:space="preserve"> ()</v>
      </c>
    </row>
    <row r="534" spans="1:7" x14ac:dyDescent="0.3">
      <c r="A534" s="1" t="s">
        <v>1</v>
      </c>
      <c r="B534" s="2" t="str">
        <f t="shared" si="54"/>
        <v>PARA SER ALTERADO.</v>
      </c>
      <c r="C534" s="2" t="str">
        <f>""</f>
        <v/>
      </c>
      <c r="D534" s="2" t="str">
        <f t="shared" si="55"/>
        <v>ANTIGO</v>
      </c>
      <c r="E534" s="2" t="str">
        <f>"REL. DE SOL. POR RESPONSAVEL E PRIORIDAD"</f>
        <v>REL. DE SOL. POR RESPONSAVEL E PRIORIDAD</v>
      </c>
      <c r="F534" s="2" t="str">
        <f>"R_SOL_RESP_PRI"</f>
        <v>R_SOL_RESP_PRI</v>
      </c>
      <c r="G534" s="2" t="str">
        <f t="shared" si="52"/>
        <v xml:space="preserve"> ()</v>
      </c>
    </row>
    <row r="535" spans="1:7" x14ac:dyDescent="0.3">
      <c r="A535" s="1" t="s">
        <v>1</v>
      </c>
      <c r="B535" s="2" t="str">
        <f t="shared" si="54"/>
        <v>PARA SER ALTERADO.</v>
      </c>
      <c r="C535" s="2" t="str">
        <f>""</f>
        <v/>
      </c>
      <c r="D535" s="2" t="str">
        <f t="shared" si="55"/>
        <v>ANTIGO</v>
      </c>
      <c r="E535" s="2" t="str">
        <f>"MENU DO FATURAMENTO DE CONVENIO"</f>
        <v>MENU DO FATURAMENTO DE CONVENIO</v>
      </c>
      <c r="F535" s="2" t="str">
        <f>"M_FFCV"</f>
        <v>M_FFCV</v>
      </c>
      <c r="G535" s="2" t="str">
        <f t="shared" si="52"/>
        <v xml:space="preserve"> ()</v>
      </c>
    </row>
    <row r="536" spans="1:7" x14ac:dyDescent="0.3">
      <c r="A536" s="1" t="s">
        <v>1</v>
      </c>
      <c r="B536" s="2" t="str">
        <f t="shared" si="54"/>
        <v>PARA SER ALTERADO.</v>
      </c>
      <c r="C536" s="2" t="str">
        <f>""</f>
        <v/>
      </c>
      <c r="D536" s="2" t="str">
        <f t="shared" si="55"/>
        <v>ANTIGO</v>
      </c>
      <c r="E536" s="2" t="str">
        <f>"RELATORIO DE NOTA FISCAL"</f>
        <v>RELATORIO DE NOTA FISCAL</v>
      </c>
      <c r="F536" s="2" t="str">
        <f>"R_NF_CONV"</f>
        <v>R_NF_CONV</v>
      </c>
      <c r="G536" s="2" t="str">
        <f t="shared" si="52"/>
        <v xml:space="preserve"> ()</v>
      </c>
    </row>
    <row r="537" spans="1:7" x14ac:dyDescent="0.3">
      <c r="A537" s="1" t="s">
        <v>1</v>
      </c>
      <c r="B537" s="2" t="str">
        <f t="shared" si="54"/>
        <v>PARA SER ALTERADO.</v>
      </c>
      <c r="C537" s="2" t="str">
        <f>""</f>
        <v/>
      </c>
      <c r="D537" s="2" t="str">
        <f t="shared" si="55"/>
        <v>ANTIGO</v>
      </c>
      <c r="E537" s="2" t="str">
        <f>"RELATÓRIO DE PRESTADORES"</f>
        <v>RELATÓRIO DE PRESTADORES</v>
      </c>
      <c r="F537" s="2" t="str">
        <f>"R_PRESTAD"</f>
        <v>R_PRESTAD</v>
      </c>
      <c r="G537" s="2" t="str">
        <f>"MVSaude / Relatórios / Tabelas / Prestadores / Prestadores (R_PRESTAD)"</f>
        <v>MVSaude / Relatórios / Tabelas / Prestadores / Prestadores (R_PRESTAD)</v>
      </c>
    </row>
    <row r="538" spans="1:7" x14ac:dyDescent="0.3">
      <c r="A538" s="1" t="s">
        <v>1</v>
      </c>
      <c r="B538" s="2" t="str">
        <f t="shared" si="54"/>
        <v>PARA SER ALTERADO.</v>
      </c>
      <c r="C538" s="2" t="str">
        <f>""</f>
        <v/>
      </c>
      <c r="D538" s="2" t="str">
        <f t="shared" si="55"/>
        <v>ANTIGO</v>
      </c>
      <c r="E538" s="2" t="str">
        <f>"REL DE FATURAMENTO DE GRUPOS DE PROCED"</f>
        <v>REL DE FATURAMENTO DE GRUPOS DE PROCED</v>
      </c>
      <c r="F538" s="2" t="str">
        <f>"V_FAT_GRU_PRO"</f>
        <v>V_FAT_GRU_PRO</v>
      </c>
      <c r="G538" s="2" t="str">
        <f t="shared" ref="G538:G546" si="56">" ()"</f>
        <v xml:space="preserve"> ()</v>
      </c>
    </row>
    <row r="539" spans="1:7" x14ac:dyDescent="0.3">
      <c r="A539" s="1" t="s">
        <v>1</v>
      </c>
      <c r="B539" s="2" t="str">
        <f t="shared" si="54"/>
        <v>PARA SER ALTERADO.</v>
      </c>
      <c r="C539" s="2" t="str">
        <f>""</f>
        <v/>
      </c>
      <c r="D539" s="2" t="str">
        <f t="shared" si="55"/>
        <v>ANTIGO</v>
      </c>
      <c r="E539" s="2" t="str">
        <f>"REL. DE TERMO DE RESPOSABILIDADE"</f>
        <v>REL. DE TERMO DE RESPOSABILIDADE</v>
      </c>
      <c r="F539" s="2" t="str">
        <f>"R_TERMO_EXP"</f>
        <v>R_TERMO_EXP</v>
      </c>
      <c r="G539" s="2" t="str">
        <f t="shared" si="56"/>
        <v xml:space="preserve"> ()</v>
      </c>
    </row>
    <row r="540" spans="1:7" x14ac:dyDescent="0.3">
      <c r="A540" s="1" t="s">
        <v>1</v>
      </c>
      <c r="B540" s="2" t="str">
        <f t="shared" si="54"/>
        <v>PARA SER ALTERADO.</v>
      </c>
      <c r="C540" s="2" t="str">
        <f>""</f>
        <v/>
      </c>
      <c r="D540" s="2" t="str">
        <f t="shared" si="55"/>
        <v>ANTIGO</v>
      </c>
      <c r="E540" s="2" t="str">
        <f>"REEMISSAO DE LAUDOS"</f>
        <v>REEMISSAO DE LAUDOS</v>
      </c>
      <c r="F540" s="2" t="str">
        <f>"R_REE_LAU_EXA"</f>
        <v>R_REE_LAU_EXA</v>
      </c>
      <c r="G540" s="2" t="str">
        <f t="shared" si="56"/>
        <v xml:space="preserve"> ()</v>
      </c>
    </row>
    <row r="541" spans="1:7" x14ac:dyDescent="0.3">
      <c r="A541" s="1" t="s">
        <v>1</v>
      </c>
      <c r="B541" s="2" t="str">
        <f t="shared" si="54"/>
        <v>PARA SER ALTERADO.</v>
      </c>
      <c r="C541" s="2" t="str">
        <f>""</f>
        <v/>
      </c>
      <c r="D541" s="2" t="str">
        <f t="shared" si="55"/>
        <v>ANTIGO</v>
      </c>
      <c r="E541" s="2" t="str">
        <f>"CADASTRO DE SIPAC POR EMPRESA"</f>
        <v>CADASTRO DE SIPAC POR EMPRESA</v>
      </c>
      <c r="F541" s="2" t="str">
        <f>"M_EMPRESA_SIPAC"</f>
        <v>M_EMPRESA_SIPAC</v>
      </c>
      <c r="G541" s="2" t="str">
        <f t="shared" si="56"/>
        <v xml:space="preserve"> ()</v>
      </c>
    </row>
    <row r="542" spans="1:7" x14ac:dyDescent="0.3">
      <c r="A542" s="1" t="s">
        <v>1</v>
      </c>
      <c r="B542" s="2" t="str">
        <f t="shared" si="54"/>
        <v>PARA SER ALTERADO.</v>
      </c>
      <c r="C542" s="2" t="str">
        <f>""</f>
        <v/>
      </c>
      <c r="D542" s="2" t="str">
        <f t="shared" si="55"/>
        <v>ANTIGO</v>
      </c>
      <c r="E542" s="2" t="str">
        <f>"CADASTRO DE TIPOS DE ATOS"</f>
        <v>CADASTRO DE TIPOS DE ATOS</v>
      </c>
      <c r="F542" s="2" t="str">
        <f>"M_TIPO_ATO"</f>
        <v>M_TIPO_ATO</v>
      </c>
      <c r="G542" s="2" t="str">
        <f t="shared" si="56"/>
        <v xml:space="preserve"> ()</v>
      </c>
    </row>
    <row r="543" spans="1:7" x14ac:dyDescent="0.3">
      <c r="A543" s="1" t="s">
        <v>1</v>
      </c>
      <c r="B543" s="2" t="str">
        <f t="shared" si="54"/>
        <v>PARA SER ALTERADO.</v>
      </c>
      <c r="C543" s="2" t="str">
        <f>""</f>
        <v/>
      </c>
      <c r="D543" s="2" t="str">
        <f t="shared" si="55"/>
        <v>ANTIGO</v>
      </c>
      <c r="E543" s="2" t="str">
        <f>"REL. SOLICITACAO DE SISTEMAS"</f>
        <v>REL. SOLICITACAO DE SISTEMAS</v>
      </c>
      <c r="F543" s="2" t="str">
        <f>"R_SOL_SISTEMAS"</f>
        <v>R_SOL_SISTEMAS</v>
      </c>
      <c r="G543" s="2" t="str">
        <f t="shared" si="56"/>
        <v xml:space="preserve"> ()</v>
      </c>
    </row>
    <row r="544" spans="1:7" x14ac:dyDescent="0.3">
      <c r="A544" s="1" t="s">
        <v>1</v>
      </c>
      <c r="B544" s="2" t="str">
        <f t="shared" si="54"/>
        <v>PARA SER ALTERADO.</v>
      </c>
      <c r="C544" s="2" t="str">
        <f>""</f>
        <v/>
      </c>
      <c r="D544" s="2" t="str">
        <f t="shared" si="55"/>
        <v>ANTIGO</v>
      </c>
      <c r="E544" s="2" t="str">
        <f>"RELATORIO DE LABORATORIOS"</f>
        <v>RELATORIO DE LABORATORIOS</v>
      </c>
      <c r="F544" s="2" t="str">
        <f>"R_LABORATORIO"</f>
        <v>R_LABORATORIO</v>
      </c>
      <c r="G544" s="2" t="str">
        <f t="shared" si="56"/>
        <v xml:space="preserve"> ()</v>
      </c>
    </row>
    <row r="545" spans="1:7" x14ac:dyDescent="0.3">
      <c r="A545" s="1" t="s">
        <v>1</v>
      </c>
      <c r="B545" s="2" t="str">
        <f t="shared" si="54"/>
        <v>PARA SER ALTERADO.</v>
      </c>
      <c r="C545" s="2" t="str">
        <f>""</f>
        <v/>
      </c>
      <c r="D545" s="2" t="str">
        <f t="shared" si="55"/>
        <v>ANTIGO</v>
      </c>
      <c r="E545" s="2" t="str">
        <f>"REL. SINT. DOS REPASSES POR TIPO DE PRES"</f>
        <v>REL. SINT. DOS REPASSES POR TIPO DE PRES</v>
      </c>
      <c r="F545" s="2" t="str">
        <f>"R_REP_PRETIPPRE"</f>
        <v>R_REP_PRETIPPRE</v>
      </c>
      <c r="G545" s="2" t="str">
        <f t="shared" si="56"/>
        <v xml:space="preserve"> ()</v>
      </c>
    </row>
    <row r="546" spans="1:7" x14ac:dyDescent="0.3">
      <c r="A546" s="1" t="s">
        <v>1</v>
      </c>
      <c r="B546" s="2" t="str">
        <f t="shared" si="54"/>
        <v>PARA SER ALTERADO.</v>
      </c>
      <c r="C546" s="2" t="str">
        <f>""</f>
        <v/>
      </c>
      <c r="D546" s="2" t="str">
        <f t="shared" si="55"/>
        <v>ANTIGO</v>
      </c>
      <c r="E546" s="2" t="str">
        <f>"REPASSE  PREST. ANAL.  GRUPO DE SERVIÇO"</f>
        <v>REPASSE  PREST. ANAL.  GRUPO DE SERVIÇO</v>
      </c>
      <c r="F546" s="2" t="str">
        <f>"R_REP_PREST_GRUSER"</f>
        <v>R_REP_PREST_GRUSER</v>
      </c>
      <c r="G546" s="2" t="str">
        <f t="shared" si="56"/>
        <v xml:space="preserve"> ()</v>
      </c>
    </row>
    <row r="547" spans="1:7" x14ac:dyDescent="0.3">
      <c r="A547" s="1" t="s">
        <v>1</v>
      </c>
      <c r="B547" s="2" t="str">
        <f t="shared" si="54"/>
        <v>PARA SER ALTERADO.</v>
      </c>
      <c r="C547" s="2" t="str">
        <f>""</f>
        <v/>
      </c>
      <c r="D547" s="2" t="str">
        <f t="shared" si="55"/>
        <v>ANTIGO</v>
      </c>
      <c r="E547" s="2" t="str">
        <f>"RELATÓRIO DE INFORMATIVO MÉDICO"</f>
        <v>RELATÓRIO DE INFORMATIVO MÉDICO</v>
      </c>
      <c r="F547" s="2" t="str">
        <f>"R_GUIAMEDICO"</f>
        <v>R_GUIAMEDICO</v>
      </c>
      <c r="G547" s="2" t="str">
        <f>"MVSaude / Relatórios / Tabelas / Prestadores / Informativo Medico (R_GUIAMEDICO)"</f>
        <v>MVSaude / Relatórios / Tabelas / Prestadores / Informativo Medico (R_GUIAMEDICO)</v>
      </c>
    </row>
    <row r="548" spans="1:7" x14ac:dyDescent="0.3">
      <c r="A548" s="1" t="s">
        <v>1</v>
      </c>
      <c r="B548" s="2" t="str">
        <f t="shared" si="54"/>
        <v>PARA SER ALTERADO.</v>
      </c>
      <c r="C548" s="2" t="str">
        <f>""</f>
        <v/>
      </c>
      <c r="D548" s="2" t="str">
        <f t="shared" si="55"/>
        <v>ANTIGO</v>
      </c>
      <c r="E548" s="2" t="str">
        <f>"RELATÓRIO DE PRESTAD. COM CONTA CORRENTE"</f>
        <v>RELATÓRIO DE PRESTAD. COM CONTA CORRENTE</v>
      </c>
      <c r="F548" s="2" t="str">
        <f>"R_PRESTAD_CONTA"</f>
        <v>R_PRESTAD_CONTA</v>
      </c>
      <c r="G548" s="2" t="str">
        <f>"MVSaude / Relatórios / Tabelas / Prestadores / Prestadores com Contas Correntes (R_PRESTAD_CONTA)"</f>
        <v>MVSaude / Relatórios / Tabelas / Prestadores / Prestadores com Contas Correntes (R_PRESTAD_CONTA)</v>
      </c>
    </row>
    <row r="549" spans="1:7" x14ac:dyDescent="0.3">
      <c r="A549" s="1" t="s">
        <v>1</v>
      </c>
      <c r="B549" s="2" t="str">
        <f t="shared" si="54"/>
        <v>PARA SER ALTERADO.</v>
      </c>
      <c r="C549" s="2" t="str">
        <f>""</f>
        <v/>
      </c>
      <c r="D549" s="2" t="str">
        <f t="shared" si="55"/>
        <v>ANTIGO</v>
      </c>
      <c r="E549" s="2" t="str">
        <f>"RELATÓRIO DE PRESTADORES X REGRAS"</f>
        <v>RELATÓRIO DE PRESTADORES X REGRAS</v>
      </c>
      <c r="F549" s="2" t="str">
        <f>"R_REGPRE"</f>
        <v>R_REGPRE</v>
      </c>
      <c r="G549" s="2" t="str">
        <f>"MVSaude / Relatórios / Tabelas / Prestadores / Prestadores x Regras (R_REGPRE)"</f>
        <v>MVSaude / Relatórios / Tabelas / Prestadores / Prestadores x Regras (R_REGPRE)</v>
      </c>
    </row>
    <row r="550" spans="1:7" x14ac:dyDescent="0.3">
      <c r="A550" s="1" t="s">
        <v>1</v>
      </c>
      <c r="B550" s="2" t="str">
        <f t="shared" si="54"/>
        <v>PARA SER ALTERADO.</v>
      </c>
      <c r="C550" s="2" t="str">
        <f>""</f>
        <v/>
      </c>
      <c r="D550" s="2" t="str">
        <f t="shared" si="55"/>
        <v>ANTIGO</v>
      </c>
      <c r="E550" s="2" t="str">
        <f>"CONTA HOSPITALAR"</f>
        <v>CONTA HOSPITALAR</v>
      </c>
      <c r="F550" s="2" t="str">
        <f>"M_CONHOS_MANUAL"</f>
        <v>M_CONHOS_MANUAL</v>
      </c>
      <c r="G550" s="2" t="str">
        <f>"MVSaude / Contas Médicas / Conta Hospitalar (M_CONHOS_MANUAL)"</f>
        <v>MVSaude / Contas Médicas / Conta Hospitalar (M_CONHOS_MANUAL)</v>
      </c>
    </row>
    <row r="551" spans="1:7" x14ac:dyDescent="0.3">
      <c r="A551" s="1" t="s">
        <v>1</v>
      </c>
      <c r="B551" s="2" t="str">
        <f t="shared" si="54"/>
        <v>PARA SER ALTERADO.</v>
      </c>
      <c r="C551" s="2" t="str">
        <f>""</f>
        <v/>
      </c>
      <c r="D551" s="2" t="str">
        <f t="shared" si="55"/>
        <v>ANTIGO</v>
      </c>
      <c r="E551" s="2" t="str">
        <f>"VALOR DO PROCEDIMENTO"</f>
        <v>VALOR DO PROCEDIMENTO</v>
      </c>
      <c r="F551" s="2" t="str">
        <f>"M_VALORES_PRO"</f>
        <v>M_VALORES_PRO</v>
      </c>
      <c r="G551" s="2" t="str">
        <f t="shared" ref="G551:G558" si="57">" ()"</f>
        <v xml:space="preserve"> ()</v>
      </c>
    </row>
    <row r="552" spans="1:7" x14ac:dyDescent="0.3">
      <c r="A552" s="1" t="s">
        <v>1</v>
      </c>
      <c r="B552" s="2" t="str">
        <f t="shared" si="54"/>
        <v>PARA SER ALTERADO.</v>
      </c>
      <c r="C552" s="2" t="str">
        <f>""</f>
        <v/>
      </c>
      <c r="D552" s="2" t="str">
        <f t="shared" si="55"/>
        <v>ANTIGO</v>
      </c>
      <c r="E552" s="2" t="str">
        <f>"SOLICITACAO DE SAIDA DE SETORES"</f>
        <v>SOLICITACAO DE SAIDA DE SETORES</v>
      </c>
      <c r="F552" s="2" t="str">
        <f>"M_SOLSAISET"</f>
        <v>M_SOLSAISET</v>
      </c>
      <c r="G552" s="2" t="str">
        <f t="shared" si="57"/>
        <v xml:space="preserve"> ()</v>
      </c>
    </row>
    <row r="553" spans="1:7" x14ac:dyDescent="0.3">
      <c r="A553" s="1" t="s">
        <v>1</v>
      </c>
      <c r="B553" s="2" t="str">
        <f t="shared" si="54"/>
        <v>PARA SER ALTERADO.</v>
      </c>
      <c r="C553" s="2" t="str">
        <f>""</f>
        <v/>
      </c>
      <c r="D553" s="2" t="str">
        <f t="shared" si="55"/>
        <v>ANTIGO</v>
      </c>
      <c r="E553" s="2" t="str">
        <f>"SOLICITACAO DE SAIDA DE PACIENTE"</f>
        <v>SOLICITACAO DE SAIDA DE PACIENTE</v>
      </c>
      <c r="F553" s="2" t="str">
        <f>"M_SOLSAIPAC"</f>
        <v>M_SOLSAIPAC</v>
      </c>
      <c r="G553" s="2" t="str">
        <f t="shared" si="57"/>
        <v xml:space="preserve"> ()</v>
      </c>
    </row>
    <row r="554" spans="1:7" x14ac:dyDescent="0.3">
      <c r="A554" s="1" t="s">
        <v>1</v>
      </c>
      <c r="B554" s="2" t="str">
        <f t="shared" si="54"/>
        <v>PARA SER ALTERADO.</v>
      </c>
      <c r="C554" s="2" t="str">
        <f>""</f>
        <v/>
      </c>
      <c r="D554" s="2" t="str">
        <f t="shared" si="55"/>
        <v>ANTIGO</v>
      </c>
      <c r="E554" s="2" t="str">
        <f>"NOTA FISCAL"</f>
        <v>NOTA FISCAL</v>
      </c>
      <c r="F554" s="2" t="str">
        <f>"M_NF"</f>
        <v>M_NF</v>
      </c>
      <c r="G554" s="2" t="str">
        <f t="shared" si="57"/>
        <v xml:space="preserve"> ()</v>
      </c>
    </row>
    <row r="555" spans="1:7" x14ac:dyDescent="0.3">
      <c r="A555" s="1" t="s">
        <v>1</v>
      </c>
      <c r="B555" s="2" t="str">
        <f t="shared" si="54"/>
        <v>PARA SER ALTERADO.</v>
      </c>
      <c r="C555" s="2" t="str">
        <f>""</f>
        <v/>
      </c>
      <c r="D555" s="2" t="str">
        <f t="shared" si="55"/>
        <v>ANTIGO</v>
      </c>
      <c r="E555" s="2" t="str">
        <f>"MANIPULACAO"</f>
        <v>MANIPULACAO</v>
      </c>
      <c r="F555" s="2" t="str">
        <f>"M_MANIPULACAO"</f>
        <v>M_MANIPULACAO</v>
      </c>
      <c r="G555" s="2" t="str">
        <f t="shared" si="57"/>
        <v xml:space="preserve"> ()</v>
      </c>
    </row>
    <row r="556" spans="1:7" x14ac:dyDescent="0.3">
      <c r="A556" s="1" t="s">
        <v>1</v>
      </c>
      <c r="B556" s="2" t="str">
        <f t="shared" si="54"/>
        <v>PARA SER ALTERADO.</v>
      </c>
      <c r="C556" s="2" t="str">
        <f>""</f>
        <v/>
      </c>
      <c r="D556" s="2" t="str">
        <f t="shared" si="55"/>
        <v>ANTIGO</v>
      </c>
      <c r="E556" s="2" t="str">
        <f>"ENTRADA DE PRODUTO"</f>
        <v>ENTRADA DE PRODUTO</v>
      </c>
      <c r="F556" s="2" t="str">
        <f>"M_ENTPRO"</f>
        <v>M_ENTPRO</v>
      </c>
      <c r="G556" s="2" t="str">
        <f t="shared" si="57"/>
        <v xml:space="preserve"> ()</v>
      </c>
    </row>
    <row r="557" spans="1:7" x14ac:dyDescent="0.3">
      <c r="A557" s="1" t="s">
        <v>1</v>
      </c>
      <c r="B557" s="2" t="str">
        <f t="shared" si="54"/>
        <v>PARA SER ALTERADO.</v>
      </c>
      <c r="C557" s="2" t="str">
        <f>""</f>
        <v/>
      </c>
      <c r="D557" s="2" t="str">
        <f t="shared" si="55"/>
        <v>ANTIGO</v>
      </c>
      <c r="E557" s="2" t="str">
        <f>"PARTO"</f>
        <v>PARTO</v>
      </c>
      <c r="F557" s="2" t="str">
        <f>"C_PARTO"</f>
        <v>C_PARTO</v>
      </c>
      <c r="G557" s="2" t="str">
        <f t="shared" si="57"/>
        <v xml:space="preserve"> ()</v>
      </c>
    </row>
    <row r="558" spans="1:7" x14ac:dyDescent="0.3">
      <c r="A558" s="1" t="s">
        <v>1</v>
      </c>
      <c r="B558" s="2" t="str">
        <f t="shared" si="54"/>
        <v>PARA SER ALTERADO.</v>
      </c>
      <c r="C558" s="2" t="str">
        <f>""</f>
        <v/>
      </c>
      <c r="D558" s="2" t="str">
        <f t="shared" si="55"/>
        <v>ANTIGO</v>
      </c>
      <c r="E558" s="2" t="str">
        <f>"MENU DO SISTEMA DO SGPS"</f>
        <v>MENU DO SISTEMA DO SGPS</v>
      </c>
      <c r="F558" s="2" t="str">
        <f>"MSGPS"</f>
        <v>MSGPS</v>
      </c>
      <c r="G558" s="2" t="str">
        <f t="shared" si="57"/>
        <v xml:space="preserve"> ()</v>
      </c>
    </row>
    <row r="559" spans="1:7" x14ac:dyDescent="0.3">
      <c r="A559" s="1" t="s">
        <v>1</v>
      </c>
      <c r="B559" s="2" t="str">
        <f t="shared" si="54"/>
        <v>PARA SER ALTERADO.</v>
      </c>
      <c r="C559" s="2" t="str">
        <f>""</f>
        <v/>
      </c>
      <c r="D559" s="2" t="str">
        <f t="shared" si="55"/>
        <v>ANTIGO</v>
      </c>
      <c r="E559" s="2" t="str">
        <f>"CADASTRO DE ZONAS"</f>
        <v>CADASTRO DE ZONAS</v>
      </c>
      <c r="F559" s="2" t="str">
        <f>"M_ZONA"</f>
        <v>M_ZONA</v>
      </c>
      <c r="G559" s="2" t="str">
        <f>"MVSaude / Cadastros / Zonas (M_ZONA)"</f>
        <v>MVSaude / Cadastros / Zonas (M_ZONA)</v>
      </c>
    </row>
    <row r="560" spans="1:7" x14ac:dyDescent="0.3">
      <c r="A560" s="1" t="s">
        <v>1</v>
      </c>
      <c r="B560" s="2" t="str">
        <f t="shared" si="54"/>
        <v>PARA SER ALTERADO.</v>
      </c>
      <c r="C560" s="2" t="str">
        <f>""</f>
        <v/>
      </c>
      <c r="D560" s="2" t="str">
        <f t="shared" si="55"/>
        <v>ANTIGO</v>
      </c>
      <c r="E560" s="2" t="str">
        <f>"REL. TABELA DE PRODUTOS"</f>
        <v>REL. TABELA DE PRODUTOS</v>
      </c>
      <c r="F560" s="2" t="str">
        <f>"R_TAB_PRODUTO"</f>
        <v>R_TAB_PRODUTO</v>
      </c>
      <c r="G560" s="2" t="str">
        <f t="shared" ref="G560:G566" si="58">" ()"</f>
        <v xml:space="preserve"> ()</v>
      </c>
    </row>
    <row r="561" spans="1:7" x14ac:dyDescent="0.3">
      <c r="A561" s="1" t="s">
        <v>1</v>
      </c>
      <c r="B561" s="2" t="str">
        <f t="shared" si="54"/>
        <v>PARA SER ALTERADO.</v>
      </c>
      <c r="C561" s="2" t="str">
        <f>""</f>
        <v/>
      </c>
      <c r="D561" s="2" t="str">
        <f t="shared" si="55"/>
        <v>ANTIGO</v>
      </c>
      <c r="E561" s="2" t="str">
        <f>"CONFIGURACOES"</f>
        <v>CONFIGURACOES</v>
      </c>
      <c r="F561" s="2" t="str">
        <f>"M_CONFIGURACA"</f>
        <v>M_CONFIGURACA</v>
      </c>
      <c r="G561" s="2" t="str">
        <f t="shared" si="58"/>
        <v xml:space="preserve"> ()</v>
      </c>
    </row>
    <row r="562" spans="1:7" x14ac:dyDescent="0.3">
      <c r="A562" s="1" t="s">
        <v>1</v>
      </c>
      <c r="B562" s="2" t="str">
        <f t="shared" si="54"/>
        <v>PARA SER ALTERADO.</v>
      </c>
      <c r="C562" s="2" t="str">
        <f>""</f>
        <v/>
      </c>
      <c r="D562" s="2" t="str">
        <f t="shared" si="55"/>
        <v>ANTIGO</v>
      </c>
      <c r="E562" s="2" t="str">
        <f>"RELATORIO DE ENTREGA DE EXAMES"</f>
        <v>RELATORIO DE ENTREGA DE EXAMES</v>
      </c>
      <c r="F562" s="2" t="str">
        <f>"R_ENT_EXA"</f>
        <v>R_ENT_EXA</v>
      </c>
      <c r="G562" s="2" t="str">
        <f t="shared" si="58"/>
        <v xml:space="preserve"> ()</v>
      </c>
    </row>
    <row r="563" spans="1:7" x14ac:dyDescent="0.3">
      <c r="A563" s="1" t="s">
        <v>1</v>
      </c>
      <c r="B563" s="2" t="str">
        <f t="shared" si="54"/>
        <v>PARA SER ALTERADO.</v>
      </c>
      <c r="C563" s="2" t="str">
        <f>""</f>
        <v/>
      </c>
      <c r="D563" s="2" t="str">
        <f t="shared" si="55"/>
        <v>ANTIGO</v>
      </c>
      <c r="E563" s="2" t="str">
        <f>"RELAT. DE CLASSIFICACA DE PRODUTOS"</f>
        <v>RELAT. DE CLASSIFICACA DE PRODUTOS</v>
      </c>
      <c r="F563" s="2" t="str">
        <f>"R_CLA_PROD"</f>
        <v>R_CLA_PROD</v>
      </c>
      <c r="G563" s="2" t="str">
        <f t="shared" si="58"/>
        <v xml:space="preserve"> ()</v>
      </c>
    </row>
    <row r="564" spans="1:7" x14ac:dyDescent="0.3">
      <c r="A564" s="1" t="s">
        <v>1</v>
      </c>
      <c r="B564" s="2" t="str">
        <f t="shared" si="54"/>
        <v>PARA SER ALTERADO.</v>
      </c>
      <c r="C564" s="2" t="str">
        <f>""</f>
        <v/>
      </c>
      <c r="D564" s="2" t="str">
        <f t="shared" si="55"/>
        <v>ANTIGO</v>
      </c>
      <c r="E564" s="2" t="str">
        <f>"LIBERACAO DA GUIA DE CORTESIA"</f>
        <v>LIBERACAO DA GUIA DE CORTESIA</v>
      </c>
      <c r="F564" s="2" t="str">
        <f>"O_LIBE_GUIA_CORTESIA"</f>
        <v>O_LIBE_GUIA_CORTESIA</v>
      </c>
      <c r="G564" s="2" t="str">
        <f t="shared" si="58"/>
        <v xml:space="preserve"> ()</v>
      </c>
    </row>
    <row r="565" spans="1:7" x14ac:dyDescent="0.3">
      <c r="A565" s="1" t="s">
        <v>1</v>
      </c>
      <c r="B565" s="2" t="str">
        <f t="shared" si="54"/>
        <v>PARA SER ALTERADO.</v>
      </c>
      <c r="C565" s="2" t="str">
        <f>""</f>
        <v/>
      </c>
      <c r="D565" s="2" t="str">
        <f t="shared" si="55"/>
        <v>ANTIGO</v>
      </c>
      <c r="E565" s="2" t="str">
        <f>"LIBERACAO DA GUIA"</f>
        <v>LIBERACAO DA GUIA</v>
      </c>
      <c r="F565" s="2" t="str">
        <f>"O_LIBE_GUIA"</f>
        <v>O_LIBE_GUIA</v>
      </c>
      <c r="G565" s="2" t="str">
        <f t="shared" si="58"/>
        <v xml:space="preserve"> ()</v>
      </c>
    </row>
    <row r="566" spans="1:7" x14ac:dyDescent="0.3">
      <c r="A566" s="1" t="s">
        <v>1</v>
      </c>
      <c r="B566" s="2" t="str">
        <f t="shared" si="54"/>
        <v>PARA SER ALTERADO.</v>
      </c>
      <c r="C566" s="2" t="str">
        <f>""</f>
        <v/>
      </c>
      <c r="D566" s="2" t="str">
        <f t="shared" si="55"/>
        <v>ANTIGO</v>
      </c>
      <c r="E566" s="2" t="str">
        <f>"CADASTRO DE FATURAS"</f>
        <v>CADASTRO DE FATURAS</v>
      </c>
      <c r="F566" s="2" t="str">
        <f>"CAD_FAT"</f>
        <v>CAD_FAT</v>
      </c>
      <c r="G566" s="2" t="str">
        <f t="shared" si="58"/>
        <v xml:space="preserve"> ()</v>
      </c>
    </row>
    <row r="567" spans="1:7" x14ac:dyDescent="0.3">
      <c r="A567" s="1" t="s">
        <v>1</v>
      </c>
      <c r="B567" s="2" t="str">
        <f t="shared" si="54"/>
        <v>PARA SER ALTERADO.</v>
      </c>
      <c r="C567" s="2" t="str">
        <f>""</f>
        <v/>
      </c>
      <c r="D567" s="2" t="str">
        <f t="shared" si="55"/>
        <v>ANTIGO</v>
      </c>
      <c r="E567" s="2" t="str">
        <f>"VALORES DE PORTE ANESTÉSICO"</f>
        <v>VALORES DE PORTE ANESTÉSICO</v>
      </c>
      <c r="F567" s="2" t="str">
        <f>"M_VALPOR"</f>
        <v>M_VALPOR</v>
      </c>
      <c r="G567" s="2" t="str">
        <f>"MVSaude / Contas Médicas / Valoração dos Procedimentos / Portes Anestésicos / Médicos (M_VALPOR)"</f>
        <v>MVSaude / Contas Médicas / Valoração dos Procedimentos / Portes Anestésicos / Médicos (M_VALPOR)</v>
      </c>
    </row>
    <row r="568" spans="1:7" x14ac:dyDescent="0.3">
      <c r="A568" s="1" t="s">
        <v>1</v>
      </c>
      <c r="B568" s="2" t="str">
        <f t="shared" si="54"/>
        <v>PARA SER ALTERADO.</v>
      </c>
      <c r="C568" s="2" t="str">
        <f>""</f>
        <v/>
      </c>
      <c r="D568" s="2" t="str">
        <f t="shared" si="55"/>
        <v>ANTIGO</v>
      </c>
      <c r="E568" s="2" t="str">
        <f>"VALORES DE CH'S"</f>
        <v>VALORES DE CH'S</v>
      </c>
      <c r="F568" s="2" t="str">
        <f>"M_VALCH"</f>
        <v>M_VALCH</v>
      </c>
      <c r="G568" s="2" t="str">
        <f>"MVSaude / Contas Médicas / Valoração dos Procedimentos / Índices (M_VALCH)"</f>
        <v>MVSaude / Contas Médicas / Valoração dos Procedimentos / Índices (M_VALCH)</v>
      </c>
    </row>
    <row r="569" spans="1:7" x14ac:dyDescent="0.3">
      <c r="A569" s="1" t="s">
        <v>1</v>
      </c>
      <c r="B569" s="2" t="str">
        <f t="shared" si="54"/>
        <v>PARA SER ALTERADO.</v>
      </c>
      <c r="C569" s="2" t="str">
        <f>""</f>
        <v/>
      </c>
      <c r="D569" s="2" t="str">
        <f t="shared" si="55"/>
        <v>ANTIGO</v>
      </c>
      <c r="E569" s="2" t="str">
        <f>"VALORES PROCEDIMENTO"</f>
        <v>VALORES PROCEDIMENTO</v>
      </c>
      <c r="F569" s="2" t="str">
        <f>"M_VALPRO"</f>
        <v>M_VALPRO</v>
      </c>
      <c r="G569" s="2" t="str">
        <f>"MVSaude / Contas Médicas / Valoração dos Procedimentos / Procedimentos (M_VALPRO)"</f>
        <v>MVSaude / Contas Médicas / Valoração dos Procedimentos / Procedimentos (M_VALPRO)</v>
      </c>
    </row>
    <row r="570" spans="1:7" x14ac:dyDescent="0.3">
      <c r="A570" s="1" t="s">
        <v>1</v>
      </c>
      <c r="B570" s="2" t="str">
        <f t="shared" si="54"/>
        <v>PARA SER ALTERADO.</v>
      </c>
      <c r="C570" s="2" t="str">
        <f>""</f>
        <v/>
      </c>
      <c r="D570" s="2" t="str">
        <f t="shared" si="55"/>
        <v>ANTIGO</v>
      </c>
      <c r="E570" s="2" t="str">
        <f>"CONSULTA DE PROCEDIMENTOS"</f>
        <v>CONSULTA DE PROCEDIMENTOS</v>
      </c>
      <c r="F570" s="2" t="str">
        <f>"C_PROCEDIMENTO"</f>
        <v>C_PROCEDIMENTO</v>
      </c>
      <c r="G570" s="2" t="str">
        <f>" ()"</f>
        <v xml:space="preserve"> ()</v>
      </c>
    </row>
    <row r="571" spans="1:7" x14ac:dyDescent="0.3">
      <c r="A571" s="1" t="s">
        <v>1</v>
      </c>
      <c r="B571" s="2" t="str">
        <f t="shared" si="54"/>
        <v>PARA SER ALTERADO.</v>
      </c>
      <c r="C571" s="2" t="str">
        <f>""</f>
        <v/>
      </c>
      <c r="D571" s="2" t="str">
        <f t="shared" si="55"/>
        <v>ANTIGO</v>
      </c>
      <c r="E571" s="2" t="str">
        <f>"CONFIGURACAO DE PRODUTO E PROCEDIMENTO"</f>
        <v>CONFIGURACAO DE PRODUTO E PROCEDIMENTO</v>
      </c>
      <c r="F571" s="2" t="str">
        <f>"M_CONFIG_PRO"</f>
        <v>M_CONFIG_PRO</v>
      </c>
      <c r="G571" s="2" t="str">
        <f>" ()"</f>
        <v xml:space="preserve"> ()</v>
      </c>
    </row>
    <row r="572" spans="1:7" x14ac:dyDescent="0.3">
      <c r="A572" s="1" t="s">
        <v>1</v>
      </c>
      <c r="B572" s="2" t="str">
        <f t="shared" si="54"/>
        <v>PARA SER ALTERADO.</v>
      </c>
      <c r="C572" s="2" t="str">
        <f>""</f>
        <v/>
      </c>
      <c r="D572" s="2" t="str">
        <f t="shared" si="55"/>
        <v>ANTIGO</v>
      </c>
      <c r="E572" s="2" t="str">
        <f>"CONTRATO INDIVIDUAL"</f>
        <v>CONTRATO INDIVIDUAL</v>
      </c>
      <c r="F572" s="2" t="str">
        <f>"M_CONT_INDIVIDUAL"</f>
        <v>M_CONT_INDIVIDUAL</v>
      </c>
      <c r="G572" s="2" t="str">
        <f>" ()"</f>
        <v xml:space="preserve"> ()</v>
      </c>
    </row>
    <row r="573" spans="1:7" x14ac:dyDescent="0.3">
      <c r="A573" s="1" t="s">
        <v>1</v>
      </c>
      <c r="B573" s="2" t="str">
        <f t="shared" si="54"/>
        <v>PARA SER ALTERADO.</v>
      </c>
      <c r="C573" s="2" t="str">
        <f>""</f>
        <v/>
      </c>
      <c r="D573" s="2" t="str">
        <f t="shared" si="55"/>
        <v>ANTIGO</v>
      </c>
      <c r="E573" s="2" t="str">
        <f>"CONSULTA DE ZONA X PRESTADORES"</f>
        <v>CONSULTA DE ZONA X PRESTADORES</v>
      </c>
      <c r="F573" s="2" t="str">
        <f>"C_PREST_ZONA"</f>
        <v>C_PREST_ZONA</v>
      </c>
      <c r="G573" s="2" t="str">
        <f>"MVSaude / Consultas / Zona por Prestadores (C_PREST_ZONA)"</f>
        <v>MVSaude / Consultas / Zona por Prestadores (C_PREST_ZONA)</v>
      </c>
    </row>
    <row r="574" spans="1:7" x14ac:dyDescent="0.3">
      <c r="A574" s="1" t="s">
        <v>1</v>
      </c>
      <c r="B574" s="2" t="str">
        <f t="shared" si="54"/>
        <v>PARA SER ALTERADO.</v>
      </c>
      <c r="C574" s="2" t="str">
        <f>""</f>
        <v/>
      </c>
      <c r="D574" s="2" t="str">
        <f t="shared" si="55"/>
        <v>ANTIGO</v>
      </c>
      <c r="E574" s="2" t="str">
        <f>"RELAT. REP.  PREST. ANAL. PROCEDIMENTO"</f>
        <v>RELAT. REP.  PREST. ANAL. PROCEDIMENTO</v>
      </c>
      <c r="F574" s="2" t="str">
        <f>"R_REP_PREST_PROCED"</f>
        <v>R_REP_PREST_PROCED</v>
      </c>
      <c r="G574" s="2" t="str">
        <f>" ()"</f>
        <v xml:space="preserve"> ()</v>
      </c>
    </row>
    <row r="575" spans="1:7" x14ac:dyDescent="0.3">
      <c r="A575" s="1" t="s">
        <v>1</v>
      </c>
      <c r="B575" s="2" t="str">
        <f t="shared" si="54"/>
        <v>PARA SER ALTERADO.</v>
      </c>
      <c r="C575" s="2" t="str">
        <f>""</f>
        <v/>
      </c>
      <c r="D575" s="2" t="str">
        <f t="shared" si="55"/>
        <v>ANTIGO</v>
      </c>
      <c r="E575" s="2" t="str">
        <f>"HISTORICO DE ALTERAÇOES"</f>
        <v>HISTORICO DE ALTERAÇOES</v>
      </c>
      <c r="F575" s="2" t="str">
        <f>"M_HIST_ALT"</f>
        <v>M_HIST_ALT</v>
      </c>
      <c r="G575" s="2" t="str">
        <f>" ()"</f>
        <v xml:space="preserve"> ()</v>
      </c>
    </row>
    <row r="576" spans="1:7" x14ac:dyDescent="0.3">
      <c r="A576" s="1" t="s">
        <v>1</v>
      </c>
      <c r="B576" s="2" t="str">
        <f t="shared" si="54"/>
        <v>PARA SER ALTERADO.</v>
      </c>
      <c r="C576" s="2" t="str">
        <f>""</f>
        <v/>
      </c>
      <c r="D576" s="2" t="str">
        <f t="shared" si="55"/>
        <v>ANTIGO</v>
      </c>
      <c r="E576" s="2" t="str">
        <f>"CONFIGURAÇÃO DADOS DO HOSPITAL"</f>
        <v>CONFIGURAÇÃO DADOS DO HOSPITAL</v>
      </c>
      <c r="F576" s="2" t="str">
        <f>"M_HOSPITAL"</f>
        <v>M_HOSPITAL</v>
      </c>
      <c r="G576" s="2" t="str">
        <f>" ()"</f>
        <v xml:space="preserve"> ()</v>
      </c>
    </row>
    <row r="577" spans="1:7" x14ac:dyDescent="0.3">
      <c r="A577" s="1" t="s">
        <v>1</v>
      </c>
      <c r="B577" s="2" t="str">
        <f t="shared" si="54"/>
        <v>PARA SER ALTERADO.</v>
      </c>
      <c r="C577" s="2" t="str">
        <f>""</f>
        <v/>
      </c>
      <c r="D577" s="2" t="str">
        <f t="shared" si="55"/>
        <v>ANTIGO</v>
      </c>
      <c r="E577" s="2" t="str">
        <f>"CONFIGURAÇÃO RELATORIOS DE ATENDIMENTOS"</f>
        <v>CONFIGURAÇÃO RELATORIOS DE ATENDIMENTOS</v>
      </c>
      <c r="F577" s="2" t="str">
        <f>"M_REPO _ATE"</f>
        <v>M_REPO _ATE</v>
      </c>
      <c r="G577" s="2" t="str">
        <f>" ()"</f>
        <v xml:space="preserve"> ()</v>
      </c>
    </row>
    <row r="578" spans="1:7" x14ac:dyDescent="0.3">
      <c r="A578" s="1" t="s">
        <v>1</v>
      </c>
      <c r="B578" s="2" t="str">
        <f t="shared" si="54"/>
        <v>PARA SER ALTERADO.</v>
      </c>
      <c r="C578" s="2" t="str">
        <f>""</f>
        <v/>
      </c>
      <c r="D578" s="2" t="str">
        <f t="shared" si="55"/>
        <v>ANTIGO</v>
      </c>
      <c r="E578" s="2" t="s">
        <v>5</v>
      </c>
      <c r="F578" s="2" t="s">
        <v>6</v>
      </c>
      <c r="G578" s="2" t="str">
        <f>"R_SOLIC_EXAMES"</f>
        <v>R_SOLIC_EXAMES</v>
      </c>
    </row>
    <row r="579" spans="1:7" x14ac:dyDescent="0.3">
      <c r="A579" s="1" t="s">
        <v>1</v>
      </c>
      <c r="B579" s="2" t="str">
        <f t="shared" si="54"/>
        <v>PARA SER ALTERADO.</v>
      </c>
      <c r="C579" s="2" t="str">
        <f>""</f>
        <v/>
      </c>
      <c r="D579" s="2" t="str">
        <f t="shared" si="55"/>
        <v>ANTIGO</v>
      </c>
      <c r="E579" s="2" t="str">
        <f>"RELAT. DE RECEITA"</f>
        <v>RELAT. DE RECEITA</v>
      </c>
      <c r="F579" s="2" t="str">
        <f>"R_RECEITA"</f>
        <v>R_RECEITA</v>
      </c>
      <c r="G579" s="2" t="str">
        <f t="shared" ref="G579:G585" si="59">" ()"</f>
        <v xml:space="preserve"> ()</v>
      </c>
    </row>
    <row r="580" spans="1:7" x14ac:dyDescent="0.3">
      <c r="A580" s="1" t="s">
        <v>1</v>
      </c>
      <c r="B580" s="2" t="str">
        <f t="shared" si="54"/>
        <v>PARA SER ALTERADO.</v>
      </c>
      <c r="C580" s="2" t="str">
        <f>""</f>
        <v/>
      </c>
      <c r="D580" s="2" t="str">
        <f t="shared" si="55"/>
        <v>ANTIGO</v>
      </c>
      <c r="E580" s="2" t="str">
        <f>"REL. FAT GRUPO DE FATURA. POR DT. LANÇA"</f>
        <v>REL. FAT GRUPO DE FATURA. POR DT. LANÇA</v>
      </c>
      <c r="F580" s="2" t="str">
        <f>"R_FAT_GRU_FAT_DT_LAN"</f>
        <v>R_FAT_GRU_FAT_DT_LAN</v>
      </c>
      <c r="G580" s="2" t="str">
        <f t="shared" si="59"/>
        <v xml:space="preserve"> ()</v>
      </c>
    </row>
    <row r="581" spans="1:7" x14ac:dyDescent="0.3">
      <c r="A581" s="1" t="s">
        <v>1</v>
      </c>
      <c r="B581" s="2" t="str">
        <f t="shared" si="54"/>
        <v>PARA SER ALTERADO.</v>
      </c>
      <c r="C581" s="2" t="str">
        <f>""</f>
        <v/>
      </c>
      <c r="D581" s="2" t="str">
        <f t="shared" si="55"/>
        <v>ANTIGO</v>
      </c>
      <c r="E581" s="2" t="str">
        <f>"RELATORIO DE MOVIMENTAÇÃO ANALITICO"</f>
        <v>RELATORIO DE MOVIMENTAÇÃO ANALITICO</v>
      </c>
      <c r="F581" s="2" t="str">
        <f>"R_MOV_ANA"</f>
        <v>R_MOV_ANA</v>
      </c>
      <c r="G581" s="2" t="str">
        <f t="shared" si="59"/>
        <v xml:space="preserve"> ()</v>
      </c>
    </row>
    <row r="582" spans="1:7" x14ac:dyDescent="0.3">
      <c r="A582" s="1" t="s">
        <v>1</v>
      </c>
      <c r="B582" s="2" t="str">
        <f t="shared" si="54"/>
        <v>PARA SER ALTERADO.</v>
      </c>
      <c r="C582" s="2" t="str">
        <f>""</f>
        <v/>
      </c>
      <c r="D582" s="2" t="str">
        <f t="shared" si="55"/>
        <v>ANTIGO</v>
      </c>
      <c r="E582" s="2" t="str">
        <f>"CADASTRO DE CENTRO DE CUSTOS"</f>
        <v>CADASTRO DE CENTRO DE CUSTOS</v>
      </c>
      <c r="F582" s="2" t="str">
        <f>"M_CENCUS"</f>
        <v>M_CENCUS</v>
      </c>
      <c r="G582" s="2" t="str">
        <f t="shared" si="59"/>
        <v xml:space="preserve"> ()</v>
      </c>
    </row>
    <row r="583" spans="1:7" x14ac:dyDescent="0.3">
      <c r="A583" s="1" t="s">
        <v>1</v>
      </c>
      <c r="B583" s="2" t="str">
        <f t="shared" si="54"/>
        <v>PARA SER ALTERADO.</v>
      </c>
      <c r="C583" s="2" t="str">
        <f>""</f>
        <v/>
      </c>
      <c r="D583" s="2" t="str">
        <f t="shared" si="55"/>
        <v>ANTIGO</v>
      </c>
      <c r="E583" s="2" t="str">
        <f>"REL. DEVOLUCAO  DE PRODUTOS POR PACIENTE"</f>
        <v>REL. DEVOLUCAO  DE PRODUTOS POR PACIENTE</v>
      </c>
      <c r="F583" s="2" t="str">
        <f>"R_DEV_PRO_PAC"</f>
        <v>R_DEV_PRO_PAC</v>
      </c>
      <c r="G583" s="2" t="str">
        <f t="shared" si="59"/>
        <v xml:space="preserve"> ()</v>
      </c>
    </row>
    <row r="584" spans="1:7" x14ac:dyDescent="0.3">
      <c r="A584" s="1" t="s">
        <v>1</v>
      </c>
      <c r="B584" s="2" t="str">
        <f t="shared" si="54"/>
        <v>PARA SER ALTERADO.</v>
      </c>
      <c r="C584" s="2" t="str">
        <f>""</f>
        <v/>
      </c>
      <c r="D584" s="2" t="str">
        <f t="shared" si="55"/>
        <v>ANTIGO</v>
      </c>
      <c r="E584" s="2" t="str">
        <f>"MENU DO ESTOQUE"</f>
        <v>MENU DO ESTOQUE</v>
      </c>
      <c r="F584" s="2" t="str">
        <f>"MMGES"</f>
        <v>MMGES</v>
      </c>
      <c r="G584" s="2" t="str">
        <f t="shared" si="59"/>
        <v xml:space="preserve"> ()</v>
      </c>
    </row>
    <row r="585" spans="1:7" x14ac:dyDescent="0.3">
      <c r="A585" s="1" t="s">
        <v>1</v>
      </c>
      <c r="B585" s="2" t="str">
        <f t="shared" si="54"/>
        <v>PARA SER ALTERADO.</v>
      </c>
      <c r="C585" s="2" t="str">
        <f>""</f>
        <v/>
      </c>
      <c r="D585" s="2" t="str">
        <f t="shared" si="55"/>
        <v>ANTIGO</v>
      </c>
      <c r="E585" s="2" t="str">
        <f>"RELATÓRIO DE USUÁRIOS INADIMPLENTES"</f>
        <v>RELATÓRIO DE USUÁRIOS INADIMPLENTES</v>
      </c>
      <c r="F585" s="2" t="str">
        <f>"R_USUINA"</f>
        <v>R_USUINA</v>
      </c>
      <c r="G585" s="2" t="str">
        <f t="shared" si="59"/>
        <v xml:space="preserve"> ()</v>
      </c>
    </row>
    <row r="586" spans="1:7" x14ac:dyDescent="0.3">
      <c r="A586" s="1" t="s">
        <v>1</v>
      </c>
      <c r="B586" s="2" t="str">
        <f t="shared" si="54"/>
        <v>PARA SER ALTERADO.</v>
      </c>
      <c r="C586" s="2" t="str">
        <f>""</f>
        <v/>
      </c>
      <c r="D586" s="2" t="str">
        <f t="shared" si="55"/>
        <v>ANTIGO</v>
      </c>
      <c r="E586" s="2" t="str">
        <f>"EXTRATO DE IR DO PRESTADOR"</f>
        <v>EXTRATO DE IR DO PRESTADOR</v>
      </c>
      <c r="F586" s="2" t="str">
        <f>"R_EXTRATO_IR_PRESTADOR"</f>
        <v>R_EXTRATO_IR_PRESTADOR</v>
      </c>
      <c r="G586" s="2" t="str">
        <f>"MVSaude / Relatórios / Operacionais / Imposto de Renda do Prestador (R_EXTRATO_IR_PRESTADOR)"</f>
        <v>MVSaude / Relatórios / Operacionais / Imposto de Renda do Prestador (R_EXTRATO_IR_PRESTADOR)</v>
      </c>
    </row>
    <row r="587" spans="1:7" x14ac:dyDescent="0.3">
      <c r="A587" s="1" t="s">
        <v>1</v>
      </c>
      <c r="B587" s="2" t="str">
        <f t="shared" si="54"/>
        <v>PARA SER ALTERADO.</v>
      </c>
      <c r="C587" s="2" t="str">
        <f>""</f>
        <v/>
      </c>
      <c r="D587" s="2" t="str">
        <f t="shared" si="55"/>
        <v>ANTIGO</v>
      </c>
      <c r="E587" s="2" t="str">
        <f>"RELAT. DE TERMO DE RESPONSBILIDADE"</f>
        <v>RELAT. DE TERMO DE RESPONSBILIDADE</v>
      </c>
      <c r="F587" s="2" t="str">
        <f>"R_TERMO2"</f>
        <v>R_TERMO2</v>
      </c>
      <c r="G587" s="2" t="str">
        <f>" ()"</f>
        <v xml:space="preserve"> ()</v>
      </c>
    </row>
    <row r="588" spans="1:7" x14ac:dyDescent="0.3">
      <c r="A588" s="1" t="s">
        <v>1</v>
      </c>
      <c r="B588" s="2" t="str">
        <f t="shared" si="54"/>
        <v>PARA SER ALTERADO.</v>
      </c>
      <c r="C588" s="2" t="str">
        <f>""</f>
        <v/>
      </c>
      <c r="D588" s="2" t="str">
        <f t="shared" si="55"/>
        <v>ANTIGO</v>
      </c>
      <c r="E588" s="2" t="str">
        <f>"RELATORIO DE PROCEDIMENTOS RELACIONADOS"</f>
        <v>RELATORIO DE PROCEDIMENTOS RELACIONADOS</v>
      </c>
      <c r="F588" s="2" t="str">
        <f>"R_PROCRELAC"</f>
        <v>R_PROCRELAC</v>
      </c>
      <c r="G588" s="2" t="str">
        <f>" ()"</f>
        <v xml:space="preserve"> ()</v>
      </c>
    </row>
    <row r="589" spans="1:7" x14ac:dyDescent="0.3">
      <c r="A589" s="1" t="s">
        <v>1</v>
      </c>
      <c r="B589" s="2" t="str">
        <f t="shared" si="54"/>
        <v>PARA SER ALTERADO.</v>
      </c>
      <c r="C589" s="2" t="str">
        <f>""</f>
        <v/>
      </c>
      <c r="D589" s="2" t="str">
        <f t="shared" si="55"/>
        <v>ANTIGO</v>
      </c>
      <c r="E589" s="2" t="str">
        <f>"CADASTRO DE PROCEDIMENTOS"</f>
        <v>CADASTRO DE PROCEDIMENTOS</v>
      </c>
      <c r="F589" s="2" t="str">
        <f>"M_PROCEDI"</f>
        <v>M_PROCEDI</v>
      </c>
      <c r="G589" s="2" t="str">
        <f>"MVSaude / Consultas / Procedimentos (M_PROCEDI)"</f>
        <v>MVSaude / Consultas / Procedimentos (M_PROCEDI)</v>
      </c>
    </row>
    <row r="590" spans="1:7" x14ac:dyDescent="0.3">
      <c r="A590" s="1" t="s">
        <v>1</v>
      </c>
      <c r="B590" s="2" t="str">
        <f t="shared" si="54"/>
        <v>PARA SER ALTERADO.</v>
      </c>
      <c r="C590" s="2" t="str">
        <f>""</f>
        <v/>
      </c>
      <c r="D590" s="2" t="str">
        <f t="shared" si="55"/>
        <v>ANTIGO</v>
      </c>
      <c r="E590" s="2" t="str">
        <f>"CADASTRO DE PROCEDIMENTOS"</f>
        <v>CADASTRO DE PROCEDIMENTOS</v>
      </c>
      <c r="F590" s="2" t="str">
        <f>"M_PROCEDI"</f>
        <v>M_PROCEDI</v>
      </c>
      <c r="G590" s="2" t="str">
        <f>"MVSaude / Contas Médicas / Tabelas / Procedimentos (M_PROCEDI)"</f>
        <v>MVSaude / Contas Médicas / Tabelas / Procedimentos (M_PROCEDI)</v>
      </c>
    </row>
    <row r="591" spans="1:7" x14ac:dyDescent="0.3">
      <c r="A591" s="1" t="s">
        <v>1</v>
      </c>
      <c r="B591" s="2" t="str">
        <f t="shared" si="54"/>
        <v>PARA SER ALTERADO.</v>
      </c>
      <c r="C591" s="2" t="str">
        <f>""</f>
        <v/>
      </c>
      <c r="D591" s="2" t="str">
        <f t="shared" si="55"/>
        <v>ANTIGO</v>
      </c>
      <c r="E591" s="2" t="str">
        <f>"REL. DE INTERNAÇÕES POR UNIDADE DE INTER"</f>
        <v>REL. DE INTERNAÇÕES POR UNIDADE DE INTER</v>
      </c>
      <c r="F591" s="2" t="str">
        <f>"R_EST_UNIDADE"</f>
        <v>R_EST_UNIDADE</v>
      </c>
      <c r="G591" s="2" t="str">
        <f>" ()"</f>
        <v xml:space="preserve"> ()</v>
      </c>
    </row>
    <row r="592" spans="1:7" x14ac:dyDescent="0.3">
      <c r="A592" s="1" t="s">
        <v>1</v>
      </c>
      <c r="B592" s="2" t="str">
        <f t="shared" si="54"/>
        <v>PARA SER ALTERADO.</v>
      </c>
      <c r="C592" s="2" t="str">
        <f>""</f>
        <v/>
      </c>
      <c r="D592" s="2" t="str">
        <f t="shared" si="55"/>
        <v>ANTIGO</v>
      </c>
      <c r="E592" s="2" t="str">
        <f>"RELATORIO DE USUARIO POR EMPRESA/CCUSTO"</f>
        <v>RELATORIO DE USUARIO POR EMPRESA/CCUSTO</v>
      </c>
      <c r="F592" s="2" t="str">
        <f>"R_USUCCUSTO"</f>
        <v>R_USUCCUSTO</v>
      </c>
      <c r="G592" s="2" t="str">
        <f>"MVSaude / Relatórios / Operacionais / Usuário por Empresa / Centro de Custo (R_USUCCUSTO)"</f>
        <v>MVSaude / Relatórios / Operacionais / Usuário por Empresa / Centro de Custo (R_USUCCUSTO)</v>
      </c>
    </row>
    <row r="593" spans="1:7" x14ac:dyDescent="0.3">
      <c r="A593" s="1" t="s">
        <v>1</v>
      </c>
      <c r="B593" s="2" t="str">
        <f t="shared" si="54"/>
        <v>PARA SER ALTERADO.</v>
      </c>
      <c r="C593" s="2" t="str">
        <f>""</f>
        <v/>
      </c>
      <c r="D593" s="2" t="str">
        <f t="shared" si="55"/>
        <v>ANTIGO</v>
      </c>
      <c r="E593" s="2" t="str">
        <f>"EXTRATO DA VIDA PREGRESSA DO USUARIO"</f>
        <v>EXTRATO DA VIDA PREGRESSA DO USUARIO</v>
      </c>
      <c r="F593" s="2" t="str">
        <f>"R_VIDA_PREGRESSA"</f>
        <v>R_VIDA_PREGRESSA</v>
      </c>
      <c r="G593" s="2" t="str">
        <f t="shared" ref="G593:G610" si="60">" ()"</f>
        <v xml:space="preserve"> ()</v>
      </c>
    </row>
    <row r="594" spans="1:7" x14ac:dyDescent="0.3">
      <c r="A594" s="1" t="s">
        <v>1</v>
      </c>
      <c r="B594" s="2" t="str">
        <f t="shared" si="54"/>
        <v>PARA SER ALTERADO.</v>
      </c>
      <c r="C594" s="2" t="str">
        <f>""</f>
        <v/>
      </c>
      <c r="D594" s="2" t="str">
        <f t="shared" si="55"/>
        <v>ANTIGO</v>
      </c>
      <c r="E594" s="2" t="str">
        <f>"CONSULTA DE BOLETO BANCARIO"</f>
        <v>CONSULTA DE BOLETO BANCARIO</v>
      </c>
      <c r="F594" s="2" t="str">
        <f>"C_BOLETO"</f>
        <v>C_BOLETO</v>
      </c>
      <c r="G594" s="2" t="str">
        <f t="shared" si="60"/>
        <v xml:space="preserve"> ()</v>
      </c>
    </row>
    <row r="595" spans="1:7" x14ac:dyDescent="0.3">
      <c r="A595" s="1" t="s">
        <v>1</v>
      </c>
      <c r="B595" s="2" t="str">
        <f t="shared" ref="B595:B610" si="61">"PARA SER ALTERADO."</f>
        <v>PARA SER ALTERADO.</v>
      </c>
      <c r="C595" s="2" t="str">
        <f>""</f>
        <v/>
      </c>
      <c r="D595" s="2" t="str">
        <f t="shared" ref="D595:D610" si="62">"ANTIGO"</f>
        <v>ANTIGO</v>
      </c>
      <c r="E595" s="2" t="str">
        <f>"MENU DE COMPRAS"</f>
        <v>MENU DE COMPRAS</v>
      </c>
      <c r="F595" s="2" t="str">
        <f>"MMGCO"</f>
        <v>MMGCO</v>
      </c>
      <c r="G595" s="2" t="str">
        <f t="shared" si="60"/>
        <v xml:space="preserve"> ()</v>
      </c>
    </row>
    <row r="596" spans="1:7" x14ac:dyDescent="0.3">
      <c r="A596" s="1" t="s">
        <v>1</v>
      </c>
      <c r="B596" s="2" t="str">
        <f t="shared" si="61"/>
        <v>PARA SER ALTERADO.</v>
      </c>
      <c r="C596" s="2" t="str">
        <f>""</f>
        <v/>
      </c>
      <c r="D596" s="2" t="str">
        <f t="shared" si="62"/>
        <v>ANTIGO</v>
      </c>
      <c r="E596" s="2" t="str">
        <f>"RELAT. DE TERMO DE RESPONSABILIDADE"</f>
        <v>RELAT. DE TERMO DE RESPONSABILIDADE</v>
      </c>
      <c r="F596" s="2" t="str">
        <f>"R_TERMO_COMP"</f>
        <v>R_TERMO_COMP</v>
      </c>
      <c r="G596" s="2" t="str">
        <f t="shared" si="60"/>
        <v xml:space="preserve"> ()</v>
      </c>
    </row>
    <row r="597" spans="1:7" x14ac:dyDescent="0.3">
      <c r="A597" s="1" t="s">
        <v>1</v>
      </c>
      <c r="B597" s="2" t="str">
        <f t="shared" si="61"/>
        <v>PARA SER ALTERADO.</v>
      </c>
      <c r="C597" s="2" t="str">
        <f>""</f>
        <v/>
      </c>
      <c r="D597" s="2" t="str">
        <f t="shared" si="62"/>
        <v>ANTIGO</v>
      </c>
      <c r="E597" s="2" t="str">
        <f>"CADASTRO DE GUIAS DE CORTESIA"</f>
        <v>CADASTRO DE GUIAS DE CORTESIA</v>
      </c>
      <c r="F597" s="2" t="str">
        <f>"M_GUIA_CORTESIA"</f>
        <v>M_GUIA_CORTESIA</v>
      </c>
      <c r="G597" s="2" t="str">
        <f t="shared" si="60"/>
        <v xml:space="preserve"> ()</v>
      </c>
    </row>
    <row r="598" spans="1:7" x14ac:dyDescent="0.3">
      <c r="A598" s="1" t="s">
        <v>1</v>
      </c>
      <c r="B598" s="2" t="str">
        <f t="shared" si="61"/>
        <v>PARA SER ALTERADO.</v>
      </c>
      <c r="C598" s="2" t="str">
        <f>""</f>
        <v/>
      </c>
      <c r="D598" s="2" t="str">
        <f t="shared" si="62"/>
        <v>ANTIGO</v>
      </c>
      <c r="E598" s="2" t="str">
        <f>"REL. CUSTO CATEG. E FAIXA ETARIA"</f>
        <v>REL. CUSTO CATEG. E FAIXA ETARIA</v>
      </c>
      <c r="F598" s="2" t="str">
        <f>"R_CUSTO_CATEG_FX_ETARIA"</f>
        <v>R_CUSTO_CATEG_FX_ETARIA</v>
      </c>
      <c r="G598" s="2" t="str">
        <f t="shared" si="60"/>
        <v xml:space="preserve"> ()</v>
      </c>
    </row>
    <row r="599" spans="1:7" x14ac:dyDescent="0.3">
      <c r="A599" s="1" t="s">
        <v>1</v>
      </c>
      <c r="B599" s="2" t="str">
        <f t="shared" si="61"/>
        <v>PARA SER ALTERADO.</v>
      </c>
      <c r="C599" s="2" t="str">
        <f>""</f>
        <v/>
      </c>
      <c r="D599" s="2" t="str">
        <f t="shared" si="62"/>
        <v>ANTIGO</v>
      </c>
      <c r="E599" s="2" t="str">
        <f>"REL. CUSTO POR CONTRATO"</f>
        <v>REL. CUSTO POR CONTRATO</v>
      </c>
      <c r="F599" s="2" t="str">
        <f>"R_CUSTO_CONTRATO"</f>
        <v>R_CUSTO_CONTRATO</v>
      </c>
      <c r="G599" s="2" t="str">
        <f t="shared" si="60"/>
        <v xml:space="preserve"> ()</v>
      </c>
    </row>
    <row r="600" spans="1:7" x14ac:dyDescent="0.3">
      <c r="A600" s="1" t="s">
        <v>1</v>
      </c>
      <c r="B600" s="2" t="str">
        <f t="shared" si="61"/>
        <v>PARA SER ALTERADO.</v>
      </c>
      <c r="C600" s="2" t="str">
        <f>""</f>
        <v/>
      </c>
      <c r="D600" s="2" t="str">
        <f t="shared" si="62"/>
        <v>ANTIGO</v>
      </c>
      <c r="E600" s="2" t="str">
        <f>"REL. MEDIAS VAL. MENS. EMPRESA VENDEDORA"</f>
        <v>REL. MEDIAS VAL. MENS. EMPRESA VENDEDORA</v>
      </c>
      <c r="F600" s="2" t="str">
        <f>"R_EMPVENDSINT"</f>
        <v>R_EMPVENDSINT</v>
      </c>
      <c r="G600" s="2" t="str">
        <f t="shared" si="60"/>
        <v xml:space="preserve"> ()</v>
      </c>
    </row>
    <row r="601" spans="1:7" x14ac:dyDescent="0.3">
      <c r="A601" s="1" t="s">
        <v>1</v>
      </c>
      <c r="B601" s="2" t="str">
        <f t="shared" si="61"/>
        <v>PARA SER ALTERADO.</v>
      </c>
      <c r="C601" s="2" t="str">
        <f>""</f>
        <v/>
      </c>
      <c r="D601" s="2" t="str">
        <f t="shared" si="62"/>
        <v>ANTIGO</v>
      </c>
      <c r="E601" s="2" t="str">
        <f>"REL. MEDIA VAL. MENS. POR CATEG."</f>
        <v>REL. MEDIA VAL. MENS. POR CATEG.</v>
      </c>
      <c r="F601" s="2" t="str">
        <f>"R_USUCATMENSALIDADE"</f>
        <v>R_USUCATMENSALIDADE</v>
      </c>
      <c r="G601" s="2" t="str">
        <f t="shared" si="60"/>
        <v xml:space="preserve"> ()</v>
      </c>
    </row>
    <row r="602" spans="1:7" x14ac:dyDescent="0.3">
      <c r="A602" s="1" t="s">
        <v>1</v>
      </c>
      <c r="B602" s="2" t="str">
        <f t="shared" si="61"/>
        <v>PARA SER ALTERADO.</v>
      </c>
      <c r="C602" s="2" t="str">
        <f>""</f>
        <v/>
      </c>
      <c r="D602" s="2" t="str">
        <f t="shared" si="62"/>
        <v>ANTIGO</v>
      </c>
      <c r="E602" s="2" t="str">
        <f>"BIBLIOTECA DE VALIDACAO DE ACESSO AO SIS"</f>
        <v>BIBLIOTECA DE VALIDACAO DE ACESSO AO SIS</v>
      </c>
      <c r="F602" s="2" t="str">
        <f>"AUTENTICA"</f>
        <v>AUTENTICA</v>
      </c>
      <c r="G602" s="2" t="str">
        <f t="shared" si="60"/>
        <v xml:space="preserve"> ()</v>
      </c>
    </row>
    <row r="603" spans="1:7" x14ac:dyDescent="0.3">
      <c r="A603" s="1" t="s">
        <v>1</v>
      </c>
      <c r="B603" s="2" t="str">
        <f t="shared" si="61"/>
        <v>PARA SER ALTERADO.</v>
      </c>
      <c r="C603" s="2" t="str">
        <f>""</f>
        <v/>
      </c>
      <c r="D603" s="2" t="str">
        <f t="shared" si="62"/>
        <v>ANTIGO</v>
      </c>
      <c r="E603" s="2" t="str">
        <f>"Localização de Prontuários"</f>
        <v>Localização de Prontuários</v>
      </c>
      <c r="F603" s="2" t="str">
        <f>"r_local_pront"</f>
        <v>r_local_pront</v>
      </c>
      <c r="G603" s="2" t="str">
        <f t="shared" si="60"/>
        <v xml:space="preserve"> ()</v>
      </c>
    </row>
    <row r="604" spans="1:7" x14ac:dyDescent="0.3">
      <c r="A604" s="1" t="s">
        <v>1</v>
      </c>
      <c r="B604" s="2" t="str">
        <f t="shared" si="61"/>
        <v>PARA SER ALTERADO.</v>
      </c>
      <c r="C604" s="2" t="str">
        <f>""</f>
        <v/>
      </c>
      <c r="D604" s="2" t="str">
        <f t="shared" si="62"/>
        <v>ANTIGO</v>
      </c>
      <c r="E604" s="2" t="str">
        <f>"Remessa para Micro_Filmagem"</f>
        <v>Remessa para Micro_Filmagem</v>
      </c>
      <c r="F604" s="2" t="str">
        <f>"r_remessa"</f>
        <v>r_remessa</v>
      </c>
      <c r="G604" s="2" t="str">
        <f t="shared" si="60"/>
        <v xml:space="preserve"> ()</v>
      </c>
    </row>
    <row r="605" spans="1:7" x14ac:dyDescent="0.3">
      <c r="A605" s="1" t="s">
        <v>1</v>
      </c>
      <c r="B605" s="2" t="str">
        <f t="shared" si="61"/>
        <v>PARA SER ALTERADO.</v>
      </c>
      <c r="C605" s="2" t="str">
        <f>""</f>
        <v/>
      </c>
      <c r="D605" s="2" t="str">
        <f t="shared" si="62"/>
        <v>ANTIGO</v>
      </c>
      <c r="E605" s="2" t="str">
        <f>"Remessa para Micro_Filmagem"</f>
        <v>Remessa para Micro_Filmagem</v>
      </c>
      <c r="F605" s="2" t="str">
        <f>"m_contr_mf"</f>
        <v>m_contr_mf</v>
      </c>
      <c r="G605" s="2" t="str">
        <f t="shared" si="60"/>
        <v xml:space="preserve"> ()</v>
      </c>
    </row>
    <row r="606" spans="1:7" x14ac:dyDescent="0.3">
      <c r="A606" s="1" t="s">
        <v>1</v>
      </c>
      <c r="B606" s="2" t="str">
        <f t="shared" si="61"/>
        <v>PARA SER ALTERADO.</v>
      </c>
      <c r="C606" s="2" t="str">
        <f>""</f>
        <v/>
      </c>
      <c r="D606" s="2" t="str">
        <f t="shared" si="62"/>
        <v>ANTIGO</v>
      </c>
      <c r="E606" s="2" t="str">
        <f>"QUESTIONÁRIO PRÉ-ANESTÉSICO"</f>
        <v>QUESTIONÁRIO PRÉ-ANESTÉSICO</v>
      </c>
      <c r="F606" s="2" t="str">
        <f>"R_QUEST_PANES"</f>
        <v>R_QUEST_PANES</v>
      </c>
      <c r="G606" s="2" t="str">
        <f t="shared" si="60"/>
        <v xml:space="preserve"> ()</v>
      </c>
    </row>
    <row r="607" spans="1:7" x14ac:dyDescent="0.3">
      <c r="A607" s="1" t="s">
        <v>1</v>
      </c>
      <c r="B607" s="2" t="str">
        <f t="shared" si="61"/>
        <v>PARA SER ALTERADO.</v>
      </c>
      <c r="C607" s="2" t="str">
        <f>""</f>
        <v/>
      </c>
      <c r="D607" s="2" t="str">
        <f t="shared" si="62"/>
        <v>ANTIGO</v>
      </c>
      <c r="E607" s="2" t="str">
        <f>"Pacientes Agendados"</f>
        <v>Pacientes Agendados</v>
      </c>
      <c r="F607" s="2" t="str">
        <f>"R_PRONT_AGD"</f>
        <v>R_PRONT_AGD</v>
      </c>
      <c r="G607" s="2" t="str">
        <f t="shared" si="60"/>
        <v xml:space="preserve"> ()</v>
      </c>
    </row>
    <row r="608" spans="1:7" x14ac:dyDescent="0.3">
      <c r="A608" s="1" t="s">
        <v>1</v>
      </c>
      <c r="B608" s="2" t="str">
        <f t="shared" si="61"/>
        <v>PARA SER ALTERADO.</v>
      </c>
      <c r="C608" s="2" t="str">
        <f>""</f>
        <v/>
      </c>
      <c r="D608" s="2" t="str">
        <f t="shared" si="62"/>
        <v>ANTIGO</v>
      </c>
      <c r="E608" s="2" t="str">
        <f>"REL. DE SOL. POR SISTEMA E RESP."</f>
        <v>REL. DE SOL. POR SISTEMA E RESP.</v>
      </c>
      <c r="F608" s="2" t="str">
        <f>"R_SOL_SIS_RES"</f>
        <v>R_SOL_SIS_RES</v>
      </c>
      <c r="G608" s="2" t="str">
        <f t="shared" si="60"/>
        <v xml:space="preserve"> ()</v>
      </c>
    </row>
    <row r="609" spans="1:7" x14ac:dyDescent="0.3">
      <c r="A609" s="1" t="s">
        <v>1</v>
      </c>
      <c r="B609" s="2" t="str">
        <f t="shared" si="61"/>
        <v>PARA SER ALTERADO.</v>
      </c>
      <c r="C609" s="2" t="str">
        <f>""</f>
        <v/>
      </c>
      <c r="D609" s="2" t="str">
        <f t="shared" si="62"/>
        <v>ANTIGO</v>
      </c>
      <c r="E609" s="2" t="str">
        <f>"REL. DE SOLICITAÇÕES POR RESPONSAVEL"</f>
        <v>REL. DE SOLICITAÇÕES POR RESPONSAVEL</v>
      </c>
      <c r="F609" s="2" t="str">
        <f>"R_SOL_RESP_SIS"</f>
        <v>R_SOL_RESP_SIS</v>
      </c>
      <c r="G609" s="2" t="str">
        <f t="shared" si="60"/>
        <v xml:space="preserve"> ()</v>
      </c>
    </row>
    <row r="610" spans="1:7" x14ac:dyDescent="0.3">
      <c r="A610" s="1" t="s">
        <v>1</v>
      </c>
      <c r="B610" s="2" t="str">
        <f t="shared" si="61"/>
        <v>PARA SER ALTERADO.</v>
      </c>
      <c r="C610" s="2" t="str">
        <f>""</f>
        <v/>
      </c>
      <c r="D610" s="2" t="str">
        <f t="shared" si="62"/>
        <v>ANTIGO</v>
      </c>
      <c r="E610" s="2" t="str">
        <f>"REL. GRUPO DE FAT. X GRUPO DE PROC. COMP"</f>
        <v>REL. GRUPO DE FAT. X GRUPO DE PROC. COMP</v>
      </c>
      <c r="F610" s="2" t="str">
        <f>"R_GEN_GRU_FAT"</f>
        <v>R_GEN_GRU_FAT</v>
      </c>
      <c r="G610" s="2" t="str">
        <f t="shared" si="60"/>
        <v xml:space="preserve"> ()</v>
      </c>
    </row>
    <row r="611" spans="1:7" x14ac:dyDescent="0.3">
      <c r="A611" s="1" t="s">
        <v>7</v>
      </c>
      <c r="B611" s="2"/>
      <c r="C611" s="2"/>
      <c r="D611" s="2" t="s">
        <v>2</v>
      </c>
      <c r="E611" s="2" t="str">
        <f>"S"</f>
        <v>S</v>
      </c>
      <c r="F611" s="2" t="str">
        <f>"N"</f>
        <v>N</v>
      </c>
      <c r="G611" s="2" t="str">
        <f>"N"</f>
        <v>N</v>
      </c>
    </row>
    <row r="612" spans="1:7" x14ac:dyDescent="0.3">
      <c r="A612" s="1" t="s">
        <v>4</v>
      </c>
      <c r="B612" s="2" t="str">
        <f t="shared" ref="B612:B632" si="63">"PARA SER ALTERADO."</f>
        <v>PARA SER ALTERADO.</v>
      </c>
      <c r="C612" s="2" t="str">
        <f>""</f>
        <v/>
      </c>
      <c r="D612" s="2" t="str">
        <f t="shared" ref="D612:D632" si="64">"ANTIGO"</f>
        <v>ANTIGO</v>
      </c>
      <c r="E612" s="2" t="str">
        <f>"CADASTRADOS DE SOLICITACAO"</f>
        <v>CADASTRADOS DE SOLICITACAO</v>
      </c>
      <c r="F612" s="2" t="str">
        <f>"M_SOLICITACAO"</f>
        <v>M_SOLICITACAO</v>
      </c>
      <c r="G612" s="2" t="str">
        <f>" ()"</f>
        <v xml:space="preserve"> ()</v>
      </c>
    </row>
    <row r="613" spans="1:7" x14ac:dyDescent="0.3">
      <c r="A613" s="1" t="s">
        <v>4</v>
      </c>
      <c r="B613" s="2" t="str">
        <f t="shared" si="63"/>
        <v>PARA SER ALTERADO.</v>
      </c>
      <c r="C613" s="2" t="str">
        <f>""</f>
        <v/>
      </c>
      <c r="D613" s="2" t="str">
        <f t="shared" si="64"/>
        <v>ANTIGO</v>
      </c>
      <c r="E613" s="2" t="str">
        <f>"FUNCIONARIOS DO PSV"</f>
        <v>FUNCIONARIOS DO PSV</v>
      </c>
      <c r="F613" s="2" t="str">
        <f>"M_FUNCIONARIO"</f>
        <v>M_FUNCIONARIO</v>
      </c>
      <c r="G613" s="2" t="str">
        <f>" ()"</f>
        <v xml:space="preserve"> ()</v>
      </c>
    </row>
    <row r="614" spans="1:7" x14ac:dyDescent="0.3">
      <c r="A614" s="1" t="s">
        <v>4</v>
      </c>
      <c r="B614" s="2" t="str">
        <f t="shared" si="63"/>
        <v>PARA SER ALTERADO.</v>
      </c>
      <c r="C614" s="2" t="str">
        <f>""</f>
        <v/>
      </c>
      <c r="D614" s="2" t="str">
        <f t="shared" si="64"/>
        <v>ANTIGO</v>
      </c>
      <c r="E614" s="2" t="str">
        <f>"REL. DE DESLIGAMENTO DE CONTRATO"</f>
        <v>REL. DE DESLIGAMENTO DE CONTRATO</v>
      </c>
      <c r="F614" s="2" t="str">
        <f>"R_DESLCONTRATO"</f>
        <v>R_DESLCONTRATO</v>
      </c>
      <c r="G614" s="2" t="str">
        <f>"MVSaude / Relatórios / Operacionais / Desligamento (R_DESLCONTRATO)"</f>
        <v>MVSaude / Relatórios / Operacionais / Desligamento (R_DESLCONTRATO)</v>
      </c>
    </row>
    <row r="615" spans="1:7" x14ac:dyDescent="0.3">
      <c r="A615" s="1" t="s">
        <v>4</v>
      </c>
      <c r="B615" s="2" t="str">
        <f t="shared" si="63"/>
        <v>PARA SER ALTERADO.</v>
      </c>
      <c r="C615" s="2" t="str">
        <f>""</f>
        <v/>
      </c>
      <c r="D615" s="2" t="str">
        <f t="shared" si="64"/>
        <v>ANTIGO</v>
      </c>
      <c r="E615" s="2" t="str">
        <f>"RELAT. DE CONTAGEM DE PROD POR ESPECIE"</f>
        <v>RELAT. DE CONTAGEM DE PROD POR ESPECIE</v>
      </c>
      <c r="F615" s="2" t="str">
        <f>"R_LISTAGEM"</f>
        <v>R_LISTAGEM</v>
      </c>
      <c r="G615" s="2" t="str">
        <f>" ()"</f>
        <v xml:space="preserve"> ()</v>
      </c>
    </row>
    <row r="616" spans="1:7" x14ac:dyDescent="0.3">
      <c r="A616" s="1" t="s">
        <v>4</v>
      </c>
      <c r="B616" s="2" t="str">
        <f t="shared" si="63"/>
        <v>PARA SER ALTERADO.</v>
      </c>
      <c r="C616" s="2" t="str">
        <f>""</f>
        <v/>
      </c>
      <c r="D616" s="2" t="str">
        <f t="shared" si="64"/>
        <v>ANTIGO</v>
      </c>
      <c r="E616" s="2" t="str">
        <f>"BAIXA DE EXAMES"</f>
        <v>BAIXA DE EXAMES</v>
      </c>
      <c r="F616" s="2" t="str">
        <f>"M_BAIXA"</f>
        <v>M_BAIXA</v>
      </c>
      <c r="G616" s="2" t="str">
        <f>" ()"</f>
        <v xml:space="preserve"> ()</v>
      </c>
    </row>
    <row r="617" spans="1:7" x14ac:dyDescent="0.3">
      <c r="A617" s="1" t="s">
        <v>4</v>
      </c>
      <c r="B617" s="2" t="str">
        <f t="shared" si="63"/>
        <v>PARA SER ALTERADO.</v>
      </c>
      <c r="C617" s="2" t="str">
        <f>""</f>
        <v/>
      </c>
      <c r="D617" s="2" t="str">
        <f t="shared" si="64"/>
        <v>ANTIGO</v>
      </c>
      <c r="E617" s="2" t="str">
        <f>"RELATÓRIO DE DESLIGAMENTO DE USUARIOS"</f>
        <v>RELATÓRIO DE DESLIGAMENTO DE USUARIOS</v>
      </c>
      <c r="F617" s="2" t="str">
        <f>"R_MOVDES"</f>
        <v>R_MOVDES</v>
      </c>
      <c r="G617" s="2" t="str">
        <f>" ()"</f>
        <v xml:space="preserve"> ()</v>
      </c>
    </row>
    <row r="618" spans="1:7" x14ac:dyDescent="0.3">
      <c r="A618" s="1" t="s">
        <v>4</v>
      </c>
      <c r="B618" s="2" t="str">
        <f t="shared" si="63"/>
        <v>PARA SER ALTERADO.</v>
      </c>
      <c r="C618" s="2" t="str">
        <f>""</f>
        <v/>
      </c>
      <c r="D618" s="2" t="str">
        <f t="shared" si="64"/>
        <v>ANTIGO</v>
      </c>
      <c r="E618" s="2" t="str">
        <f>"LIST. DE PROC. SEM VALORES CADASTRADOS"</f>
        <v>LIST. DE PROC. SEM VALORES CADASTRADOS</v>
      </c>
      <c r="F618" s="2" t="str">
        <f>"R_PROC_NAO_VALORES"</f>
        <v>R_PROC_NAO_VALORES</v>
      </c>
      <c r="G618" s="2" t="str">
        <f>"MVSaude / Relatórios / Operacionais / Proced. Cadastrados e Não Configurados (R_PROC_NAO_VALORES)"</f>
        <v>MVSaude / Relatórios / Operacionais / Proced. Cadastrados e Não Configurados (R_PROC_NAO_VALORES)</v>
      </c>
    </row>
    <row r="619" spans="1:7" x14ac:dyDescent="0.3">
      <c r="A619" s="1" t="s">
        <v>4</v>
      </c>
      <c r="B619" s="2" t="str">
        <f t="shared" si="63"/>
        <v>PARA SER ALTERADO.</v>
      </c>
      <c r="C619" s="2" t="str">
        <f>""</f>
        <v/>
      </c>
      <c r="D619" s="2" t="str">
        <f t="shared" si="64"/>
        <v>ANTIGO</v>
      </c>
      <c r="E619" s="2" t="str">
        <f>"CONSULTA DE VIDA PREGRESSA USUÁRIO"</f>
        <v>CONSULTA DE VIDA PREGRESSA USUÁRIO</v>
      </c>
      <c r="F619" s="2" t="str">
        <f>"C_VIDA_PREGRE"</f>
        <v>C_VIDA_PREGRE</v>
      </c>
      <c r="G619" s="2" t="str">
        <f>" ()"</f>
        <v xml:space="preserve"> ()</v>
      </c>
    </row>
    <row r="620" spans="1:7" x14ac:dyDescent="0.3">
      <c r="A620" s="1" t="s">
        <v>4</v>
      </c>
      <c r="B620" s="2" t="str">
        <f t="shared" si="63"/>
        <v>PARA SER ALTERADO.</v>
      </c>
      <c r="C620" s="2" t="str">
        <f>""</f>
        <v/>
      </c>
      <c r="D620" s="2" t="str">
        <f t="shared" si="64"/>
        <v>ANTIGO</v>
      </c>
      <c r="E620" s="2" t="str">
        <f>"REL. PRODUÇÃO DE PREST. POR ESP/ REMESSA"</f>
        <v>REL. PRODUÇÃO DE PREST. POR ESP/ REMESSA</v>
      </c>
      <c r="F620" s="2" t="str">
        <f>"R_PROD_PREST_ESP_REMESSA"</f>
        <v>R_PROD_PREST_ESP_REMESSA</v>
      </c>
      <c r="G620" s="2" t="str">
        <f>"MVSaude / Relatórios / Contas Médicas / Procedimentos por Prestador (R_PROD_PREST_ESP_REMESSA)"</f>
        <v>MVSaude / Relatórios / Contas Médicas / Procedimentos por Prestador (R_PROD_PREST_ESP_REMESSA)</v>
      </c>
    </row>
    <row r="621" spans="1:7" x14ac:dyDescent="0.3">
      <c r="A621" s="1" t="s">
        <v>4</v>
      </c>
      <c r="B621" s="2" t="str">
        <f t="shared" si="63"/>
        <v>PARA SER ALTERADO.</v>
      </c>
      <c r="C621" s="2" t="str">
        <f>""</f>
        <v/>
      </c>
      <c r="D621" s="2" t="str">
        <f t="shared" si="64"/>
        <v>ANTIGO</v>
      </c>
      <c r="E621" s="2" t="str">
        <f>"LISTAGEM DE PROCEDIMENTOS COM VALORES"</f>
        <v>LISTAGEM DE PROCEDIMENTOS COM VALORES</v>
      </c>
      <c r="F621" s="2" t="str">
        <f>"R_VALPROPRE"</f>
        <v>R_VALPROPRE</v>
      </c>
      <c r="G621" s="2" t="str">
        <f>"MVSaude / Relatórios / Tabelas / Faturamento / Valores dos Procedimentos / Com Preço (R_VALPROPRE)"</f>
        <v>MVSaude / Relatórios / Tabelas / Faturamento / Valores dos Procedimentos / Com Preço (R_VALPROPRE)</v>
      </c>
    </row>
    <row r="622" spans="1:7" x14ac:dyDescent="0.3">
      <c r="A622" s="1" t="s">
        <v>4</v>
      </c>
      <c r="B622" s="2" t="str">
        <f t="shared" si="63"/>
        <v>PARA SER ALTERADO.</v>
      </c>
      <c r="C622" s="2" t="str">
        <f>""</f>
        <v/>
      </c>
      <c r="D622" s="2" t="str">
        <f t="shared" si="64"/>
        <v>ANTIGO</v>
      </c>
      <c r="E622" s="2" t="str">
        <f>"TABELA DE PREÇOS DE PROCEDIMENTOS"</f>
        <v>TABELA DE PREÇOS DE PROCEDIMENTOS</v>
      </c>
      <c r="F622" s="2" t="str">
        <f>"R_VALPRO"</f>
        <v>R_VALPRO</v>
      </c>
      <c r="G622" s="2" t="str">
        <f>"MVSaude / Relatórios / Tabelas / Faturamento / Valores dos Procedimentos / Procedimentos (R_VALPRO)"</f>
        <v>MVSaude / Relatórios / Tabelas / Faturamento / Valores dos Procedimentos / Procedimentos (R_VALPRO)</v>
      </c>
    </row>
    <row r="623" spans="1:7" x14ac:dyDescent="0.3">
      <c r="A623" s="1" t="s">
        <v>4</v>
      </c>
      <c r="B623" s="2" t="str">
        <f t="shared" si="63"/>
        <v>PARA SER ALTERADO.</v>
      </c>
      <c r="C623" s="2" t="str">
        <f>""</f>
        <v/>
      </c>
      <c r="D623" s="2" t="str">
        <f t="shared" si="64"/>
        <v>ANTIGO</v>
      </c>
      <c r="E623" s="2" t="str">
        <f>"REL. CADASTRAL GRUPO DE PROCEDIMENTO"</f>
        <v>REL. CADASTRAL GRUPO DE PROCEDIMENTO</v>
      </c>
      <c r="F623" s="2" t="str">
        <f>"R_GRUPRO"</f>
        <v>R_GRUPRO</v>
      </c>
      <c r="G623" s="2" t="str">
        <f>"MVSaude / Relatórios / Tabelas / Faturamento / Grupos de Procedimentos (R_GRUPRO)"</f>
        <v>MVSaude / Relatórios / Tabelas / Faturamento / Grupos de Procedimentos (R_GRUPRO)</v>
      </c>
    </row>
    <row r="624" spans="1:7" x14ac:dyDescent="0.3">
      <c r="A624" s="1" t="s">
        <v>4</v>
      </c>
      <c r="B624" s="2" t="str">
        <f t="shared" si="63"/>
        <v>PARA SER ALTERADO.</v>
      </c>
      <c r="C624" s="2" t="str">
        <f>""</f>
        <v/>
      </c>
      <c r="D624" s="2" t="str">
        <f t="shared" si="64"/>
        <v>ANTIGO</v>
      </c>
      <c r="E624" s="2" t="str">
        <f>"RELATÓRIO DE KIT PRESTADOR"</f>
        <v>RELATÓRIO DE KIT PRESTADOR</v>
      </c>
      <c r="F624" s="2" t="str">
        <f>"R_KIT_PRES"</f>
        <v>R_KIT_PRES</v>
      </c>
      <c r="G624" s="2" t="str">
        <f>"MVSaude / Relatórios / Tabelas / Kits / Por Prestador (R_KIT_PRES)"</f>
        <v>MVSaude / Relatórios / Tabelas / Kits / Por Prestador (R_KIT_PRES)</v>
      </c>
    </row>
    <row r="625" spans="1:7" x14ac:dyDescent="0.3">
      <c r="A625" s="1" t="s">
        <v>4</v>
      </c>
      <c r="B625" s="2" t="str">
        <f t="shared" si="63"/>
        <v>PARA SER ALTERADO.</v>
      </c>
      <c r="C625" s="2" t="str">
        <f>""</f>
        <v/>
      </c>
      <c r="D625" s="2" t="str">
        <f t="shared" si="64"/>
        <v>ANTIGO</v>
      </c>
      <c r="E625" s="2" t="str">
        <f>"PACKAGE DO SGPS"</f>
        <v>PACKAGE DO SGPS</v>
      </c>
      <c r="F625" s="2" t="str">
        <f>"PACK_SGPS"</f>
        <v>PACK_SGPS</v>
      </c>
      <c r="G625" s="2" t="str">
        <f>" ()"</f>
        <v xml:space="preserve"> ()</v>
      </c>
    </row>
    <row r="626" spans="1:7" x14ac:dyDescent="0.3">
      <c r="A626" s="1" t="s">
        <v>4</v>
      </c>
      <c r="B626" s="2" t="str">
        <f t="shared" si="63"/>
        <v>PARA SER ALTERADO.</v>
      </c>
      <c r="C626" s="2" t="str">
        <f>""</f>
        <v/>
      </c>
      <c r="D626" s="2" t="str">
        <f t="shared" si="64"/>
        <v>ANTIGO</v>
      </c>
      <c r="E626" s="2" t="str">
        <f>"CONSULTA DOS CUSTOS PRIMARIOS"</f>
        <v>CONSULTA DOS CUSTOS PRIMARIOS</v>
      </c>
      <c r="F626" s="2" t="str">
        <f>"C_CUSTO_PRIMARIO"</f>
        <v>C_CUSTO_PRIMARIO</v>
      </c>
      <c r="G626" s="2" t="str">
        <f>" ()"</f>
        <v xml:space="preserve"> ()</v>
      </c>
    </row>
    <row r="627" spans="1:7" x14ac:dyDescent="0.3">
      <c r="A627" s="1" t="s">
        <v>4</v>
      </c>
      <c r="B627" s="2" t="str">
        <f t="shared" si="63"/>
        <v>PARA SER ALTERADO.</v>
      </c>
      <c r="C627" s="2" t="str">
        <f>""</f>
        <v/>
      </c>
      <c r="D627" s="2" t="str">
        <f t="shared" si="64"/>
        <v>ANTIGO</v>
      </c>
      <c r="E627" s="2" t="str">
        <f>"CADASTRO DE PLANOS DE SAUDE"</f>
        <v>CADASTRO DE PLANOS DE SAUDE</v>
      </c>
      <c r="F627" s="2" t="str">
        <f>"M_PLANO"</f>
        <v>M_PLANO</v>
      </c>
      <c r="G627" s="2" t="str">
        <f>"MVSaude / Cadastros / Planos (M_PLANO)"</f>
        <v>MVSaude / Cadastros / Planos (M_PLANO)</v>
      </c>
    </row>
    <row r="628" spans="1:7" x14ac:dyDescent="0.3">
      <c r="A628" s="1" t="s">
        <v>4</v>
      </c>
      <c r="B628" s="2" t="str">
        <f t="shared" si="63"/>
        <v>PARA SER ALTERADO.</v>
      </c>
      <c r="C628" s="2" t="str">
        <f>""</f>
        <v/>
      </c>
      <c r="D628" s="2" t="str">
        <f t="shared" si="64"/>
        <v>ANTIGO</v>
      </c>
      <c r="E628" s="2" t="str">
        <f>"RELAT. SOLIC. COMPRA COTA PRECO FORNEC"</f>
        <v>RELAT. SOLIC. COMPRA COTA PRECO FORNEC</v>
      </c>
      <c r="F628" s="2" t="str">
        <f>"R_SOL_COM_FORNEC"</f>
        <v>R_SOL_COM_FORNEC</v>
      </c>
      <c r="G628" s="2" t="str">
        <f>" ()"</f>
        <v xml:space="preserve"> ()</v>
      </c>
    </row>
    <row r="629" spans="1:7" x14ac:dyDescent="0.3">
      <c r="A629" s="1" t="s">
        <v>4</v>
      </c>
      <c r="B629" s="2" t="str">
        <f t="shared" si="63"/>
        <v>PARA SER ALTERADO.</v>
      </c>
      <c r="C629" s="2" t="str">
        <f>""</f>
        <v/>
      </c>
      <c r="D629" s="2" t="str">
        <f t="shared" si="64"/>
        <v>ANTIGO</v>
      </c>
      <c r="E629" s="2" t="str">
        <f>"TELA REL DEMOSNTATIVO MÉDICO POR PERÍODO"</f>
        <v>TELA REL DEMOSNTATIVO MÉDICO POR PERÍODO</v>
      </c>
      <c r="F629" s="2" t="str">
        <f>"R_DEMO_MED_PERSON"</f>
        <v>R_DEMO_MED_PERSON</v>
      </c>
      <c r="G629" s="2" t="str">
        <f>" ()"</f>
        <v xml:space="preserve"> ()</v>
      </c>
    </row>
    <row r="630" spans="1:7" x14ac:dyDescent="0.3">
      <c r="A630" s="1" t="s">
        <v>4</v>
      </c>
      <c r="B630" s="2" t="str">
        <f t="shared" si="63"/>
        <v>PARA SER ALTERADO.</v>
      </c>
      <c r="C630" s="2" t="str">
        <f>""</f>
        <v/>
      </c>
      <c r="D630" s="2" t="str">
        <f t="shared" si="64"/>
        <v>ANTIGO</v>
      </c>
      <c r="E630" s="2" t="str">
        <f>"CONSULTA DE VALORES UTIL. POR EMPRESA"</f>
        <v>CONSULTA DE VALORES UTIL. POR EMPRESA</v>
      </c>
      <c r="F630" s="2" t="str">
        <f>"C_VALEMPR"</f>
        <v>C_VALEMPR</v>
      </c>
      <c r="G630" s="2" t="str">
        <f>" ()"</f>
        <v xml:space="preserve"> ()</v>
      </c>
    </row>
    <row r="631" spans="1:7" x14ac:dyDescent="0.3">
      <c r="A631" s="1" t="s">
        <v>4</v>
      </c>
      <c r="B631" s="2" t="str">
        <f t="shared" si="63"/>
        <v>PARA SER ALTERADO.</v>
      </c>
      <c r="C631" s="2" t="str">
        <f>""</f>
        <v/>
      </c>
      <c r="D631" s="2" t="str">
        <f t="shared" si="64"/>
        <v>ANTIGO</v>
      </c>
      <c r="E631" s="2" t="str">
        <f>"CADASTRO DE SAIDA DE PRODUTOS PARA SETOR"</f>
        <v>CADASTRO DE SAIDA DE PRODUTOS PARA SETOR</v>
      </c>
      <c r="F631" s="2" t="str">
        <f>"M_SAIDA_SETOR"</f>
        <v>M_SAIDA_SETOR</v>
      </c>
      <c r="G631" s="2" t="str">
        <f>" ()"</f>
        <v xml:space="preserve"> ()</v>
      </c>
    </row>
    <row r="632" spans="1:7" x14ac:dyDescent="0.3">
      <c r="A632" s="1" t="s">
        <v>4</v>
      </c>
      <c r="B632" s="2" t="str">
        <f t="shared" si="63"/>
        <v>PARA SER ALTERADO.</v>
      </c>
      <c r="C632" s="2" t="str">
        <f>""</f>
        <v/>
      </c>
      <c r="D632" s="2" t="str">
        <f t="shared" si="64"/>
        <v>ANTIGO</v>
      </c>
      <c r="E632" s="2" t="str">
        <f>"REL DE FAT. GRUPO DE FATURAMENTO DT. LAN"</f>
        <v>REL DE FAT. GRUPO DE FATURAMENTO DT. LAN</v>
      </c>
      <c r="F632" s="2" t="str">
        <f>"R_GRU_FAT_DT_LAN"</f>
        <v>R_GRU_FAT_DT_LAN</v>
      </c>
      <c r="G632" s="2" t="str">
        <f>" ()"</f>
        <v xml:space="preserve"> ()</v>
      </c>
    </row>
    <row r="633" spans="1:7" x14ac:dyDescent="0.3">
      <c r="A633" s="1" t="s">
        <v>8</v>
      </c>
      <c r="B633" s="2"/>
      <c r="C633" s="2"/>
      <c r="D633" s="2" t="s">
        <v>2</v>
      </c>
      <c r="E633" s="2" t="str">
        <f>"S"</f>
        <v>S</v>
      </c>
      <c r="F633" s="2" t="str">
        <f>"N"</f>
        <v>N</v>
      </c>
      <c r="G633" s="2" t="str">
        <f>"N"</f>
        <v>N</v>
      </c>
    </row>
    <row r="634" spans="1:7" x14ac:dyDescent="0.3">
      <c r="A634" s="1" t="s">
        <v>4</v>
      </c>
      <c r="B634" s="2" t="str">
        <f t="shared" ref="B634:B697" si="65">"PARA SER ALTERADO."</f>
        <v>PARA SER ALTERADO.</v>
      </c>
      <c r="C634" s="2" t="str">
        <f>""</f>
        <v/>
      </c>
      <c r="D634" s="2" t="str">
        <f t="shared" ref="D634:D697" si="66">"ANTIGO"</f>
        <v>ANTIGO</v>
      </c>
      <c r="E634" s="2" t="str">
        <f>"RELATÓRIO DE CONTA HOSPITALAR"</f>
        <v>RELATÓRIO DE CONTA HOSPITALAR</v>
      </c>
      <c r="F634" s="2" t="str">
        <f>"R_FATURA"</f>
        <v>R_FATURA</v>
      </c>
      <c r="G634" s="2" t="str">
        <f>" ()"</f>
        <v xml:space="preserve"> ()</v>
      </c>
    </row>
    <row r="635" spans="1:7" x14ac:dyDescent="0.3">
      <c r="A635" s="1" t="s">
        <v>4</v>
      </c>
      <c r="B635" s="2" t="str">
        <f t="shared" si="65"/>
        <v>PARA SER ALTERADO.</v>
      </c>
      <c r="C635" s="2" t="str">
        <f>""</f>
        <v/>
      </c>
      <c r="D635" s="2" t="str">
        <f t="shared" si="66"/>
        <v>ANTIGO</v>
      </c>
      <c r="E635" s="2" t="str">
        <f>"CLASS. USUARIO POR FAIXA ETARIA"</f>
        <v>CLASS. USUARIO POR FAIXA ETARIA</v>
      </c>
      <c r="F635" s="2" t="str">
        <f>"R_CLASSUSUFAIXA"</f>
        <v>R_CLASSUSUFAIXA</v>
      </c>
      <c r="G635" s="2" t="str">
        <f>" ()"</f>
        <v xml:space="preserve"> ()</v>
      </c>
    </row>
    <row r="636" spans="1:7" x14ac:dyDescent="0.3">
      <c r="A636" s="1" t="s">
        <v>4</v>
      </c>
      <c r="B636" s="2" t="str">
        <f t="shared" si="65"/>
        <v>PARA SER ALTERADO.</v>
      </c>
      <c r="C636" s="2" t="str">
        <f>""</f>
        <v/>
      </c>
      <c r="D636" s="2" t="str">
        <f t="shared" si="66"/>
        <v>ANTIGO</v>
      </c>
      <c r="E636" s="2" t="str">
        <f>"REL. DEMO MED. POR PERÍODO LISTA CONFERE"</f>
        <v>REL. DEMO MED. POR PERÍODO LISTA CONFERE</v>
      </c>
      <c r="F636" s="2" t="str">
        <f>"R_LISTA_CONFERE_PERSON"</f>
        <v>R_LISTA_CONFERE_PERSON</v>
      </c>
      <c r="G636" s="2" t="str">
        <f>" ()"</f>
        <v xml:space="preserve"> ()</v>
      </c>
    </row>
    <row r="637" spans="1:7" x14ac:dyDescent="0.3">
      <c r="A637" s="1" t="s">
        <v>4</v>
      </c>
      <c r="B637" s="2" t="str">
        <f t="shared" si="65"/>
        <v>PARA SER ALTERADO.</v>
      </c>
      <c r="C637" s="2" t="str">
        <f>""</f>
        <v/>
      </c>
      <c r="D637" s="2" t="str">
        <f t="shared" si="66"/>
        <v>ANTIGO</v>
      </c>
      <c r="E637" s="2" t="str">
        <f>"REL. DEMONST MÉDICO POR COMP LISTA CONFE"</f>
        <v>REL. DEMONST MÉDICO POR COMP LISTA CONFE</v>
      </c>
      <c r="F637" s="2" t="str">
        <f>"R_LISTA_CONFERE_COMP"</f>
        <v>R_LISTA_CONFERE_COMP</v>
      </c>
      <c r="G637" s="2" t="str">
        <f>" ()"</f>
        <v xml:space="preserve"> ()</v>
      </c>
    </row>
    <row r="638" spans="1:7" x14ac:dyDescent="0.3">
      <c r="A638" s="1" t="s">
        <v>4</v>
      </c>
      <c r="B638" s="2" t="str">
        <f t="shared" si="65"/>
        <v>PARA SER ALTERADO.</v>
      </c>
      <c r="C638" s="2" t="str">
        <f>""</f>
        <v/>
      </c>
      <c r="D638" s="2" t="str">
        <f t="shared" si="66"/>
        <v>ANTIGO</v>
      </c>
      <c r="E638" s="2" t="str">
        <f>"REL. DE CADASTRO DE BOLETOS BANCARIOS"</f>
        <v>REL. DE CADASTRO DE BOLETOS BANCARIOS</v>
      </c>
      <c r="F638" s="2" t="str">
        <f>"R_BOLETO_BANCARIO"</f>
        <v>R_BOLETO_BANCARIO</v>
      </c>
      <c r="G638" s="2" t="str">
        <f>" ()"</f>
        <v xml:space="preserve"> ()</v>
      </c>
    </row>
    <row r="639" spans="1:7" x14ac:dyDescent="0.3">
      <c r="A639" s="1" t="s">
        <v>4</v>
      </c>
      <c r="B639" s="2" t="str">
        <f t="shared" si="65"/>
        <v>PARA SER ALTERADO.</v>
      </c>
      <c r="C639" s="2" t="str">
        <f>""</f>
        <v/>
      </c>
      <c r="D639" s="2" t="str">
        <f t="shared" si="66"/>
        <v>ANTIGO</v>
      </c>
      <c r="E639" s="2" t="str">
        <f>"REL. EST. MOT. CANC. POR USUARIO SINTETI"</f>
        <v>REL. EST. MOT. CANC. POR USUARIO SINTETI</v>
      </c>
      <c r="F639" s="2" t="str">
        <f>"R_MOTCANCXUSUARIO_SINT"</f>
        <v>R_MOTCANCXUSUARIO_SINT</v>
      </c>
      <c r="G639" s="2" t="str">
        <f>"MVSaude / Relatórios / Administrativos / Cancelamento da Guia / Cancelamento x Usuario / Sintetico (R_MOTCANCXUSUARIO_SINT)"</f>
        <v>MVSaude / Relatórios / Administrativos / Cancelamento da Guia / Cancelamento x Usuario / Sintetico (R_MOTCANCXUSUARIO_SINT)</v>
      </c>
    </row>
    <row r="640" spans="1:7" x14ac:dyDescent="0.3">
      <c r="A640" s="1" t="s">
        <v>4</v>
      </c>
      <c r="B640" s="2" t="str">
        <f t="shared" si="65"/>
        <v>PARA SER ALTERADO.</v>
      </c>
      <c r="C640" s="2" t="str">
        <f>""</f>
        <v/>
      </c>
      <c r="D640" s="2" t="str">
        <f t="shared" si="66"/>
        <v>ANTIGO</v>
      </c>
      <c r="E640" s="2" t="str">
        <f>"REL. EST. MOT. CANC. POR USUARIO"</f>
        <v>REL. EST. MOT. CANC. POR USUARIO</v>
      </c>
      <c r="F640" s="2" t="str">
        <f>"R_MOTCANCXUSUARIO"</f>
        <v>R_MOTCANCXUSUARIO</v>
      </c>
      <c r="G640" s="2" t="str">
        <f>"MVSaude / Relatórios / Administrativos / Cancelamento da Guia / Cancelamento x Usuario / Analitico (R_MOTCANCXUSUARIO)"</f>
        <v>MVSaude / Relatórios / Administrativos / Cancelamento da Guia / Cancelamento x Usuario / Analitico (R_MOTCANCXUSUARIO)</v>
      </c>
    </row>
    <row r="641" spans="1:7" x14ac:dyDescent="0.3">
      <c r="A641" s="1" t="s">
        <v>4</v>
      </c>
      <c r="B641" s="2" t="str">
        <f t="shared" si="65"/>
        <v>PARA SER ALTERADO.</v>
      </c>
      <c r="C641" s="2" t="str">
        <f>""</f>
        <v/>
      </c>
      <c r="D641" s="2" t="str">
        <f t="shared" si="66"/>
        <v>ANTIGO</v>
      </c>
      <c r="E641" s="2" t="str">
        <f>"REL. EST. MOT. CANC. POR PREST. SINTETIC"</f>
        <v>REL. EST. MOT. CANC. POR PREST. SINTETIC</v>
      </c>
      <c r="F641" s="2" t="str">
        <f>"R_MOTCANCXPREST_SINT"</f>
        <v>R_MOTCANCXPREST_SINT</v>
      </c>
      <c r="G641" s="2" t="str">
        <f>"MVSaude / Relatórios / Administrativos / Cancelamento da Guia / Cancelamento x Guia / Sintetico (R_MOTCANCXPREST_SINT)"</f>
        <v>MVSaude / Relatórios / Administrativos / Cancelamento da Guia / Cancelamento x Guia / Sintetico (R_MOTCANCXPREST_SINT)</v>
      </c>
    </row>
    <row r="642" spans="1:7" x14ac:dyDescent="0.3">
      <c r="A642" s="1" t="s">
        <v>4</v>
      </c>
      <c r="B642" s="2" t="str">
        <f t="shared" si="65"/>
        <v>PARA SER ALTERADO.</v>
      </c>
      <c r="C642" s="2" t="str">
        <f>""</f>
        <v/>
      </c>
      <c r="D642" s="2" t="str">
        <f t="shared" si="66"/>
        <v>ANTIGO</v>
      </c>
      <c r="E642" s="2" t="str">
        <f>"REL. EST. MOT. CANC. POR PRESTADOR"</f>
        <v>REL. EST. MOT. CANC. POR PRESTADOR</v>
      </c>
      <c r="F642" s="2" t="str">
        <f>"R_MOTCANCXPREST"</f>
        <v>R_MOTCANCXPREST</v>
      </c>
      <c r="G642" s="2" t="str">
        <f>"MVSaude / Relatórios / Administrativos / Cancelamento da Guia / Cancelamento x Prestador / Analitico (R_MOTCANCXPREST)"</f>
        <v>MVSaude / Relatórios / Administrativos / Cancelamento da Guia / Cancelamento x Prestador / Analitico (R_MOTCANCXPREST)</v>
      </c>
    </row>
    <row r="643" spans="1:7" x14ac:dyDescent="0.3">
      <c r="A643" s="1" t="s">
        <v>4</v>
      </c>
      <c r="B643" s="2" t="str">
        <f t="shared" si="65"/>
        <v>PARA SER ALTERADO.</v>
      </c>
      <c r="C643" s="2" t="str">
        <f>""</f>
        <v/>
      </c>
      <c r="D643" s="2" t="str">
        <f t="shared" si="66"/>
        <v>ANTIGO</v>
      </c>
      <c r="E643" s="2" t="str">
        <f>"IMPOSTO DE RENDA PESSOA JURÍDICA"</f>
        <v>IMPOSTO DE RENDA PESSOA JURÍDICA</v>
      </c>
      <c r="F643" s="2" t="str">
        <f>"M_IRRF_PJ"</f>
        <v>M_IRRF_PJ</v>
      </c>
      <c r="G643" s="2" t="str">
        <f t="shared" ref="G643:G655" si="67">" ()"</f>
        <v xml:space="preserve"> ()</v>
      </c>
    </row>
    <row r="644" spans="1:7" x14ac:dyDescent="0.3">
      <c r="A644" s="1" t="s">
        <v>4</v>
      </c>
      <c r="B644" s="2" t="str">
        <f t="shared" si="65"/>
        <v>PARA SER ALTERADO.</v>
      </c>
      <c r="C644" s="2" t="str">
        <f>""</f>
        <v/>
      </c>
      <c r="D644" s="2" t="str">
        <f t="shared" si="66"/>
        <v>ANTIGO</v>
      </c>
      <c r="E644" s="2" t="str">
        <f>"REL. MOVIMENTAÇÃO SINTÉTICA - CARACTER"</f>
        <v>REL. MOVIMENTAÇÃO SINTÉTICA - CARACTER</v>
      </c>
      <c r="F644" s="2" t="str">
        <f>"R_MOV_SINT_CARAC"</f>
        <v>R_MOV_SINT_CARAC</v>
      </c>
      <c r="G644" s="2" t="str">
        <f t="shared" si="67"/>
        <v xml:space="preserve"> ()</v>
      </c>
    </row>
    <row r="645" spans="1:7" x14ac:dyDescent="0.3">
      <c r="A645" s="1" t="s">
        <v>4</v>
      </c>
      <c r="B645" s="2" t="str">
        <f t="shared" si="65"/>
        <v>PARA SER ALTERADO.</v>
      </c>
      <c r="C645" s="2" t="str">
        <f>""</f>
        <v/>
      </c>
      <c r="D645" s="2" t="str">
        <f t="shared" si="66"/>
        <v>ANTIGO</v>
      </c>
      <c r="E645" s="2" t="str">
        <f>"TELA DO REL. DE MOVIMENTAÇÃO SINTÉTICA"</f>
        <v>TELA DO REL. DE MOVIMENTAÇÃO SINTÉTICA</v>
      </c>
      <c r="F645" s="2" t="str">
        <f>"R_MOV_SINT.FMX"</f>
        <v>R_MOV_SINT.FMX</v>
      </c>
      <c r="G645" s="2" t="str">
        <f t="shared" si="67"/>
        <v xml:space="preserve"> ()</v>
      </c>
    </row>
    <row r="646" spans="1:7" x14ac:dyDescent="0.3">
      <c r="A646" s="1" t="s">
        <v>4</v>
      </c>
      <c r="B646" s="2" t="str">
        <f t="shared" si="65"/>
        <v>PARA SER ALTERADO.</v>
      </c>
      <c r="C646" s="2" t="str">
        <f>""</f>
        <v/>
      </c>
      <c r="D646" s="2" t="str">
        <f t="shared" si="66"/>
        <v>ANTIGO</v>
      </c>
      <c r="E646" s="2" t="str">
        <f>"TELA REL. PACIENTES INTERN. POR MÉDICOS"</f>
        <v>TELA REL. PACIENTES INTERN. POR MÉDICOS</v>
      </c>
      <c r="F646" s="2" t="str">
        <f>"R_INT_MED.FMX"</f>
        <v>R_INT_MED.FMX</v>
      </c>
      <c r="G646" s="2" t="str">
        <f t="shared" si="67"/>
        <v xml:space="preserve"> ()</v>
      </c>
    </row>
    <row r="647" spans="1:7" x14ac:dyDescent="0.3">
      <c r="A647" s="1" t="s">
        <v>4</v>
      </c>
      <c r="B647" s="2" t="str">
        <f t="shared" si="65"/>
        <v>PARA SER ALTERADO.</v>
      </c>
      <c r="C647" s="2" t="str">
        <f>""</f>
        <v/>
      </c>
      <c r="D647" s="2" t="str">
        <f t="shared" si="66"/>
        <v>ANTIGO</v>
      </c>
      <c r="E647" s="2" t="str">
        <f>"REL DE PACIENTE INTERNADOS POR MÉDICO"</f>
        <v>REL DE PACIENTE INTERNADOS POR MÉDICO</v>
      </c>
      <c r="F647" s="2" t="str">
        <f>"R_INT_MED_CARAC"</f>
        <v>R_INT_MED_CARAC</v>
      </c>
      <c r="G647" s="2" t="str">
        <f t="shared" si="67"/>
        <v xml:space="preserve"> ()</v>
      </c>
    </row>
    <row r="648" spans="1:7" x14ac:dyDescent="0.3">
      <c r="A648" s="1" t="s">
        <v>4</v>
      </c>
      <c r="B648" s="2" t="str">
        <f t="shared" si="65"/>
        <v>PARA SER ALTERADO.</v>
      </c>
      <c r="C648" s="2" t="str">
        <f>""</f>
        <v/>
      </c>
      <c r="D648" s="2" t="str">
        <f t="shared" si="66"/>
        <v>ANTIGO</v>
      </c>
      <c r="E648" s="2" t="str">
        <f>"CADASTRO DOS VALORES DE IMPOSTO DE RENDA"</f>
        <v>CADASTRO DOS VALORES DE IMPOSTO DE RENDA</v>
      </c>
      <c r="F648" s="2" t="str">
        <f>"M_IRRF"</f>
        <v>M_IRRF</v>
      </c>
      <c r="G648" s="2" t="str">
        <f t="shared" si="67"/>
        <v xml:space="preserve"> ()</v>
      </c>
    </row>
    <row r="649" spans="1:7" x14ac:dyDescent="0.3">
      <c r="A649" s="1" t="s">
        <v>4</v>
      </c>
      <c r="B649" s="2" t="str">
        <f t="shared" si="65"/>
        <v>PARA SER ALTERADO.</v>
      </c>
      <c r="C649" s="2" t="str">
        <f>""</f>
        <v/>
      </c>
      <c r="D649" s="2" t="str">
        <f t="shared" si="66"/>
        <v>ANTIGO</v>
      </c>
      <c r="E649" s="2" t="str">
        <f>"TELA  DEMONST. MEDICO POR COMPETÊNCIA"</f>
        <v>TELA  DEMONST. MEDICO POR COMPETÊNCIA</v>
      </c>
      <c r="F649" s="2" t="str">
        <f>"R_DEMO_MED_COMP"</f>
        <v>R_DEMO_MED_COMP</v>
      </c>
      <c r="G649" s="2" t="str">
        <f t="shared" si="67"/>
        <v xml:space="preserve"> ()</v>
      </c>
    </row>
    <row r="650" spans="1:7" x14ac:dyDescent="0.3">
      <c r="A650" s="1" t="s">
        <v>4</v>
      </c>
      <c r="B650" s="2" t="str">
        <f t="shared" si="65"/>
        <v>PARA SER ALTERADO.</v>
      </c>
      <c r="C650" s="2" t="str">
        <f>""</f>
        <v/>
      </c>
      <c r="D650" s="2" t="str">
        <f t="shared" si="66"/>
        <v>ANTIGO</v>
      </c>
      <c r="E650" s="2" t="str">
        <f>"REL DEMONSTRATIVO MÉDICO POR PERÍODO"</f>
        <v>REL DEMONSTRATIVO MÉDICO POR PERÍODO</v>
      </c>
      <c r="F650" s="2" t="str">
        <f>"R_DEMO_MED_ANA_PERSON"</f>
        <v>R_DEMO_MED_ANA_PERSON</v>
      </c>
      <c r="G650" s="2" t="str">
        <f t="shared" si="67"/>
        <v xml:space="preserve"> ()</v>
      </c>
    </row>
    <row r="651" spans="1:7" x14ac:dyDescent="0.3">
      <c r="A651" s="1" t="s">
        <v>4</v>
      </c>
      <c r="B651" s="2" t="str">
        <f t="shared" si="65"/>
        <v>PARA SER ALTERADO.</v>
      </c>
      <c r="C651" s="2" t="str">
        <f>""</f>
        <v/>
      </c>
      <c r="D651" s="2" t="str">
        <f t="shared" si="66"/>
        <v>ANTIGO</v>
      </c>
      <c r="E651" s="2" t="str">
        <f>"REL DEMONSTRATIVO MÉDICO POR PERÍODO"</f>
        <v>REL DEMONSTRATIVO MÉDICO POR PERÍODO</v>
      </c>
      <c r="F651" s="2" t="str">
        <f>"R_DEMO_MED_SINT_PERSON"</f>
        <v>R_DEMO_MED_SINT_PERSON</v>
      </c>
      <c r="G651" s="2" t="str">
        <f t="shared" si="67"/>
        <v xml:space="preserve"> ()</v>
      </c>
    </row>
    <row r="652" spans="1:7" x14ac:dyDescent="0.3">
      <c r="A652" s="1" t="s">
        <v>4</v>
      </c>
      <c r="B652" s="2" t="str">
        <f t="shared" si="65"/>
        <v>PARA SER ALTERADO.</v>
      </c>
      <c r="C652" s="2" t="str">
        <f>""</f>
        <v/>
      </c>
      <c r="D652" s="2" t="str">
        <f t="shared" si="66"/>
        <v>ANTIGO</v>
      </c>
      <c r="E652" s="2" t="str">
        <f>"REL. ESTATISTICO DE EXAMES POR CONVENIO"</f>
        <v>REL. ESTATISTICO DE EXAMES POR CONVENIO</v>
      </c>
      <c r="F652" s="2" t="str">
        <f>"R_ESTAT_CON.REP"</f>
        <v>R_ESTAT_CON.REP</v>
      </c>
      <c r="G652" s="2" t="str">
        <f t="shared" si="67"/>
        <v xml:space="preserve"> ()</v>
      </c>
    </row>
    <row r="653" spans="1:7" x14ac:dyDescent="0.3">
      <c r="A653" s="1" t="s">
        <v>4</v>
      </c>
      <c r="B653" s="2" t="str">
        <f t="shared" si="65"/>
        <v>PARA SER ALTERADO.</v>
      </c>
      <c r="C653" s="2" t="str">
        <f>""</f>
        <v/>
      </c>
      <c r="D653" s="2" t="str">
        <f t="shared" si="66"/>
        <v>ANTIGO</v>
      </c>
      <c r="E653" s="2" t="str">
        <f>"REL. ESTATISTICO DE EXAMES POR MEDICO"</f>
        <v>REL. ESTATISTICO DE EXAMES POR MEDICO</v>
      </c>
      <c r="F653" s="2" t="str">
        <f>"R_ESTAT_MED.REP"</f>
        <v>R_ESTAT_MED.REP</v>
      </c>
      <c r="G653" s="2" t="str">
        <f t="shared" si="67"/>
        <v xml:space="preserve"> ()</v>
      </c>
    </row>
    <row r="654" spans="1:7" x14ac:dyDescent="0.3">
      <c r="A654" s="1" t="s">
        <v>4</v>
      </c>
      <c r="B654" s="2" t="str">
        <f t="shared" si="65"/>
        <v>PARA SER ALTERADO.</v>
      </c>
      <c r="C654" s="2" t="str">
        <f>""</f>
        <v/>
      </c>
      <c r="D654" s="2" t="str">
        <f t="shared" si="66"/>
        <v>ANTIGO</v>
      </c>
      <c r="E654" s="2" t="str">
        <f>"REL. ESTATISTICO DE EXAMES POR SETOR"</f>
        <v>REL. ESTATISTICO DE EXAMES POR SETOR</v>
      </c>
      <c r="F654" s="2" t="str">
        <f>"R_ESTAT_SET.REP"</f>
        <v>R_ESTAT_SET.REP</v>
      </c>
      <c r="G654" s="2" t="str">
        <f t="shared" si="67"/>
        <v xml:space="preserve"> ()</v>
      </c>
    </row>
    <row r="655" spans="1:7" x14ac:dyDescent="0.3">
      <c r="A655" s="1" t="s">
        <v>4</v>
      </c>
      <c r="B655" s="2" t="str">
        <f t="shared" si="65"/>
        <v>PARA SER ALTERADO.</v>
      </c>
      <c r="C655" s="2" t="str">
        <f>""</f>
        <v/>
      </c>
      <c r="D655" s="2" t="str">
        <f t="shared" si="66"/>
        <v>ANTIGO</v>
      </c>
      <c r="E655" s="2" t="str">
        <f>"REL. DEMONSTRA. MÉDICO POR COMPETENCIA"</f>
        <v>REL. DEMONSTRA. MÉDICO POR COMPETENCIA</v>
      </c>
      <c r="F655" s="2" t="str">
        <f>"R_DEMO_MED_SINT_COMP"</f>
        <v>R_DEMO_MED_SINT_COMP</v>
      </c>
      <c r="G655" s="2" t="str">
        <f t="shared" si="67"/>
        <v xml:space="preserve"> ()</v>
      </c>
    </row>
    <row r="656" spans="1:7" x14ac:dyDescent="0.3">
      <c r="A656" s="1" t="s">
        <v>4</v>
      </c>
      <c r="B656" s="2" t="str">
        <f t="shared" si="65"/>
        <v>PARA SER ALTERADO.</v>
      </c>
      <c r="C656" s="2" t="str">
        <f>""</f>
        <v/>
      </c>
      <c r="D656" s="2" t="str">
        <f t="shared" si="66"/>
        <v>ANTIGO</v>
      </c>
      <c r="E656" s="2" t="str">
        <f>"PROCESSO DE REAJUSTE DE MENSALIDADES"</f>
        <v>PROCESSO DE REAJUSTE DE MENSALIDADES</v>
      </c>
      <c r="F656" s="2" t="str">
        <f>"O_REAJMEN"</f>
        <v>O_REAJMEN</v>
      </c>
      <c r="G656" s="2" t="str">
        <f>"MVSaude / Faturamento / Reajuste das Mensalidades (O_REAJMEN)"</f>
        <v>MVSaude / Faturamento / Reajuste das Mensalidades (O_REAJMEN)</v>
      </c>
    </row>
    <row r="657" spans="1:7" x14ac:dyDescent="0.3">
      <c r="A657" s="1" t="s">
        <v>4</v>
      </c>
      <c r="B657" s="2" t="str">
        <f t="shared" si="65"/>
        <v>PARA SER ALTERADO.</v>
      </c>
      <c r="C657" s="2" t="str">
        <f>""</f>
        <v/>
      </c>
      <c r="D657" s="2" t="str">
        <f t="shared" si="66"/>
        <v>ANTIGO</v>
      </c>
      <c r="E657" s="2" t="str">
        <f>"MANUTENÇÃO DA TABELA DE PREÇOS"</f>
        <v>MANUTENÇÃO DA TABELA DE PREÇOS</v>
      </c>
      <c r="F657" s="2" t="str">
        <f>"M_TABPRECO"</f>
        <v>M_TABPRECO</v>
      </c>
      <c r="G657" s="2" t="str">
        <f>" ()"</f>
        <v xml:space="preserve"> ()</v>
      </c>
    </row>
    <row r="658" spans="1:7" x14ac:dyDescent="0.3">
      <c r="A658" s="1" t="s">
        <v>4</v>
      </c>
      <c r="B658" s="2" t="str">
        <f t="shared" si="65"/>
        <v>PARA SER ALTERADO.</v>
      </c>
      <c r="C658" s="2" t="str">
        <f>""</f>
        <v/>
      </c>
      <c r="D658" s="2" t="str">
        <f t="shared" si="66"/>
        <v>ANTIGO</v>
      </c>
      <c r="E658" s="2" t="str">
        <f>"REL. EST. MOT. CANC. POR GUIA SINTETICO"</f>
        <v>REL. EST. MOT. CANC. POR GUIA SINTETICO</v>
      </c>
      <c r="F658" s="2" t="str">
        <f>"R_MOTCANCXGUIA_SINT"</f>
        <v>R_MOTCANCXGUIA_SINT</v>
      </c>
      <c r="G658" s="2" t="str">
        <f>"MVSaude / Relatórios / Administrativos / Cancelamento da Guia / Cancelamento x Guia / Sintetico (R_MOTCANCXGUIA_SINT)"</f>
        <v>MVSaude / Relatórios / Administrativos / Cancelamento da Guia / Cancelamento x Guia / Sintetico (R_MOTCANCXGUIA_SINT)</v>
      </c>
    </row>
    <row r="659" spans="1:7" x14ac:dyDescent="0.3">
      <c r="A659" s="1" t="s">
        <v>4</v>
      </c>
      <c r="B659" s="2" t="str">
        <f t="shared" si="65"/>
        <v>PARA SER ALTERADO.</v>
      </c>
      <c r="C659" s="2" t="str">
        <f>""</f>
        <v/>
      </c>
      <c r="D659" s="2" t="str">
        <f t="shared" si="66"/>
        <v>ANTIGO</v>
      </c>
      <c r="E659" s="2" t="str">
        <f>"REL. EST. DE MOT. CANCELAMENTO POR GUIA"</f>
        <v>REL. EST. DE MOT. CANCELAMENTO POR GUIA</v>
      </c>
      <c r="F659" s="2" t="str">
        <f>"R_MOTCANCXGUIA"</f>
        <v>R_MOTCANCXGUIA</v>
      </c>
      <c r="G659" s="2" t="str">
        <f>"MVSaude / Relatórios / Administrativos / Cancelamento da Guia / Cancelamento x Guia / Analítico (R_MOTCANCXGUIA)"</f>
        <v>MVSaude / Relatórios / Administrativos / Cancelamento da Guia / Cancelamento x Guia / Analítico (R_MOTCANCXGUIA)</v>
      </c>
    </row>
    <row r="660" spans="1:7" x14ac:dyDescent="0.3">
      <c r="A660" s="1" t="s">
        <v>4</v>
      </c>
      <c r="B660" s="2" t="str">
        <f t="shared" si="65"/>
        <v>PARA SER ALTERADO.</v>
      </c>
      <c r="C660" s="2" t="str">
        <f>""</f>
        <v/>
      </c>
      <c r="D660" s="2" t="str">
        <f t="shared" si="66"/>
        <v>ANTIGO</v>
      </c>
      <c r="E660" s="2" t="str">
        <f>"RELATORIO DE GLOSA DE PRESTADORES - CONT"</f>
        <v>RELATORIO DE GLOSA DE PRESTADORES - CONT</v>
      </c>
      <c r="F660" s="2" t="str">
        <f>"R_GLOSA_CONTA_PREST"</f>
        <v>R_GLOSA_CONTA_PREST</v>
      </c>
      <c r="G660" s="2" t="str">
        <f>" ()"</f>
        <v xml:space="preserve"> ()</v>
      </c>
    </row>
    <row r="661" spans="1:7" x14ac:dyDescent="0.3">
      <c r="A661" s="1" t="s">
        <v>4</v>
      </c>
      <c r="B661" s="2" t="str">
        <f t="shared" si="65"/>
        <v>PARA SER ALTERADO.</v>
      </c>
      <c r="C661" s="2" t="str">
        <f>""</f>
        <v/>
      </c>
      <c r="D661" s="2" t="str">
        <f t="shared" si="66"/>
        <v>ANTIGO</v>
      </c>
      <c r="E661" s="2" t="str">
        <f>"RELATORIO DE GLOSA DE PRESTADORES - REM"</f>
        <v>RELATORIO DE GLOSA DE PRESTADORES - REM</v>
      </c>
      <c r="F661" s="2" t="str">
        <f>"R_GLOSA_REMESSA_PREST"</f>
        <v>R_GLOSA_REMESSA_PREST</v>
      </c>
      <c r="G661" s="2" t="str">
        <f>" ()"</f>
        <v xml:space="preserve"> ()</v>
      </c>
    </row>
    <row r="662" spans="1:7" x14ac:dyDescent="0.3">
      <c r="A662" s="1" t="s">
        <v>4</v>
      </c>
      <c r="B662" s="2" t="str">
        <f t="shared" si="65"/>
        <v>PARA SER ALTERADO.</v>
      </c>
      <c r="C662" s="2" t="str">
        <f>""</f>
        <v/>
      </c>
      <c r="D662" s="2" t="str">
        <f t="shared" si="66"/>
        <v>ANTIGO</v>
      </c>
      <c r="E662" s="2" t="str">
        <f>"REL. PRODUCAO PREST. POR ESPECIALIDADE"</f>
        <v>REL. PRODUCAO PREST. POR ESPECIALIDADE</v>
      </c>
      <c r="F662" s="2" t="str">
        <f>"R_PROD_PRESTADOR_ESP"</f>
        <v>R_PROD_PRESTADOR_ESP</v>
      </c>
      <c r="G662" s="2" t="str">
        <f>" ()"</f>
        <v xml:space="preserve"> ()</v>
      </c>
    </row>
    <row r="663" spans="1:7" x14ac:dyDescent="0.3">
      <c r="A663" s="1" t="s">
        <v>4</v>
      </c>
      <c r="B663" s="2" t="str">
        <f t="shared" si="65"/>
        <v>PARA SER ALTERADO.</v>
      </c>
      <c r="C663" s="2" t="str">
        <f>""</f>
        <v/>
      </c>
      <c r="D663" s="2" t="str">
        <f t="shared" si="66"/>
        <v>ANTIGO</v>
      </c>
      <c r="E663" s="2" t="str">
        <f>"MODULO PARA ATUAL. CAD. PRESTADOR FFCV"</f>
        <v>MODULO PARA ATUAL. CAD. PRESTADOR FFCV</v>
      </c>
      <c r="F663" s="2" t="str">
        <f>"M_CADPRE"</f>
        <v>M_CADPRE</v>
      </c>
      <c r="G663" s="2" t="str">
        <f>" ()"</f>
        <v xml:space="preserve"> ()</v>
      </c>
    </row>
    <row r="664" spans="1:7" x14ac:dyDescent="0.3">
      <c r="A664" s="1" t="s">
        <v>4</v>
      </c>
      <c r="B664" s="2" t="str">
        <f t="shared" si="65"/>
        <v>PARA SER ALTERADO.</v>
      </c>
      <c r="C664" s="2" t="str">
        <f>""</f>
        <v/>
      </c>
      <c r="D664" s="2" t="str">
        <f t="shared" si="66"/>
        <v>ANTIGO</v>
      </c>
      <c r="E664" s="2" t="str">
        <f>"LCTO DE REMESSA"</f>
        <v>LCTO DE REMESSA</v>
      </c>
      <c r="F664" s="2" t="str">
        <f>"M_REMESSA_MANUAL"</f>
        <v>M_REMESSA_MANUAL</v>
      </c>
      <c r="G664" s="2" t="str">
        <f>"MVSaude / Contas Médicas / Conta Ambulatorial (M_REMESSA_MANUAL)"</f>
        <v>MVSaude / Contas Médicas / Conta Ambulatorial (M_REMESSA_MANUAL)</v>
      </c>
    </row>
    <row r="665" spans="1:7" x14ac:dyDescent="0.3">
      <c r="A665" s="1" t="s">
        <v>4</v>
      </c>
      <c r="B665" s="2" t="str">
        <f t="shared" si="65"/>
        <v>PARA SER ALTERADO.</v>
      </c>
      <c r="C665" s="2" t="str">
        <f>""</f>
        <v/>
      </c>
      <c r="D665" s="2" t="str">
        <f t="shared" si="66"/>
        <v>ANTIGO</v>
      </c>
      <c r="E665" s="2" t="str">
        <f>"LCTO DE REMESSA LIVRE"</f>
        <v>LCTO DE REMESSA LIVRE</v>
      </c>
      <c r="F665" s="2" t="str">
        <f>"M_REMESSA"</f>
        <v>M_REMESSA</v>
      </c>
      <c r="G665" s="2" t="str">
        <f>" ()"</f>
        <v xml:space="preserve"> ()</v>
      </c>
    </row>
    <row r="666" spans="1:7" x14ac:dyDescent="0.3">
      <c r="A666" s="1" t="s">
        <v>4</v>
      </c>
      <c r="B666" s="2" t="str">
        <f t="shared" si="65"/>
        <v>PARA SER ALTERADO.</v>
      </c>
      <c r="C666" s="2" t="str">
        <f>""</f>
        <v/>
      </c>
      <c r="D666" s="2" t="str">
        <f t="shared" si="66"/>
        <v>ANTIGO</v>
      </c>
      <c r="E666" s="2" t="str">
        <f>"CONS. DE REP. PREST. SIMPLIFICADA"</f>
        <v>CONS. DE REP. PREST. SIMPLIFICADA</v>
      </c>
      <c r="F666" s="2" t="str">
        <f>"C_CONSREPPRESTSIMPL"</f>
        <v>C_CONSREPPRESTSIMPL</v>
      </c>
      <c r="G666" s="2" t="str">
        <f>" ()"</f>
        <v xml:space="preserve"> ()</v>
      </c>
    </row>
    <row r="667" spans="1:7" x14ac:dyDescent="0.3">
      <c r="A667" s="1" t="s">
        <v>4</v>
      </c>
      <c r="B667" s="2" t="str">
        <f t="shared" si="65"/>
        <v>PARA SER ALTERADO.</v>
      </c>
      <c r="C667" s="2" t="str">
        <f>""</f>
        <v/>
      </c>
      <c r="D667" s="2" t="str">
        <f t="shared" si="66"/>
        <v>ANTIGO</v>
      </c>
      <c r="E667" s="2" t="str">
        <f>"CONSULTA DE REPASSE DE PRESTADOR"</f>
        <v>CONSULTA DE REPASSE DE PRESTADOR</v>
      </c>
      <c r="F667" s="2" t="str">
        <f>"C_CONSREPPRE"</f>
        <v>C_CONSREPPRE</v>
      </c>
      <c r="G667" s="2" t="str">
        <f>" ()"</f>
        <v xml:space="preserve"> ()</v>
      </c>
    </row>
    <row r="668" spans="1:7" x14ac:dyDescent="0.3">
      <c r="A668" s="1" t="s">
        <v>4</v>
      </c>
      <c r="B668" s="2" t="str">
        <f t="shared" si="65"/>
        <v>PARA SER ALTERADO.</v>
      </c>
      <c r="C668" s="2" t="str">
        <f>""</f>
        <v/>
      </c>
      <c r="D668" s="2" t="str">
        <f t="shared" si="66"/>
        <v>ANTIGO</v>
      </c>
      <c r="E668" s="2" t="str">
        <f>"ETIQ. DO PREST. COM ENDERECO ADMINIST."</f>
        <v>ETIQ. DO PREST. COM ENDERECO ADMINIST.</v>
      </c>
      <c r="F668" s="2" t="str">
        <f>"R_ETIQPREST"</f>
        <v>R_ETIQPREST</v>
      </c>
      <c r="G668" s="2" t="str">
        <f>" ()"</f>
        <v xml:space="preserve"> ()</v>
      </c>
    </row>
    <row r="669" spans="1:7" x14ac:dyDescent="0.3">
      <c r="A669" s="1" t="s">
        <v>4</v>
      </c>
      <c r="B669" s="2" t="str">
        <f t="shared" si="65"/>
        <v>PARA SER ALTERADO.</v>
      </c>
      <c r="C669" s="2" t="str">
        <f>""</f>
        <v/>
      </c>
      <c r="D669" s="2" t="str">
        <f t="shared" si="66"/>
        <v>ANTIGO</v>
      </c>
      <c r="E669" s="2" t="str">
        <f>"REL. DE BAIXAS DE MENSALIDADE"</f>
        <v>REL. DE BAIXAS DE MENSALIDADE</v>
      </c>
      <c r="F669" s="2" t="str">
        <f>"R_BAIXA_MENSALIDADE"</f>
        <v>R_BAIXA_MENSALIDADE</v>
      </c>
      <c r="G669" s="2" t="str">
        <f>" ()"</f>
        <v xml:space="preserve"> ()</v>
      </c>
    </row>
    <row r="670" spans="1:7" x14ac:dyDescent="0.3">
      <c r="A670" s="1" t="s">
        <v>4</v>
      </c>
      <c r="B670" s="2" t="str">
        <f t="shared" si="65"/>
        <v>PARA SER ALTERADO.</v>
      </c>
      <c r="C670" s="2" t="str">
        <f>""</f>
        <v/>
      </c>
      <c r="D670" s="2" t="str">
        <f t="shared" si="66"/>
        <v>ANTIGO</v>
      </c>
      <c r="E670" s="2" t="str">
        <f>"REL. DE EMISSAO DO CONTRATO DE PRESTADOR"</f>
        <v>REL. DE EMISSAO DO CONTRATO DE PRESTADOR</v>
      </c>
      <c r="F670" s="2" t="str">
        <f>"R_CONTRATO_PRESTADOR"</f>
        <v>R_CONTRATO_PRESTADOR</v>
      </c>
      <c r="G670" s="2" t="str">
        <f>"MVSaude / Relatórios / Operacionais / Emissão do Contrato do Prestador (R_CONTRATO_PRESTADOR)"</f>
        <v>MVSaude / Relatórios / Operacionais / Emissão do Contrato do Prestador (R_CONTRATO_PRESTADOR)</v>
      </c>
    </row>
    <row r="671" spans="1:7" x14ac:dyDescent="0.3">
      <c r="A671" s="1" t="s">
        <v>4</v>
      </c>
      <c r="B671" s="2" t="str">
        <f t="shared" si="65"/>
        <v>PARA SER ALTERADO.</v>
      </c>
      <c r="C671" s="2" t="str">
        <f>""</f>
        <v/>
      </c>
      <c r="D671" s="2" t="str">
        <f t="shared" si="66"/>
        <v>ANTIGO</v>
      </c>
      <c r="E671" s="2" t="str">
        <f>"CADASTRO DE MOTIVOS DE CANCELAMENTO"</f>
        <v>CADASTRO DE MOTIVOS DE CANCELAMENTO</v>
      </c>
      <c r="F671" s="2" t="str">
        <f>"M_MOTCANCGUIA"</f>
        <v>M_MOTCANCGUIA</v>
      </c>
      <c r="G671" s="2" t="str">
        <f>"MVSaude / Contas Médicas / Tabelas / Motivos de Cancelamento da Guia (M_MOTCANCGUIA)"</f>
        <v>MVSaude / Contas Médicas / Tabelas / Motivos de Cancelamento da Guia (M_MOTCANCGUIA)</v>
      </c>
    </row>
    <row r="672" spans="1:7" x14ac:dyDescent="0.3">
      <c r="A672" s="1" t="s">
        <v>4</v>
      </c>
      <c r="B672" s="2" t="str">
        <f t="shared" si="65"/>
        <v>PARA SER ALTERADO.</v>
      </c>
      <c r="C672" s="2" t="str">
        <f>""</f>
        <v/>
      </c>
      <c r="D672" s="2" t="str">
        <f t="shared" si="66"/>
        <v>ANTIGO</v>
      </c>
      <c r="E672" s="2" t="str">
        <f>"DESLIGAMENTO DE CONTRATO"</f>
        <v>DESLIGAMENTO DE CONTRATO</v>
      </c>
      <c r="F672" s="2" t="str">
        <f>"M_DESCONTRATO"</f>
        <v>M_DESCONTRATO</v>
      </c>
      <c r="G672" s="2" t="str">
        <f>"MVSaude / Cadastros / Desligamento / Reativação / Contrato (M_DESCONTRATO)"</f>
        <v>MVSaude / Cadastros / Desligamento / Reativação / Contrato (M_DESCONTRATO)</v>
      </c>
    </row>
    <row r="673" spans="1:7" x14ac:dyDescent="0.3">
      <c r="A673" s="1" t="s">
        <v>4</v>
      </c>
      <c r="B673" s="2" t="str">
        <f t="shared" si="65"/>
        <v>PARA SER ALTERADO.</v>
      </c>
      <c r="C673" s="2" t="str">
        <f>""</f>
        <v/>
      </c>
      <c r="D673" s="2" t="str">
        <f t="shared" si="66"/>
        <v>ANTIGO</v>
      </c>
      <c r="E673" s="2" t="str">
        <f>"DESLIGAMENTO DE USUÁRIOS"</f>
        <v>DESLIGAMENTO DE USUÁRIOS</v>
      </c>
      <c r="F673" s="2" t="str">
        <f>"M_DESLIGAMENTO"</f>
        <v>M_DESLIGAMENTO</v>
      </c>
      <c r="G673" s="2" t="str">
        <f>"MVSaude / Cadastros / Desligamento / Reativação / Usuário (M_DESLIGAMENTO)"</f>
        <v>MVSaude / Cadastros / Desligamento / Reativação / Usuário (M_DESLIGAMENTO)</v>
      </c>
    </row>
    <row r="674" spans="1:7" x14ac:dyDescent="0.3">
      <c r="A674" s="1" t="s">
        <v>4</v>
      </c>
      <c r="B674" s="2" t="str">
        <f t="shared" si="65"/>
        <v>PARA SER ALTERADO.</v>
      </c>
      <c r="C674" s="2" t="str">
        <f>""</f>
        <v/>
      </c>
      <c r="D674" s="2" t="str">
        <f t="shared" si="66"/>
        <v>ANTIGO</v>
      </c>
      <c r="E674" s="2" t="str">
        <f>"CARTEIRA DO PLANO"</f>
        <v>CARTEIRA DO PLANO</v>
      </c>
      <c r="F674" s="2" t="str">
        <f>"R_EMICAR"</f>
        <v>R_EMICAR</v>
      </c>
      <c r="G674" s="2" t="str">
        <f>" ()"</f>
        <v xml:space="preserve"> ()</v>
      </c>
    </row>
    <row r="675" spans="1:7" x14ac:dyDescent="0.3">
      <c r="A675" s="1" t="s">
        <v>4</v>
      </c>
      <c r="B675" s="2" t="str">
        <f t="shared" si="65"/>
        <v>PARA SER ALTERADO.</v>
      </c>
      <c r="C675" s="2" t="str">
        <f>""</f>
        <v/>
      </c>
      <c r="D675" s="2" t="str">
        <f t="shared" si="66"/>
        <v>ANTIGO</v>
      </c>
      <c r="E675" s="2" t="str">
        <f>"CADASTRO DE ESPECIALIDADES"</f>
        <v>CADASTRO DE ESPECIALIDADES</v>
      </c>
      <c r="F675" s="2" t="str">
        <f>"M_ESPECI_SGPS"</f>
        <v>M_ESPECI_SGPS</v>
      </c>
      <c r="G675" s="2" t="str">
        <f>"MVSaude / Contas Médicas / Tabelas / Especialidades (M_ESPECI_SGPS)"</f>
        <v>MVSaude / Contas Médicas / Tabelas / Especialidades (M_ESPECI_SGPS)</v>
      </c>
    </row>
    <row r="676" spans="1:7" x14ac:dyDescent="0.3">
      <c r="A676" s="1" t="s">
        <v>4</v>
      </c>
      <c r="B676" s="2" t="str">
        <f t="shared" si="65"/>
        <v>PARA SER ALTERADO.</v>
      </c>
      <c r="C676" s="2" t="str">
        <f>""</f>
        <v/>
      </c>
      <c r="D676" s="2" t="str">
        <f t="shared" si="66"/>
        <v>ANTIGO</v>
      </c>
      <c r="E676" s="2" t="str">
        <f>"PACKAGE DO AMBULATORIO"</f>
        <v>PACKAGE DO AMBULATORIO</v>
      </c>
      <c r="F676" s="2" t="str">
        <f>"PACK_AMBU"</f>
        <v>PACK_AMBU</v>
      </c>
      <c r="G676" s="2" t="str">
        <f>" ()"</f>
        <v xml:space="preserve"> ()</v>
      </c>
    </row>
    <row r="677" spans="1:7" x14ac:dyDescent="0.3">
      <c r="A677" s="1" t="s">
        <v>4</v>
      </c>
      <c r="B677" s="2" t="str">
        <f t="shared" si="65"/>
        <v>PARA SER ALTERADO.</v>
      </c>
      <c r="C677" s="2" t="str">
        <f>""</f>
        <v/>
      </c>
      <c r="D677" s="2" t="str">
        <f t="shared" si="66"/>
        <v>ANTIGO</v>
      </c>
      <c r="E677" s="2" t="str">
        <f>"TABELA DE INSS"</f>
        <v>TABELA DE INSS</v>
      </c>
      <c r="F677" s="2" t="str">
        <f>"M_INSS"</f>
        <v>M_INSS</v>
      </c>
      <c r="G677" s="2" t="str">
        <f>" ()"</f>
        <v xml:space="preserve"> ()</v>
      </c>
    </row>
    <row r="678" spans="1:7" x14ac:dyDescent="0.3">
      <c r="A678" s="1" t="s">
        <v>4</v>
      </c>
      <c r="B678" s="2" t="str">
        <f t="shared" si="65"/>
        <v>PARA SER ALTERADO.</v>
      </c>
      <c r="C678" s="2" t="str">
        <f>""</f>
        <v/>
      </c>
      <c r="D678" s="2" t="str">
        <f t="shared" si="66"/>
        <v>ANTIGO</v>
      </c>
      <c r="E678" s="2" t="str">
        <f>"ADIANTAMENTO DE EMPRSAS"</f>
        <v>ADIANTAMENTO DE EMPRSAS</v>
      </c>
      <c r="F678" s="2" t="str">
        <f>"M_ADIANTAMENTO"</f>
        <v>M_ADIANTAMENTO</v>
      </c>
      <c r="G678" s="2" t="str">
        <f>" ()"</f>
        <v xml:space="preserve"> ()</v>
      </c>
    </row>
    <row r="679" spans="1:7" x14ac:dyDescent="0.3">
      <c r="A679" s="1" t="s">
        <v>4</v>
      </c>
      <c r="B679" s="2" t="str">
        <f t="shared" si="65"/>
        <v>PARA SER ALTERADO.</v>
      </c>
      <c r="C679" s="2" t="str">
        <f>""</f>
        <v/>
      </c>
      <c r="D679" s="2" t="str">
        <f t="shared" si="66"/>
        <v>ANTIGO</v>
      </c>
      <c r="E679" s="2" t="str">
        <f>"REL. USUARIOS POR EMPRESA C/ VLR MENS."</f>
        <v>REL. USUARIOS POR EMPRESA C/ VLR MENS.</v>
      </c>
      <c r="F679" s="2" t="str">
        <f>"R_USUEMPVALOR"</f>
        <v>R_USUEMPVALOR</v>
      </c>
      <c r="G679" s="2" t="str">
        <f>"MVSaude / Relatórios / Faturamento / Mensalidades por Beneficiários (R_USUEMPVALOR)"</f>
        <v>MVSaude / Relatórios / Faturamento / Mensalidades por Beneficiários (R_USUEMPVALOR)</v>
      </c>
    </row>
    <row r="680" spans="1:7" x14ac:dyDescent="0.3">
      <c r="A680" s="1" t="s">
        <v>4</v>
      </c>
      <c r="B680" s="2" t="str">
        <f t="shared" si="65"/>
        <v>PARA SER ALTERADO.</v>
      </c>
      <c r="C680" s="2" t="str">
        <f>""</f>
        <v/>
      </c>
      <c r="D680" s="2" t="str">
        <f t="shared" si="66"/>
        <v>ANTIGO</v>
      </c>
      <c r="E680" s="2" t="str">
        <f>"RELATORIO DE GUIAS VENCIADAS"</f>
        <v>RELATORIO DE GUIAS VENCIADAS</v>
      </c>
      <c r="F680" s="2" t="str">
        <f>"GUIAS_VENCIDAS"</f>
        <v>GUIAS_VENCIDAS</v>
      </c>
      <c r="G680" s="2" t="str">
        <f>" ()"</f>
        <v xml:space="preserve"> ()</v>
      </c>
    </row>
    <row r="681" spans="1:7" x14ac:dyDescent="0.3">
      <c r="A681" s="1" t="s">
        <v>4</v>
      </c>
      <c r="B681" s="2" t="str">
        <f t="shared" si="65"/>
        <v>PARA SER ALTERADO.</v>
      </c>
      <c r="C681" s="2" t="str">
        <f>""</f>
        <v/>
      </c>
      <c r="D681" s="2" t="str">
        <f t="shared" si="66"/>
        <v>ANTIGO</v>
      </c>
      <c r="E681" s="2" t="str">
        <f>"CAD. TIPOS DE ACOMODAÇÃO"</f>
        <v>CAD. TIPOS DE ACOMODAÇÃO</v>
      </c>
      <c r="F681" s="2" t="str">
        <f>"M _TIPACO"</f>
        <v>M _TIPACO</v>
      </c>
      <c r="G681" s="2" t="str">
        <f>" ()"</f>
        <v xml:space="preserve"> ()</v>
      </c>
    </row>
    <row r="682" spans="1:7" x14ac:dyDescent="0.3">
      <c r="A682" s="1" t="s">
        <v>4</v>
      </c>
      <c r="B682" s="2" t="str">
        <f t="shared" si="65"/>
        <v>PARA SER ALTERADO.</v>
      </c>
      <c r="C682" s="2" t="str">
        <f>""</f>
        <v/>
      </c>
      <c r="D682" s="2" t="str">
        <f t="shared" si="66"/>
        <v>ANTIGO</v>
      </c>
      <c r="E682" s="2" t="str">
        <f>"CONSULTA DE ESPEC. DE PRESTADORES"</f>
        <v>CONSULTA DE ESPEC. DE PRESTADORES</v>
      </c>
      <c r="F682" s="2" t="str">
        <f>"C_ESPPRE"</f>
        <v>C_ESPPRE</v>
      </c>
      <c r="G682" s="2" t="str">
        <f>"MVSaude / Consultas / Especialidade dos Prestadores (C_ESPPRE)"</f>
        <v>MVSaude / Consultas / Especialidade dos Prestadores (C_ESPPRE)</v>
      </c>
    </row>
    <row r="683" spans="1:7" x14ac:dyDescent="0.3">
      <c r="A683" s="1" t="s">
        <v>4</v>
      </c>
      <c r="B683" s="2" t="str">
        <f t="shared" si="65"/>
        <v>PARA SER ALTERADO.</v>
      </c>
      <c r="C683" s="2" t="str">
        <f>""</f>
        <v/>
      </c>
      <c r="D683" s="2" t="str">
        <f t="shared" si="66"/>
        <v>ANTIGO</v>
      </c>
      <c r="E683" s="2" t="str">
        <f>"CADASTRO DE KIT PRESTADOR"</f>
        <v>CADASTRO DE KIT PRESTADOR</v>
      </c>
      <c r="F683" s="2" t="str">
        <f>"M_KIT_PRESTADOR"</f>
        <v>M_KIT_PRESTADOR</v>
      </c>
      <c r="G683" s="2" t="str">
        <f>" ()"</f>
        <v xml:space="preserve"> ()</v>
      </c>
    </row>
    <row r="684" spans="1:7" x14ac:dyDescent="0.3">
      <c r="A684" s="1" t="s">
        <v>4</v>
      </c>
      <c r="B684" s="2" t="str">
        <f t="shared" si="65"/>
        <v>PARA SER ALTERADO.</v>
      </c>
      <c r="C684" s="2" t="str">
        <f>""</f>
        <v/>
      </c>
      <c r="D684" s="2" t="str">
        <f t="shared" si="66"/>
        <v>ANTIGO</v>
      </c>
      <c r="E684" s="2" t="str">
        <f>"RELATÓRIO DE KIT PADRÃO"</f>
        <v>RELATÓRIO DE KIT PADRÃO</v>
      </c>
      <c r="F684" s="2" t="str">
        <f>"R_KIT"</f>
        <v>R_KIT</v>
      </c>
      <c r="G684" s="2" t="str">
        <f>"MVSaude / Relatórios / Tabelas / Kits / Padrão (R_KIT)"</f>
        <v>MVSaude / Relatórios / Tabelas / Kits / Padrão (R_KIT)</v>
      </c>
    </row>
    <row r="685" spans="1:7" x14ac:dyDescent="0.3">
      <c r="A685" s="1" t="s">
        <v>4</v>
      </c>
      <c r="B685" s="2" t="str">
        <f t="shared" si="65"/>
        <v>PARA SER ALTERADO.</v>
      </c>
      <c r="C685" s="2" t="str">
        <f>""</f>
        <v/>
      </c>
      <c r="D685" s="2" t="str">
        <f t="shared" si="66"/>
        <v>ANTIGO</v>
      </c>
      <c r="E685" s="2" t="str">
        <f>"RELATÓRIO CADASTRAL DE PROCEDIMENTOS"</f>
        <v>RELATÓRIO CADASTRAL DE PROCEDIMENTOS</v>
      </c>
      <c r="F685" s="2" t="str">
        <f>"R_PROCEDI"</f>
        <v>R_PROCEDI</v>
      </c>
      <c r="G685" s="2" t="str">
        <f>"MVSaude / Relatórios / Tabelas / Faturamento / Procedimentos (R_PROCEDI)"</f>
        <v>MVSaude / Relatórios / Tabelas / Faturamento / Procedimentos (R_PROCEDI)</v>
      </c>
    </row>
    <row r="686" spans="1:7" x14ac:dyDescent="0.3">
      <c r="A686" s="1" t="s">
        <v>4</v>
      </c>
      <c r="B686" s="2" t="str">
        <f t="shared" si="65"/>
        <v>PARA SER ALTERADO.</v>
      </c>
      <c r="C686" s="2" t="str">
        <f>""</f>
        <v/>
      </c>
      <c r="D686" s="2" t="str">
        <f t="shared" si="66"/>
        <v>ANTIGO</v>
      </c>
      <c r="E686" s="2" t="str">
        <f>"AUDITORIA ADMINISTRATIVA DE REMESSAS"</f>
        <v>AUDITORIA ADMINISTRATIVA DE REMESSAS</v>
      </c>
      <c r="F686" s="2" t="str">
        <f>"M_CRIT_REMESSA"</f>
        <v>M_CRIT_REMESSA</v>
      </c>
      <c r="G686" s="2" t="str">
        <f>"MVSaude / Contas Médicas / Auditoria de Conta Ambulatorial (M_CRIT_REMESSA)"</f>
        <v>MVSaude / Contas Médicas / Auditoria de Conta Ambulatorial (M_CRIT_REMESSA)</v>
      </c>
    </row>
    <row r="687" spans="1:7" x14ac:dyDescent="0.3">
      <c r="A687" s="1" t="s">
        <v>4</v>
      </c>
      <c r="B687" s="2" t="str">
        <f t="shared" si="65"/>
        <v>PARA SER ALTERADO.</v>
      </c>
      <c r="C687" s="2" t="str">
        <f>""</f>
        <v/>
      </c>
      <c r="D687" s="2" t="str">
        <f t="shared" si="66"/>
        <v>ANTIGO</v>
      </c>
      <c r="E687" s="2" t="str">
        <f>"CADASTRO PROCEDIMENTOS DE INTERNAÇÃO"</f>
        <v>CADASTRO PROCEDIMENTOS DE INTERNAÇÃO</v>
      </c>
      <c r="F687" s="2" t="str">
        <f>"CAD_PRO"</f>
        <v>CAD_PRO</v>
      </c>
      <c r="G687" s="2" t="str">
        <f>" ()"</f>
        <v xml:space="preserve"> ()</v>
      </c>
    </row>
    <row r="688" spans="1:7" x14ac:dyDescent="0.3">
      <c r="A688" s="1" t="s">
        <v>4</v>
      </c>
      <c r="B688" s="2" t="str">
        <f t="shared" si="65"/>
        <v>PARA SER ALTERADO.</v>
      </c>
      <c r="C688" s="2" t="str">
        <f>""</f>
        <v/>
      </c>
      <c r="D688" s="2" t="str">
        <f t="shared" si="66"/>
        <v>ANTIGO</v>
      </c>
      <c r="E688" s="2" t="str">
        <f>"PADRAO HOSPITALAR (M_PADRAO_MAO)"</f>
        <v>PADRAO HOSPITALAR (M_PADRAO_MAO)</v>
      </c>
      <c r="F688" s="2" t="str">
        <f>"M_PADRAO"</f>
        <v>M_PADRAO</v>
      </c>
      <c r="G688" s="2" t="str">
        <f>" ()"</f>
        <v xml:space="preserve"> ()</v>
      </c>
    </row>
    <row r="689" spans="1:7" x14ac:dyDescent="0.3">
      <c r="A689" s="1" t="s">
        <v>4</v>
      </c>
      <c r="B689" s="2" t="str">
        <f t="shared" si="65"/>
        <v>PARA SER ALTERADO.</v>
      </c>
      <c r="C689" s="2" t="str">
        <f>""</f>
        <v/>
      </c>
      <c r="D689" s="2" t="str">
        <f t="shared" si="66"/>
        <v>ANTIGO</v>
      </c>
      <c r="E689" s="2" t="str">
        <f>"LISTA POR ALMOXARIFADO"</f>
        <v>LISTA POR ALMOXARIFADO</v>
      </c>
      <c r="F689" s="2" t="str">
        <f>"R_LISTPROD"</f>
        <v>R_LISTPROD</v>
      </c>
      <c r="G689" s="2" t="str">
        <f>" ()"</f>
        <v xml:space="preserve"> ()</v>
      </c>
    </row>
    <row r="690" spans="1:7" x14ac:dyDescent="0.3">
      <c r="A690" s="1" t="s">
        <v>4</v>
      </c>
      <c r="B690" s="2" t="str">
        <f t="shared" si="65"/>
        <v>PARA SER ALTERADO.</v>
      </c>
      <c r="C690" s="2" t="str">
        <f>""</f>
        <v/>
      </c>
      <c r="D690" s="2" t="str">
        <f t="shared" si="66"/>
        <v>ANTIGO</v>
      </c>
      <c r="E690" s="2" t="str">
        <f>"ATENDIMENTO EXTERNO"</f>
        <v>ATENDIMENTO EXTERNO</v>
      </c>
      <c r="F690" s="2" t="str">
        <f>"ATE_EXT"</f>
        <v>ATE_EXT</v>
      </c>
      <c r="G690" s="2" t="str">
        <f>" ()"</f>
        <v xml:space="preserve"> ()</v>
      </c>
    </row>
    <row r="691" spans="1:7" x14ac:dyDescent="0.3">
      <c r="A691" s="1" t="s">
        <v>4</v>
      </c>
      <c r="B691" s="2" t="str">
        <f t="shared" si="65"/>
        <v>PARA SER ALTERADO.</v>
      </c>
      <c r="C691" s="2" t="str">
        <f>""</f>
        <v/>
      </c>
      <c r="D691" s="2" t="str">
        <f t="shared" si="66"/>
        <v>ANTIGO</v>
      </c>
      <c r="E691" s="2" t="str">
        <f>"AUDITORIA DA CONTA HOSPITALAR"</f>
        <v>AUDITORIA DA CONTA HOSPITALAR</v>
      </c>
      <c r="F691" s="2" t="str">
        <f>"M_CRIT_CTAH"</f>
        <v>M_CRIT_CTAH</v>
      </c>
      <c r="G691" s="2" t="str">
        <f>"MVSaude / Contas Médicas / Auditoria de Conta Hospitalar (M_CRIT_CTAH)"</f>
        <v>MVSaude / Contas Médicas / Auditoria de Conta Hospitalar (M_CRIT_CTAH)</v>
      </c>
    </row>
    <row r="692" spans="1:7" x14ac:dyDescent="0.3">
      <c r="A692" s="1" t="s">
        <v>4</v>
      </c>
      <c r="B692" s="2" t="str">
        <f t="shared" si="65"/>
        <v>PARA SER ALTERADO.</v>
      </c>
      <c r="C692" s="2" t="str">
        <f>""</f>
        <v/>
      </c>
      <c r="D692" s="2" t="str">
        <f t="shared" si="66"/>
        <v>ANTIGO</v>
      </c>
      <c r="E692" s="2" t="str">
        <f>"RELATORIO DE LOTE POR ATENDIMENTO"</f>
        <v>RELATORIO DE LOTE POR ATENDIMENTO</v>
      </c>
      <c r="F692" s="2" t="str">
        <f>"R_LOTE_ATEND"</f>
        <v>R_LOTE_ATEND</v>
      </c>
      <c r="G692" s="2" t="str">
        <f>" ()"</f>
        <v xml:space="preserve"> ()</v>
      </c>
    </row>
    <row r="693" spans="1:7" x14ac:dyDescent="0.3">
      <c r="A693" s="1" t="s">
        <v>4</v>
      </c>
      <c r="B693" s="2" t="str">
        <f t="shared" si="65"/>
        <v>PARA SER ALTERADO.</v>
      </c>
      <c r="C693" s="2" t="str">
        <f>""</f>
        <v/>
      </c>
      <c r="D693" s="2" t="str">
        <f t="shared" si="66"/>
        <v>ANTIGO</v>
      </c>
      <c r="E693" s="2" t="str">
        <f>"AGENDAMENTO NORMAL"</f>
        <v>AGENDAMENTO NORMAL</v>
      </c>
      <c r="F693" s="2" t="str">
        <f>"CAD_AGD"</f>
        <v>CAD_AGD</v>
      </c>
      <c r="G693" s="2" t="str">
        <f>" ()"</f>
        <v xml:space="preserve"> ()</v>
      </c>
    </row>
    <row r="694" spans="1:7" x14ac:dyDescent="0.3">
      <c r="A694" s="1" t="s">
        <v>4</v>
      </c>
      <c r="B694" s="2" t="str">
        <f t="shared" si="65"/>
        <v>PARA SER ALTERADO.</v>
      </c>
      <c r="C694" s="2" t="str">
        <f>""</f>
        <v/>
      </c>
      <c r="D694" s="2" t="str">
        <f t="shared" si="66"/>
        <v>ANTIGO</v>
      </c>
      <c r="E694" s="2" t="str">
        <f>"MANUT. VALORES TABELA DE PREÇO"</f>
        <v>MANUT. VALORES TABELA DE PREÇO</v>
      </c>
      <c r="F694" s="2" t="str">
        <f>"M_VALORES_TABELA"</f>
        <v>M_VALORES_TABELA</v>
      </c>
      <c r="G694" s="2" t="str">
        <f>"MVSaude / Cadastros / Tabelas de Preços (M_VALORES_TABELA)"</f>
        <v>MVSaude / Cadastros / Tabelas de Preços (M_VALORES_TABELA)</v>
      </c>
    </row>
    <row r="695" spans="1:7" x14ac:dyDescent="0.3">
      <c r="A695" s="1" t="s">
        <v>4</v>
      </c>
      <c r="B695" s="2" t="str">
        <f t="shared" si="65"/>
        <v>PARA SER ALTERADO.</v>
      </c>
      <c r="C695" s="2" t="str">
        <f>""</f>
        <v/>
      </c>
      <c r="D695" s="2" t="str">
        <f t="shared" si="66"/>
        <v>ANTIGO</v>
      </c>
      <c r="E695" s="2" t="str">
        <f>"REL. DE ISS POR COMPETENCIA"</f>
        <v>REL. DE ISS POR COMPETENCIA</v>
      </c>
      <c r="F695" s="2" t="str">
        <f>"R_ISS_COMPET"</f>
        <v>R_ISS_COMPET</v>
      </c>
      <c r="G695" s="2" t="str">
        <f>" ()"</f>
        <v xml:space="preserve"> ()</v>
      </c>
    </row>
    <row r="696" spans="1:7" x14ac:dyDescent="0.3">
      <c r="A696" s="1" t="s">
        <v>4</v>
      </c>
      <c r="B696" s="2" t="str">
        <f t="shared" si="65"/>
        <v>PARA SER ALTERADO.</v>
      </c>
      <c r="C696" s="2" t="str">
        <f>""</f>
        <v/>
      </c>
      <c r="D696" s="2" t="str">
        <f t="shared" si="66"/>
        <v>ANTIGO</v>
      </c>
      <c r="E696" s="2" t="str">
        <f>"CADASTRO DE BOLETO BANCARIO"</f>
        <v>CADASTRO DE BOLETO BANCARIO</v>
      </c>
      <c r="F696" s="2" t="str">
        <f>"M_BOLETO_BANCARIO"</f>
        <v>M_BOLETO_BANCARIO</v>
      </c>
      <c r="G696" s="2" t="str">
        <f>" ()"</f>
        <v xml:space="preserve"> ()</v>
      </c>
    </row>
    <row r="697" spans="1:7" x14ac:dyDescent="0.3">
      <c r="A697" s="1" t="s">
        <v>4</v>
      </c>
      <c r="B697" s="2" t="str">
        <f t="shared" si="65"/>
        <v>PARA SER ALTERADO.</v>
      </c>
      <c r="C697" s="2" t="str">
        <f>""</f>
        <v/>
      </c>
      <c r="D697" s="2" t="str">
        <f t="shared" si="66"/>
        <v>ANTIGO</v>
      </c>
      <c r="E697" s="2" t="str">
        <f>"REL. DE ISS POR PRESTADOR"</f>
        <v>REL. DE ISS POR PRESTADOR</v>
      </c>
      <c r="F697" s="2" t="str">
        <f>"R_ISS_PRESTADOR"</f>
        <v>R_ISS_PRESTADOR</v>
      </c>
      <c r="G697" s="2" t="str">
        <f>" ()"</f>
        <v xml:space="preserve"> ()</v>
      </c>
    </row>
    <row r="698" spans="1:7" x14ac:dyDescent="0.3">
      <c r="A698" s="1" t="s">
        <v>4</v>
      </c>
      <c r="B698" s="2" t="str">
        <f t="shared" ref="B698:B718" si="68">"PARA SER ALTERADO."</f>
        <v>PARA SER ALTERADO.</v>
      </c>
      <c r="C698" s="2" t="str">
        <f>""</f>
        <v/>
      </c>
      <c r="D698" s="2" t="str">
        <f t="shared" ref="D698:D718" si="69">"ANTIGO"</f>
        <v>ANTIGO</v>
      </c>
      <c r="E698" s="2" t="str">
        <f>"CONSULTA  DE ESPEC. X ZONA X PRESTADORES"</f>
        <v>CONSULTA  DE ESPEC. X ZONA X PRESTADORES</v>
      </c>
      <c r="F698" s="2" t="str">
        <f>"C_ESPEC_ZONA"</f>
        <v>C_ESPEC_ZONA</v>
      </c>
      <c r="G698" s="2" t="str">
        <f>"MVSaude / Consultas / Especialidade por Zona por Prestadores (C_ESPEC_ZONA)"</f>
        <v>MVSaude / Consultas / Especialidade por Zona por Prestadores (C_ESPEC_ZONA)</v>
      </c>
    </row>
    <row r="699" spans="1:7" x14ac:dyDescent="0.3">
      <c r="A699" s="1" t="s">
        <v>4</v>
      </c>
      <c r="B699" s="2" t="str">
        <f t="shared" si="68"/>
        <v>PARA SER ALTERADO.</v>
      </c>
      <c r="C699" s="2" t="str">
        <f>""</f>
        <v/>
      </c>
      <c r="D699" s="2" t="str">
        <f t="shared" si="69"/>
        <v>ANTIGO</v>
      </c>
      <c r="E699" s="2" t="str">
        <f>"CADASTRO DE USUARIOS"</f>
        <v>CADASTRO DE USUARIOS</v>
      </c>
      <c r="F699" s="2" t="str">
        <f>"M_USUARIO"</f>
        <v>M_USUARIO</v>
      </c>
      <c r="G699" s="2" t="str">
        <f>"MVSaude / Cadastros / Beneficiários (M_USUARIO)"</f>
        <v>MVSaude / Cadastros / Beneficiários (M_USUARIO)</v>
      </c>
    </row>
    <row r="700" spans="1:7" x14ac:dyDescent="0.3">
      <c r="A700" s="1" t="s">
        <v>4</v>
      </c>
      <c r="B700" s="2" t="str">
        <f t="shared" si="68"/>
        <v>PARA SER ALTERADO.</v>
      </c>
      <c r="C700" s="2" t="str">
        <f>""</f>
        <v/>
      </c>
      <c r="D700" s="2" t="str">
        <f t="shared" si="69"/>
        <v>ANTIGO</v>
      </c>
      <c r="E700" s="2" t="str">
        <f>"RELATÓRIO SINT.  DOS REPASSES DE PRESTAD"</f>
        <v>RELATÓRIO SINT.  DOS REPASSES DE PRESTAD</v>
      </c>
      <c r="F700" s="2" t="str">
        <f>"R_A_REP_PRESTADOR"</f>
        <v>R_A_REP_PRESTADOR</v>
      </c>
      <c r="G700" s="2" t="str">
        <f>" ()"</f>
        <v xml:space="preserve"> ()</v>
      </c>
    </row>
    <row r="701" spans="1:7" x14ac:dyDescent="0.3">
      <c r="A701" s="1" t="s">
        <v>4</v>
      </c>
      <c r="B701" s="2" t="str">
        <f t="shared" si="68"/>
        <v>PARA SER ALTERADO.</v>
      </c>
      <c r="C701" s="2" t="str">
        <f>""</f>
        <v/>
      </c>
      <c r="D701" s="2" t="str">
        <f t="shared" si="69"/>
        <v>ANTIGO</v>
      </c>
      <c r="E701" s="2" t="str">
        <f>"RELATORIO DE TIPO DE ENTRADAS"</f>
        <v>RELATORIO DE TIPO DE ENTRADAS</v>
      </c>
      <c r="F701" s="2" t="str">
        <f>"R_TIPENT"</f>
        <v>R_TIPENT</v>
      </c>
      <c r="G701" s="2" t="str">
        <f>" ()"</f>
        <v xml:space="preserve"> ()</v>
      </c>
    </row>
    <row r="702" spans="1:7" x14ac:dyDescent="0.3">
      <c r="A702" s="1" t="s">
        <v>4</v>
      </c>
      <c r="B702" s="2" t="str">
        <f t="shared" si="68"/>
        <v>PARA SER ALTERADO.</v>
      </c>
      <c r="C702" s="2" t="str">
        <f>""</f>
        <v/>
      </c>
      <c r="D702" s="2" t="str">
        <f t="shared" si="69"/>
        <v>ANTIGO</v>
      </c>
      <c r="E702" s="2" t="str">
        <f>"CONSUMO DO SETOR"</f>
        <v>CONSUMO DO SETOR</v>
      </c>
      <c r="F702" s="2" t="str">
        <f>"G_CONSET"</f>
        <v>G_CONSET</v>
      </c>
      <c r="G702" s="2" t="str">
        <f>" ()"</f>
        <v xml:space="preserve"> ()</v>
      </c>
    </row>
    <row r="703" spans="1:7" x14ac:dyDescent="0.3">
      <c r="A703" s="1" t="s">
        <v>4</v>
      </c>
      <c r="B703" s="2" t="str">
        <f t="shared" si="68"/>
        <v>PARA SER ALTERADO.</v>
      </c>
      <c r="C703" s="2" t="str">
        <f>""</f>
        <v/>
      </c>
      <c r="D703" s="2" t="str">
        <f t="shared" si="69"/>
        <v>ANTIGO</v>
      </c>
      <c r="E703" s="2" t="str">
        <f>"TIPO DE ENTRADAS"</f>
        <v>TIPO DE ENTRADAS</v>
      </c>
      <c r="F703" s="2" t="str">
        <f>"M_TIPENT"</f>
        <v>M_TIPENT</v>
      </c>
      <c r="G703" s="2" t="str">
        <f>" ()"</f>
        <v xml:space="preserve"> ()</v>
      </c>
    </row>
    <row r="704" spans="1:7" x14ac:dyDescent="0.3">
      <c r="A704" s="1" t="s">
        <v>4</v>
      </c>
      <c r="B704" s="2" t="str">
        <f t="shared" si="68"/>
        <v>PARA SER ALTERADO.</v>
      </c>
      <c r="C704" s="2" t="str">
        <f>""</f>
        <v/>
      </c>
      <c r="D704" s="2" t="str">
        <f t="shared" si="69"/>
        <v>ANTIGO</v>
      </c>
      <c r="E704" s="2" t="str">
        <f>"MANUTENÇÃO DA TABELA DE VAL. ISS"</f>
        <v>MANUTENÇÃO DA TABELA DE VAL. ISS</v>
      </c>
      <c r="F704" s="2" t="str">
        <f>"M_ISS"</f>
        <v>M_ISS</v>
      </c>
      <c r="G704" s="2" t="str">
        <f>" ()"</f>
        <v xml:space="preserve"> ()</v>
      </c>
    </row>
    <row r="705" spans="1:7" x14ac:dyDescent="0.3">
      <c r="A705" s="1" t="s">
        <v>4</v>
      </c>
      <c r="B705" s="2" t="str">
        <f t="shared" si="68"/>
        <v>PARA SER ALTERADO.</v>
      </c>
      <c r="C705" s="2" t="str">
        <f>""</f>
        <v/>
      </c>
      <c r="D705" s="2" t="str">
        <f t="shared" si="69"/>
        <v>ANTIGO</v>
      </c>
      <c r="E705" s="2" t="str">
        <f>"REL. MOTIVO DE CANCELAMENTO DE GUIAS"</f>
        <v>REL. MOTIVO DE CANCELAMENTO DE GUIAS</v>
      </c>
      <c r="F705" s="2" t="str">
        <f>"R_MOTCANCGUIA"</f>
        <v>R_MOTCANCGUIA</v>
      </c>
      <c r="G705" s="2" t="str">
        <f>"MVSaude / Relatórios / Tabelas / Faturamento / Motivos de Cancelamento de Guias (R_MOTCANCGUIA)"</f>
        <v>MVSaude / Relatórios / Tabelas / Faturamento / Motivos de Cancelamento de Guias (R_MOTCANCGUIA)</v>
      </c>
    </row>
    <row r="706" spans="1:7" x14ac:dyDescent="0.3">
      <c r="A706" s="1" t="s">
        <v>4</v>
      </c>
      <c r="B706" s="2" t="str">
        <f t="shared" si="68"/>
        <v>PARA SER ALTERADO.</v>
      </c>
      <c r="C706" s="2" t="str">
        <f>""</f>
        <v/>
      </c>
      <c r="D706" s="2" t="str">
        <f t="shared" si="69"/>
        <v>ANTIGO</v>
      </c>
      <c r="E706" s="2" t="str">
        <f>"RELATÓRIO DE MENSALIDADES VENCIDAS"</f>
        <v>RELATÓRIO DE MENSALIDADES VENCIDAS</v>
      </c>
      <c r="F706" s="2" t="str">
        <f>"R_MENS_VENCIDAS"</f>
        <v>R_MENS_VENCIDAS</v>
      </c>
      <c r="G706" s="2" t="str">
        <f t="shared" ref="G706:G718" si="70">" ()"</f>
        <v xml:space="preserve"> ()</v>
      </c>
    </row>
    <row r="707" spans="1:7" x14ac:dyDescent="0.3">
      <c r="A707" s="1" t="s">
        <v>4</v>
      </c>
      <c r="B707" s="2" t="str">
        <f t="shared" si="68"/>
        <v>PARA SER ALTERADO.</v>
      </c>
      <c r="C707" s="2" t="str">
        <f>""</f>
        <v/>
      </c>
      <c r="D707" s="2" t="str">
        <f t="shared" si="69"/>
        <v>ANTIGO</v>
      </c>
      <c r="E707" s="2" t="str">
        <f>"REL. SINT. DE DESLIGAMENTO DE CONTRATO"</f>
        <v>REL. SINT. DE DESLIGAMENTO DE CONTRATO</v>
      </c>
      <c r="F707" s="2" t="str">
        <f>"R_DESLCONTRATO_SINT"</f>
        <v>R_DESLCONTRATO_SINT</v>
      </c>
      <c r="G707" s="2" t="str">
        <f t="shared" si="70"/>
        <v xml:space="preserve"> ()</v>
      </c>
    </row>
    <row r="708" spans="1:7" x14ac:dyDescent="0.3">
      <c r="A708" s="1" t="s">
        <v>4</v>
      </c>
      <c r="B708" s="2" t="str">
        <f t="shared" si="68"/>
        <v>PARA SER ALTERADO.</v>
      </c>
      <c r="C708" s="2" t="str">
        <f>""</f>
        <v/>
      </c>
      <c r="D708" s="2" t="str">
        <f t="shared" si="69"/>
        <v>ANTIGO</v>
      </c>
      <c r="E708" s="2" t="str">
        <f>"VALOR DO PORTE"</f>
        <v>VALOR DO PORTE</v>
      </c>
      <c r="F708" s="2" t="str">
        <f>"M_VALORES_POR"</f>
        <v>M_VALORES_POR</v>
      </c>
      <c r="G708" s="2" t="str">
        <f t="shared" si="70"/>
        <v xml:space="preserve"> ()</v>
      </c>
    </row>
    <row r="709" spans="1:7" x14ac:dyDescent="0.3">
      <c r="A709" s="1" t="s">
        <v>4</v>
      </c>
      <c r="B709" s="2" t="str">
        <f t="shared" si="68"/>
        <v>PARA SER ALTERADO.</v>
      </c>
      <c r="C709" s="2" t="str">
        <f>""</f>
        <v/>
      </c>
      <c r="D709" s="2" t="str">
        <f t="shared" si="69"/>
        <v>ANTIGO</v>
      </c>
      <c r="E709" s="2" t="str">
        <f>"RELATÓRIO DE VALOR DA GUIA"</f>
        <v>RELATÓRIO DE VALOR DA GUIA</v>
      </c>
      <c r="F709" s="2" t="str">
        <f>"R_VALOR_GUIA"</f>
        <v>R_VALOR_GUIA</v>
      </c>
      <c r="G709" s="2" t="str">
        <f t="shared" si="70"/>
        <v xml:space="preserve"> ()</v>
      </c>
    </row>
    <row r="710" spans="1:7" x14ac:dyDescent="0.3">
      <c r="A710" s="1" t="s">
        <v>4</v>
      </c>
      <c r="B710" s="2" t="str">
        <f t="shared" si="68"/>
        <v>PARA SER ALTERADO.</v>
      </c>
      <c r="C710" s="2" t="str">
        <f>""</f>
        <v/>
      </c>
      <c r="D710" s="2" t="str">
        <f t="shared" si="69"/>
        <v>ANTIGO</v>
      </c>
      <c r="E710" s="2" t="str">
        <f>"M_CONFIGURA_GRU_FAT - CONFIGURAÇÃO DO GR"</f>
        <v>M_CONFIGURA_GRU_FAT - CONFIGURAÇÃO DO GR</v>
      </c>
      <c r="F710" s="2" t="str">
        <f>"M_CONFIGURA_GRU"</f>
        <v>M_CONFIGURA_GRU</v>
      </c>
      <c r="G710" s="2" t="str">
        <f t="shared" si="70"/>
        <v xml:space="preserve"> ()</v>
      </c>
    </row>
    <row r="711" spans="1:7" x14ac:dyDescent="0.3">
      <c r="A711" s="1" t="s">
        <v>4</v>
      </c>
      <c r="B711" s="2" t="str">
        <f t="shared" si="68"/>
        <v>PARA SER ALTERADO.</v>
      </c>
      <c r="C711" s="2" t="str">
        <f>""</f>
        <v/>
      </c>
      <c r="D711" s="2" t="str">
        <f t="shared" si="69"/>
        <v>ANTIGO</v>
      </c>
      <c r="E711" s="2" t="str">
        <f>"LANCAMENTO DE CONTAS HOSP. LIVRE"</f>
        <v>LANCAMENTO DE CONTAS HOSP. LIVRE</v>
      </c>
      <c r="F711" s="2" t="str">
        <f>"M_CONHOS"</f>
        <v>M_CONHOS</v>
      </c>
      <c r="G711" s="2" t="str">
        <f t="shared" si="70"/>
        <v xml:space="preserve"> ()</v>
      </c>
    </row>
    <row r="712" spans="1:7" x14ac:dyDescent="0.3">
      <c r="A712" s="1" t="s">
        <v>4</v>
      </c>
      <c r="B712" s="2" t="str">
        <f t="shared" si="68"/>
        <v>PARA SER ALTERADO.</v>
      </c>
      <c r="C712" s="2" t="str">
        <f>""</f>
        <v/>
      </c>
      <c r="D712" s="2" t="str">
        <f t="shared" si="69"/>
        <v>ANTIGO</v>
      </c>
      <c r="E712" s="2" t="str">
        <f>"RELATORIO FAT. AMBULATORIO/ESPECIALIDADE"</f>
        <v>RELATORIO FAT. AMBULATORIO/ESPECIALIDADE</v>
      </c>
      <c r="F712" s="2" t="str">
        <f>"R_FATESPE"</f>
        <v>R_FATESPE</v>
      </c>
      <c r="G712" s="2" t="str">
        <f t="shared" si="70"/>
        <v xml:space="preserve"> ()</v>
      </c>
    </row>
    <row r="713" spans="1:7" x14ac:dyDescent="0.3">
      <c r="A713" s="1" t="s">
        <v>4</v>
      </c>
      <c r="B713" s="2" t="str">
        <f t="shared" si="68"/>
        <v>PARA SER ALTERADO.</v>
      </c>
      <c r="C713" s="2" t="str">
        <f>""</f>
        <v/>
      </c>
      <c r="D713" s="2" t="str">
        <f t="shared" si="69"/>
        <v>ANTIGO</v>
      </c>
      <c r="E713" s="2" t="str">
        <f>"CENSO HOSPITALAR"</f>
        <v>CENSO HOSPITALAR</v>
      </c>
      <c r="F713" s="2" t="str">
        <f>"CENSO"</f>
        <v>CENSO</v>
      </c>
      <c r="G713" s="2" t="str">
        <f t="shared" si="70"/>
        <v xml:space="preserve"> ()</v>
      </c>
    </row>
    <row r="714" spans="1:7" x14ac:dyDescent="0.3">
      <c r="A714" s="1" t="s">
        <v>4</v>
      </c>
      <c r="B714" s="2" t="str">
        <f t="shared" si="68"/>
        <v>PARA SER ALTERADO.</v>
      </c>
      <c r="C714" s="2" t="str">
        <f>""</f>
        <v/>
      </c>
      <c r="D714" s="2" t="str">
        <f t="shared" si="69"/>
        <v>ANTIGO</v>
      </c>
      <c r="E714" s="2" t="str">
        <f>"RELATORIO DE PROCEDIMENTOS DE INTERNAÇÃO"</f>
        <v>RELATORIO DE PROCEDIMENTOS DE INTERNAÇÃO</v>
      </c>
      <c r="F714" s="2" t="str">
        <f>"R_PROINT"</f>
        <v>R_PROINT</v>
      </c>
      <c r="G714" s="2" t="str">
        <f t="shared" si="70"/>
        <v xml:space="preserve"> ()</v>
      </c>
    </row>
    <row r="715" spans="1:7" x14ac:dyDescent="0.3">
      <c r="A715" s="1" t="s">
        <v>4</v>
      </c>
      <c r="B715" s="2" t="str">
        <f t="shared" si="68"/>
        <v>PARA SER ALTERADO.</v>
      </c>
      <c r="C715" s="2" t="str">
        <f>""</f>
        <v/>
      </c>
      <c r="D715" s="2" t="str">
        <f t="shared" si="69"/>
        <v>ANTIGO</v>
      </c>
      <c r="E715" s="2" t="str">
        <f>"RELATORIO DE CENTRO DE CUSTO"</f>
        <v>RELATORIO DE CENTRO DE CUSTO</v>
      </c>
      <c r="F715" s="2" t="str">
        <f>"R_GRUPCUSTO"</f>
        <v>R_GRUPCUSTO</v>
      </c>
      <c r="G715" s="2" t="str">
        <f t="shared" si="70"/>
        <v xml:space="preserve"> ()</v>
      </c>
    </row>
    <row r="716" spans="1:7" x14ac:dyDescent="0.3">
      <c r="A716" s="1" t="s">
        <v>4</v>
      </c>
      <c r="B716" s="2" t="str">
        <f t="shared" si="68"/>
        <v>PARA SER ALTERADO.</v>
      </c>
      <c r="C716" s="2" t="str">
        <f>""</f>
        <v/>
      </c>
      <c r="D716" s="2" t="str">
        <f t="shared" si="69"/>
        <v>ANTIGO</v>
      </c>
      <c r="E716" s="2" t="str">
        <f>"PADRONIZACAO"</f>
        <v>PADRONIZACAO</v>
      </c>
      <c r="F716" s="2" t="str">
        <f>"C_PADRONIZA"</f>
        <v>C_PADRONIZA</v>
      </c>
      <c r="G716" s="2" t="str">
        <f t="shared" si="70"/>
        <v xml:space="preserve"> ()</v>
      </c>
    </row>
    <row r="717" spans="1:7" x14ac:dyDescent="0.3">
      <c r="A717" s="1" t="s">
        <v>4</v>
      </c>
      <c r="B717" s="2" t="str">
        <f t="shared" si="68"/>
        <v>PARA SER ALTERADO.</v>
      </c>
      <c r="C717" s="2" t="str">
        <f>""</f>
        <v/>
      </c>
      <c r="D717" s="2" t="str">
        <f t="shared" si="69"/>
        <v>ANTIGO</v>
      </c>
      <c r="E717" s="2" t="str">
        <f>"ABERTURA DE CONTAGEM"</f>
        <v>ABERTURA DE CONTAGEM</v>
      </c>
      <c r="F717" s="2" t="str">
        <f>"M_ABERCONTA"</f>
        <v>M_ABERCONTA</v>
      </c>
      <c r="G717" s="2" t="str">
        <f t="shared" si="70"/>
        <v xml:space="preserve"> ()</v>
      </c>
    </row>
    <row r="718" spans="1:7" x14ac:dyDescent="0.3">
      <c r="A718" s="1" t="s">
        <v>4</v>
      </c>
      <c r="B718" s="2" t="str">
        <f t="shared" si="68"/>
        <v>PARA SER ALTERADO.</v>
      </c>
      <c r="C718" s="2" t="str">
        <f>""</f>
        <v/>
      </c>
      <c r="D718" s="2" t="str">
        <f t="shared" si="69"/>
        <v>ANTIGO</v>
      </c>
      <c r="E718" s="2" t="str">
        <f>"REL. GRU_FAT X GRU_PRO POR DT_LANCAMENTO"</f>
        <v>REL. GRU_FAT X GRU_PRO POR DT_LANCAMENTO</v>
      </c>
      <c r="F718" s="2" t="str">
        <f>"R_GEN_GRU_FAT_DT_LAN"</f>
        <v>R_GEN_GRU_FAT_DT_LAN</v>
      </c>
      <c r="G718" s="2" t="str">
        <f t="shared" si="70"/>
        <v xml:space="preserve"> ()</v>
      </c>
    </row>
    <row r="719" spans="1:7" x14ac:dyDescent="0.3">
      <c r="A719" s="1" t="s">
        <v>9</v>
      </c>
      <c r="B719" s="2"/>
      <c r="C719" s="2"/>
      <c r="D719" s="2" t="s">
        <v>2</v>
      </c>
      <c r="E719" s="2" t="str">
        <f>"S"</f>
        <v>S</v>
      </c>
      <c r="F719" s="2" t="str">
        <f>"N"</f>
        <v>N</v>
      </c>
      <c r="G719" s="2" t="str">
        <f>"N"</f>
        <v>N</v>
      </c>
    </row>
    <row r="720" spans="1:7" x14ac:dyDescent="0.3">
      <c r="A720" s="1" t="s">
        <v>4</v>
      </c>
      <c r="B720" s="2" t="str">
        <f t="shared" ref="B720:B727" si="71">"PARA SER ALTERADO."</f>
        <v>PARA SER ALTERADO.</v>
      </c>
      <c r="C720" s="2" t="str">
        <f>""</f>
        <v/>
      </c>
      <c r="D720" s="2" t="str">
        <f t="shared" ref="D720:D727" si="72">"ANTIGO"</f>
        <v>ANTIGO</v>
      </c>
      <c r="E720" s="2" t="str">
        <f>"CALCULO DA CURVA ABC"</f>
        <v>CALCULO DA CURVA ABC</v>
      </c>
      <c r="F720" s="2" t="str">
        <f>"M_CALABC"</f>
        <v>M_CALABC</v>
      </c>
      <c r="G720" s="2" t="str">
        <f t="shared" ref="G720:G728" si="73">" ()"</f>
        <v xml:space="preserve"> ()</v>
      </c>
    </row>
    <row r="721" spans="1:7" x14ac:dyDescent="0.3">
      <c r="A721" s="1" t="s">
        <v>4</v>
      </c>
      <c r="B721" s="2" t="str">
        <f t="shared" si="71"/>
        <v>PARA SER ALTERADO.</v>
      </c>
      <c r="C721" s="2" t="str">
        <f>""</f>
        <v/>
      </c>
      <c r="D721" s="2" t="str">
        <f t="shared" si="72"/>
        <v>ANTIGO</v>
      </c>
      <c r="E721" s="2" t="str">
        <f>"RELATORIO DE LAUDOS EMITIDOS"</f>
        <v>RELATORIO DE LAUDOS EMITIDOS</v>
      </c>
      <c r="F721" s="2" t="str">
        <f>"R_LAU_EXA_EMI"</f>
        <v>R_LAU_EXA_EMI</v>
      </c>
      <c r="G721" s="2" t="str">
        <f t="shared" si="73"/>
        <v xml:space="preserve"> ()</v>
      </c>
    </row>
    <row r="722" spans="1:7" x14ac:dyDescent="0.3">
      <c r="A722" s="1" t="s">
        <v>4</v>
      </c>
      <c r="B722" s="2" t="str">
        <f t="shared" si="71"/>
        <v>PARA SER ALTERADO.</v>
      </c>
      <c r="C722" s="2" t="str">
        <f>""</f>
        <v/>
      </c>
      <c r="D722" s="2" t="str">
        <f t="shared" si="72"/>
        <v>ANTIGO</v>
      </c>
      <c r="E722" s="2" t="str">
        <f>"COMPROVANTE DE AGENDAMENTO"</f>
        <v>COMPROVANTE DE AGENDAMENTO</v>
      </c>
      <c r="F722" s="2" t="str">
        <f>"R_COMAGE"</f>
        <v>R_COMAGE</v>
      </c>
      <c r="G722" s="2" t="str">
        <f t="shared" si="73"/>
        <v xml:space="preserve"> ()</v>
      </c>
    </row>
    <row r="723" spans="1:7" x14ac:dyDescent="0.3">
      <c r="A723" s="1" t="s">
        <v>4</v>
      </c>
      <c r="B723" s="2" t="str">
        <f t="shared" si="71"/>
        <v>PARA SER ALTERADO.</v>
      </c>
      <c r="C723" s="2" t="str">
        <f>""</f>
        <v/>
      </c>
      <c r="D723" s="2" t="str">
        <f t="shared" si="72"/>
        <v>ANTIGO</v>
      </c>
      <c r="E723" s="2" t="str">
        <f>"MENU DO PAGU"</f>
        <v>MENU DO PAGU</v>
      </c>
      <c r="F723" s="2" t="str">
        <f>"MPAGU"</f>
        <v>MPAGU</v>
      </c>
      <c r="G723" s="2" t="str">
        <f t="shared" si="73"/>
        <v xml:space="preserve"> ()</v>
      </c>
    </row>
    <row r="724" spans="1:7" x14ac:dyDescent="0.3">
      <c r="A724" s="1" t="s">
        <v>4</v>
      </c>
      <c r="B724" s="2" t="str">
        <f t="shared" si="71"/>
        <v>PARA SER ALTERADO.</v>
      </c>
      <c r="C724" s="2" t="str">
        <f>""</f>
        <v/>
      </c>
      <c r="D724" s="2" t="str">
        <f t="shared" si="72"/>
        <v>ANTIGO</v>
      </c>
      <c r="E724" s="2" t="str">
        <f>"RELATORIO VALORES DE PROCEDIMENTOS"</f>
        <v>RELATORIO VALORES DE PROCEDIMENTOS</v>
      </c>
      <c r="F724" s="2" t="str">
        <f>"R_VALOR_PROCE"</f>
        <v>R_VALOR_PROCE</v>
      </c>
      <c r="G724" s="2" t="str">
        <f t="shared" si="73"/>
        <v xml:space="preserve"> ()</v>
      </c>
    </row>
    <row r="725" spans="1:7" x14ac:dyDescent="0.3">
      <c r="A725" s="1" t="s">
        <v>4</v>
      </c>
      <c r="B725" s="2" t="str">
        <f t="shared" si="71"/>
        <v>PARA SER ALTERADO.</v>
      </c>
      <c r="C725" s="2" t="str">
        <f>""</f>
        <v/>
      </c>
      <c r="D725" s="2" t="str">
        <f t="shared" si="72"/>
        <v>ANTIGO</v>
      </c>
      <c r="E725" s="2" t="str">
        <f>"LIBERACAO DE AGENDAMENTO"</f>
        <v>LIBERACAO DE AGENDAMENTO</v>
      </c>
      <c r="F725" s="2" t="str">
        <f>"M_LIBAGE"</f>
        <v>M_LIBAGE</v>
      </c>
      <c r="G725" s="2" t="str">
        <f t="shared" si="73"/>
        <v xml:space="preserve"> ()</v>
      </c>
    </row>
    <row r="726" spans="1:7" x14ac:dyDescent="0.3">
      <c r="A726" s="1" t="s">
        <v>4</v>
      </c>
      <c r="B726" s="2" t="str">
        <f t="shared" si="71"/>
        <v>PARA SER ALTERADO.</v>
      </c>
      <c r="C726" s="2" t="str">
        <f>""</f>
        <v/>
      </c>
      <c r="D726" s="2" t="str">
        <f t="shared" si="72"/>
        <v>ANTIGO</v>
      </c>
      <c r="E726" s="2" t="str">
        <f>"CADASTRO DE ANTIMICROBIANO"</f>
        <v>CADASTRO DE ANTIMICROBIANO</v>
      </c>
      <c r="F726" s="2" t="str">
        <f>"M_ANTIMICROBIAN"</f>
        <v>M_ANTIMICROBIAN</v>
      </c>
      <c r="G726" s="2" t="str">
        <f t="shared" si="73"/>
        <v xml:space="preserve"> ()</v>
      </c>
    </row>
    <row r="727" spans="1:7" x14ac:dyDescent="0.3">
      <c r="A727" s="1" t="s">
        <v>4</v>
      </c>
      <c r="B727" s="2" t="str">
        <f t="shared" si="71"/>
        <v>PARA SER ALTERADO.</v>
      </c>
      <c r="C727" s="2" t="str">
        <f>""</f>
        <v/>
      </c>
      <c r="D727" s="2" t="str">
        <f t="shared" si="72"/>
        <v>ANTIGO</v>
      </c>
      <c r="E727" s="2" t="str">
        <f>"RELATORIO DE ETIQUETA"</f>
        <v>RELATORIO DE ETIQUETA</v>
      </c>
      <c r="F727" s="2" t="str">
        <f>"R_ETIQUETA"</f>
        <v>R_ETIQUETA</v>
      </c>
      <c r="G727" s="2" t="str">
        <f t="shared" si="73"/>
        <v xml:space="preserve"> ()</v>
      </c>
    </row>
    <row r="728" spans="1:7" x14ac:dyDescent="0.3">
      <c r="A728" s="1" t="s">
        <v>4</v>
      </c>
      <c r="B728" s="2" t="str">
        <f t="shared" ref="B728:B756" si="74">"ADMINISTRAÇÃO DO SISTEMA"</f>
        <v>ADMINISTRAÇÃO DO SISTEMA</v>
      </c>
      <c r="C728" s="2" t="str">
        <f>""</f>
        <v/>
      </c>
      <c r="D728" s="2" t="str">
        <f t="shared" ref="D728:D756" si="75">"AS"</f>
        <v>AS</v>
      </c>
      <c r="E728" s="2" t="str">
        <f>"WIN_PRINCIPAL"</f>
        <v>WIN_PRINCIPAL</v>
      </c>
      <c r="F728" s="2" t="str">
        <f>"M_ADAPTADOR_SCRIPT"</f>
        <v>M_ADAPTADOR_SCRIPT</v>
      </c>
      <c r="G728" s="2" t="str">
        <f t="shared" si="73"/>
        <v xml:space="preserve"> ()</v>
      </c>
    </row>
    <row r="729" spans="1:7" x14ac:dyDescent="0.3">
      <c r="A729" s="1" t="s">
        <v>4</v>
      </c>
      <c r="B729" s="2" t="str">
        <f t="shared" si="74"/>
        <v>ADMINISTRAÇÃO DO SISTEMA</v>
      </c>
      <c r="C729" s="2" t="str">
        <f>""</f>
        <v/>
      </c>
      <c r="D729" s="2" t="str">
        <f t="shared" si="75"/>
        <v>AS</v>
      </c>
      <c r="E729" s="2" t="str">
        <f>"RELATÓRIO DE DIVERGÊNCIA DE IDIOMAS"</f>
        <v>RELATÓRIO DE DIVERGÊNCIA DE IDIOMAS</v>
      </c>
      <c r="F729" s="2" t="str">
        <f>"R_DIVERG_IDIOMA"</f>
        <v>R_DIVERG_IDIOMA</v>
      </c>
      <c r="G729" s="2" t="str">
        <f>"Outros / Administração do Sistema / Multi - Idiomas / Relatorio de Divergências de Idioma (R_DIVERG_IDIOMA)"</f>
        <v>Outros / Administração do Sistema / Multi - Idiomas / Relatorio de Divergências de Idioma (R_DIVERG_IDIOMA)</v>
      </c>
    </row>
    <row r="730" spans="1:7" x14ac:dyDescent="0.3">
      <c r="A730" s="1" t="s">
        <v>4</v>
      </c>
      <c r="B730" s="2" t="str">
        <f t="shared" si="74"/>
        <v>ADMINISTRAÇÃO DO SISTEMA</v>
      </c>
      <c r="C730" s="2" t="str">
        <f>""</f>
        <v/>
      </c>
      <c r="D730" s="2" t="str">
        <f t="shared" si="75"/>
        <v>AS</v>
      </c>
      <c r="E730" s="2" t="str">
        <f>"DEPLOY DE RELATORIOS POR IDIOMA"</f>
        <v>DEPLOY DE RELATORIOS POR IDIOMA</v>
      </c>
      <c r="F730" s="2" t="str">
        <f>"M_DEPLOY_RELATORIO"</f>
        <v>M_DEPLOY_RELATORIO</v>
      </c>
      <c r="G730" s="2" t="str">
        <f t="shared" ref="G730:G736" si="76">" ()"</f>
        <v xml:space="preserve"> ()</v>
      </c>
    </row>
    <row r="731" spans="1:7" x14ac:dyDescent="0.3">
      <c r="A731" s="1" t="s">
        <v>4</v>
      </c>
      <c r="B731" s="2" t="str">
        <f t="shared" si="74"/>
        <v>ADMINISTRAÇÃO DO SISTEMA</v>
      </c>
      <c r="C731" s="2" t="str">
        <f>""</f>
        <v/>
      </c>
      <c r="D731" s="2" t="str">
        <f t="shared" si="75"/>
        <v>AS</v>
      </c>
      <c r="E731" s="2" t="str">
        <f>"EXECUTOR DE SCRIPTS"</f>
        <v>EXECUTOR DE SCRIPTS</v>
      </c>
      <c r="F731" s="2" t="str">
        <f>"O_EXEC_SCRIPT"</f>
        <v>O_EXEC_SCRIPT</v>
      </c>
      <c r="G731" s="2" t="str">
        <f t="shared" si="76"/>
        <v xml:space="preserve"> ()</v>
      </c>
    </row>
    <row r="732" spans="1:7" x14ac:dyDescent="0.3">
      <c r="A732" s="1" t="s">
        <v>4</v>
      </c>
      <c r="B732" s="2" t="str">
        <f t="shared" si="74"/>
        <v>ADMINISTRAÇÃO DO SISTEMA</v>
      </c>
      <c r="C732" s="2" t="str">
        <f>""</f>
        <v/>
      </c>
      <c r="D732" s="2" t="str">
        <f t="shared" si="75"/>
        <v>AS</v>
      </c>
      <c r="E732" s="2" t="str">
        <f>"R_POSICAO_TRADUCAO2"</f>
        <v>R_POSICAO_TRADUCAO2</v>
      </c>
      <c r="F732" s="2" t="str">
        <f>"R_POSICAO_TRADUCAO2"</f>
        <v>R_POSICAO_TRADUCAO2</v>
      </c>
      <c r="G732" s="2" t="str">
        <f t="shared" si="76"/>
        <v xml:space="preserve"> ()</v>
      </c>
    </row>
    <row r="733" spans="1:7" x14ac:dyDescent="0.3">
      <c r="A733" s="1" t="s">
        <v>4</v>
      </c>
      <c r="B733" s="2" t="str">
        <f t="shared" si="74"/>
        <v>ADMINISTRAÇÃO DO SISTEMA</v>
      </c>
      <c r="C733" s="2" t="str">
        <f>""</f>
        <v/>
      </c>
      <c r="D733" s="2" t="str">
        <f t="shared" si="75"/>
        <v>AS</v>
      </c>
      <c r="E733" s="2" t="str">
        <f>"R_POSICAO_TRADUCAO"</f>
        <v>R_POSICAO_TRADUCAO</v>
      </c>
      <c r="F733" s="2" t="str">
        <f>"R_POSICAO_TRADUCAO"</f>
        <v>R_POSICAO_TRADUCAO</v>
      </c>
      <c r="G733" s="2" t="str">
        <f t="shared" si="76"/>
        <v xml:space="preserve"> ()</v>
      </c>
    </row>
    <row r="734" spans="1:7" x14ac:dyDescent="0.3">
      <c r="A734" s="1" t="s">
        <v>4</v>
      </c>
      <c r="B734" s="2" t="str">
        <f t="shared" si="74"/>
        <v>ADMINISTRAÇÃO DO SISTEMA</v>
      </c>
      <c r="C734" s="2" t="str">
        <f>""</f>
        <v/>
      </c>
      <c r="D734" s="2" t="str">
        <f t="shared" si="75"/>
        <v>AS</v>
      </c>
      <c r="E734" s="2" t="str">
        <f>"R_TRADUCAO"</f>
        <v>R_TRADUCAO</v>
      </c>
      <c r="F734" s="2" t="str">
        <f>"R_TRADUCAO"</f>
        <v>R_TRADUCAO</v>
      </c>
      <c r="G734" s="2" t="str">
        <f t="shared" si="76"/>
        <v xml:space="preserve"> ()</v>
      </c>
    </row>
    <row r="735" spans="1:7" x14ac:dyDescent="0.3">
      <c r="A735" s="1" t="s">
        <v>4</v>
      </c>
      <c r="B735" s="2" t="str">
        <f t="shared" si="74"/>
        <v>ADMINISTRAÇÃO DO SISTEMA</v>
      </c>
      <c r="C735" s="2" t="str">
        <f>""</f>
        <v/>
      </c>
      <c r="D735" s="2" t="str">
        <f t="shared" si="75"/>
        <v>AS</v>
      </c>
      <c r="E735" s="2" t="str">
        <f>"M_AUTOMACAO"</f>
        <v>M_AUTOMACAO</v>
      </c>
      <c r="F735" s="2" t="str">
        <f>"M_AUTOMACAO"</f>
        <v>M_AUTOMACAO</v>
      </c>
      <c r="G735" s="2" t="str">
        <f t="shared" si="76"/>
        <v xml:space="preserve"> ()</v>
      </c>
    </row>
    <row r="736" spans="1:7" x14ac:dyDescent="0.3">
      <c r="A736" s="1" t="s">
        <v>4</v>
      </c>
      <c r="B736" s="2" t="str">
        <f t="shared" si="74"/>
        <v>ADMINISTRAÇÃO DO SISTEMA</v>
      </c>
      <c r="C736" s="2" t="str">
        <f>""</f>
        <v/>
      </c>
      <c r="D736" s="2" t="str">
        <f t="shared" si="75"/>
        <v>AS</v>
      </c>
      <c r="E736" s="2" t="str">
        <f>"DUMMY"</f>
        <v>DUMMY</v>
      </c>
      <c r="F736" s="2" t="str">
        <f>"M_TRACE"</f>
        <v>M_TRACE</v>
      </c>
      <c r="G736" s="2" t="str">
        <f t="shared" si="76"/>
        <v xml:space="preserve"> ()</v>
      </c>
    </row>
    <row r="737" spans="1:7" x14ac:dyDescent="0.3">
      <c r="A737" s="1" t="s">
        <v>4</v>
      </c>
      <c r="B737" s="2" t="str">
        <f t="shared" si="74"/>
        <v>ADMINISTRAÇÃO DO SISTEMA</v>
      </c>
      <c r="C737" s="2" t="str">
        <f>""</f>
        <v/>
      </c>
      <c r="D737" s="2" t="str">
        <f t="shared" si="75"/>
        <v>AS</v>
      </c>
      <c r="E737" s="2" t="str">
        <f>"ADMREP : MANUTENÇÃO DE SEQUÊNCIAS"</f>
        <v>ADMREP : MANUTENÇÃO DE SEQUÊNCIAS</v>
      </c>
      <c r="F737" s="2" t="str">
        <f>"M_SESSOES"</f>
        <v>M_SESSOES</v>
      </c>
      <c r="G737" s="2" t="str">
        <f>"Outros / Administração do Sistema / Geral / Sessões do Banco (M_SESSOES)"</f>
        <v>Outros / Administração do Sistema / Geral / Sessões do Banco (M_SESSOES)</v>
      </c>
    </row>
    <row r="738" spans="1:7" x14ac:dyDescent="0.3">
      <c r="A738" s="1" t="s">
        <v>4</v>
      </c>
      <c r="B738" s="2" t="str">
        <f t="shared" si="74"/>
        <v>ADMINISTRAÇÃO DO SISTEMA</v>
      </c>
      <c r="C738" s="2" t="str">
        <f>""</f>
        <v/>
      </c>
      <c r="D738" s="2" t="str">
        <f t="shared" si="75"/>
        <v>AS</v>
      </c>
      <c r="E738" s="2" t="str">
        <f>"ADMREP : MANUTENÇÃO DE SEQUÊNCIAS"</f>
        <v>ADMREP : MANUTENÇÃO DE SEQUÊNCIAS</v>
      </c>
      <c r="F738" s="2" t="str">
        <f>"M_OBJETOS"</f>
        <v>M_OBJETOS</v>
      </c>
      <c r="G738" s="2" t="str">
        <f>"Outros / Administração do Sistema / Geral / Situação dos Objetos (M_OBJETOS)"</f>
        <v>Outros / Administração do Sistema / Geral / Situação dos Objetos (M_OBJETOS)</v>
      </c>
    </row>
    <row r="739" spans="1:7" x14ac:dyDescent="0.3">
      <c r="A739" s="1" t="s">
        <v>4</v>
      </c>
      <c r="B739" s="2" t="str">
        <f t="shared" si="74"/>
        <v>ADMINISTRAÇÃO DO SISTEMA</v>
      </c>
      <c r="C739" s="2" t="str">
        <f>""</f>
        <v/>
      </c>
      <c r="D739" s="2" t="str">
        <f t="shared" si="75"/>
        <v>AS</v>
      </c>
      <c r="E739" s="2" t="str">
        <f>"ATUALIZA REGRAS DO SISTEMA"</f>
        <v>ATUALIZA REGRAS DO SISTEMA</v>
      </c>
      <c r="F739" s="2" t="str">
        <f>"O_ATUALIZA_DADOS"</f>
        <v>O_ATUALIZA_DADOS</v>
      </c>
      <c r="G739" s="2" t="str">
        <f>" ()"</f>
        <v xml:space="preserve"> ()</v>
      </c>
    </row>
    <row r="740" spans="1:7" x14ac:dyDescent="0.3">
      <c r="A740" s="1" t="s">
        <v>4</v>
      </c>
      <c r="B740" s="2" t="str">
        <f t="shared" si="74"/>
        <v>ADMINISTRAÇÃO DO SISTEMA</v>
      </c>
      <c r="C740" s="2" t="str">
        <f>""</f>
        <v/>
      </c>
      <c r="D740" s="2" t="str">
        <f t="shared" si="75"/>
        <v>AS</v>
      </c>
      <c r="E740" s="2" t="str">
        <f>"CADASTRO: MOTIVOS DE BAIXA"</f>
        <v>CADASTRO: MOTIVOS DE BAIXA</v>
      </c>
      <c r="F740" s="2" t="str">
        <f>"M_MANUTENCAO_MENSAGEM"</f>
        <v>M_MANUTENCAO_MENSAGEM</v>
      </c>
      <c r="G740" s="2" t="str">
        <f>" ()"</f>
        <v xml:space="preserve"> ()</v>
      </c>
    </row>
    <row r="741" spans="1:7" x14ac:dyDescent="0.3">
      <c r="A741" s="1" t="s">
        <v>4</v>
      </c>
      <c r="B741" s="2" t="str">
        <f t="shared" si="74"/>
        <v>ADMINISTRAÇÃO DO SISTEMA</v>
      </c>
      <c r="C741" s="2" t="str">
        <f>""</f>
        <v/>
      </c>
      <c r="D741" s="2" t="str">
        <f t="shared" si="75"/>
        <v>AS</v>
      </c>
      <c r="E741" s="2" t="str">
        <f>"REPOSITÓRIO MULTI IDIOMAS - TRADUÇÃO"</f>
        <v>REPOSITÓRIO MULTI IDIOMAS - TRADUÇÃO</v>
      </c>
      <c r="F741" s="2" t="str">
        <f>"M_TRADUCAO_CLICK"</f>
        <v>M_TRADUCAO_CLICK</v>
      </c>
      <c r="G741" s="2" t="str">
        <f>"Outros / Administração do Sistema / Multi - Idiomas / Manutenção de Idiomas / Contextual (M_TRADUCAO_CLICK)"</f>
        <v>Outros / Administração do Sistema / Multi - Idiomas / Manutenção de Idiomas / Contextual (M_TRADUCAO_CLICK)</v>
      </c>
    </row>
    <row r="742" spans="1:7" x14ac:dyDescent="0.3">
      <c r="A742" s="1" t="s">
        <v>4</v>
      </c>
      <c r="B742" s="2" t="str">
        <f t="shared" si="74"/>
        <v>ADMINISTRAÇÃO DO SISTEMA</v>
      </c>
      <c r="C742" s="2" t="str">
        <f>""</f>
        <v/>
      </c>
      <c r="D742" s="2" t="str">
        <f t="shared" si="75"/>
        <v>AS</v>
      </c>
      <c r="E742" s="2" t="str">
        <f>"EXPORTAÇÃO DE SCRIPT MULTI IDIOMA"</f>
        <v>EXPORTAÇÃO DE SCRIPT MULTI IDIOMA</v>
      </c>
      <c r="F742" s="2" t="str">
        <f>"M_EXPORTACAO_SCRIPT_RMI"</f>
        <v>M_EXPORTACAO_SCRIPT_RMI</v>
      </c>
      <c r="G742" s="2" t="str">
        <f>" ()"</f>
        <v xml:space="preserve"> ()</v>
      </c>
    </row>
    <row r="743" spans="1:7" x14ac:dyDescent="0.3">
      <c r="A743" s="1" t="s">
        <v>4</v>
      </c>
      <c r="B743" s="2" t="str">
        <f t="shared" si="74"/>
        <v>ADMINISTRAÇÃO DO SISTEMA</v>
      </c>
      <c r="C743" s="2" t="str">
        <f>""</f>
        <v/>
      </c>
      <c r="D743" s="2" t="str">
        <f t="shared" si="75"/>
        <v>AS</v>
      </c>
      <c r="E743" s="2" t="str">
        <f>"WIN_PRINCIPAL"</f>
        <v>WIN_PRINCIPAL</v>
      </c>
      <c r="F743" s="2" t="str">
        <f>"O_IMPORTAR_IDIOMA"</f>
        <v>O_IMPORTAR_IDIOMA</v>
      </c>
      <c r="G743" s="2" t="str">
        <f>"Outros / Administração do Sistema / Multi - Idiomas / Arquivos de Propriedades / Importação (O_IMPORTAR_IDIOMA)"</f>
        <v>Outros / Administração do Sistema / Multi - Idiomas / Arquivos de Propriedades / Importação (O_IMPORTAR_IDIOMA)</v>
      </c>
    </row>
    <row r="744" spans="1:7" x14ac:dyDescent="0.3">
      <c r="A744" s="1" t="s">
        <v>4</v>
      </c>
      <c r="B744" s="2" t="str">
        <f t="shared" si="74"/>
        <v>ADMINISTRAÇÃO DO SISTEMA</v>
      </c>
      <c r="C744" s="2" t="str">
        <f>""</f>
        <v/>
      </c>
      <c r="D744" s="2" t="str">
        <f t="shared" si="75"/>
        <v>AS</v>
      </c>
      <c r="E744" s="2" t="str">
        <f>"WIN_PRINCIPAL - HOSPITAL MV SISTEMAS"</f>
        <v>WIN_PRINCIPAL - HOSPITAL MV SISTEMAS</v>
      </c>
      <c r="F744" s="2" t="str">
        <f>"O_EXPORTAR_IDIOMA"</f>
        <v>O_EXPORTAR_IDIOMA</v>
      </c>
      <c r="G744" s="2" t="str">
        <f>"Outros / Administração do Sistema / Multi - Idiomas / Arquivos de Propriedades / Exportação (O_EXPORTAR_IDIOMA)"</f>
        <v>Outros / Administração do Sistema / Multi - Idiomas / Arquivos de Propriedades / Exportação (O_EXPORTAR_IDIOMA)</v>
      </c>
    </row>
    <row r="745" spans="1:7" x14ac:dyDescent="0.3">
      <c r="A745" s="1" t="s">
        <v>4</v>
      </c>
      <c r="B745" s="2" t="str">
        <f t="shared" si="74"/>
        <v>ADMINISTRAÇÃO DO SISTEMA</v>
      </c>
      <c r="C745" s="2" t="str">
        <f>""</f>
        <v/>
      </c>
      <c r="D745" s="2" t="str">
        <f t="shared" si="75"/>
        <v>AS</v>
      </c>
      <c r="E745" s="2" t="str">
        <f>"WIN_PRINCIPAL"</f>
        <v>WIN_PRINCIPAL</v>
      </c>
      <c r="F745" s="2" t="str">
        <f>"IMPORTAR_IDIOMA"</f>
        <v>IMPORTAR_IDIOMA</v>
      </c>
      <c r="G745" s="2" t="str">
        <f>" ()"</f>
        <v xml:space="preserve"> ()</v>
      </c>
    </row>
    <row r="746" spans="1:7" x14ac:dyDescent="0.3">
      <c r="A746" s="1" t="s">
        <v>4</v>
      </c>
      <c r="B746" s="2" t="str">
        <f t="shared" si="74"/>
        <v>ADMINISTRAÇÃO DO SISTEMA</v>
      </c>
      <c r="C746" s="2" t="str">
        <f>""</f>
        <v/>
      </c>
      <c r="D746" s="2" t="str">
        <f t="shared" si="75"/>
        <v>AS</v>
      </c>
      <c r="E746" s="2" t="str">
        <f>"CADASTRO DE TEXTO - HOSPITAL MV SISTEMAS"</f>
        <v>CADASTRO DE TEXTO - HOSPITAL MV SISTEMAS</v>
      </c>
      <c r="F746" s="2" t="str">
        <f>"M_RMI_TEXTO"</f>
        <v>M_RMI_TEXTO</v>
      </c>
      <c r="G746" s="2" t="str">
        <f>"Outros / Administração do Sistema / Multi - Idiomas / Tabelas / Texto (M_RMI_TEXTO)"</f>
        <v>Outros / Administração do Sistema / Multi - Idiomas / Tabelas / Texto (M_RMI_TEXTO)</v>
      </c>
    </row>
    <row r="747" spans="1:7" x14ac:dyDescent="0.3">
      <c r="A747" s="1" t="s">
        <v>4</v>
      </c>
      <c r="B747" s="2" t="str">
        <f t="shared" si="74"/>
        <v>ADMINISTRAÇÃO DO SISTEMA</v>
      </c>
      <c r="C747" s="2" t="str">
        <f>""</f>
        <v/>
      </c>
      <c r="D747" s="2" t="str">
        <f t="shared" si="75"/>
        <v>AS</v>
      </c>
      <c r="E747" s="2" t="str">
        <f>"CADASTRO DE PROPRIEDADE"</f>
        <v>CADASTRO DE PROPRIEDADE</v>
      </c>
      <c r="F747" s="2" t="str">
        <f>"M_RMI_PROPRIEDADE"</f>
        <v>M_RMI_PROPRIEDADE</v>
      </c>
      <c r="G747" s="2" t="str">
        <f>"Outros / Administração do Sistema / Multi - Idiomas / Tabelas / Propriedades (M_RMI_PROPRIEDADE)"</f>
        <v>Outros / Administração do Sistema / Multi - Idiomas / Tabelas / Propriedades (M_RMI_PROPRIEDADE)</v>
      </c>
    </row>
    <row r="748" spans="1:7" x14ac:dyDescent="0.3">
      <c r="A748" s="1" t="s">
        <v>4</v>
      </c>
      <c r="B748" s="2" t="str">
        <f t="shared" si="74"/>
        <v>ADMINISTRAÇÃO DO SISTEMA</v>
      </c>
      <c r="C748" s="2" t="str">
        <f>""</f>
        <v/>
      </c>
      <c r="D748" s="2" t="str">
        <f t="shared" si="75"/>
        <v>AS</v>
      </c>
      <c r="E748" s="2" t="str">
        <f>"CADASTRO DE OBJETO"</f>
        <v>CADASTRO DE OBJETO</v>
      </c>
      <c r="F748" s="2" t="str">
        <f>"M_RMI_OBJETO"</f>
        <v>M_RMI_OBJETO</v>
      </c>
      <c r="G748" s="2" t="str">
        <f>"Outros / Administração do Sistema / Multi - Idiomas / Tabelas / Objetos (M_RMI_OBJETO)"</f>
        <v>Outros / Administração do Sistema / Multi - Idiomas / Tabelas / Objetos (M_RMI_OBJETO)</v>
      </c>
    </row>
    <row r="749" spans="1:7" x14ac:dyDescent="0.3">
      <c r="A749" s="1" t="s">
        <v>4</v>
      </c>
      <c r="B749" s="2" t="str">
        <f t="shared" si="74"/>
        <v>ADMINISTRAÇÃO DO SISTEMA</v>
      </c>
      <c r="C749" s="2" t="str">
        <f>""</f>
        <v/>
      </c>
      <c r="D749" s="2" t="str">
        <f t="shared" si="75"/>
        <v>AS</v>
      </c>
      <c r="E749" s="2" t="str">
        <f>"CADASTRO DE IDIOMA"</f>
        <v>CADASTRO DE IDIOMA</v>
      </c>
      <c r="F749" s="2" t="str">
        <f>"M_RMI_IDIOMA"</f>
        <v>M_RMI_IDIOMA</v>
      </c>
      <c r="G749" s="2" t="str">
        <f>"Outros / Administração do Sistema / Multi - Idiomas / Tabelas / Idiomas (M_RMI_IDIOMA)"</f>
        <v>Outros / Administração do Sistema / Multi - Idiomas / Tabelas / Idiomas (M_RMI_IDIOMA)</v>
      </c>
    </row>
    <row r="750" spans="1:7" x14ac:dyDescent="0.3">
      <c r="A750" s="1" t="s">
        <v>4</v>
      </c>
      <c r="B750" s="2" t="str">
        <f t="shared" si="74"/>
        <v>ADMINISTRAÇÃO DO SISTEMA</v>
      </c>
      <c r="C750" s="2" t="str">
        <f>""</f>
        <v/>
      </c>
      <c r="D750" s="2" t="str">
        <f t="shared" si="75"/>
        <v>AS</v>
      </c>
      <c r="E750" s="2" t="str">
        <f>"WIN_PRINCIPAL - HOSPITAL MV SISTEMAS"</f>
        <v>WIN_PRINCIPAL - HOSPITAL MV SISTEMAS</v>
      </c>
      <c r="F750" s="2" t="str">
        <f>"M_EXPORTACAO_DADOS_RMI"</f>
        <v>M_EXPORTACAO_DADOS_RMI</v>
      </c>
      <c r="G750" s="2" t="str">
        <f t="shared" ref="G750:G761" si="77">" ()"</f>
        <v xml:space="preserve"> ()</v>
      </c>
    </row>
    <row r="751" spans="1:7" x14ac:dyDescent="0.3">
      <c r="A751" s="1" t="s">
        <v>4</v>
      </c>
      <c r="B751" s="2" t="str">
        <f t="shared" si="74"/>
        <v>ADMINISTRAÇÃO DO SISTEMA</v>
      </c>
      <c r="C751" s="2" t="str">
        <f>""</f>
        <v/>
      </c>
      <c r="D751" s="2" t="str">
        <f t="shared" si="75"/>
        <v>AS</v>
      </c>
      <c r="E751" s="2" t="str">
        <f>"M_DEPLOY_RELATORIO_M"</f>
        <v>M_DEPLOY_RELATORIO_M</v>
      </c>
      <c r="F751" s="2" t="str">
        <f>"M_DEPLOY_RELATORIO_M"</f>
        <v>M_DEPLOY_RELATORIO_M</v>
      </c>
      <c r="G751" s="2" t="str">
        <f t="shared" si="77"/>
        <v xml:space="preserve"> ()</v>
      </c>
    </row>
    <row r="752" spans="1:7" x14ac:dyDescent="0.3">
      <c r="A752" s="1" t="s">
        <v>4</v>
      </c>
      <c r="B752" s="2" t="str">
        <f t="shared" si="74"/>
        <v>ADMINISTRAÇÃO DO SISTEMA</v>
      </c>
      <c r="C752" s="2" t="str">
        <f>""</f>
        <v/>
      </c>
      <c r="D752" s="2" t="str">
        <f t="shared" si="75"/>
        <v>AS</v>
      </c>
      <c r="E752" s="2" t="str">
        <f>"GERENCIADOR DE IMPRESSAO"</f>
        <v>GERENCIADOR DE IMPRESSAO</v>
      </c>
      <c r="F752" s="2" t="str">
        <f>"M_GERENC_IMPRESSAO"</f>
        <v>M_GERENC_IMPRESSAO</v>
      </c>
      <c r="G752" s="2" t="str">
        <f t="shared" si="77"/>
        <v xml:space="preserve"> ()</v>
      </c>
    </row>
    <row r="753" spans="1:7" x14ac:dyDescent="0.3">
      <c r="A753" s="1" t="s">
        <v>4</v>
      </c>
      <c r="B753" s="2" t="str">
        <f t="shared" si="74"/>
        <v>ADMINISTRAÇÃO DO SISTEMA</v>
      </c>
      <c r="C753" s="2" t="str">
        <f>""</f>
        <v/>
      </c>
      <c r="D753" s="2" t="str">
        <f t="shared" si="75"/>
        <v>AS</v>
      </c>
      <c r="E753" s="2" t="str">
        <f>"REGRA DE NEGÓCIO DO REPOSITÓRIO"</f>
        <v>REGRA DE NEGÓCIO DO REPOSITÓRIO</v>
      </c>
      <c r="F753" s="2" t="str">
        <f>"M_REGRA_NEGOCIO"</f>
        <v>M_REGRA_NEGOCIO</v>
      </c>
      <c r="G753" s="2" t="str">
        <f t="shared" si="77"/>
        <v xml:space="preserve"> ()</v>
      </c>
    </row>
    <row r="754" spans="1:7" x14ac:dyDescent="0.3">
      <c r="A754" s="1" t="s">
        <v>4</v>
      </c>
      <c r="B754" s="2" t="str">
        <f t="shared" si="74"/>
        <v>ADMINISTRAÇÃO DO SISTEMA</v>
      </c>
      <c r="C754" s="2" t="str">
        <f>""</f>
        <v/>
      </c>
      <c r="D754" s="2" t="str">
        <f t="shared" si="75"/>
        <v>AS</v>
      </c>
      <c r="E754" s="2" t="str">
        <f>"M_REGRA_NEGOCIO_ASSISTENTE"</f>
        <v>M_REGRA_NEGOCIO_ASSISTENTE</v>
      </c>
      <c r="F754" s="2" t="str">
        <f>"M_REGRA_NEGOCIO_ASSISTENTE"</f>
        <v>M_REGRA_NEGOCIO_ASSISTENTE</v>
      </c>
      <c r="G754" s="2" t="str">
        <f t="shared" si="77"/>
        <v xml:space="preserve"> ()</v>
      </c>
    </row>
    <row r="755" spans="1:7" x14ac:dyDescent="0.3">
      <c r="A755" s="1" t="s">
        <v>4</v>
      </c>
      <c r="B755" s="2" t="str">
        <f t="shared" si="74"/>
        <v>ADMINISTRAÇÃO DO SISTEMA</v>
      </c>
      <c r="C755" s="2" t="str">
        <f>""</f>
        <v/>
      </c>
      <c r="D755" s="2" t="str">
        <f t="shared" si="75"/>
        <v>AS</v>
      </c>
      <c r="E755" s="2" t="str">
        <f>"WIN_PRINCIPAL"</f>
        <v>WIN_PRINCIPAL</v>
      </c>
      <c r="F755" s="2" t="str">
        <f>"O_EXPORTA_DADOS"</f>
        <v>O_EXPORTA_DADOS</v>
      </c>
      <c r="G755" s="2" t="str">
        <f t="shared" si="77"/>
        <v xml:space="preserve"> ()</v>
      </c>
    </row>
    <row r="756" spans="1:7" x14ac:dyDescent="0.3">
      <c r="A756" s="1" t="s">
        <v>4</v>
      </c>
      <c r="B756" s="2" t="str">
        <f t="shared" si="74"/>
        <v>ADMINISTRAÇÃO DO SISTEMA</v>
      </c>
      <c r="C756" s="2" t="str">
        <f>""</f>
        <v/>
      </c>
      <c r="D756" s="2" t="str">
        <f t="shared" si="75"/>
        <v>AS</v>
      </c>
      <c r="E756" s="2" t="str">
        <f>"M_EXPORTACAO_SCRIPT_RMI_NOVA"</f>
        <v>M_EXPORTACAO_SCRIPT_RMI_NOVA</v>
      </c>
      <c r="F756" s="2" t="str">
        <f>"M_EXPORTACAO_SCRIPT_RMI_NOVA"</f>
        <v>M_EXPORTACAO_SCRIPT_RMI_NOVA</v>
      </c>
      <c r="G756" s="2" t="str">
        <f t="shared" si="77"/>
        <v xml:space="preserve"> ()</v>
      </c>
    </row>
    <row r="757" spans="1:7" x14ac:dyDescent="0.3">
      <c r="A757" s="1" t="s">
        <v>4</v>
      </c>
      <c r="B757" s="2" t="str">
        <f>""</f>
        <v/>
      </c>
      <c r="C757" s="2" t="str">
        <f>""</f>
        <v/>
      </c>
      <c r="D757" s="2" t="str">
        <f>"ASO2"</f>
        <v>ASO2</v>
      </c>
      <c r="E757" s="2" t="str">
        <f>"NEWNEW"</f>
        <v>NEWNEW</v>
      </c>
      <c r="F757" s="2" t="str">
        <f>"NEW"</f>
        <v>NEW</v>
      </c>
      <c r="G757" s="2" t="str">
        <f t="shared" si="77"/>
        <v xml:space="preserve"> ()</v>
      </c>
    </row>
    <row r="758" spans="1:7" x14ac:dyDescent="0.3">
      <c r="A758" s="1" t="s">
        <v>4</v>
      </c>
      <c r="B758" s="2" t="str">
        <f>"BUSSULOA GERENCIAL"</f>
        <v>BUSSULOA GERENCIAL</v>
      </c>
      <c r="C758" s="2" t="str">
        <f>""</f>
        <v/>
      </c>
      <c r="D758" s="2" t="str">
        <f>"BGER"</f>
        <v>BGER</v>
      </c>
      <c r="E758" s="2" t="str">
        <f>"SMART"</f>
        <v>SMART</v>
      </c>
      <c r="F758" s="2" t="str">
        <f>"M_BUSSOLA_GERENCIAL"</f>
        <v>M_BUSSOLA_GERENCIAL</v>
      </c>
      <c r="G758" s="2" t="str">
        <f t="shared" si="77"/>
        <v xml:space="preserve"> ()</v>
      </c>
    </row>
    <row r="759" spans="1:7" x14ac:dyDescent="0.3">
      <c r="A759" s="1" t="s">
        <v>4</v>
      </c>
      <c r="B759" s="2" t="str">
        <f>"BUSSULOA GERENCIAL"</f>
        <v>BUSSULOA GERENCIAL</v>
      </c>
      <c r="C759" s="2" t="str">
        <f>""</f>
        <v/>
      </c>
      <c r="D759" s="2" t="str">
        <f>"BGER"</f>
        <v>BGER</v>
      </c>
      <c r="E759" s="2" t="str">
        <f>"M_BUSSULA_GERENCIAL"</f>
        <v>M_BUSSULA_GERENCIAL</v>
      </c>
      <c r="F759" s="2" t="str">
        <f>"M_BUSSULA_GERENCIAL"</f>
        <v>M_BUSSULA_GERENCIAL</v>
      </c>
      <c r="G759" s="2" t="str">
        <f t="shared" si="77"/>
        <v xml:space="preserve"> ()</v>
      </c>
    </row>
    <row r="760" spans="1:7" x14ac:dyDescent="0.3">
      <c r="A760" s="1" t="s">
        <v>4</v>
      </c>
      <c r="B760" s="2" t="str">
        <f>"BUSSULOA GERENCIAL"</f>
        <v>BUSSULOA GERENCIAL</v>
      </c>
      <c r="C760" s="2" t="str">
        <f>""</f>
        <v/>
      </c>
      <c r="D760" s="2" t="str">
        <f>"BGER"</f>
        <v>BGER</v>
      </c>
      <c r="E760" s="2" t="str">
        <f>"M_WIZARD_GERADOR_CONSULTA"</f>
        <v>M_WIZARD_GERADOR_CONSULTA</v>
      </c>
      <c r="F760" s="2" t="str">
        <f>"M_WIZARD_GERADOR_CONSULTA"</f>
        <v>M_WIZARD_GERADOR_CONSULTA</v>
      </c>
      <c r="G760" s="2" t="str">
        <f t="shared" si="77"/>
        <v xml:space="preserve"> ()</v>
      </c>
    </row>
    <row r="761" spans="1:7" x14ac:dyDescent="0.3">
      <c r="A761" s="1" t="s">
        <v>4</v>
      </c>
      <c r="B761" s="2" t="str">
        <f>"BUSSULOA GERENCIAL"</f>
        <v>BUSSULOA GERENCIAL</v>
      </c>
      <c r="C761" s="2" t="str">
        <f>""</f>
        <v/>
      </c>
      <c r="D761" s="2" t="str">
        <f>"BGER"</f>
        <v>BGER</v>
      </c>
      <c r="E761" s="2" t="str">
        <f>"M_ITEM_PRODUCAO_BER"</f>
        <v>M_ITEM_PRODUCAO_BER</v>
      </c>
      <c r="F761" s="2" t="str">
        <f>"M_ITEM_PRODUCAO_BER"</f>
        <v>M_ITEM_PRODUCAO_BER</v>
      </c>
      <c r="G761" s="2" t="str">
        <f t="shared" si="77"/>
        <v xml:space="preserve"> ()</v>
      </c>
    </row>
    <row r="762" spans="1:7" x14ac:dyDescent="0.3">
      <c r="A762" s="1" t="s">
        <v>4</v>
      </c>
      <c r="B762" s="2" t="str">
        <f t="shared" ref="B762:B776" si="78">"BIONEXO"</f>
        <v>BIONEXO</v>
      </c>
      <c r="C762" s="2" t="str">
        <f>""</f>
        <v/>
      </c>
      <c r="D762" s="2" t="str">
        <f t="shared" ref="D762:D776" si="79">"BIONEX"</f>
        <v>BIONEX</v>
      </c>
      <c r="E762" s="2" t="str">
        <f>"PARAMETRIZAÇÃO BIONEXO"</f>
        <v>PARAMETRIZAÇÃO BIONEXO</v>
      </c>
      <c r="F762" s="2" t="str">
        <f>"M_PARAM_BIONEXO"</f>
        <v>M_PARAM_BIONEXO</v>
      </c>
      <c r="G762" s="2" t="str">
        <f>"Materiais e Logística / Compras / Integração / Bionexo / Parâmetros (M_PARAM_BIONEXO)"</f>
        <v>Materiais e Logística / Compras / Integração / Bionexo / Parâmetros (M_PARAM_BIONEXO)</v>
      </c>
    </row>
    <row r="763" spans="1:7" x14ac:dyDescent="0.3">
      <c r="A763" s="1" t="s">
        <v>4</v>
      </c>
      <c r="B763" s="2" t="str">
        <f t="shared" si="78"/>
        <v>BIONEXO</v>
      </c>
      <c r="C763" s="2" t="str">
        <f>""</f>
        <v/>
      </c>
      <c r="D763" s="2" t="str">
        <f t="shared" si="79"/>
        <v>BIONEX</v>
      </c>
      <c r="E763" s="2" t="str">
        <f>"BIONEXO"</f>
        <v>BIONEXO</v>
      </c>
      <c r="F763" s="2" t="str">
        <f>"BIONEXO"</f>
        <v>BIONEXO</v>
      </c>
      <c r="G763" s="2" t="str">
        <f>" ()"</f>
        <v xml:space="preserve"> ()</v>
      </c>
    </row>
    <row r="764" spans="1:7" x14ac:dyDescent="0.3">
      <c r="A764" s="1" t="s">
        <v>4</v>
      </c>
      <c r="B764" s="2" t="str">
        <f t="shared" si="78"/>
        <v>BIONEXO</v>
      </c>
      <c r="C764" s="2" t="str">
        <f>""</f>
        <v/>
      </c>
      <c r="D764" s="2" t="str">
        <f t="shared" si="79"/>
        <v>BIONEX</v>
      </c>
      <c r="E764" s="2" t="str">
        <f>"CONDIÇÕES DE PAGAMENTO MV2000 X BIONEXO"</f>
        <v>CONDIÇÕES DE PAGAMENTO MV2000 X BIONEXO</v>
      </c>
      <c r="F764" s="2" t="str">
        <f>"M_COND_PAG_BIONEXO"</f>
        <v>M_COND_PAG_BIONEXO</v>
      </c>
      <c r="G764" s="2" t="str">
        <f>"Materiais e Logística / Compras / Integração / Bionexo / Condição de pagamento BIONEXO (M_COND_PAG_BIONEXO)"</f>
        <v>Materiais e Logística / Compras / Integração / Bionexo / Condição de pagamento BIONEXO (M_COND_PAG_BIONEXO)</v>
      </c>
    </row>
    <row r="765" spans="1:7" x14ac:dyDescent="0.3">
      <c r="A765" s="1" t="s">
        <v>4</v>
      </c>
      <c r="B765" s="2" t="str">
        <f t="shared" si="78"/>
        <v>BIONEXO</v>
      </c>
      <c r="C765" s="2" t="str">
        <f>""</f>
        <v/>
      </c>
      <c r="D765" s="2" t="str">
        <f t="shared" si="79"/>
        <v>BIONEX</v>
      </c>
      <c r="E765" s="2" t="str">
        <f>"CONDIÇÕES DE PAGAMENTO MV2000 X BIONEXO"</f>
        <v>CONDIÇÕES DE PAGAMENTO MV2000 X BIONEXO</v>
      </c>
      <c r="F765" s="2" t="str">
        <f>"M_COND_PAG_BIONEXO"</f>
        <v>M_COND_PAG_BIONEXO</v>
      </c>
      <c r="G765" s="2" t="str">
        <f>"Materiais e Logística / Compras / Integração / Bionexo / Condição de pagamento BIONEXO (M_COND_PAG_BIONEXO)"</f>
        <v>Materiais e Logística / Compras / Integração / Bionexo / Condição de pagamento BIONEXO (M_COND_PAG_BIONEXO)</v>
      </c>
    </row>
    <row r="766" spans="1:7" x14ac:dyDescent="0.3">
      <c r="A766" s="1" t="s">
        <v>4</v>
      </c>
      <c r="B766" s="2" t="str">
        <f t="shared" si="78"/>
        <v>BIONEXO</v>
      </c>
      <c r="C766" s="2" t="str">
        <f>""</f>
        <v/>
      </c>
      <c r="D766" s="2" t="str">
        <f t="shared" si="79"/>
        <v>BIONEX</v>
      </c>
      <c r="E766" s="2" t="str">
        <f>"CONDIÇÕES DE PAGAMENTO MV2000 X BIONEXO"</f>
        <v>CONDIÇÕES DE PAGAMENTO MV2000 X BIONEXO</v>
      </c>
      <c r="F766" s="2" t="str">
        <f>"M_COND_PAG_BIONEXO"</f>
        <v>M_COND_PAG_BIONEXO</v>
      </c>
      <c r="G766" s="2" t="str">
        <f>"Materiais e Logística / Compras / Integração / Bionexo / Condição de pagamento BIONEXO (M_COND_PAG_BIONEXO)"</f>
        <v>Materiais e Logística / Compras / Integração / Bionexo / Condição de pagamento BIONEXO (M_COND_PAG_BIONEXO)</v>
      </c>
    </row>
    <row r="767" spans="1:7" x14ac:dyDescent="0.3">
      <c r="A767" s="1" t="s">
        <v>4</v>
      </c>
      <c r="B767" s="2" t="str">
        <f t="shared" si="78"/>
        <v>BIONEXO</v>
      </c>
      <c r="C767" s="2" t="str">
        <f>""</f>
        <v/>
      </c>
      <c r="D767" s="2" t="str">
        <f t="shared" si="79"/>
        <v>BIONEX</v>
      </c>
      <c r="E767" s="2" t="str">
        <f>"EXPORTAÇÃO DE PRODUTOS MV2000 X BIONEXO"</f>
        <v>EXPORTAÇÃO DE PRODUTOS MV2000 X BIONEXO</v>
      </c>
      <c r="F767" s="2" t="str">
        <f>"O_EXP_PRO_BIONEXO"</f>
        <v>O_EXP_PRO_BIONEXO</v>
      </c>
      <c r="G767" s="2" t="str">
        <f>"Materiais e Logística / Compras / Integração / Bionexo / Exportar tabela de Produtos (O_EXP_PRO_BIONEXO)"</f>
        <v>Materiais e Logística / Compras / Integração / Bionexo / Exportar tabela de Produtos (O_EXP_PRO_BIONEXO)</v>
      </c>
    </row>
    <row r="768" spans="1:7" x14ac:dyDescent="0.3">
      <c r="A768" s="1" t="s">
        <v>4</v>
      </c>
      <c r="B768" s="2" t="str">
        <f t="shared" si="78"/>
        <v>BIONEXO</v>
      </c>
      <c r="C768" s="2" t="str">
        <f>""</f>
        <v/>
      </c>
      <c r="D768" s="2" t="str">
        <f t="shared" si="79"/>
        <v>BIONEX</v>
      </c>
      <c r="E768" s="2" t="str">
        <f>"EXPORTAÇÃO DE PRODUTOS MV2000 X BIONEXO"</f>
        <v>EXPORTAÇÃO DE PRODUTOS MV2000 X BIONEXO</v>
      </c>
      <c r="F768" s="2" t="str">
        <f>"O_EXP_PRO_BIONEXO"</f>
        <v>O_EXP_PRO_BIONEXO</v>
      </c>
      <c r="G768" s="2" t="str">
        <f>"Materiais e Logística / Compras / Integração / Bionexo / Exportar tabela de Produtos (O_EXP_PRO_BIONEXO)"</f>
        <v>Materiais e Logística / Compras / Integração / Bionexo / Exportar tabela de Produtos (O_EXP_PRO_BIONEXO)</v>
      </c>
    </row>
    <row r="769" spans="1:7" x14ac:dyDescent="0.3">
      <c r="A769" s="1" t="s">
        <v>4</v>
      </c>
      <c r="B769" s="2" t="str">
        <f t="shared" si="78"/>
        <v>BIONEXO</v>
      </c>
      <c r="C769" s="2" t="str">
        <f>""</f>
        <v/>
      </c>
      <c r="D769" s="2" t="str">
        <f t="shared" si="79"/>
        <v>BIONEX</v>
      </c>
      <c r="E769" s="2" t="str">
        <f>"EXPORTAÇÃO DE PRODUTOS MV2000 X BIONEXO"</f>
        <v>EXPORTAÇÃO DE PRODUTOS MV2000 X BIONEXO</v>
      </c>
      <c r="F769" s="2" t="str">
        <f>"O_EXP_PRO_BIONEXO"</f>
        <v>O_EXP_PRO_BIONEXO</v>
      </c>
      <c r="G769" s="2" t="str">
        <f>"Materiais e Logística / Compras / Integração / Bionexo / Exportar tabela de Produtos (O_EXP_PRO_BIONEXO)"</f>
        <v>Materiais e Logística / Compras / Integração / Bionexo / Exportar tabela de Produtos (O_EXP_PRO_BIONEXO)</v>
      </c>
    </row>
    <row r="770" spans="1:7" x14ac:dyDescent="0.3">
      <c r="A770" s="1" t="s">
        <v>4</v>
      </c>
      <c r="B770" s="2" t="str">
        <f t="shared" si="78"/>
        <v>BIONEXO</v>
      </c>
      <c r="C770" s="2" t="str">
        <f>""</f>
        <v/>
      </c>
      <c r="D770" s="2" t="str">
        <f t="shared" si="79"/>
        <v>BIONEX</v>
      </c>
      <c r="E770" s="2" t="str">
        <f>"EXPORTAÇÃO DE PRODUTOS MV2000 X BIONEXO"</f>
        <v>EXPORTAÇÃO DE PRODUTOS MV2000 X BIONEXO</v>
      </c>
      <c r="F770" s="2" t="str">
        <f>"O_EXP_PRO_BIONEXO"</f>
        <v>O_EXP_PRO_BIONEXO</v>
      </c>
      <c r="G770" s="2" t="str">
        <f>"Materiais e Logística / Compras / Integração / Bionexo / Exportar tabela de Produtos (O_EXP_PRO_BIONEXO)"</f>
        <v>Materiais e Logística / Compras / Integração / Bionexo / Exportar tabela de Produtos (O_EXP_PRO_BIONEXO)</v>
      </c>
    </row>
    <row r="771" spans="1:7" x14ac:dyDescent="0.3">
      <c r="A771" s="1" t="s">
        <v>4</v>
      </c>
      <c r="B771" s="2" t="str">
        <f t="shared" si="78"/>
        <v>BIONEXO</v>
      </c>
      <c r="C771" s="2" t="str">
        <f>""</f>
        <v/>
      </c>
      <c r="D771" s="2" t="str">
        <f t="shared" si="79"/>
        <v>BIONEX</v>
      </c>
      <c r="E771" s="2" t="str">
        <f t="shared" ref="E771:F773" si="80">"O_GER_ORDCOM_BIONEXO"</f>
        <v>O_GER_ORDCOM_BIONEXO</v>
      </c>
      <c r="F771" s="2" t="str">
        <f t="shared" si="80"/>
        <v>O_GER_ORDCOM_BIONEXO</v>
      </c>
      <c r="G771" s="2" t="str">
        <f>"Materiais e Logística / Compras / Integração / Bionexo / Receber carrinho BIONEXO (O_GER_ORDCOM_BIONEXO)"</f>
        <v>Materiais e Logística / Compras / Integração / Bionexo / Receber carrinho BIONEXO (O_GER_ORDCOM_BIONEXO)</v>
      </c>
    </row>
    <row r="772" spans="1:7" x14ac:dyDescent="0.3">
      <c r="A772" s="1" t="s">
        <v>4</v>
      </c>
      <c r="B772" s="2" t="str">
        <f t="shared" si="78"/>
        <v>BIONEXO</v>
      </c>
      <c r="C772" s="2" t="str">
        <f>""</f>
        <v/>
      </c>
      <c r="D772" s="2" t="str">
        <f t="shared" si="79"/>
        <v>BIONEX</v>
      </c>
      <c r="E772" s="2" t="str">
        <f t="shared" si="80"/>
        <v>O_GER_ORDCOM_BIONEXO</v>
      </c>
      <c r="F772" s="2" t="str">
        <f t="shared" si="80"/>
        <v>O_GER_ORDCOM_BIONEXO</v>
      </c>
      <c r="G772" s="2" t="str">
        <f>"Materiais e Logística / Compras / Integração / Bionexo / Receber carrinho BIONEXO (O_GER_ORDCOM_BIONEXO)"</f>
        <v>Materiais e Logística / Compras / Integração / Bionexo / Receber carrinho BIONEXO (O_GER_ORDCOM_BIONEXO)</v>
      </c>
    </row>
    <row r="773" spans="1:7" x14ac:dyDescent="0.3">
      <c r="A773" s="1" t="s">
        <v>4</v>
      </c>
      <c r="B773" s="2" t="str">
        <f t="shared" si="78"/>
        <v>BIONEXO</v>
      </c>
      <c r="C773" s="2" t="str">
        <f>""</f>
        <v/>
      </c>
      <c r="D773" s="2" t="str">
        <f t="shared" si="79"/>
        <v>BIONEX</v>
      </c>
      <c r="E773" s="2" t="str">
        <f t="shared" si="80"/>
        <v>O_GER_ORDCOM_BIONEXO</v>
      </c>
      <c r="F773" s="2" t="str">
        <f t="shared" si="80"/>
        <v>O_GER_ORDCOM_BIONEXO</v>
      </c>
      <c r="G773" s="2" t="str">
        <f>"Materiais e Logística / Compras / Integração / Bionexo / Receber carrinho BIONEXO (O_GER_ORDCOM_BIONEXO)"</f>
        <v>Materiais e Logística / Compras / Integração / Bionexo / Receber carrinho BIONEXO (O_GER_ORDCOM_BIONEXO)</v>
      </c>
    </row>
    <row r="774" spans="1:7" x14ac:dyDescent="0.3">
      <c r="A774" s="1" t="s">
        <v>4</v>
      </c>
      <c r="B774" s="2" t="str">
        <f t="shared" si="78"/>
        <v>BIONEXO</v>
      </c>
      <c r="C774" s="2" t="str">
        <f>""</f>
        <v/>
      </c>
      <c r="D774" s="2" t="str">
        <f t="shared" si="79"/>
        <v>BIONEX</v>
      </c>
      <c r="E774" s="2" t="str">
        <f>"Conversão de Ord. Com. Bionexo x MV2000"</f>
        <v>Conversão de Ord. Com. Bionexo x MV2000</v>
      </c>
      <c r="F774" s="2" t="str">
        <f>"O_GER_ARQ_BIONEXO"</f>
        <v>O_GER_ARQ_BIONEXO</v>
      </c>
      <c r="G774" s="2" t="str">
        <f>" ()"</f>
        <v xml:space="preserve"> ()</v>
      </c>
    </row>
    <row r="775" spans="1:7" x14ac:dyDescent="0.3">
      <c r="A775" s="1" t="s">
        <v>4</v>
      </c>
      <c r="B775" s="2" t="str">
        <f t="shared" si="78"/>
        <v>BIONEXO</v>
      </c>
      <c r="C775" s="2" t="str">
        <f>""</f>
        <v/>
      </c>
      <c r="D775" s="2" t="str">
        <f t="shared" si="79"/>
        <v>BIONEX</v>
      </c>
      <c r="E775" s="2" t="str">
        <f>"UNIDADES PARA EXPORTAÇÃO"</f>
        <v>UNIDADES PARA EXPORTAÇÃO</v>
      </c>
      <c r="F775" s="2" t="str">
        <f>"M_UNIDADE_EXP_IMP"</f>
        <v>M_UNIDADE_EXP_IMP</v>
      </c>
      <c r="G775" s="2" t="str">
        <f>"Materiais e Logística / Compras / Integração / Bionexo / Unidades de Importação &amp; Exportação (M_UNIDADE_EXP_IMP)"</f>
        <v>Materiais e Logística / Compras / Integração / Bionexo / Unidades de Importação &amp; Exportação (M_UNIDADE_EXP_IMP)</v>
      </c>
    </row>
    <row r="776" spans="1:7" x14ac:dyDescent="0.3">
      <c r="A776" s="1" t="s">
        <v>4</v>
      </c>
      <c r="B776" s="2" t="str">
        <f t="shared" si="78"/>
        <v>BIONEXO</v>
      </c>
      <c r="C776" s="2" t="str">
        <f>""</f>
        <v/>
      </c>
      <c r="D776" s="2" t="str">
        <f t="shared" si="79"/>
        <v>BIONEX</v>
      </c>
      <c r="E776" s="2" t="str">
        <f>"UNIDADES PARA EXPORTAÇÃO"</f>
        <v>UNIDADES PARA EXPORTAÇÃO</v>
      </c>
      <c r="F776" s="2" t="str">
        <f>"M_UNIDADE_EXP_IMP"</f>
        <v>M_UNIDADE_EXP_IMP</v>
      </c>
      <c r="G776" s="2" t="str">
        <f>"Materiais e Logística / Compras / Integração / Produtos X Unidades exportadas (M_UNIDADE_EXP_IMP)"</f>
        <v>Materiais e Logística / Compras / Integração / Produtos X Unidades exportadas (M_UNIDADE_EXP_IMP)</v>
      </c>
    </row>
    <row r="777" spans="1:7" x14ac:dyDescent="0.3">
      <c r="A777" s="1" t="s">
        <v>4</v>
      </c>
      <c r="B777" s="2" t="str">
        <f t="shared" ref="B777:B804" si="81">"COMUNICAÇÃO DE INFORMAÇÃO HOSP. E AMB."</f>
        <v>COMUNICAÇÃO DE INFORMAÇÃO HOSP. E AMB.</v>
      </c>
      <c r="C777" s="2" t="str">
        <f t="shared" ref="C777:C804" si="82">"FATUR-SUS"</f>
        <v>FATUR-SUS</v>
      </c>
      <c r="D777" s="2" t="str">
        <f t="shared" ref="D777:D804" si="83">"CIHA"</f>
        <v>CIHA</v>
      </c>
      <c r="E777" s="2" t="str">
        <f>"GERAÇÃO DE ARQUIVO CIHA"</f>
        <v>GERAÇÃO DE ARQUIVO CIHA</v>
      </c>
      <c r="F777" s="2" t="str">
        <f>"G_CIH_A"</f>
        <v>G_CIH_A</v>
      </c>
      <c r="G777" s="2" t="str">
        <f>"Faturamento / Comunicação de Inf. Hosp. e Amb. (CIHA) / Geração / Geração de Arquivo (G_CIH_A)"</f>
        <v>Faturamento / Comunicação de Inf. Hosp. e Amb. (CIHA) / Geração / Geração de Arquivo (G_CIH_A)</v>
      </c>
    </row>
    <row r="778" spans="1:7" x14ac:dyDescent="0.3">
      <c r="A778" s="1" t="s">
        <v>4</v>
      </c>
      <c r="B778" s="2" t="str">
        <f t="shared" si="81"/>
        <v>COMUNICAÇÃO DE INFORMAÇÃO HOSP. E AMB.</v>
      </c>
      <c r="C778" s="2" t="str">
        <f t="shared" si="82"/>
        <v>FATUR-SUS</v>
      </c>
      <c r="D778" s="2" t="str">
        <f t="shared" si="83"/>
        <v>CIHA</v>
      </c>
      <c r="E778" s="2" t="str">
        <f>"PERSONALIZADOS DO CIHA"</f>
        <v>PERSONALIZADOS DO CIHA</v>
      </c>
      <c r="F778" s="2" t="str">
        <f>"R_PERSON_CIHA"</f>
        <v>R_PERSON_CIHA</v>
      </c>
      <c r="G778" s="2" t="str">
        <f>"Faturamento / Comunicação de Inf. Hosp. e Amb. (CIHA) / Relatórios / Personalizados (R_PERSON_CIHA)"</f>
        <v>Faturamento / Comunicação de Inf. Hosp. e Amb. (CIHA) / Relatórios / Personalizados (R_PERSON_CIHA)</v>
      </c>
    </row>
    <row r="779" spans="1:7" x14ac:dyDescent="0.3">
      <c r="A779" s="1" t="s">
        <v>4</v>
      </c>
      <c r="B779" s="2" t="str">
        <f t="shared" si="81"/>
        <v>COMUNICAÇÃO DE INFORMAÇÃO HOSP. E AMB.</v>
      </c>
      <c r="C779" s="2" t="str">
        <f t="shared" si="82"/>
        <v>FATUR-SUS</v>
      </c>
      <c r="D779" s="2" t="str">
        <f t="shared" si="83"/>
        <v>CIHA</v>
      </c>
      <c r="E779" s="2" t="str">
        <f>"REL. PROD. INT. NAO SUS NA CIHA"</f>
        <v>REL. PROD. INT. NAO SUS NA CIHA</v>
      </c>
      <c r="F779" s="2" t="str">
        <f>"R_PROD_INT_NAO_SUS_CIHA"</f>
        <v>R_PROD_INT_NAO_SUS_CIHA</v>
      </c>
      <c r="G779" s="2" t="str">
        <f>"Faturamento / Comunicação de Inf. Hosp. e Amb. (CIHA) / Relatórios / Gerenciais / Produção / Detalhe da Produção / Internação Não SUS (R_PROD_INT_NAO_SUS_CIHA)"</f>
        <v>Faturamento / Comunicação de Inf. Hosp. e Amb. (CIHA) / Relatórios / Gerenciais / Produção / Detalhe da Produção / Internação Não SUS (R_PROD_INT_NAO_SUS_CIHA)</v>
      </c>
    </row>
    <row r="780" spans="1:7" x14ac:dyDescent="0.3">
      <c r="A780" s="1" t="s">
        <v>4</v>
      </c>
      <c r="B780" s="2" t="str">
        <f t="shared" si="81"/>
        <v>COMUNICAÇÃO DE INFORMAÇÃO HOSP. E AMB.</v>
      </c>
      <c r="C780" s="2" t="str">
        <f t="shared" si="82"/>
        <v>FATUR-SUS</v>
      </c>
      <c r="D780" s="2" t="str">
        <f t="shared" si="83"/>
        <v>CIHA</v>
      </c>
      <c r="E780" s="2" t="str">
        <f>"REL. PROD. AMB NÃO SUS NA CIHA"</f>
        <v>REL. PROD. AMB NÃO SUS NA CIHA</v>
      </c>
      <c r="F780" s="2" t="str">
        <f>"R_PROD_AMB_NAO_SUS_CIHA"</f>
        <v>R_PROD_AMB_NAO_SUS_CIHA</v>
      </c>
      <c r="G780" s="2" t="str">
        <f>"Faturamento / Comunicação de Inf. Hosp. e Amb. (CIHA) / Relatórios / Gerenciais / Produção / Detalhe da Produção / Ambulatorial Não SUS (R_PROD_AMB_NAO_SUS_CIHA)"</f>
        <v>Faturamento / Comunicação de Inf. Hosp. e Amb. (CIHA) / Relatórios / Gerenciais / Produção / Detalhe da Produção / Ambulatorial Não SUS (R_PROD_AMB_NAO_SUS_CIHA)</v>
      </c>
    </row>
    <row r="781" spans="1:7" x14ac:dyDescent="0.3">
      <c r="A781" s="1" t="s">
        <v>4</v>
      </c>
      <c r="B781" s="2" t="str">
        <f t="shared" si="81"/>
        <v>COMUNICAÇÃO DE INFORMAÇÃO HOSP. E AMB.</v>
      </c>
      <c r="C781" s="2" t="str">
        <f t="shared" si="82"/>
        <v>FATUR-SUS</v>
      </c>
      <c r="D781" s="2" t="str">
        <f t="shared" si="83"/>
        <v>CIHA</v>
      </c>
      <c r="E781" s="2" t="str">
        <f>"DE PARA DE CID DA CIHA"</f>
        <v>DE PARA DE CID DA CIHA</v>
      </c>
      <c r="F781" s="2" t="str">
        <f>"M_CIHA_DE_PARA_CID"</f>
        <v>M_CIHA_DE_PARA_CID</v>
      </c>
      <c r="G781" s="2" t="str">
        <f>"Faturamento / Comunicação de Inf. Hosp. e Amb. (CIHA) / Configurações / De-Para de CID (M_CIHA_DE_PARA_CID)"</f>
        <v>Faturamento / Comunicação de Inf. Hosp. e Amb. (CIHA) / Configurações / De-Para de CID (M_CIHA_DE_PARA_CID)</v>
      </c>
    </row>
    <row r="782" spans="1:7" x14ac:dyDescent="0.3">
      <c r="A782" s="1" t="s">
        <v>4</v>
      </c>
      <c r="B782" s="2" t="str">
        <f t="shared" si="81"/>
        <v>COMUNICAÇÃO DE INFORMAÇÃO HOSP. E AMB.</v>
      </c>
      <c r="C782" s="2" t="str">
        <f t="shared" si="82"/>
        <v>FATUR-SUS</v>
      </c>
      <c r="D782" s="2" t="str">
        <f t="shared" si="83"/>
        <v>CIHA</v>
      </c>
      <c r="E782" s="2" t="str">
        <f>"REL. PROD. INT. SUS NA CIHA"</f>
        <v>REL. PROD. INT. SUS NA CIHA</v>
      </c>
      <c r="F782" s="2" t="str">
        <f>"R_PROD_INTERNACAO_CIHA"</f>
        <v>R_PROD_INTERNACAO_CIHA</v>
      </c>
      <c r="G782" s="2" t="str">
        <f>"Faturamento / Comunicação de Inf. Hosp. e Amb. (CIHA) / Relatórios / Gerenciais / Produção / Detalhe da Produção / Internação SUS (R_PROD_INTERNACAO_CIHA)"</f>
        <v>Faturamento / Comunicação de Inf. Hosp. e Amb. (CIHA) / Relatórios / Gerenciais / Produção / Detalhe da Produção / Internação SUS (R_PROD_INTERNACAO_CIHA)</v>
      </c>
    </row>
    <row r="783" spans="1:7" x14ac:dyDescent="0.3">
      <c r="A783" s="1" t="s">
        <v>4</v>
      </c>
      <c r="B783" s="2" t="str">
        <f t="shared" si="81"/>
        <v>COMUNICAÇÃO DE INFORMAÇÃO HOSP. E AMB.</v>
      </c>
      <c r="C783" s="2" t="str">
        <f t="shared" si="82"/>
        <v>FATUR-SUS</v>
      </c>
      <c r="D783" s="2" t="str">
        <f t="shared" si="83"/>
        <v>CIHA</v>
      </c>
      <c r="E783" s="2" t="str">
        <f>"REL. PROD. AMB SUS NA CIHA"</f>
        <v>REL. PROD. AMB SUS NA CIHA</v>
      </c>
      <c r="F783" s="2" t="str">
        <f>"R_PROD_AMBULATORIO_CIHA"</f>
        <v>R_PROD_AMBULATORIO_CIHA</v>
      </c>
      <c r="G783" s="2" t="str">
        <f>"Faturamento / Comunicação de Inf. Hosp. e Amb. (CIHA) / Relatórios / Gerenciais / Produção / Detalhe da Produção / Ambulatorial SUS (R_PROD_AMBULATORIO_CIHA)"</f>
        <v>Faturamento / Comunicação de Inf. Hosp. e Amb. (CIHA) / Relatórios / Gerenciais / Produção / Detalhe da Produção / Ambulatorial SUS (R_PROD_AMBULATORIO_CIHA)</v>
      </c>
    </row>
    <row r="784" spans="1:7" x14ac:dyDescent="0.3">
      <c r="A784" s="1" t="s">
        <v>4</v>
      </c>
      <c r="B784" s="2" t="str">
        <f t="shared" si="81"/>
        <v>COMUNICAÇÃO DE INFORMAÇÃO HOSP. E AMB.</v>
      </c>
      <c r="C784" s="2" t="str">
        <f t="shared" si="82"/>
        <v>FATUR-SUS</v>
      </c>
      <c r="D784" s="2" t="str">
        <f t="shared" si="83"/>
        <v>CIHA</v>
      </c>
      <c r="E784" s="2" t="str">
        <f>"LANCAMENTO MANUAL CIHA"</f>
        <v>LANCAMENTO MANUAL CIHA</v>
      </c>
      <c r="F784" s="2" t="str">
        <f>"M_LANC_MANUAL_CIHA"</f>
        <v>M_LANC_MANUAL_CIHA</v>
      </c>
      <c r="G784" s="2" t="str">
        <f>"Faturamento / Comunicação de Inf. Hosp. e Amb. (CIHA) / Tabelas / Lançamento Manual (M_LANC_MANUAL_CIHA)"</f>
        <v>Faturamento / Comunicação de Inf. Hosp. e Amb. (CIHA) / Tabelas / Lançamento Manual (M_LANC_MANUAL_CIHA)</v>
      </c>
    </row>
    <row r="785" spans="1:7" x14ac:dyDescent="0.3">
      <c r="A785" s="1" t="s">
        <v>4</v>
      </c>
      <c r="B785" s="2" t="str">
        <f t="shared" si="81"/>
        <v>COMUNICAÇÃO DE INFORMAÇÃO HOSP. E AMB.</v>
      </c>
      <c r="C785" s="2" t="str">
        <f t="shared" si="82"/>
        <v>FATUR-SUS</v>
      </c>
      <c r="D785" s="2" t="str">
        <f t="shared" si="83"/>
        <v>CIHA</v>
      </c>
      <c r="E785" s="2" t="str">
        <f>"CALC. PERCENTUAL SUS X CONVENIO DA CIHA"</f>
        <v>CALC. PERCENTUAL SUS X CONVENIO DA CIHA</v>
      </c>
      <c r="F785" s="2" t="str">
        <f>"R_CALC_PERC_SUS_CNV_CIHA"</f>
        <v>R_CALC_PERC_SUS_CNV_CIHA</v>
      </c>
      <c r="G785" s="2" t="str">
        <f>"Faturamento / Comunicação de Inf. Hosp. e Amb. (CIHA) / Relatórios / Gerenciais / Produção / Cálculo do Percentual - SUS x Convênio (R_CALC_PERC_SUS_CNV_CIHA)"</f>
        <v>Faturamento / Comunicação de Inf. Hosp. e Amb. (CIHA) / Relatórios / Gerenciais / Produção / Cálculo do Percentual - SUS x Convênio (R_CALC_PERC_SUS_CNV_CIHA)</v>
      </c>
    </row>
    <row r="786" spans="1:7" x14ac:dyDescent="0.3">
      <c r="A786" s="1" t="s">
        <v>4</v>
      </c>
      <c r="B786" s="2" t="str">
        <f t="shared" si="81"/>
        <v>COMUNICAÇÃO DE INFORMAÇÃO HOSP. E AMB.</v>
      </c>
      <c r="C786" s="2" t="str">
        <f t="shared" si="82"/>
        <v>FATUR-SUS</v>
      </c>
      <c r="D786" s="2" t="str">
        <f t="shared" si="83"/>
        <v>CIHA</v>
      </c>
      <c r="E786" s="2" t="str">
        <f>"REL. INCONST. POR CRITICA DA CIHA"</f>
        <v>REL. INCONST. POR CRITICA DA CIHA</v>
      </c>
      <c r="F786" s="2" t="str">
        <f>"R_CRITICA_CIHA"</f>
        <v>R_CRITICA_CIHA</v>
      </c>
      <c r="G786" s="2" t="str">
        <f>"Faturamento / Comunicação de Inf. Hosp. e Amb. (CIHA) / Relatórios / Consistência / Inconsistência por Tipo de Crítica (R_CRITICA_CIHA)"</f>
        <v>Faturamento / Comunicação de Inf. Hosp. e Amb. (CIHA) / Relatórios / Consistência / Inconsistência por Tipo de Crítica (R_CRITICA_CIHA)</v>
      </c>
    </row>
    <row r="787" spans="1:7" x14ac:dyDescent="0.3">
      <c r="A787" s="1" t="s">
        <v>4</v>
      </c>
      <c r="B787" s="2" t="str">
        <f t="shared" si="81"/>
        <v>COMUNICAÇÃO DE INFORMAÇÃO HOSP. E AMB.</v>
      </c>
      <c r="C787" s="2" t="str">
        <f t="shared" si="82"/>
        <v>FATUR-SUS</v>
      </c>
      <c r="D787" s="2" t="str">
        <f t="shared" si="83"/>
        <v>CIHA</v>
      </c>
      <c r="E787" s="2" t="str">
        <f>"RELAT. DE INCONSISTENCIA DA CIHA"</f>
        <v>RELAT. DE INCONSISTENCIA DA CIHA</v>
      </c>
      <c r="F787" s="2" t="str">
        <f>"R_INCONSISTENCIA_CIHA"</f>
        <v>R_INCONSISTENCIA_CIHA</v>
      </c>
      <c r="G787" s="2" t="str">
        <f>"Faturamento / Comunicação de Inf. Hosp. e Amb. (CIHA) / Relatórios / Consistência / Relatório de Inconsistência (R_INCONSISTENCIA_CIHA)"</f>
        <v>Faturamento / Comunicação de Inf. Hosp. e Amb. (CIHA) / Relatórios / Consistência / Relatório de Inconsistência (R_INCONSISTENCIA_CIHA)</v>
      </c>
    </row>
    <row r="788" spans="1:7" x14ac:dyDescent="0.3">
      <c r="A788" s="1" t="s">
        <v>4</v>
      </c>
      <c r="B788" s="2" t="str">
        <f t="shared" si="81"/>
        <v>COMUNICAÇÃO DE INFORMAÇÃO HOSP. E AMB.</v>
      </c>
      <c r="C788" s="2" t="str">
        <f t="shared" si="82"/>
        <v>FATUR-SUS</v>
      </c>
      <c r="D788" s="2" t="str">
        <f t="shared" si="83"/>
        <v>CIHA</v>
      </c>
      <c r="E788" s="2" t="str">
        <f>"RELAT. CAD. CRITICA DA CIHA"</f>
        <v>RELAT. CAD. CRITICA DA CIHA</v>
      </c>
      <c r="F788" s="2" t="str">
        <f>"R_CAD_CRITICA_CIHA"</f>
        <v>R_CAD_CRITICA_CIHA</v>
      </c>
      <c r="G788" s="2" t="str">
        <f>"Faturamento / Comunicação de Inf. Hosp. e Amb. (CIHA) / Relatórios / Tabelas / Geral / Cadastro de Críticas (R_CAD_CRITICA_CIHA)"</f>
        <v>Faturamento / Comunicação de Inf. Hosp. e Amb. (CIHA) / Relatórios / Tabelas / Geral / Cadastro de Críticas (R_CAD_CRITICA_CIHA)</v>
      </c>
    </row>
    <row r="789" spans="1:7" x14ac:dyDescent="0.3">
      <c r="A789" s="1" t="s">
        <v>4</v>
      </c>
      <c r="B789" s="2" t="str">
        <f t="shared" si="81"/>
        <v>COMUNICAÇÃO DE INFORMAÇÃO HOSP. E AMB.</v>
      </c>
      <c r="C789" s="2" t="str">
        <f t="shared" si="82"/>
        <v>FATUR-SUS</v>
      </c>
      <c r="D789" s="2" t="str">
        <f t="shared" si="83"/>
        <v>CIHA</v>
      </c>
      <c r="E789" s="2" t="str">
        <f>"RELAT. TABELA DE CEP SUS NA CIHA"</f>
        <v>RELAT. TABELA DE CEP SUS NA CIHA</v>
      </c>
      <c r="F789" s="2" t="str">
        <f>"R_CEP_SUS"</f>
        <v>R_CEP_SUS</v>
      </c>
      <c r="G789" s="2" t="str">
        <f>"Faturamento / Comunicação de Inf. Hosp. e Amb. (CIHA) / Relatórios / Tabelas / Geral / CEP SUS (R_CEP_SUS)"</f>
        <v>Faturamento / Comunicação de Inf. Hosp. e Amb. (CIHA) / Relatórios / Tabelas / Geral / CEP SUS (R_CEP_SUS)</v>
      </c>
    </row>
    <row r="790" spans="1:7" x14ac:dyDescent="0.3">
      <c r="A790" s="1" t="s">
        <v>4</v>
      </c>
      <c r="B790" s="2" t="str">
        <f t="shared" si="81"/>
        <v>COMUNICAÇÃO DE INFORMAÇÃO HOSP. E AMB.</v>
      </c>
      <c r="C790" s="2" t="str">
        <f t="shared" si="82"/>
        <v>FATUR-SUS</v>
      </c>
      <c r="D790" s="2" t="str">
        <f t="shared" si="83"/>
        <v>CIHA</v>
      </c>
      <c r="E790" s="2" t="str">
        <f>"RELAT. TABELA DE MOTIVOS SUS NA CIHA"</f>
        <v>RELAT. TABELA DE MOTIVOS SUS NA CIHA</v>
      </c>
      <c r="F790" s="2" t="str">
        <f>"R_MOT_COB_CIHA"</f>
        <v>R_MOT_COB_CIHA</v>
      </c>
      <c r="G790" s="2" t="str">
        <f>"Faturamento / Comunicação de Inf. Hosp. e Amb. (CIHA) / Relatórios / Tabelas / Geral / Motivo Cobrança SUS (R_MOT_COB_CIHA)"</f>
        <v>Faturamento / Comunicação de Inf. Hosp. e Amb. (CIHA) / Relatórios / Tabelas / Geral / Motivo Cobrança SUS (R_MOT_COB_CIHA)</v>
      </c>
    </row>
    <row r="791" spans="1:7" x14ac:dyDescent="0.3">
      <c r="A791" s="1" t="s">
        <v>4</v>
      </c>
      <c r="B791" s="2" t="str">
        <f t="shared" si="81"/>
        <v>COMUNICAÇÃO DE INFORMAÇÃO HOSP. E AMB.</v>
      </c>
      <c r="C791" s="2" t="str">
        <f t="shared" si="82"/>
        <v>FATUR-SUS</v>
      </c>
      <c r="D791" s="2" t="str">
        <f t="shared" si="83"/>
        <v>CIHA</v>
      </c>
      <c r="E791" s="2" t="str">
        <f>"RELAT. TABELA DE CID NA CIHA"</f>
        <v>RELAT. TABELA DE CID NA CIHA</v>
      </c>
      <c r="F791" s="2" t="str">
        <f>"R_TAB_CID"</f>
        <v>R_TAB_CID</v>
      </c>
      <c r="G791" s="2" t="str">
        <f>"Faturamento / Comunicação de Inf. Hosp. e Amb. (CIHA) / Relatórios / Tabelas / Geral / Tabela de CID (R_TAB_CID)"</f>
        <v>Faturamento / Comunicação de Inf. Hosp. e Amb. (CIHA) / Relatórios / Tabelas / Geral / Tabela de CID (R_TAB_CID)</v>
      </c>
    </row>
    <row r="792" spans="1:7" x14ac:dyDescent="0.3">
      <c r="A792" s="1" t="s">
        <v>4</v>
      </c>
      <c r="B792" s="2" t="str">
        <f t="shared" si="81"/>
        <v>COMUNICAÇÃO DE INFORMAÇÃO HOSP. E AMB.</v>
      </c>
      <c r="C792" s="2" t="str">
        <f t="shared" si="82"/>
        <v>FATUR-SUS</v>
      </c>
      <c r="D792" s="2" t="str">
        <f t="shared" si="83"/>
        <v>CIHA</v>
      </c>
      <c r="E792" s="2" t="str">
        <f>"RELAT. RELAC. DE PROCED. SUS X CONV."</f>
        <v>RELAT. RELAC. DE PROCED. SUS X CONV.</v>
      </c>
      <c r="F792" s="2" t="str">
        <f>"R_PRO_FAT_SUS"</f>
        <v>R_PRO_FAT_SUS</v>
      </c>
      <c r="G792" s="2" t="str">
        <f>"Faturamento / Comunicação de Inf. Hosp. e Amb. (CIHA) / Relatórios / Tabelas / Geral (R_PRO_FAT_SUS)"</f>
        <v>Faturamento / Comunicação de Inf. Hosp. e Amb. (CIHA) / Relatórios / Tabelas / Geral (R_PRO_FAT_SUS)</v>
      </c>
    </row>
    <row r="793" spans="1:7" x14ac:dyDescent="0.3">
      <c r="A793" s="1" t="s">
        <v>4</v>
      </c>
      <c r="B793" s="2" t="str">
        <f t="shared" si="81"/>
        <v>COMUNICAÇÃO DE INFORMAÇÃO HOSP. E AMB.</v>
      </c>
      <c r="C793" s="2" t="str">
        <f t="shared" si="82"/>
        <v>FATUR-SUS</v>
      </c>
      <c r="D793" s="2" t="str">
        <f t="shared" si="83"/>
        <v>CIHA</v>
      </c>
      <c r="E793" s="2" t="str">
        <f>"RELAT. TABELA DE PROCED. SUS NA CIHA"</f>
        <v>RELAT. TABELA DE PROCED. SUS NA CIHA</v>
      </c>
      <c r="F793" s="2" t="str">
        <f>"R_PROCEDIMENTO_SUS"</f>
        <v>R_PROCEDIMENTO_SUS</v>
      </c>
      <c r="G793" s="2" t="str">
        <f>"Faturamento / Comunicação de Inf. Hosp. e Amb. (CIHA) / Relatórios / Tabelas / Procedimento SUS (R_PROCEDIMENTO_SUS)"</f>
        <v>Faturamento / Comunicação de Inf. Hosp. e Amb. (CIHA) / Relatórios / Tabelas / Procedimento SUS (R_PROCEDIMENTO_SUS)</v>
      </c>
    </row>
    <row r="794" spans="1:7" x14ac:dyDescent="0.3">
      <c r="A794" s="1" t="s">
        <v>4</v>
      </c>
      <c r="B794" s="2" t="str">
        <f t="shared" si="81"/>
        <v>COMUNICAÇÃO DE INFORMAÇÃO HOSP. E AMB.</v>
      </c>
      <c r="C794" s="2" t="str">
        <f t="shared" si="82"/>
        <v>FATUR-SUS</v>
      </c>
      <c r="D794" s="2" t="str">
        <f t="shared" si="83"/>
        <v>CIHA</v>
      </c>
      <c r="E794" s="2" t="str">
        <f>"RELAT. PROCED. SEM RELAC. NA CIHA"</f>
        <v>RELAT. PROCED. SEM RELAC. NA CIHA</v>
      </c>
      <c r="F794" s="2" t="str">
        <f>"R_PRO_FAT_SEM_RELAC"</f>
        <v>R_PRO_FAT_SEM_RELAC</v>
      </c>
      <c r="G794" s="2" t="str">
        <f>"Faturamento / Comunicação de Inf. Hosp. e Amb. (CIHA) / Relatórios / Procedimento Sem Relacionamento (R_PRO_FAT_SEM_RELAC)"</f>
        <v>Faturamento / Comunicação de Inf. Hosp. e Amb. (CIHA) / Relatórios / Procedimento Sem Relacionamento (R_PRO_FAT_SEM_RELAC)</v>
      </c>
    </row>
    <row r="795" spans="1:7" x14ac:dyDescent="0.3">
      <c r="A795" s="1" t="s">
        <v>4</v>
      </c>
      <c r="B795" s="2" t="str">
        <f t="shared" si="81"/>
        <v>COMUNICAÇÃO DE INFORMAÇÃO HOSP. E AMB.</v>
      </c>
      <c r="C795" s="2" t="str">
        <f t="shared" si="82"/>
        <v>FATUR-SUS</v>
      </c>
      <c r="D795" s="2" t="str">
        <f t="shared" si="83"/>
        <v>CIHA</v>
      </c>
      <c r="E795" s="2" t="str">
        <f>"RELAT. PROCED. SUS X CONV. DA CIHA"</f>
        <v>RELAT. PROCED. SUS X CONV. DA CIHA</v>
      </c>
      <c r="F795" s="2" t="str">
        <f>"R_PRO_FAT_PRO_SUS"</f>
        <v>R_PRO_FAT_PRO_SUS</v>
      </c>
      <c r="G795" s="2" t="str">
        <f>"Faturamento / Comunicação de Inf. Hosp. e Amb. (CIHA) / Relatórios / Relacionamento de Procedimento (R_PRO_FAT_PRO_SUS)"</f>
        <v>Faturamento / Comunicação de Inf. Hosp. e Amb. (CIHA) / Relatórios / Relacionamento de Procedimento (R_PRO_FAT_PRO_SUS)</v>
      </c>
    </row>
    <row r="796" spans="1:7" x14ac:dyDescent="0.3">
      <c r="A796" s="1" t="s">
        <v>4</v>
      </c>
      <c r="B796" s="2" t="str">
        <f t="shared" si="81"/>
        <v>COMUNICAÇÃO DE INFORMAÇÃO HOSP. E AMB.</v>
      </c>
      <c r="C796" s="2" t="str">
        <f t="shared" si="82"/>
        <v>FATUR-SUS</v>
      </c>
      <c r="D796" s="2" t="str">
        <f t="shared" si="83"/>
        <v>CIHA</v>
      </c>
      <c r="E796" s="2" t="str">
        <f>"REGRA DE GERAÇÃO CIHA"</f>
        <v>REGRA DE GERAÇÃO CIHA</v>
      </c>
      <c r="F796" s="2" t="str">
        <f>"M_REGRA_GERACAO_CIHA"</f>
        <v>M_REGRA_GERACAO_CIHA</v>
      </c>
      <c r="G796" s="2" t="str">
        <f>"Faturamento / Comunicação de Inf. Hosp. e Amb. (CIHA) / Configurações / Regra de Geração (M_REGRA_GERACAO_CIHA)"</f>
        <v>Faturamento / Comunicação de Inf. Hosp. e Amb. (CIHA) / Configurações / Regra de Geração (M_REGRA_GERACAO_CIHA)</v>
      </c>
    </row>
    <row r="797" spans="1:7" x14ac:dyDescent="0.3">
      <c r="A797" s="1" t="s">
        <v>4</v>
      </c>
      <c r="B797" s="2" t="str">
        <f t="shared" si="81"/>
        <v>COMUNICAÇÃO DE INFORMAÇÃO HOSP. E AMB.</v>
      </c>
      <c r="C797" s="2" t="str">
        <f t="shared" si="82"/>
        <v>FATUR-SUS</v>
      </c>
      <c r="D797" s="2" t="str">
        <f t="shared" si="83"/>
        <v>CIHA</v>
      </c>
      <c r="E797" s="2" t="str">
        <f>"CONFIGURAÇÃO GERAL DA CIHA"</f>
        <v>CONFIGURAÇÃO GERAL DA CIHA</v>
      </c>
      <c r="F797" s="2" t="str">
        <f>"M_CONFIGURACAO_GERAL"</f>
        <v>M_CONFIGURACAO_GERAL</v>
      </c>
      <c r="G797" s="2" t="str">
        <f>"Faturamento / Comunicação de Inf. Hosp. e Amb. (CIHA) / Configurações / Configuração Geral (M_CONFIGURACAO_GERAL)"</f>
        <v>Faturamento / Comunicação de Inf. Hosp. e Amb. (CIHA) / Configurações / Configuração Geral (M_CONFIGURACAO_GERAL)</v>
      </c>
    </row>
    <row r="798" spans="1:7" x14ac:dyDescent="0.3">
      <c r="A798" s="1" t="s">
        <v>4</v>
      </c>
      <c r="B798" s="2" t="str">
        <f t="shared" si="81"/>
        <v>COMUNICAÇÃO DE INFORMAÇÃO HOSP. E AMB.</v>
      </c>
      <c r="C798" s="2" t="str">
        <f t="shared" si="82"/>
        <v>FATUR-SUS</v>
      </c>
      <c r="D798" s="2" t="str">
        <f t="shared" si="83"/>
        <v>CIHA</v>
      </c>
      <c r="E798" s="2" t="str">
        <f>"CONSULTA TAB. DE CRITICAS DA CIHA"</f>
        <v>CONSULTA TAB. DE CRITICAS DA CIHA</v>
      </c>
      <c r="F798" s="2" t="str">
        <f>"M_CAD_CRITICA_CIHA"</f>
        <v>M_CAD_CRITICA_CIHA</v>
      </c>
      <c r="G798" s="2" t="str">
        <f>"Faturamento / Comunicação de Inf. Hosp. e Amb. (CIHA) / Tabelas / Geral / Tabela de Crítica da CIHA (M_CAD_CRITICA_CIHA)"</f>
        <v>Faturamento / Comunicação de Inf. Hosp. e Amb. (CIHA) / Tabelas / Geral / Tabela de Crítica da CIHA (M_CAD_CRITICA_CIHA)</v>
      </c>
    </row>
    <row r="799" spans="1:7" x14ac:dyDescent="0.3">
      <c r="A799" s="1" t="s">
        <v>4</v>
      </c>
      <c r="B799" s="2" t="str">
        <f t="shared" si="81"/>
        <v>COMUNICAÇÃO DE INFORMAÇÃO HOSP. E AMB.</v>
      </c>
      <c r="C799" s="2" t="str">
        <f t="shared" si="82"/>
        <v>FATUR-SUS</v>
      </c>
      <c r="D799" s="2" t="str">
        <f t="shared" si="83"/>
        <v>CIHA</v>
      </c>
      <c r="E799" s="2" t="str">
        <f>"CONSULTA TAB. DE CEP SUS NA CIHA"</f>
        <v>CONSULTA TAB. DE CEP SUS NA CIHA</v>
      </c>
      <c r="F799" s="2" t="str">
        <f>"M_CEP_SUS_CIHA"</f>
        <v>M_CEP_SUS_CIHA</v>
      </c>
      <c r="G799" s="2" t="str">
        <f>"Faturamento / Comunicação de Inf. Hosp. e Amb. (CIHA) / Tabelas / Geral / CEP SUS (M_CEP_SUS_CIHA)"</f>
        <v>Faturamento / Comunicação de Inf. Hosp. e Amb. (CIHA) / Tabelas / Geral / CEP SUS (M_CEP_SUS_CIHA)</v>
      </c>
    </row>
    <row r="800" spans="1:7" x14ac:dyDescent="0.3">
      <c r="A800" s="1" t="s">
        <v>4</v>
      </c>
      <c r="B800" s="2" t="str">
        <f t="shared" si="81"/>
        <v>COMUNICAÇÃO DE INFORMAÇÃO HOSP. E AMB.</v>
      </c>
      <c r="C800" s="2" t="str">
        <f t="shared" si="82"/>
        <v>FATUR-SUS</v>
      </c>
      <c r="D800" s="2" t="str">
        <f t="shared" si="83"/>
        <v>CIHA</v>
      </c>
      <c r="E800" s="2" t="str">
        <f>"CONSULTA TAB. DE MOTIVOS SUS NA CIHA"</f>
        <v>CONSULTA TAB. DE MOTIVOS SUS NA CIHA</v>
      </c>
      <c r="F800" s="2" t="str">
        <f>"M_MOT_COB_CIHA"</f>
        <v>M_MOT_COB_CIHA</v>
      </c>
      <c r="G800" s="2" t="str">
        <f>"Faturamento / Comunicação de Inf. Hosp. e Amb. (CIHA) / Tabelas / Geral / Motivo de Cobrança SUS (M_MOT_COB_CIHA)"</f>
        <v>Faturamento / Comunicação de Inf. Hosp. e Amb. (CIHA) / Tabelas / Geral / Motivo de Cobrança SUS (M_MOT_COB_CIHA)</v>
      </c>
    </row>
    <row r="801" spans="1:7" x14ac:dyDescent="0.3">
      <c r="A801" s="1" t="s">
        <v>4</v>
      </c>
      <c r="B801" s="2" t="str">
        <f t="shared" si="81"/>
        <v>COMUNICAÇÃO DE INFORMAÇÃO HOSP. E AMB.</v>
      </c>
      <c r="C801" s="2" t="str">
        <f t="shared" si="82"/>
        <v>FATUR-SUS</v>
      </c>
      <c r="D801" s="2" t="str">
        <f t="shared" si="83"/>
        <v>CIHA</v>
      </c>
      <c r="E801" s="2" t="str">
        <f>"CONSULTA TAB. CID NA CIHA"</f>
        <v>CONSULTA TAB. CID NA CIHA</v>
      </c>
      <c r="F801" s="2" t="str">
        <f>"M_CID_CIHA"</f>
        <v>M_CID_CIHA</v>
      </c>
      <c r="G801" s="2" t="str">
        <f>"Faturamento / Comunicação de Inf. Hosp. e Amb. (CIHA) / Tabelas / Geral / Tabela de CID (M_CID_CIHA)"</f>
        <v>Faturamento / Comunicação de Inf. Hosp. e Amb. (CIHA) / Tabelas / Geral / Tabela de CID (M_CID_CIHA)</v>
      </c>
    </row>
    <row r="802" spans="1:7" x14ac:dyDescent="0.3">
      <c r="A802" s="1" t="s">
        <v>4</v>
      </c>
      <c r="B802" s="2" t="str">
        <f t="shared" si="81"/>
        <v>COMUNICAÇÃO DE INFORMAÇÃO HOSP. E AMB.</v>
      </c>
      <c r="C802" s="2" t="str">
        <f t="shared" si="82"/>
        <v>FATUR-SUS</v>
      </c>
      <c r="D802" s="2" t="str">
        <f t="shared" si="83"/>
        <v>CIHA</v>
      </c>
      <c r="E802" s="2" t="str">
        <f>"RELAC. PROCED. SUS X CONVÊNIO"</f>
        <v>RELAC. PROCED. SUS X CONVÊNIO</v>
      </c>
      <c r="F802" s="2" t="str">
        <f>"M_SUS_PRO_FAT_CIHA"</f>
        <v>M_SUS_PRO_FAT_CIHA</v>
      </c>
      <c r="G802" s="2" t="str">
        <f>"Faturamento / Comunicação de Inf. Hosp. e Amb. (CIHA) / Tabelas / Procedimento SUS x Convênio (M_SUS_PRO_FAT_CIHA)"</f>
        <v>Faturamento / Comunicação de Inf. Hosp. e Amb. (CIHA) / Tabelas / Procedimento SUS x Convênio (M_SUS_PRO_FAT_CIHA)</v>
      </c>
    </row>
    <row r="803" spans="1:7" x14ac:dyDescent="0.3">
      <c r="A803" s="1" t="s">
        <v>4</v>
      </c>
      <c r="B803" s="2" t="str">
        <f t="shared" si="81"/>
        <v>COMUNICAÇÃO DE INFORMAÇÃO HOSP. E AMB.</v>
      </c>
      <c r="C803" s="2" t="str">
        <f t="shared" si="82"/>
        <v>FATUR-SUS</v>
      </c>
      <c r="D803" s="2" t="str">
        <f t="shared" si="83"/>
        <v>CIHA</v>
      </c>
      <c r="E803" s="2" t="str">
        <f>"CADASTRO PROCED. SUS NA CIHA"</f>
        <v>CADASTRO PROCED. SUS NA CIHA</v>
      </c>
      <c r="F803" s="2" t="str">
        <f>"M_PROC_SUS_CIHA"</f>
        <v>M_PROC_SUS_CIHA</v>
      </c>
      <c r="G803" s="2" t="str">
        <f>"Faturamento / Comunicação de Inf. Hosp. e Amb. (CIHA) / Tabelas / Tabela de Procedimentos SUS (M_PROC_SUS_CIHA)"</f>
        <v>Faturamento / Comunicação de Inf. Hosp. e Amb. (CIHA) / Tabelas / Tabela de Procedimentos SUS (M_PROC_SUS_CIHA)</v>
      </c>
    </row>
    <row r="804" spans="1:7" x14ac:dyDescent="0.3">
      <c r="A804" s="1" t="s">
        <v>4</v>
      </c>
      <c r="B804" s="2" t="str">
        <f t="shared" si="81"/>
        <v>COMUNICAÇÃO DE INFORMAÇÃO HOSP. E AMB.</v>
      </c>
      <c r="C804" s="2" t="str">
        <f t="shared" si="82"/>
        <v>FATUR-SUS</v>
      </c>
      <c r="D804" s="2" t="str">
        <f t="shared" si="83"/>
        <v>CIHA</v>
      </c>
      <c r="E804" s="2" t="str">
        <f>"CONTROLE PERÍODO GERAÇÃO CIHA"</f>
        <v>CONTROLE PERÍODO GERAÇÃO CIHA</v>
      </c>
      <c r="F804" s="2" t="str">
        <f>"M_CONTROLE_PERIODO_CIHA"</f>
        <v>M_CONTROLE_PERIODO_CIHA</v>
      </c>
      <c r="G804" s="2" t="str">
        <f>"Faturamento / Comunicação de Inf. Hosp. e Amb. (CIHA) / Geração / Controle de Período (M_CONTROLE_PERIODO_CIHA)"</f>
        <v>Faturamento / Comunicação de Inf. Hosp. e Amb. (CIHA) / Geração / Controle de Período (M_CONTROLE_PERIODO_CIHA)</v>
      </c>
    </row>
    <row r="805" spans="1:7" x14ac:dyDescent="0.3">
      <c r="A805" s="1" t="s">
        <v>4</v>
      </c>
      <c r="B805" s="2" t="str">
        <f t="shared" ref="B805:B841" si="84">"CONTROLE DE COTAS"</f>
        <v>CONTROLE DE COTAS</v>
      </c>
      <c r="C805" s="2" t="str">
        <f t="shared" ref="C805:C841" si="85">"FINAN"</f>
        <v>FINAN</v>
      </c>
      <c r="D805" s="2" t="str">
        <f t="shared" ref="D805:D841" si="86">"COTA"</f>
        <v>COTA</v>
      </c>
      <c r="E805" s="2" t="str">
        <f>"RELATÓRIO DE COTA"</f>
        <v>RELATÓRIO DE COTA</v>
      </c>
      <c r="F805" s="2" t="str">
        <f>"R_COTA.RDF"</f>
        <v>R_COTA.RDF</v>
      </c>
      <c r="G805" s="2" t="str">
        <f>" ()"</f>
        <v xml:space="preserve"> ()</v>
      </c>
    </row>
    <row r="806" spans="1:7" x14ac:dyDescent="0.3">
      <c r="A806" s="1" t="s">
        <v>4</v>
      </c>
      <c r="B806" s="2" t="str">
        <f t="shared" si="84"/>
        <v>CONTROLE DE COTAS</v>
      </c>
      <c r="C806" s="2" t="str">
        <f t="shared" si="85"/>
        <v>FINAN</v>
      </c>
      <c r="D806" s="2" t="str">
        <f t="shared" si="86"/>
        <v>COTA</v>
      </c>
      <c r="E806" s="2" t="str">
        <f>"SITUAÇÃO DA COTA NA COMPETÊNCIA"</f>
        <v>SITUAÇÃO DA COTA NA COMPETÊNCIA</v>
      </c>
      <c r="F806" s="2" t="str">
        <f>"R_COTA_COMPETENCIA"</f>
        <v>R_COTA_COMPETENCIA</v>
      </c>
      <c r="G806" s="2" t="str">
        <f>"Controladoria / Controle de Cotas / Relatórios / Movimentação (R_COTA_COMPETENCIA)"</f>
        <v>Controladoria / Controle de Cotas / Relatórios / Movimentação (R_COTA_COMPETENCIA)</v>
      </c>
    </row>
    <row r="807" spans="1:7" x14ac:dyDescent="0.3">
      <c r="A807" s="1" t="s">
        <v>4</v>
      </c>
      <c r="B807" s="2" t="str">
        <f t="shared" si="84"/>
        <v>CONTROLE DE COTAS</v>
      </c>
      <c r="C807" s="2" t="str">
        <f t="shared" si="85"/>
        <v>FINAN</v>
      </c>
      <c r="D807" s="2" t="str">
        <f t="shared" si="86"/>
        <v>COTA</v>
      </c>
      <c r="E807" s="2" t="str">
        <f>"RELATÓRIO DE TRANSFERÊNCIA ENTRE COTAS"</f>
        <v>RELATÓRIO DE TRANSFERÊNCIA ENTRE COTAS</v>
      </c>
      <c r="F807" s="2" t="str">
        <f>"R_TRANSFERENCIA"</f>
        <v>R_TRANSFERENCIA</v>
      </c>
      <c r="G807" s="2" t="str">
        <f>"Controladoria / Controle de Cotas / Relatórios / Transferência (R_TRANSFERENCIA)"</f>
        <v>Controladoria / Controle de Cotas / Relatórios / Transferência (R_TRANSFERENCIA)</v>
      </c>
    </row>
    <row r="808" spans="1:7" x14ac:dyDescent="0.3">
      <c r="A808" s="1" t="s">
        <v>4</v>
      </c>
      <c r="B808" s="2" t="str">
        <f t="shared" si="84"/>
        <v>CONTROLE DE COTAS</v>
      </c>
      <c r="C808" s="2" t="str">
        <f t="shared" si="85"/>
        <v>FINAN</v>
      </c>
      <c r="D808" s="2" t="str">
        <f t="shared" si="86"/>
        <v>COTA</v>
      </c>
      <c r="E808" s="2" t="str">
        <f>"CONSULTA DE COTAS/COMPETÊNCIA"</f>
        <v>CONSULTA DE COTAS/COMPETÊNCIA</v>
      </c>
      <c r="F808" s="2" t="str">
        <f>"C_COTA_RESP"</f>
        <v>C_COTA_RESP</v>
      </c>
      <c r="G808" s="2" t="str">
        <f>"Controladoria / Controle de Cotas / Consultas / Cotas / Renponsável (C_COTA_RESP)"</f>
        <v>Controladoria / Controle de Cotas / Consultas / Cotas / Renponsável (C_COTA_RESP)</v>
      </c>
    </row>
    <row r="809" spans="1:7" x14ac:dyDescent="0.3">
      <c r="A809" s="1" t="s">
        <v>4</v>
      </c>
      <c r="B809" s="2" t="str">
        <f t="shared" si="84"/>
        <v>CONTROLE DE COTAS</v>
      </c>
      <c r="C809" s="2" t="str">
        <f t="shared" si="85"/>
        <v>FINAN</v>
      </c>
      <c r="D809" s="2" t="str">
        <f t="shared" si="86"/>
        <v>COTA</v>
      </c>
      <c r="E809" s="2" t="str">
        <f>"CONSULTA DE COTAS/COMPETÊNCIA"</f>
        <v>CONSULTA DE COTAS/COMPETÊNCIA</v>
      </c>
      <c r="F809" s="2" t="str">
        <f>"C_COTA_RESP"</f>
        <v>C_COTA_RESP</v>
      </c>
      <c r="G809" s="2" t="str">
        <f>"Materiais e Logística / Patrimônio / Consultas / Cotas / Responsável (C_COTA_RESP)"</f>
        <v>Materiais e Logística / Patrimônio / Consultas / Cotas / Responsável (C_COTA_RESP)</v>
      </c>
    </row>
    <row r="810" spans="1:7" x14ac:dyDescent="0.3">
      <c r="A810" s="1" t="s">
        <v>4</v>
      </c>
      <c r="B810" s="2" t="str">
        <f t="shared" si="84"/>
        <v>CONTROLE DE COTAS</v>
      </c>
      <c r="C810" s="2" t="str">
        <f t="shared" si="85"/>
        <v>FINAN</v>
      </c>
      <c r="D810" s="2" t="str">
        <f t="shared" si="86"/>
        <v>COTA</v>
      </c>
      <c r="E810" s="2" t="str">
        <f>"CONSULTA DE COTAS/COMPETÊNCIA"</f>
        <v>CONSULTA DE COTAS/COMPETÊNCIA</v>
      </c>
      <c r="F810" s="2" t="str">
        <f>"C_COTA_RESP"</f>
        <v>C_COTA_RESP</v>
      </c>
      <c r="G810" s="2" t="str">
        <f>"Serviços de Apoio / Manutenção / Consultas / Cotas / Responsável (C_COTA_RESP)"</f>
        <v>Serviços de Apoio / Manutenção / Consultas / Cotas / Responsável (C_COTA_RESP)</v>
      </c>
    </row>
    <row r="811" spans="1:7" x14ac:dyDescent="0.3">
      <c r="A811" s="1" t="s">
        <v>4</v>
      </c>
      <c r="B811" s="2" t="str">
        <f t="shared" si="84"/>
        <v>CONTROLE DE COTAS</v>
      </c>
      <c r="C811" s="2" t="str">
        <f t="shared" si="85"/>
        <v>FINAN</v>
      </c>
      <c r="D811" s="2" t="str">
        <f t="shared" si="86"/>
        <v>COTA</v>
      </c>
      <c r="E811" s="2" t="str">
        <f>"CONSULTA DE COTAS/COMPETÊNCIA"</f>
        <v>CONSULTA DE COTAS/COMPETÊNCIA</v>
      </c>
      <c r="F811" s="2" t="str">
        <f>"C_COTA_RESP"</f>
        <v>C_COTA_RESP</v>
      </c>
      <c r="G811" s="2" t="str">
        <f>"Controladoria / Custos / Consultas / Cotas / Responsável (C_COTA_RESP)"</f>
        <v>Controladoria / Custos / Consultas / Cotas / Responsável (C_COTA_RESP)</v>
      </c>
    </row>
    <row r="812" spans="1:7" x14ac:dyDescent="0.3">
      <c r="A812" s="1" t="s">
        <v>4</v>
      </c>
      <c r="B812" s="2" t="str">
        <f t="shared" si="84"/>
        <v>CONTROLE DE COTAS</v>
      </c>
      <c r="C812" s="2" t="str">
        <f t="shared" si="85"/>
        <v>FINAN</v>
      </c>
      <c r="D812" s="2" t="str">
        <f t="shared" si="86"/>
        <v>COTA</v>
      </c>
      <c r="E812" s="2" t="str">
        <f>"PROJECAO DE COTAS"</f>
        <v>PROJECAO DE COTAS</v>
      </c>
      <c r="F812" s="2" t="str">
        <f>"R_COTA"</f>
        <v>R_COTA</v>
      </c>
      <c r="G812" s="2" t="str">
        <f>"Controladoria / Controle de Cotas / Relatórios / Tabelas / Cota (R_COTA)"</f>
        <v>Controladoria / Controle de Cotas / Relatórios / Tabelas / Cota (R_COTA)</v>
      </c>
    </row>
    <row r="813" spans="1:7" x14ac:dyDescent="0.3">
      <c r="A813" s="1" t="s">
        <v>4</v>
      </c>
      <c r="B813" s="2" t="str">
        <f t="shared" si="84"/>
        <v>CONTROLE DE COTAS</v>
      </c>
      <c r="C813" s="2" t="str">
        <f t="shared" si="85"/>
        <v>FINAN</v>
      </c>
      <c r="D813" s="2" t="str">
        <f t="shared" si="86"/>
        <v>COTA</v>
      </c>
      <c r="E813" s="2" t="str">
        <f>"PERSONALIZADOS COTA"</f>
        <v>PERSONALIZADOS COTA</v>
      </c>
      <c r="F813" s="2" t="str">
        <f>"R_PERSON_COTA"</f>
        <v>R_PERSON_COTA</v>
      </c>
      <c r="G813" s="2" t="str">
        <f>"Controladoria / Controle de Cotas / Relatórios / Personalizados (R_PERSON_COTA)"</f>
        <v>Controladoria / Controle de Cotas / Relatórios / Personalizados (R_PERSON_COTA)</v>
      </c>
    </row>
    <row r="814" spans="1:7" x14ac:dyDescent="0.3">
      <c r="A814" s="1" t="s">
        <v>4</v>
      </c>
      <c r="B814" s="2" t="str">
        <f t="shared" si="84"/>
        <v>CONTROLE DE COTAS</v>
      </c>
      <c r="C814" s="2" t="str">
        <f t="shared" si="85"/>
        <v>FINAN</v>
      </c>
      <c r="D814" s="2" t="str">
        <f t="shared" si="86"/>
        <v>COTA</v>
      </c>
      <c r="E814" s="2" t="str">
        <f>"TRG_ORD_DUPL_COTA"</f>
        <v>TRG_ORD_DUPL_COTA</v>
      </c>
      <c r="F814" s="2" t="str">
        <f>"TRG_ORD_DUPL_COTA"</f>
        <v>TRG_ORD_DUPL_COTA</v>
      </c>
      <c r="G814" s="2" t="str">
        <f>" ()"</f>
        <v xml:space="preserve"> ()</v>
      </c>
    </row>
    <row r="815" spans="1:7" x14ac:dyDescent="0.3">
      <c r="A815" s="1" t="s">
        <v>4</v>
      </c>
      <c r="B815" s="2" t="str">
        <f t="shared" si="84"/>
        <v>CONTROLE DE COTAS</v>
      </c>
      <c r="C815" s="2" t="str">
        <f t="shared" si="85"/>
        <v>FINAN</v>
      </c>
      <c r="D815" s="2" t="str">
        <f t="shared" si="86"/>
        <v>COTA</v>
      </c>
      <c r="E815" s="2" t="str">
        <f>"TRG_ITMVTO_COTA_COMPETENCIA"</f>
        <v>TRG_ITMVTO_COTA_COMPETENCIA</v>
      </c>
      <c r="F815" s="2" t="str">
        <f>"TRG_ITMVTO_COTA_COMPETENCIA"</f>
        <v>TRG_ITMVTO_COTA_COMPETENCIA</v>
      </c>
      <c r="G815" s="2" t="str">
        <f>" ()"</f>
        <v xml:space="preserve"> ()</v>
      </c>
    </row>
    <row r="816" spans="1:7" x14ac:dyDescent="0.3">
      <c r="A816" s="1" t="s">
        <v>4</v>
      </c>
      <c r="B816" s="2" t="str">
        <f t="shared" si="84"/>
        <v>CONTROLE DE COTAS</v>
      </c>
      <c r="C816" s="2" t="str">
        <f t="shared" si="85"/>
        <v>FINAN</v>
      </c>
      <c r="D816" s="2" t="str">
        <f t="shared" si="86"/>
        <v>COTA</v>
      </c>
      <c r="E816" s="2" t="str">
        <f>"TRG_ITCON_PAG_COTA"</f>
        <v>TRG_ITCON_PAG_COTA</v>
      </c>
      <c r="F816" s="2" t="str">
        <f>"TRG_ITCON_PAG_COTA"</f>
        <v>TRG_ITCON_PAG_COTA</v>
      </c>
      <c r="G816" s="2" t="str">
        <f>" ()"</f>
        <v xml:space="preserve"> ()</v>
      </c>
    </row>
    <row r="817" spans="1:7" x14ac:dyDescent="0.3">
      <c r="A817" s="1" t="s">
        <v>4</v>
      </c>
      <c r="B817" s="2" t="str">
        <f t="shared" si="84"/>
        <v>CONTROLE DE COTAS</v>
      </c>
      <c r="C817" s="2" t="str">
        <f t="shared" si="85"/>
        <v>FINAN</v>
      </c>
      <c r="D817" s="2" t="str">
        <f t="shared" si="86"/>
        <v>COTA</v>
      </c>
      <c r="E817" s="2" t="str">
        <f>"CADASTRO DE COTAS"</f>
        <v>CADASTRO DE COTAS</v>
      </c>
      <c r="F817" s="2" t="str">
        <f>"M_CAD_COTA"</f>
        <v>M_CAD_COTA</v>
      </c>
      <c r="G817" s="2" t="str">
        <f>"Controladoria / Controle de Cotas / Cotas / Cadastro (M_CAD_COTA)"</f>
        <v>Controladoria / Controle de Cotas / Cotas / Cadastro (M_CAD_COTA)</v>
      </c>
    </row>
    <row r="818" spans="1:7" x14ac:dyDescent="0.3">
      <c r="A818" s="1" t="s">
        <v>4</v>
      </c>
      <c r="B818" s="2" t="str">
        <f t="shared" si="84"/>
        <v>CONTROLE DE COTAS</v>
      </c>
      <c r="C818" s="2" t="str">
        <f t="shared" si="85"/>
        <v>FINAN</v>
      </c>
      <c r="D818" s="2" t="str">
        <f t="shared" si="86"/>
        <v>COTA</v>
      </c>
      <c r="E818" s="2" t="str">
        <f>"CONSULTA DE COTAS/COMPETÊNCIA"</f>
        <v>CONSULTA DE COTAS/COMPETÊNCIA</v>
      </c>
      <c r="F818" s="2" t="str">
        <f>"C_COTA"</f>
        <v>C_COTA</v>
      </c>
      <c r="G818" s="2" t="str">
        <f>"Controladoria / Controle de Cotas / Consultas / Cotas / Competência (C_COTA)"</f>
        <v>Controladoria / Controle de Cotas / Consultas / Cotas / Competência (C_COTA)</v>
      </c>
    </row>
    <row r="819" spans="1:7" x14ac:dyDescent="0.3">
      <c r="A819" s="1" t="s">
        <v>4</v>
      </c>
      <c r="B819" s="2" t="str">
        <f t="shared" si="84"/>
        <v>CONTROLE DE COTAS</v>
      </c>
      <c r="C819" s="2" t="str">
        <f t="shared" si="85"/>
        <v>FINAN</v>
      </c>
      <c r="D819" s="2" t="str">
        <f t="shared" si="86"/>
        <v>COTA</v>
      </c>
      <c r="E819" s="2" t="str">
        <f>"CONSULTA DE COTAS/COMPETÊNCIA"</f>
        <v>CONSULTA DE COTAS/COMPETÊNCIA</v>
      </c>
      <c r="F819" s="2" t="str">
        <f>"C_COTA"</f>
        <v>C_COTA</v>
      </c>
      <c r="G819" s="2" t="str">
        <f>"Materiais e Logística / Patrimônio / Consultas / Cotas / Competência (C_COTA)"</f>
        <v>Materiais e Logística / Patrimônio / Consultas / Cotas / Competência (C_COTA)</v>
      </c>
    </row>
    <row r="820" spans="1:7" x14ac:dyDescent="0.3">
      <c r="A820" s="1" t="s">
        <v>4</v>
      </c>
      <c r="B820" s="2" t="str">
        <f t="shared" si="84"/>
        <v>CONTROLE DE COTAS</v>
      </c>
      <c r="C820" s="2" t="str">
        <f t="shared" si="85"/>
        <v>FINAN</v>
      </c>
      <c r="D820" s="2" t="str">
        <f t="shared" si="86"/>
        <v>COTA</v>
      </c>
      <c r="E820" s="2" t="str">
        <f>"CONSULTA DE COTAS/COMPETÊNCIA"</f>
        <v>CONSULTA DE COTAS/COMPETÊNCIA</v>
      </c>
      <c r="F820" s="2" t="str">
        <f>"C_COTA"</f>
        <v>C_COTA</v>
      </c>
      <c r="G820" s="2" t="str">
        <f>"Serviços de Apoio / Manutenção / Consultas / Cotas / Competência (C_COTA)"</f>
        <v>Serviços de Apoio / Manutenção / Consultas / Cotas / Competência (C_COTA)</v>
      </c>
    </row>
    <row r="821" spans="1:7" x14ac:dyDescent="0.3">
      <c r="A821" s="1" t="s">
        <v>4</v>
      </c>
      <c r="B821" s="2" t="str">
        <f t="shared" si="84"/>
        <v>CONTROLE DE COTAS</v>
      </c>
      <c r="C821" s="2" t="str">
        <f t="shared" si="85"/>
        <v>FINAN</v>
      </c>
      <c r="D821" s="2" t="str">
        <f t="shared" si="86"/>
        <v>COTA</v>
      </c>
      <c r="E821" s="2" t="str">
        <f>"CONSULTA DE COTAS/COMPETÊNCIA"</f>
        <v>CONSULTA DE COTAS/COMPETÊNCIA</v>
      </c>
      <c r="F821" s="2" t="str">
        <f>"C_COTA"</f>
        <v>C_COTA</v>
      </c>
      <c r="G821" s="2" t="str">
        <f>"Controladoria / Custos / Consultas / Cotas / Competência (C_COTA)"</f>
        <v>Controladoria / Custos / Consultas / Cotas / Competência (C_COTA)</v>
      </c>
    </row>
    <row r="822" spans="1:7" x14ac:dyDescent="0.3">
      <c r="A822" s="1" t="s">
        <v>4</v>
      </c>
      <c r="B822" s="2" t="str">
        <f t="shared" si="84"/>
        <v>CONTROLE DE COTAS</v>
      </c>
      <c r="C822" s="2" t="str">
        <f t="shared" si="85"/>
        <v>FINAN</v>
      </c>
      <c r="D822" s="2" t="str">
        <f t="shared" si="86"/>
        <v>COTA</v>
      </c>
      <c r="E822" s="2" t="str">
        <f>"RELATÓRIO DE COTAS/CONTAS DE CUSTO "</f>
        <v xml:space="preserve">RELATÓRIO DE COTAS/CONTAS DE CUSTO </v>
      </c>
      <c r="F822" s="2" t="str">
        <f>"R_COTA_ITEM"</f>
        <v>R_COTA_ITEM</v>
      </c>
      <c r="G822" s="2" t="str">
        <f>"Controladoria / Controle de Cotas / Relatórios / Cota/Contas de Custo (R_COTA_ITEM)"</f>
        <v>Controladoria / Controle de Cotas / Relatórios / Cota/Contas de Custo (R_COTA_ITEM)</v>
      </c>
    </row>
    <row r="823" spans="1:7" x14ac:dyDescent="0.3">
      <c r="A823" s="1" t="s">
        <v>4</v>
      </c>
      <c r="B823" s="2" t="str">
        <f t="shared" si="84"/>
        <v>CONTROLE DE COTAS</v>
      </c>
      <c r="C823" s="2" t="str">
        <f t="shared" si="85"/>
        <v>FINAN</v>
      </c>
      <c r="D823" s="2" t="str">
        <f t="shared" si="86"/>
        <v>COTA</v>
      </c>
      <c r="E823" s="2" t="str">
        <f>"SITUAÇÃO DA COTA NA COMPETÊNCIA"</f>
        <v>SITUAÇÃO DA COTA NA COMPETÊNCIA</v>
      </c>
      <c r="F823" s="2" t="str">
        <f>"R_COTA_COMPETENCIA_FORNEC"</f>
        <v>R_COTA_COMPETENCIA_FORNEC</v>
      </c>
      <c r="G823" s="2" t="str">
        <f>"Controladoria / Controle de Cotas / Relatórios / Movimentação por Fornecedor (R_COTA_COMPETENCIA_FORNEC)"</f>
        <v>Controladoria / Controle de Cotas / Relatórios / Movimentação por Fornecedor (R_COTA_COMPETENCIA_FORNEC)</v>
      </c>
    </row>
    <row r="824" spans="1:7" x14ac:dyDescent="0.3">
      <c r="A824" s="1" t="s">
        <v>4</v>
      </c>
      <c r="B824" s="2" t="str">
        <f t="shared" si="84"/>
        <v>CONTROLE DE COTAS</v>
      </c>
      <c r="C824" s="2" t="str">
        <f t="shared" si="85"/>
        <v>FINAN</v>
      </c>
      <c r="D824" s="2" t="str">
        <f t="shared" si="86"/>
        <v>COTA</v>
      </c>
      <c r="E824" s="2" t="str">
        <f>"R_COTA_COMPETENCIA_VENCTO"</f>
        <v>R_COTA_COMPETENCIA_VENCTO</v>
      </c>
      <c r="F824" s="2" t="str">
        <f>"R_COTA_COMPETENCIA_VENCTO"</f>
        <v>R_COTA_COMPETENCIA_VENCTO</v>
      </c>
      <c r="G824" s="2" t="str">
        <f>" ()"</f>
        <v xml:space="preserve"> ()</v>
      </c>
    </row>
    <row r="825" spans="1:7" x14ac:dyDescent="0.3">
      <c r="A825" s="1" t="s">
        <v>4</v>
      </c>
      <c r="B825" s="2" t="str">
        <f t="shared" si="84"/>
        <v>CONTROLE DE COTAS</v>
      </c>
      <c r="C825" s="2" t="str">
        <f t="shared" si="85"/>
        <v>FINAN</v>
      </c>
      <c r="D825" s="2" t="str">
        <f t="shared" si="86"/>
        <v>COTA</v>
      </c>
      <c r="E825" s="2" t="str">
        <f>"GERAÇÃO DE COMPETÊNCIAS"</f>
        <v>GERAÇÃO DE COMPETÊNCIAS</v>
      </c>
      <c r="F825" s="2" t="str">
        <f>"M_GERA_COMPETENCIA"</f>
        <v>M_GERA_COMPETENCIA</v>
      </c>
      <c r="G825" s="2" t="str">
        <f>"Controladoria / Controle de Cotas / Cotas / Competência / Geração (M_GERA_COMPETENCIA)"</f>
        <v>Controladoria / Controle de Cotas / Cotas / Competência / Geração (M_GERA_COMPETENCIA)</v>
      </c>
    </row>
    <row r="826" spans="1:7" x14ac:dyDescent="0.3">
      <c r="A826" s="1" t="s">
        <v>4</v>
      </c>
      <c r="B826" s="2" t="str">
        <f t="shared" si="84"/>
        <v>CONTROLE DE COTAS</v>
      </c>
      <c r="C826" s="2" t="str">
        <f t="shared" si="85"/>
        <v>FINAN</v>
      </c>
      <c r="D826" s="2" t="str">
        <f t="shared" si="86"/>
        <v>COTA</v>
      </c>
      <c r="E826" s="2" t="str">
        <f>"CADASTRO DE COMPETÊNCIA DAS COTAS"</f>
        <v>CADASTRO DE COMPETÊNCIA DAS COTAS</v>
      </c>
      <c r="F826" s="2" t="str">
        <f>"M_COTA_COMPETENCIA"</f>
        <v>M_COTA_COMPETENCIA</v>
      </c>
      <c r="G826" s="2" t="str">
        <f>"Controladoria / Controle de Cotas / Cotas / Competência / Cadastro (M_COTA_COMPETENCIA)"</f>
        <v>Controladoria / Controle de Cotas / Cotas / Competência / Cadastro (M_COTA_COMPETENCIA)</v>
      </c>
    </row>
    <row r="827" spans="1:7" x14ac:dyDescent="0.3">
      <c r="A827" s="1" t="s">
        <v>4</v>
      </c>
      <c r="B827" s="2" t="str">
        <f t="shared" si="84"/>
        <v>CONTROLE DE COTAS</v>
      </c>
      <c r="C827" s="2" t="str">
        <f t="shared" si="85"/>
        <v>FINAN</v>
      </c>
      <c r="D827" s="2" t="str">
        <f t="shared" si="86"/>
        <v>COTA</v>
      </c>
      <c r="E827" s="2" t="str">
        <f>"M_COMPAG_RES"</f>
        <v>M_COMPAG_RES</v>
      </c>
      <c r="F827" s="2" t="str">
        <f>"M_COMPAG_RES"</f>
        <v>M_COMPAG_RES</v>
      </c>
      <c r="G827" s="2" t="str">
        <f>" ()"</f>
        <v xml:space="preserve"> ()</v>
      </c>
    </row>
    <row r="828" spans="1:7" x14ac:dyDescent="0.3">
      <c r="A828" s="1" t="s">
        <v>4</v>
      </c>
      <c r="B828" s="2" t="str">
        <f t="shared" si="84"/>
        <v>CONTROLE DE COTAS</v>
      </c>
      <c r="C828" s="2" t="str">
        <f t="shared" si="85"/>
        <v>FINAN</v>
      </c>
      <c r="D828" s="2" t="str">
        <f t="shared" si="86"/>
        <v>COTA</v>
      </c>
      <c r="E828" s="2" t="str">
        <f>"TRANSFERÊNCIA ENTRE COTAS/COMPETÊNCIA"</f>
        <v>TRANSFERÊNCIA ENTRE COTAS/COMPETÊNCIA</v>
      </c>
      <c r="F828" s="2" t="str">
        <f>"M_TRACOMPET"</f>
        <v>M_TRACOMPET</v>
      </c>
      <c r="G828" s="2" t="str">
        <f>"Controladoria / Controle de Cotas / Cotas / Competência / Transferencia (M_TRACOMPET)"</f>
        <v>Controladoria / Controle de Cotas / Cotas / Competência / Transferencia (M_TRACOMPET)</v>
      </c>
    </row>
    <row r="829" spans="1:7" x14ac:dyDescent="0.3">
      <c r="A829" s="1" t="s">
        <v>4</v>
      </c>
      <c r="B829" s="2" t="str">
        <f t="shared" si="84"/>
        <v>CONTROLE DE COTAS</v>
      </c>
      <c r="C829" s="2" t="str">
        <f t="shared" si="85"/>
        <v>FINAN</v>
      </c>
      <c r="D829" s="2" t="str">
        <f t="shared" si="86"/>
        <v>COTA</v>
      </c>
      <c r="E829" s="2" t="str">
        <f>"R_COTA_COMPETENCIA_ANA"</f>
        <v>R_COTA_COMPETENCIA_ANA</v>
      </c>
      <c r="F829" s="2" t="str">
        <f>"R_COTA_COMPETENCIA_ANA"</f>
        <v>R_COTA_COMPETENCIA_ANA</v>
      </c>
      <c r="G829" s="2" t="str">
        <f>" ()"</f>
        <v xml:space="preserve"> ()</v>
      </c>
    </row>
    <row r="830" spans="1:7" x14ac:dyDescent="0.3">
      <c r="A830" s="1" t="s">
        <v>4</v>
      </c>
      <c r="B830" s="2" t="str">
        <f t="shared" si="84"/>
        <v>CONTROLE DE COTAS</v>
      </c>
      <c r="C830" s="2" t="str">
        <f t="shared" si="85"/>
        <v>FINAN</v>
      </c>
      <c r="D830" s="2" t="str">
        <f t="shared" si="86"/>
        <v>COTA</v>
      </c>
      <c r="E830" s="2" t="str">
        <f>"AUTORIZAÇÃO DE COTAS"</f>
        <v>AUTORIZAÇÃO DE COTAS</v>
      </c>
      <c r="F830" s="2" t="str">
        <f>"M_COTA_AUTORIZA"</f>
        <v>M_COTA_AUTORIZA</v>
      </c>
      <c r="G830" s="2" t="str">
        <f>"Controladoria / Controle de Cotas / Cotas / Autorização de Cota / Autorização (M_COTA_AUTORIZA)"</f>
        <v>Controladoria / Controle de Cotas / Cotas / Autorização de Cota / Autorização (M_COTA_AUTORIZA)</v>
      </c>
    </row>
    <row r="831" spans="1:7" x14ac:dyDescent="0.3">
      <c r="A831" s="1" t="s">
        <v>4</v>
      </c>
      <c r="B831" s="2" t="str">
        <f t="shared" si="84"/>
        <v>CONTROLE DE COTAS</v>
      </c>
      <c r="C831" s="2" t="str">
        <f t="shared" si="85"/>
        <v>FINAN</v>
      </c>
      <c r="D831" s="2" t="str">
        <f t="shared" si="86"/>
        <v>COTA</v>
      </c>
      <c r="E831" s="2" t="str">
        <f>"CANCELAMENTO DE AUTORIZAÇÃO DE COTAS"</f>
        <v>CANCELAMENTO DE AUTORIZAÇÃO DE COTAS</v>
      </c>
      <c r="F831" s="2" t="str">
        <f>"M_COTA_NAO_AUTORIZA"</f>
        <v>M_COTA_NAO_AUTORIZA</v>
      </c>
      <c r="G831" s="2" t="str">
        <f>"Controladoria / Controle de Cotas / Cotas / Autorização de Cota / Cancelamento (M_COTA_NAO_AUTORIZA)"</f>
        <v>Controladoria / Controle de Cotas / Cotas / Autorização de Cota / Cancelamento (M_COTA_NAO_AUTORIZA)</v>
      </c>
    </row>
    <row r="832" spans="1:7" x14ac:dyDescent="0.3">
      <c r="A832" s="1" t="s">
        <v>4</v>
      </c>
      <c r="B832" s="2" t="str">
        <f t="shared" si="84"/>
        <v>CONTROLE DE COTAS</v>
      </c>
      <c r="C832" s="2" t="str">
        <f t="shared" si="85"/>
        <v>FINAN</v>
      </c>
      <c r="D832" s="2" t="str">
        <f t="shared" si="86"/>
        <v>COTA</v>
      </c>
      <c r="E832" s="2" t="str">
        <f>"AUTORIZAÇÃO DE CONTAS"</f>
        <v>AUTORIZAÇÃO DE CONTAS</v>
      </c>
      <c r="F832" s="2" t="str">
        <f>"M_CONTA_AUTORIZA"</f>
        <v>M_CONTA_AUTORIZA</v>
      </c>
      <c r="G832" s="2" t="str">
        <f>" ()"</f>
        <v xml:space="preserve"> ()</v>
      </c>
    </row>
    <row r="833" spans="1:7" x14ac:dyDescent="0.3">
      <c r="A833" s="1" t="s">
        <v>4</v>
      </c>
      <c r="B833" s="2" t="str">
        <f t="shared" si="84"/>
        <v>CONTROLE DE COTAS</v>
      </c>
      <c r="C833" s="2" t="str">
        <f t="shared" si="85"/>
        <v>FINAN</v>
      </c>
      <c r="D833" s="2" t="str">
        <f t="shared" si="86"/>
        <v>COTA</v>
      </c>
      <c r="E833" s="2" t="str">
        <f>"TRG_DUPLICATA_COTA"</f>
        <v>TRG_DUPLICATA_COTA</v>
      </c>
      <c r="F833" s="2" t="str">
        <f>"TRG_DUPLICATA_COTA"</f>
        <v>TRG_DUPLICATA_COTA</v>
      </c>
      <c r="G833" s="2" t="str">
        <f>" ()"</f>
        <v xml:space="preserve"> ()</v>
      </c>
    </row>
    <row r="834" spans="1:7" x14ac:dyDescent="0.3">
      <c r="A834" s="1" t="s">
        <v>4</v>
      </c>
      <c r="B834" s="2" t="str">
        <f t="shared" si="84"/>
        <v>CONTROLE DE COTAS</v>
      </c>
      <c r="C834" s="2" t="str">
        <f t="shared" si="85"/>
        <v>FINAN</v>
      </c>
      <c r="D834" s="2" t="str">
        <f t="shared" si="86"/>
        <v>COTA</v>
      </c>
      <c r="E834" s="2" t="str">
        <f>"RELATÓRIO ORÇADO X REALIZADO"</f>
        <v>RELATÓRIO ORÇADO X REALIZADO</v>
      </c>
      <c r="F834" s="2" t="str">
        <f>"R_ORC_REALIZ"</f>
        <v>R_ORC_REALIZ</v>
      </c>
      <c r="G834" s="2" t="str">
        <f>"Controladoria / Controle de Cotas / Relatórios / Orçado x Realizado (R_ORC_REALIZ)"</f>
        <v>Controladoria / Controle de Cotas / Relatórios / Orçado x Realizado (R_ORC_REALIZ)</v>
      </c>
    </row>
    <row r="835" spans="1:7" x14ac:dyDescent="0.3">
      <c r="A835" s="1" t="s">
        <v>4</v>
      </c>
      <c r="B835" s="2" t="str">
        <f t="shared" si="84"/>
        <v>CONTROLE DE COTAS</v>
      </c>
      <c r="C835" s="2" t="str">
        <f t="shared" si="85"/>
        <v>FINAN</v>
      </c>
      <c r="D835" s="2" t="str">
        <f t="shared" si="86"/>
        <v>COTA</v>
      </c>
      <c r="E835" s="2" t="str">
        <f>"R_COTA_TRANSFERENCIA"</f>
        <v>R_COTA_TRANSFERENCIA</v>
      </c>
      <c r="F835" s="2" t="str">
        <f>"R_COTA_TRANSFERENCIA"</f>
        <v>R_COTA_TRANSFERENCIA</v>
      </c>
      <c r="G835" s="2" t="str">
        <f t="shared" ref="G835:G851" si="87">" ()"</f>
        <v xml:space="preserve"> ()</v>
      </c>
    </row>
    <row r="836" spans="1:7" x14ac:dyDescent="0.3">
      <c r="A836" s="1" t="s">
        <v>4</v>
      </c>
      <c r="B836" s="2" t="str">
        <f t="shared" si="84"/>
        <v>CONTROLE DE COTAS</v>
      </c>
      <c r="C836" s="2" t="str">
        <f t="shared" si="85"/>
        <v>FINAN</v>
      </c>
      <c r="D836" s="2" t="str">
        <f t="shared" si="86"/>
        <v>COTA</v>
      </c>
      <c r="E836" s="2" t="str">
        <f>"M_COTA"</f>
        <v>M_COTA</v>
      </c>
      <c r="F836" s="2" t="str">
        <f>"M_COTA"</f>
        <v>M_COTA</v>
      </c>
      <c r="G836" s="2" t="str">
        <f t="shared" si="87"/>
        <v xml:space="preserve"> ()</v>
      </c>
    </row>
    <row r="837" spans="1:7" x14ac:dyDescent="0.3">
      <c r="A837" s="1" t="s">
        <v>4</v>
      </c>
      <c r="B837" s="2" t="str">
        <f t="shared" si="84"/>
        <v>CONTROLE DE COTAS</v>
      </c>
      <c r="C837" s="2" t="str">
        <f t="shared" si="85"/>
        <v>FINAN</v>
      </c>
      <c r="D837" s="2" t="str">
        <f t="shared" si="86"/>
        <v>COTA</v>
      </c>
      <c r="E837" s="2" t="str">
        <f>"RELATÓRIO DE COTA/CONTAS DE CUSTO"</f>
        <v>RELATÓRIO DE COTA/CONTAS DE CUSTO</v>
      </c>
      <c r="F837" s="2" t="str">
        <f>"R_COTA_ITEM.RDF"</f>
        <v>R_COTA_ITEM.RDF</v>
      </c>
      <c r="G837" s="2" t="str">
        <f t="shared" si="87"/>
        <v xml:space="preserve"> ()</v>
      </c>
    </row>
    <row r="838" spans="1:7" x14ac:dyDescent="0.3">
      <c r="A838" s="1" t="s">
        <v>4</v>
      </c>
      <c r="B838" s="2" t="str">
        <f t="shared" si="84"/>
        <v>CONTROLE DE COTAS</v>
      </c>
      <c r="C838" s="2" t="str">
        <f t="shared" si="85"/>
        <v>FINAN</v>
      </c>
      <c r="D838" s="2" t="str">
        <f t="shared" si="86"/>
        <v>COTA</v>
      </c>
      <c r="E838" s="2" t="str">
        <f>"RELATÓRIO DE ORÇADO X REALIZADO"</f>
        <v>RELATÓRIO DE ORÇADO X REALIZADO</v>
      </c>
      <c r="F838" s="2" t="str">
        <f>"R_ORC_REALIZ.RDF"</f>
        <v>R_ORC_REALIZ.RDF</v>
      </c>
      <c r="G838" s="2" t="str">
        <f t="shared" si="87"/>
        <v xml:space="preserve"> ()</v>
      </c>
    </row>
    <row r="839" spans="1:7" x14ac:dyDescent="0.3">
      <c r="A839" s="1" t="s">
        <v>4</v>
      </c>
      <c r="B839" s="2" t="str">
        <f t="shared" si="84"/>
        <v>CONTROLE DE COTAS</v>
      </c>
      <c r="C839" s="2" t="str">
        <f t="shared" si="85"/>
        <v>FINAN</v>
      </c>
      <c r="D839" s="2" t="str">
        <f t="shared" si="86"/>
        <v>COTA</v>
      </c>
      <c r="E839" s="2" t="str">
        <f>"RELATÓRIO DE MOVIMENTAÇÃO POR FORNECEDOR"</f>
        <v>RELATÓRIO DE MOVIMENTAÇÃO POR FORNECEDOR</v>
      </c>
      <c r="F839" s="2" t="str">
        <f>"R_COTA_COMPETENCIA_FORNEC.RDF"</f>
        <v>R_COTA_COMPETENCIA_FORNEC.RDF</v>
      </c>
      <c r="G839" s="2" t="str">
        <f t="shared" si="87"/>
        <v xml:space="preserve"> ()</v>
      </c>
    </row>
    <row r="840" spans="1:7" x14ac:dyDescent="0.3">
      <c r="A840" s="1" t="s">
        <v>4</v>
      </c>
      <c r="B840" s="2" t="str">
        <f t="shared" si="84"/>
        <v>CONTROLE DE COTAS</v>
      </c>
      <c r="C840" s="2" t="str">
        <f t="shared" si="85"/>
        <v>FINAN</v>
      </c>
      <c r="D840" s="2" t="str">
        <f t="shared" si="86"/>
        <v>COTA</v>
      </c>
      <c r="E840" s="2" t="str">
        <f>"RELATÓRIO DE MOVIMENTAÇÃO"</f>
        <v>RELATÓRIO DE MOVIMENTAÇÃO</v>
      </c>
      <c r="F840" s="2" t="str">
        <f>"R_COTA_COMPETENCIA_SINT"</f>
        <v>R_COTA_COMPETENCIA_SINT</v>
      </c>
      <c r="G840" s="2" t="str">
        <f t="shared" si="87"/>
        <v xml:space="preserve"> ()</v>
      </c>
    </row>
    <row r="841" spans="1:7" x14ac:dyDescent="0.3">
      <c r="A841" s="1" t="s">
        <v>4</v>
      </c>
      <c r="B841" s="2" t="str">
        <f t="shared" si="84"/>
        <v>CONTROLE DE COTAS</v>
      </c>
      <c r="C841" s="2" t="str">
        <f t="shared" si="85"/>
        <v>FINAN</v>
      </c>
      <c r="D841" s="2" t="str">
        <f t="shared" si="86"/>
        <v>COTA</v>
      </c>
      <c r="E841" s="2" t="str">
        <f>"RELATÓRIO DE TRANSFERÊNCIA"</f>
        <v>RELATÓRIO DE TRANSFERÊNCIA</v>
      </c>
      <c r="F841" s="2" t="str">
        <f>"R_TRANSFERENCIA.RDF"</f>
        <v>R_TRANSFERENCIA.RDF</v>
      </c>
      <c r="G841" s="2" t="str">
        <f t="shared" si="87"/>
        <v xml:space="preserve"> ()</v>
      </c>
    </row>
    <row r="842" spans="1:7" x14ac:dyDescent="0.3">
      <c r="A842" s="1" t="s">
        <v>4</v>
      </c>
      <c r="B842" s="2" t="str">
        <f>"SISTEMA DE CUSTOMIZAÇÕES/EXTENSIBILIDADE"</f>
        <v>SISTEMA DE CUSTOMIZAÇÕES/EXTENSIBILIDADE</v>
      </c>
      <c r="C842" s="2" t="str">
        <f>"EXTENSION"</f>
        <v>EXTENSION</v>
      </c>
      <c r="D842" s="2" t="str">
        <f>"CUSTOM"</f>
        <v>CUSTOM</v>
      </c>
      <c r="E842" s="2" t="str">
        <f>"Módulo de acesso por link"</f>
        <v>Módulo de acesso por link</v>
      </c>
      <c r="F842" s="2" t="str">
        <f>"MV_LINK"</f>
        <v>MV_LINK</v>
      </c>
      <c r="G842" s="2" t="str">
        <f t="shared" si="87"/>
        <v xml:space="preserve"> ()</v>
      </c>
    </row>
    <row r="843" spans="1:7" x14ac:dyDescent="0.3">
      <c r="A843" s="1" t="s">
        <v>4</v>
      </c>
      <c r="B843" s="2" t="str">
        <f>"SISTEMA DE CONTROLE DE EMPENHO"</f>
        <v>SISTEMA DE CONTROLE DE EMPENHO</v>
      </c>
      <c r="C843" s="2" t="str">
        <f>""</f>
        <v/>
      </c>
      <c r="D843" s="2" t="str">
        <f>"EMPE"</f>
        <v>EMPE</v>
      </c>
      <c r="E843" s="2" t="str">
        <f>"R_PROJETO"</f>
        <v>R_PROJETO</v>
      </c>
      <c r="F843" s="2" t="str">
        <f>"R_PROJETO"</f>
        <v>R_PROJETO</v>
      </c>
      <c r="G843" s="2" t="str">
        <f t="shared" si="87"/>
        <v xml:space="preserve"> ()</v>
      </c>
    </row>
    <row r="844" spans="1:7" x14ac:dyDescent="0.3">
      <c r="A844" s="1" t="s">
        <v>4</v>
      </c>
      <c r="B844" s="2" t="str">
        <f>"SISTEMA DE CONTROLE DE EMPENHO"</f>
        <v>SISTEMA DE CONTROLE DE EMPENHO</v>
      </c>
      <c r="C844" s="2" t="str">
        <f>""</f>
        <v/>
      </c>
      <c r="D844" s="2" t="str">
        <f>"EMPE"</f>
        <v>EMPE</v>
      </c>
      <c r="E844" s="2" t="str">
        <f>"M_EMPENHO"</f>
        <v>M_EMPENHO</v>
      </c>
      <c r="F844" s="2" t="str">
        <f>"M_EMPENHO"</f>
        <v>M_EMPENHO</v>
      </c>
      <c r="G844" s="2" t="str">
        <f t="shared" si="87"/>
        <v xml:space="preserve"> ()</v>
      </c>
    </row>
    <row r="845" spans="1:7" x14ac:dyDescent="0.3">
      <c r="A845" s="1" t="s">
        <v>4</v>
      </c>
      <c r="B845" s="2" t="str">
        <f>"SISTEMA DE CONTROLE DE EMPENHO"</f>
        <v>SISTEMA DE CONTROLE DE EMPENHO</v>
      </c>
      <c r="C845" s="2" t="str">
        <f>""</f>
        <v/>
      </c>
      <c r="D845" s="2" t="str">
        <f>"EMPE"</f>
        <v>EMPE</v>
      </c>
      <c r="E845" s="2" t="str">
        <f>"MEMPE"</f>
        <v>MEMPE</v>
      </c>
      <c r="F845" s="2" t="str">
        <f>"MEMPE"</f>
        <v>MEMPE</v>
      </c>
      <c r="G845" s="2" t="str">
        <f t="shared" si="87"/>
        <v xml:space="preserve"> ()</v>
      </c>
    </row>
    <row r="846" spans="1:7" x14ac:dyDescent="0.3">
      <c r="A846" s="1" t="s">
        <v>4</v>
      </c>
      <c r="B846" s="2" t="str">
        <f>"SISTEMA DE CONTROLE DE EMPENHO"</f>
        <v>SISTEMA DE CONTROLE DE EMPENHO</v>
      </c>
      <c r="C846" s="2" t="str">
        <f>""</f>
        <v/>
      </c>
      <c r="D846" s="2" t="str">
        <f>"EMPE"</f>
        <v>EMPE</v>
      </c>
      <c r="E846" s="2" t="str">
        <f>"CADATRO DE UNIDADE ORCAMENTARIA"</f>
        <v>CADATRO DE UNIDADE ORCAMENTARIA</v>
      </c>
      <c r="F846" s="2" t="str">
        <f>"M_UNID_ORCAM"</f>
        <v>M_UNID_ORCAM</v>
      </c>
      <c r="G846" s="2" t="str">
        <f t="shared" si="87"/>
        <v xml:space="preserve"> ()</v>
      </c>
    </row>
    <row r="847" spans="1:7" x14ac:dyDescent="0.3">
      <c r="A847" s="1" t="s">
        <v>4</v>
      </c>
      <c r="B847" s="2" t="str">
        <f>"SISTEMA DE CONTROLE DE EMPENHO"</f>
        <v>SISTEMA DE CONTROLE DE EMPENHO</v>
      </c>
      <c r="C847" s="2" t="str">
        <f>""</f>
        <v/>
      </c>
      <c r="D847" s="2" t="str">
        <f>"EMPE"</f>
        <v>EMPE</v>
      </c>
      <c r="E847" s="2" t="str">
        <f>"CADATROS DE ELEMENTOS"</f>
        <v>CADATROS DE ELEMENTOS</v>
      </c>
      <c r="F847" s="2" t="str">
        <f>"M_ELEMENTOS"</f>
        <v>M_ELEMENTOS</v>
      </c>
      <c r="G847" s="2" t="str">
        <f t="shared" si="87"/>
        <v xml:space="preserve"> ()</v>
      </c>
    </row>
    <row r="848" spans="1:7" x14ac:dyDescent="0.3">
      <c r="A848" s="1" t="s">
        <v>4</v>
      </c>
      <c r="B848" s="2" t="str">
        <f>""</f>
        <v/>
      </c>
      <c r="C848" s="2" t="str">
        <f>""</f>
        <v/>
      </c>
      <c r="D848" s="2" t="str">
        <f>"ESTE"</f>
        <v>ESTE</v>
      </c>
      <c r="E848" s="2" t="str">
        <f>"REL DE CIRURGIAS QUE UTILIZAM CAIXAS CIR"</f>
        <v>REL DE CIRURGIAS QUE UTILIZAM CAIXAS CIR</v>
      </c>
      <c r="F848" s="2" t="str">
        <f>"R_CIRURGIAS_CAIXAS"</f>
        <v>R_CIRURGIAS_CAIXAS</v>
      </c>
      <c r="G848" s="2" t="str">
        <f t="shared" si="87"/>
        <v xml:space="preserve"> ()</v>
      </c>
    </row>
    <row r="849" spans="1:7" x14ac:dyDescent="0.3">
      <c r="A849" s="1" t="s">
        <v>4</v>
      </c>
      <c r="B849" s="2" t="str">
        <f>""</f>
        <v/>
      </c>
      <c r="C849" s="2" t="str">
        <f>""</f>
        <v/>
      </c>
      <c r="D849" s="2" t="str">
        <f>"ESTE"</f>
        <v>ESTE</v>
      </c>
      <c r="E849" s="2" t="str">
        <f>"R_CIR_AGE_COM_PROD"</f>
        <v>R_CIR_AGE_COM_PROD</v>
      </c>
      <c r="F849" s="2" t="str">
        <f>"R_CIR_AGE_COM_PROD"</f>
        <v>R_CIR_AGE_COM_PROD</v>
      </c>
      <c r="G849" s="2" t="str">
        <f t="shared" si="87"/>
        <v xml:space="preserve"> ()</v>
      </c>
    </row>
    <row r="850" spans="1:7" x14ac:dyDescent="0.3">
      <c r="A850" s="1" t="s">
        <v>4</v>
      </c>
      <c r="B850" s="2" t="str">
        <f>""</f>
        <v/>
      </c>
      <c r="C850" s="2" t="str">
        <f>""</f>
        <v/>
      </c>
      <c r="D850" s="2" t="str">
        <f>"ESTE"</f>
        <v>ESTE</v>
      </c>
      <c r="E850" s="2" t="str">
        <f>"ESTE"</f>
        <v>ESTE</v>
      </c>
      <c r="F850" s="2" t="str">
        <f>"ESTE"</f>
        <v>ESTE</v>
      </c>
      <c r="G850" s="2" t="str">
        <f t="shared" si="87"/>
        <v xml:space="preserve"> ()</v>
      </c>
    </row>
    <row r="851" spans="1:7" x14ac:dyDescent="0.3">
      <c r="A851" s="1" t="s">
        <v>4</v>
      </c>
      <c r="B851" s="2" t="str">
        <f t="shared" ref="B851:B914" si="88">"SISTEMA DE CONTROLE CONTABIL"</f>
        <v>SISTEMA DE CONTROLE CONTABIL</v>
      </c>
      <c r="C851" s="2" t="str">
        <f t="shared" ref="C851:C914" si="89">"CONTR"</f>
        <v>CONTR</v>
      </c>
      <c r="D851" s="2" t="str">
        <f t="shared" ref="D851:D914" si="90">"FCCT"</f>
        <v>FCCT</v>
      </c>
      <c r="E851" s="2" t="str">
        <f>"RELATÓRIO DE CONFIGURAÇÃO DO LALUR"</f>
        <v>RELATÓRIO DE CONFIGURAÇÃO DO LALUR</v>
      </c>
      <c r="F851" s="2" t="str">
        <f>"M_CONFIGURACAO_LALUR.RDF"</f>
        <v>M_CONFIGURACAO_LALUR.RDF</v>
      </c>
      <c r="G851" s="2" t="str">
        <f t="shared" si="87"/>
        <v xml:space="preserve"> ()</v>
      </c>
    </row>
    <row r="852" spans="1:7" x14ac:dyDescent="0.3">
      <c r="A852" s="1" t="s">
        <v>4</v>
      </c>
      <c r="B852" s="2" t="str">
        <f t="shared" si="88"/>
        <v>SISTEMA DE CONTROLE CONTABIL</v>
      </c>
      <c r="C852" s="2" t="str">
        <f t="shared" si="89"/>
        <v>CONTR</v>
      </c>
      <c r="D852" s="2" t="str">
        <f t="shared" si="90"/>
        <v>FCCT</v>
      </c>
      <c r="E852" s="2" t="str">
        <f>"Geração SPED Fiscal"</f>
        <v>Geração SPED Fiscal</v>
      </c>
      <c r="F852" s="2" t="str">
        <f>"M_GERA_SPED_FISCAL"</f>
        <v>M_GERA_SPED_FISCAL</v>
      </c>
      <c r="G852" s="2" t="str">
        <f>"Controladoria / Contabilidade / Exportação / SPED Fiscal / Geração SPED Fiscal (M_GERA_SPED_FISCAL)"</f>
        <v>Controladoria / Contabilidade / Exportação / SPED Fiscal / Geração SPED Fiscal (M_GERA_SPED_FISCAL)</v>
      </c>
    </row>
    <row r="853" spans="1:7" x14ac:dyDescent="0.3">
      <c r="A853" s="1" t="s">
        <v>4</v>
      </c>
      <c r="B853" s="2" t="str">
        <f t="shared" si="88"/>
        <v>SISTEMA DE CONTROLE CONTABIL</v>
      </c>
      <c r="C853" s="2" t="str">
        <f t="shared" si="89"/>
        <v>CONTR</v>
      </c>
      <c r="D853" s="2" t="str">
        <f t="shared" si="90"/>
        <v>FCCT</v>
      </c>
      <c r="E853" s="2" t="str">
        <f>"Geração SPED Fiscal"</f>
        <v>Geração SPED Fiscal</v>
      </c>
      <c r="F853" s="2" t="str">
        <f>"M_GERA_SPED_FISCAL"</f>
        <v>M_GERA_SPED_FISCAL</v>
      </c>
      <c r="G853" s="2" t="str">
        <f>"Geração SPED Fiscal (M_GERA_SPED_FISCAL)"</f>
        <v>Geração SPED Fiscal (M_GERA_SPED_FISCAL)</v>
      </c>
    </row>
    <row r="854" spans="1:7" x14ac:dyDescent="0.3">
      <c r="A854" s="1" t="s">
        <v>4</v>
      </c>
      <c r="B854" s="2" t="str">
        <f t="shared" si="88"/>
        <v>SISTEMA DE CONTROLE CONTABIL</v>
      </c>
      <c r="C854" s="2" t="str">
        <f t="shared" si="89"/>
        <v>CONTR</v>
      </c>
      <c r="D854" s="2" t="str">
        <f t="shared" si="90"/>
        <v>FCCT</v>
      </c>
      <c r="E854" s="2" t="str">
        <f>"Cadastro de Observações"</f>
        <v>Cadastro de Observações</v>
      </c>
      <c r="F854" s="2" t="str">
        <f>"M_OBSERVACAO"</f>
        <v>M_OBSERVACAO</v>
      </c>
      <c r="G854" s="2" t="str">
        <f>"Controladoria / Contabilidade / Tabelas / Cadastro de Observações (M_OBSERVACAO)"</f>
        <v>Controladoria / Contabilidade / Tabelas / Cadastro de Observações (M_OBSERVACAO)</v>
      </c>
    </row>
    <row r="855" spans="1:7" x14ac:dyDescent="0.3">
      <c r="A855" s="1" t="s">
        <v>4</v>
      </c>
      <c r="B855" s="2" t="str">
        <f t="shared" si="88"/>
        <v>SISTEMA DE CONTROLE CONTABIL</v>
      </c>
      <c r="C855" s="2" t="str">
        <f t="shared" si="89"/>
        <v>CONTR</v>
      </c>
      <c r="D855" s="2" t="str">
        <f t="shared" si="90"/>
        <v>FCCT</v>
      </c>
      <c r="E855" s="2" t="str">
        <f>"Recurso de Glosas Gerencial"</f>
        <v>Recurso de Glosas Gerencial</v>
      </c>
      <c r="F855" s="2" t="str">
        <f>"R_ENTREGA_GLOSA_DET"</f>
        <v>R_ENTREGA_GLOSA_DET</v>
      </c>
      <c r="G855" s="2" t="str">
        <f>"Recurso de Glosas Gerencial (R_ENTREGA_GLOSA_DET)"</f>
        <v>Recurso de Glosas Gerencial (R_ENTREGA_GLOSA_DET)</v>
      </c>
    </row>
    <row r="856" spans="1:7" x14ac:dyDescent="0.3">
      <c r="A856" s="1" t="s">
        <v>4</v>
      </c>
      <c r="B856" s="2" t="str">
        <f t="shared" si="88"/>
        <v>SISTEMA DE CONTROLE CONTABIL</v>
      </c>
      <c r="C856" s="2" t="str">
        <f t="shared" si="89"/>
        <v>CONTR</v>
      </c>
      <c r="D856" s="2" t="str">
        <f t="shared" si="90"/>
        <v>FCCT</v>
      </c>
      <c r="E856" s="2" t="str">
        <f>"Usuários x Funcionalidade"</f>
        <v>Usuários x Funcionalidade</v>
      </c>
      <c r="F856" s="2" t="str">
        <f>"M_USU_FUNC_FNFI"</f>
        <v>M_USU_FUNC_FNFI</v>
      </c>
      <c r="G856" s="2" t="str">
        <f>"Usuários x Funcionalidade (M_USU_FUNC_FNFI)"</f>
        <v>Usuários x Funcionalidade (M_USU_FUNC_FNFI)</v>
      </c>
    </row>
    <row r="857" spans="1:7" x14ac:dyDescent="0.3">
      <c r="A857" s="1" t="s">
        <v>4</v>
      </c>
      <c r="B857" s="2" t="str">
        <f t="shared" si="88"/>
        <v>SISTEMA DE CONTROLE CONTABIL</v>
      </c>
      <c r="C857" s="2" t="str">
        <f t="shared" si="89"/>
        <v>CONTR</v>
      </c>
      <c r="D857" s="2" t="str">
        <f t="shared" si="90"/>
        <v>FCCT</v>
      </c>
      <c r="E857" s="2" t="str">
        <f>"Geração GISS Online"</f>
        <v>Geração GISS Online</v>
      </c>
      <c r="F857" s="2" t="str">
        <f>"O_GERA_GISS_ONLINE"</f>
        <v>O_GERA_GISS_ONLINE</v>
      </c>
      <c r="G857" s="2" t="str">
        <f>" ()"</f>
        <v xml:space="preserve"> ()</v>
      </c>
    </row>
    <row r="858" spans="1:7" x14ac:dyDescent="0.3">
      <c r="A858" s="1" t="s">
        <v>4</v>
      </c>
      <c r="B858" s="2" t="str">
        <f t="shared" si="88"/>
        <v>SISTEMA DE CONTROLE CONTABIL</v>
      </c>
      <c r="C858" s="2" t="str">
        <f t="shared" si="89"/>
        <v>CONTR</v>
      </c>
      <c r="D858" s="2" t="str">
        <f t="shared" si="90"/>
        <v>FCCT</v>
      </c>
      <c r="E858" s="2" t="str">
        <f>"Automação das validações do SPED"</f>
        <v>Automação das validações do SPED</v>
      </c>
      <c r="F858" s="2" t="str">
        <f>"M_VAL_CONT"</f>
        <v>M_VAL_CONT</v>
      </c>
      <c r="G858" s="2" t="str">
        <f>" ()"</f>
        <v xml:space="preserve"> ()</v>
      </c>
    </row>
    <row r="859" spans="1:7" x14ac:dyDescent="0.3">
      <c r="A859" s="1" t="s">
        <v>4</v>
      </c>
      <c r="B859" s="2" t="str">
        <f t="shared" si="88"/>
        <v>SISTEMA DE CONTROLE CONTABIL</v>
      </c>
      <c r="C859" s="2" t="str">
        <f t="shared" si="89"/>
        <v>CONTR</v>
      </c>
      <c r="D859" s="2" t="str">
        <f t="shared" si="90"/>
        <v>FCCT</v>
      </c>
      <c r="E859" s="2" t="str">
        <f>"Fechamento"</f>
        <v>Fechamento</v>
      </c>
      <c r="F859" s="2" t="str">
        <f>"M_FECH_CONT_DIA"</f>
        <v>M_FECH_CONT_DIA</v>
      </c>
      <c r="G859" s="2" t="str">
        <f>" ()"</f>
        <v xml:space="preserve"> ()</v>
      </c>
    </row>
    <row r="860" spans="1:7" x14ac:dyDescent="0.3">
      <c r="A860" s="1" t="s">
        <v>4</v>
      </c>
      <c r="B860" s="2" t="str">
        <f t="shared" si="88"/>
        <v>SISTEMA DE CONTROLE CONTABIL</v>
      </c>
      <c r="C860" s="2" t="str">
        <f t="shared" si="89"/>
        <v>CONTR</v>
      </c>
      <c r="D860" s="2" t="str">
        <f t="shared" si="90"/>
        <v>FCCT</v>
      </c>
      <c r="E860" s="2" t="str">
        <f>"IMPORTAÇÃO PARA A CONTABILIDADE"</f>
        <v>IMPORTAÇÃO PARA A CONTABILIDADE</v>
      </c>
      <c r="F860" s="2" t="str">
        <f>"O_IMPORTACAO"</f>
        <v>O_IMPORTACAO</v>
      </c>
      <c r="G860" s="2" t="str">
        <f>"Controladoria / Contabilidade / Liberação de Movimentações / Geral (O_IMPORTACAO)"</f>
        <v>Controladoria / Contabilidade / Liberação de Movimentações / Geral (O_IMPORTACAO)</v>
      </c>
    </row>
    <row r="861" spans="1:7" x14ac:dyDescent="0.3">
      <c r="A861" s="1" t="s">
        <v>4</v>
      </c>
      <c r="B861" s="2" t="str">
        <f t="shared" si="88"/>
        <v>SISTEMA DE CONTROLE CONTABIL</v>
      </c>
      <c r="C861" s="2" t="str">
        <f t="shared" si="89"/>
        <v>CONTR</v>
      </c>
      <c r="D861" s="2" t="str">
        <f t="shared" si="90"/>
        <v>FCCT</v>
      </c>
      <c r="E861" s="2" t="str">
        <f>"RELAT. DE MVTO CONTABIL DIVERGENTE"</f>
        <v>RELAT. DE MVTO CONTABIL DIVERGENTE</v>
      </c>
      <c r="F861" s="2" t="str">
        <f>"R_MVTO_DIVERGENTE"</f>
        <v>R_MVTO_DIVERGENTE</v>
      </c>
      <c r="G861" s="2" t="str">
        <f>"Controladoria / Contabilidade / Relatórios / Auditoria / Conferência de Movimentos Divergentes (R_MVTO_DIVERGENTE)"</f>
        <v>Controladoria / Contabilidade / Relatórios / Auditoria / Conferência de Movimentos Divergentes (R_MVTO_DIVERGENTE)</v>
      </c>
    </row>
    <row r="862" spans="1:7" x14ac:dyDescent="0.3">
      <c r="A862" s="1" t="s">
        <v>4</v>
      </c>
      <c r="B862" s="2" t="str">
        <f t="shared" si="88"/>
        <v>SISTEMA DE CONTROLE CONTABIL</v>
      </c>
      <c r="C862" s="2" t="str">
        <f t="shared" si="89"/>
        <v>CONTR</v>
      </c>
      <c r="D862" s="2" t="str">
        <f t="shared" si="90"/>
        <v>FCCT</v>
      </c>
      <c r="E862" s="2" t="str">
        <f>"R_CUSTO_ANUAL_CARII"</f>
        <v>R_CUSTO_ANUAL_CARII</v>
      </c>
      <c r="F862" s="2" t="str">
        <f>"R_CUSTO_ANUAL_CARII"</f>
        <v>R_CUSTO_ANUAL_CARII</v>
      </c>
      <c r="G862" s="2" t="str">
        <f>" ()"</f>
        <v xml:space="preserve"> ()</v>
      </c>
    </row>
    <row r="863" spans="1:7" x14ac:dyDescent="0.3">
      <c r="A863" s="1" t="s">
        <v>4</v>
      </c>
      <c r="B863" s="2" t="str">
        <f t="shared" si="88"/>
        <v>SISTEMA DE CONTROLE CONTABIL</v>
      </c>
      <c r="C863" s="2" t="str">
        <f t="shared" si="89"/>
        <v>CONTR</v>
      </c>
      <c r="D863" s="2" t="str">
        <f t="shared" si="90"/>
        <v>FCCT</v>
      </c>
      <c r="E863" s="2" t="str">
        <f>"WIN_PRINCIPAL"</f>
        <v>WIN_PRINCIPAL</v>
      </c>
      <c r="F863" s="2" t="str">
        <f>"M_VISAO_CONTABIL_GERENCIAL"</f>
        <v>M_VISAO_CONTABIL_GERENCIAL</v>
      </c>
      <c r="G863" s="2" t="str">
        <f>"Controladoria / Contabilidade / Tabelas / Gerenciais / Visão Contábil Gerencial (M_VISAO_CONTABIL_GERENCIAL)"</f>
        <v>Controladoria / Contabilidade / Tabelas / Gerenciais / Visão Contábil Gerencial (M_VISAO_CONTABIL_GERENCIAL)</v>
      </c>
    </row>
    <row r="864" spans="1:7" x14ac:dyDescent="0.3">
      <c r="A864" s="1" t="s">
        <v>4</v>
      </c>
      <c r="B864" s="2" t="str">
        <f t="shared" si="88"/>
        <v>SISTEMA DE CONTROLE CONTABIL</v>
      </c>
      <c r="C864" s="2" t="str">
        <f t="shared" si="89"/>
        <v>CONTR</v>
      </c>
      <c r="D864" s="2" t="str">
        <f t="shared" si="90"/>
        <v>FCCT</v>
      </c>
      <c r="E864" s="2" t="str">
        <f>"RELATÓRIO DE BALANCETE TRIMESTRAL"</f>
        <v>RELATÓRIO DE BALANCETE TRIMESTRAL</v>
      </c>
      <c r="F864" s="2" t="str">
        <f>"R_BALANCETE_TRIMESTRAL.RDF"</f>
        <v>R_BALANCETE_TRIMESTRAL.RDF</v>
      </c>
      <c r="G864" s="2" t="str">
        <f>" ()"</f>
        <v xml:space="preserve"> ()</v>
      </c>
    </row>
    <row r="865" spans="1:7" x14ac:dyDescent="0.3">
      <c r="A865" s="1" t="s">
        <v>4</v>
      </c>
      <c r="B865" s="2" t="str">
        <f t="shared" si="88"/>
        <v>SISTEMA DE CONTROLE CONTABIL</v>
      </c>
      <c r="C865" s="2" t="str">
        <f t="shared" si="89"/>
        <v>CONTR</v>
      </c>
      <c r="D865" s="2" t="str">
        <f t="shared" si="90"/>
        <v>FCCT</v>
      </c>
      <c r="E865" s="2" t="str">
        <f>"RELATÓRIO DO CUSTO SINTÉTICO ANUAL"</f>
        <v>RELATÓRIO DO CUSTO SINTÉTICO ANUAL</v>
      </c>
      <c r="F865" s="2" t="str">
        <f>"R_CUSTO_CONS_ANUAL.RDF"</f>
        <v>R_CUSTO_CONS_ANUAL.RDF</v>
      </c>
      <c r="G865" s="2" t="str">
        <f>" ()"</f>
        <v xml:space="preserve"> ()</v>
      </c>
    </row>
    <row r="866" spans="1:7" x14ac:dyDescent="0.3">
      <c r="A866" s="1" t="s">
        <v>4</v>
      </c>
      <c r="B866" s="2" t="str">
        <f t="shared" si="88"/>
        <v>SISTEMA DE CONTROLE CONTABIL</v>
      </c>
      <c r="C866" s="2" t="str">
        <f t="shared" si="89"/>
        <v>CONTR</v>
      </c>
      <c r="D866" s="2" t="str">
        <f t="shared" si="90"/>
        <v>FCCT</v>
      </c>
      <c r="E866" s="2" t="str">
        <f>"Agrupamento de setores"</f>
        <v>Agrupamento de setores</v>
      </c>
      <c r="F866" s="2" t="str">
        <f>"M_AGRUPAMENTO_SETORES"</f>
        <v>M_AGRUPAMENTO_SETORES</v>
      </c>
      <c r="G866" s="2" t="str">
        <f>" ()"</f>
        <v xml:space="preserve"> ()</v>
      </c>
    </row>
    <row r="867" spans="1:7" x14ac:dyDescent="0.3">
      <c r="A867" s="1" t="s">
        <v>4</v>
      </c>
      <c r="B867" s="2" t="str">
        <f t="shared" si="88"/>
        <v>SISTEMA DE CONTROLE CONTABIL</v>
      </c>
      <c r="C867" s="2" t="str">
        <f t="shared" si="89"/>
        <v>CONTR</v>
      </c>
      <c r="D867" s="2" t="str">
        <f t="shared" si="90"/>
        <v>FCCT</v>
      </c>
      <c r="E867" s="2" t="str">
        <f>"LANÇAMENTOS CONTÁBEIS"</f>
        <v>LANÇAMENTOS CONTÁBEIS</v>
      </c>
      <c r="F867" s="2" t="str">
        <f>"O_LANC"</f>
        <v>O_LANC</v>
      </c>
      <c r="G867" s="2" t="str">
        <f>"Controladoria / Contabilidade / Lançamentos / Lançamento Normal (O_LANC)"</f>
        <v>Controladoria / Contabilidade / Lançamentos / Lançamento Normal (O_LANC)</v>
      </c>
    </row>
    <row r="868" spans="1:7" x14ac:dyDescent="0.3">
      <c r="A868" s="1" t="s">
        <v>4</v>
      </c>
      <c r="B868" s="2" t="str">
        <f t="shared" si="88"/>
        <v>SISTEMA DE CONTROLE CONTABIL</v>
      </c>
      <c r="C868" s="2" t="str">
        <f t="shared" si="89"/>
        <v>CONTR</v>
      </c>
      <c r="D868" s="2" t="str">
        <f t="shared" si="90"/>
        <v>FCCT</v>
      </c>
      <c r="E868" s="2" t="str">
        <f>"Central de Configuração Contábil"</f>
        <v>Central de Configuração Contábil</v>
      </c>
      <c r="F868" s="2" t="str">
        <f>"M_CENTRAL_CONTABIL"</f>
        <v>M_CENTRAL_CONTABIL</v>
      </c>
      <c r="G868" s="2" t="str">
        <f>"Central de Configuração Contábil (M_CENTRAL_CONTABIL)"</f>
        <v>Central de Configuração Contábil (M_CENTRAL_CONTABIL)</v>
      </c>
    </row>
    <row r="869" spans="1:7" x14ac:dyDescent="0.3">
      <c r="A869" s="1" t="s">
        <v>4</v>
      </c>
      <c r="B869" s="2" t="str">
        <f t="shared" si="88"/>
        <v>SISTEMA DE CONTROLE CONTABIL</v>
      </c>
      <c r="C869" s="2" t="str">
        <f t="shared" si="89"/>
        <v>CONTR</v>
      </c>
      <c r="D869" s="2" t="str">
        <f t="shared" si="90"/>
        <v>FCCT</v>
      </c>
      <c r="E869" s="2" t="str">
        <f>"Modelo Financeiro"</f>
        <v>Modelo Financeiro</v>
      </c>
      <c r="F869" s="2" t="str">
        <f>"MODELO_WIZARD_1"</f>
        <v>MODELO_WIZARD_1</v>
      </c>
      <c r="G869" s="2" t="str">
        <f>"Controladoria / Fiscal / Tabelas / Cadastro dos Modelos Contábeis (MODELO_WIZARD_1)"</f>
        <v>Controladoria / Fiscal / Tabelas / Cadastro dos Modelos Contábeis (MODELO_WIZARD_1)</v>
      </c>
    </row>
    <row r="870" spans="1:7" x14ac:dyDescent="0.3">
      <c r="A870" s="1" t="s">
        <v>4</v>
      </c>
      <c r="B870" s="2" t="str">
        <f t="shared" si="88"/>
        <v>SISTEMA DE CONTROLE CONTABIL</v>
      </c>
      <c r="C870" s="2" t="str">
        <f t="shared" si="89"/>
        <v>CONTR</v>
      </c>
      <c r="D870" s="2" t="str">
        <f t="shared" si="90"/>
        <v>FCCT</v>
      </c>
      <c r="E870" s="2" t="str">
        <f>"Modelo Financeiro"</f>
        <v>Modelo Financeiro</v>
      </c>
      <c r="F870" s="2" t="str">
        <f>"MODELO_WIZARD_1"</f>
        <v>MODELO_WIZARD_1</v>
      </c>
      <c r="G870" s="2" t="s">
        <v>10</v>
      </c>
    </row>
    <row r="871" spans="1:7" x14ac:dyDescent="0.3">
      <c r="A871" s="1" t="s">
        <v>4</v>
      </c>
      <c r="B871" s="2" t="str">
        <f t="shared" si="88"/>
        <v>SISTEMA DE CONTROLE CONTABIL</v>
      </c>
      <c r="C871" s="2" t="str">
        <f t="shared" si="89"/>
        <v>CONTR</v>
      </c>
      <c r="D871" s="2" t="str">
        <f t="shared" si="90"/>
        <v>FCCT</v>
      </c>
      <c r="E871" s="2" t="str">
        <f>"Processos Administrativos/Judiciais"</f>
        <v>Processos Administrativos/Judiciais</v>
      </c>
      <c r="F871" s="2" t="str">
        <f>"M_PROCESSO_JURIDICO"</f>
        <v>M_PROCESSO_JURIDICO</v>
      </c>
      <c r="G871" s="2" t="str">
        <f>"Controladoria / Contabilidade / Exportação / SPED EFD - REINF / Processos Administrativos/Judiciais (M_PROCESSO_JURIDICO)"</f>
        <v>Controladoria / Contabilidade / Exportação / SPED EFD - REINF / Processos Administrativos/Judiciais (M_PROCESSO_JURIDICO)</v>
      </c>
    </row>
    <row r="872" spans="1:7" x14ac:dyDescent="0.3">
      <c r="A872" s="1" t="s">
        <v>4</v>
      </c>
      <c r="B872" s="2" t="str">
        <f t="shared" si="88"/>
        <v>SISTEMA DE CONTROLE CONTABIL</v>
      </c>
      <c r="C872" s="2" t="str">
        <f t="shared" si="89"/>
        <v>CONTR</v>
      </c>
      <c r="D872" s="2" t="str">
        <f t="shared" si="90"/>
        <v>FCCT</v>
      </c>
      <c r="E872" s="2" t="str">
        <f>"Cadastro Nacional de Obra"</f>
        <v>Cadastro Nacional de Obra</v>
      </c>
      <c r="F872" s="2" t="str">
        <f>"M_CAD_NACIONAL_OBRA"</f>
        <v>M_CAD_NACIONAL_OBRA</v>
      </c>
      <c r="G872" s="2" t="str">
        <f>"Cadastro Nacional de Obra (M_CAD_NACIONAL_OBRA)"</f>
        <v>Cadastro Nacional de Obra (M_CAD_NACIONAL_OBRA)</v>
      </c>
    </row>
    <row r="873" spans="1:7" x14ac:dyDescent="0.3">
      <c r="A873" s="1" t="s">
        <v>4</v>
      </c>
      <c r="B873" s="2" t="str">
        <f t="shared" si="88"/>
        <v>SISTEMA DE CONTROLE CONTABIL</v>
      </c>
      <c r="C873" s="2" t="str">
        <f t="shared" si="89"/>
        <v>CONTR</v>
      </c>
      <c r="D873" s="2" t="str">
        <f t="shared" si="90"/>
        <v>FCCT</v>
      </c>
      <c r="E873" s="2" t="str">
        <f>"Cadastro Nacional de Obra"</f>
        <v>Cadastro Nacional de Obra</v>
      </c>
      <c r="F873" s="2" t="str">
        <f>"M_CAD_NACIONAL_OBRA"</f>
        <v>M_CAD_NACIONAL_OBRA</v>
      </c>
      <c r="G873" s="2" t="str">
        <f>"Controladoria / Contabilidade / Exportação / SPED EFD - REINF / Cadastro Nacional de Obra (M_CAD_NACIONAL_OBRA)"</f>
        <v>Controladoria / Contabilidade / Exportação / SPED EFD - REINF / Cadastro Nacional de Obra (M_CAD_NACIONAL_OBRA)</v>
      </c>
    </row>
    <row r="874" spans="1:7" x14ac:dyDescent="0.3">
      <c r="A874" s="1" t="s">
        <v>4</v>
      </c>
      <c r="B874" s="2" t="str">
        <f t="shared" si="88"/>
        <v>SISTEMA DE CONTROLE CONTABIL</v>
      </c>
      <c r="C874" s="2" t="str">
        <f t="shared" si="89"/>
        <v>CONTR</v>
      </c>
      <c r="D874" s="2" t="str">
        <f t="shared" si="90"/>
        <v>FCCT</v>
      </c>
      <c r="E874" s="2" t="str">
        <f>"Geração REINF"</f>
        <v>Geração REINF</v>
      </c>
      <c r="F874" s="2" t="str">
        <f>"M_GERA_REINF"</f>
        <v>M_GERA_REINF</v>
      </c>
      <c r="G874" s="2" t="str">
        <f>"Controladoria / Contabilidade / Exportação / SPED EFD - REINF / Geração REINF (M_GERA_REINF)"</f>
        <v>Controladoria / Contabilidade / Exportação / SPED EFD - REINF / Geração REINF (M_GERA_REINF)</v>
      </c>
    </row>
    <row r="875" spans="1:7" x14ac:dyDescent="0.3">
      <c r="A875" s="1" t="s">
        <v>4</v>
      </c>
      <c r="B875" s="2" t="str">
        <f t="shared" si="88"/>
        <v>SISTEMA DE CONTROLE CONTABIL</v>
      </c>
      <c r="C875" s="2" t="str">
        <f t="shared" si="89"/>
        <v>CONTR</v>
      </c>
      <c r="D875" s="2" t="str">
        <f t="shared" si="90"/>
        <v>FCCT</v>
      </c>
      <c r="E875" s="2" t="str">
        <f>"Relatório SPED REINF"</f>
        <v>Relatório SPED REINF</v>
      </c>
      <c r="F875" s="2" t="str">
        <f>"R_SPED_REINF"</f>
        <v>R_SPED_REINF</v>
      </c>
      <c r="G875" s="2" t="str">
        <f>"Controladoria / Contabilidade / Exportação / SPED EFD - REINF / Relatório SPED REINF (R_SPED_REINF)"</f>
        <v>Controladoria / Contabilidade / Exportação / SPED EFD - REINF / Relatório SPED REINF (R_SPED_REINF)</v>
      </c>
    </row>
    <row r="876" spans="1:7" x14ac:dyDescent="0.3">
      <c r="A876" s="1" t="s">
        <v>4</v>
      </c>
      <c r="B876" s="2" t="str">
        <f t="shared" si="88"/>
        <v>SISTEMA DE CONTROLE CONTABIL</v>
      </c>
      <c r="C876" s="2" t="str">
        <f t="shared" si="89"/>
        <v>CONTR</v>
      </c>
      <c r="D876" s="2" t="str">
        <f t="shared" si="90"/>
        <v>FCCT</v>
      </c>
      <c r="E876" s="2" t="str">
        <f>"Controle de Grupo Contábil"</f>
        <v>Controle de Grupo Contábil</v>
      </c>
      <c r="F876" s="2" t="str">
        <f>"M_GRUPO_CONTA"</f>
        <v>M_GRUPO_CONTA</v>
      </c>
      <c r="G876" s="2" t="str">
        <f>"Controladoria / Contabilidade / Tabelas / Grupo Contábil (M_GRUPO_CONTA)"</f>
        <v>Controladoria / Contabilidade / Tabelas / Grupo Contábil (M_GRUPO_CONTA)</v>
      </c>
    </row>
    <row r="877" spans="1:7" x14ac:dyDescent="0.3">
      <c r="A877" s="1" t="s">
        <v>4</v>
      </c>
      <c r="B877" s="2" t="str">
        <f t="shared" si="88"/>
        <v>SISTEMA DE CONTROLE CONTABIL</v>
      </c>
      <c r="C877" s="2" t="str">
        <f t="shared" si="89"/>
        <v>CONTR</v>
      </c>
      <c r="D877" s="2" t="str">
        <f t="shared" si="90"/>
        <v>FCCT</v>
      </c>
      <c r="E877" s="2" t="str">
        <f>"Controle de Grupo Contábil"</f>
        <v>Controle de Grupo Contábil</v>
      </c>
      <c r="F877" s="2" t="str">
        <f>"M_GRUPO_CONTA"</f>
        <v>M_GRUPO_CONTA</v>
      </c>
      <c r="G877" s="2" t="str">
        <f>"Controle de Grupo Contábil (M_GRUPO_CONTA)"</f>
        <v>Controle de Grupo Contábil (M_GRUPO_CONTA)</v>
      </c>
    </row>
    <row r="878" spans="1:7" x14ac:dyDescent="0.3">
      <c r="A878" s="1" t="s">
        <v>4</v>
      </c>
      <c r="B878" s="2" t="str">
        <f t="shared" si="88"/>
        <v>SISTEMA DE CONTROLE CONTABIL</v>
      </c>
      <c r="C878" s="2" t="str">
        <f t="shared" si="89"/>
        <v>CONTR</v>
      </c>
      <c r="D878" s="2" t="str">
        <f t="shared" si="90"/>
        <v>FCCT</v>
      </c>
      <c r="E878" s="2" t="str">
        <f>"Contas do plano contábil"</f>
        <v>Contas do plano contábil</v>
      </c>
      <c r="F878" s="2" t="str">
        <f>"PLANO_CONTAS_CONTABIL"</f>
        <v>PLANO_CONTAS_CONTABIL</v>
      </c>
      <c r="G878" s="2" t="str">
        <f>" ()"</f>
        <v xml:space="preserve"> ()</v>
      </c>
    </row>
    <row r="879" spans="1:7" x14ac:dyDescent="0.3">
      <c r="A879" s="1" t="s">
        <v>4</v>
      </c>
      <c r="B879" s="2" t="str">
        <f t="shared" si="88"/>
        <v>SISTEMA DE CONTROLE CONTABIL</v>
      </c>
      <c r="C879" s="2" t="str">
        <f t="shared" si="89"/>
        <v>CONTR</v>
      </c>
      <c r="D879" s="2" t="str">
        <f t="shared" si="90"/>
        <v>FCCT</v>
      </c>
      <c r="E879" s="2" t="str">
        <f>"Planos contábeis"</f>
        <v>Planos contábeis</v>
      </c>
      <c r="F879" s="2" t="str">
        <f>"PLANO_CONTABIL"</f>
        <v>PLANO_CONTABIL</v>
      </c>
      <c r="G879" s="2" t="str">
        <f>"Controladoria / Contabilidade / Tabelas / Plano Contábil / Planos Contábeis (PLANO_CONTABIL)"</f>
        <v>Controladoria / Contabilidade / Tabelas / Plano Contábil / Planos Contábeis (PLANO_CONTABIL)</v>
      </c>
    </row>
    <row r="880" spans="1:7" x14ac:dyDescent="0.3">
      <c r="A880" s="1" t="s">
        <v>4</v>
      </c>
      <c r="B880" s="2" t="str">
        <f t="shared" si="88"/>
        <v>SISTEMA DE CONTROLE CONTABIL</v>
      </c>
      <c r="C880" s="2" t="str">
        <f t="shared" si="89"/>
        <v>CONTR</v>
      </c>
      <c r="D880" s="2" t="str">
        <f t="shared" si="90"/>
        <v>FCCT</v>
      </c>
      <c r="E880" s="2" t="str">
        <f>"LANÇAMENTO POR LOTE"</f>
        <v>LANÇAMENTO POR LOTE</v>
      </c>
      <c r="F880" s="2" t="str">
        <f>"LANCAMENTOS_LOTE"</f>
        <v>LANCAMENTOS_LOTE</v>
      </c>
      <c r="G880" s="2" t="str">
        <f>"Controladoria / Contabilidade / Lançamentos / Lotes / Lançamentos (LANCAMENTOS_LOTE)"</f>
        <v>Controladoria / Contabilidade / Lançamentos / Lotes / Lançamentos (LANCAMENTOS_LOTE)</v>
      </c>
    </row>
    <row r="881" spans="1:7" x14ac:dyDescent="0.3">
      <c r="A881" s="1" t="s">
        <v>4</v>
      </c>
      <c r="B881" s="2" t="str">
        <f t="shared" si="88"/>
        <v>SISTEMA DE CONTROLE CONTABIL</v>
      </c>
      <c r="C881" s="2" t="str">
        <f t="shared" si="89"/>
        <v>CONTR</v>
      </c>
      <c r="D881" s="2" t="str">
        <f t="shared" si="90"/>
        <v>FCCT</v>
      </c>
      <c r="E881" s="2" t="str">
        <f>"Log de Eventos da Contabilidade"</f>
        <v>Log de Eventos da Contabilidade</v>
      </c>
      <c r="F881" s="2" t="str">
        <f>"FCCT_LOG_GERAL"</f>
        <v>FCCT_LOG_GERAL</v>
      </c>
      <c r="G881" s="2" t="str">
        <f>"Controladoria / Contabilidade / Consultas / Log de Eventos (FCCT_LOG_GERAL)"</f>
        <v>Controladoria / Contabilidade / Consultas / Log de Eventos (FCCT_LOG_GERAL)</v>
      </c>
    </row>
    <row r="882" spans="1:7" x14ac:dyDescent="0.3">
      <c r="A882" s="1" t="s">
        <v>4</v>
      </c>
      <c r="B882" s="2" t="str">
        <f t="shared" si="88"/>
        <v>SISTEMA DE CONTROLE CONTABIL</v>
      </c>
      <c r="C882" s="2" t="str">
        <f t="shared" si="89"/>
        <v>CONTR</v>
      </c>
      <c r="D882" s="2" t="str">
        <f t="shared" si="90"/>
        <v>FCCT</v>
      </c>
      <c r="E882" s="2" t="str">
        <f>"Geração SPED Contribuições"</f>
        <v>Geração SPED Contribuições</v>
      </c>
      <c r="F882" s="2" t="str">
        <f>"O_GERAARQMAG_PISCOFINS"</f>
        <v>O_GERAARQMAG_PISCOFINS</v>
      </c>
      <c r="G882" s="2" t="str">
        <f>"Controladoria / Fiscal / Geração / SPEDs / Geração SPED Contribuições (O_GERAARQMAG_PISCOFINS)"</f>
        <v>Controladoria / Fiscal / Geração / SPEDs / Geração SPED Contribuições (O_GERAARQMAG_PISCOFINS)</v>
      </c>
    </row>
    <row r="883" spans="1:7" x14ac:dyDescent="0.3">
      <c r="A883" s="1" t="s">
        <v>4</v>
      </c>
      <c r="B883" s="2" t="str">
        <f t="shared" si="88"/>
        <v>SISTEMA DE CONTROLE CONTABIL</v>
      </c>
      <c r="C883" s="2" t="str">
        <f t="shared" si="89"/>
        <v>CONTR</v>
      </c>
      <c r="D883" s="2" t="str">
        <f t="shared" si="90"/>
        <v>FCCT</v>
      </c>
      <c r="E883" s="2" t="str">
        <f>"Log de Eventos Contábeis"</f>
        <v>Log de Eventos Contábeis</v>
      </c>
      <c r="F883" s="2" t="str">
        <f>"C_LOG_CONTABIL"</f>
        <v>C_LOG_CONTABIL</v>
      </c>
      <c r="G883" s="2" t="str">
        <f>"Controladoria / Contabilidade / Consultas / Log de Eventos Contábeis (C_LOG_CONTABIL)"</f>
        <v>Controladoria / Contabilidade / Consultas / Log de Eventos Contábeis (C_LOG_CONTABIL)</v>
      </c>
    </row>
    <row r="884" spans="1:7" x14ac:dyDescent="0.3">
      <c r="A884" s="1" t="s">
        <v>4</v>
      </c>
      <c r="B884" s="2" t="str">
        <f t="shared" si="88"/>
        <v>SISTEMA DE CONTROLE CONTABIL</v>
      </c>
      <c r="C884" s="2" t="str">
        <f t="shared" si="89"/>
        <v>CONTR</v>
      </c>
      <c r="D884" s="2" t="str">
        <f t="shared" si="90"/>
        <v>FCCT</v>
      </c>
      <c r="E884" s="2" t="str">
        <f>"O_IMP_PLANO_SAUDE"</f>
        <v>O_IMP_PLANO_SAUDE</v>
      </c>
      <c r="F884" s="2" t="str">
        <f>"O_IMP_PLANO_SAUDE"</f>
        <v>O_IMP_PLANO_SAUDE</v>
      </c>
      <c r="G884" s="2" t="str">
        <f>"Controladoria / Contabilidade / Liberação de Movimentações / Plano de Saúde (O_IMP_PLANO_SAUDE)"</f>
        <v>Controladoria / Contabilidade / Liberação de Movimentações / Plano de Saúde (O_IMP_PLANO_SAUDE)</v>
      </c>
    </row>
    <row r="885" spans="1:7" x14ac:dyDescent="0.3">
      <c r="A885" s="1" t="s">
        <v>4</v>
      </c>
      <c r="B885" s="2" t="str">
        <f t="shared" si="88"/>
        <v>SISTEMA DE CONTROLE CONTABIL</v>
      </c>
      <c r="C885" s="2" t="str">
        <f t="shared" si="89"/>
        <v>CONTR</v>
      </c>
      <c r="D885" s="2" t="str">
        <f t="shared" si="90"/>
        <v>FCCT</v>
      </c>
      <c r="E885" s="2" t="str">
        <f>"WIN_PRINCIPAL - HOSPITAL MV SISTEMAS"</f>
        <v>WIN_PRINCIPAL - HOSPITAL MV SISTEMAS</v>
      </c>
      <c r="F885" s="2" t="str">
        <f>"M_AJUSTE_PLACON"</f>
        <v>M_AJUSTE_PLACON</v>
      </c>
      <c r="G885" s="2" t="str">
        <f>" ()"</f>
        <v xml:space="preserve"> ()</v>
      </c>
    </row>
    <row r="886" spans="1:7" x14ac:dyDescent="0.3">
      <c r="A886" s="1" t="s">
        <v>4</v>
      </c>
      <c r="B886" s="2" t="str">
        <f t="shared" si="88"/>
        <v>SISTEMA DE CONTROLE CONTABIL</v>
      </c>
      <c r="C886" s="2" t="str">
        <f t="shared" si="89"/>
        <v>CONTR</v>
      </c>
      <c r="D886" s="2" t="str">
        <f t="shared" si="90"/>
        <v>FCCT</v>
      </c>
      <c r="E886" s="2" t="str">
        <f>"TRIGGER SALDO CONTABIL DELECAO/INSERCAO"</f>
        <v>TRIGGER SALDO CONTABIL DELECAO/INSERCAO</v>
      </c>
      <c r="F886" s="2" t="str">
        <f>"TRG_LCTO_CONT_D_I"</f>
        <v>TRG_LCTO_CONT_D_I</v>
      </c>
      <c r="G886" s="2" t="str">
        <f>" ()"</f>
        <v xml:space="preserve"> ()</v>
      </c>
    </row>
    <row r="887" spans="1:7" x14ac:dyDescent="0.3">
      <c r="A887" s="1" t="s">
        <v>4</v>
      </c>
      <c r="B887" s="2" t="str">
        <f t="shared" si="88"/>
        <v>SISTEMA DE CONTROLE CONTABIL</v>
      </c>
      <c r="C887" s="2" t="str">
        <f t="shared" si="89"/>
        <v>CONTR</v>
      </c>
      <c r="D887" s="2" t="str">
        <f t="shared" si="90"/>
        <v>FCCT</v>
      </c>
      <c r="E887" s="2" t="str">
        <f>"RELATORIO DO BALANCETE SEM FECHAMENTO"</f>
        <v>RELATORIO DO BALANCETE SEM FECHAMENTO</v>
      </c>
      <c r="F887" s="2" t="str">
        <f>"R_BALANCETE_COMP"</f>
        <v>R_BALANCETE_COMP</v>
      </c>
      <c r="G887" s="2" t="str">
        <f>" ()"</f>
        <v xml:space="preserve"> ()</v>
      </c>
    </row>
    <row r="888" spans="1:7" x14ac:dyDescent="0.3">
      <c r="A888" s="1" t="s">
        <v>4</v>
      </c>
      <c r="B888" s="2" t="str">
        <f t="shared" si="88"/>
        <v>SISTEMA DE CONTROLE CONTABIL</v>
      </c>
      <c r="C888" s="2" t="str">
        <f t="shared" si="89"/>
        <v>CONTR</v>
      </c>
      <c r="D888" s="2" t="str">
        <f t="shared" si="90"/>
        <v>FCCT</v>
      </c>
      <c r="E888" s="2" t="str">
        <f>"Processamento Variação Cambial"</f>
        <v>Processamento Variação Cambial</v>
      </c>
      <c r="F888" s="2" t="str">
        <f>"O_PROCESSA_VARIACAO_CAMBIAL"</f>
        <v>O_PROCESSA_VARIACAO_CAMBIAL</v>
      </c>
      <c r="G888" s="2" t="str">
        <f>"Controladoria / Contabilidade / Liberação de Movimentações / Processamento Variação Cambial (O_PROCESSA_VARIACAO_CAMBIAL)"</f>
        <v>Controladoria / Contabilidade / Liberação de Movimentações / Processamento Variação Cambial (O_PROCESSA_VARIACAO_CAMBIAL)</v>
      </c>
    </row>
    <row r="889" spans="1:7" x14ac:dyDescent="0.3">
      <c r="A889" s="1" t="s">
        <v>4</v>
      </c>
      <c r="B889" s="2" t="str">
        <f t="shared" si="88"/>
        <v>SISTEMA DE CONTROLE CONTABIL</v>
      </c>
      <c r="C889" s="2" t="str">
        <f t="shared" si="89"/>
        <v>CONTR</v>
      </c>
      <c r="D889" s="2" t="str">
        <f t="shared" si="90"/>
        <v>FCCT</v>
      </c>
      <c r="E889" s="2" t="str">
        <f>"Internacional"</f>
        <v>Internacional</v>
      </c>
      <c r="F889" s="2" t="str">
        <f>"CONFIG_FCCT_INTERNACIONAL"</f>
        <v>CONFIG_FCCT_INTERNACIONAL</v>
      </c>
      <c r="G889" s="2" t="str">
        <f>"Controladoria / Contabilidade / Configuração / Internacional (CONFIG_FCCT_INTERNACIONAL)"</f>
        <v>Controladoria / Contabilidade / Configuração / Internacional (CONFIG_FCCT_INTERNACIONAL)</v>
      </c>
    </row>
    <row r="890" spans="1:7" x14ac:dyDescent="0.3">
      <c r="A890" s="1" t="s">
        <v>4</v>
      </c>
      <c r="B890" s="2" t="str">
        <f t="shared" si="88"/>
        <v>SISTEMA DE CONTROLE CONTABIL</v>
      </c>
      <c r="C890" s="2" t="str">
        <f t="shared" si="89"/>
        <v>CONTR</v>
      </c>
      <c r="D890" s="2" t="str">
        <f t="shared" si="90"/>
        <v>FCCT</v>
      </c>
      <c r="E890" s="2" t="str">
        <f>"Lançamento por modelo"</f>
        <v>Lançamento por modelo</v>
      </c>
      <c r="F890" s="2" t="str">
        <f>"O_LANC_MODELO"</f>
        <v>O_LANC_MODELO</v>
      </c>
      <c r="G890" s="2" t="str">
        <f>"Controladoria / Contabilidade / Lançamentos / Lançamento por modelo (O_LANC_MODELO)"</f>
        <v>Controladoria / Contabilidade / Lançamentos / Lançamento por modelo (O_LANC_MODELO)</v>
      </c>
    </row>
    <row r="891" spans="1:7" x14ac:dyDescent="0.3">
      <c r="A891" s="1" t="s">
        <v>4</v>
      </c>
      <c r="B891" s="2" t="str">
        <f t="shared" si="88"/>
        <v>SISTEMA DE CONTROLE CONTABIL</v>
      </c>
      <c r="C891" s="2" t="str">
        <f t="shared" si="89"/>
        <v>CONTR</v>
      </c>
      <c r="D891" s="2" t="str">
        <f t="shared" si="90"/>
        <v>FCCT</v>
      </c>
      <c r="E891" s="2" t="str">
        <f>"RELATÓRIO DA RECEITA TOTAL AGRUPADA"</f>
        <v>RELATÓRIO DA RECEITA TOTAL AGRUPADA</v>
      </c>
      <c r="F891" s="2" t="str">
        <f>"R_RECEITA_AGRUPADA"</f>
        <v>R_RECEITA_AGRUPADA</v>
      </c>
      <c r="G891" s="2" t="str">
        <f>"Controladoria / Contabilidade / Relatórios / Receita / Receita Total Agrupada (R_RECEITA_AGRUPADA)"</f>
        <v>Controladoria / Contabilidade / Relatórios / Receita / Receita Total Agrupada (R_RECEITA_AGRUPADA)</v>
      </c>
    </row>
    <row r="892" spans="1:7" x14ac:dyDescent="0.3">
      <c r="A892" s="1" t="s">
        <v>4</v>
      </c>
      <c r="B892" s="2" t="str">
        <f t="shared" si="88"/>
        <v>SISTEMA DE CONTROLE CONTABIL</v>
      </c>
      <c r="C892" s="2" t="str">
        <f t="shared" si="89"/>
        <v>CONTR</v>
      </c>
      <c r="D892" s="2" t="str">
        <f t="shared" si="90"/>
        <v>FCCT</v>
      </c>
      <c r="E892" s="2" t="str">
        <f>"TRIGGER SALDO CONTABIL UPDATE"</f>
        <v>TRIGGER SALDO CONTABIL UPDATE</v>
      </c>
      <c r="F892" s="2" t="str">
        <f>"TRG_LCTO_CONT_U"</f>
        <v>TRG_LCTO_CONT_U</v>
      </c>
      <c r="G892" s="2" t="str">
        <f>" ()"</f>
        <v xml:space="preserve"> ()</v>
      </c>
    </row>
    <row r="893" spans="1:7" x14ac:dyDescent="0.3">
      <c r="A893" s="1" t="s">
        <v>4</v>
      </c>
      <c r="B893" s="2" t="str">
        <f t="shared" si="88"/>
        <v>SISTEMA DE CONTROLE CONTABIL</v>
      </c>
      <c r="C893" s="2" t="str">
        <f t="shared" si="89"/>
        <v>CONTR</v>
      </c>
      <c r="D893" s="2" t="str">
        <f t="shared" si="90"/>
        <v>FCCT</v>
      </c>
      <c r="E893" s="2" t="str">
        <f>"RELATÓRIO ACOMPANHAMENTO MENSAL"</f>
        <v>RELATÓRIO ACOMPANHAMENTO MENSAL</v>
      </c>
      <c r="F893" s="2" t="str">
        <f>"R_ACOMP_MENSAL"</f>
        <v>R_ACOMP_MENSAL</v>
      </c>
      <c r="G893" s="2" t="str">
        <f>"Controladoria / Contabilidade / Relatórios / Custos / Acompanhamento Mensal (R_ACOMP_MENSAL)"</f>
        <v>Controladoria / Contabilidade / Relatórios / Custos / Acompanhamento Mensal (R_ACOMP_MENSAL)</v>
      </c>
    </row>
    <row r="894" spans="1:7" x14ac:dyDescent="0.3">
      <c r="A894" s="1" t="s">
        <v>4</v>
      </c>
      <c r="B894" s="2" t="str">
        <f t="shared" si="88"/>
        <v>SISTEMA DE CONTROLE CONTABIL</v>
      </c>
      <c r="C894" s="2" t="str">
        <f t="shared" si="89"/>
        <v>CONTR</v>
      </c>
      <c r="D894" s="2" t="str">
        <f t="shared" si="90"/>
        <v>FCCT</v>
      </c>
      <c r="E894" s="2" t="str">
        <f>"O_FECHAMENTO"</f>
        <v>O_FECHAMENTO</v>
      </c>
      <c r="F894" s="2" t="str">
        <f>"O_FECHAMENTO"</f>
        <v>O_FECHAMENTO</v>
      </c>
      <c r="G894" s="2" t="str">
        <f>" ()"</f>
        <v xml:space="preserve"> ()</v>
      </c>
    </row>
    <row r="895" spans="1:7" x14ac:dyDescent="0.3">
      <c r="A895" s="1" t="s">
        <v>4</v>
      </c>
      <c r="B895" s="2" t="str">
        <f t="shared" si="88"/>
        <v>SISTEMA DE CONTROLE CONTABIL</v>
      </c>
      <c r="C895" s="2" t="str">
        <f t="shared" si="89"/>
        <v>CONTR</v>
      </c>
      <c r="D895" s="2" t="str">
        <f t="shared" si="90"/>
        <v>FCCT</v>
      </c>
      <c r="E895" s="2" t="str">
        <f>"WIN_PRINCIPAL"</f>
        <v>WIN_PRINCIPAL</v>
      </c>
      <c r="F895" s="2" t="str">
        <f>"M_GERA_ORCAMENTO"</f>
        <v>M_GERA_ORCAMENTO</v>
      </c>
      <c r="G895" s="2" t="str">
        <f>"Controladoria / Contabilidade / Tabelas / Orçamento - Competência / Geração orçamento (M_GERA_ORCAMENTO)"</f>
        <v>Controladoria / Contabilidade / Tabelas / Orçamento - Competência / Geração orçamento (M_GERA_ORCAMENTO)</v>
      </c>
    </row>
    <row r="896" spans="1:7" x14ac:dyDescent="0.3">
      <c r="A896" s="1" t="s">
        <v>4</v>
      </c>
      <c r="B896" s="2" t="str">
        <f t="shared" si="88"/>
        <v>SISTEMA DE CONTROLE CONTABIL</v>
      </c>
      <c r="C896" s="2" t="str">
        <f t="shared" si="89"/>
        <v>CONTR</v>
      </c>
      <c r="D896" s="2" t="str">
        <f t="shared" si="90"/>
        <v>FCCT</v>
      </c>
      <c r="E896" s="2" t="str">
        <f>"RELATORIO DE LOTES DIVERGENTES"</f>
        <v>RELATORIO DE LOTES DIVERGENTES</v>
      </c>
      <c r="F896" s="2" t="str">
        <f>"R_LOTE_DIVERGENTE"</f>
        <v>R_LOTE_DIVERGENTE</v>
      </c>
      <c r="G896" s="2" t="str">
        <f>"Controladoria / Contabilidade / Relatórios / Auditoria / Conferência de Lotes Divergentes (R_LOTE_DIVERGENTE)"</f>
        <v>Controladoria / Contabilidade / Relatórios / Auditoria / Conferência de Lotes Divergentes (R_LOTE_DIVERGENTE)</v>
      </c>
    </row>
    <row r="897" spans="1:7" x14ac:dyDescent="0.3">
      <c r="A897" s="1" t="s">
        <v>4</v>
      </c>
      <c r="B897" s="2" t="str">
        <f t="shared" si="88"/>
        <v>SISTEMA DE CONTROLE CONTABIL</v>
      </c>
      <c r="C897" s="2" t="str">
        <f t="shared" si="89"/>
        <v>CONTR</v>
      </c>
      <c r="D897" s="2" t="str">
        <f t="shared" si="90"/>
        <v>FCCT</v>
      </c>
      <c r="E897" s="2" t="str">
        <f>"R_CONTA_CONTABIL"</f>
        <v>R_CONTA_CONTABIL</v>
      </c>
      <c r="F897" s="2" t="str">
        <f>"R_CONTA_CONTABIL"</f>
        <v>R_CONTA_CONTABIL</v>
      </c>
      <c r="G897" s="2" t="str">
        <f>" ()"</f>
        <v xml:space="preserve"> ()</v>
      </c>
    </row>
    <row r="898" spans="1:7" x14ac:dyDescent="0.3">
      <c r="A898" s="1" t="s">
        <v>4</v>
      </c>
      <c r="B898" s="2" t="str">
        <f t="shared" si="88"/>
        <v>SISTEMA DE CONTROLE CONTABIL</v>
      </c>
      <c r="C898" s="2" t="str">
        <f t="shared" si="89"/>
        <v>CONTR</v>
      </c>
      <c r="D898" s="2" t="str">
        <f t="shared" si="90"/>
        <v>FCCT</v>
      </c>
      <c r="E898" s="2" t="str">
        <f>"WIN_PRINCIPAL"</f>
        <v>WIN_PRINCIPAL</v>
      </c>
      <c r="F898" s="2" t="str">
        <f>"M_ESTOQUE_CONTABIL"</f>
        <v>M_ESTOQUE_CONTABIL</v>
      </c>
      <c r="G898" s="2" t="str">
        <f>"Controladoria / Contabilidade / Configuração / Estoque / Geral do Estoque  x Plano de Contas (M_ESTOQUE_CONTABIL)"</f>
        <v>Controladoria / Contabilidade / Configuração / Estoque / Geral do Estoque  x Plano de Contas (M_ESTOQUE_CONTABIL)</v>
      </c>
    </row>
    <row r="899" spans="1:7" x14ac:dyDescent="0.3">
      <c r="A899" s="1" t="s">
        <v>4</v>
      </c>
      <c r="B899" s="2" t="str">
        <f t="shared" si="88"/>
        <v>SISTEMA DE CONTROLE CONTABIL</v>
      </c>
      <c r="C899" s="2" t="str">
        <f t="shared" si="89"/>
        <v>CONTR</v>
      </c>
      <c r="D899" s="2" t="str">
        <f t="shared" si="90"/>
        <v>FCCT</v>
      </c>
      <c r="E899" s="2" t="str">
        <f>"M_CONCOR_CONTABIL"</f>
        <v>M_CONCOR_CONTABIL</v>
      </c>
      <c r="F899" s="2" t="str">
        <f>"M_CONCOR_CONTABIL"</f>
        <v>M_CONCOR_CONTABIL</v>
      </c>
      <c r="G899" s="2" t="str">
        <f>"Controladoria / Contabilidade / Configuração / Financeiro / Contas Correntes (M_CONCOR_CONTABIL)"</f>
        <v>Controladoria / Contabilidade / Configuração / Financeiro / Contas Correntes (M_CONCOR_CONTABIL)</v>
      </c>
    </row>
    <row r="900" spans="1:7" x14ac:dyDescent="0.3">
      <c r="A900" s="1" t="s">
        <v>4</v>
      </c>
      <c r="B900" s="2" t="str">
        <f t="shared" si="88"/>
        <v>SISTEMA DE CONTROLE CONTABIL</v>
      </c>
      <c r="C900" s="2" t="str">
        <f t="shared" si="89"/>
        <v>CONTR</v>
      </c>
      <c r="D900" s="2" t="str">
        <f t="shared" si="90"/>
        <v>FCCT</v>
      </c>
      <c r="E900" s="2" t="str">
        <f>"M_FORNEC_CONTABIL"</f>
        <v>M_FORNEC_CONTABIL</v>
      </c>
      <c r="F900" s="2" t="str">
        <f>"M_FORNEC_CONTABIL"</f>
        <v>M_FORNEC_CONTABIL</v>
      </c>
      <c r="G900" s="2" t="str">
        <f>"Controladoria / Contabilidade / Configuração / Financeiro / Fornecedor / Cliente (M_FORNEC_CONTABIL)"</f>
        <v>Controladoria / Contabilidade / Configuração / Financeiro / Fornecedor / Cliente (M_FORNEC_CONTABIL)</v>
      </c>
    </row>
    <row r="901" spans="1:7" x14ac:dyDescent="0.3">
      <c r="A901" s="1" t="s">
        <v>4</v>
      </c>
      <c r="B901" s="2" t="str">
        <f t="shared" si="88"/>
        <v>SISTEMA DE CONTROLE CONTABIL</v>
      </c>
      <c r="C901" s="2" t="str">
        <f t="shared" si="89"/>
        <v>CONTR</v>
      </c>
      <c r="D901" s="2" t="str">
        <f t="shared" si="90"/>
        <v>FCCT</v>
      </c>
      <c r="E901" s="2" t="str">
        <f>"WIN_PRINCIPAL"</f>
        <v>WIN_PRINCIPAL</v>
      </c>
      <c r="F901" s="2" t="str">
        <f>"M_LANBAN_CONTABIL"</f>
        <v>M_LANBAN_CONTABIL</v>
      </c>
      <c r="G901" s="2" t="str">
        <f>"Controladoria / Contabilidade / Configuração / Financeiro / Lançamentos Bancários (M_LANBAN_CONTABIL)"</f>
        <v>Controladoria / Contabilidade / Configuração / Financeiro / Lançamentos Bancários (M_LANBAN_CONTABIL)</v>
      </c>
    </row>
    <row r="902" spans="1:7" x14ac:dyDescent="0.3">
      <c r="A902" s="1" t="s">
        <v>4</v>
      </c>
      <c r="B902" s="2" t="str">
        <f t="shared" si="88"/>
        <v>SISTEMA DE CONTROLE CONTABIL</v>
      </c>
      <c r="C902" s="2" t="str">
        <f t="shared" si="89"/>
        <v>CONTR</v>
      </c>
      <c r="D902" s="2" t="str">
        <f t="shared" si="90"/>
        <v>FCCT</v>
      </c>
      <c r="E902" s="2" t="str">
        <f>"RELATÓRIO ANUAL DE CUSTO CONSOLIDADO"</f>
        <v>RELATÓRIO ANUAL DE CUSTO CONSOLIDADO</v>
      </c>
      <c r="F902" s="2" t="str">
        <f>"R_CUSTO_CONS_ANUAL"</f>
        <v>R_CUSTO_CONS_ANUAL</v>
      </c>
      <c r="G902" s="2" t="str">
        <f>"Controladoria / Contabilidade / Relatórios / Custos / Custo Sintético / Anual (R_CUSTO_CONS_ANUAL)"</f>
        <v>Controladoria / Contabilidade / Relatórios / Custos / Custo Sintético / Anual (R_CUSTO_CONS_ANUAL)</v>
      </c>
    </row>
    <row r="903" spans="1:7" x14ac:dyDescent="0.3">
      <c r="A903" s="1" t="s">
        <v>4</v>
      </c>
      <c r="B903" s="2" t="str">
        <f t="shared" si="88"/>
        <v>SISTEMA DE CONTROLE CONTABIL</v>
      </c>
      <c r="C903" s="2" t="str">
        <f t="shared" si="89"/>
        <v>CONTR</v>
      </c>
      <c r="D903" s="2" t="str">
        <f t="shared" si="90"/>
        <v>FCCT</v>
      </c>
      <c r="E903" s="2" t="str">
        <f>"RELATÓRIO DE CUSTO CONSOLIDADO"</f>
        <v>RELATÓRIO DE CUSTO CONSOLIDADO</v>
      </c>
      <c r="F903" s="2" t="str">
        <f>"R_CUSTO_CONS"</f>
        <v>R_CUSTO_CONS</v>
      </c>
      <c r="G903" s="2" t="str">
        <f>"Controladoria / Contabilidade / Relatórios / Custos / Custo Sintético / Mensal (R_CUSTO_CONS)"</f>
        <v>Controladoria / Contabilidade / Relatórios / Custos / Custo Sintético / Mensal (R_CUSTO_CONS)</v>
      </c>
    </row>
    <row r="904" spans="1:7" x14ac:dyDescent="0.3">
      <c r="A904" s="1" t="s">
        <v>4</v>
      </c>
      <c r="B904" s="2" t="str">
        <f t="shared" si="88"/>
        <v>SISTEMA DE CONTROLE CONTABIL</v>
      </c>
      <c r="C904" s="2" t="str">
        <f t="shared" si="89"/>
        <v>CONTR</v>
      </c>
      <c r="D904" s="2" t="str">
        <f t="shared" si="90"/>
        <v>FCCT</v>
      </c>
      <c r="E904" s="2" t="str">
        <f>"RELATÓRIO DE ERRO NA IMPORTAÇÃO PADRÃO"</f>
        <v>RELATÓRIO DE ERRO NA IMPORTAÇÃO PADRÃO</v>
      </c>
      <c r="F904" s="2" t="str">
        <f>"R_FCCT_ERR"</f>
        <v>R_FCCT_ERR</v>
      </c>
      <c r="G904" s="2" t="str">
        <f>" ()"</f>
        <v xml:space="preserve"> ()</v>
      </c>
    </row>
    <row r="905" spans="1:7" x14ac:dyDescent="0.3">
      <c r="A905" s="1" t="s">
        <v>4</v>
      </c>
      <c r="B905" s="2" t="str">
        <f t="shared" si="88"/>
        <v>SISTEMA DE CONTROLE CONTABIL</v>
      </c>
      <c r="C905" s="2" t="str">
        <f t="shared" si="89"/>
        <v>CONTR</v>
      </c>
      <c r="D905" s="2" t="str">
        <f t="shared" si="90"/>
        <v>FCCT</v>
      </c>
      <c r="E905" s="2" t="str">
        <f>"IMPORTACAO:CONTAGEM  -MGES PARA FCCT"</f>
        <v>IMPORTACAO:CONTAGEM  -MGES PARA FCCT</v>
      </c>
      <c r="F905" s="2" t="str">
        <f>"O_IMP_MGES_INVENTA"</f>
        <v>O_IMP_MGES_INVENTA</v>
      </c>
      <c r="G905" s="2" t="str">
        <f>"Controladoria / Contabilidade / Liberação de Movimentações / Estoque / Inventário (O_IMP_MGES_INVENTA)"</f>
        <v>Controladoria / Contabilidade / Liberação de Movimentações / Estoque / Inventário (O_IMP_MGES_INVENTA)</v>
      </c>
    </row>
    <row r="906" spans="1:7" x14ac:dyDescent="0.3">
      <c r="A906" s="1" t="s">
        <v>4</v>
      </c>
      <c r="B906" s="2" t="str">
        <f t="shared" si="88"/>
        <v>SISTEMA DE CONTROLE CONTABIL</v>
      </c>
      <c r="C906" s="2" t="str">
        <f t="shared" si="89"/>
        <v>CONTR</v>
      </c>
      <c r="D906" s="2" t="str">
        <f t="shared" si="90"/>
        <v>FCCT</v>
      </c>
      <c r="E906" s="2" t="str">
        <f>"RELATORIO DE CUSTO POR SETOR"</f>
        <v>RELATORIO DE CUSTO POR SETOR</v>
      </c>
      <c r="F906" s="2" t="str">
        <f>"R_CUSTO_SETOR"</f>
        <v>R_CUSTO_SETOR</v>
      </c>
      <c r="G906" s="2" t="str">
        <f>"Controladoria / Contabilidade / Relatórios / Custos / Conta de Resultado / Analítico (R_CUSTO_SETOR)"</f>
        <v>Controladoria / Contabilidade / Relatórios / Custos / Conta de Resultado / Analítico (R_CUSTO_SETOR)</v>
      </c>
    </row>
    <row r="907" spans="1:7" x14ac:dyDescent="0.3">
      <c r="A907" s="1" t="s">
        <v>4</v>
      </c>
      <c r="B907" s="2" t="str">
        <f t="shared" si="88"/>
        <v>SISTEMA DE CONTROLE CONTABIL</v>
      </c>
      <c r="C907" s="2" t="str">
        <f t="shared" si="89"/>
        <v>CONTR</v>
      </c>
      <c r="D907" s="2" t="str">
        <f t="shared" si="90"/>
        <v>FCCT</v>
      </c>
      <c r="E907" s="2" t="str">
        <f>"RELAT. RAZAO ANALITICO CUSTO"</f>
        <v>RELAT. RAZAO ANALITICO CUSTO</v>
      </c>
      <c r="F907" s="2" t="str">
        <f>"R_RAZAO_CUSTO"</f>
        <v>R_RAZAO_CUSTO</v>
      </c>
      <c r="G907" s="2" t="str">
        <f>"Controladoria / Contabilidade / Relatórios / Custos / Conta de Resultado por Centro de Custo (R_RAZAO_CUSTO)"</f>
        <v>Controladoria / Contabilidade / Relatórios / Custos / Conta de Resultado por Centro de Custo (R_RAZAO_CUSTO)</v>
      </c>
    </row>
    <row r="908" spans="1:7" x14ac:dyDescent="0.3">
      <c r="A908" s="1" t="s">
        <v>4</v>
      </c>
      <c r="B908" s="2" t="str">
        <f t="shared" si="88"/>
        <v>SISTEMA DE CONTROLE CONTABIL</v>
      </c>
      <c r="C908" s="2" t="str">
        <f t="shared" si="89"/>
        <v>CONTR</v>
      </c>
      <c r="D908" s="2" t="str">
        <f t="shared" si="90"/>
        <v>FCCT</v>
      </c>
      <c r="E908" s="2" t="str">
        <f>"IMPORTACAO DO ESTOQUE PARA CONTABILIDADE"</f>
        <v>IMPORTACAO DO ESTOQUE PARA CONTABILIDADE</v>
      </c>
      <c r="F908" s="2" t="str">
        <f>"O_IMP_MGES_FCCT"</f>
        <v>O_IMP_MGES_FCCT</v>
      </c>
      <c r="G908" s="2" t="str">
        <f>"Controladoria / Contabilidade / Liberação de Movimentações / Estoque / Movimentação (O_IMP_MGES_FCCT)"</f>
        <v>Controladoria / Contabilidade / Liberação de Movimentações / Estoque / Movimentação (O_IMP_MGES_FCCT)</v>
      </c>
    </row>
    <row r="909" spans="1:7" x14ac:dyDescent="0.3">
      <c r="A909" s="1" t="s">
        <v>4</v>
      </c>
      <c r="B909" s="2" t="str">
        <f t="shared" si="88"/>
        <v>SISTEMA DE CONTROLE CONTABIL</v>
      </c>
      <c r="C909" s="2" t="str">
        <f t="shared" si="89"/>
        <v>CONTR</v>
      </c>
      <c r="D909" s="2" t="str">
        <f t="shared" si="90"/>
        <v>FCCT</v>
      </c>
      <c r="E909" s="2" t="str">
        <f>"RELAT. CUSTO ANALITICO POR SETOR"</f>
        <v>RELAT. CUSTO ANALITICO POR SETOR</v>
      </c>
      <c r="F909" s="2" t="str">
        <f>"R_RAZAO_SETOR"</f>
        <v>R_RAZAO_SETOR</v>
      </c>
      <c r="G909" s="2" t="str">
        <f>"Controladoria / Contabilidade / Relatórios / Razão / Razão por Centro de Custo (R_RAZAO_SETOR)"</f>
        <v>Controladoria / Contabilidade / Relatórios / Razão / Razão por Centro de Custo (R_RAZAO_SETOR)</v>
      </c>
    </row>
    <row r="910" spans="1:7" x14ac:dyDescent="0.3">
      <c r="A910" s="1" t="s">
        <v>4</v>
      </c>
      <c r="B910" s="2" t="str">
        <f t="shared" si="88"/>
        <v>SISTEMA DE CONTROLE CONTABIL</v>
      </c>
      <c r="C910" s="2" t="str">
        <f t="shared" si="89"/>
        <v>CONTR</v>
      </c>
      <c r="D910" s="2" t="str">
        <f t="shared" si="90"/>
        <v>FCCT</v>
      </c>
      <c r="E910" s="2" t="str">
        <f>"RELATÓRIO CARACTER ACOMPANHAMENTO MENSAL"</f>
        <v>RELATÓRIO CARACTER ACOMPANHAMENTO MENSAL</v>
      </c>
      <c r="F910" s="2" t="str">
        <f>"R_ACOMP_MENSAL_CARACT"</f>
        <v>R_ACOMP_MENSAL_CARACT</v>
      </c>
      <c r="G910" s="2" t="str">
        <f>" ()"</f>
        <v xml:space="preserve"> ()</v>
      </c>
    </row>
    <row r="911" spans="1:7" x14ac:dyDescent="0.3">
      <c r="A911" s="1" t="s">
        <v>4</v>
      </c>
      <c r="B911" s="2" t="str">
        <f t="shared" si="88"/>
        <v>SISTEMA DE CONTROLE CONTABIL</v>
      </c>
      <c r="C911" s="2" t="str">
        <f t="shared" si="89"/>
        <v>CONTR</v>
      </c>
      <c r="D911" s="2" t="str">
        <f t="shared" si="90"/>
        <v>FCCT</v>
      </c>
      <c r="E911" s="2" t="str">
        <f>"RELATÓRIO DE TERMO DE FECHAMENTO"</f>
        <v>RELATÓRIO DE TERMO DE FECHAMENTO</v>
      </c>
      <c r="F911" s="2" t="str">
        <f>"R_TERMO_FECHAMENTO"</f>
        <v>R_TERMO_FECHAMENTO</v>
      </c>
      <c r="G911" s="2" t="str">
        <f>" ()"</f>
        <v xml:space="preserve"> ()</v>
      </c>
    </row>
    <row r="912" spans="1:7" x14ac:dyDescent="0.3">
      <c r="A912" s="1" t="s">
        <v>4</v>
      </c>
      <c r="B912" s="2" t="str">
        <f t="shared" si="88"/>
        <v>SISTEMA DE CONTROLE CONTABIL</v>
      </c>
      <c r="C912" s="2" t="str">
        <f t="shared" si="89"/>
        <v>CONTR</v>
      </c>
      <c r="D912" s="2" t="str">
        <f t="shared" si="90"/>
        <v>FCCT</v>
      </c>
      <c r="E912" s="2" t="str">
        <f>"RELATORIO DE TERMO DE ABERTURA"</f>
        <v>RELATORIO DE TERMO DE ABERTURA</v>
      </c>
      <c r="F912" s="2" t="str">
        <f>"R_TERMO_ABERTURA"</f>
        <v>R_TERMO_ABERTURA</v>
      </c>
      <c r="G912" s="2" t="str">
        <f>" ()"</f>
        <v xml:space="preserve"> ()</v>
      </c>
    </row>
    <row r="913" spans="1:7" x14ac:dyDescent="0.3">
      <c r="A913" s="1" t="s">
        <v>4</v>
      </c>
      <c r="B913" s="2" t="str">
        <f t="shared" si="88"/>
        <v>SISTEMA DE CONTROLE CONTABIL</v>
      </c>
      <c r="C913" s="2" t="str">
        <f t="shared" si="89"/>
        <v>CONTR</v>
      </c>
      <c r="D913" s="2" t="str">
        <f t="shared" si="90"/>
        <v>FCCT</v>
      </c>
      <c r="E913" s="2" t="str">
        <f>"TRIGGER EXCLUSAO E INSERCAO  SALDO SETOR"</f>
        <v>TRIGGER EXCLUSAO E INSERCAO  SALDO SETOR</v>
      </c>
      <c r="F913" s="2" t="str">
        <f>"TRG_LCTO_SETO_D_I"</f>
        <v>TRG_LCTO_SETO_D_I</v>
      </c>
      <c r="G913" s="2" t="str">
        <f>" ()"</f>
        <v xml:space="preserve"> ()</v>
      </c>
    </row>
    <row r="914" spans="1:7" x14ac:dyDescent="0.3">
      <c r="A914" s="1" t="s">
        <v>4</v>
      </c>
      <c r="B914" s="2" t="str">
        <f t="shared" si="88"/>
        <v>SISTEMA DE CONTROLE CONTABIL</v>
      </c>
      <c r="C914" s="2" t="str">
        <f t="shared" si="89"/>
        <v>CONTR</v>
      </c>
      <c r="D914" s="2" t="str">
        <f t="shared" si="90"/>
        <v>FCCT</v>
      </c>
      <c r="E914" s="2" t="str">
        <f>"TRIGGER ATUALIZACAO DE  SALDO SETOR"</f>
        <v>TRIGGER ATUALIZACAO DE  SALDO SETOR</v>
      </c>
      <c r="F914" s="2" t="str">
        <f>"TRG_LCTO_SETOR_U"</f>
        <v>TRG_LCTO_SETOR_U</v>
      </c>
      <c r="G914" s="2" t="str">
        <f>" ()"</f>
        <v xml:space="preserve"> ()</v>
      </c>
    </row>
    <row r="915" spans="1:7" x14ac:dyDescent="0.3">
      <c r="A915" s="1" t="s">
        <v>4</v>
      </c>
      <c r="B915" s="2" t="str">
        <f t="shared" ref="B915:B978" si="91">"SISTEMA DE CONTROLE CONTABIL"</f>
        <v>SISTEMA DE CONTROLE CONTABIL</v>
      </c>
      <c r="C915" s="2" t="str">
        <f t="shared" ref="C915:C978" si="92">"CONTR"</f>
        <v>CONTR</v>
      </c>
      <c r="D915" s="2" t="str">
        <f t="shared" ref="D915:D978" si="93">"FCCT"</f>
        <v>FCCT</v>
      </c>
      <c r="E915" s="2" t="str">
        <f>"RELAT CONFERENCIA DE NOTAS DO FINANCEIRO"</f>
        <v>RELAT CONFERENCIA DE NOTAS DO FINANCEIRO</v>
      </c>
      <c r="F915" s="2" t="str">
        <f>"R_CONF_NOTAS"</f>
        <v>R_CONF_NOTAS</v>
      </c>
      <c r="G915" s="2" t="str">
        <f>"Controladoria / Contabilidade / Relatórios / Auditoria / Conferência de Notas (R_CONF_NOTAS)"</f>
        <v>Controladoria / Contabilidade / Relatórios / Auditoria / Conferência de Notas (R_CONF_NOTAS)</v>
      </c>
    </row>
    <row r="916" spans="1:7" x14ac:dyDescent="0.3">
      <c r="A916" s="1" t="s">
        <v>4</v>
      </c>
      <c r="B916" s="2" t="str">
        <f t="shared" si="91"/>
        <v>SISTEMA DE CONTROLE CONTABIL</v>
      </c>
      <c r="C916" s="2" t="str">
        <f t="shared" si="92"/>
        <v>CONTR</v>
      </c>
      <c r="D916" s="2" t="str">
        <f t="shared" si="93"/>
        <v>FCCT</v>
      </c>
      <c r="E916" s="2" t="str">
        <f>"M_TIP_DET_CONTABIL"</f>
        <v>M_TIP_DET_CONTABIL</v>
      </c>
      <c r="F916" s="2" t="str">
        <f>"M_TIP_DET_CONTABIL"</f>
        <v>M_TIP_DET_CONTABIL</v>
      </c>
      <c r="G916" s="2" t="str">
        <f>"Controladoria / Contabilidade / Configuração / Financeiro / Tipo de Detalhamento (M_TIP_DET_CONTABIL)"</f>
        <v>Controladoria / Contabilidade / Configuração / Financeiro / Tipo de Detalhamento (M_TIP_DET_CONTABIL)</v>
      </c>
    </row>
    <row r="917" spans="1:7" x14ac:dyDescent="0.3">
      <c r="A917" s="1" t="s">
        <v>4</v>
      </c>
      <c r="B917" s="2" t="str">
        <f t="shared" si="91"/>
        <v>SISTEMA DE CONTROLE CONTABIL</v>
      </c>
      <c r="C917" s="2" t="str">
        <f t="shared" si="92"/>
        <v>CONTR</v>
      </c>
      <c r="D917" s="2" t="str">
        <f t="shared" si="93"/>
        <v>FCCT</v>
      </c>
      <c r="E917" s="2" t="str">
        <f>"M_DESC_ACRES_CONTABIL"</f>
        <v>M_DESC_ACRES_CONTABIL</v>
      </c>
      <c r="F917" s="2" t="str">
        <f>"M_DESC_ACRES_CONTABIL"</f>
        <v>M_DESC_ACRES_CONTABIL</v>
      </c>
      <c r="G917" s="2" t="str">
        <f>"Controladoria / Contabilidade / Configuração / Financeiro / Descontos e Acréscimos (M_DESC_ACRES_CONTABIL)"</f>
        <v>Controladoria / Contabilidade / Configuração / Financeiro / Descontos e Acréscimos (M_DESC_ACRES_CONTABIL)</v>
      </c>
    </row>
    <row r="918" spans="1:7" x14ac:dyDescent="0.3">
      <c r="A918" s="1" t="s">
        <v>4</v>
      </c>
      <c r="B918" s="2" t="str">
        <f t="shared" si="91"/>
        <v>SISTEMA DE CONTROLE CONTABIL</v>
      </c>
      <c r="C918" s="2" t="str">
        <f t="shared" si="92"/>
        <v>CONTR</v>
      </c>
      <c r="D918" s="2" t="str">
        <f t="shared" si="93"/>
        <v>FCCT</v>
      </c>
      <c r="E918" s="2" t="str">
        <f>"M_FINCAR_CONTABIL"</f>
        <v>M_FINCAR_CONTABIL</v>
      </c>
      <c r="F918" s="2" t="str">
        <f>"M_FINCAR_CONTABIL"</f>
        <v>M_FINCAR_CONTABIL</v>
      </c>
      <c r="G918" s="2" t="str">
        <f>"Controladoria / Contabilidade / Configuração / Financeiro / Administradoras de Cartão de Crédito (M_FINCAR_CONTABIL)"</f>
        <v>Controladoria / Contabilidade / Configuração / Financeiro / Administradoras de Cartão de Crédito (M_FINCAR_CONTABIL)</v>
      </c>
    </row>
    <row r="919" spans="1:7" x14ac:dyDescent="0.3">
      <c r="A919" s="1" t="s">
        <v>4</v>
      </c>
      <c r="B919" s="2" t="str">
        <f t="shared" si="91"/>
        <v>SISTEMA DE CONTROLE CONTABIL</v>
      </c>
      <c r="C919" s="2" t="str">
        <f t="shared" si="92"/>
        <v>CONTR</v>
      </c>
      <c r="D919" s="2" t="str">
        <f t="shared" si="93"/>
        <v>FCCT</v>
      </c>
      <c r="E919" s="2" t="str">
        <f>"CONFIGURAÇÃO COM O PLANO DE CONTAS"</f>
        <v>CONFIGURAÇÃO COM O PLANO DE CONTAS</v>
      </c>
      <c r="F919" s="2" t="str">
        <f>"M_GLOBAL_PL_CONTAS"</f>
        <v>M_GLOBAL_PL_CONTAS</v>
      </c>
      <c r="G919" s="2" t="str">
        <f>"Controladoria / Contabilidade / Configuração / Convênio / Global X Plano de Contas (M_GLOBAL_PL_CONTAS)"</f>
        <v>Controladoria / Contabilidade / Configuração / Convênio / Global X Plano de Contas (M_GLOBAL_PL_CONTAS)</v>
      </c>
    </row>
    <row r="920" spans="1:7" x14ac:dyDescent="0.3">
      <c r="A920" s="1" t="s">
        <v>4</v>
      </c>
      <c r="B920" s="2" t="str">
        <f t="shared" si="91"/>
        <v>SISTEMA DE CONTROLE CONTABIL</v>
      </c>
      <c r="C920" s="2" t="str">
        <f t="shared" si="92"/>
        <v>CONTR</v>
      </c>
      <c r="D920" s="2" t="str">
        <f t="shared" si="93"/>
        <v>FCCT</v>
      </c>
      <c r="E920" s="2" t="str">
        <f>"PLANO DE CONTAS ANS"</f>
        <v>PLANO DE CONTAS ANS</v>
      </c>
      <c r="F920" s="2" t="str">
        <f>"M_MVS_PLANO_ANS"</f>
        <v>M_MVS_PLANO_ANS</v>
      </c>
      <c r="G920" s="2" t="str">
        <f>" ()"</f>
        <v xml:space="preserve"> ()</v>
      </c>
    </row>
    <row r="921" spans="1:7" x14ac:dyDescent="0.3">
      <c r="A921" s="1" t="s">
        <v>4</v>
      </c>
      <c r="B921" s="2" t="str">
        <f t="shared" si="91"/>
        <v>SISTEMA DE CONTROLE CONTABIL</v>
      </c>
      <c r="C921" s="2" t="str">
        <f t="shared" si="92"/>
        <v>CONTR</v>
      </c>
      <c r="D921" s="2" t="str">
        <f t="shared" si="93"/>
        <v>FCCT</v>
      </c>
      <c r="E921" s="2" t="str">
        <f>"MENU DE CUSTOS COM CONTABILIDADE"</f>
        <v>MENU DE CUSTOS COM CONTABILIDADE</v>
      </c>
      <c r="F921" s="2" t="str">
        <f>"M_FFCH_CONTABIL"</f>
        <v>M_FFCH_CONTABIL</v>
      </c>
      <c r="G921" s="2" t="str">
        <f>" ()"</f>
        <v xml:space="preserve"> ()</v>
      </c>
    </row>
    <row r="922" spans="1:7" x14ac:dyDescent="0.3">
      <c r="A922" s="1" t="s">
        <v>4</v>
      </c>
      <c r="B922" s="2" t="str">
        <f t="shared" si="91"/>
        <v>SISTEMA DE CONTROLE CONTABIL</v>
      </c>
      <c r="C922" s="2" t="str">
        <f t="shared" si="92"/>
        <v>CONTR</v>
      </c>
      <c r="D922" s="2" t="str">
        <f t="shared" si="93"/>
        <v>FCCT</v>
      </c>
      <c r="E922" s="2" t="str">
        <f>"FORMS PRINCIPAL DE CUSTOS/CONTABILIDADE"</f>
        <v>FORMS PRINCIPAL DE CUSTOS/CONTABILIDADE</v>
      </c>
      <c r="F922" s="2" t="str">
        <f>"FFCH_CONTABIL"</f>
        <v>FFCH_CONTABIL</v>
      </c>
      <c r="G922" s="2" t="str">
        <f>" ()"</f>
        <v xml:space="preserve"> ()</v>
      </c>
    </row>
    <row r="923" spans="1:7" x14ac:dyDescent="0.3">
      <c r="A923" s="1" t="s">
        <v>4</v>
      </c>
      <c r="B923" s="2" t="str">
        <f t="shared" si="91"/>
        <v>SISTEMA DE CONTROLE CONTABIL</v>
      </c>
      <c r="C923" s="2" t="str">
        <f t="shared" si="92"/>
        <v>CONTR</v>
      </c>
      <c r="D923" s="2" t="str">
        <f t="shared" si="93"/>
        <v>FCCT</v>
      </c>
      <c r="E923" s="2" t="str">
        <f>"USUÁRIO X PLANO CONTAS"</f>
        <v>USUÁRIO X PLANO CONTAS</v>
      </c>
      <c r="F923" s="2" t="str">
        <f>"M_PLANO_USU_EMP"</f>
        <v>M_PLANO_USU_EMP</v>
      </c>
      <c r="G923" s="2" t="str">
        <f>"Apoio a TI / Gestão de Usuários / Configurações de Acesso / Acessos Controladoria / Usuários por Plano de Contas (M_PLANO_USU_EMP)"</f>
        <v>Apoio a TI / Gestão de Usuários / Configurações de Acesso / Acessos Controladoria / Usuários por Plano de Contas (M_PLANO_USU_EMP)</v>
      </c>
    </row>
    <row r="924" spans="1:7" x14ac:dyDescent="0.3">
      <c r="A924" s="1" t="s">
        <v>4</v>
      </c>
      <c r="B924" s="2" t="str">
        <f t="shared" si="91"/>
        <v>SISTEMA DE CONTROLE CONTABIL</v>
      </c>
      <c r="C924" s="2" t="str">
        <f t="shared" si="92"/>
        <v>CONTR</v>
      </c>
      <c r="D924" s="2" t="str">
        <f t="shared" si="93"/>
        <v>FCCT</v>
      </c>
      <c r="E924" s="2" t="str">
        <f>"CONSULTA LANCAMENTO CONTABIL P LOTE"</f>
        <v>CONSULTA LANCAMENTO CONTABIL P LOTE</v>
      </c>
      <c r="F924" s="2" t="str">
        <f>"C_LOTE"</f>
        <v>C_LOTE</v>
      </c>
      <c r="G924" s="2" t="str">
        <f>"Controladoria / Contabilidade / Consultas / Lancamento Contabil - Lote (C_LOTE)"</f>
        <v>Controladoria / Contabilidade / Consultas / Lancamento Contabil - Lote (C_LOTE)</v>
      </c>
    </row>
    <row r="925" spans="1:7" x14ac:dyDescent="0.3">
      <c r="A925" s="1" t="s">
        <v>4</v>
      </c>
      <c r="B925" s="2" t="str">
        <f t="shared" si="91"/>
        <v>SISTEMA DE CONTROLE CONTABIL</v>
      </c>
      <c r="C925" s="2" t="str">
        <f t="shared" si="92"/>
        <v>CONTR</v>
      </c>
      <c r="D925" s="2" t="str">
        <f t="shared" si="93"/>
        <v>FCCT</v>
      </c>
      <c r="E925" s="2" t="str">
        <f>"FECHAMENTO DE CONTABILIDADE"</f>
        <v>FECHAMENTO DE CONTABILIDADE</v>
      </c>
      <c r="F925" s="2" t="str">
        <f>"M_FECH_CONT"</f>
        <v>M_FECH_CONT</v>
      </c>
      <c r="G925" s="2" t="str">
        <f>"Controladoria / Contabilidade / Lançamentos / Fechamento (M_FECH_CONT)"</f>
        <v>Controladoria / Contabilidade / Lançamentos / Fechamento (M_FECH_CONT)</v>
      </c>
    </row>
    <row r="926" spans="1:7" x14ac:dyDescent="0.3">
      <c r="A926" s="1" t="s">
        <v>4</v>
      </c>
      <c r="B926" s="2" t="str">
        <f t="shared" si="91"/>
        <v>SISTEMA DE CONTROLE CONTABIL</v>
      </c>
      <c r="C926" s="2" t="str">
        <f t="shared" si="92"/>
        <v>CONTR</v>
      </c>
      <c r="D926" s="2" t="str">
        <f t="shared" si="93"/>
        <v>FCCT</v>
      </c>
      <c r="E926" s="2" t="str">
        <f>"ABERTURA CONTABIL"</f>
        <v>ABERTURA CONTABIL</v>
      </c>
      <c r="F926" s="2" t="str">
        <f>"M_ABERT_CONTA"</f>
        <v>M_ABERT_CONTA</v>
      </c>
      <c r="G926" s="2" t="str">
        <f>" ()"</f>
        <v xml:space="preserve"> ()</v>
      </c>
    </row>
    <row r="927" spans="1:7" x14ac:dyDescent="0.3">
      <c r="A927" s="1" t="s">
        <v>4</v>
      </c>
      <c r="B927" s="2" t="str">
        <f t="shared" si="91"/>
        <v>SISTEMA DE CONTROLE CONTABIL</v>
      </c>
      <c r="C927" s="2" t="str">
        <f t="shared" si="92"/>
        <v>CONTR</v>
      </c>
      <c r="D927" s="2" t="str">
        <f t="shared" si="93"/>
        <v>FCCT</v>
      </c>
      <c r="E927" s="2" t="str">
        <f>"ABERTURA CONTABIL"</f>
        <v>ABERTURA CONTABIL</v>
      </c>
      <c r="F927" s="2" t="str">
        <f>"M_ABERT_CONT"</f>
        <v>M_ABERT_CONT</v>
      </c>
      <c r="G927" s="2" t="str">
        <f>"Controladoria / Contabilidade / Lançamentos / Abertura (M_ABERT_CONT)"</f>
        <v>Controladoria / Contabilidade / Lançamentos / Abertura (M_ABERT_CONT)</v>
      </c>
    </row>
    <row r="928" spans="1:7" x14ac:dyDescent="0.3">
      <c r="A928" s="1" t="s">
        <v>4</v>
      </c>
      <c r="B928" s="2" t="str">
        <f t="shared" si="91"/>
        <v>SISTEMA DE CONTROLE CONTABIL</v>
      </c>
      <c r="C928" s="2" t="str">
        <f t="shared" si="92"/>
        <v>CONTR</v>
      </c>
      <c r="D928" s="2" t="str">
        <f t="shared" si="93"/>
        <v>FCCT</v>
      </c>
      <c r="E928" s="2" t="str">
        <f>"RELATORIO DE CONFERENCIA DE LOTES  SETOR"</f>
        <v>RELATORIO DE CONFERENCIA DE LOTES  SETOR</v>
      </c>
      <c r="F928" s="2" t="str">
        <f>"R_CONFLOTE_SETOR"</f>
        <v>R_CONFLOTE_SETOR</v>
      </c>
      <c r="G928" s="2" t="str">
        <f>"Controladoria / Contabilidade / Relatórios / Auditoria / Conferência de Lotes por Centro de Custo (R_CONFLOTE_SETOR)"</f>
        <v>Controladoria / Contabilidade / Relatórios / Auditoria / Conferência de Lotes por Centro de Custo (R_CONFLOTE_SETOR)</v>
      </c>
    </row>
    <row r="929" spans="1:7" x14ac:dyDescent="0.3">
      <c r="A929" s="1" t="s">
        <v>4</v>
      </c>
      <c r="B929" s="2" t="str">
        <f t="shared" si="91"/>
        <v>SISTEMA DE CONTROLE CONTABIL</v>
      </c>
      <c r="C929" s="2" t="str">
        <f t="shared" si="92"/>
        <v>CONTR</v>
      </c>
      <c r="D929" s="2" t="str">
        <f t="shared" si="93"/>
        <v>FCCT</v>
      </c>
      <c r="E929" s="2" t="str">
        <f>"R_BALANCTE"</f>
        <v>R_BALANCTE</v>
      </c>
      <c r="F929" s="2" t="str">
        <f>"R_BALANCTE"</f>
        <v>R_BALANCTE</v>
      </c>
      <c r="G929" s="2" t="str">
        <f>" ()"</f>
        <v xml:space="preserve"> ()</v>
      </c>
    </row>
    <row r="930" spans="1:7" x14ac:dyDescent="0.3">
      <c r="A930" s="1" t="s">
        <v>4</v>
      </c>
      <c r="B930" s="2" t="str">
        <f t="shared" si="91"/>
        <v>SISTEMA DE CONTROLE CONTABIL</v>
      </c>
      <c r="C930" s="2" t="str">
        <f t="shared" si="92"/>
        <v>CONTR</v>
      </c>
      <c r="D930" s="2" t="str">
        <f t="shared" si="93"/>
        <v>FCCT</v>
      </c>
      <c r="E930" s="2" t="str">
        <f>"CUSTO ANALÍTICO CARACTER"</f>
        <v>CUSTO ANALÍTICO CARACTER</v>
      </c>
      <c r="F930" s="2" t="str">
        <f>"R_CUSTO_ANALITICO_CARACT"</f>
        <v>R_CUSTO_ANALITICO_CARACT</v>
      </c>
      <c r="G930" s="2" t="str">
        <f>" ()"</f>
        <v xml:space="preserve"> ()</v>
      </c>
    </row>
    <row r="931" spans="1:7" x14ac:dyDescent="0.3">
      <c r="A931" s="1" t="s">
        <v>4</v>
      </c>
      <c r="B931" s="2" t="str">
        <f t="shared" si="91"/>
        <v>SISTEMA DE CONTROLE CONTABIL</v>
      </c>
      <c r="C931" s="2" t="str">
        <f t="shared" si="92"/>
        <v>CONTR</v>
      </c>
      <c r="D931" s="2" t="str">
        <f t="shared" si="93"/>
        <v>FCCT</v>
      </c>
      <c r="E931" s="2" t="str">
        <f>"CUSTO ANALITICO"</f>
        <v>CUSTO ANALITICO</v>
      </c>
      <c r="F931" s="2" t="str">
        <f>"R_CUSTO_ANALITICO"</f>
        <v>R_CUSTO_ANALITICO</v>
      </c>
      <c r="G931" s="2" t="str">
        <f>"Controladoria / Contabilidade / Relatórios / Custos / Custo Analítico (R_CUSTO_ANALITICO)"</f>
        <v>Controladoria / Contabilidade / Relatórios / Custos / Custo Analítico (R_CUSTO_ANALITICO)</v>
      </c>
    </row>
    <row r="932" spans="1:7" x14ac:dyDescent="0.3">
      <c r="A932" s="1" t="s">
        <v>4</v>
      </c>
      <c r="B932" s="2" t="str">
        <f t="shared" si="91"/>
        <v>SISTEMA DE CONTROLE CONTABIL</v>
      </c>
      <c r="C932" s="2" t="str">
        <f t="shared" si="92"/>
        <v>CONTR</v>
      </c>
      <c r="D932" s="2" t="str">
        <f t="shared" si="93"/>
        <v>FCCT</v>
      </c>
      <c r="E932" s="2" t="str">
        <f>"IMPORT  NOTAS  DOACAO: ESTOQUE X CONTAB"</f>
        <v>IMPORT  NOTAS  DOACAO: ESTOQUE X CONTAB</v>
      </c>
      <c r="F932" s="2" t="str">
        <f>"O_IMP_MGES_DOACAO"</f>
        <v>O_IMP_MGES_DOACAO</v>
      </c>
      <c r="G932" s="2" t="str">
        <f>"Controladoria / Contabilidade / Liberação de Movimentações / Estoque / Doação (O_IMP_MGES_DOACAO)"</f>
        <v>Controladoria / Contabilidade / Liberação de Movimentações / Estoque / Doação (O_IMP_MGES_DOACAO)</v>
      </c>
    </row>
    <row r="933" spans="1:7" x14ac:dyDescent="0.3">
      <c r="A933" s="1" t="s">
        <v>4</v>
      </c>
      <c r="B933" s="2" t="str">
        <f t="shared" si="91"/>
        <v>SISTEMA DE CONTROLE CONTABIL</v>
      </c>
      <c r="C933" s="2" t="str">
        <f t="shared" si="92"/>
        <v>CONTR</v>
      </c>
      <c r="D933" s="2" t="str">
        <f t="shared" si="93"/>
        <v>FCCT</v>
      </c>
      <c r="E933" s="2" t="str">
        <f>"R_PERSON_FCCT"</f>
        <v>R_PERSON_FCCT</v>
      </c>
      <c r="F933" s="2" t="str">
        <f>"R_PERSON_FCCT"</f>
        <v>R_PERSON_FCCT</v>
      </c>
      <c r="G933" s="2" t="str">
        <f>"Controladoria / Contabilidade / Relatórios / Personalizado (R_PERSON_FCCT)"</f>
        <v>Controladoria / Contabilidade / Relatórios / Personalizado (R_PERSON_FCCT)</v>
      </c>
    </row>
    <row r="934" spans="1:7" x14ac:dyDescent="0.3">
      <c r="A934" s="1" t="s">
        <v>4</v>
      </c>
      <c r="B934" s="2" t="str">
        <f t="shared" si="91"/>
        <v>SISTEMA DE CONTROLE CONTABIL</v>
      </c>
      <c r="C934" s="2" t="str">
        <f t="shared" si="92"/>
        <v>CONTR</v>
      </c>
      <c r="D934" s="2" t="str">
        <f t="shared" si="93"/>
        <v>FCCT</v>
      </c>
      <c r="E934" s="2" t="str">
        <f>"R_MODELO"</f>
        <v>R_MODELO</v>
      </c>
      <c r="F934" s="2" t="str">
        <f>"R_MODELO"</f>
        <v>R_MODELO</v>
      </c>
      <c r="G934" s="2" t="str">
        <f>"Controladoria / Fiscal / Relatórios / Contábeis / Relatório dos Modelos Contábeis (R_MODELO)"</f>
        <v>Controladoria / Fiscal / Relatórios / Contábeis / Relatório dos Modelos Contábeis (R_MODELO)</v>
      </c>
    </row>
    <row r="935" spans="1:7" x14ac:dyDescent="0.3">
      <c r="A935" s="1" t="s">
        <v>4</v>
      </c>
      <c r="B935" s="2" t="str">
        <f t="shared" si="91"/>
        <v>SISTEMA DE CONTROLE CONTABIL</v>
      </c>
      <c r="C935" s="2" t="str">
        <f t="shared" si="92"/>
        <v>CONTR</v>
      </c>
      <c r="D935" s="2" t="str">
        <f t="shared" si="93"/>
        <v>FCCT</v>
      </c>
      <c r="E935" s="2" t="str">
        <f>"CADASTRO: VISÃO CONTÁBIL"</f>
        <v>CADASTRO: VISÃO CONTÁBIL</v>
      </c>
      <c r="F935" s="2" t="str">
        <f>"M_VISAO_CONTABIL"</f>
        <v>M_VISAO_CONTABIL</v>
      </c>
      <c r="G935" s="2" t="str">
        <f>"Controladoria / Contabilidade / Tabelas / Visão Contábil (M_VISAO_CONTABIL)"</f>
        <v>Controladoria / Contabilidade / Tabelas / Visão Contábil (M_VISAO_CONTABIL)</v>
      </c>
    </row>
    <row r="936" spans="1:7" x14ac:dyDescent="0.3">
      <c r="A936" s="1" t="s">
        <v>4</v>
      </c>
      <c r="B936" s="2" t="str">
        <f t="shared" si="91"/>
        <v>SISTEMA DE CONTROLE CONTABIL</v>
      </c>
      <c r="C936" s="2" t="str">
        <f t="shared" si="92"/>
        <v>CONTR</v>
      </c>
      <c r="D936" s="2" t="str">
        <f t="shared" si="93"/>
        <v>FCCT</v>
      </c>
      <c r="E936" s="2" t="str">
        <f>"IMPORTAÇÃO: FINANCEIRO"</f>
        <v>IMPORTAÇÃO: FINANCEIRO</v>
      </c>
      <c r="F936" s="2" t="str">
        <f>"O_IMP_FINANC_PROCESSO"</f>
        <v>O_IMP_FINANC_PROCESSO</v>
      </c>
      <c r="G936" s="2" t="str">
        <f>"Controladoria / Contabilidade / Liberação de Movimentações / Financeiro (O_IMP_FINANC_PROCESSO)"</f>
        <v>Controladoria / Contabilidade / Liberação de Movimentações / Financeiro (O_IMP_FINANC_PROCESSO)</v>
      </c>
    </row>
    <row r="937" spans="1:7" x14ac:dyDescent="0.3">
      <c r="A937" s="1" t="s">
        <v>4</v>
      </c>
      <c r="B937" s="2" t="str">
        <f t="shared" si="91"/>
        <v>SISTEMA DE CONTROLE CONTABIL</v>
      </c>
      <c r="C937" s="2" t="str">
        <f t="shared" si="92"/>
        <v>CONTR</v>
      </c>
      <c r="D937" s="2" t="str">
        <f t="shared" si="93"/>
        <v>FCCT</v>
      </c>
      <c r="E937" s="2" t="str">
        <f>"PÁGINAS DO DIOPS"</f>
        <v>PÁGINAS DO DIOPS</v>
      </c>
      <c r="F937" s="2" t="str">
        <f>"M_DIOPS_PAGINA"</f>
        <v>M_DIOPS_PAGINA</v>
      </c>
      <c r="G937" s="2" t="str">
        <f>"Controladoria / Contabilidade / Exportação / DIOPS / Financeiro (M_DIOPS_PAGINA)"</f>
        <v>Controladoria / Contabilidade / Exportação / DIOPS / Financeiro (M_DIOPS_PAGINA)</v>
      </c>
    </row>
    <row r="938" spans="1:7" x14ac:dyDescent="0.3">
      <c r="A938" s="1" t="s">
        <v>4</v>
      </c>
      <c r="B938" s="2" t="str">
        <f t="shared" si="91"/>
        <v>SISTEMA DE CONTROLE CONTABIL</v>
      </c>
      <c r="C938" s="2" t="str">
        <f t="shared" si="92"/>
        <v>CONTR</v>
      </c>
      <c r="D938" s="2" t="str">
        <f t="shared" si="93"/>
        <v>FCCT</v>
      </c>
      <c r="E938" s="2" t="str">
        <f>"PÁGINAS DO DIOPS"</f>
        <v>PÁGINAS DO DIOPS</v>
      </c>
      <c r="F938" s="2" t="str">
        <f>"M_DIOPS_PAGINA"</f>
        <v>M_DIOPS_PAGINA</v>
      </c>
      <c r="G938" s="2" t="str">
        <f>"MVSaude / ANS / DIOPS / Configuração do DIOPS financeiro (M_DIOPS_PAGINA)"</f>
        <v>MVSaude / ANS / DIOPS / Configuração do DIOPS financeiro (M_DIOPS_PAGINA)</v>
      </c>
    </row>
    <row r="939" spans="1:7" x14ac:dyDescent="0.3">
      <c r="A939" s="1" t="s">
        <v>4</v>
      </c>
      <c r="B939" s="2" t="str">
        <f t="shared" si="91"/>
        <v>SISTEMA DE CONTROLE CONTABIL</v>
      </c>
      <c r="C939" s="2" t="str">
        <f t="shared" si="92"/>
        <v>CONTR</v>
      </c>
      <c r="D939" s="2" t="str">
        <f t="shared" si="93"/>
        <v>FCCT</v>
      </c>
      <c r="E939" s="2" t="str">
        <f>"CONFIGURAÇÃO DO DIOPS CADASTRAL"</f>
        <v>CONFIGURAÇÃO DO DIOPS CADASTRAL</v>
      </c>
      <c r="F939" s="2" t="str">
        <f>"M_CFG_DIOPS_CADASTRAL"</f>
        <v>M_CFG_DIOPS_CADASTRAL</v>
      </c>
      <c r="G939" s="2" t="str">
        <f>"Controladoria / Contabilidade / Exportação / DIOPS / Cadastral (M_CFG_DIOPS_CADASTRAL)"</f>
        <v>Controladoria / Contabilidade / Exportação / DIOPS / Cadastral (M_CFG_DIOPS_CADASTRAL)</v>
      </c>
    </row>
    <row r="940" spans="1:7" x14ac:dyDescent="0.3">
      <c r="A940" s="1" t="s">
        <v>4</v>
      </c>
      <c r="B940" s="2" t="str">
        <f t="shared" si="91"/>
        <v>SISTEMA DE CONTROLE CONTABIL</v>
      </c>
      <c r="C940" s="2" t="str">
        <f t="shared" si="92"/>
        <v>CONTR</v>
      </c>
      <c r="D940" s="2" t="str">
        <f t="shared" si="93"/>
        <v>FCCT</v>
      </c>
      <c r="E940" s="2" t="str">
        <f>"CONFIGURAÇÃO DO DIOPS CADASTRAL"</f>
        <v>CONFIGURAÇÃO DO DIOPS CADASTRAL</v>
      </c>
      <c r="F940" s="2" t="str">
        <f>"M_CFG_DIOPS_CADASTRAL"</f>
        <v>M_CFG_DIOPS_CADASTRAL</v>
      </c>
      <c r="G940" s="2" t="str">
        <f>"MVSaude / ANS / DIOPS / Configuração do DIOPS cadastral (M_CFG_DIOPS_CADASTRAL)"</f>
        <v>MVSaude / ANS / DIOPS / Configuração do DIOPS cadastral (M_CFG_DIOPS_CADASTRAL)</v>
      </c>
    </row>
    <row r="941" spans="1:7" x14ac:dyDescent="0.3">
      <c r="A941" s="1" t="s">
        <v>4</v>
      </c>
      <c r="B941" s="2" t="str">
        <f t="shared" si="91"/>
        <v>SISTEMA DE CONTROLE CONTABIL</v>
      </c>
      <c r="C941" s="2" t="str">
        <f t="shared" si="92"/>
        <v>CONTR</v>
      </c>
      <c r="D941" s="2" t="str">
        <f t="shared" si="93"/>
        <v>FCCT</v>
      </c>
      <c r="E941" s="2" t="str">
        <f>"REFERENCIA PLANO DE CONTAS SPED"</f>
        <v>REFERENCIA PLANO DE CONTAS SPED</v>
      </c>
      <c r="F941" s="2" t="str">
        <f>"M_LECD_REF"</f>
        <v>M_LECD_REF</v>
      </c>
      <c r="G941" s="2" t="str">
        <f>"Controladoria / Fiscal / Tabelas / Plano de contas referencial (SPED) (M_LECD_REF)"</f>
        <v>Controladoria / Fiscal / Tabelas / Plano de contas referencial (SPED) (M_LECD_REF)</v>
      </c>
    </row>
    <row r="942" spans="1:7" x14ac:dyDescent="0.3">
      <c r="A942" s="1" t="s">
        <v>4</v>
      </c>
      <c r="B942" s="2" t="str">
        <f t="shared" si="91"/>
        <v>SISTEMA DE CONTROLE CONTABIL</v>
      </c>
      <c r="C942" s="2" t="str">
        <f t="shared" si="92"/>
        <v>CONTR</v>
      </c>
      <c r="D942" s="2" t="str">
        <f t="shared" si="93"/>
        <v>FCCT</v>
      </c>
      <c r="E942" s="2" t="str">
        <f>"REFERENCIA PLANO DE CONTAS SPED"</f>
        <v>REFERENCIA PLANO DE CONTAS SPED</v>
      </c>
      <c r="F942" s="2" t="str">
        <f>"M_LECD_REF"</f>
        <v>M_LECD_REF</v>
      </c>
      <c r="G942" s="2" t="str">
        <f>"Controladoria / Contabilidade / Exportação / Escrituração Contábil Digital (SPED) / Planos de Contas Referênciais (M_LECD_REF)"</f>
        <v>Controladoria / Contabilidade / Exportação / Escrituração Contábil Digital (SPED) / Planos de Contas Referênciais (M_LECD_REF)</v>
      </c>
    </row>
    <row r="943" spans="1:7" x14ac:dyDescent="0.3">
      <c r="A943" s="1" t="s">
        <v>4</v>
      </c>
      <c r="B943" s="2" t="str">
        <f t="shared" si="91"/>
        <v>SISTEMA DE CONTROLE CONTABIL</v>
      </c>
      <c r="C943" s="2" t="str">
        <f t="shared" si="92"/>
        <v>CONTR</v>
      </c>
      <c r="D943" s="2" t="str">
        <f t="shared" si="93"/>
        <v>FCCT</v>
      </c>
      <c r="E943" s="2" t="str">
        <f>"R_DEMONSTRATIVO_LALUR"</f>
        <v>R_DEMONSTRATIVO_LALUR</v>
      </c>
      <c r="F943" s="2" t="str">
        <f>"R_DEMONSTRATIVO_LALUR"</f>
        <v>R_DEMONSTRATIVO_LALUR</v>
      </c>
      <c r="G943" s="2" t="str">
        <f>"Controladoria / Contabilidade / Relatórios / Demonstrativos Contábeis / LALUR / Demonstrativos (R_DEMONSTRATIVO_LALUR)"</f>
        <v>Controladoria / Contabilidade / Relatórios / Demonstrativos Contábeis / LALUR / Demonstrativos (R_DEMONSTRATIVO_LALUR)</v>
      </c>
    </row>
    <row r="944" spans="1:7" x14ac:dyDescent="0.3">
      <c r="A944" s="1" t="s">
        <v>4</v>
      </c>
      <c r="B944" s="2" t="str">
        <f t="shared" si="91"/>
        <v>SISTEMA DE CONTROLE CONTABIL</v>
      </c>
      <c r="C944" s="2" t="str">
        <f t="shared" si="92"/>
        <v>CONTR</v>
      </c>
      <c r="D944" s="2" t="str">
        <f t="shared" si="93"/>
        <v>FCCT</v>
      </c>
      <c r="E944" s="2" t="str">
        <f>"M_DIGITACAO_LALUR"</f>
        <v>M_DIGITACAO_LALUR</v>
      </c>
      <c r="F944" s="2" t="str">
        <f>"M_DIGITACAO_LALUR"</f>
        <v>M_DIGITACAO_LALUR</v>
      </c>
      <c r="G944" s="2" t="str">
        <f>"Controladoria / Contabilidade / Relatórios / Demonstrativos Contábeis / LALUR / Digitação (M_DIGITACAO_LALUR)"</f>
        <v>Controladoria / Contabilidade / Relatórios / Demonstrativos Contábeis / LALUR / Digitação (M_DIGITACAO_LALUR)</v>
      </c>
    </row>
    <row r="945" spans="1:7" x14ac:dyDescent="0.3">
      <c r="A945" s="1" t="s">
        <v>4</v>
      </c>
      <c r="B945" s="2" t="str">
        <f t="shared" si="91"/>
        <v>SISTEMA DE CONTROLE CONTABIL</v>
      </c>
      <c r="C945" s="2" t="str">
        <f t="shared" si="92"/>
        <v>CONTR</v>
      </c>
      <c r="D945" s="2" t="str">
        <f t="shared" si="93"/>
        <v>FCCT</v>
      </c>
      <c r="E945" s="2" t="str">
        <f>"M_CONFIGURACAO_LALUR"</f>
        <v>M_CONFIGURACAO_LALUR</v>
      </c>
      <c r="F945" s="2" t="str">
        <f>"M_CONFIGURACAO_LALUR"</f>
        <v>M_CONFIGURACAO_LALUR</v>
      </c>
      <c r="G945" s="2" t="str">
        <f>"Controladoria / Contabilidade / Relatórios / Demonstrativos Contábeis / LALUR / Configuração (M_CONFIGURACAO_LALUR)"</f>
        <v>Controladoria / Contabilidade / Relatórios / Demonstrativos Contábeis / LALUR / Configuração (M_CONFIGURACAO_LALUR)</v>
      </c>
    </row>
    <row r="946" spans="1:7" x14ac:dyDescent="0.3">
      <c r="A946" s="1" t="s">
        <v>4</v>
      </c>
      <c r="B946" s="2" t="str">
        <f t="shared" si="91"/>
        <v>SISTEMA DE CONTROLE CONTABIL</v>
      </c>
      <c r="C946" s="2" t="str">
        <f t="shared" si="92"/>
        <v>CONTR</v>
      </c>
      <c r="D946" s="2" t="str">
        <f t="shared" si="93"/>
        <v>FCCT</v>
      </c>
      <c r="E946" s="2" t="str">
        <f>"RELATÓRIO DO RAZÃO CARACTER"</f>
        <v>RELATÓRIO DO RAZÃO CARACTER</v>
      </c>
      <c r="F946" s="2" t="str">
        <f>"R_RAZAO_CARACT"</f>
        <v>R_RAZAO_CARACT</v>
      </c>
      <c r="G946" s="2" t="str">
        <f>" ()"</f>
        <v xml:space="preserve"> ()</v>
      </c>
    </row>
    <row r="947" spans="1:7" x14ac:dyDescent="0.3">
      <c r="A947" s="1" t="s">
        <v>4</v>
      </c>
      <c r="B947" s="2" t="str">
        <f t="shared" si="91"/>
        <v>SISTEMA DE CONTROLE CONTABIL</v>
      </c>
      <c r="C947" s="2" t="str">
        <f t="shared" si="92"/>
        <v>CONTR</v>
      </c>
      <c r="D947" s="2" t="str">
        <f t="shared" si="93"/>
        <v>FCCT</v>
      </c>
      <c r="E947" s="2" t="str">
        <f>"WIN_PRINCIPAL"</f>
        <v>WIN_PRINCIPAL</v>
      </c>
      <c r="F947" s="2" t="str">
        <f>"O_PROCESSAR_DIOPS"</f>
        <v>O_PROCESSAR_DIOPS</v>
      </c>
      <c r="G947" s="2" t="str">
        <f>"Controladoria / Contabilidade / Exportação / DIOPS / XML (O_PROCESSAR_DIOPS)"</f>
        <v>Controladoria / Contabilidade / Exportação / DIOPS / XML (O_PROCESSAR_DIOPS)</v>
      </c>
    </row>
    <row r="948" spans="1:7" x14ac:dyDescent="0.3">
      <c r="A948" s="1" t="s">
        <v>4</v>
      </c>
      <c r="B948" s="2" t="str">
        <f t="shared" si="91"/>
        <v>SISTEMA DE CONTROLE CONTABIL</v>
      </c>
      <c r="C948" s="2" t="str">
        <f t="shared" si="92"/>
        <v>CONTR</v>
      </c>
      <c r="D948" s="2" t="str">
        <f t="shared" si="93"/>
        <v>FCCT</v>
      </c>
      <c r="E948" s="2" t="str">
        <f>"WIN_PRINCIPAL"</f>
        <v>WIN_PRINCIPAL</v>
      </c>
      <c r="F948" s="2" t="str">
        <f>"O_PROCESSAR_DIOPS"</f>
        <v>O_PROCESSAR_DIOPS</v>
      </c>
      <c r="G948" s="2" t="str">
        <f>"MVSaude / ANS / DIOPS / Processar (O_PROCESSAR_DIOPS)"</f>
        <v>MVSaude / ANS / DIOPS / Processar (O_PROCESSAR_DIOPS)</v>
      </c>
    </row>
    <row r="949" spans="1:7" x14ac:dyDescent="0.3">
      <c r="A949" s="1" t="s">
        <v>4</v>
      </c>
      <c r="B949" s="2" t="str">
        <f t="shared" si="91"/>
        <v>SISTEMA DE CONTROLE CONTABIL</v>
      </c>
      <c r="C949" s="2" t="str">
        <f t="shared" si="92"/>
        <v>CONTR</v>
      </c>
      <c r="D949" s="2" t="str">
        <f t="shared" si="93"/>
        <v>FCCT</v>
      </c>
      <c r="E949" s="2" t="str">
        <f>"CADASTRO: PORTADORES"</f>
        <v>CADASTRO: PORTADORES</v>
      </c>
      <c r="F949" s="2" t="str">
        <f>"M_NATUREZA_CONTABIL"</f>
        <v>M_NATUREZA_CONTABIL</v>
      </c>
      <c r="G949" s="2" t="str">
        <f>" ()"</f>
        <v xml:space="preserve"> ()</v>
      </c>
    </row>
    <row r="950" spans="1:7" x14ac:dyDescent="0.3">
      <c r="A950" s="1" t="s">
        <v>4</v>
      </c>
      <c r="B950" s="2" t="str">
        <f t="shared" si="91"/>
        <v>SISTEMA DE CONTROLE CONTABIL</v>
      </c>
      <c r="C950" s="2" t="str">
        <f t="shared" si="92"/>
        <v>CONTR</v>
      </c>
      <c r="D950" s="2" t="str">
        <f t="shared" si="93"/>
        <v>FCCT</v>
      </c>
      <c r="E950" s="2" t="str">
        <f>"R_CONTA_CONTABIL_CARACT"</f>
        <v>R_CONTA_CONTABIL_CARACT</v>
      </c>
      <c r="F950" s="2" t="str">
        <f>"R_CONTA_CONTABIL_CARACT"</f>
        <v>R_CONTA_CONTABIL_CARACT</v>
      </c>
      <c r="G950" s="2" t="str">
        <f>" ()"</f>
        <v xml:space="preserve"> ()</v>
      </c>
    </row>
    <row r="951" spans="1:7" x14ac:dyDescent="0.3">
      <c r="A951" s="1" t="s">
        <v>4</v>
      </c>
      <c r="B951" s="2" t="str">
        <f t="shared" si="91"/>
        <v>SISTEMA DE CONTROLE CONTABIL</v>
      </c>
      <c r="C951" s="2" t="str">
        <f t="shared" si="92"/>
        <v>CONTR</v>
      </c>
      <c r="D951" s="2" t="str">
        <f t="shared" si="93"/>
        <v>FCCT</v>
      </c>
      <c r="E951" s="2" t="str">
        <f>"CONFIGURAÇÃO DO SISTEMA DE CONTABILIDADE"</f>
        <v>CONFIGURAÇÃO DO SISTEMA DE CONTABILIDADE</v>
      </c>
      <c r="F951" s="2" t="str">
        <f>"M_CONFIG_CONTABIL"</f>
        <v>M_CONFIG_CONTABIL</v>
      </c>
      <c r="G951" s="2" t="str">
        <f>" ()"</f>
        <v xml:space="preserve"> ()</v>
      </c>
    </row>
    <row r="952" spans="1:7" x14ac:dyDescent="0.3">
      <c r="A952" s="1" t="s">
        <v>4</v>
      </c>
      <c r="B952" s="2" t="str">
        <f t="shared" si="91"/>
        <v>SISTEMA DE CONTROLE CONTABIL</v>
      </c>
      <c r="C952" s="2" t="str">
        <f t="shared" si="92"/>
        <v>CONTR</v>
      </c>
      <c r="D952" s="2" t="str">
        <f t="shared" si="93"/>
        <v>FCCT</v>
      </c>
      <c r="E952" s="2" t="str">
        <f>"RELATÓRIO DE  FORNECEDORES"</f>
        <v>RELATÓRIO DE  FORNECEDORES</v>
      </c>
      <c r="F952" s="2" t="str">
        <f>"R_FORNECEDOR_CONTA"</f>
        <v>R_FORNECEDOR_CONTA</v>
      </c>
      <c r="G952" s="2" t="str">
        <f>"Controladoria / Contabilidade / Relatórios / Fornecedor x Conta Contábil (R_FORNECEDOR_CONTA)"</f>
        <v>Controladoria / Contabilidade / Relatórios / Fornecedor x Conta Contábil (R_FORNECEDOR_CONTA)</v>
      </c>
    </row>
    <row r="953" spans="1:7" x14ac:dyDescent="0.3">
      <c r="A953" s="1" t="s">
        <v>4</v>
      </c>
      <c r="B953" s="2" t="str">
        <f t="shared" si="91"/>
        <v>SISTEMA DE CONTROLE CONTABIL</v>
      </c>
      <c r="C953" s="2" t="str">
        <f t="shared" si="92"/>
        <v>CONTR</v>
      </c>
      <c r="D953" s="2" t="str">
        <f t="shared" si="93"/>
        <v>FCCT</v>
      </c>
      <c r="E953" s="2" t="str">
        <f>"R_ANALISE_CARACT_340"</f>
        <v>R_ANALISE_CARACT_340</v>
      </c>
      <c r="F953" s="2" t="str">
        <f>"R_ANALISE_CARACT_340"</f>
        <v>R_ANALISE_CARACT_340</v>
      </c>
      <c r="G953" s="2" t="str">
        <f>" ()"</f>
        <v xml:space="preserve"> ()</v>
      </c>
    </row>
    <row r="954" spans="1:7" x14ac:dyDescent="0.3">
      <c r="A954" s="1" t="s">
        <v>4</v>
      </c>
      <c r="B954" s="2" t="str">
        <f t="shared" si="91"/>
        <v>SISTEMA DE CONTROLE CONTABIL</v>
      </c>
      <c r="C954" s="2" t="str">
        <f t="shared" si="92"/>
        <v>CONTR</v>
      </c>
      <c r="D954" s="2" t="str">
        <f t="shared" si="93"/>
        <v>FCCT</v>
      </c>
      <c r="E954" s="2" t="str">
        <f>"CONFIG_ CAIXA"</f>
        <v>CONFIG_ CAIXA</v>
      </c>
      <c r="F954" s="2" t="str">
        <f>"CONFIG_ CAIXA"</f>
        <v>CONFIG_ CAIXA</v>
      </c>
      <c r="G954" s="2" t="str">
        <f>" ()"</f>
        <v xml:space="preserve"> ()</v>
      </c>
    </row>
    <row r="955" spans="1:7" x14ac:dyDescent="0.3">
      <c r="A955" s="1" t="s">
        <v>4</v>
      </c>
      <c r="B955" s="2" t="str">
        <f t="shared" si="91"/>
        <v>SISTEMA DE CONTROLE CONTABIL</v>
      </c>
      <c r="C955" s="2" t="str">
        <f t="shared" si="92"/>
        <v>CONTR</v>
      </c>
      <c r="D955" s="2" t="str">
        <f t="shared" si="93"/>
        <v>FCCT</v>
      </c>
      <c r="E955" s="2" t="str">
        <f>"IMPORTAÇÃO: FINANCEIRO"</f>
        <v>IMPORTAÇÃO: FINANCEIRO</v>
      </c>
      <c r="F955" s="2" t="str">
        <f>"O_IMP_CAIXA"</f>
        <v>O_IMP_CAIXA</v>
      </c>
      <c r="G955" s="2" t="str">
        <f>"Controladoria / Contabilidade / Liberação de Movimentações / Caixa (O_IMP_CAIXA)"</f>
        <v>Controladoria / Contabilidade / Liberação de Movimentações / Caixa (O_IMP_CAIXA)</v>
      </c>
    </row>
    <row r="956" spans="1:7" x14ac:dyDescent="0.3">
      <c r="A956" s="1" t="s">
        <v>4</v>
      </c>
      <c r="B956" s="2" t="str">
        <f t="shared" si="91"/>
        <v>SISTEMA DE CONTROLE CONTABIL</v>
      </c>
      <c r="C956" s="2" t="str">
        <f t="shared" si="92"/>
        <v>CONTR</v>
      </c>
      <c r="D956" s="2" t="str">
        <f t="shared" si="93"/>
        <v>FCCT</v>
      </c>
      <c r="E956" s="2" t="str">
        <f>"R_CUSTO_CONTA_ANUAL"</f>
        <v>R_CUSTO_CONTA_ANUAL</v>
      </c>
      <c r="F956" s="2" t="str">
        <f>"R_CUSTO_CONTA_ANUAL"</f>
        <v>R_CUSTO_CONTA_ANUAL</v>
      </c>
      <c r="G956" s="2" t="str">
        <f>" ()"</f>
        <v xml:space="preserve"> ()</v>
      </c>
    </row>
    <row r="957" spans="1:7" x14ac:dyDescent="0.3">
      <c r="A957" s="1" t="s">
        <v>4</v>
      </c>
      <c r="B957" s="2" t="str">
        <f t="shared" si="91"/>
        <v>SISTEMA DE CONTROLE CONTABIL</v>
      </c>
      <c r="C957" s="2" t="str">
        <f t="shared" si="92"/>
        <v>CONTR</v>
      </c>
      <c r="D957" s="2" t="str">
        <f t="shared" si="93"/>
        <v>FCCT</v>
      </c>
      <c r="E957" s="2" t="str">
        <f>"R_DIARIO_340"</f>
        <v>R_DIARIO_340</v>
      </c>
      <c r="F957" s="2" t="str">
        <f>"R_DIARIO_340"</f>
        <v>R_DIARIO_340</v>
      </c>
      <c r="G957" s="2" t="str">
        <f>" ()"</f>
        <v xml:space="preserve"> ()</v>
      </c>
    </row>
    <row r="958" spans="1:7" x14ac:dyDescent="0.3">
      <c r="A958" s="1" t="s">
        <v>4</v>
      </c>
      <c r="B958" s="2" t="str">
        <f t="shared" si="91"/>
        <v>SISTEMA DE CONTROLE CONTABIL</v>
      </c>
      <c r="C958" s="2" t="str">
        <f t="shared" si="92"/>
        <v>CONTR</v>
      </c>
      <c r="D958" s="2" t="str">
        <f t="shared" si="93"/>
        <v>FCCT</v>
      </c>
      <c r="E958" s="2" t="str">
        <f>"0_IMP_CAIXA"</f>
        <v>0_IMP_CAIXA</v>
      </c>
      <c r="F958" s="2" t="str">
        <f>"0_IMP_CAIXA"</f>
        <v>0_IMP_CAIXA</v>
      </c>
      <c r="G958" s="2" t="str">
        <f>" ()"</f>
        <v xml:space="preserve"> ()</v>
      </c>
    </row>
    <row r="959" spans="1:7" x14ac:dyDescent="0.3">
      <c r="A959" s="1" t="s">
        <v>4</v>
      </c>
      <c r="B959" s="2" t="str">
        <f t="shared" si="91"/>
        <v>SISTEMA DE CONTROLE CONTABIL</v>
      </c>
      <c r="C959" s="2" t="str">
        <f t="shared" si="92"/>
        <v>CONTR</v>
      </c>
      <c r="D959" s="2" t="str">
        <f t="shared" si="93"/>
        <v>FCCT</v>
      </c>
      <c r="E959" s="2" t="str">
        <f>"M_IMVSAP"</f>
        <v>M_IMVSAP</v>
      </c>
      <c r="F959" s="2" t="str">
        <f>"M_IMVSAP"</f>
        <v>M_IMVSAP</v>
      </c>
      <c r="G959" s="2" t="str">
        <f>" ()"</f>
        <v xml:space="preserve"> ()</v>
      </c>
    </row>
    <row r="960" spans="1:7" x14ac:dyDescent="0.3">
      <c r="A960" s="1" t="s">
        <v>4</v>
      </c>
      <c r="B960" s="2" t="str">
        <f t="shared" si="91"/>
        <v>SISTEMA DE CONTROLE CONTABIL</v>
      </c>
      <c r="C960" s="2" t="str">
        <f t="shared" si="92"/>
        <v>CONTR</v>
      </c>
      <c r="D960" s="2" t="str">
        <f t="shared" si="93"/>
        <v>FCCT</v>
      </c>
      <c r="E960" s="2" t="str">
        <f>"PLANO DE CONTAS"</f>
        <v>PLANO DE CONTAS</v>
      </c>
      <c r="F960" s="2" t="str">
        <f>"M_PLACON_CUSTOS"</f>
        <v>M_PLACON_CUSTOS</v>
      </c>
      <c r="G960" s="2" t="str">
        <f>" ()"</f>
        <v xml:space="preserve"> ()</v>
      </c>
    </row>
    <row r="961" spans="1:7" x14ac:dyDescent="0.3">
      <c r="A961" s="1" t="s">
        <v>4</v>
      </c>
      <c r="B961" s="2" t="str">
        <f t="shared" si="91"/>
        <v>SISTEMA DE CONTROLE CONTABIL</v>
      </c>
      <c r="C961" s="2" t="str">
        <f t="shared" si="92"/>
        <v>CONTR</v>
      </c>
      <c r="D961" s="2" t="str">
        <f t="shared" si="93"/>
        <v>FCCT</v>
      </c>
      <c r="E961" s="2" t="str">
        <f>"WIN_PRINCIPAL - HOSPITAL MV SISTEMAS"</f>
        <v>WIN_PRINCIPAL - HOSPITAL MV SISTEMAS</v>
      </c>
      <c r="F961" s="2" t="str">
        <f>"R_MOVSETOR"</f>
        <v>R_MOVSETOR</v>
      </c>
      <c r="G961" s="2" t="str">
        <f>"Controladoria / Contabilidade / Relatórios / Auditoria / Conferência Movimento por Centro de Custo (R_MOVSETOR)"</f>
        <v>Controladoria / Contabilidade / Relatórios / Auditoria / Conferência Movimento por Centro de Custo (R_MOVSETOR)</v>
      </c>
    </row>
    <row r="962" spans="1:7" x14ac:dyDescent="0.3">
      <c r="A962" s="1" t="s">
        <v>4</v>
      </c>
      <c r="B962" s="2" t="str">
        <f t="shared" si="91"/>
        <v>SISTEMA DE CONTROLE CONTABIL</v>
      </c>
      <c r="C962" s="2" t="str">
        <f t="shared" si="92"/>
        <v>CONTR</v>
      </c>
      <c r="D962" s="2" t="str">
        <f t="shared" si="93"/>
        <v>FCCT</v>
      </c>
      <c r="E962" s="2" t="str">
        <f>"R_BALANCO_199"</f>
        <v>R_BALANCO_199</v>
      </c>
      <c r="F962" s="2" t="str">
        <f>"R_BALANCO_199"</f>
        <v>R_BALANCO_199</v>
      </c>
      <c r="G962" s="2" t="str">
        <f>" ()"</f>
        <v xml:space="preserve"> ()</v>
      </c>
    </row>
    <row r="963" spans="1:7" x14ac:dyDescent="0.3">
      <c r="A963" s="1" t="s">
        <v>4</v>
      </c>
      <c r="B963" s="2" t="str">
        <f t="shared" si="91"/>
        <v>SISTEMA DE CONTROLE CONTABIL</v>
      </c>
      <c r="C963" s="2" t="str">
        <f t="shared" si="92"/>
        <v>CONTR</v>
      </c>
      <c r="D963" s="2" t="str">
        <f t="shared" si="93"/>
        <v>FCCT</v>
      </c>
      <c r="E963" s="2" t="str">
        <f>"R_ANALISE_340"</f>
        <v>R_ANALISE_340</v>
      </c>
      <c r="F963" s="2" t="str">
        <f>"R_ANALISE_340"</f>
        <v>R_ANALISE_340</v>
      </c>
      <c r="G963" s="2" t="str">
        <f>" ()"</f>
        <v xml:space="preserve"> ()</v>
      </c>
    </row>
    <row r="964" spans="1:7" x14ac:dyDescent="0.3">
      <c r="A964" s="1" t="s">
        <v>4</v>
      </c>
      <c r="B964" s="2" t="str">
        <f t="shared" si="91"/>
        <v>SISTEMA DE CONTROLE CONTABIL</v>
      </c>
      <c r="C964" s="2" t="str">
        <f t="shared" si="92"/>
        <v>CONTR</v>
      </c>
      <c r="D964" s="2" t="str">
        <f t="shared" si="93"/>
        <v>FCCT</v>
      </c>
      <c r="E964" s="2" t="str">
        <f>"R_MOVSETORCONT"</f>
        <v>R_MOVSETORCONT</v>
      </c>
      <c r="F964" s="2" t="str">
        <f>"R_MOVSETORCONT"</f>
        <v>R_MOVSETORCONT</v>
      </c>
      <c r="G964" s="2" t="str">
        <f>" ()"</f>
        <v xml:space="preserve"> ()</v>
      </c>
    </row>
    <row r="965" spans="1:7" x14ac:dyDescent="0.3">
      <c r="A965" s="1" t="s">
        <v>4</v>
      </c>
      <c r="B965" s="2" t="str">
        <f t="shared" si="91"/>
        <v>SISTEMA DE CONTROLE CONTABIL</v>
      </c>
      <c r="C965" s="2" t="str">
        <f t="shared" si="92"/>
        <v>CONTR</v>
      </c>
      <c r="D965" s="2" t="str">
        <f t="shared" si="93"/>
        <v>FCCT</v>
      </c>
      <c r="E965" s="2" t="str">
        <f>"M_CONFIG_DEB_CRE_MGES"</f>
        <v>M_CONFIG_DEB_CRE_MGES</v>
      </c>
      <c r="F965" s="2" t="str">
        <f>"M_CONFIG_DEB_CRE_MGES"</f>
        <v>M_CONFIG_DEB_CRE_MGES</v>
      </c>
      <c r="G965" s="2" t="str">
        <f>"Controladoria / Contabilidade / Configuração / Classificação extra com o plano de contas (M_CONFIG_DEB_CRE_MGES)"</f>
        <v>Controladoria / Contabilidade / Configuração / Classificação extra com o plano de contas (M_CONFIG_DEB_CRE_MGES)</v>
      </c>
    </row>
    <row r="966" spans="1:7" x14ac:dyDescent="0.3">
      <c r="A966" s="1" t="s">
        <v>4</v>
      </c>
      <c r="B966" s="2" t="str">
        <f t="shared" si="91"/>
        <v>SISTEMA DE CONTROLE CONTABIL</v>
      </c>
      <c r="C966" s="2" t="str">
        <f t="shared" si="92"/>
        <v>CONTR</v>
      </c>
      <c r="D966" s="2" t="str">
        <f t="shared" si="93"/>
        <v>FCCT</v>
      </c>
      <c r="E966" s="2" t="str">
        <f>"MOTIVOS DE BAIXA DE BENS"</f>
        <v>MOTIVOS DE BAIXA DE BENS</v>
      </c>
      <c r="F966" s="2" t="str">
        <f>"R_MOT_BAIXA"</f>
        <v>R_MOT_BAIXA</v>
      </c>
      <c r="G966" s="2" t="str">
        <f>"Materiais e Logística / Patrimônio / Relatórios / Tabelas / Motivos de Baixa (R_MOT_BAIXA)"</f>
        <v>Materiais e Logística / Patrimônio / Relatórios / Tabelas / Motivos de Baixa (R_MOT_BAIXA)</v>
      </c>
    </row>
    <row r="967" spans="1:7" x14ac:dyDescent="0.3">
      <c r="A967" s="1" t="s">
        <v>4</v>
      </c>
      <c r="B967" s="2" t="str">
        <f t="shared" si="91"/>
        <v>SISTEMA DE CONTROLE CONTABIL</v>
      </c>
      <c r="C967" s="2" t="str">
        <f t="shared" si="92"/>
        <v>CONTR</v>
      </c>
      <c r="D967" s="2" t="str">
        <f t="shared" si="93"/>
        <v>FCCT</v>
      </c>
      <c r="E967" s="2" t="str">
        <f>"WIN_PRINCIPAL"</f>
        <v>WIN_PRINCIPAL</v>
      </c>
      <c r="F967" s="2" t="str">
        <f>"R_BALANCETE_SET"</f>
        <v>R_BALANCETE_SET</v>
      </c>
      <c r="G967" s="2" t="str">
        <f>"Controladoria / Contabilidade / Relatórios / Balancete / Balancete por Centro de Custo (R_BALANCETE_SET)"</f>
        <v>Controladoria / Contabilidade / Relatórios / Balancete / Balancete por Centro de Custo (R_BALANCETE_SET)</v>
      </c>
    </row>
    <row r="968" spans="1:7" x14ac:dyDescent="0.3">
      <c r="A968" s="1" t="s">
        <v>4</v>
      </c>
      <c r="B968" s="2" t="str">
        <f t="shared" si="91"/>
        <v>SISTEMA DE CONTROLE CONTABIL</v>
      </c>
      <c r="C968" s="2" t="str">
        <f t="shared" si="92"/>
        <v>CONTR</v>
      </c>
      <c r="D968" s="2" t="str">
        <f t="shared" si="93"/>
        <v>FCCT</v>
      </c>
      <c r="E968" s="2" t="str">
        <f>"R_BALANCETE_SETOR"</f>
        <v>R_BALANCETE_SETOR</v>
      </c>
      <c r="F968" s="2" t="str">
        <f>"R_BALANCETE_SETOR"</f>
        <v>R_BALANCETE_SETOR</v>
      </c>
      <c r="G968" s="2" t="str">
        <f>" ()"</f>
        <v xml:space="preserve"> ()</v>
      </c>
    </row>
    <row r="969" spans="1:7" x14ac:dyDescent="0.3">
      <c r="A969" s="1" t="s">
        <v>4</v>
      </c>
      <c r="B969" s="2" t="str">
        <f t="shared" si="91"/>
        <v>SISTEMA DE CONTROLE CONTABIL</v>
      </c>
      <c r="C969" s="2" t="str">
        <f t="shared" si="92"/>
        <v>CONTR</v>
      </c>
      <c r="D969" s="2" t="str">
        <f t="shared" si="93"/>
        <v>FCCT</v>
      </c>
      <c r="E969" s="2" t="str">
        <f>"RELATÓRIO DE BALANCETE ANALÍTICO - ADMED"</f>
        <v>RELATÓRIO DE BALANCETE ANALÍTICO - ADMED</v>
      </c>
      <c r="F969" s="2" t="str">
        <f>"R_BALANCETE_203"</f>
        <v>R_BALANCETE_203</v>
      </c>
      <c r="G969" s="2" t="str">
        <f>" ()"</f>
        <v xml:space="preserve"> ()</v>
      </c>
    </row>
    <row r="970" spans="1:7" x14ac:dyDescent="0.3">
      <c r="A970" s="1" t="s">
        <v>4</v>
      </c>
      <c r="B970" s="2" t="str">
        <f t="shared" si="91"/>
        <v>SISTEMA DE CONTROLE CONTABIL</v>
      </c>
      <c r="C970" s="2" t="str">
        <f t="shared" si="92"/>
        <v>CONTR</v>
      </c>
      <c r="D970" s="2" t="str">
        <f t="shared" si="93"/>
        <v>FCCT</v>
      </c>
      <c r="E970" s="2" t="str">
        <f>"R_CUSTO_ANUAL_CAR"</f>
        <v>R_CUSTO_ANUAL_CAR</v>
      </c>
      <c r="F970" s="2" t="str">
        <f>"R_CUSTO_ANUAL_CAR"</f>
        <v>R_CUSTO_ANUAL_CAR</v>
      </c>
      <c r="G970" s="2" t="str">
        <f>" ()"</f>
        <v xml:space="preserve"> ()</v>
      </c>
    </row>
    <row r="971" spans="1:7" x14ac:dyDescent="0.3">
      <c r="A971" s="1" t="s">
        <v>4</v>
      </c>
      <c r="B971" s="2" t="str">
        <f t="shared" si="91"/>
        <v>SISTEMA DE CONTROLE CONTABIL</v>
      </c>
      <c r="C971" s="2" t="str">
        <f t="shared" si="92"/>
        <v>CONTR</v>
      </c>
      <c r="D971" s="2" t="str">
        <f t="shared" si="93"/>
        <v>FCCT</v>
      </c>
      <c r="E971" s="2" t="str">
        <f>"RELATÓRIO DE CUSTO POR CONTA"</f>
        <v>RELATÓRIO DE CUSTO POR CONTA</v>
      </c>
      <c r="F971" s="2" t="str">
        <f>"R_CUSTO_ANUAL"</f>
        <v>R_CUSTO_ANUAL</v>
      </c>
      <c r="G971" s="2" t="str">
        <f>"Controladoria / Contabilidade / Relatórios / Custos / Conta de Resultado / Anual (R_CUSTO_ANUAL)"</f>
        <v>Controladoria / Contabilidade / Relatórios / Custos / Conta de Resultado / Anual (R_CUSTO_ANUAL)</v>
      </c>
    </row>
    <row r="972" spans="1:7" x14ac:dyDescent="0.3">
      <c r="A972" s="1" t="s">
        <v>4</v>
      </c>
      <c r="B972" s="2" t="str">
        <f t="shared" si="91"/>
        <v>SISTEMA DE CONTROLE CONTABIL</v>
      </c>
      <c r="C972" s="2" t="str">
        <f t="shared" si="92"/>
        <v>CONTR</v>
      </c>
      <c r="D972" s="2" t="str">
        <f t="shared" si="93"/>
        <v>FCCT</v>
      </c>
      <c r="E972" s="2" t="str">
        <f>"LANÇAMENTO CUSTO - CONTÁBIL"</f>
        <v>LANÇAMENTO CUSTO - CONTÁBIL</v>
      </c>
      <c r="F972" s="2" t="str">
        <f>"O_LANCLOTE_CUSTO"</f>
        <v>O_LANCLOTE_CUSTO</v>
      </c>
      <c r="G972" s="2" t="str">
        <f>" ()"</f>
        <v xml:space="preserve"> ()</v>
      </c>
    </row>
    <row r="973" spans="1:7" x14ac:dyDescent="0.3">
      <c r="A973" s="1" t="s">
        <v>4</v>
      </c>
      <c r="B973" s="2" t="str">
        <f t="shared" si="91"/>
        <v>SISTEMA DE CONTROLE CONTABIL</v>
      </c>
      <c r="C973" s="2" t="str">
        <f t="shared" si="92"/>
        <v>CONTR</v>
      </c>
      <c r="D973" s="2" t="str">
        <f t="shared" si="93"/>
        <v>FCCT</v>
      </c>
      <c r="E973" s="2" t="str">
        <f>"O_IMP_MGES_INVENTARIO"</f>
        <v>O_IMP_MGES_INVENTARIO</v>
      </c>
      <c r="F973" s="2" t="str">
        <f>"O_IMP_MGES_INVENTARIO"</f>
        <v>O_IMP_MGES_INVENTARIO</v>
      </c>
      <c r="G973" s="2" t="str">
        <f>" ()"</f>
        <v xml:space="preserve"> ()</v>
      </c>
    </row>
    <row r="974" spans="1:7" x14ac:dyDescent="0.3">
      <c r="A974" s="1" t="s">
        <v>4</v>
      </c>
      <c r="B974" s="2" t="str">
        <f t="shared" si="91"/>
        <v>SISTEMA DE CONTROLE CONTABIL</v>
      </c>
      <c r="C974" s="2" t="str">
        <f t="shared" si="92"/>
        <v>CONTR</v>
      </c>
      <c r="D974" s="2" t="str">
        <f t="shared" si="93"/>
        <v>FCCT</v>
      </c>
      <c r="E974" s="2" t="str">
        <f>"M_ENTREGA_AARQINSS"</f>
        <v>M_ENTREGA_AARQINSS</v>
      </c>
      <c r="F974" s="2" t="str">
        <f>"M_ENTREGA_AARQINSS"</f>
        <v>M_ENTREGA_AARQINSS</v>
      </c>
      <c r="G974" s="2" t="str">
        <f>" ()"</f>
        <v xml:space="preserve"> ()</v>
      </c>
    </row>
    <row r="975" spans="1:7" x14ac:dyDescent="0.3">
      <c r="A975" s="1" t="s">
        <v>4</v>
      </c>
      <c r="B975" s="2" t="str">
        <f t="shared" si="91"/>
        <v>SISTEMA DE CONTROLE CONTABIL</v>
      </c>
      <c r="C975" s="2" t="str">
        <f t="shared" si="92"/>
        <v>CONTR</v>
      </c>
      <c r="D975" s="2" t="str">
        <f t="shared" si="93"/>
        <v>FCCT</v>
      </c>
      <c r="E975" s="2" t="str">
        <f>"M_EXP_INSS"</f>
        <v>M_EXP_INSS</v>
      </c>
      <c r="F975" s="2" t="str">
        <f>"M_EXP_INSS"</f>
        <v>M_EXP_INSS</v>
      </c>
      <c r="G975" s="2" t="str">
        <f>" ()"</f>
        <v xml:space="preserve"> ()</v>
      </c>
    </row>
    <row r="976" spans="1:7" x14ac:dyDescent="0.3">
      <c r="A976" s="1" t="s">
        <v>4</v>
      </c>
      <c r="B976" s="2" t="str">
        <f t="shared" si="91"/>
        <v>SISTEMA DE CONTROLE CONTABIL</v>
      </c>
      <c r="C976" s="2" t="str">
        <f t="shared" si="92"/>
        <v>CONTR</v>
      </c>
      <c r="D976" s="2" t="str">
        <f t="shared" si="93"/>
        <v>FCCT</v>
      </c>
      <c r="E976" s="2" t="str">
        <f>"R_CONF_LANC_HONOR"</f>
        <v>R_CONF_LANC_HONOR</v>
      </c>
      <c r="F976" s="2" t="str">
        <f>"R_CONF_LANC_HONOR"</f>
        <v>R_CONF_LANC_HONOR</v>
      </c>
      <c r="G976" s="2" t="str">
        <f>"Controladoria / Contabilidade / Relatórios / Auditoria / Conferência de Lançamentos de Honorário (R_CONF_LANC_HONOR)"</f>
        <v>Controladoria / Contabilidade / Relatórios / Auditoria / Conferência de Lançamentos de Honorário (R_CONF_LANC_HONOR)</v>
      </c>
    </row>
    <row r="977" spans="1:7" x14ac:dyDescent="0.3">
      <c r="A977" s="1" t="s">
        <v>4</v>
      </c>
      <c r="B977" s="2" t="str">
        <f t="shared" si="91"/>
        <v>SISTEMA DE CONTROLE CONTABIL</v>
      </c>
      <c r="C977" s="2" t="str">
        <f t="shared" si="92"/>
        <v>CONTR</v>
      </c>
      <c r="D977" s="2" t="str">
        <f t="shared" si="93"/>
        <v>FCCT</v>
      </c>
      <c r="E977" s="2" t="str">
        <f>"GERAÇÃO &amp;LECD( SPED )"</f>
        <v>GERAÇÃO &amp;LECD( SPED )</v>
      </c>
      <c r="F977" s="2" t="str">
        <f>"O_LECD"</f>
        <v>O_LECD</v>
      </c>
      <c r="G977" s="2" t="str">
        <f>"Controladoria / Contabilidade / Exportação / Escrituração Contábil Digital (SPED) / Geração SPED Contábil Digital (O_LECD)"</f>
        <v>Controladoria / Contabilidade / Exportação / Escrituração Contábil Digital (SPED) / Geração SPED Contábil Digital (O_LECD)</v>
      </c>
    </row>
    <row r="978" spans="1:7" x14ac:dyDescent="0.3">
      <c r="A978" s="1" t="s">
        <v>4</v>
      </c>
      <c r="B978" s="2" t="str">
        <f t="shared" si="91"/>
        <v>SISTEMA DE CONTROLE CONTABIL</v>
      </c>
      <c r="C978" s="2" t="str">
        <f t="shared" si="92"/>
        <v>CONTR</v>
      </c>
      <c r="D978" s="2" t="str">
        <f t="shared" si="93"/>
        <v>FCCT</v>
      </c>
      <c r="E978" s="2" t="str">
        <f>"IMPORTAÇÃO DO ORÇAMENTO CONTÁBIL"</f>
        <v>IMPORTAÇÃO DO ORÇAMENTO CONTÁBIL</v>
      </c>
      <c r="F978" s="2" t="str">
        <f>"O_IMP_ORCAMENTO"</f>
        <v>O_IMP_ORCAMENTO</v>
      </c>
      <c r="G978" s="2" t="str">
        <f>"Controladoria / Contabilidade / Liberação de Movimentações / Orçamento Contábil (O_IMP_ORCAMENTO)"</f>
        <v>Controladoria / Contabilidade / Liberação de Movimentações / Orçamento Contábil (O_IMP_ORCAMENTO)</v>
      </c>
    </row>
    <row r="979" spans="1:7" x14ac:dyDescent="0.3">
      <c r="A979" s="1" t="s">
        <v>4</v>
      </c>
      <c r="B979" s="2" t="str">
        <f t="shared" ref="B979:B1042" si="94">"SISTEMA DE CONTROLE CONTABIL"</f>
        <v>SISTEMA DE CONTROLE CONTABIL</v>
      </c>
      <c r="C979" s="2" t="str">
        <f t="shared" ref="C979:C1042" si="95">"CONTR"</f>
        <v>CONTR</v>
      </c>
      <c r="D979" s="2" t="str">
        <f t="shared" ref="D979:D1042" si="96">"FCCT"</f>
        <v>FCCT</v>
      </c>
      <c r="E979" s="2" t="str">
        <f>"IMPORTAÇÃO PATRIMÔNIO"</f>
        <v>IMPORTAÇÃO PATRIMÔNIO</v>
      </c>
      <c r="F979" s="2" t="str">
        <f>"O_IMP_ACPR"</f>
        <v>O_IMP_ACPR</v>
      </c>
      <c r="G979" s="2" t="str">
        <f>"Controladoria / Contabilidade / Liberação de Movimentações / Controle Patrimonial (O_IMP_ACPR)"</f>
        <v>Controladoria / Contabilidade / Liberação de Movimentações / Controle Patrimonial (O_IMP_ACPR)</v>
      </c>
    </row>
    <row r="980" spans="1:7" x14ac:dyDescent="0.3">
      <c r="A980" s="1" t="s">
        <v>4</v>
      </c>
      <c r="B980" s="2" t="str">
        <f t="shared" si="94"/>
        <v>SISTEMA DE CONTROLE CONTABIL</v>
      </c>
      <c r="C980" s="2" t="str">
        <f t="shared" si="95"/>
        <v>CONTR</v>
      </c>
      <c r="D980" s="2" t="str">
        <f t="shared" si="96"/>
        <v>FCCT</v>
      </c>
      <c r="E980" s="2" t="str">
        <f>"CADASTRO: ESPECIALIDADES DO TERMO"</f>
        <v>CADASTRO: ESPECIALIDADES DO TERMO</v>
      </c>
      <c r="F980" s="2" t="str">
        <f>"M_ESPECIALIDADE_TERMO"</f>
        <v>M_ESPECIALIDADE_TERMO</v>
      </c>
      <c r="G980" s="2" t="str">
        <f>"Controladoria / Contabilidade / Tabelas / Termos / Especialidades do Termo (M_ESPECIALIDADE_TERMO)"</f>
        <v>Controladoria / Contabilidade / Tabelas / Termos / Especialidades do Termo (M_ESPECIALIDADE_TERMO)</v>
      </c>
    </row>
    <row r="981" spans="1:7" x14ac:dyDescent="0.3">
      <c r="A981" s="1" t="s">
        <v>4</v>
      </c>
      <c r="B981" s="2" t="str">
        <f t="shared" si="94"/>
        <v>SISTEMA DE CONTROLE CONTABIL</v>
      </c>
      <c r="C981" s="2" t="str">
        <f t="shared" si="95"/>
        <v>CONTR</v>
      </c>
      <c r="D981" s="2" t="str">
        <f t="shared" si="96"/>
        <v>FCCT</v>
      </c>
      <c r="E981" s="2" t="str">
        <f>"CONSULTA LANÇAMENTO CONTÁBIL - LOTE"</f>
        <v>CONSULTA LANÇAMENTO CONTÁBIL - LOTE</v>
      </c>
      <c r="F981" s="2" t="str">
        <f>"C_LOTE_GERENCIAL"</f>
        <v>C_LOTE_GERENCIAL</v>
      </c>
      <c r="G981" s="2" t="str">
        <f>"Controladoria / Contabilidade / Consultas / Gerenciais / Lançamento Contábil Gerencial (C_LOTE_GERENCIAL)"</f>
        <v>Controladoria / Contabilidade / Consultas / Gerenciais / Lançamento Contábil Gerencial (C_LOTE_GERENCIAL)</v>
      </c>
    </row>
    <row r="982" spans="1:7" x14ac:dyDescent="0.3">
      <c r="A982" s="1" t="s">
        <v>4</v>
      </c>
      <c r="B982" s="2" t="str">
        <f t="shared" si="94"/>
        <v>SISTEMA DE CONTROLE CONTABIL</v>
      </c>
      <c r="C982" s="2" t="str">
        <f t="shared" si="95"/>
        <v>CONTR</v>
      </c>
      <c r="D982" s="2" t="str">
        <f t="shared" si="96"/>
        <v>FCCT</v>
      </c>
      <c r="E982" s="2" t="str">
        <f>"O_CONT_ORIGEM_MANUAL_969"</f>
        <v>O_CONT_ORIGEM_MANUAL_969</v>
      </c>
      <c r="F982" s="2" t="str">
        <f>"O_CONT_ORIGEM_MANUAL_969"</f>
        <v>O_CONT_ORIGEM_MANUAL_969</v>
      </c>
      <c r="G982" s="2" t="str">
        <f>"Controladoria / Contabilidade / Personalizados / Contagem Origem Manual - 969 (O_CONT_ORIGEM_MANUAL_969)"</f>
        <v>Controladoria / Contabilidade / Personalizados / Contagem Origem Manual - 969 (O_CONT_ORIGEM_MANUAL_969)</v>
      </c>
    </row>
    <row r="983" spans="1:7" x14ac:dyDescent="0.3">
      <c r="A983" s="1" t="s">
        <v>4</v>
      </c>
      <c r="B983" s="2" t="str">
        <f t="shared" si="94"/>
        <v>SISTEMA DE CONTROLE CONTABIL</v>
      </c>
      <c r="C983" s="2" t="str">
        <f t="shared" si="95"/>
        <v>CONTR</v>
      </c>
      <c r="D983" s="2" t="str">
        <f t="shared" si="96"/>
        <v>FCCT</v>
      </c>
      <c r="E983" s="2" t="str">
        <f>"R_REALIZ_ORCADO_340"</f>
        <v>R_REALIZ_ORCADO_340</v>
      </c>
      <c r="F983" s="2" t="str">
        <f>"R_REALIZ_ORCADO_340"</f>
        <v>R_REALIZ_ORCADO_340</v>
      </c>
      <c r="G983" s="2" t="str">
        <f>" ()"</f>
        <v xml:space="preserve"> ()</v>
      </c>
    </row>
    <row r="984" spans="1:7" x14ac:dyDescent="0.3">
      <c r="A984" s="1" t="s">
        <v>4</v>
      </c>
      <c r="B984" s="2" t="str">
        <f t="shared" si="94"/>
        <v>SISTEMA DE CONTROLE CONTABIL</v>
      </c>
      <c r="C984" s="2" t="str">
        <f t="shared" si="95"/>
        <v>CONTR</v>
      </c>
      <c r="D984" s="2" t="str">
        <f t="shared" si="96"/>
        <v>FCCT</v>
      </c>
      <c r="E984" s="2" t="str">
        <f>"M_TROCA_SETOR"</f>
        <v>M_TROCA_SETOR</v>
      </c>
      <c r="F984" s="2" t="str">
        <f>"M_TROCA_SETOR"</f>
        <v>M_TROCA_SETOR</v>
      </c>
      <c r="G984" s="2" t="str">
        <f>" ()"</f>
        <v xml:space="preserve"> ()</v>
      </c>
    </row>
    <row r="985" spans="1:7" x14ac:dyDescent="0.3">
      <c r="A985" s="1" t="s">
        <v>4</v>
      </c>
      <c r="B985" s="2" t="str">
        <f t="shared" si="94"/>
        <v>SISTEMA DE CONTROLE CONTABIL</v>
      </c>
      <c r="C985" s="2" t="str">
        <f t="shared" si="95"/>
        <v>CONTR</v>
      </c>
      <c r="D985" s="2" t="str">
        <f t="shared" si="96"/>
        <v>FCCT</v>
      </c>
      <c r="E985" s="2" t="str">
        <f>"R_LOTE"</f>
        <v>R_LOTE</v>
      </c>
      <c r="F985" s="2" t="str">
        <f>"R_LOTE"</f>
        <v>R_LOTE</v>
      </c>
      <c r="G985" s="2" t="str">
        <f>"MVSaude / Relatórios / Contas Médicas / Lotes (R_LOTE)"</f>
        <v>MVSaude / Relatórios / Contas Médicas / Lotes (R_LOTE)</v>
      </c>
    </row>
    <row r="986" spans="1:7" x14ac:dyDescent="0.3">
      <c r="A986" s="1" t="s">
        <v>4</v>
      </c>
      <c r="B986" s="2" t="str">
        <f t="shared" si="94"/>
        <v>SISTEMA DE CONTROLE CONTABIL</v>
      </c>
      <c r="C986" s="2" t="str">
        <f t="shared" si="95"/>
        <v>CONTR</v>
      </c>
      <c r="D986" s="2" t="str">
        <f t="shared" si="96"/>
        <v>FCCT</v>
      </c>
      <c r="E986" s="2" t="str">
        <f>"R_CONF_NOTA"</f>
        <v>R_CONF_NOTA</v>
      </c>
      <c r="F986" s="2" t="str">
        <f>"R_CONF_NOTA"</f>
        <v>R_CONF_NOTA</v>
      </c>
      <c r="G986" s="2" t="str">
        <f>" ()"</f>
        <v xml:space="preserve"> ()</v>
      </c>
    </row>
    <row r="987" spans="1:7" x14ac:dyDescent="0.3">
      <c r="A987" s="1" t="s">
        <v>4</v>
      </c>
      <c r="B987" s="2" t="str">
        <f t="shared" si="94"/>
        <v>SISTEMA DE CONTROLE CONTABIL</v>
      </c>
      <c r="C987" s="2" t="str">
        <f t="shared" si="95"/>
        <v>CONTR</v>
      </c>
      <c r="D987" s="2" t="str">
        <f t="shared" si="96"/>
        <v>FCCT</v>
      </c>
      <c r="E987" s="2" t="str">
        <f>"O_PROGRAMACAO_CONTABILIDADE"</f>
        <v>O_PROGRAMACAO_CONTABILIDADE</v>
      </c>
      <c r="F987" s="2" t="str">
        <f>"O_PROGRAMACAO_CONTABILIDADE"</f>
        <v>O_PROGRAMACAO_CONTABILIDADE</v>
      </c>
      <c r="G987" s="2" t="str">
        <f>" ()"</f>
        <v xml:space="preserve"> ()</v>
      </c>
    </row>
    <row r="988" spans="1:7" x14ac:dyDescent="0.3">
      <c r="A988" s="1" t="s">
        <v>4</v>
      </c>
      <c r="B988" s="2" t="str">
        <f t="shared" si="94"/>
        <v>SISTEMA DE CONTROLE CONTABIL</v>
      </c>
      <c r="C988" s="2" t="str">
        <f t="shared" si="95"/>
        <v>CONTR</v>
      </c>
      <c r="D988" s="2" t="str">
        <f t="shared" si="96"/>
        <v>FCCT</v>
      </c>
      <c r="E988" s="2" t="str">
        <f>"O_IN86_REG_INVENTARIO"</f>
        <v>O_IN86_REG_INVENTARIO</v>
      </c>
      <c r="F988" s="2" t="str">
        <f>"O_IN86_REG_INVENTARIO"</f>
        <v>O_IN86_REG_INVENTARIO</v>
      </c>
      <c r="G988" s="2" t="str">
        <f>"Controladoria / Fiscal / Geração / Geração IN 86 / Gera Estoque e Inventário (O_IN86_REG_INVENTARIO)"</f>
        <v>Controladoria / Fiscal / Geração / Geração IN 86 / Gera Estoque e Inventário (O_IN86_REG_INVENTARIO)</v>
      </c>
    </row>
    <row r="989" spans="1:7" x14ac:dyDescent="0.3">
      <c r="A989" s="1" t="s">
        <v>4</v>
      </c>
      <c r="B989" s="2" t="str">
        <f t="shared" si="94"/>
        <v>SISTEMA DE CONTROLE CONTABIL</v>
      </c>
      <c r="C989" s="2" t="str">
        <f t="shared" si="95"/>
        <v>CONTR</v>
      </c>
      <c r="D989" s="2" t="str">
        <f t="shared" si="96"/>
        <v>FCCT</v>
      </c>
      <c r="E989" s="2" t="str">
        <f>"O_IN86_REG_INVENTARIO"</f>
        <v>O_IN86_REG_INVENTARIO</v>
      </c>
      <c r="F989" s="2" t="str">
        <f>"O_IN86_REG_INVENTARIO"</f>
        <v>O_IN86_REG_INVENTARIO</v>
      </c>
      <c r="G989" s="2" t="str">
        <f>"Controladoria / Contabilidade / Exportação / Geração IN 86 / Gera Estoque e Inventario (O_IN86_REG_INVENTARIO)"</f>
        <v>Controladoria / Contabilidade / Exportação / Geração IN 86 / Gera Estoque e Inventario (O_IN86_REG_INVENTARIO)</v>
      </c>
    </row>
    <row r="990" spans="1:7" x14ac:dyDescent="0.3">
      <c r="A990" s="1" t="s">
        <v>4</v>
      </c>
      <c r="B990" s="2" t="str">
        <f t="shared" si="94"/>
        <v>SISTEMA DE CONTROLE CONTABIL</v>
      </c>
      <c r="C990" s="2" t="str">
        <f t="shared" si="95"/>
        <v>CONTR</v>
      </c>
      <c r="D990" s="2" t="str">
        <f t="shared" si="96"/>
        <v>FCCT</v>
      </c>
      <c r="E990" s="2" t="str">
        <f>"O_IN86_REG_CONTABEIS"</f>
        <v>O_IN86_REG_CONTABEIS</v>
      </c>
      <c r="F990" s="2" t="str">
        <f>"O_IN86_REG_CONTABEIS"</f>
        <v>O_IN86_REG_CONTABEIS</v>
      </c>
      <c r="G990" s="2" t="str">
        <f>"Controladoria / Fiscal / Geração / Geração IN 86 / Gera Registros Contábeis (O_IN86_REG_CONTABEIS)"</f>
        <v>Controladoria / Fiscal / Geração / Geração IN 86 / Gera Registros Contábeis (O_IN86_REG_CONTABEIS)</v>
      </c>
    </row>
    <row r="991" spans="1:7" x14ac:dyDescent="0.3">
      <c r="A991" s="1" t="s">
        <v>4</v>
      </c>
      <c r="B991" s="2" t="str">
        <f t="shared" si="94"/>
        <v>SISTEMA DE CONTROLE CONTABIL</v>
      </c>
      <c r="C991" s="2" t="str">
        <f t="shared" si="95"/>
        <v>CONTR</v>
      </c>
      <c r="D991" s="2" t="str">
        <f t="shared" si="96"/>
        <v>FCCT</v>
      </c>
      <c r="E991" s="2" t="str">
        <f>"O_IN86_REG_CONTABEIS"</f>
        <v>O_IN86_REG_CONTABEIS</v>
      </c>
      <c r="F991" s="2" t="str">
        <f>"O_IN86_REG_CONTABEIS"</f>
        <v>O_IN86_REG_CONTABEIS</v>
      </c>
      <c r="G991" s="2" t="str">
        <f>"Controladoria / Contabilidade / Exportação / Geração IN 86 / Gera Registros Contabeis (O_IN86_REG_CONTABEIS)"</f>
        <v>Controladoria / Contabilidade / Exportação / Geração IN 86 / Gera Registros Contabeis (O_IN86_REG_CONTABEIS)</v>
      </c>
    </row>
    <row r="992" spans="1:7" x14ac:dyDescent="0.3">
      <c r="A992" s="1" t="s">
        <v>4</v>
      </c>
      <c r="B992" s="2" t="str">
        <f t="shared" si="94"/>
        <v>SISTEMA DE CONTROLE CONTABIL</v>
      </c>
      <c r="C992" s="2" t="str">
        <f t="shared" si="95"/>
        <v>CONTR</v>
      </c>
      <c r="D992" s="2" t="str">
        <f t="shared" si="96"/>
        <v>FCCT</v>
      </c>
      <c r="E992" s="2" t="str">
        <f>"O_IN86_FORNEC_CLIENTE"</f>
        <v>O_IN86_FORNEC_CLIENTE</v>
      </c>
      <c r="F992" s="2" t="str">
        <f>"O_IN86_FORNEC_CLIENTE"</f>
        <v>O_IN86_FORNEC_CLIENTE</v>
      </c>
      <c r="G992" s="2" t="str">
        <f>"Controladoria / Fiscal / Geração / Geração IN 86 / Gera Fornecedores e Clientes (O_IN86_FORNEC_CLIENTE)"</f>
        <v>Controladoria / Fiscal / Geração / Geração IN 86 / Gera Fornecedores e Clientes (O_IN86_FORNEC_CLIENTE)</v>
      </c>
    </row>
    <row r="993" spans="1:7" x14ac:dyDescent="0.3">
      <c r="A993" s="1" t="s">
        <v>4</v>
      </c>
      <c r="B993" s="2" t="str">
        <f t="shared" si="94"/>
        <v>SISTEMA DE CONTROLE CONTABIL</v>
      </c>
      <c r="C993" s="2" t="str">
        <f t="shared" si="95"/>
        <v>CONTR</v>
      </c>
      <c r="D993" s="2" t="str">
        <f t="shared" si="96"/>
        <v>FCCT</v>
      </c>
      <c r="E993" s="2" t="str">
        <f>"O_IN86_FORNEC_CLIENTE"</f>
        <v>O_IN86_FORNEC_CLIENTE</v>
      </c>
      <c r="F993" s="2" t="str">
        <f>"O_IN86_FORNEC_CLIENTE"</f>
        <v>O_IN86_FORNEC_CLIENTE</v>
      </c>
      <c r="G993" s="2" t="str">
        <f>"Controladoria / Contabilidade / Exportação / Geração IN 86 / Gera Fornecedores e Clientes (O_IN86_FORNEC_CLIENTE)"</f>
        <v>Controladoria / Contabilidade / Exportação / Geração IN 86 / Gera Fornecedores e Clientes (O_IN86_FORNEC_CLIENTE)</v>
      </c>
    </row>
    <row r="994" spans="1:7" x14ac:dyDescent="0.3">
      <c r="A994" s="1" t="s">
        <v>4</v>
      </c>
      <c r="B994" s="2" t="str">
        <f t="shared" si="94"/>
        <v>SISTEMA DE CONTROLE CONTABIL</v>
      </c>
      <c r="C994" s="2" t="str">
        <f t="shared" si="95"/>
        <v>CONTR</v>
      </c>
      <c r="D994" s="2" t="str">
        <f t="shared" si="96"/>
        <v>FCCT</v>
      </c>
      <c r="E994" s="2" t="str">
        <f>"O_IN86_DOC_FISCAIS"</f>
        <v>O_IN86_DOC_FISCAIS</v>
      </c>
      <c r="F994" s="2" t="str">
        <f>"O_IN86_DOC_FISCAIS"</f>
        <v>O_IN86_DOC_FISCAIS</v>
      </c>
      <c r="G994" s="2" t="str">
        <f>"Controladoria / Fiscal / Geração / Geração IN 86 / Gera Documentos Fiscais (O_IN86_DOC_FISCAIS)"</f>
        <v>Controladoria / Fiscal / Geração / Geração IN 86 / Gera Documentos Fiscais (O_IN86_DOC_FISCAIS)</v>
      </c>
    </row>
    <row r="995" spans="1:7" x14ac:dyDescent="0.3">
      <c r="A995" s="1" t="s">
        <v>4</v>
      </c>
      <c r="B995" s="2" t="str">
        <f t="shared" si="94"/>
        <v>SISTEMA DE CONTROLE CONTABIL</v>
      </c>
      <c r="C995" s="2" t="str">
        <f t="shared" si="95"/>
        <v>CONTR</v>
      </c>
      <c r="D995" s="2" t="str">
        <f t="shared" si="96"/>
        <v>FCCT</v>
      </c>
      <c r="E995" s="2" t="str">
        <f>"O_IN86_DOC_FISCAIS"</f>
        <v>O_IN86_DOC_FISCAIS</v>
      </c>
      <c r="F995" s="2" t="str">
        <f>"O_IN86_DOC_FISCAIS"</f>
        <v>O_IN86_DOC_FISCAIS</v>
      </c>
      <c r="G995" s="2" t="str">
        <f>"Controladoria / Contabilidade / Exportação / Geração IN 86 / Gera Documentos Fiscais (O_IN86_DOC_FISCAIS)"</f>
        <v>Controladoria / Contabilidade / Exportação / Geração IN 86 / Gera Documentos Fiscais (O_IN86_DOC_FISCAIS)</v>
      </c>
    </row>
    <row r="996" spans="1:7" x14ac:dyDescent="0.3">
      <c r="A996" s="1" t="s">
        <v>4</v>
      </c>
      <c r="B996" s="2" t="str">
        <f t="shared" si="94"/>
        <v>SISTEMA DE CONTROLE CONTABIL</v>
      </c>
      <c r="C996" s="2" t="str">
        <f t="shared" si="95"/>
        <v>CONTR</v>
      </c>
      <c r="D996" s="2" t="str">
        <f t="shared" si="96"/>
        <v>FCCT</v>
      </c>
      <c r="E996" s="2" t="str">
        <f>"O_IN86_CAD_BENS"</f>
        <v>O_IN86_CAD_BENS</v>
      </c>
      <c r="F996" s="2" t="str">
        <f>"O_IN86_CAD_BENS"</f>
        <v>O_IN86_CAD_BENS</v>
      </c>
      <c r="G996" s="2" t="str">
        <f>"Controladoria / Fiscal / Geração / Geração IN 86 / Gera Controle Patrimonial (O_IN86_CAD_BENS)"</f>
        <v>Controladoria / Fiscal / Geração / Geração IN 86 / Gera Controle Patrimonial (O_IN86_CAD_BENS)</v>
      </c>
    </row>
    <row r="997" spans="1:7" x14ac:dyDescent="0.3">
      <c r="A997" s="1" t="s">
        <v>4</v>
      </c>
      <c r="B997" s="2" t="str">
        <f t="shared" si="94"/>
        <v>SISTEMA DE CONTROLE CONTABIL</v>
      </c>
      <c r="C997" s="2" t="str">
        <f t="shared" si="95"/>
        <v>CONTR</v>
      </c>
      <c r="D997" s="2" t="str">
        <f t="shared" si="96"/>
        <v>FCCT</v>
      </c>
      <c r="E997" s="2" t="str">
        <f>"O_IN86_CAD_BENS"</f>
        <v>O_IN86_CAD_BENS</v>
      </c>
      <c r="F997" s="2" t="str">
        <f>"O_IN86_CAD_BENS"</f>
        <v>O_IN86_CAD_BENS</v>
      </c>
      <c r="G997" s="2" t="str">
        <f>"Controladoria / Contabilidade / Exportação / Geração IN 86 / Gera Controle Patrimonial (O_IN86_CAD_BENS)"</f>
        <v>Controladoria / Contabilidade / Exportação / Geração IN 86 / Gera Controle Patrimonial (O_IN86_CAD_BENS)</v>
      </c>
    </row>
    <row r="998" spans="1:7" x14ac:dyDescent="0.3">
      <c r="A998" s="1" t="s">
        <v>4</v>
      </c>
      <c r="B998" s="2" t="str">
        <f t="shared" si="94"/>
        <v>SISTEMA DE CONTROLE CONTABIL</v>
      </c>
      <c r="C998" s="2" t="str">
        <f t="shared" si="95"/>
        <v>CONTR</v>
      </c>
      <c r="D998" s="2" t="str">
        <f t="shared" si="96"/>
        <v>FCCT</v>
      </c>
      <c r="E998" s="2" t="str">
        <f>"O_IN86_ARQ_AUX"</f>
        <v>O_IN86_ARQ_AUX</v>
      </c>
      <c r="F998" s="2" t="str">
        <f>"O_IN86_ARQ_AUX"</f>
        <v>O_IN86_ARQ_AUX</v>
      </c>
      <c r="G998" s="2" t="str">
        <f>"Controladoria / Fiscal / Geração / Geração IN 86 / Gera Arquivos Auxiliares (O_IN86_ARQ_AUX)"</f>
        <v>Controladoria / Fiscal / Geração / Geração IN 86 / Gera Arquivos Auxiliares (O_IN86_ARQ_AUX)</v>
      </c>
    </row>
    <row r="999" spans="1:7" x14ac:dyDescent="0.3">
      <c r="A999" s="1" t="s">
        <v>4</v>
      </c>
      <c r="B999" s="2" t="str">
        <f t="shared" si="94"/>
        <v>SISTEMA DE CONTROLE CONTABIL</v>
      </c>
      <c r="C999" s="2" t="str">
        <f t="shared" si="95"/>
        <v>CONTR</v>
      </c>
      <c r="D999" s="2" t="str">
        <f t="shared" si="96"/>
        <v>FCCT</v>
      </c>
      <c r="E999" s="2" t="str">
        <f>"O_IN86_ARQ_AUX"</f>
        <v>O_IN86_ARQ_AUX</v>
      </c>
      <c r="F999" s="2" t="str">
        <f>"O_IN86_ARQ_AUX"</f>
        <v>O_IN86_ARQ_AUX</v>
      </c>
      <c r="G999" s="2" t="str">
        <f>"Controladoria / Contabilidade / Exportação / Geração IN 86 / Gera Arquivos Auxiliares (O_IN86_ARQ_AUX)"</f>
        <v>Controladoria / Contabilidade / Exportação / Geração IN 86 / Gera Arquivos Auxiliares (O_IN86_ARQ_AUX)</v>
      </c>
    </row>
    <row r="1000" spans="1:7" x14ac:dyDescent="0.3">
      <c r="A1000" s="1" t="s">
        <v>4</v>
      </c>
      <c r="B1000" s="2" t="str">
        <f t="shared" si="94"/>
        <v>SISTEMA DE CONTROLE CONTABIL</v>
      </c>
      <c r="C1000" s="2" t="str">
        <f t="shared" si="95"/>
        <v>CONTR</v>
      </c>
      <c r="D1000" s="2" t="str">
        <f t="shared" si="96"/>
        <v>FCCT</v>
      </c>
      <c r="E1000" s="2" t="str">
        <f>"O_IMPORTACAO_SETOR"</f>
        <v>O_IMPORTACAO_SETOR</v>
      </c>
      <c r="F1000" s="2" t="str">
        <f>"O_IMPORTACAO_SETOR"</f>
        <v>O_IMPORTACAO_SETOR</v>
      </c>
      <c r="G1000" s="2" t="str">
        <f>" ()"</f>
        <v xml:space="preserve"> ()</v>
      </c>
    </row>
    <row r="1001" spans="1:7" x14ac:dyDescent="0.3">
      <c r="A1001" s="1" t="s">
        <v>4</v>
      </c>
      <c r="B1001" s="2" t="str">
        <f t="shared" si="94"/>
        <v>SISTEMA DE CONTROLE CONTABIL</v>
      </c>
      <c r="C1001" s="2" t="str">
        <f t="shared" si="95"/>
        <v>CONTR</v>
      </c>
      <c r="D1001" s="2" t="str">
        <f t="shared" si="96"/>
        <v>FCCT</v>
      </c>
      <c r="E1001" s="2" t="str">
        <f>"O_FECHLOTE"</f>
        <v>O_FECHLOTE</v>
      </c>
      <c r="F1001" s="2" t="str">
        <f>"O_FECHLOTE"</f>
        <v>O_FECHLOTE</v>
      </c>
      <c r="G1001" s="2" t="str">
        <f>" ()"</f>
        <v xml:space="preserve"> ()</v>
      </c>
    </row>
    <row r="1002" spans="1:7" x14ac:dyDescent="0.3">
      <c r="A1002" s="1" t="s">
        <v>4</v>
      </c>
      <c r="B1002" s="2" t="str">
        <f t="shared" si="94"/>
        <v>SISTEMA DE CONTROLE CONTABIL</v>
      </c>
      <c r="C1002" s="2" t="str">
        <f t="shared" si="95"/>
        <v>CONTR</v>
      </c>
      <c r="D1002" s="2" t="str">
        <f t="shared" si="96"/>
        <v>FCCT</v>
      </c>
      <c r="E1002" s="2" t="str">
        <f>"M_IMPORTACAO_GERENCIAL"</f>
        <v>M_IMPORTACAO_GERENCIAL</v>
      </c>
      <c r="F1002" s="2" t="str">
        <f>"M_IMPORTACAO_GERENCIAL"</f>
        <v>M_IMPORTACAO_GERENCIAL</v>
      </c>
      <c r="G1002" s="2" t="str">
        <f>"Controladoria / Contabilidade / Tabelas / Gerenciais / Importação de Config. Gerenciais do Exercício (M_IMPORTACAO_GERENCIAL)"</f>
        <v>Controladoria / Contabilidade / Tabelas / Gerenciais / Importação de Config. Gerenciais do Exercício (M_IMPORTACAO_GERENCIAL)</v>
      </c>
    </row>
    <row r="1003" spans="1:7" x14ac:dyDescent="0.3">
      <c r="A1003" s="1" t="s">
        <v>4</v>
      </c>
      <c r="B1003" s="2" t="str">
        <f t="shared" si="94"/>
        <v>SISTEMA DE CONTROLE CONTABIL</v>
      </c>
      <c r="C1003" s="2" t="str">
        <f t="shared" si="95"/>
        <v>CONTR</v>
      </c>
      <c r="D1003" s="2" t="str">
        <f t="shared" si="96"/>
        <v>FCCT</v>
      </c>
      <c r="E1003" s="2" t="str">
        <f>"C_SALDO_SETOR_GERENCIAL"</f>
        <v>C_SALDO_SETOR_GERENCIAL</v>
      </c>
      <c r="F1003" s="2" t="str">
        <f>"C_SALDO_SETOR_GERENCIAL"</f>
        <v>C_SALDO_SETOR_GERENCIAL</v>
      </c>
      <c r="G1003" s="2" t="str">
        <f>"Controladoria / Contabilidade / Consultas / Gerenciais / Saldo Centro de Custo Gerencial (C_SALDO_SETOR_GERENCIAL)"</f>
        <v>Controladoria / Contabilidade / Consultas / Gerenciais / Saldo Centro de Custo Gerencial (C_SALDO_SETOR_GERENCIAL)</v>
      </c>
    </row>
    <row r="1004" spans="1:7" x14ac:dyDescent="0.3">
      <c r="A1004" s="1" t="s">
        <v>4</v>
      </c>
      <c r="B1004" s="2" t="str">
        <f t="shared" si="94"/>
        <v>SISTEMA DE CONTROLE CONTABIL</v>
      </c>
      <c r="C1004" s="2" t="str">
        <f t="shared" si="95"/>
        <v>CONTR</v>
      </c>
      <c r="D1004" s="2" t="str">
        <f t="shared" si="96"/>
        <v>FCCT</v>
      </c>
      <c r="E1004" s="2" t="str">
        <f>"MANUTENÇÃO DE ARQUIVOS DE INTEGRAÇÃO"</f>
        <v>MANUTENÇÃO DE ARQUIVOS DE INTEGRAÇÃO</v>
      </c>
      <c r="F1004" s="2" t="str">
        <f>"O_CANC_ARQ"</f>
        <v>O_CANC_ARQ</v>
      </c>
      <c r="G1004" s="2" t="str">
        <f>" ()"</f>
        <v xml:space="preserve"> ()</v>
      </c>
    </row>
    <row r="1005" spans="1:7" x14ac:dyDescent="0.3">
      <c r="A1005" s="1" t="s">
        <v>4</v>
      </c>
      <c r="B1005" s="2" t="str">
        <f t="shared" si="94"/>
        <v>SISTEMA DE CONTROLE CONTABIL</v>
      </c>
      <c r="C1005" s="2" t="str">
        <f t="shared" si="95"/>
        <v>CONTR</v>
      </c>
      <c r="D1005" s="2" t="str">
        <f t="shared" si="96"/>
        <v>FCCT</v>
      </c>
      <c r="E1005" s="2" t="str">
        <f>"IMPORTAÇÃO DE MOVIMENTAÇÕES CONTÁBEIS"</f>
        <v>IMPORTAÇÃO DE MOVIMENTAÇÕES CONTÁBEIS</v>
      </c>
      <c r="F1005" s="2" t="str">
        <f>"O_IMP_MOV"</f>
        <v>O_IMP_MOV</v>
      </c>
      <c r="G1005" s="2" t="str">
        <f>" ()"</f>
        <v xml:space="preserve"> ()</v>
      </c>
    </row>
    <row r="1006" spans="1:7" x14ac:dyDescent="0.3">
      <c r="A1006" s="1" t="s">
        <v>4</v>
      </c>
      <c r="B1006" s="2" t="str">
        <f t="shared" si="94"/>
        <v>SISTEMA DE CONTROLE CONTABIL</v>
      </c>
      <c r="C1006" s="2" t="str">
        <f t="shared" si="95"/>
        <v>CONTR</v>
      </c>
      <c r="D1006" s="2" t="str">
        <f t="shared" si="96"/>
        <v>FCCT</v>
      </c>
      <c r="E1006" s="2" t="str">
        <f>"CÓDIGOS DE COMPATIBILIDADE (DE-PARA)"</f>
        <v>CÓDIGOS DE COMPATIBILIDADE (DE-PARA)</v>
      </c>
      <c r="F1006" s="2" t="str">
        <f>"O_COD_COMP"</f>
        <v>O_COD_COMP</v>
      </c>
      <c r="G1006" s="2" t="str">
        <f>" ()"</f>
        <v xml:space="preserve"> ()</v>
      </c>
    </row>
    <row r="1007" spans="1:7" x14ac:dyDescent="0.3">
      <c r="A1007" s="1" t="s">
        <v>4</v>
      </c>
      <c r="B1007" s="2" t="str">
        <f t="shared" si="94"/>
        <v>SISTEMA DE CONTROLE CONTABIL</v>
      </c>
      <c r="C1007" s="2" t="str">
        <f t="shared" si="95"/>
        <v>CONTR</v>
      </c>
      <c r="D1007" s="2" t="str">
        <f t="shared" si="96"/>
        <v>FCCT</v>
      </c>
      <c r="E1007" s="2" t="str">
        <f>"EXPORTAÇÃO DE MOVIMENTAÇÕES CONTÁBEIS"</f>
        <v>EXPORTAÇÃO DE MOVIMENTAÇÕES CONTÁBEIS</v>
      </c>
      <c r="F1007" s="2" t="str">
        <f>"O_EXP_MOV"</f>
        <v>O_EXP_MOV</v>
      </c>
      <c r="G1007" s="2" t="str">
        <f>" ()"</f>
        <v xml:space="preserve"> ()</v>
      </c>
    </row>
    <row r="1008" spans="1:7" x14ac:dyDescent="0.3">
      <c r="A1008" s="1" t="s">
        <v>4</v>
      </c>
      <c r="B1008" s="2" t="str">
        <f t="shared" si="94"/>
        <v>SISTEMA DE CONTROLE CONTABIL</v>
      </c>
      <c r="C1008" s="2" t="str">
        <f t="shared" si="95"/>
        <v>CONTR</v>
      </c>
      <c r="D1008" s="2" t="str">
        <f t="shared" si="96"/>
        <v>FCCT</v>
      </c>
      <c r="E1008" s="2" t="str">
        <f>"WIN_PRINCIPAL"</f>
        <v>WIN_PRINCIPAL</v>
      </c>
      <c r="F1008" s="2" t="str">
        <f>"O_MANAD"</f>
        <v>O_MANAD</v>
      </c>
      <c r="G1008" s="2" t="str">
        <f>"Controladoria / Fiscal / Geração / Geração Arquivos Manad (O_MANAD)"</f>
        <v>Controladoria / Fiscal / Geração / Geração Arquivos Manad (O_MANAD)</v>
      </c>
    </row>
    <row r="1009" spans="1:7" x14ac:dyDescent="0.3">
      <c r="A1009" s="1" t="s">
        <v>4</v>
      </c>
      <c r="B1009" s="2" t="str">
        <f t="shared" si="94"/>
        <v>SISTEMA DE CONTROLE CONTABIL</v>
      </c>
      <c r="C1009" s="2" t="str">
        <f t="shared" si="95"/>
        <v>CONTR</v>
      </c>
      <c r="D1009" s="2" t="str">
        <f t="shared" si="96"/>
        <v>FCCT</v>
      </c>
      <c r="E1009" s="2" t="str">
        <f>"WIN_PRINCIPAL"</f>
        <v>WIN_PRINCIPAL</v>
      </c>
      <c r="F1009" s="2" t="str">
        <f>"O_MANAD"</f>
        <v>O_MANAD</v>
      </c>
      <c r="G1009" s="2" t="str">
        <f>"Controladoria / Contabilidade / Exportação / Geração MANAD / Geração Arquivos Manad (O_MANAD)"</f>
        <v>Controladoria / Contabilidade / Exportação / Geração MANAD / Geração Arquivos Manad (O_MANAD)</v>
      </c>
    </row>
    <row r="1010" spans="1:7" x14ac:dyDescent="0.3">
      <c r="A1010" s="1" t="s">
        <v>4</v>
      </c>
      <c r="B1010" s="2" t="str">
        <f t="shared" si="94"/>
        <v>SISTEMA DE CONTROLE CONTABIL</v>
      </c>
      <c r="C1010" s="2" t="str">
        <f t="shared" si="95"/>
        <v>CONTR</v>
      </c>
      <c r="D1010" s="2" t="str">
        <f t="shared" si="96"/>
        <v>FCCT</v>
      </c>
      <c r="E1010" s="2" t="str">
        <f>"RELATORIO DE TERMO DE RESPONSABILIDADE"</f>
        <v>RELATORIO DE TERMO DE RESPONSABILIDADE</v>
      </c>
      <c r="F1010" s="2" t="str">
        <f>"R_TERMO"</f>
        <v>R_TERMO</v>
      </c>
      <c r="G1010" s="2" t="str">
        <f>"Controladoria / Contabilidade / Relatórios / Termos (R_TERMO)"</f>
        <v>Controladoria / Contabilidade / Relatórios / Termos (R_TERMO)</v>
      </c>
    </row>
    <row r="1011" spans="1:7" x14ac:dyDescent="0.3">
      <c r="A1011" s="1" t="s">
        <v>4</v>
      </c>
      <c r="B1011" s="2" t="str">
        <f t="shared" si="94"/>
        <v>SISTEMA DE CONTROLE CONTABIL</v>
      </c>
      <c r="C1011" s="2" t="str">
        <f t="shared" si="95"/>
        <v>CONTR</v>
      </c>
      <c r="D1011" s="2" t="str">
        <f t="shared" si="96"/>
        <v>FCCT</v>
      </c>
      <c r="E1011" s="2" t="str">
        <f>"IMPORTAÇÃO DA FOLHA PARA CONTABILIDADE"</f>
        <v>IMPORTAÇÃO DA FOLHA PARA CONTABILIDADE</v>
      </c>
      <c r="F1011" s="2" t="str">
        <f>"O_IMP_FOLHA"</f>
        <v>O_IMP_FOLHA</v>
      </c>
      <c r="G1011" s="2" t="str">
        <f>"Controladoria / Contabilidade / Liberação de Movimentações / Específica / Folha/Geral (O_IMP_FOLHA)"</f>
        <v>Controladoria / Contabilidade / Liberação de Movimentações / Específica / Folha/Geral (O_IMP_FOLHA)</v>
      </c>
    </row>
    <row r="1012" spans="1:7" x14ac:dyDescent="0.3">
      <c r="A1012" s="1" t="s">
        <v>4</v>
      </c>
      <c r="B1012" s="2" t="str">
        <f t="shared" si="94"/>
        <v>SISTEMA DE CONTROLE CONTABIL</v>
      </c>
      <c r="C1012" s="2" t="str">
        <f t="shared" si="95"/>
        <v>CONTR</v>
      </c>
      <c r="D1012" s="2" t="str">
        <f t="shared" si="96"/>
        <v>FCCT</v>
      </c>
      <c r="E1012" s="2" t="str">
        <f>"CADASTRO DE TERMO DE ABERT. E FECH.  CTB"</f>
        <v>CADASTRO DE TERMO DE ABERT. E FECH.  CTB</v>
      </c>
      <c r="F1012" s="2" t="str">
        <f>"M_TERMO_AF_CTB"</f>
        <v>M_TERMO_AF_CTB</v>
      </c>
      <c r="G1012" s="2" t="str">
        <f>"Controladoria / Contabilidade / Tabelas / Termos / Termos (M_TERMO_AF_CTB)"</f>
        <v>Controladoria / Contabilidade / Tabelas / Termos / Termos (M_TERMO_AF_CTB)</v>
      </c>
    </row>
    <row r="1013" spans="1:7" x14ac:dyDescent="0.3">
      <c r="A1013" s="1" t="s">
        <v>4</v>
      </c>
      <c r="B1013" s="2" t="str">
        <f t="shared" si="94"/>
        <v>SISTEMA DE CONTROLE CONTABIL</v>
      </c>
      <c r="C1013" s="2" t="str">
        <f t="shared" si="95"/>
        <v>CONTR</v>
      </c>
      <c r="D1013" s="2" t="str">
        <f t="shared" si="96"/>
        <v>FCCT</v>
      </c>
      <c r="E1013" s="2" t="str">
        <f>"IMPORTAÇÃO DO FINANCEIRO  PARA CONTAB."</f>
        <v>IMPORTAÇÃO DO FINANCEIRO  PARA CONTAB.</v>
      </c>
      <c r="F1013" s="2" t="str">
        <f>"O_IMP_FINANC"</f>
        <v>O_IMP_FINANC</v>
      </c>
      <c r="G1013" s="2" t="str">
        <f>" ()"</f>
        <v xml:space="preserve"> ()</v>
      </c>
    </row>
    <row r="1014" spans="1:7" x14ac:dyDescent="0.3">
      <c r="A1014" s="1" t="s">
        <v>4</v>
      </c>
      <c r="B1014" s="2" t="str">
        <f t="shared" si="94"/>
        <v>SISTEMA DE CONTROLE CONTABIL</v>
      </c>
      <c r="C1014" s="2" t="str">
        <f t="shared" si="95"/>
        <v>CONTR</v>
      </c>
      <c r="D1014" s="2" t="str">
        <f t="shared" si="96"/>
        <v>FCCT</v>
      </c>
      <c r="E1014" s="2" t="str">
        <f>"TERMO DE FECHAMENTO"</f>
        <v>TERMO DE FECHAMENTO</v>
      </c>
      <c r="F1014" s="2" t="str">
        <f>"R_TERMO_FECH"</f>
        <v>R_TERMO_FECH</v>
      </c>
      <c r="G1014" s="2" t="str">
        <f>" ()"</f>
        <v xml:space="preserve"> ()</v>
      </c>
    </row>
    <row r="1015" spans="1:7" x14ac:dyDescent="0.3">
      <c r="A1015" s="1" t="s">
        <v>4</v>
      </c>
      <c r="B1015" s="2" t="str">
        <f t="shared" si="94"/>
        <v>SISTEMA DE CONTROLE CONTABIL</v>
      </c>
      <c r="C1015" s="2" t="str">
        <f t="shared" si="95"/>
        <v>CONTR</v>
      </c>
      <c r="D1015" s="2" t="str">
        <f t="shared" si="96"/>
        <v>FCCT</v>
      </c>
      <c r="E1015" s="2" t="str">
        <f>"TERMO DE ABERTURA"</f>
        <v>TERMO DE ABERTURA</v>
      </c>
      <c r="F1015" s="2" t="str">
        <f>"R_TERMO_ABERT"</f>
        <v>R_TERMO_ABERT</v>
      </c>
      <c r="G1015" s="2" t="str">
        <f>" ()"</f>
        <v xml:space="preserve"> ()</v>
      </c>
    </row>
    <row r="1016" spans="1:7" x14ac:dyDescent="0.3">
      <c r="A1016" s="1" t="s">
        <v>4</v>
      </c>
      <c r="B1016" s="2" t="str">
        <f t="shared" si="94"/>
        <v>SISTEMA DE CONTROLE CONTABIL</v>
      </c>
      <c r="C1016" s="2" t="str">
        <f t="shared" si="95"/>
        <v>CONTR</v>
      </c>
      <c r="D1016" s="2" t="str">
        <f t="shared" si="96"/>
        <v>FCCT</v>
      </c>
      <c r="E1016" s="2" t="str">
        <f>"CONSULTA DE SALDAOS"</f>
        <v>CONSULTA DE SALDAOS</v>
      </c>
      <c r="F1016" s="2" t="str">
        <f>"C_SALDO_MENSAL"</f>
        <v>C_SALDO_MENSAL</v>
      </c>
      <c r="G1016" s="2" t="str">
        <f>"Controladoria / Contabilidade / Consultas / Saldo Mensal (C_SALDO_MENSAL)"</f>
        <v>Controladoria / Contabilidade / Consultas / Saldo Mensal (C_SALDO_MENSAL)</v>
      </c>
    </row>
    <row r="1017" spans="1:7" x14ac:dyDescent="0.3">
      <c r="A1017" s="1" t="s">
        <v>4</v>
      </c>
      <c r="B1017" s="2" t="str">
        <f t="shared" si="94"/>
        <v>SISTEMA DE CONTROLE CONTABIL</v>
      </c>
      <c r="C1017" s="2" t="str">
        <f t="shared" si="95"/>
        <v>CONTR</v>
      </c>
      <c r="D1017" s="2" t="str">
        <f t="shared" si="96"/>
        <v>FCCT</v>
      </c>
      <c r="E1017" s="2" t="str">
        <f>"CONVENIO X PLANO DE CONTAS"</f>
        <v>CONVENIO X PLANO DE CONTAS</v>
      </c>
      <c r="F1017" s="2" t="str">
        <f>"M_CONV_PL_CONTAS"</f>
        <v>M_CONV_PL_CONTAS</v>
      </c>
      <c r="G1017" s="2" t="str">
        <f>" ()"</f>
        <v xml:space="preserve"> ()</v>
      </c>
    </row>
    <row r="1018" spans="1:7" x14ac:dyDescent="0.3">
      <c r="A1018" s="1" t="s">
        <v>4</v>
      </c>
      <c r="B1018" s="2" t="str">
        <f t="shared" si="94"/>
        <v>SISTEMA DE CONTROLE CONTABIL</v>
      </c>
      <c r="C1018" s="2" t="str">
        <f t="shared" si="95"/>
        <v>CONTR</v>
      </c>
      <c r="D1018" s="2" t="str">
        <f t="shared" si="96"/>
        <v>FCCT</v>
      </c>
      <c r="E1018" s="2" t="str">
        <f>"LANÇAMENTO POR LOTE"</f>
        <v>LANÇAMENTO POR LOTE</v>
      </c>
      <c r="F1018" s="2" t="str">
        <f>"O_LANCLOTE"</f>
        <v>O_LANCLOTE</v>
      </c>
      <c r="G1018" s="2" t="str">
        <f>" ()"</f>
        <v xml:space="preserve"> ()</v>
      </c>
    </row>
    <row r="1019" spans="1:7" x14ac:dyDescent="0.3">
      <c r="A1019" s="1" t="s">
        <v>4</v>
      </c>
      <c r="B1019" s="2" t="str">
        <f t="shared" si="94"/>
        <v>SISTEMA DE CONTROLE CONTABIL</v>
      </c>
      <c r="C1019" s="2" t="str">
        <f t="shared" si="95"/>
        <v>CONTR</v>
      </c>
      <c r="D1019" s="2" t="str">
        <f t="shared" si="96"/>
        <v>FCCT</v>
      </c>
      <c r="E1019" s="2" t="str">
        <f>"MOVIMENTAÇÃO CONTÁBIL"</f>
        <v>MOVIMENTAÇÃO CONTÁBIL</v>
      </c>
      <c r="F1019" s="2" t="str">
        <f>"R_MOVCONT"</f>
        <v>R_MOVCONT</v>
      </c>
      <c r="G1019" s="2" t="str">
        <f>"Controladoria / Contabilidade / Relatórios / Movimentação Contábil (R_MOVCONT)"</f>
        <v>Controladoria / Contabilidade / Relatórios / Movimentação Contábil (R_MOVCONT)</v>
      </c>
    </row>
    <row r="1020" spans="1:7" x14ac:dyDescent="0.3">
      <c r="A1020" s="1" t="s">
        <v>4</v>
      </c>
      <c r="B1020" s="2" t="str">
        <f t="shared" si="94"/>
        <v>SISTEMA DE CONTROLE CONTABIL</v>
      </c>
      <c r="C1020" s="2" t="str">
        <f t="shared" si="95"/>
        <v>CONTR</v>
      </c>
      <c r="D1020" s="2" t="str">
        <f t="shared" si="96"/>
        <v>FCCT</v>
      </c>
      <c r="E1020" s="2" t="str">
        <f>"DIÁRIO"</f>
        <v>DIÁRIO</v>
      </c>
      <c r="F1020" s="2" t="str">
        <f>"R_DIARIO"</f>
        <v>R_DIARIO</v>
      </c>
      <c r="G1020" s="2" t="str">
        <f>"Controladoria / Fiscal / Relatórios / Contábeis / Impostos (R_DIARIO)"</f>
        <v>Controladoria / Fiscal / Relatórios / Contábeis / Impostos (R_DIARIO)</v>
      </c>
    </row>
    <row r="1021" spans="1:7" x14ac:dyDescent="0.3">
      <c r="A1021" s="1" t="s">
        <v>4</v>
      </c>
      <c r="B1021" s="2" t="str">
        <f t="shared" si="94"/>
        <v>SISTEMA DE CONTROLE CONTABIL</v>
      </c>
      <c r="C1021" s="2" t="str">
        <f t="shared" si="95"/>
        <v>CONTR</v>
      </c>
      <c r="D1021" s="2" t="str">
        <f t="shared" si="96"/>
        <v>FCCT</v>
      </c>
      <c r="E1021" s="2" t="str">
        <f>"DIÁRIO"</f>
        <v>DIÁRIO</v>
      </c>
      <c r="F1021" s="2" t="str">
        <f>"R_DIARIO"</f>
        <v>R_DIARIO</v>
      </c>
      <c r="G1021" s="2" t="str">
        <f>"Controladoria / Contabilidade / Relatórios / Diário Geral (R_DIARIO)"</f>
        <v>Controladoria / Contabilidade / Relatórios / Diário Geral (R_DIARIO)</v>
      </c>
    </row>
    <row r="1022" spans="1:7" x14ac:dyDescent="0.3">
      <c r="A1022" s="1" t="s">
        <v>4</v>
      </c>
      <c r="B1022" s="2" t="str">
        <f t="shared" si="94"/>
        <v>SISTEMA DE CONTROLE CONTABIL</v>
      </c>
      <c r="C1022" s="2" t="str">
        <f t="shared" si="95"/>
        <v>CONTR</v>
      </c>
      <c r="D1022" s="2" t="str">
        <f t="shared" si="96"/>
        <v>FCCT</v>
      </c>
      <c r="E1022" s="2" t="str">
        <f>"PLANO DE CONTA P/ O FINANCEIRO"</f>
        <v>PLANO DE CONTA P/ O FINANCEIRO</v>
      </c>
      <c r="F1022" s="2" t="str">
        <f>"M_PLACON_FINANC"</f>
        <v>M_PLACON_FINANC</v>
      </c>
      <c r="G1022" s="2" t="s">
        <v>10</v>
      </c>
    </row>
    <row r="1023" spans="1:7" x14ac:dyDescent="0.3">
      <c r="A1023" s="1" t="s">
        <v>4</v>
      </c>
      <c r="B1023" s="2" t="str">
        <f t="shared" si="94"/>
        <v>SISTEMA DE CONTROLE CONTABIL</v>
      </c>
      <c r="C1023" s="2" t="str">
        <f t="shared" si="95"/>
        <v>CONTR</v>
      </c>
      <c r="D1023" s="2" t="str">
        <f t="shared" si="96"/>
        <v>FCCT</v>
      </c>
      <c r="E1023" s="2" t="str">
        <f>"PACKAGE DO FCCT"</f>
        <v>PACKAGE DO FCCT</v>
      </c>
      <c r="F1023" s="2" t="str">
        <f>"PACK_FCCT"</f>
        <v>PACK_FCCT</v>
      </c>
      <c r="G1023" s="2" t="str">
        <f>" ()"</f>
        <v xml:space="preserve"> ()</v>
      </c>
    </row>
    <row r="1024" spans="1:7" x14ac:dyDescent="0.3">
      <c r="A1024" s="1" t="s">
        <v>4</v>
      </c>
      <c r="B1024" s="2" t="str">
        <f t="shared" si="94"/>
        <v>SISTEMA DE CONTROLE CONTABIL</v>
      </c>
      <c r="C1024" s="2" t="str">
        <f t="shared" si="95"/>
        <v>CONTR</v>
      </c>
      <c r="D1024" s="2" t="str">
        <f t="shared" si="96"/>
        <v>FCCT</v>
      </c>
      <c r="E1024" s="2" t="str">
        <f>"ACOMPANHAMENTO DO ORÇADO X REALIZADO"</f>
        <v>ACOMPANHAMENTO DO ORÇADO X REALIZADO</v>
      </c>
      <c r="F1024" s="2" t="str">
        <f>"R_REALIZ_ORCADO"</f>
        <v>R_REALIZ_ORCADO</v>
      </c>
      <c r="G1024" s="2" t="str">
        <f>"Controladoria / Contabilidade / Relatórios / Orçamento / Acompanhamento Orçado x Realizado (R_REALIZ_ORCADO)"</f>
        <v>Controladoria / Contabilidade / Relatórios / Orçamento / Acompanhamento Orçado x Realizado (R_REALIZ_ORCADO)</v>
      </c>
    </row>
    <row r="1025" spans="1:7" x14ac:dyDescent="0.3">
      <c r="A1025" s="1" t="s">
        <v>4</v>
      </c>
      <c r="B1025" s="2" t="str">
        <f t="shared" si="94"/>
        <v>SISTEMA DE CONTROLE CONTABIL</v>
      </c>
      <c r="C1025" s="2" t="str">
        <f t="shared" si="95"/>
        <v>CONTR</v>
      </c>
      <c r="D1025" s="2" t="str">
        <f t="shared" si="96"/>
        <v>FCCT</v>
      </c>
      <c r="E1025" s="2" t="str">
        <f>"RELATORIO DE PLANO DE CONTAS"</f>
        <v>RELATORIO DE PLANO DE CONTAS</v>
      </c>
      <c r="F1025" s="2" t="str">
        <f>"R_PLACON"</f>
        <v>R_PLACON</v>
      </c>
      <c r="G1025" s="2" t="str">
        <f>"Controladoria / Contabilidade / Relatórios / Tabelas / Plano de Contas (R_PLACON)"</f>
        <v>Controladoria / Contabilidade / Relatórios / Tabelas / Plano de Contas (R_PLACON)</v>
      </c>
    </row>
    <row r="1026" spans="1:7" x14ac:dyDescent="0.3">
      <c r="A1026" s="1" t="s">
        <v>4</v>
      </c>
      <c r="B1026" s="2" t="str">
        <f t="shared" si="94"/>
        <v>SISTEMA DE CONTROLE CONTABIL</v>
      </c>
      <c r="C1026" s="2" t="str">
        <f t="shared" si="95"/>
        <v>CONTR</v>
      </c>
      <c r="D1026" s="2" t="str">
        <f t="shared" si="96"/>
        <v>FCCT</v>
      </c>
      <c r="E1026" s="2" t="str">
        <f>"LANÇAMENTO POR LOTE"</f>
        <v>LANÇAMENTO POR LOTE</v>
      </c>
      <c r="F1026" s="2" t="str">
        <f>"M_LANCLOTE"</f>
        <v>M_LANCLOTE</v>
      </c>
      <c r="G1026" s="2" t="str">
        <f>" ()"</f>
        <v xml:space="preserve"> ()</v>
      </c>
    </row>
    <row r="1027" spans="1:7" x14ac:dyDescent="0.3">
      <c r="A1027" s="1" t="s">
        <v>4</v>
      </c>
      <c r="B1027" s="2" t="str">
        <f t="shared" si="94"/>
        <v>SISTEMA DE CONTROLE CONTABIL</v>
      </c>
      <c r="C1027" s="2" t="str">
        <f t="shared" si="95"/>
        <v>CONTR</v>
      </c>
      <c r="D1027" s="2" t="str">
        <f t="shared" si="96"/>
        <v>FCCT</v>
      </c>
      <c r="E1027" s="2" t="str">
        <f>"CADASTRO DO HISTÓRICO PADRÃO"</f>
        <v>CADASTRO DO HISTÓRICO PADRÃO</v>
      </c>
      <c r="F1027" s="2" t="str">
        <f>"M_HISPAD"</f>
        <v>M_HISPAD</v>
      </c>
      <c r="G1027" s="2" t="str">
        <f>"Controladoria / Contabilidade / Tabelas / Históricos (M_HISPAD)"</f>
        <v>Controladoria / Contabilidade / Tabelas / Históricos (M_HISPAD)</v>
      </c>
    </row>
    <row r="1028" spans="1:7" x14ac:dyDescent="0.3">
      <c r="A1028" s="1" t="s">
        <v>4</v>
      </c>
      <c r="B1028" s="2" t="str">
        <f t="shared" si="94"/>
        <v>SISTEMA DE CONTROLE CONTABIL</v>
      </c>
      <c r="C1028" s="2" t="str">
        <f t="shared" si="95"/>
        <v>CONTR</v>
      </c>
      <c r="D1028" s="2" t="str">
        <f t="shared" si="96"/>
        <v>FCCT</v>
      </c>
      <c r="E1028" s="2" t="str">
        <f>"CADASTRO DE GRAU DA CONTA"</f>
        <v>CADASTRO DE GRAU DA CONTA</v>
      </c>
      <c r="F1028" s="2" t="str">
        <f>"M_GRAUCON"</f>
        <v>M_GRAUCON</v>
      </c>
      <c r="G1028" s="2" t="str">
        <f>"Controladoria / Contabilidade / Tabelas / Grau da Conta (M_GRAUCON)"</f>
        <v>Controladoria / Contabilidade / Tabelas / Grau da Conta (M_GRAUCON)</v>
      </c>
    </row>
    <row r="1029" spans="1:7" x14ac:dyDescent="0.3">
      <c r="A1029" s="1" t="s">
        <v>4</v>
      </c>
      <c r="B1029" s="2" t="str">
        <f t="shared" si="94"/>
        <v>SISTEMA DE CONTROLE CONTABIL</v>
      </c>
      <c r="C1029" s="2" t="str">
        <f t="shared" si="95"/>
        <v>CONTR</v>
      </c>
      <c r="D1029" s="2" t="str">
        <f t="shared" si="96"/>
        <v>FCCT</v>
      </c>
      <c r="E1029" s="2" t="str">
        <f>"TELA PRINCIPAL DO SISTEMA DE CONTABILIDA"</f>
        <v>TELA PRINCIPAL DO SISTEMA DE CONTABILIDA</v>
      </c>
      <c r="F1029" s="2" t="str">
        <f>"FCCT"</f>
        <v>FCCT</v>
      </c>
      <c r="G1029" s="2" t="str">
        <f>" ()"</f>
        <v xml:space="preserve"> ()</v>
      </c>
    </row>
    <row r="1030" spans="1:7" x14ac:dyDescent="0.3">
      <c r="A1030" s="1" t="s">
        <v>4</v>
      </c>
      <c r="B1030" s="2" t="str">
        <f t="shared" si="94"/>
        <v>SISTEMA DE CONTROLE CONTABIL</v>
      </c>
      <c r="C1030" s="2" t="str">
        <f t="shared" si="95"/>
        <v>CONTR</v>
      </c>
      <c r="D1030" s="2" t="str">
        <f t="shared" si="96"/>
        <v>FCCT</v>
      </c>
      <c r="E1030" s="2" t="str">
        <f>"MENU DO SISTEMA DE CONTABILIDADE"</f>
        <v>MENU DO SISTEMA DE CONTABILIDADE</v>
      </c>
      <c r="F1030" s="2" t="str">
        <f>"M_FCCT"</f>
        <v>M_FCCT</v>
      </c>
      <c r="G1030" s="2" t="str">
        <f>" ()"</f>
        <v xml:space="preserve"> ()</v>
      </c>
    </row>
    <row r="1031" spans="1:7" x14ac:dyDescent="0.3">
      <c r="A1031" s="1" t="s">
        <v>4</v>
      </c>
      <c r="B1031" s="2" t="str">
        <f t="shared" si="94"/>
        <v>SISTEMA DE CONTROLE CONTABIL</v>
      </c>
      <c r="C1031" s="2" t="str">
        <f t="shared" si="95"/>
        <v>CONTR</v>
      </c>
      <c r="D1031" s="2" t="str">
        <f t="shared" si="96"/>
        <v>FCCT</v>
      </c>
      <c r="E1031" s="2" t="str">
        <f>"Conta de Movimentação"</f>
        <v>Conta de Movimentação</v>
      </c>
      <c r="F1031" s="2" t="str">
        <f>"M_PLACON"</f>
        <v>M_PLACON</v>
      </c>
      <c r="G1031" s="2" t="str">
        <f>"Controladoria / Contabilidade / Tabelas / Plano Contábil / Conta de Movimentação (M_PLACON)"</f>
        <v>Controladoria / Contabilidade / Tabelas / Plano Contábil / Conta de Movimentação (M_PLACON)</v>
      </c>
    </row>
    <row r="1032" spans="1:7" x14ac:dyDescent="0.3">
      <c r="A1032" s="1" t="s">
        <v>4</v>
      </c>
      <c r="B1032" s="2" t="str">
        <f t="shared" si="94"/>
        <v>SISTEMA DE CONTROLE CONTABIL</v>
      </c>
      <c r="C1032" s="2" t="str">
        <f t="shared" si="95"/>
        <v>CONTR</v>
      </c>
      <c r="D1032" s="2" t="str">
        <f t="shared" si="96"/>
        <v>FCCT</v>
      </c>
      <c r="E1032" s="2" t="str">
        <f>"RELATORIO DE CONFERENCIA DE LOTE"</f>
        <v>RELATORIO DE CONFERENCIA DE LOTE</v>
      </c>
      <c r="F1032" s="2" t="str">
        <f>"R_CONFLOTE"</f>
        <v>R_CONFLOTE</v>
      </c>
      <c r="G1032" s="2" t="str">
        <f>"Controladoria / Contabilidade / Relatórios / Auditoria / Conferência de Lotes (R_CONFLOTE)"</f>
        <v>Controladoria / Contabilidade / Relatórios / Auditoria / Conferência de Lotes (R_CONFLOTE)</v>
      </c>
    </row>
    <row r="1033" spans="1:7" x14ac:dyDescent="0.3">
      <c r="A1033" s="1" t="s">
        <v>4</v>
      </c>
      <c r="B1033" s="2" t="str">
        <f t="shared" si="94"/>
        <v>SISTEMA DE CONTROLE CONTABIL</v>
      </c>
      <c r="C1033" s="2" t="str">
        <f t="shared" si="95"/>
        <v>CONTR</v>
      </c>
      <c r="D1033" s="2" t="str">
        <f t="shared" si="96"/>
        <v>FCCT</v>
      </c>
      <c r="E1033" s="2" t="str">
        <f>"RELATORIO DE RAZAO CONTABIL"</f>
        <v>RELATORIO DE RAZAO CONTABIL</v>
      </c>
      <c r="F1033" s="2" t="str">
        <f>"R_RAZAO"</f>
        <v>R_RAZAO</v>
      </c>
      <c r="G1033" s="2" t="str">
        <f>"Controladoria / Fiscal / Relatórios / Contábeis / Razão (R_RAZAO)"</f>
        <v>Controladoria / Fiscal / Relatórios / Contábeis / Razão (R_RAZAO)</v>
      </c>
    </row>
    <row r="1034" spans="1:7" x14ac:dyDescent="0.3">
      <c r="A1034" s="1" t="s">
        <v>4</v>
      </c>
      <c r="B1034" s="2" t="str">
        <f t="shared" si="94"/>
        <v>SISTEMA DE CONTROLE CONTABIL</v>
      </c>
      <c r="C1034" s="2" t="str">
        <f t="shared" si="95"/>
        <v>CONTR</v>
      </c>
      <c r="D1034" s="2" t="str">
        <f t="shared" si="96"/>
        <v>FCCT</v>
      </c>
      <c r="E1034" s="2" t="str">
        <f>"RELATORIO DE RAZAO CONTABIL"</f>
        <v>RELATORIO DE RAZAO CONTABIL</v>
      </c>
      <c r="F1034" s="2" t="str">
        <f>"R_RAZAO"</f>
        <v>R_RAZAO</v>
      </c>
      <c r="G1034" s="2" t="str">
        <f>"Controladoria / Contabilidade / Relatórios / Razão / Razão (R_RAZAO)"</f>
        <v>Controladoria / Contabilidade / Relatórios / Razão / Razão (R_RAZAO)</v>
      </c>
    </row>
    <row r="1035" spans="1:7" x14ac:dyDescent="0.3">
      <c r="A1035" s="1" t="s">
        <v>4</v>
      </c>
      <c r="B1035" s="2" t="str">
        <f t="shared" si="94"/>
        <v>SISTEMA DE CONTROLE CONTABIL</v>
      </c>
      <c r="C1035" s="2" t="str">
        <f t="shared" si="95"/>
        <v>CONTR</v>
      </c>
      <c r="D1035" s="2" t="str">
        <f t="shared" si="96"/>
        <v>FCCT</v>
      </c>
      <c r="E1035" s="2" t="str">
        <f>"CADASTRO DE USUARIO X MULTI_EMPRESA"</f>
        <v>CADASTRO DE USUARIO X MULTI_EMPRESA</v>
      </c>
      <c r="F1035" s="2" t="str">
        <f>"M_USU_MULTI_EMPRESA"</f>
        <v>M_USU_MULTI_EMPRESA</v>
      </c>
      <c r="G1035" s="2" t="str">
        <f>"Serviços de Apoio / Global / Globais / Empresas X Usuários (M_USU_MULTI_EMPRESA)"</f>
        <v>Serviços de Apoio / Global / Globais / Empresas X Usuários (M_USU_MULTI_EMPRESA)</v>
      </c>
    </row>
    <row r="1036" spans="1:7" x14ac:dyDescent="0.3">
      <c r="A1036" s="1" t="s">
        <v>4</v>
      </c>
      <c r="B1036" s="2" t="str">
        <f t="shared" si="94"/>
        <v>SISTEMA DE CONTROLE CONTABIL</v>
      </c>
      <c r="C1036" s="2" t="str">
        <f t="shared" si="95"/>
        <v>CONTR</v>
      </c>
      <c r="D1036" s="2" t="str">
        <f t="shared" si="96"/>
        <v>FCCT</v>
      </c>
      <c r="E1036" s="2" t="str">
        <f>"CADASTRO DE USUARIO X MULTI_EMPRESA"</f>
        <v>CADASTRO DE USUARIO X MULTI_EMPRESA</v>
      </c>
      <c r="F1036" s="2" t="str">
        <f>"M_USU_MULTI_EMPRESA"</f>
        <v>M_USU_MULTI_EMPRESA</v>
      </c>
      <c r="G1036" s="2" t="str">
        <f>"Apoio a TI / Gestão de Usuários / Configurações de Acesso / Acessos Gerais / Usuários por Empresas (M_USU_MULTI_EMPRESA)"</f>
        <v>Apoio a TI / Gestão de Usuários / Configurações de Acesso / Acessos Gerais / Usuários por Empresas (M_USU_MULTI_EMPRESA)</v>
      </c>
    </row>
    <row r="1037" spans="1:7" x14ac:dyDescent="0.3">
      <c r="A1037" s="1" t="s">
        <v>4</v>
      </c>
      <c r="B1037" s="2" t="str">
        <f t="shared" si="94"/>
        <v>SISTEMA DE CONTROLE CONTABIL</v>
      </c>
      <c r="C1037" s="2" t="str">
        <f t="shared" si="95"/>
        <v>CONTR</v>
      </c>
      <c r="D1037" s="2" t="str">
        <f t="shared" si="96"/>
        <v>FCCT</v>
      </c>
      <c r="E1037" s="2" t="str">
        <f>"CADASTRO DE HISTORICO PADRAO"</f>
        <v>CADASTRO DE HISTORICO PADRAO</v>
      </c>
      <c r="F1037" s="2" t="str">
        <f>"R_HISPAD"</f>
        <v>R_HISPAD</v>
      </c>
      <c r="G1037" s="2" t="str">
        <f>"Controladoria / Contabilidade / Relatórios / Tabelas / Histórico Padrão (R_HISPAD)"</f>
        <v>Controladoria / Contabilidade / Relatórios / Tabelas / Histórico Padrão (R_HISPAD)</v>
      </c>
    </row>
    <row r="1038" spans="1:7" x14ac:dyDescent="0.3">
      <c r="A1038" s="1" t="s">
        <v>4</v>
      </c>
      <c r="B1038" s="2" t="str">
        <f t="shared" si="94"/>
        <v>SISTEMA DE CONTROLE CONTABIL</v>
      </c>
      <c r="C1038" s="2" t="str">
        <f t="shared" si="95"/>
        <v>CONTR</v>
      </c>
      <c r="D1038" s="2" t="str">
        <f t="shared" si="96"/>
        <v>FCCT</v>
      </c>
      <c r="E1038" s="2" t="str">
        <f>"CADASTRO DE CARGOS"</f>
        <v>CADASTRO DE CARGOS</v>
      </c>
      <c r="F1038" s="2" t="str">
        <f>"M_CARGO"</f>
        <v>M_CARGO</v>
      </c>
      <c r="G1038" s="2" t="str">
        <f>"Controladoria / Contabilidade / Exportação / DIOPS / Cargos (M_CARGO)"</f>
        <v>Controladoria / Contabilidade / Exportação / DIOPS / Cargos (M_CARGO)</v>
      </c>
    </row>
    <row r="1039" spans="1:7" x14ac:dyDescent="0.3">
      <c r="A1039" s="1" t="s">
        <v>4</v>
      </c>
      <c r="B1039" s="2" t="str">
        <f t="shared" si="94"/>
        <v>SISTEMA DE CONTROLE CONTABIL</v>
      </c>
      <c r="C1039" s="2" t="str">
        <f t="shared" si="95"/>
        <v>CONTR</v>
      </c>
      <c r="D1039" s="2" t="str">
        <f t="shared" si="96"/>
        <v>FCCT</v>
      </c>
      <c r="E1039" s="2" t="str">
        <f>"CADASTRO DE CARGOS"</f>
        <v>CADASTRO DE CARGOS</v>
      </c>
      <c r="F1039" s="2" t="str">
        <f>"M_CARGO"</f>
        <v>M_CARGO</v>
      </c>
      <c r="G1039" s="2" t="str">
        <f>"MVSaude / Cadastros / Cargos (M_CARGO)"</f>
        <v>MVSaude / Cadastros / Cargos (M_CARGO)</v>
      </c>
    </row>
    <row r="1040" spans="1:7" x14ac:dyDescent="0.3">
      <c r="A1040" s="1" t="s">
        <v>4</v>
      </c>
      <c r="B1040" s="2" t="str">
        <f t="shared" si="94"/>
        <v>SISTEMA DE CONTROLE CONTABIL</v>
      </c>
      <c r="C1040" s="2" t="str">
        <f t="shared" si="95"/>
        <v>CONTR</v>
      </c>
      <c r="D1040" s="2" t="str">
        <f t="shared" si="96"/>
        <v>FCCT</v>
      </c>
      <c r="E1040" s="2" t="str">
        <f>"INTERLIGACAO ARQUIVO FOLHA E PL CONTAS"</f>
        <v>INTERLIGACAO ARQUIVO FOLHA E PL CONTAS</v>
      </c>
      <c r="F1040" s="2" t="str">
        <f>"M_INT_FOLHA"</f>
        <v>M_INT_FOLHA</v>
      </c>
      <c r="G1040" s="2" t="str">
        <f>"Controladoria / Contabilidade / Liberação de Movimentações / Específica / Conversão Cód. Reduzido (M_INT_FOLHA)"</f>
        <v>Controladoria / Contabilidade / Liberação de Movimentações / Específica / Conversão Cód. Reduzido (M_INT_FOLHA)</v>
      </c>
    </row>
    <row r="1041" spans="1:7" x14ac:dyDescent="0.3">
      <c r="A1041" s="1" t="s">
        <v>4</v>
      </c>
      <c r="B1041" s="2" t="str">
        <f t="shared" si="94"/>
        <v>SISTEMA DE CONTROLE CONTABIL</v>
      </c>
      <c r="C1041" s="2" t="str">
        <f t="shared" si="95"/>
        <v>CONTR</v>
      </c>
      <c r="D1041" s="2" t="str">
        <f t="shared" si="96"/>
        <v>FCCT</v>
      </c>
      <c r="E1041" s="2" t="str">
        <f>"CONSULTA DE SALDO DO SETOR"</f>
        <v>CONSULTA DE SALDO DO SETOR</v>
      </c>
      <c r="F1041" s="2" t="str">
        <f>"C_SALDO_SETOR"</f>
        <v>C_SALDO_SETOR</v>
      </c>
      <c r="G1041" s="2" t="str">
        <f>"Controladoria / Contabilidade / Consultas / Saldo Centro de Custo (C_SALDO_SETOR)"</f>
        <v>Controladoria / Contabilidade / Consultas / Saldo Centro de Custo (C_SALDO_SETOR)</v>
      </c>
    </row>
    <row r="1042" spans="1:7" x14ac:dyDescent="0.3">
      <c r="A1042" s="1" t="s">
        <v>4</v>
      </c>
      <c r="B1042" s="2" t="str">
        <f t="shared" si="94"/>
        <v>SISTEMA DE CONTROLE CONTABIL</v>
      </c>
      <c r="C1042" s="2" t="str">
        <f t="shared" si="95"/>
        <v>CONTR</v>
      </c>
      <c r="D1042" s="2" t="str">
        <f t="shared" si="96"/>
        <v>FCCT</v>
      </c>
      <c r="E1042" s="2" t="str">
        <f>"R_BALANCETE_SINT"</f>
        <v>R_BALANCETE_SINT</v>
      </c>
      <c r="F1042" s="2" t="str">
        <f>"R_BALANCETE_SINT"</f>
        <v>R_BALANCETE_SINT</v>
      </c>
      <c r="G1042" s="2" t="str">
        <f>"Controladoria / Contabilidade / Relatórios / Balancete / Balancete Sintético (R_BALANCETE_SINT)"</f>
        <v>Controladoria / Contabilidade / Relatórios / Balancete / Balancete Sintético (R_BALANCETE_SINT)</v>
      </c>
    </row>
    <row r="1043" spans="1:7" x14ac:dyDescent="0.3">
      <c r="A1043" s="1" t="s">
        <v>4</v>
      </c>
      <c r="B1043" s="2" t="str">
        <f t="shared" ref="B1043:B1105" si="97">"SISTEMA DE CONTROLE CONTABIL"</f>
        <v>SISTEMA DE CONTROLE CONTABIL</v>
      </c>
      <c r="C1043" s="2" t="str">
        <f t="shared" ref="C1043:C1105" si="98">"CONTR"</f>
        <v>CONTR</v>
      </c>
      <c r="D1043" s="2" t="str">
        <f t="shared" ref="D1043:D1105" si="99">"FCCT"</f>
        <v>FCCT</v>
      </c>
      <c r="E1043" s="2" t="str">
        <f>"CADASTRO DE LOTES DE FATURAS"</f>
        <v>CADASTRO DE LOTES DE FATURAS</v>
      </c>
      <c r="F1043" s="2" t="str">
        <f>"M_LOTE"</f>
        <v>M_LOTE</v>
      </c>
      <c r="G1043" s="2" t="str">
        <f>"Controladoria / Contabilidade / Lançamentos / Lotes / Cadastro / Fechamento de Lote (M_LOTE)"</f>
        <v>Controladoria / Contabilidade / Lançamentos / Lotes / Cadastro / Fechamento de Lote (M_LOTE)</v>
      </c>
    </row>
    <row r="1044" spans="1:7" x14ac:dyDescent="0.3">
      <c r="A1044" s="1" t="s">
        <v>4</v>
      </c>
      <c r="B1044" s="2" t="str">
        <f t="shared" si="97"/>
        <v>SISTEMA DE CONTROLE CONTABIL</v>
      </c>
      <c r="C1044" s="2" t="str">
        <f t="shared" si="98"/>
        <v>CONTR</v>
      </c>
      <c r="D1044" s="2" t="str">
        <f t="shared" si="99"/>
        <v>FCCT</v>
      </c>
      <c r="E1044" s="2" t="str">
        <f>"CADASTRO DE LOTES DE FATURAS"</f>
        <v>CADASTRO DE LOTES DE FATURAS</v>
      </c>
      <c r="F1044" s="2" t="str">
        <f>"M_LOTE"</f>
        <v>M_LOTE</v>
      </c>
      <c r="G1044" s="2" t="str">
        <f>"MVSaude / Contas Médicas / Tabelas / Lotes (M_LOTE)"</f>
        <v>MVSaude / Contas Médicas / Tabelas / Lotes (M_LOTE)</v>
      </c>
    </row>
    <row r="1045" spans="1:7" x14ac:dyDescent="0.3">
      <c r="A1045" s="1" t="s">
        <v>4</v>
      </c>
      <c r="B1045" s="2" t="str">
        <f t="shared" si="97"/>
        <v>SISTEMA DE CONTROLE CONTABIL</v>
      </c>
      <c r="C1045" s="2" t="str">
        <f t="shared" si="98"/>
        <v>CONTR</v>
      </c>
      <c r="D1045" s="2" t="str">
        <f t="shared" si="99"/>
        <v>FCCT</v>
      </c>
      <c r="E1045" s="2" t="str">
        <f>"LANÇAMENTO CONTÁBIL EM LOTE"</f>
        <v>LANÇAMENTO CONTÁBIL EM LOTE</v>
      </c>
      <c r="F1045" s="2" t="str">
        <f>"O_CONT_ORIGEM_MANUAL"</f>
        <v>O_CONT_ORIGEM_MANUAL</v>
      </c>
      <c r="G1045" s="2" t="str">
        <f>" ()"</f>
        <v xml:space="preserve"> ()</v>
      </c>
    </row>
    <row r="1046" spans="1:7" x14ac:dyDescent="0.3">
      <c r="A1046" s="1" t="s">
        <v>4</v>
      </c>
      <c r="B1046" s="2" t="str">
        <f t="shared" si="97"/>
        <v>SISTEMA DE CONTROLE CONTABIL</v>
      </c>
      <c r="C1046" s="2" t="str">
        <f t="shared" si="98"/>
        <v>CONTR</v>
      </c>
      <c r="D1046" s="2" t="str">
        <f t="shared" si="99"/>
        <v>FCCT</v>
      </c>
      <c r="E1046" s="2" t="str">
        <f>"0204121120_46520_COTA.SQL"</f>
        <v>0204121120_46520_COTA.SQL</v>
      </c>
      <c r="F1046" s="2" t="str">
        <f>"0204121120_46520_COTA.SQL"</f>
        <v>0204121120_46520_COTA.SQL</v>
      </c>
      <c r="G1046" s="2" t="str">
        <f>" ()"</f>
        <v xml:space="preserve"> ()</v>
      </c>
    </row>
    <row r="1047" spans="1:7" x14ac:dyDescent="0.3">
      <c r="A1047" s="1" t="s">
        <v>4</v>
      </c>
      <c r="B1047" s="2" t="str">
        <f t="shared" si="97"/>
        <v>SISTEMA DE CONTROLE CONTABIL</v>
      </c>
      <c r="C1047" s="2" t="str">
        <f t="shared" si="98"/>
        <v>CONTR</v>
      </c>
      <c r="D1047" s="2" t="str">
        <f t="shared" si="99"/>
        <v>FCCT</v>
      </c>
      <c r="E1047" s="2" t="str">
        <f>"CADASTRAMENTO DAS CONTAS DO DRE"</f>
        <v>CADASTRAMENTO DAS CONTAS DO DRE</v>
      </c>
      <c r="F1047" s="2" t="str">
        <f>"M_DRE"</f>
        <v>M_DRE</v>
      </c>
      <c r="G1047" s="2" t="str">
        <f>"Controladoria / Contabilidade / Relatórios / Demonstrativos Contábeis / Cadastro (M_DRE)"</f>
        <v>Controladoria / Contabilidade / Relatórios / Demonstrativos Contábeis / Cadastro (M_DRE)</v>
      </c>
    </row>
    <row r="1048" spans="1:7" x14ac:dyDescent="0.3">
      <c r="A1048" s="1" t="s">
        <v>4</v>
      </c>
      <c r="B1048" s="2" t="str">
        <f t="shared" si="97"/>
        <v>SISTEMA DE CONTROLE CONTABIL</v>
      </c>
      <c r="C1048" s="2" t="str">
        <f t="shared" si="98"/>
        <v>CONTR</v>
      </c>
      <c r="D1048" s="2" t="str">
        <f t="shared" si="99"/>
        <v>FCCT</v>
      </c>
      <c r="E1048" s="2" t="str">
        <f>"R_BALANCETE_EXERCICIO"</f>
        <v>R_BALANCETE_EXERCICIO</v>
      </c>
      <c r="F1048" s="2" t="str">
        <f>"R_BALANCETE_EXERCICIO"</f>
        <v>R_BALANCETE_EXERCICIO</v>
      </c>
      <c r="G1048" s="2" t="str">
        <f>" ()"</f>
        <v xml:space="preserve"> ()</v>
      </c>
    </row>
    <row r="1049" spans="1:7" x14ac:dyDescent="0.3">
      <c r="A1049" s="1" t="s">
        <v>4</v>
      </c>
      <c r="B1049" s="2" t="str">
        <f t="shared" si="97"/>
        <v>SISTEMA DE CONTROLE CONTABIL</v>
      </c>
      <c r="C1049" s="2" t="str">
        <f t="shared" si="98"/>
        <v>CONTR</v>
      </c>
      <c r="D1049" s="2" t="str">
        <f t="shared" si="99"/>
        <v>FCCT</v>
      </c>
      <c r="E1049" s="2" t="str">
        <f>"R_ACOMP_MENSAL_ERRO_PORCENTAGEM"</f>
        <v>R_ACOMP_MENSAL_ERRO_PORCENTAGEM</v>
      </c>
      <c r="F1049" s="2" t="str">
        <f>"R_ACOMP_MENSAL_ERRO_PORCENTAGEM"</f>
        <v>R_ACOMP_MENSAL_ERRO_PORCENTAGEM</v>
      </c>
      <c r="G1049" s="2" t="str">
        <f>" ()"</f>
        <v xml:space="preserve"> ()</v>
      </c>
    </row>
    <row r="1050" spans="1:7" x14ac:dyDescent="0.3">
      <c r="A1050" s="1" t="s">
        <v>4</v>
      </c>
      <c r="B1050" s="2" t="str">
        <f t="shared" si="97"/>
        <v>SISTEMA DE CONTROLE CONTABIL</v>
      </c>
      <c r="C1050" s="2" t="str">
        <f t="shared" si="98"/>
        <v>CONTR</v>
      </c>
      <c r="D1050" s="2" t="str">
        <f t="shared" si="99"/>
        <v>FCCT</v>
      </c>
      <c r="E1050" s="2" t="str">
        <f>"R_ACOMP_MENSAL_1"</f>
        <v>R_ACOMP_MENSAL_1</v>
      </c>
      <c r="F1050" s="2" t="str">
        <f>"R_ACOMP_MENSAL_1"</f>
        <v>R_ACOMP_MENSAL_1</v>
      </c>
      <c r="G1050" s="2" t="str">
        <f>" ()"</f>
        <v xml:space="preserve"> ()</v>
      </c>
    </row>
    <row r="1051" spans="1:7" x14ac:dyDescent="0.3">
      <c r="A1051" s="1" t="s">
        <v>4</v>
      </c>
      <c r="B1051" s="2" t="str">
        <f t="shared" si="97"/>
        <v>SISTEMA DE CONTROLE CONTABIL</v>
      </c>
      <c r="C1051" s="2" t="str">
        <f t="shared" si="98"/>
        <v>CONTR</v>
      </c>
      <c r="D1051" s="2" t="str">
        <f t="shared" si="99"/>
        <v>FCCT</v>
      </c>
      <c r="E1051" s="2" t="str">
        <f>"WIN_PRINCIPAL"</f>
        <v>WIN_PRINCIPAL</v>
      </c>
      <c r="F1051" s="2" t="str">
        <f>"M_BALANCO_PATRIMONIAL"</f>
        <v>M_BALANCO_PATRIMONIAL</v>
      </c>
      <c r="G1051" s="2" t="str">
        <f>" ()"</f>
        <v xml:space="preserve"> ()</v>
      </c>
    </row>
    <row r="1052" spans="1:7" x14ac:dyDescent="0.3">
      <c r="A1052" s="1" t="s">
        <v>4</v>
      </c>
      <c r="B1052" s="2" t="str">
        <f t="shared" si="97"/>
        <v>SISTEMA DE CONTROLE CONTABIL</v>
      </c>
      <c r="C1052" s="2" t="str">
        <f t="shared" si="98"/>
        <v>CONTR</v>
      </c>
      <c r="D1052" s="2" t="str">
        <f t="shared" si="99"/>
        <v>FCCT</v>
      </c>
      <c r="E1052" s="2" t="str">
        <f>"WIN_PRINCIPAL"</f>
        <v>WIN_PRINCIPAL</v>
      </c>
      <c r="F1052" s="2" t="str">
        <f>"M_SETOR_GERENCIAL"</f>
        <v>M_SETOR_GERENCIAL</v>
      </c>
      <c r="G1052" s="2" t="str">
        <f>"Controladoria / Contabilidade / Tabelas / Gerenciais / Plano de Centros de Custos Gerencial (M_SETOR_GERENCIAL)"</f>
        <v>Controladoria / Contabilidade / Tabelas / Gerenciais / Plano de Centros de Custos Gerencial (M_SETOR_GERENCIAL)</v>
      </c>
    </row>
    <row r="1053" spans="1:7" x14ac:dyDescent="0.3">
      <c r="A1053" s="1" t="s">
        <v>4</v>
      </c>
      <c r="B1053" s="2" t="str">
        <f t="shared" si="97"/>
        <v>SISTEMA DE CONTROLE CONTABIL</v>
      </c>
      <c r="C1053" s="2" t="str">
        <f t="shared" si="98"/>
        <v>CONTR</v>
      </c>
      <c r="D1053" s="2" t="str">
        <f t="shared" si="99"/>
        <v>FCCT</v>
      </c>
      <c r="E1053" s="2" t="str">
        <f>"WIN_PRINCIPAL - HOSPITAL MV SISTEMAS"</f>
        <v>WIN_PRINCIPAL - HOSPITAL MV SISTEMAS</v>
      </c>
      <c r="F1053" s="2" t="str">
        <f>"M_PLACON_GERENCIAL"</f>
        <v>M_PLACON_GERENCIAL</v>
      </c>
      <c r="G1053" s="2" t="str">
        <f>"Controladoria / Contabilidade / Tabelas / Gerenciais / Plano de Contas Gerencial (M_PLACON_GERENCIAL)"</f>
        <v>Controladoria / Contabilidade / Tabelas / Gerenciais / Plano de Contas Gerencial (M_PLACON_GERENCIAL)</v>
      </c>
    </row>
    <row r="1054" spans="1:7" x14ac:dyDescent="0.3">
      <c r="A1054" s="1" t="s">
        <v>4</v>
      </c>
      <c r="B1054" s="2" t="str">
        <f t="shared" si="97"/>
        <v>SISTEMA DE CONTROLE CONTABIL</v>
      </c>
      <c r="C1054" s="2" t="str">
        <f t="shared" si="98"/>
        <v>CONTR</v>
      </c>
      <c r="D1054" s="2" t="str">
        <f t="shared" si="99"/>
        <v>FCCT</v>
      </c>
      <c r="E1054" s="2" t="str">
        <f>"GRAU DA CONTA"</f>
        <v>GRAU DA CONTA</v>
      </c>
      <c r="F1054" s="2" t="str">
        <f>"M_GRAUCON_GERENCIAL"</f>
        <v>M_GRAUCON_GERENCIAL</v>
      </c>
      <c r="G1054" s="2" t="str">
        <f>"Controladoria / Contabilidade / Tabelas / Gerenciais / Grau da Conta Gerencial (M_GRAUCON_GERENCIAL)"</f>
        <v>Controladoria / Contabilidade / Tabelas / Gerenciais / Grau da Conta Gerencial (M_GRAUCON_GERENCIAL)</v>
      </c>
    </row>
    <row r="1055" spans="1:7" x14ac:dyDescent="0.3">
      <c r="A1055" s="1" t="s">
        <v>4</v>
      </c>
      <c r="B1055" s="2" t="str">
        <f t="shared" si="97"/>
        <v>SISTEMA DE CONTROLE CONTABIL</v>
      </c>
      <c r="C1055" s="2" t="str">
        <f t="shared" si="98"/>
        <v>CONTR</v>
      </c>
      <c r="D1055" s="2" t="str">
        <f t="shared" si="99"/>
        <v>FCCT</v>
      </c>
      <c r="E1055" s="2" t="str">
        <f>"IMPORTAÇÃO ESPECÍFICA"</f>
        <v>IMPORTAÇÃO ESPECÍFICA</v>
      </c>
      <c r="F1055" s="2" t="str">
        <f>"O_EXP_WCONT_297"</f>
        <v>O_EXP_WCONT_297</v>
      </c>
      <c r="G1055" s="2" t="str">
        <f>" ()"</f>
        <v xml:space="preserve"> ()</v>
      </c>
    </row>
    <row r="1056" spans="1:7" x14ac:dyDescent="0.3">
      <c r="A1056" s="1" t="s">
        <v>4</v>
      </c>
      <c r="B1056" s="2" t="str">
        <f t="shared" si="97"/>
        <v>SISTEMA DE CONTROLE CONTABIL</v>
      </c>
      <c r="C1056" s="2" t="str">
        <f t="shared" si="98"/>
        <v>CONTR</v>
      </c>
      <c r="D1056" s="2" t="str">
        <f t="shared" si="99"/>
        <v>FCCT</v>
      </c>
      <c r="E1056" s="2" t="str">
        <f>"CADASTRO EXPORTAÇÃO WCONT"</f>
        <v>CADASTRO EXPORTAÇÃO WCONT</v>
      </c>
      <c r="F1056" s="2" t="str">
        <f>"O_CAD_EXP_WCONT_297"</f>
        <v>O_CAD_EXP_WCONT_297</v>
      </c>
      <c r="G1056" s="2" t="str">
        <f>"Controladoria / Contabilidade / Personalizados / Cadastro de Exportação WCONT - 297 (O_CAD_EXP_WCONT_297)"</f>
        <v>Controladoria / Contabilidade / Personalizados / Cadastro de Exportação WCONT - 297 (O_CAD_EXP_WCONT_297)</v>
      </c>
    </row>
    <row r="1057" spans="1:7" x14ac:dyDescent="0.3">
      <c r="A1057" s="1" t="s">
        <v>4</v>
      </c>
      <c r="B1057" s="2" t="str">
        <f t="shared" si="97"/>
        <v>SISTEMA DE CONTROLE CONTABIL</v>
      </c>
      <c r="C1057" s="2" t="str">
        <f t="shared" si="98"/>
        <v>CONTR</v>
      </c>
      <c r="D1057" s="2" t="str">
        <f t="shared" si="99"/>
        <v>FCCT</v>
      </c>
      <c r="E1057" s="2" t="str">
        <f>"GERAÇÃO DE ARQUIVOS"</f>
        <v>GERAÇÃO DE ARQUIVOS</v>
      </c>
      <c r="F1057" s="2" t="str">
        <f>"O_ARQUIVO_TRIBUTO"</f>
        <v>O_ARQUIVO_TRIBUTO</v>
      </c>
      <c r="G1057" s="2" t="str">
        <f>"Controladoria / Fiscal / Geração / Arquivos Exportação / Geração de Arquivos (O_ARQUIVO_TRIBUTO)"</f>
        <v>Controladoria / Fiscal / Geração / Arquivos Exportação / Geração de Arquivos (O_ARQUIVO_TRIBUTO)</v>
      </c>
    </row>
    <row r="1058" spans="1:7" x14ac:dyDescent="0.3">
      <c r="A1058" s="1" t="s">
        <v>4</v>
      </c>
      <c r="B1058" s="2" t="str">
        <f t="shared" si="97"/>
        <v>SISTEMA DE CONTROLE CONTABIL</v>
      </c>
      <c r="C1058" s="2" t="str">
        <f t="shared" si="98"/>
        <v>CONTR</v>
      </c>
      <c r="D1058" s="2" t="str">
        <f t="shared" si="99"/>
        <v>FCCT</v>
      </c>
      <c r="E1058" s="2" t="str">
        <f>"GERAÇÃO DE ARQUIVOS"</f>
        <v>GERAÇÃO DE ARQUIVOS</v>
      </c>
      <c r="F1058" s="2" t="str">
        <f>"O_ARQUIVO_TRIBUTO"</f>
        <v>O_ARQUIVO_TRIBUTO</v>
      </c>
      <c r="G1058" s="2" t="str">
        <f>"Controladoria / Contabilidade / Exportação / Arquivos (O_ARQUIVO_TRIBUTO)"</f>
        <v>Controladoria / Contabilidade / Exportação / Arquivos (O_ARQUIVO_TRIBUTO)</v>
      </c>
    </row>
    <row r="1059" spans="1:7" x14ac:dyDescent="0.3">
      <c r="A1059" s="1" t="s">
        <v>4</v>
      </c>
      <c r="B1059" s="2" t="str">
        <f t="shared" si="97"/>
        <v>SISTEMA DE CONTROLE CONTABIL</v>
      </c>
      <c r="C1059" s="2" t="str">
        <f t="shared" si="98"/>
        <v>CONTR</v>
      </c>
      <c r="D1059" s="2" t="str">
        <f t="shared" si="99"/>
        <v>FCCT</v>
      </c>
      <c r="E1059" s="2" t="str">
        <f>"GERAÇÃO DE ARQUIVOS"</f>
        <v>GERAÇÃO DE ARQUIVOS</v>
      </c>
      <c r="F1059" s="2" t="str">
        <f>"O_ARQUIVO_TRIBUTO"</f>
        <v>O_ARQUIVO_TRIBUTO</v>
      </c>
      <c r="G1059" s="2" t="str">
        <f>"MVSaude / Consultas / Gerador de Arquivos (O_ARQUIVO_TRIBUTO)"</f>
        <v>MVSaude / Consultas / Gerador de Arquivos (O_ARQUIVO_TRIBUTO)</v>
      </c>
    </row>
    <row r="1060" spans="1:7" x14ac:dyDescent="0.3">
      <c r="A1060" s="1" t="s">
        <v>4</v>
      </c>
      <c r="B1060" s="2" t="str">
        <f t="shared" si="97"/>
        <v>SISTEMA DE CONTROLE CONTABIL</v>
      </c>
      <c r="C1060" s="2" t="str">
        <f t="shared" si="98"/>
        <v>CONTR</v>
      </c>
      <c r="D1060" s="2" t="str">
        <f t="shared" si="99"/>
        <v>FCCT</v>
      </c>
      <c r="E1060" s="2" t="str">
        <f>"PLANO DE CONTAS"</f>
        <v>PLANO DE CONTAS</v>
      </c>
      <c r="F1060" s="2" t="str">
        <f>"M_PLACON_264"</f>
        <v>M_PLACON_264</v>
      </c>
      <c r="G1060" s="2" t="str">
        <f>"Controladoria / Contabilidade / Personalizados / Plano de Contas - 264 (M_PLACON_264)"</f>
        <v>Controladoria / Contabilidade / Personalizados / Plano de Contas - 264 (M_PLACON_264)</v>
      </c>
    </row>
    <row r="1061" spans="1:7" x14ac:dyDescent="0.3">
      <c r="A1061" s="1" t="s">
        <v>4</v>
      </c>
      <c r="B1061" s="2" t="str">
        <f t="shared" si="97"/>
        <v>SISTEMA DE CONTROLE CONTABIL</v>
      </c>
      <c r="C1061" s="2" t="str">
        <f t="shared" si="98"/>
        <v>CONTR</v>
      </c>
      <c r="D1061" s="2" t="str">
        <f t="shared" si="99"/>
        <v>FCCT</v>
      </c>
      <c r="E1061" s="2" t="str">
        <f>"R_PLACON_SINT"</f>
        <v>R_PLACON_SINT</v>
      </c>
      <c r="F1061" s="2" t="str">
        <f>"R_PLACON_SINT"</f>
        <v>R_PLACON_SINT</v>
      </c>
      <c r="G1061" s="2" t="str">
        <f>"Controladoria / Contabilidade / Relatórios / Tabelas / Plano de Contas Sintético (R_PLACON_SINT)"</f>
        <v>Controladoria / Contabilidade / Relatórios / Tabelas / Plano de Contas Sintético (R_PLACON_SINT)</v>
      </c>
    </row>
    <row r="1062" spans="1:7" x14ac:dyDescent="0.3">
      <c r="A1062" s="1" t="s">
        <v>4</v>
      </c>
      <c r="B1062" s="2" t="str">
        <f t="shared" si="97"/>
        <v>SISTEMA DE CONTROLE CONTABIL</v>
      </c>
      <c r="C1062" s="2" t="str">
        <f t="shared" si="98"/>
        <v>CONTR</v>
      </c>
      <c r="D1062" s="2" t="str">
        <f t="shared" si="99"/>
        <v>FCCT</v>
      </c>
      <c r="E1062" s="2" t="str">
        <f>"CONSULTA: SALDO MENSAL"</f>
        <v>CONSULTA: SALDO MENSAL</v>
      </c>
      <c r="F1062" s="2" t="str">
        <f>"C_SALDO_MENSAL_GERENCIAL"</f>
        <v>C_SALDO_MENSAL_GERENCIAL</v>
      </c>
      <c r="G1062" s="2" t="str">
        <f>"Controladoria / Contabilidade / Consultas / Gerenciais / Saldo Mensal Gerencial (C_SALDO_MENSAL_GERENCIAL)"</f>
        <v>Controladoria / Contabilidade / Consultas / Gerenciais / Saldo Mensal Gerencial (C_SALDO_MENSAL_GERENCIAL)</v>
      </c>
    </row>
    <row r="1063" spans="1:7" x14ac:dyDescent="0.3">
      <c r="A1063" s="1" t="s">
        <v>4</v>
      </c>
      <c r="B1063" s="2" t="str">
        <f t="shared" si="97"/>
        <v>SISTEMA DE CONTROLE CONTABIL</v>
      </c>
      <c r="C1063" s="2" t="str">
        <f t="shared" si="98"/>
        <v>CONTR</v>
      </c>
      <c r="D1063" s="2" t="str">
        <f t="shared" si="99"/>
        <v>FCCT</v>
      </c>
      <c r="E1063" s="2" t="str">
        <f>"R_DIARIO_B"</f>
        <v>R_DIARIO_B</v>
      </c>
      <c r="F1063" s="2" t="str">
        <f>"R_DIARIO_B"</f>
        <v>R_DIARIO_B</v>
      </c>
      <c r="G1063" s="2" t="str">
        <f>" ()"</f>
        <v xml:space="preserve"> ()</v>
      </c>
    </row>
    <row r="1064" spans="1:7" x14ac:dyDescent="0.3">
      <c r="A1064" s="1" t="s">
        <v>4</v>
      </c>
      <c r="B1064" s="2" t="str">
        <f t="shared" si="97"/>
        <v>SISTEMA DE CONTROLE CONTABIL</v>
      </c>
      <c r="C1064" s="2" t="str">
        <f t="shared" si="98"/>
        <v>CONTR</v>
      </c>
      <c r="D1064" s="2" t="str">
        <f t="shared" si="99"/>
        <v>FCCT</v>
      </c>
      <c r="E1064" s="2" t="str">
        <f>"WIN_PRINCIPAL - HOSPITAL MV SISTEMAS"</f>
        <v>WIN_PRINCIPAL - HOSPITAL MV SISTEMAS</v>
      </c>
      <c r="F1064" s="2" t="str">
        <f>"O_ARQ_BALANCETE"</f>
        <v>O_ARQ_BALANCETE</v>
      </c>
      <c r="G1064" s="2" t="str">
        <f>"Controladoria / Contabilidade / Exportação / Arquivo Balancete (O_ARQ_BALANCETE)"</f>
        <v>Controladoria / Contabilidade / Exportação / Arquivo Balancete (O_ARQ_BALANCETE)</v>
      </c>
    </row>
    <row r="1065" spans="1:7" x14ac:dyDescent="0.3">
      <c r="A1065" s="1" t="s">
        <v>4</v>
      </c>
      <c r="B1065" s="2" t="str">
        <f t="shared" si="97"/>
        <v>SISTEMA DE CONTROLE CONTABIL</v>
      </c>
      <c r="C1065" s="2" t="str">
        <f t="shared" si="98"/>
        <v>CONTR</v>
      </c>
      <c r="D1065" s="2" t="str">
        <f t="shared" si="99"/>
        <v>FCCT</v>
      </c>
      <c r="E1065" s="2" t="str">
        <f>"WIN_PRINCIPAL"</f>
        <v>WIN_PRINCIPAL</v>
      </c>
      <c r="F1065" s="2" t="str">
        <f>"M_DRE_GERENCIAL"</f>
        <v>M_DRE_GERENCIAL</v>
      </c>
      <c r="G1065" s="2" t="str">
        <f>"Controladoria / Contabilidade / Tabelas / Gerenciais / Demonstrativo Contábil (M_DRE_GERENCIAL)"</f>
        <v>Controladoria / Contabilidade / Tabelas / Gerenciais / Demonstrativo Contábil (M_DRE_GERENCIAL)</v>
      </c>
    </row>
    <row r="1066" spans="1:7" x14ac:dyDescent="0.3">
      <c r="A1066" s="1" t="s">
        <v>4</v>
      </c>
      <c r="B1066" s="2" t="str">
        <f t="shared" si="97"/>
        <v>SISTEMA DE CONTROLE CONTABIL</v>
      </c>
      <c r="C1066" s="2" t="str">
        <f t="shared" si="98"/>
        <v>CONTR</v>
      </c>
      <c r="D1066" s="2" t="str">
        <f t="shared" si="99"/>
        <v>FCCT</v>
      </c>
      <c r="E1066" s="2" t="str">
        <f>"WIN_PRINCIPAL"</f>
        <v>WIN_PRINCIPAL</v>
      </c>
      <c r="F1066" s="2" t="str">
        <f>"M_SETOR_PL_CONTAS"</f>
        <v>M_SETOR_PL_CONTAS</v>
      </c>
      <c r="G1066" s="2" t="str">
        <f>"Controladoria / Contabilidade / Tabelas / Plano Contábil / Contas Contábeis por Setor (M_SETOR_PL_CONTAS)"</f>
        <v>Controladoria / Contabilidade / Tabelas / Plano Contábil / Contas Contábeis por Setor (M_SETOR_PL_CONTAS)</v>
      </c>
    </row>
    <row r="1067" spans="1:7" x14ac:dyDescent="0.3">
      <c r="A1067" s="1" t="s">
        <v>4</v>
      </c>
      <c r="B1067" s="2" t="str">
        <f t="shared" si="97"/>
        <v>SISTEMA DE CONTROLE CONTABIL</v>
      </c>
      <c r="C1067" s="2" t="str">
        <f t="shared" si="98"/>
        <v>CONTR</v>
      </c>
      <c r="D1067" s="2" t="str">
        <f t="shared" si="99"/>
        <v>FCCT</v>
      </c>
      <c r="E1067" s="2" t="str">
        <f>"GERAÇÃO DE ARQUIVO MAGNÉTICO DE TRIBUTOS"</f>
        <v>GERAÇÃO DE ARQUIVO MAGNÉTICO DE TRIBUTOS</v>
      </c>
      <c r="F1067" s="2" t="str">
        <f>"O_ARQUIVO_TRIBUTOS"</f>
        <v>O_ARQUIVO_TRIBUTOS</v>
      </c>
      <c r="G1067" s="2" t="str">
        <f>" ()"</f>
        <v xml:space="preserve"> ()</v>
      </c>
    </row>
    <row r="1068" spans="1:7" x14ac:dyDescent="0.3">
      <c r="A1068" s="1" t="s">
        <v>4</v>
      </c>
      <c r="B1068" s="2" t="str">
        <f t="shared" si="97"/>
        <v>SISTEMA DE CONTROLE CONTABIL</v>
      </c>
      <c r="C1068" s="2" t="str">
        <f t="shared" si="98"/>
        <v>CONTR</v>
      </c>
      <c r="D1068" s="2" t="str">
        <f t="shared" si="99"/>
        <v>FCCT</v>
      </c>
      <c r="E1068" s="2" t="str">
        <f>"WIN_PRINCIPAL"</f>
        <v>WIN_PRINCIPAL</v>
      </c>
      <c r="F1068" s="2" t="str">
        <f>"O_APURACAO_RESULTADO"</f>
        <v>O_APURACAO_RESULTADO</v>
      </c>
      <c r="G1068" s="2" t="str">
        <f>"Controladoria / Contabilidade / Lançamentos / Apuração do Resultado (O_APURACAO_RESULTADO)"</f>
        <v>Controladoria / Contabilidade / Lançamentos / Apuração do Resultado (O_APURACAO_RESULTADO)</v>
      </c>
    </row>
    <row r="1069" spans="1:7" x14ac:dyDescent="0.3">
      <c r="A1069" s="1" t="s">
        <v>4</v>
      </c>
      <c r="B1069" s="2" t="str">
        <f t="shared" si="97"/>
        <v>SISTEMA DE CONTROLE CONTABIL</v>
      </c>
      <c r="C1069" s="2" t="str">
        <f t="shared" si="98"/>
        <v>CONTR</v>
      </c>
      <c r="D1069" s="2" t="str">
        <f t="shared" si="99"/>
        <v>FCCT</v>
      </c>
      <c r="E1069" s="2" t="str">
        <f>"CONFIG_FCCT"</f>
        <v>CONFIG_FCCT</v>
      </c>
      <c r="F1069" s="2" t="str">
        <f>"CONFIG_FCCT"</f>
        <v>CONFIG_FCCT</v>
      </c>
      <c r="G1069" s="2" t="str">
        <f>"Controladoria / Contabilidade / Configuração / Contabilidade (CONFIG_FCCT)"</f>
        <v>Controladoria / Contabilidade / Configuração / Contabilidade (CONFIG_FCCT)</v>
      </c>
    </row>
    <row r="1070" spans="1:7" x14ac:dyDescent="0.3">
      <c r="A1070" s="1" t="s">
        <v>4</v>
      </c>
      <c r="B1070" s="2" t="str">
        <f t="shared" si="97"/>
        <v>SISTEMA DE CONTROLE CONTABIL</v>
      </c>
      <c r="C1070" s="2" t="str">
        <f t="shared" si="98"/>
        <v>CONTR</v>
      </c>
      <c r="D1070" s="2" t="str">
        <f t="shared" si="99"/>
        <v>FCCT</v>
      </c>
      <c r="E1070" s="2" t="str">
        <f>"RELATÓRIO DE BALANCETE"</f>
        <v>RELATÓRIO DE BALANCETE</v>
      </c>
      <c r="F1070" s="2" t="str">
        <f>"R_BALANCETE"</f>
        <v>R_BALANCETE</v>
      </c>
      <c r="G1070" s="2" t="str">
        <f>"Controladoria / Fiscal / Relatórios / Contábeis / Balancete (R_BALANCETE)"</f>
        <v>Controladoria / Fiscal / Relatórios / Contábeis / Balancete (R_BALANCETE)</v>
      </c>
    </row>
    <row r="1071" spans="1:7" x14ac:dyDescent="0.3">
      <c r="A1071" s="1" t="s">
        <v>4</v>
      </c>
      <c r="B1071" s="2" t="str">
        <f t="shared" si="97"/>
        <v>SISTEMA DE CONTROLE CONTABIL</v>
      </c>
      <c r="C1071" s="2" t="str">
        <f t="shared" si="98"/>
        <v>CONTR</v>
      </c>
      <c r="D1071" s="2" t="str">
        <f t="shared" si="99"/>
        <v>FCCT</v>
      </c>
      <c r="E1071" s="2" t="str">
        <f>"RELATÓRIO DE BALANCETE"</f>
        <v>RELATÓRIO DE BALANCETE</v>
      </c>
      <c r="F1071" s="2" t="str">
        <f>"R_BALANCETE"</f>
        <v>R_BALANCETE</v>
      </c>
      <c r="G1071" s="2" t="str">
        <f>"Controladoria / Contabilidade / Relatórios / Balancete / Balancete (R_BALANCETE)"</f>
        <v>Controladoria / Contabilidade / Relatórios / Balancete / Balancete (R_BALANCETE)</v>
      </c>
    </row>
    <row r="1072" spans="1:7" x14ac:dyDescent="0.3">
      <c r="A1072" s="1" t="s">
        <v>4</v>
      </c>
      <c r="B1072" s="2" t="str">
        <f t="shared" si="97"/>
        <v>SISTEMA DE CONTROLE CONTABIL</v>
      </c>
      <c r="C1072" s="2" t="str">
        <f t="shared" si="98"/>
        <v>CONTR</v>
      </c>
      <c r="D1072" s="2" t="str">
        <f t="shared" si="99"/>
        <v>FCCT</v>
      </c>
      <c r="E1072" s="2" t="str">
        <f>"REL DE CONFERENCIA DO CADASTRAMENTO DO D"</f>
        <v>REL DE CONFERENCIA DO CADASTRAMENTO DO D</v>
      </c>
      <c r="F1072" s="2" t="str">
        <f>"R_DRE_LISTA"</f>
        <v>R_DRE_LISTA</v>
      </c>
      <c r="G1072" s="2" t="str">
        <f>"Controladoria / Contabilidade / Relatórios / Demonstrativos Contábeis / Relatório Simples (R_DRE_LISTA)"</f>
        <v>Controladoria / Contabilidade / Relatórios / Demonstrativos Contábeis / Relatório Simples (R_DRE_LISTA)</v>
      </c>
    </row>
    <row r="1073" spans="1:7" x14ac:dyDescent="0.3">
      <c r="A1073" s="1" t="s">
        <v>4</v>
      </c>
      <c r="B1073" s="2" t="str">
        <f t="shared" si="97"/>
        <v>SISTEMA DE CONTROLE CONTABIL</v>
      </c>
      <c r="C1073" s="2" t="str">
        <f t="shared" si="98"/>
        <v>CONTR</v>
      </c>
      <c r="D1073" s="2" t="str">
        <f t="shared" si="99"/>
        <v>FCCT</v>
      </c>
      <c r="E1073" s="2" t="str">
        <f>"DEMONSTRATIVO DE RESULTADOS DO EXERCICIO"</f>
        <v>DEMONSTRATIVO DE RESULTADOS DO EXERCICIO</v>
      </c>
      <c r="F1073" s="2" t="str">
        <f>"R_DRE"</f>
        <v>R_DRE</v>
      </c>
      <c r="G1073" s="2" t="str">
        <f>"Controladoria / Contabilidade / Relatórios / Demonstrativos Contábeis / Relatório Gerencial (R_DRE)"</f>
        <v>Controladoria / Contabilidade / Relatórios / Demonstrativos Contábeis / Relatório Gerencial (R_DRE)</v>
      </c>
    </row>
    <row r="1074" spans="1:7" x14ac:dyDescent="0.3">
      <c r="A1074" s="1" t="s">
        <v>4</v>
      </c>
      <c r="B1074" s="2" t="str">
        <f t="shared" si="97"/>
        <v>SISTEMA DE CONTROLE CONTABIL</v>
      </c>
      <c r="C1074" s="2" t="str">
        <f t="shared" si="98"/>
        <v>CONTR</v>
      </c>
      <c r="D1074" s="2" t="str">
        <f t="shared" si="99"/>
        <v>FCCT</v>
      </c>
      <c r="E1074" s="2" t="str">
        <f>"O_LAMCLOTE"</f>
        <v>O_LAMCLOTE</v>
      </c>
      <c r="F1074" s="2" t="str">
        <f>"O_LAMCLOTE"</f>
        <v>O_LAMCLOTE</v>
      </c>
      <c r="G1074" s="2" t="str">
        <f>" ()"</f>
        <v xml:space="preserve"> ()</v>
      </c>
    </row>
    <row r="1075" spans="1:7" x14ac:dyDescent="0.3">
      <c r="A1075" s="1" t="s">
        <v>4</v>
      </c>
      <c r="B1075" s="2" t="str">
        <f t="shared" si="97"/>
        <v>SISTEMA DE CONTROLE CONTABIL</v>
      </c>
      <c r="C1075" s="2" t="str">
        <f t="shared" si="98"/>
        <v>CONTR</v>
      </c>
      <c r="D1075" s="2" t="str">
        <f t="shared" si="99"/>
        <v>FCCT</v>
      </c>
      <c r="E1075" s="2" t="str">
        <f>"CADASTRO DO PLANO SINTETICO"</f>
        <v>CADASTRO DO PLANO SINTETICO</v>
      </c>
      <c r="F1075" s="2" t="str">
        <f>"M_PL_SINTETICO"</f>
        <v>M_PL_SINTETICO</v>
      </c>
      <c r="G1075" s="2" t="str">
        <f>"Controladoria / Contabilidade / Tabelas / Plano Sintético (M_PL_SINTETICO)"</f>
        <v>Controladoria / Contabilidade / Tabelas / Plano Sintético (M_PL_SINTETICO)</v>
      </c>
    </row>
    <row r="1076" spans="1:7" x14ac:dyDescent="0.3">
      <c r="A1076" s="1" t="s">
        <v>4</v>
      </c>
      <c r="B1076" s="2" t="str">
        <f t="shared" si="97"/>
        <v>SISTEMA DE CONTROLE CONTABIL</v>
      </c>
      <c r="C1076" s="2" t="str">
        <f t="shared" si="98"/>
        <v>CONTR</v>
      </c>
      <c r="D1076" s="2" t="str">
        <f t="shared" si="99"/>
        <v>FCCT</v>
      </c>
      <c r="E1076" s="2" t="str">
        <f>"CLASSIFICACAO DOS PRODUTOS COM PLANO DE"</f>
        <v>CLASSIFICACAO DOS PRODUTOS COM PLANO DE</v>
      </c>
      <c r="F1076" s="2" t="str">
        <f>"M_ESTOQUE_PL_CONTAS"</f>
        <v>M_ESTOQUE_PL_CONTAS</v>
      </c>
      <c r="G1076" s="2" t="str">
        <f>"Controladoria / Contabilidade / Configuração / Classificação de produtos com plano de contas (M_ESTOQUE_PL_CONTAS)"</f>
        <v>Controladoria / Contabilidade / Configuração / Classificação de produtos com plano de contas (M_ESTOQUE_PL_CONTAS)</v>
      </c>
    </row>
    <row r="1077" spans="1:7" x14ac:dyDescent="0.3">
      <c r="A1077" s="1" t="s">
        <v>4</v>
      </c>
      <c r="B1077" s="2" t="str">
        <f t="shared" si="97"/>
        <v>SISTEMA DE CONTROLE CONTABIL</v>
      </c>
      <c r="C1077" s="2" t="str">
        <f t="shared" si="98"/>
        <v>CONTR</v>
      </c>
      <c r="D1077" s="2" t="str">
        <f t="shared" si="99"/>
        <v>FCCT</v>
      </c>
      <c r="E1077" s="2" t="str">
        <f>"CLASSIFICACAO DOS PRODUTOS COM PLANO DE"</f>
        <v>CLASSIFICACAO DOS PRODUTOS COM PLANO DE</v>
      </c>
      <c r="F1077" s="2" t="str">
        <f>"M_ESTOQUE_PL_CONTAS"</f>
        <v>M_ESTOQUE_PL_CONTAS</v>
      </c>
      <c r="G1077" s="2" t="str">
        <f>"Controladoria / Contabilidade / Configuração / Estoque / Espécies e Produtos X Plano de Contas (M_ESTOQUE_PL_CONTAS)"</f>
        <v>Controladoria / Contabilidade / Configuração / Estoque / Espécies e Produtos X Plano de Contas (M_ESTOQUE_PL_CONTAS)</v>
      </c>
    </row>
    <row r="1078" spans="1:7" x14ac:dyDescent="0.3">
      <c r="A1078" s="1" t="s">
        <v>4</v>
      </c>
      <c r="B1078" s="2" t="str">
        <f t="shared" si="97"/>
        <v>SISTEMA DE CONTROLE CONTABIL</v>
      </c>
      <c r="C1078" s="2" t="str">
        <f t="shared" si="98"/>
        <v>CONTR</v>
      </c>
      <c r="D1078" s="2" t="str">
        <f t="shared" si="99"/>
        <v>FCCT</v>
      </c>
      <c r="E1078" s="2" t="str">
        <f>"BALANÇO PATRIMONIAL"</f>
        <v>BALANÇO PATRIMONIAL</v>
      </c>
      <c r="F1078" s="2" t="str">
        <f>"R_BALPATR"</f>
        <v>R_BALPATR</v>
      </c>
      <c r="G1078" s="2" t="str">
        <f>"Controladoria / Fiscal / Relatórios / Contábeis / Balanco Patrimonial (R_BALPATR)"</f>
        <v>Controladoria / Fiscal / Relatórios / Contábeis / Balanco Patrimonial (R_BALPATR)</v>
      </c>
    </row>
    <row r="1079" spans="1:7" x14ac:dyDescent="0.3">
      <c r="A1079" s="1" t="s">
        <v>4</v>
      </c>
      <c r="B1079" s="2" t="str">
        <f t="shared" si="97"/>
        <v>SISTEMA DE CONTROLE CONTABIL</v>
      </c>
      <c r="C1079" s="2" t="str">
        <f t="shared" si="98"/>
        <v>CONTR</v>
      </c>
      <c r="D1079" s="2" t="str">
        <f t="shared" si="99"/>
        <v>FCCT</v>
      </c>
      <c r="E1079" s="2" t="str">
        <f>"BALANÇO PATRIMONIAL"</f>
        <v>BALANÇO PATRIMONIAL</v>
      </c>
      <c r="F1079" s="2" t="str">
        <f>"R_BALPATR"</f>
        <v>R_BALPATR</v>
      </c>
      <c r="G1079" s="2" t="str">
        <f>"Controladoria / Contabilidade / Relatórios / Balancete / Balanço Patrimonial (R_BALPATR)"</f>
        <v>Controladoria / Contabilidade / Relatórios / Balancete / Balanço Patrimonial (R_BALPATR)</v>
      </c>
    </row>
    <row r="1080" spans="1:7" x14ac:dyDescent="0.3">
      <c r="A1080" s="1" t="s">
        <v>4</v>
      </c>
      <c r="B1080" s="2" t="str">
        <f t="shared" si="97"/>
        <v>SISTEMA DE CONTROLE CONTABIL</v>
      </c>
      <c r="C1080" s="2" t="str">
        <f t="shared" si="98"/>
        <v>CONTR</v>
      </c>
      <c r="D1080" s="2" t="str">
        <f t="shared" si="99"/>
        <v>FCCT</v>
      </c>
      <c r="E1080" s="2" t="str">
        <f>"O_IMP_MGES_FCCT_INVENTARIO"</f>
        <v>O_IMP_MGES_FCCT_INVENTARIO</v>
      </c>
      <c r="F1080" s="2" t="str">
        <f>"O_IMP_MGES_FCCT_INVENTARIO"</f>
        <v>O_IMP_MGES_FCCT_INVENTARIO</v>
      </c>
      <c r="G1080" s="2" t="str">
        <f>" ()"</f>
        <v xml:space="preserve"> ()</v>
      </c>
    </row>
    <row r="1081" spans="1:7" x14ac:dyDescent="0.3">
      <c r="A1081" s="1" t="s">
        <v>4</v>
      </c>
      <c r="B1081" s="2" t="str">
        <f t="shared" si="97"/>
        <v>SISTEMA DE CONTROLE CONTABIL</v>
      </c>
      <c r="C1081" s="2" t="str">
        <f t="shared" si="98"/>
        <v>CONTR</v>
      </c>
      <c r="D1081" s="2" t="str">
        <f t="shared" si="99"/>
        <v>FCCT</v>
      </c>
      <c r="E1081" s="2" t="str">
        <f>"R_BALANCETE_SCSJC"</f>
        <v>R_BALANCETE_SCSJC</v>
      </c>
      <c r="F1081" s="2" t="str">
        <f>"R_BALANCETE_SCSJC"</f>
        <v>R_BALANCETE_SCSJC</v>
      </c>
      <c r="G1081" s="2" t="str">
        <f>" ()"</f>
        <v xml:space="preserve"> ()</v>
      </c>
    </row>
    <row r="1082" spans="1:7" x14ac:dyDescent="0.3">
      <c r="A1082" s="1" t="s">
        <v>4</v>
      </c>
      <c r="B1082" s="2" t="str">
        <f t="shared" si="97"/>
        <v>SISTEMA DE CONTROLE CONTABIL</v>
      </c>
      <c r="C1082" s="2" t="str">
        <f t="shared" si="98"/>
        <v>CONTR</v>
      </c>
      <c r="D1082" s="2" t="str">
        <f t="shared" si="99"/>
        <v>FCCT</v>
      </c>
      <c r="E1082" s="2" t="str">
        <f>"GERAÇÃO DE ARQUIVO DMED"</f>
        <v>GERAÇÃO DE ARQUIVO DMED</v>
      </c>
      <c r="F1082" s="2" t="str">
        <f>"O_GERA_DMED"</f>
        <v>O_GERA_DMED</v>
      </c>
      <c r="G1082" s="2" t="str">
        <f>"Controladoria / Fiscal / Geração / DMED / Geração de arquivo da DMED (O_GERA_DMED)"</f>
        <v>Controladoria / Fiscal / Geração / DMED / Geração de arquivo da DMED (O_GERA_DMED)</v>
      </c>
    </row>
    <row r="1083" spans="1:7" x14ac:dyDescent="0.3">
      <c r="A1083" s="1" t="s">
        <v>4</v>
      </c>
      <c r="B1083" s="2" t="str">
        <f t="shared" si="97"/>
        <v>SISTEMA DE CONTROLE CONTABIL</v>
      </c>
      <c r="C1083" s="2" t="str">
        <f t="shared" si="98"/>
        <v>CONTR</v>
      </c>
      <c r="D1083" s="2" t="str">
        <f t="shared" si="99"/>
        <v>FCCT</v>
      </c>
      <c r="E1083" s="2" t="str">
        <f>"GERAÇÃO DE ARQUIVO DMED"</f>
        <v>GERAÇÃO DE ARQUIVO DMED</v>
      </c>
      <c r="F1083" s="2" t="str">
        <f>"O_GERA_DMED"</f>
        <v>O_GERA_DMED</v>
      </c>
      <c r="G1083" s="2" t="s">
        <v>10</v>
      </c>
    </row>
    <row r="1084" spans="1:7" x14ac:dyDescent="0.3">
      <c r="A1084" s="1" t="s">
        <v>4</v>
      </c>
      <c r="B1084" s="2" t="str">
        <f t="shared" si="97"/>
        <v>SISTEMA DE CONTROLE CONTABIL</v>
      </c>
      <c r="C1084" s="2" t="str">
        <f t="shared" si="98"/>
        <v>CONTR</v>
      </c>
      <c r="D1084" s="2" t="str">
        <f t="shared" si="99"/>
        <v>FCCT</v>
      </c>
      <c r="E1084" s="2" t="str">
        <f>"GERAÇÃO DE ARQUIVO - SINCO"</f>
        <v>GERAÇÃO DE ARQUIVO - SINCO</v>
      </c>
      <c r="F1084" s="2" t="str">
        <f>"O_SINCO"</f>
        <v>O_SINCO</v>
      </c>
      <c r="G1084" s="2" t="str">
        <f>"Controladoria / Fiscal / Geração / Geração de Arquivos - SINCO (O_SINCO)"</f>
        <v>Controladoria / Fiscal / Geração / Geração de Arquivos - SINCO (O_SINCO)</v>
      </c>
    </row>
    <row r="1085" spans="1:7" x14ac:dyDescent="0.3">
      <c r="A1085" s="1" t="s">
        <v>4</v>
      </c>
      <c r="B1085" s="2" t="str">
        <f t="shared" si="97"/>
        <v>SISTEMA DE CONTROLE CONTABIL</v>
      </c>
      <c r="C1085" s="2" t="str">
        <f t="shared" si="98"/>
        <v>CONTR</v>
      </c>
      <c r="D1085" s="2" t="str">
        <f t="shared" si="99"/>
        <v>FCCT</v>
      </c>
      <c r="E1085" s="2" t="str">
        <f>"GERAÇÃO DE ARQUIVO - SINCO"</f>
        <v>GERAÇÃO DE ARQUIVO - SINCO</v>
      </c>
      <c r="F1085" s="2" t="str">
        <f>"O_SINCO"</f>
        <v>O_SINCO</v>
      </c>
      <c r="G1085" s="2" t="str">
        <f>"Controladoria / Contabilidade / Exportação / Geração de Arquivos - SINCO (O_SINCO)"</f>
        <v>Controladoria / Contabilidade / Exportação / Geração de Arquivos - SINCO (O_SINCO)</v>
      </c>
    </row>
    <row r="1086" spans="1:7" x14ac:dyDescent="0.3">
      <c r="A1086" s="1" t="s">
        <v>4</v>
      </c>
      <c r="B1086" s="2" t="str">
        <f t="shared" si="97"/>
        <v>SISTEMA DE CONTROLE CONTABIL</v>
      </c>
      <c r="C1086" s="2" t="str">
        <f t="shared" si="98"/>
        <v>CONTR</v>
      </c>
      <c r="D1086" s="2" t="str">
        <f t="shared" si="99"/>
        <v>FCCT</v>
      </c>
      <c r="E1086" s="2" t="str">
        <f>"REL. DE DEMONSTRATIVO DO LALUR"</f>
        <v>REL. DE DEMONSTRATIVO DO LALUR</v>
      </c>
      <c r="F1086" s="2" t="str">
        <f>"R_DEMONSTRATIVO_LALUR.RDF"</f>
        <v>R_DEMONSTRATIVO_LALUR.RDF</v>
      </c>
      <c r="G1086" s="2" t="str">
        <f>" ()"</f>
        <v xml:space="preserve"> ()</v>
      </c>
    </row>
    <row r="1087" spans="1:7" x14ac:dyDescent="0.3">
      <c r="A1087" s="1" t="s">
        <v>4</v>
      </c>
      <c r="B1087" s="2" t="str">
        <f t="shared" si="97"/>
        <v>SISTEMA DE CONTROLE CONTABIL</v>
      </c>
      <c r="C1087" s="2" t="str">
        <f t="shared" si="98"/>
        <v>CONTR</v>
      </c>
      <c r="D1087" s="2" t="str">
        <f t="shared" si="99"/>
        <v>FCCT</v>
      </c>
      <c r="E1087" s="2" t="str">
        <f>"RELATÓRIO FORNECEDOR X CONTA CONTÁBIL"</f>
        <v>RELATÓRIO FORNECEDOR X CONTA CONTÁBIL</v>
      </c>
      <c r="F1087" s="2" t="str">
        <f>"R_FORNECEDOR_CONTA.RDF"</f>
        <v>R_FORNECEDOR_CONTA.RDF</v>
      </c>
      <c r="G1087" s="2" t="str">
        <f>" ()"</f>
        <v xml:space="preserve"> ()</v>
      </c>
    </row>
    <row r="1088" spans="1:7" x14ac:dyDescent="0.3">
      <c r="A1088" s="1" t="s">
        <v>4</v>
      </c>
      <c r="B1088" s="2" t="str">
        <f t="shared" si="97"/>
        <v>SISTEMA DE CONTROLE CONTABIL</v>
      </c>
      <c r="C1088" s="2" t="str">
        <f t="shared" si="98"/>
        <v>CONTR</v>
      </c>
      <c r="D1088" s="2" t="str">
        <f t="shared" si="99"/>
        <v>FCCT</v>
      </c>
      <c r="E1088" s="2" t="str">
        <f>"REL. DEMONSTRAÇÕES CONTÁBEIS SIMPLES"</f>
        <v>REL. DEMONSTRAÇÕES CONTÁBEIS SIMPLES</v>
      </c>
      <c r="F1088" s="2" t="str">
        <f>"R_DRE_LISTA.RDF"</f>
        <v>R_DRE_LISTA.RDF</v>
      </c>
      <c r="G1088" s="2" t="str">
        <f>" ()"</f>
        <v xml:space="preserve"> ()</v>
      </c>
    </row>
    <row r="1089" spans="1:7" x14ac:dyDescent="0.3">
      <c r="A1089" s="1" t="s">
        <v>4</v>
      </c>
      <c r="B1089" s="2" t="str">
        <f t="shared" si="97"/>
        <v>SISTEMA DE CONTROLE CONTABIL</v>
      </c>
      <c r="C1089" s="2" t="str">
        <f t="shared" si="98"/>
        <v>CONTR</v>
      </c>
      <c r="D1089" s="2" t="str">
        <f t="shared" si="99"/>
        <v>FCCT</v>
      </c>
      <c r="E1089" s="2" t="str">
        <f>"REL. DE CADASTRO DAS DEMONSTRAÇÕES"</f>
        <v>REL. DE CADASTRO DAS DEMONSTRAÇÕES</v>
      </c>
      <c r="F1089" s="2" t="str">
        <f>"M_DRE.RDF"</f>
        <v>M_DRE.RDF</v>
      </c>
      <c r="G1089" s="2" t="str">
        <f>" ()"</f>
        <v xml:space="preserve"> ()</v>
      </c>
    </row>
    <row r="1090" spans="1:7" x14ac:dyDescent="0.3">
      <c r="A1090" s="1" t="s">
        <v>4</v>
      </c>
      <c r="B1090" s="2" t="str">
        <f t="shared" si="97"/>
        <v>SISTEMA DE CONTROLE CONTABIL</v>
      </c>
      <c r="C1090" s="2" t="str">
        <f t="shared" si="98"/>
        <v>CONTR</v>
      </c>
      <c r="D1090" s="2" t="str">
        <f t="shared" si="99"/>
        <v>FCCT</v>
      </c>
      <c r="E1090" s="2" t="str">
        <f>"REL. MOTIVOS DE BAIXA"</f>
        <v>REL. MOTIVOS DE BAIXA</v>
      </c>
      <c r="F1090" s="2" t="str">
        <f>"R_MOT_BAIXA.RDF"</f>
        <v>R_MOT_BAIXA.RDF</v>
      </c>
      <c r="G1090" s="2" t="str">
        <f>" ()"</f>
        <v xml:space="preserve"> ()</v>
      </c>
    </row>
    <row r="1091" spans="1:7" x14ac:dyDescent="0.3">
      <c r="A1091" s="1" t="s">
        <v>4</v>
      </c>
      <c r="B1091" s="2" t="str">
        <f t="shared" si="97"/>
        <v>SISTEMA DE CONTROLE CONTABIL</v>
      </c>
      <c r="C1091" s="2" t="str">
        <f t="shared" si="98"/>
        <v>CONTR</v>
      </c>
      <c r="D1091" s="2" t="str">
        <f t="shared" si="99"/>
        <v>FCCT</v>
      </c>
      <c r="E1091" s="2" t="str">
        <f>"RELATÓRIO DE BALANÇO - CRED PARTO"</f>
        <v>RELATÓRIO DE BALANÇO - CRED PARTO</v>
      </c>
      <c r="F1091" s="2" t="str">
        <f>"R_BALANCO"</f>
        <v>R_BALANCO</v>
      </c>
      <c r="G1091" s="2" t="str">
        <f>"Controladoria / Contabilidade / Relatórios / Balancete / Balanço (R_BALANCO)"</f>
        <v>Controladoria / Contabilidade / Relatórios / Balancete / Balanço (R_BALANCO)</v>
      </c>
    </row>
    <row r="1092" spans="1:7" x14ac:dyDescent="0.3">
      <c r="A1092" s="1" t="s">
        <v>4</v>
      </c>
      <c r="B1092" s="2" t="str">
        <f t="shared" si="97"/>
        <v>SISTEMA DE CONTROLE CONTABIL</v>
      </c>
      <c r="C1092" s="2" t="str">
        <f t="shared" si="98"/>
        <v>CONTR</v>
      </c>
      <c r="D1092" s="2" t="str">
        <f t="shared" si="99"/>
        <v>FCCT</v>
      </c>
      <c r="E1092" s="2" t="str">
        <f>"R_TERMO_PAISA"</f>
        <v>R_TERMO_PAISA</v>
      </c>
      <c r="F1092" s="2" t="str">
        <f>"R_TERMO_PAISA"</f>
        <v>R_TERMO_PAISA</v>
      </c>
      <c r="G1092" s="2" t="str">
        <f t="shared" ref="G1092:G1107" si="100">" ()"</f>
        <v xml:space="preserve"> ()</v>
      </c>
    </row>
    <row r="1093" spans="1:7" x14ac:dyDescent="0.3">
      <c r="A1093" s="1" t="s">
        <v>4</v>
      </c>
      <c r="B1093" s="2" t="str">
        <f t="shared" si="97"/>
        <v>SISTEMA DE CONTROLE CONTABIL</v>
      </c>
      <c r="C1093" s="2" t="str">
        <f t="shared" si="98"/>
        <v>CONTR</v>
      </c>
      <c r="D1093" s="2" t="str">
        <f t="shared" si="99"/>
        <v>FCCT</v>
      </c>
      <c r="E1093" s="2" t="str">
        <f>"R_DRE_COMPARATIVO"</f>
        <v>R_DRE_COMPARATIVO</v>
      </c>
      <c r="F1093" s="2" t="str">
        <f>"R_DRE_COMPARATIVO"</f>
        <v>R_DRE_COMPARATIVO</v>
      </c>
      <c r="G1093" s="2" t="str">
        <f t="shared" si="100"/>
        <v xml:space="preserve"> ()</v>
      </c>
    </row>
    <row r="1094" spans="1:7" x14ac:dyDescent="0.3">
      <c r="A1094" s="1" t="s">
        <v>4</v>
      </c>
      <c r="B1094" s="2" t="str">
        <f t="shared" si="97"/>
        <v>SISTEMA DE CONTROLE CONTABIL</v>
      </c>
      <c r="C1094" s="2" t="str">
        <f t="shared" si="98"/>
        <v>CONTR</v>
      </c>
      <c r="D1094" s="2" t="str">
        <f t="shared" si="99"/>
        <v>FCCT</v>
      </c>
      <c r="E1094" s="2" t="str">
        <f>"REL. RECEITA TOTAL AGRUPADA"</f>
        <v>REL. RECEITA TOTAL AGRUPADA</v>
      </c>
      <c r="F1094" s="2" t="str">
        <f>"R_RECEITA_AGRUPADA.RDF"</f>
        <v>R_RECEITA_AGRUPADA.RDF</v>
      </c>
      <c r="G1094" s="2" t="str">
        <f t="shared" si="100"/>
        <v xml:space="preserve"> ()</v>
      </c>
    </row>
    <row r="1095" spans="1:7" x14ac:dyDescent="0.3">
      <c r="A1095" s="1" t="s">
        <v>4</v>
      </c>
      <c r="B1095" s="2" t="str">
        <f t="shared" si="97"/>
        <v>SISTEMA DE CONTROLE CONTABIL</v>
      </c>
      <c r="C1095" s="2" t="str">
        <f t="shared" si="98"/>
        <v>CONTR</v>
      </c>
      <c r="D1095" s="2" t="str">
        <f t="shared" si="99"/>
        <v>FCCT</v>
      </c>
      <c r="E1095" s="2" t="str">
        <f>"RELATÓRIO DE CONTA DE RESULTADO ANUAL"</f>
        <v>RELATÓRIO DE CONTA DE RESULTADO ANUAL</v>
      </c>
      <c r="F1095" s="2" t="str">
        <f>"R_CUSTO_ANUAL.RDF"</f>
        <v>R_CUSTO_ANUAL.RDF</v>
      </c>
      <c r="G1095" s="2" t="str">
        <f t="shared" si="100"/>
        <v xml:space="preserve"> ()</v>
      </c>
    </row>
    <row r="1096" spans="1:7" x14ac:dyDescent="0.3">
      <c r="A1096" s="1" t="s">
        <v>4</v>
      </c>
      <c r="B1096" s="2" t="str">
        <f t="shared" si="97"/>
        <v>SISTEMA DE CONTROLE CONTABIL</v>
      </c>
      <c r="C1096" s="2" t="str">
        <f t="shared" si="98"/>
        <v>CONTR</v>
      </c>
      <c r="D1096" s="2" t="str">
        <f t="shared" si="99"/>
        <v>FCCT</v>
      </c>
      <c r="E1096" s="2" t="str">
        <f>"RELATÓRIO DO CUSTO SINTÉTICO MENSAL"</f>
        <v>RELATÓRIO DO CUSTO SINTÉTICO MENSAL</v>
      </c>
      <c r="F1096" s="2" t="str">
        <f>"R_CUSTO_CONS.RDF"</f>
        <v>R_CUSTO_CONS.RDF</v>
      </c>
      <c r="G1096" s="2" t="str">
        <f t="shared" si="100"/>
        <v xml:space="preserve"> ()</v>
      </c>
    </row>
    <row r="1097" spans="1:7" x14ac:dyDescent="0.3">
      <c r="A1097" s="1" t="s">
        <v>4</v>
      </c>
      <c r="B1097" s="2" t="str">
        <f t="shared" si="97"/>
        <v>SISTEMA DE CONTROLE CONTABIL</v>
      </c>
      <c r="C1097" s="2" t="str">
        <f t="shared" si="98"/>
        <v>CONTR</v>
      </c>
      <c r="D1097" s="2" t="str">
        <f t="shared" si="99"/>
        <v>FCCT</v>
      </c>
      <c r="E1097" s="2" t="str">
        <f>"CONFERÊNCIA DE LANÇAMENTOS DE HONORÁR."</f>
        <v>CONFERÊNCIA DE LANÇAMENTOS DE HONORÁR.</v>
      </c>
      <c r="F1097" s="2" t="str">
        <f>"R_CONF_LANC_HONOR.RDF"</f>
        <v>R_CONF_LANC_HONOR.RDF</v>
      </c>
      <c r="G1097" s="2" t="str">
        <f t="shared" si="100"/>
        <v xml:space="preserve"> ()</v>
      </c>
    </row>
    <row r="1098" spans="1:7" x14ac:dyDescent="0.3">
      <c r="A1098" s="1" t="s">
        <v>4</v>
      </c>
      <c r="B1098" s="2" t="str">
        <f t="shared" si="97"/>
        <v>SISTEMA DE CONTROLE CONTABIL</v>
      </c>
      <c r="C1098" s="2" t="str">
        <f t="shared" si="98"/>
        <v>CONTR</v>
      </c>
      <c r="D1098" s="2" t="str">
        <f t="shared" si="99"/>
        <v>FCCT</v>
      </c>
      <c r="E1098" s="2" t="str">
        <f>"CONFERÊNCIA DE NOTAS"</f>
        <v>CONFERÊNCIA DE NOTAS</v>
      </c>
      <c r="F1098" s="2" t="str">
        <f>"R_CONF_NOTAS.RDF"</f>
        <v>R_CONF_NOTAS.RDF</v>
      </c>
      <c r="G1098" s="2" t="str">
        <f t="shared" si="100"/>
        <v xml:space="preserve"> ()</v>
      </c>
    </row>
    <row r="1099" spans="1:7" x14ac:dyDescent="0.3">
      <c r="A1099" s="1" t="s">
        <v>4</v>
      </c>
      <c r="B1099" s="2" t="str">
        <f t="shared" si="97"/>
        <v>SISTEMA DE CONTROLE CONTABIL</v>
      </c>
      <c r="C1099" s="2" t="str">
        <f t="shared" si="98"/>
        <v>CONTR</v>
      </c>
      <c r="D1099" s="2" t="str">
        <f t="shared" si="99"/>
        <v>FCCT</v>
      </c>
      <c r="E1099" s="2" t="str">
        <f>"MOVIMENTO POR CENTRO DE CUSTO"</f>
        <v>MOVIMENTO POR CENTRO DE CUSTO</v>
      </c>
      <c r="F1099" s="2" t="str">
        <f>"R_MOVSETOR.RDF"</f>
        <v>R_MOVSETOR.RDF</v>
      </c>
      <c r="G1099" s="2" t="str">
        <f t="shared" si="100"/>
        <v xml:space="preserve"> ()</v>
      </c>
    </row>
    <row r="1100" spans="1:7" x14ac:dyDescent="0.3">
      <c r="A1100" s="1" t="s">
        <v>4</v>
      </c>
      <c r="B1100" s="2" t="str">
        <f t="shared" si="97"/>
        <v>SISTEMA DE CONTROLE CONTABIL</v>
      </c>
      <c r="C1100" s="2" t="str">
        <f t="shared" si="98"/>
        <v>CONTR</v>
      </c>
      <c r="D1100" s="2" t="str">
        <f t="shared" si="99"/>
        <v>FCCT</v>
      </c>
      <c r="E1100" s="2" t="str">
        <f>"CONFERÊNCIA DE MOVIMENTOS DIVERGENTES"</f>
        <v>CONFERÊNCIA DE MOVIMENTOS DIVERGENTES</v>
      </c>
      <c r="F1100" s="2" t="str">
        <f>"R_MVTO_DIVERGENTE.RDF"</f>
        <v>R_MVTO_DIVERGENTE.RDF</v>
      </c>
      <c r="G1100" s="2" t="str">
        <f t="shared" si="100"/>
        <v xml:space="preserve"> ()</v>
      </c>
    </row>
    <row r="1101" spans="1:7" x14ac:dyDescent="0.3">
      <c r="A1101" s="1" t="s">
        <v>4</v>
      </c>
      <c r="B1101" s="2" t="str">
        <f t="shared" si="97"/>
        <v>SISTEMA DE CONTROLE CONTABIL</v>
      </c>
      <c r="C1101" s="2" t="str">
        <f t="shared" si="98"/>
        <v>CONTR</v>
      </c>
      <c r="D1101" s="2" t="str">
        <f t="shared" si="99"/>
        <v>FCCT</v>
      </c>
      <c r="E1101" s="2" t="str">
        <f>"RELATÓRIO DE BALANCETE SINTÉTICO"</f>
        <v>RELATÓRIO DE BALANCETE SINTÉTICO</v>
      </c>
      <c r="F1101" s="2" t="str">
        <f>"R_BALANCETE_SINT.RDF"</f>
        <v>R_BALANCETE_SINT.RDF</v>
      </c>
      <c r="G1101" s="2" t="str">
        <f t="shared" si="100"/>
        <v xml:space="preserve"> ()</v>
      </c>
    </row>
    <row r="1102" spans="1:7" x14ac:dyDescent="0.3">
      <c r="A1102" s="1" t="s">
        <v>4</v>
      </c>
      <c r="B1102" s="2" t="str">
        <f t="shared" si="97"/>
        <v>SISTEMA DE CONTROLE CONTABIL</v>
      </c>
      <c r="C1102" s="2" t="str">
        <f t="shared" si="98"/>
        <v>CONTR</v>
      </c>
      <c r="D1102" s="2" t="str">
        <f t="shared" si="99"/>
        <v>FCCT</v>
      </c>
      <c r="E1102" s="2" t="str">
        <f>"RELATÓRIO DE BALANÇO"</f>
        <v>RELATÓRIO DE BALANÇO</v>
      </c>
      <c r="F1102" s="2" t="str">
        <f>"R_BALANCO.RDF"</f>
        <v>R_BALANCO.RDF</v>
      </c>
      <c r="G1102" s="2" t="str">
        <f t="shared" si="100"/>
        <v xml:space="preserve"> ()</v>
      </c>
    </row>
    <row r="1103" spans="1:7" x14ac:dyDescent="0.3">
      <c r="A1103" s="1" t="s">
        <v>4</v>
      </c>
      <c r="B1103" s="2" t="str">
        <f t="shared" si="97"/>
        <v>SISTEMA DE CONTROLE CONTABIL</v>
      </c>
      <c r="C1103" s="2" t="str">
        <f t="shared" si="98"/>
        <v>CONTR</v>
      </c>
      <c r="D1103" s="2" t="str">
        <f t="shared" si="99"/>
        <v>FCCT</v>
      </c>
      <c r="E1103" s="2" t="str">
        <f>"REL. DE BALANCETE POR CENTRO DE CUSTO"</f>
        <v>REL. DE BALANCETE POR CENTRO DE CUSTO</v>
      </c>
      <c r="F1103" s="2" t="str">
        <f>"R_BALANCETE_SET.RDF"</f>
        <v>R_BALANCETE_SET.RDF</v>
      </c>
      <c r="G1103" s="2" t="str">
        <f t="shared" si="100"/>
        <v xml:space="preserve"> ()</v>
      </c>
    </row>
    <row r="1104" spans="1:7" x14ac:dyDescent="0.3">
      <c r="A1104" s="1" t="s">
        <v>4</v>
      </c>
      <c r="B1104" s="2" t="str">
        <f t="shared" si="97"/>
        <v>SISTEMA DE CONTROLE CONTABIL</v>
      </c>
      <c r="C1104" s="2" t="str">
        <f t="shared" si="98"/>
        <v>CONTR</v>
      </c>
      <c r="D1104" s="2" t="str">
        <f t="shared" si="99"/>
        <v>FCCT</v>
      </c>
      <c r="E1104" s="2" t="str">
        <f>"RELATÓRIO DE BALANCETE ANALÍTICO"</f>
        <v>RELATÓRIO DE BALANCETE ANALÍTICO</v>
      </c>
      <c r="F1104" s="2" t="str">
        <f>"R_BALANCETE.RDF"</f>
        <v>R_BALANCETE.RDF</v>
      </c>
      <c r="G1104" s="2" t="str">
        <f t="shared" si="100"/>
        <v xml:space="preserve"> ()</v>
      </c>
    </row>
    <row r="1105" spans="1:7" x14ac:dyDescent="0.3">
      <c r="A1105" s="1" t="s">
        <v>4</v>
      </c>
      <c r="B1105" s="2" t="str">
        <f t="shared" si="97"/>
        <v>SISTEMA DE CONTROLE CONTABIL</v>
      </c>
      <c r="C1105" s="2" t="str">
        <f t="shared" si="98"/>
        <v>CONTR</v>
      </c>
      <c r="D1105" s="2" t="str">
        <f t="shared" si="99"/>
        <v>FCCT</v>
      </c>
      <c r="E1105" s="2" t="str">
        <f>"RELATÓRIO DO PLANO DE CONTAS SINT."</f>
        <v>RELATÓRIO DO PLANO DE CONTAS SINT.</v>
      </c>
      <c r="F1105" s="2" t="str">
        <f>"R_PLACON_SINT.RDF"</f>
        <v>R_PLACON_SINT.RDF</v>
      </c>
      <c r="G1105" s="2" t="str">
        <f t="shared" si="100"/>
        <v xml:space="preserve"> ()</v>
      </c>
    </row>
    <row r="1106" spans="1:7" x14ac:dyDescent="0.3">
      <c r="A1106" s="1" t="s">
        <v>4</v>
      </c>
      <c r="B1106" s="2" t="str">
        <f t="shared" ref="B1106:B1169" si="101">"AUDITORIA E GLOSAS"</f>
        <v>AUDITORIA E GLOSAS</v>
      </c>
      <c r="C1106" s="2" t="str">
        <f t="shared" ref="C1106:C1169" si="102">"FINAN"</f>
        <v>FINAN</v>
      </c>
      <c r="D1106" s="2" t="str">
        <f t="shared" ref="D1106:D1169" si="103">"FFAG"</f>
        <v>FFAG</v>
      </c>
      <c r="E1106" s="2" t="str">
        <f>"AUDITORIA DE CONTA POR GRUPO DE PROC."</f>
        <v>AUDITORIA DE CONTA POR GRUPO DE PROC.</v>
      </c>
      <c r="F1106" s="2" t="str">
        <f>"R_AUDITORIA_PROC_SINT"</f>
        <v>R_AUDITORIA_PROC_SINT</v>
      </c>
      <c r="G1106" s="2" t="str">
        <f t="shared" si="100"/>
        <v xml:space="preserve"> ()</v>
      </c>
    </row>
    <row r="1107" spans="1:7" x14ac:dyDescent="0.3">
      <c r="A1107" s="1" t="s">
        <v>4</v>
      </c>
      <c r="B1107" s="2" t="str">
        <f t="shared" si="101"/>
        <v>AUDITORIA E GLOSAS</v>
      </c>
      <c r="C1107" s="2" t="str">
        <f t="shared" si="102"/>
        <v>FINAN</v>
      </c>
      <c r="D1107" s="2" t="str">
        <f t="shared" si="103"/>
        <v>FFAG</v>
      </c>
      <c r="E1107" s="2" t="str">
        <f>"M_AUDITORIA_CONTA_COMP"</f>
        <v>M_AUDITORIA_CONTA_COMP</v>
      </c>
      <c r="F1107" s="2" t="str">
        <f>"M_AUDITORIA_CONTA_COMP"</f>
        <v>M_AUDITORIA_CONTA_COMP</v>
      </c>
      <c r="G1107" s="2" t="str">
        <f t="shared" si="100"/>
        <v xml:space="preserve"> ()</v>
      </c>
    </row>
    <row r="1108" spans="1:7" x14ac:dyDescent="0.3">
      <c r="A1108" s="1" t="s">
        <v>4</v>
      </c>
      <c r="B1108" s="2" t="str">
        <f t="shared" si="101"/>
        <v>AUDITORIA E GLOSAS</v>
      </c>
      <c r="C1108" s="2" t="str">
        <f t="shared" si="102"/>
        <v>FINAN</v>
      </c>
      <c r="D1108" s="2" t="str">
        <f t="shared" si="103"/>
        <v>FFAG</v>
      </c>
      <c r="E1108" s="2" t="str">
        <f t="shared" ref="E1108:E1113" si="104">"REL. GERENCIAL DE AUDITORIA DE CONTAS"</f>
        <v>REL. GERENCIAL DE AUDITORIA DE CONTAS</v>
      </c>
      <c r="F1108" s="2" t="str">
        <f t="shared" ref="F1108:F1113" si="105">"R_AUD_CON_GRU2"</f>
        <v>R_AUD_CON_GRU2</v>
      </c>
      <c r="G1108" s="2" t="s">
        <v>11</v>
      </c>
    </row>
    <row r="1109" spans="1:7" x14ac:dyDescent="0.3">
      <c r="A1109" s="1" t="s">
        <v>4</v>
      </c>
      <c r="B1109" s="2" t="str">
        <f t="shared" si="101"/>
        <v>AUDITORIA E GLOSAS</v>
      </c>
      <c r="C1109" s="2" t="str">
        <f t="shared" si="102"/>
        <v>FINAN</v>
      </c>
      <c r="D1109" s="2" t="str">
        <f t="shared" si="103"/>
        <v>FFAG</v>
      </c>
      <c r="E1109" s="2" t="str">
        <f t="shared" si="104"/>
        <v>REL. GERENCIAL DE AUDITORIA DE CONTAS</v>
      </c>
      <c r="F1109" s="2" t="str">
        <f t="shared" si="105"/>
        <v>R_AUD_CON_GRU2</v>
      </c>
      <c r="G1109" s="2" t="str">
        <f>"Faturamento / Faturamento de Convênios e Particulares / Relatórios / Gerenciais / Auditoria de Contas / Por Convênio e Grupo de Procedimento (R_AUD_CON_GRU2)"</f>
        <v>Faturamento / Faturamento de Convênios e Particulares / Relatórios / Gerenciais / Auditoria de Contas / Por Convênio e Grupo de Procedimento (R_AUD_CON_GRU2)</v>
      </c>
    </row>
    <row r="1110" spans="1:7" x14ac:dyDescent="0.3">
      <c r="A1110" s="1" t="s">
        <v>4</v>
      </c>
      <c r="B1110" s="2" t="str">
        <f t="shared" si="101"/>
        <v>AUDITORIA E GLOSAS</v>
      </c>
      <c r="C1110" s="2" t="str">
        <f t="shared" si="102"/>
        <v>FINAN</v>
      </c>
      <c r="D1110" s="2" t="str">
        <f t="shared" si="103"/>
        <v>FFAG</v>
      </c>
      <c r="E1110" s="2" t="str">
        <f t="shared" si="104"/>
        <v>REL. GERENCIAL DE AUDITORIA DE CONTAS</v>
      </c>
      <c r="F1110" s="2" t="str">
        <f t="shared" si="105"/>
        <v>R_AUD_CON_GRU2</v>
      </c>
      <c r="G1110" s="2" t="s">
        <v>12</v>
      </c>
    </row>
    <row r="1111" spans="1:7" x14ac:dyDescent="0.3">
      <c r="A1111" s="1" t="s">
        <v>4</v>
      </c>
      <c r="B1111" s="2" t="str">
        <f t="shared" si="101"/>
        <v>AUDITORIA E GLOSAS</v>
      </c>
      <c r="C1111" s="2" t="str">
        <f t="shared" si="102"/>
        <v>FINAN</v>
      </c>
      <c r="D1111" s="2" t="str">
        <f t="shared" si="103"/>
        <v>FFAG</v>
      </c>
      <c r="E1111" s="2" t="str">
        <f t="shared" si="104"/>
        <v>REL. GERENCIAL DE AUDITORIA DE CONTAS</v>
      </c>
      <c r="F1111" s="2" t="str">
        <f t="shared" si="105"/>
        <v>R_AUD_CON_GRU2</v>
      </c>
      <c r="G1111" s="2" t="str">
        <f>"Faturamento / Auditoria e Controle de Recursos de Glosas / Relatórios / Gerenciais / Auditoria de Contas / Por Convênio e Grupo de Procedimento (R_AUD_CON_GRU2)"</f>
        <v>Faturamento / Auditoria e Controle de Recursos de Glosas / Relatórios / Gerenciais / Auditoria de Contas / Por Convênio e Grupo de Procedimento (R_AUD_CON_GRU2)</v>
      </c>
    </row>
    <row r="1112" spans="1:7" x14ac:dyDescent="0.3">
      <c r="A1112" s="1" t="s">
        <v>4</v>
      </c>
      <c r="B1112" s="2" t="str">
        <f t="shared" si="101"/>
        <v>AUDITORIA E GLOSAS</v>
      </c>
      <c r="C1112" s="2" t="str">
        <f t="shared" si="102"/>
        <v>FINAN</v>
      </c>
      <c r="D1112" s="2" t="str">
        <f t="shared" si="103"/>
        <v>FFAG</v>
      </c>
      <c r="E1112" s="2" t="str">
        <f t="shared" si="104"/>
        <v>REL. GERENCIAL DE AUDITORIA DE CONTAS</v>
      </c>
      <c r="F1112" s="2" t="str">
        <f t="shared" si="105"/>
        <v>R_AUD_CON_GRU2</v>
      </c>
      <c r="G1112" s="2" t="str">
        <f>"Faturamento / Auditoria e Controle de Recursos de Glosas / Relatórios / Gerenciais / Auditoria de Contas / Por Grupo de Procedimento (R_AUD_CON_GRU2)"</f>
        <v>Faturamento / Auditoria e Controle de Recursos de Glosas / Relatórios / Gerenciais / Auditoria de Contas / Por Grupo de Procedimento (R_AUD_CON_GRU2)</v>
      </c>
    </row>
    <row r="1113" spans="1:7" x14ac:dyDescent="0.3">
      <c r="A1113" s="1" t="s">
        <v>4</v>
      </c>
      <c r="B1113" s="2" t="str">
        <f t="shared" si="101"/>
        <v>AUDITORIA E GLOSAS</v>
      </c>
      <c r="C1113" s="2" t="str">
        <f t="shared" si="102"/>
        <v>FINAN</v>
      </c>
      <c r="D1113" s="2" t="str">
        <f t="shared" si="103"/>
        <v>FFAG</v>
      </c>
      <c r="E1113" s="2" t="str">
        <f t="shared" si="104"/>
        <v>REL. GERENCIAL DE AUDITORIA DE CONTAS</v>
      </c>
      <c r="F1113" s="2" t="str">
        <f t="shared" si="105"/>
        <v>R_AUD_CON_GRU2</v>
      </c>
      <c r="G1113" s="2" t="str">
        <f>"Faturamento / Faturamento de Convênios e Particulares / Relatórios / Gerenciais / Auditoria de Contas / Por Grupo de Procedimento (R_AUD_CON_GRU2)"</f>
        <v>Faturamento / Faturamento de Convênios e Particulares / Relatórios / Gerenciais / Auditoria de Contas / Por Grupo de Procedimento (R_AUD_CON_GRU2)</v>
      </c>
    </row>
    <row r="1114" spans="1:7" x14ac:dyDescent="0.3">
      <c r="A1114" s="1" t="s">
        <v>4</v>
      </c>
      <c r="B1114" s="2" t="str">
        <f t="shared" si="101"/>
        <v>AUDITORIA E GLOSAS</v>
      </c>
      <c r="C1114" s="2" t="str">
        <f t="shared" si="102"/>
        <v>FINAN</v>
      </c>
      <c r="D1114" s="2" t="str">
        <f t="shared" si="103"/>
        <v>FFAG</v>
      </c>
      <c r="E1114" s="2" t="str">
        <f>"RECEBIMENTO DE RECURSO TOTAL"</f>
        <v>RECEBIMENTO DE RECURSO TOTAL</v>
      </c>
      <c r="F1114" s="2" t="str">
        <f>"M_RECEBE_RECURSO"</f>
        <v>M_RECEBE_RECURSO</v>
      </c>
      <c r="G1114" s="2" t="str">
        <f>"Faturamento / Auditoria e Controle de Recursos de Glosas / Lançamentos  / Recebimento de Registro de Recurso (M_RECEBE_RECURSO)"</f>
        <v>Faturamento / Auditoria e Controle de Recursos de Glosas / Lançamentos  / Recebimento de Registro de Recurso (M_RECEBE_RECURSO)</v>
      </c>
    </row>
    <row r="1115" spans="1:7" x14ac:dyDescent="0.3">
      <c r="A1115" s="1" t="s">
        <v>4</v>
      </c>
      <c r="B1115" s="2" t="str">
        <f t="shared" si="101"/>
        <v>AUDITORIA E GLOSAS</v>
      </c>
      <c r="C1115" s="2" t="str">
        <f t="shared" si="102"/>
        <v>FINAN</v>
      </c>
      <c r="D1115" s="2" t="str">
        <f t="shared" si="103"/>
        <v>FFAG</v>
      </c>
      <c r="E1115" s="2" t="str">
        <f>"Log Motivo de Glosa"</f>
        <v>Log Motivo de Glosa</v>
      </c>
      <c r="F1115" s="2" t="str">
        <f>"C_LOG_MOT_GLOSA"</f>
        <v>C_LOG_MOT_GLOSA</v>
      </c>
      <c r="G1115" s="2" t="str">
        <f>"Faturamento / Auditoria e Controle de Recursos de Glosas / Consultas / Log Motivo de Glosa (C_LOG_MOT_GLOSA)"</f>
        <v>Faturamento / Auditoria e Controle de Recursos de Glosas / Consultas / Log Motivo de Glosa (C_LOG_MOT_GLOSA)</v>
      </c>
    </row>
    <row r="1116" spans="1:7" x14ac:dyDescent="0.3">
      <c r="A1116" s="1" t="s">
        <v>4</v>
      </c>
      <c r="B1116" s="2" t="str">
        <f t="shared" si="101"/>
        <v>AUDITORIA E GLOSAS</v>
      </c>
      <c r="C1116" s="2" t="str">
        <f t="shared" si="102"/>
        <v>FINAN</v>
      </c>
      <c r="D1116" s="2" t="str">
        <f t="shared" si="103"/>
        <v>FFAG</v>
      </c>
      <c r="E1116" s="2" t="str">
        <f>"R_FFAG_RECURSO"</f>
        <v>R_FFAG_RECURSO</v>
      </c>
      <c r="F1116" s="2" t="str">
        <f>"R_FFAG_RECURSO"</f>
        <v>R_FFAG_RECURSO</v>
      </c>
      <c r="G1116" s="2" t="str">
        <f>" ()"</f>
        <v xml:space="preserve"> ()</v>
      </c>
    </row>
    <row r="1117" spans="1:7" x14ac:dyDescent="0.3">
      <c r="A1117" s="1" t="s">
        <v>4</v>
      </c>
      <c r="B1117" s="2" t="str">
        <f t="shared" si="101"/>
        <v>AUDITORIA E GLOSAS</v>
      </c>
      <c r="C1117" s="2" t="str">
        <f t="shared" si="102"/>
        <v>FINAN</v>
      </c>
      <c r="D1117" s="2" t="str">
        <f t="shared" si="103"/>
        <v>FFAG</v>
      </c>
      <c r="E1117" s="2" t="str">
        <f>"MOTIVO DE ACEITE"</f>
        <v>MOTIVO DE ACEITE</v>
      </c>
      <c r="F1117" s="2" t="str">
        <f>"M_MOTIVO_ITEM_GLOSA"</f>
        <v>M_MOTIVO_ITEM_GLOSA</v>
      </c>
      <c r="G1117" s="2" t="str">
        <f>"Faturamento / Auditoria e Controle de Recursos de Glosas / Tabelas / Gerais / Motivo de Aceite (M_MOTIVO_ITEM_GLOSA)"</f>
        <v>Faturamento / Auditoria e Controle de Recursos de Glosas / Tabelas / Gerais / Motivo de Aceite (M_MOTIVO_ITEM_GLOSA)</v>
      </c>
    </row>
    <row r="1118" spans="1:7" x14ac:dyDescent="0.3">
      <c r="A1118" s="1" t="s">
        <v>4</v>
      </c>
      <c r="B1118" s="2" t="str">
        <f t="shared" si="101"/>
        <v>AUDITORIA E GLOSAS</v>
      </c>
      <c r="C1118" s="2" t="str">
        <f t="shared" si="102"/>
        <v>FINAN</v>
      </c>
      <c r="D1118" s="2" t="str">
        <f t="shared" si="103"/>
        <v>FFAG</v>
      </c>
      <c r="E1118" s="2" t="str">
        <f>"PERSONALIZADOS DO FFAG"</f>
        <v>PERSONALIZADOS DO FFAG</v>
      </c>
      <c r="F1118" s="2" t="str">
        <f>"R_PERSON_FFAG"</f>
        <v>R_PERSON_FFAG</v>
      </c>
      <c r="G1118" s="2" t="str">
        <f>"Faturamento / Auditoria e Controle de Recursos de Glosas / Relatórios / Personalizados / Personalizados (R_PERSON_FFAG)"</f>
        <v>Faturamento / Auditoria e Controle de Recursos de Glosas / Relatórios / Personalizados / Personalizados (R_PERSON_FFAG)</v>
      </c>
    </row>
    <row r="1119" spans="1:7" x14ac:dyDescent="0.3">
      <c r="A1119" s="1" t="s">
        <v>4</v>
      </c>
      <c r="B1119" s="2" t="str">
        <f t="shared" si="101"/>
        <v>AUDITORIA E GLOSAS</v>
      </c>
      <c r="C1119" s="2" t="str">
        <f t="shared" si="102"/>
        <v>FINAN</v>
      </c>
      <c r="D1119" s="2" t="str">
        <f t="shared" si="103"/>
        <v>FFAG</v>
      </c>
      <c r="E1119" s="2" t="str">
        <f>"NOTA DE CRÉDITO"</f>
        <v>NOTA DE CRÉDITO</v>
      </c>
      <c r="F1119" s="2" t="str">
        <f>"R_NOTA_CREDITO"</f>
        <v>R_NOTA_CREDITO</v>
      </c>
      <c r="G1119" s="2" t="str">
        <f>"Faturamento / Auditoria e Controle de Recursos de Glosas / Relatórios / Gerenciais / Nota de Crédito (R_NOTA_CREDITO)"</f>
        <v>Faturamento / Auditoria e Controle de Recursos de Glosas / Relatórios / Gerenciais / Nota de Crédito (R_NOTA_CREDITO)</v>
      </c>
    </row>
    <row r="1120" spans="1:7" x14ac:dyDescent="0.3">
      <c r="A1120" s="1" t="s">
        <v>4</v>
      </c>
      <c r="B1120" s="2" t="str">
        <f t="shared" si="101"/>
        <v>AUDITORIA E GLOSAS</v>
      </c>
      <c r="C1120" s="2" t="str">
        <f t="shared" si="102"/>
        <v>FINAN</v>
      </c>
      <c r="D1120" s="2" t="str">
        <f t="shared" si="103"/>
        <v>FFAG</v>
      </c>
      <c r="E1120" s="2" t="str">
        <f>"LANCTO GLOSA POR GRUPO DE FATURAMENTO"</f>
        <v>LANCTO GLOSA POR GRUPO DE FATURAMENTO</v>
      </c>
      <c r="F1120" s="2" t="str">
        <f>"M_GLOSA_GRU_FAT"</f>
        <v>M_GLOSA_GRU_FAT</v>
      </c>
      <c r="G1120" s="2" t="str">
        <f>"Faturamento / Auditoria e Controle de Recursos de Glosas / Lançamentos  / Glosas por Grupo de Faturamento (M_GLOSA_GRU_FAT)"</f>
        <v>Faturamento / Auditoria e Controle de Recursos de Glosas / Lançamentos  / Glosas por Grupo de Faturamento (M_GLOSA_GRU_FAT)</v>
      </c>
    </row>
    <row r="1121" spans="1:7" x14ac:dyDescent="0.3">
      <c r="A1121" s="1" t="s">
        <v>4</v>
      </c>
      <c r="B1121" s="2" t="str">
        <f t="shared" si="101"/>
        <v>AUDITORIA E GLOSAS</v>
      </c>
      <c r="C1121" s="2" t="str">
        <f t="shared" si="102"/>
        <v>FINAN</v>
      </c>
      <c r="D1121" s="2" t="str">
        <f t="shared" si="103"/>
        <v>FFAG</v>
      </c>
      <c r="E1121" s="2" t="str">
        <f>"REL. ANÁLISE EVOLUTIVA DE GLOSAS"</f>
        <v>REL. ANÁLISE EVOLUTIVA DE GLOSAS</v>
      </c>
      <c r="F1121" s="2" t="str">
        <f>"R_13_GLOSAS"</f>
        <v>R_13_GLOSAS</v>
      </c>
      <c r="G1121" s="2" t="str">
        <f>"Faturamento / Faturamento de Convênios e Particulares / Relatórios / Gerenciais / Análise Evolutiva de Glosas (R_13_GLOSAS)"</f>
        <v>Faturamento / Faturamento de Convênios e Particulares / Relatórios / Gerenciais / Análise Evolutiva de Glosas (R_13_GLOSAS)</v>
      </c>
    </row>
    <row r="1122" spans="1:7" x14ac:dyDescent="0.3">
      <c r="A1122" s="1" t="s">
        <v>4</v>
      </c>
      <c r="B1122" s="2" t="str">
        <f t="shared" si="101"/>
        <v>AUDITORIA E GLOSAS</v>
      </c>
      <c r="C1122" s="2" t="str">
        <f t="shared" si="102"/>
        <v>FINAN</v>
      </c>
      <c r="D1122" s="2" t="str">
        <f t="shared" si="103"/>
        <v>FFAG</v>
      </c>
      <c r="E1122" s="2" t="str">
        <f>"REL. ANÁLISE EVOLUTIVA DE GLOSAS"</f>
        <v>REL. ANÁLISE EVOLUTIVA DE GLOSAS</v>
      </c>
      <c r="F1122" s="2" t="str">
        <f>"R_13_GLOSAS"</f>
        <v>R_13_GLOSAS</v>
      </c>
      <c r="G1122" s="2" t="str">
        <f>"Faturamento / Auditoria e Controle de Recursos de Glosas / Relatórios / Gerenciais / Análise Evolutiva de Glosas (R_13_GLOSAS)"</f>
        <v>Faturamento / Auditoria e Controle de Recursos de Glosas / Relatórios / Gerenciais / Análise Evolutiva de Glosas (R_13_GLOSAS)</v>
      </c>
    </row>
    <row r="1123" spans="1:7" x14ac:dyDescent="0.3">
      <c r="A1123" s="1" t="s">
        <v>4</v>
      </c>
      <c r="B1123" s="2" t="str">
        <f t="shared" si="101"/>
        <v>AUDITORIA E GLOSAS</v>
      </c>
      <c r="C1123" s="2" t="str">
        <f t="shared" si="102"/>
        <v>FINAN</v>
      </c>
      <c r="D1123" s="2" t="str">
        <f t="shared" si="103"/>
        <v>FFAG</v>
      </c>
      <c r="E1123" s="2" t="str">
        <f>"RELAÇÃO DE IMPRESSORAS "</f>
        <v xml:space="preserve">RELAÇÃO DE IMPRESSORAS </v>
      </c>
      <c r="F1123" s="2" t="str">
        <f>"R_AUD_CON_GRU_PRO"</f>
        <v>R_AUD_CON_GRU_PRO</v>
      </c>
      <c r="G1123" s="2" t="str">
        <f>"Faturamento / Faturamento de Convênios e Particulares / Relatórios / Gerenciais / Auditoria de Contas / Por convênio (R_AUD_CON_GRU_PRO)"</f>
        <v>Faturamento / Faturamento de Convênios e Particulares / Relatórios / Gerenciais / Auditoria de Contas / Por convênio (R_AUD_CON_GRU_PRO)</v>
      </c>
    </row>
    <row r="1124" spans="1:7" x14ac:dyDescent="0.3">
      <c r="A1124" s="1" t="s">
        <v>4</v>
      </c>
      <c r="B1124" s="2" t="str">
        <f t="shared" si="101"/>
        <v>AUDITORIA E GLOSAS</v>
      </c>
      <c r="C1124" s="2" t="str">
        <f t="shared" si="102"/>
        <v>FINAN</v>
      </c>
      <c r="D1124" s="2" t="str">
        <f t="shared" si="103"/>
        <v>FFAG</v>
      </c>
      <c r="E1124" s="2" t="str">
        <f>"RELAÇÃO DE IMPRESSORAS "</f>
        <v xml:space="preserve">RELAÇÃO DE IMPRESSORAS </v>
      </c>
      <c r="F1124" s="2" t="str">
        <f>"R_AUD_CON_GRU_PRO"</f>
        <v>R_AUD_CON_GRU_PRO</v>
      </c>
      <c r="G1124" s="2" t="str">
        <f>"Faturamento / Auditoria e Controle de Recursos de Glosas / Relatórios / Gerenciais / Auditoria de Contas / Por convênio (R_AUD_CON_GRU_PRO)"</f>
        <v>Faturamento / Auditoria e Controle de Recursos de Glosas / Relatórios / Gerenciais / Auditoria de Contas / Por convênio (R_AUD_CON_GRU_PRO)</v>
      </c>
    </row>
    <row r="1125" spans="1:7" x14ac:dyDescent="0.3">
      <c r="A1125" s="1" t="s">
        <v>4</v>
      </c>
      <c r="B1125" s="2" t="str">
        <f t="shared" si="101"/>
        <v>AUDITORIA E GLOSAS</v>
      </c>
      <c r="C1125" s="2" t="str">
        <f t="shared" si="102"/>
        <v>FINAN</v>
      </c>
      <c r="D1125" s="2" t="str">
        <f t="shared" si="103"/>
        <v>FFAG</v>
      </c>
      <c r="E1125" s="2" t="str">
        <f>"DIFERENÇA DE NOTA FISCAL"</f>
        <v>DIFERENÇA DE NOTA FISCAL</v>
      </c>
      <c r="F1125" s="2" t="str">
        <f>"M_GLOSA_NOTA_FISCAL"</f>
        <v>M_GLOSA_NOTA_FISCAL</v>
      </c>
      <c r="G1125" s="2" t="str">
        <f>" ()"</f>
        <v xml:space="preserve"> ()</v>
      </c>
    </row>
    <row r="1126" spans="1:7" x14ac:dyDescent="0.3">
      <c r="A1126" s="1" t="s">
        <v>4</v>
      </c>
      <c r="B1126" s="2" t="str">
        <f t="shared" si="101"/>
        <v>AUDITORIA E GLOSAS</v>
      </c>
      <c r="C1126" s="2" t="str">
        <f t="shared" si="102"/>
        <v>FINAN</v>
      </c>
      <c r="D1126" s="2" t="str">
        <f t="shared" si="103"/>
        <v>FFAG</v>
      </c>
      <c r="E1126" s="2" t="str">
        <f>"RECEBIMENTO DE GLOSAS"</f>
        <v>RECEBIMENTO DE GLOSAS</v>
      </c>
      <c r="F1126" s="2" t="str">
        <f>"M_RECEBE_GLOSA"</f>
        <v>M_RECEBE_GLOSA</v>
      </c>
      <c r="G1126" s="2" t="str">
        <f>"Faturamento / Auditoria e Controle de Recursos de Glosas / Lançamentos  / Recebimento de Recurso de Glosas (M_RECEBE_GLOSA)"</f>
        <v>Faturamento / Auditoria e Controle de Recursos de Glosas / Lançamentos  / Recebimento de Recurso de Glosas (M_RECEBE_GLOSA)</v>
      </c>
    </row>
    <row r="1127" spans="1:7" x14ac:dyDescent="0.3">
      <c r="A1127" s="1" t="s">
        <v>4</v>
      </c>
      <c r="B1127" s="2" t="str">
        <f t="shared" si="101"/>
        <v>AUDITORIA E GLOSAS</v>
      </c>
      <c r="C1127" s="2" t="str">
        <f t="shared" si="102"/>
        <v>FINAN</v>
      </c>
      <c r="D1127" s="2" t="str">
        <f t="shared" si="103"/>
        <v>FFAG</v>
      </c>
      <c r="E1127" s="2" t="str">
        <f>"ENTREGA DE GLOSAS"</f>
        <v>ENTREGA DE GLOSAS</v>
      </c>
      <c r="F1127" s="2" t="str">
        <f>"M_ENTREGA_GLOSA"</f>
        <v>M_ENTREGA_GLOSA</v>
      </c>
      <c r="G1127" s="2" t="str">
        <f>"Faturamento / Auditoria e Controle de Recursos de Glosas / Lançamentos  / Entrega de Recurso de Glosas (M_ENTREGA_GLOSA)"</f>
        <v>Faturamento / Auditoria e Controle de Recursos de Glosas / Lançamentos  / Entrega de Recurso de Glosas (M_ENTREGA_GLOSA)</v>
      </c>
    </row>
    <row r="1128" spans="1:7" x14ac:dyDescent="0.3">
      <c r="A1128" s="1" t="s">
        <v>4</v>
      </c>
      <c r="B1128" s="2" t="str">
        <f t="shared" si="101"/>
        <v>AUDITORIA E GLOSAS</v>
      </c>
      <c r="C1128" s="2" t="str">
        <f t="shared" si="102"/>
        <v>FINAN</v>
      </c>
      <c r="D1128" s="2" t="str">
        <f t="shared" si="103"/>
        <v>FFAG</v>
      </c>
      <c r="E1128" s="2" t="str">
        <f>"REL. DE REAPRESENTACAO DE GLOSAS"</f>
        <v>REL. DE REAPRESENTACAO DE GLOSAS</v>
      </c>
      <c r="F1128" s="2" t="str">
        <f>"R_ENTREGA_GLOSA"</f>
        <v>R_ENTREGA_GLOSA</v>
      </c>
      <c r="G1128" s="2" t="str">
        <f>"Faturamento / Faturamento de Convênios e Particulares / Relatórios / Operacionais / Recurso de Glosas (R_ENTREGA_GLOSA)"</f>
        <v>Faturamento / Faturamento de Convênios e Particulares / Relatórios / Operacionais / Recurso de Glosas (R_ENTREGA_GLOSA)</v>
      </c>
    </row>
    <row r="1129" spans="1:7" x14ac:dyDescent="0.3">
      <c r="A1129" s="1" t="s">
        <v>4</v>
      </c>
      <c r="B1129" s="2" t="str">
        <f t="shared" si="101"/>
        <v>AUDITORIA E GLOSAS</v>
      </c>
      <c r="C1129" s="2" t="str">
        <f t="shared" si="102"/>
        <v>FINAN</v>
      </c>
      <c r="D1129" s="2" t="str">
        <f t="shared" si="103"/>
        <v>FFAG</v>
      </c>
      <c r="E1129" s="2" t="str">
        <f>"REL. DE REAPRESENTACAO DE GLOSAS"</f>
        <v>REL. DE REAPRESENTACAO DE GLOSAS</v>
      </c>
      <c r="F1129" s="2" t="str">
        <f>"R_ENTREGA_GLOSA"</f>
        <v>R_ENTREGA_GLOSA</v>
      </c>
      <c r="G1129" s="2" t="str">
        <f>"Faturamento / Auditoria e Controle de Recursos de Glosas / Relatórios / Operacionais / Recurso de Glosas (R_ENTREGA_GLOSA)"</f>
        <v>Faturamento / Auditoria e Controle de Recursos de Glosas / Relatórios / Operacionais / Recurso de Glosas (R_ENTREGA_GLOSA)</v>
      </c>
    </row>
    <row r="1130" spans="1:7" x14ac:dyDescent="0.3">
      <c r="A1130" s="1" t="s">
        <v>4</v>
      </c>
      <c r="B1130" s="2" t="str">
        <f t="shared" si="101"/>
        <v>AUDITORIA E GLOSAS</v>
      </c>
      <c r="C1130" s="2" t="str">
        <f t="shared" si="102"/>
        <v>FINAN</v>
      </c>
      <c r="D1130" s="2" t="str">
        <f t="shared" si="103"/>
        <v>FFAG</v>
      </c>
      <c r="E1130" s="2" t="str">
        <f>"LANÇAMENTO DE GLOSAS"</f>
        <v>LANÇAMENTO DE GLOSAS</v>
      </c>
      <c r="F1130" s="2" t="str">
        <f>"M_GLOSAS"</f>
        <v>M_GLOSAS</v>
      </c>
      <c r="G1130" s="2" t="str">
        <f>"Faturamento / Auditoria e Controle de Recursos de Glosas / Lançamentos  / Glosas por Procedimento (M_GLOSAS)"</f>
        <v>Faturamento / Auditoria e Controle de Recursos de Glosas / Lançamentos  / Glosas por Procedimento (M_GLOSAS)</v>
      </c>
    </row>
    <row r="1131" spans="1:7" x14ac:dyDescent="0.3">
      <c r="A1131" s="1" t="s">
        <v>4</v>
      </c>
      <c r="B1131" s="2" t="str">
        <f t="shared" si="101"/>
        <v>AUDITORIA E GLOSAS</v>
      </c>
      <c r="C1131" s="2" t="str">
        <f t="shared" si="102"/>
        <v>FINAN</v>
      </c>
      <c r="D1131" s="2" t="str">
        <f t="shared" si="103"/>
        <v>FFAG</v>
      </c>
      <c r="E1131" s="2" t="str">
        <f>"CADASTRO DE JUSTIFICATIVAS DE GLOSAS"</f>
        <v>CADASTRO DE JUSTIFICATIVAS DE GLOSAS</v>
      </c>
      <c r="F1131" s="2" t="str">
        <f>"M_JUST_GLOSA"</f>
        <v>M_JUST_GLOSA</v>
      </c>
      <c r="G1131" s="2" t="str">
        <f>"Faturamento / Auditoria e Controle de Recursos de Glosas / Tabelas / Gerais / Justificativa de Glosa (M_JUST_GLOSA)"</f>
        <v>Faturamento / Auditoria e Controle de Recursos de Glosas / Tabelas / Gerais / Justificativa de Glosa (M_JUST_GLOSA)</v>
      </c>
    </row>
    <row r="1132" spans="1:7" x14ac:dyDescent="0.3">
      <c r="A1132" s="1" t="s">
        <v>4</v>
      </c>
      <c r="B1132" s="2" t="str">
        <f t="shared" si="101"/>
        <v>AUDITORIA E GLOSAS</v>
      </c>
      <c r="C1132" s="2" t="str">
        <f t="shared" si="102"/>
        <v>FINAN</v>
      </c>
      <c r="D1132" s="2" t="str">
        <f t="shared" si="103"/>
        <v>FFAG</v>
      </c>
      <c r="E1132" s="2" t="str">
        <f>"RELATÓRIO DE GLOSAS GERENCIAIS"</f>
        <v>RELATÓRIO DE GLOSAS GERENCIAIS</v>
      </c>
      <c r="F1132" s="2" t="str">
        <f>"R_GLOSA_GERENC"</f>
        <v>R_GLOSA_GERENC</v>
      </c>
      <c r="G1132" s="2" t="str">
        <f>"Faturamento / Auditoria e Controle de Recursos de Glosas / Relatórios / Gerenciais / Gerencial de Glosas (R_GLOSA_GERENC)"</f>
        <v>Faturamento / Auditoria e Controle de Recursos de Glosas / Relatórios / Gerenciais / Gerencial de Glosas (R_GLOSA_GERENC)</v>
      </c>
    </row>
    <row r="1133" spans="1:7" x14ac:dyDescent="0.3">
      <c r="A1133" s="1" t="s">
        <v>4</v>
      </c>
      <c r="B1133" s="2" t="str">
        <f t="shared" si="101"/>
        <v>AUDITORIA E GLOSAS</v>
      </c>
      <c r="C1133" s="2" t="str">
        <f t="shared" si="102"/>
        <v>FINAN</v>
      </c>
      <c r="D1133" s="2" t="str">
        <f t="shared" si="103"/>
        <v>FFAG</v>
      </c>
      <c r="E1133" s="2" t="str">
        <f>"WEBUTIL INFORMATION"</f>
        <v>WEBUTIL INFORMATION</v>
      </c>
      <c r="F1133" s="2" t="str">
        <f>"M_MOT_RECURSO_GLOSA"</f>
        <v>M_MOT_RECURSO_GLOSA</v>
      </c>
      <c r="G1133" s="2" t="str">
        <f>"Faturamento / Auditoria e Controle de Recursos de Glosas / Tabelas / Gerais / Motivo de Recurso de Glosa (M_MOT_RECURSO_GLOSA)"</f>
        <v>Faturamento / Auditoria e Controle de Recursos de Glosas / Tabelas / Gerais / Motivo de Recurso de Glosa (M_MOT_RECURSO_GLOSA)</v>
      </c>
    </row>
    <row r="1134" spans="1:7" x14ac:dyDescent="0.3">
      <c r="A1134" s="1" t="s">
        <v>4</v>
      </c>
      <c r="B1134" s="2" t="str">
        <f t="shared" si="101"/>
        <v>AUDITORIA E GLOSAS</v>
      </c>
      <c r="C1134" s="2" t="str">
        <f t="shared" si="102"/>
        <v>FINAN</v>
      </c>
      <c r="D1134" s="2" t="str">
        <f t="shared" si="103"/>
        <v>FFAG</v>
      </c>
      <c r="E1134" s="2" t="str">
        <f>"WEBUTIL INFORMATION"</f>
        <v>WEBUTIL INFORMATION</v>
      </c>
      <c r="F1134" s="2" t="str">
        <f>"M_JUSTIFICA_REC_GLOSA"</f>
        <v>M_JUSTIFICA_REC_GLOSA</v>
      </c>
      <c r="G1134" s="2" t="str">
        <f>"Faturamento / Auditoria e Controle de Recursos de Glosas / Tabelas / Gerais / Justificativa de Recurso de Glosa (M_JUSTIFICA_REC_GLOSA)"</f>
        <v>Faturamento / Auditoria e Controle de Recursos de Glosas / Tabelas / Gerais / Justificativa de Recurso de Glosa (M_JUSTIFICA_REC_GLOSA)</v>
      </c>
    </row>
    <row r="1135" spans="1:7" x14ac:dyDescent="0.3">
      <c r="A1135" s="1" t="s">
        <v>4</v>
      </c>
      <c r="B1135" s="2" t="str">
        <f t="shared" si="101"/>
        <v>AUDITORIA E GLOSAS</v>
      </c>
      <c r="C1135" s="2" t="str">
        <f t="shared" si="102"/>
        <v>FINAN</v>
      </c>
      <c r="D1135" s="2" t="str">
        <f t="shared" si="103"/>
        <v>FFAG</v>
      </c>
      <c r="E1135" s="2" t="str">
        <f>"WEBUTIL INFORMATION"</f>
        <v>WEBUTIL INFORMATION</v>
      </c>
      <c r="F1135" s="2" t="str">
        <f>"R_ANALITICO_GLOSA"</f>
        <v>R_ANALITICO_GLOSA</v>
      </c>
      <c r="G1135" s="2" t="str">
        <f>"Faturamento / Auditoria e Controle de Recursos de Glosas / Relatórios / Administrativos / Justificativa / Motivo / Recurso de Glosa / Analítico de Justificativa de Glosa (R_ANALITICO_GLOSA)"</f>
        <v>Faturamento / Auditoria e Controle de Recursos de Glosas / Relatórios / Administrativos / Justificativa / Motivo / Recurso de Glosa / Analítico de Justificativa de Glosa (R_ANALITICO_GLOSA)</v>
      </c>
    </row>
    <row r="1136" spans="1:7" x14ac:dyDescent="0.3">
      <c r="A1136" s="1" t="s">
        <v>4</v>
      </c>
      <c r="B1136" s="2" t="str">
        <f t="shared" si="101"/>
        <v>AUDITORIA E GLOSAS</v>
      </c>
      <c r="C1136" s="2" t="str">
        <f t="shared" si="102"/>
        <v>FINAN</v>
      </c>
      <c r="D1136" s="2" t="str">
        <f t="shared" si="103"/>
        <v>FFAG</v>
      </c>
      <c r="E1136" s="2" t="str">
        <f>"WIN_PRINCIPAL"</f>
        <v>WIN_PRINCIPAL</v>
      </c>
      <c r="F1136" s="2" t="str">
        <f>"R_SINTE_GLOSA"</f>
        <v>R_SINTE_GLOSA</v>
      </c>
      <c r="G1136" s="2" t="str">
        <f>"Faturamento / Auditoria e Controle de Recursos de Glosas / Relatórios / Administrativos / Justificativa / Motivo / Recurso de Glosa / Sintético de Motivo de Glosa (R_SINTE_GLOSA)"</f>
        <v>Faturamento / Auditoria e Controle de Recursos de Glosas / Relatórios / Administrativos / Justificativa / Motivo / Recurso de Glosa / Sintético de Motivo de Glosa (R_SINTE_GLOSA)</v>
      </c>
    </row>
    <row r="1137" spans="1:7" x14ac:dyDescent="0.3">
      <c r="A1137" s="1" t="s">
        <v>4</v>
      </c>
      <c r="B1137" s="2" t="str">
        <f t="shared" si="101"/>
        <v>AUDITORIA E GLOSAS</v>
      </c>
      <c r="C1137" s="2" t="str">
        <f t="shared" si="102"/>
        <v>FINAN</v>
      </c>
      <c r="D1137" s="2" t="str">
        <f t="shared" si="103"/>
        <v>FFAG</v>
      </c>
      <c r="E1137" s="2" t="str">
        <f>"REL. DA TABELA DE MOTIVO DE AUDITORIA"</f>
        <v>REL. DA TABELA DE MOTIVO DE AUDITORIA</v>
      </c>
      <c r="F1137" s="2" t="str">
        <f>"R_MOTIVO_AUDITORIA"</f>
        <v>R_MOTIVO_AUDITORIA</v>
      </c>
      <c r="G1137" s="2" t="str">
        <f>"Faturamento / Auditoria e Controle de Recursos de Glosas / Relatórios / Tabelas / Gerais / Motivo de Auditoria (R_MOTIVO_AUDITORIA)"</f>
        <v>Faturamento / Auditoria e Controle de Recursos de Glosas / Relatórios / Tabelas / Gerais / Motivo de Auditoria (R_MOTIVO_AUDITORIA)</v>
      </c>
    </row>
    <row r="1138" spans="1:7" x14ac:dyDescent="0.3">
      <c r="A1138" s="1" t="s">
        <v>4</v>
      </c>
      <c r="B1138" s="2" t="str">
        <f t="shared" si="101"/>
        <v>AUDITORIA E GLOSAS</v>
      </c>
      <c r="C1138" s="2" t="str">
        <f t="shared" si="102"/>
        <v>FINAN</v>
      </c>
      <c r="D1138" s="2" t="str">
        <f t="shared" si="103"/>
        <v>FFAG</v>
      </c>
      <c r="E1138" s="2" t="str">
        <f>"CANCELAMENTO DE GLOSAS"</f>
        <v>CANCELAMENTO DE GLOSAS</v>
      </c>
      <c r="F1138" s="2" t="str">
        <f>"M_CANCELA_GLOSA"</f>
        <v>M_CANCELA_GLOSA</v>
      </c>
      <c r="G1138" s="2" t="str">
        <f>"Faturamento / Auditoria e Controle de Recursos de Glosas / Lançamentos  / Cancelamento de Recurso de Glosas (M_CANCELA_GLOSA)"</f>
        <v>Faturamento / Auditoria e Controle de Recursos de Glosas / Lançamentos  / Cancelamento de Recurso de Glosas (M_CANCELA_GLOSA)</v>
      </c>
    </row>
    <row r="1139" spans="1:7" x14ac:dyDescent="0.3">
      <c r="A1139" s="1" t="s">
        <v>4</v>
      </c>
      <c r="B1139" s="2" t="str">
        <f t="shared" si="101"/>
        <v>AUDITORIA E GLOSAS</v>
      </c>
      <c r="C1139" s="2" t="str">
        <f t="shared" si="102"/>
        <v>FINAN</v>
      </c>
      <c r="D1139" s="2" t="str">
        <f t="shared" si="103"/>
        <v>FFAG</v>
      </c>
      <c r="E1139" s="2" t="str">
        <f>"RELATÓRIO DE GLOSAS POR MOTIVO"</f>
        <v>RELATÓRIO DE GLOSAS POR MOTIVO</v>
      </c>
      <c r="F1139" s="2" t="str">
        <f>"R_GLOSA_SITUACAO"</f>
        <v>R_GLOSA_SITUACAO</v>
      </c>
      <c r="G1139" s="2" t="str">
        <f>"Faturamento / Auditoria e Controle de Recursos de Glosas / Relatórios / Administrativos / Glosas / por Situação (R_GLOSA_SITUACAO)"</f>
        <v>Faturamento / Auditoria e Controle de Recursos de Glosas / Relatórios / Administrativos / Glosas / por Situação (R_GLOSA_SITUACAO)</v>
      </c>
    </row>
    <row r="1140" spans="1:7" x14ac:dyDescent="0.3">
      <c r="A1140" s="1" t="s">
        <v>4</v>
      </c>
      <c r="B1140" s="2" t="str">
        <f t="shared" si="101"/>
        <v>AUDITORIA E GLOSAS</v>
      </c>
      <c r="C1140" s="2" t="str">
        <f t="shared" si="102"/>
        <v>FINAN</v>
      </c>
      <c r="D1140" s="2" t="str">
        <f t="shared" si="103"/>
        <v>FFAG</v>
      </c>
      <c r="E1140" s="2" t="str">
        <f>"CADASTRO: MOTIVOS DE AUDITORIA"</f>
        <v>CADASTRO: MOTIVOS DE AUDITORIA</v>
      </c>
      <c r="F1140" s="2" t="str">
        <f>"M_MOTIVO_AUDITORIA"</f>
        <v>M_MOTIVO_AUDITORIA</v>
      </c>
      <c r="G1140" s="2" t="str">
        <f>"Faturamento / Auditoria e Controle de Recursos de Glosas / Tabelas / Gerais / Motivo de Auditoria (M_MOTIVO_AUDITORIA)"</f>
        <v>Faturamento / Auditoria e Controle de Recursos de Glosas / Tabelas / Gerais / Motivo de Auditoria (M_MOTIVO_AUDITORIA)</v>
      </c>
    </row>
    <row r="1141" spans="1:7" x14ac:dyDescent="0.3">
      <c r="A1141" s="1" t="s">
        <v>4</v>
      </c>
      <c r="B1141" s="2" t="str">
        <f t="shared" si="101"/>
        <v>AUDITORIA E GLOSAS</v>
      </c>
      <c r="C1141" s="2" t="str">
        <f t="shared" si="102"/>
        <v>FINAN</v>
      </c>
      <c r="D1141" s="2" t="str">
        <f t="shared" si="103"/>
        <v>FFAG</v>
      </c>
      <c r="E1141" s="2" t="str">
        <f>"M_GLOSA_GRU_PRO"</f>
        <v>M_GLOSA_GRU_PRO</v>
      </c>
      <c r="F1141" s="2" t="str">
        <f>"M_GLOSA_GRU_PRO"</f>
        <v>M_GLOSA_GRU_PRO</v>
      </c>
      <c r="G1141" s="2" t="str">
        <f>"Faturamento / Auditoria e Controle de Recursos de Glosas / Lançamentos  / Glosas por Grupo de Procedimento (M_GLOSA_GRU_PRO)"</f>
        <v>Faturamento / Auditoria e Controle de Recursos de Glosas / Lançamentos  / Glosas por Grupo de Procedimento (M_GLOSA_GRU_PRO)</v>
      </c>
    </row>
    <row r="1142" spans="1:7" x14ac:dyDescent="0.3">
      <c r="A1142" s="1" t="s">
        <v>4</v>
      </c>
      <c r="B1142" s="2" t="str">
        <f t="shared" si="101"/>
        <v>AUDITORIA E GLOSAS</v>
      </c>
      <c r="C1142" s="2" t="str">
        <f t="shared" si="102"/>
        <v>FINAN</v>
      </c>
      <c r="D1142" s="2" t="str">
        <f t="shared" si="103"/>
        <v>FFAG</v>
      </c>
      <c r="E1142" s="2" t="str">
        <f>"REGISTRO DE RECURSO DE GLOSAS"</f>
        <v>REGISTRO DE RECURSO DE GLOSAS</v>
      </c>
      <c r="F1142" s="2" t="str">
        <f>"M_REGISTRO_RECURSO_GLOSA"</f>
        <v>M_REGISTRO_RECURSO_GLOSA</v>
      </c>
      <c r="G1142" s="2" t="str">
        <f>"Faturamento / Auditoria e Controle de Recursos de Glosas / Lançamentos  / Registro de Recurso de Glosas (M_REGISTRO_RECURSO_GLOSA)"</f>
        <v>Faturamento / Auditoria e Controle de Recursos de Glosas / Lançamentos  / Registro de Recurso de Glosas (M_REGISTRO_RECURSO_GLOSA)</v>
      </c>
    </row>
    <row r="1143" spans="1:7" x14ac:dyDescent="0.3">
      <c r="A1143" s="1" t="s">
        <v>4</v>
      </c>
      <c r="B1143" s="2" t="str">
        <f t="shared" si="101"/>
        <v>AUDITORIA E GLOSAS</v>
      </c>
      <c r="C1143" s="2" t="str">
        <f t="shared" si="102"/>
        <v>FINAN</v>
      </c>
      <c r="D1143" s="2" t="str">
        <f t="shared" si="103"/>
        <v>FFAG</v>
      </c>
      <c r="E1143" s="2" t="str">
        <f>"R_GLOSA_CONV_297"</f>
        <v>R_GLOSA_CONV_297</v>
      </c>
      <c r="F1143" s="2" t="str">
        <f>"R_GLOSA_CONV_297"</f>
        <v>R_GLOSA_CONV_297</v>
      </c>
      <c r="G1143" s="2" t="str">
        <f t="shared" ref="G1143:G1148" si="106">" ()"</f>
        <v xml:space="preserve"> ()</v>
      </c>
    </row>
    <row r="1144" spans="1:7" x14ac:dyDescent="0.3">
      <c r="A1144" s="1" t="s">
        <v>4</v>
      </c>
      <c r="B1144" s="2" t="str">
        <f t="shared" si="101"/>
        <v>AUDITORIA E GLOSAS</v>
      </c>
      <c r="C1144" s="2" t="str">
        <f t="shared" si="102"/>
        <v>FINAN</v>
      </c>
      <c r="D1144" s="2" t="str">
        <f t="shared" si="103"/>
        <v>FFAG</v>
      </c>
      <c r="E1144" s="2" t="str">
        <f>"FFAG"</f>
        <v>FFAG</v>
      </c>
      <c r="F1144" s="2" t="str">
        <f>"FFAG"</f>
        <v>FFAG</v>
      </c>
      <c r="G1144" s="2" t="str">
        <f t="shared" si="106"/>
        <v xml:space="preserve"> ()</v>
      </c>
    </row>
    <row r="1145" spans="1:7" x14ac:dyDescent="0.3">
      <c r="A1145" s="1" t="s">
        <v>4</v>
      </c>
      <c r="B1145" s="2" t="str">
        <f t="shared" si="101"/>
        <v>AUDITORIA E GLOSAS</v>
      </c>
      <c r="C1145" s="2" t="str">
        <f t="shared" si="102"/>
        <v>FINAN</v>
      </c>
      <c r="D1145" s="2" t="str">
        <f t="shared" si="103"/>
        <v>FFAG</v>
      </c>
      <c r="E1145" s="2" t="str">
        <f>"REL. DE GLOSAS POR SITUAÇÃO"</f>
        <v>REL. DE GLOSAS POR SITUAÇÃO</v>
      </c>
      <c r="F1145" s="2" t="str">
        <f>"R_GLOSA_SITUACAO.RDF"</f>
        <v>R_GLOSA_SITUACAO.RDF</v>
      </c>
      <c r="G1145" s="2" t="str">
        <f t="shared" si="106"/>
        <v xml:space="preserve"> ()</v>
      </c>
    </row>
    <row r="1146" spans="1:7" x14ac:dyDescent="0.3">
      <c r="A1146" s="1" t="s">
        <v>4</v>
      </c>
      <c r="B1146" s="2" t="str">
        <f t="shared" si="101"/>
        <v>AUDITORIA E GLOSAS</v>
      </c>
      <c r="C1146" s="2" t="str">
        <f t="shared" si="102"/>
        <v>FINAN</v>
      </c>
      <c r="D1146" s="2" t="str">
        <f t="shared" si="103"/>
        <v>FFAG</v>
      </c>
      <c r="E1146" s="2" t="str">
        <f>"REL. DE AUDITORIA DE CONTA POR GRUPO"</f>
        <v>REL. DE AUDITORIA DE CONTA POR GRUPO</v>
      </c>
      <c r="F1146" s="2" t="str">
        <f>"R_AUDITORIA_PROC.RDF"</f>
        <v>R_AUDITORIA_PROC.RDF</v>
      </c>
      <c r="G1146" s="2" t="str">
        <f t="shared" si="106"/>
        <v xml:space="preserve"> ()</v>
      </c>
    </row>
    <row r="1147" spans="1:7" x14ac:dyDescent="0.3">
      <c r="A1147" s="1" t="s">
        <v>4</v>
      </c>
      <c r="B1147" s="2" t="str">
        <f t="shared" si="101"/>
        <v>AUDITORIA E GLOSAS</v>
      </c>
      <c r="C1147" s="2" t="str">
        <f t="shared" si="102"/>
        <v>FINAN</v>
      </c>
      <c r="D1147" s="2" t="str">
        <f t="shared" si="103"/>
        <v>FFAG</v>
      </c>
      <c r="E1147" s="2" t="str">
        <f>"REL. DE GLOSA PRÉ-ACEITA"</f>
        <v>REL. DE GLOSA PRÉ-ACEITA</v>
      </c>
      <c r="F1147" s="2" t="str">
        <f>"R_GLOSA_PRE_ACEITA.RDF"</f>
        <v>R_GLOSA_PRE_ACEITA.RDF</v>
      </c>
      <c r="G1147" s="2" t="str">
        <f t="shared" si="106"/>
        <v xml:space="preserve"> ()</v>
      </c>
    </row>
    <row r="1148" spans="1:7" x14ac:dyDescent="0.3">
      <c r="A1148" s="1" t="s">
        <v>4</v>
      </c>
      <c r="B1148" s="2" t="str">
        <f t="shared" si="101"/>
        <v>AUDITORIA E GLOSAS</v>
      </c>
      <c r="C1148" s="2" t="str">
        <f t="shared" si="102"/>
        <v>FINAN</v>
      </c>
      <c r="D1148" s="2" t="str">
        <f t="shared" si="103"/>
        <v>FFAG</v>
      </c>
      <c r="E1148" s="2" t="str">
        <f>"RELATÓRIO DE RECURSO DE GLOSAS"</f>
        <v>RELATÓRIO DE RECURSO DE GLOSAS</v>
      </c>
      <c r="F1148" s="2" t="str">
        <f>"R_ENTREGA_GLOSA.RDF"</f>
        <v>R_ENTREGA_GLOSA.RDF</v>
      </c>
      <c r="G1148" s="2" t="str">
        <f t="shared" si="106"/>
        <v xml:space="preserve"> ()</v>
      </c>
    </row>
    <row r="1149" spans="1:7" x14ac:dyDescent="0.3">
      <c r="A1149" s="1" t="s">
        <v>4</v>
      </c>
      <c r="B1149" s="2" t="str">
        <f t="shared" si="101"/>
        <v>AUDITORIA E GLOSAS</v>
      </c>
      <c r="C1149" s="2" t="str">
        <f t="shared" si="102"/>
        <v>FINAN</v>
      </c>
      <c r="D1149" s="2" t="str">
        <f t="shared" si="103"/>
        <v>FFAG</v>
      </c>
      <c r="E1149" s="2" t="str">
        <f>"GLOSAS POR PRESTADOR"</f>
        <v>GLOSAS POR PRESTADOR</v>
      </c>
      <c r="F1149" s="2" t="str">
        <f>"R_GLOSA_PRESTADOR"</f>
        <v>R_GLOSA_PRESTADOR</v>
      </c>
      <c r="G1149" s="2" t="str">
        <f>"Faturamento / Auditoria e Controle de Recursos de Glosas / Relatórios / Administrativos / Justificativa / Motivo / Recurso de Glosa / Glosa por Prestador (R_GLOSA_PRESTADOR)"</f>
        <v>Faturamento / Auditoria e Controle de Recursos de Glosas / Relatórios / Administrativos / Justificativa / Motivo / Recurso de Glosa / Glosa por Prestador (R_GLOSA_PRESTADOR)</v>
      </c>
    </row>
    <row r="1150" spans="1:7" x14ac:dyDescent="0.3">
      <c r="A1150" s="1" t="s">
        <v>4</v>
      </c>
      <c r="B1150" s="2" t="str">
        <f t="shared" si="101"/>
        <v>AUDITORIA E GLOSAS</v>
      </c>
      <c r="C1150" s="2" t="str">
        <f t="shared" si="102"/>
        <v>FINAN</v>
      </c>
      <c r="D1150" s="2" t="str">
        <f t="shared" si="103"/>
        <v>FFAG</v>
      </c>
      <c r="E1150" s="2" t="str">
        <f>"GLOSAS POR PRESTADOR"</f>
        <v>GLOSAS POR PRESTADOR</v>
      </c>
      <c r="F1150" s="2" t="str">
        <f>"R_GLOSA_PRESTADOR"</f>
        <v>R_GLOSA_PRESTADOR</v>
      </c>
      <c r="G1150" s="2" t="str">
        <f>"Faturamento / Auditoria e Controle de Recursos de Glosas / Relatórios / Administrativos / Glosas / por Prestador (R_GLOSA_PRESTADOR)"</f>
        <v>Faturamento / Auditoria e Controle de Recursos de Glosas / Relatórios / Administrativos / Glosas / por Prestador (R_GLOSA_PRESTADOR)</v>
      </c>
    </row>
    <row r="1151" spans="1:7" x14ac:dyDescent="0.3">
      <c r="A1151" s="1" t="s">
        <v>4</v>
      </c>
      <c r="B1151" s="2" t="str">
        <f t="shared" si="101"/>
        <v>AUDITORIA E GLOSAS</v>
      </c>
      <c r="C1151" s="2" t="str">
        <f t="shared" si="102"/>
        <v>FINAN</v>
      </c>
      <c r="D1151" s="2" t="str">
        <f t="shared" si="103"/>
        <v>FFAG</v>
      </c>
      <c r="E1151" s="2" t="str">
        <f>"GLOSAS POR MOTIVO"</f>
        <v>GLOSAS POR MOTIVO</v>
      </c>
      <c r="F1151" s="2" t="str">
        <f>"R_GLOSA_MOTIVO"</f>
        <v>R_GLOSA_MOTIVO</v>
      </c>
      <c r="G1151" s="2" t="str">
        <f>"Faturamento / Auditoria e Controle de Recursos de Glosas / Relatórios / Administrativos / Glosas / por Motivo (R_GLOSA_MOTIVO)"</f>
        <v>Faturamento / Auditoria e Controle de Recursos de Glosas / Relatórios / Administrativos / Glosas / por Motivo (R_GLOSA_MOTIVO)</v>
      </c>
    </row>
    <row r="1152" spans="1:7" x14ac:dyDescent="0.3">
      <c r="A1152" s="1" t="s">
        <v>4</v>
      </c>
      <c r="B1152" s="2" t="str">
        <f t="shared" si="101"/>
        <v>AUDITORIA E GLOSAS</v>
      </c>
      <c r="C1152" s="2" t="str">
        <f t="shared" si="102"/>
        <v>FINAN</v>
      </c>
      <c r="D1152" s="2" t="str">
        <f t="shared" si="103"/>
        <v>FFAG</v>
      </c>
      <c r="E1152" s="2" t="str">
        <f>"GLOSAS POR CONVÊNIO"</f>
        <v>GLOSAS POR CONVÊNIO</v>
      </c>
      <c r="F1152" s="2" t="str">
        <f>"R_GLOSA_CONV"</f>
        <v>R_GLOSA_CONV</v>
      </c>
      <c r="G1152" s="2" t="str">
        <f>"Faturamento / Auditoria e Controle de Recursos de Glosas / Relatórios / Administrativos / Glosas / por Convênio (R_GLOSA_CONV)"</f>
        <v>Faturamento / Auditoria e Controle de Recursos de Glosas / Relatórios / Administrativos / Glosas / por Convênio (R_GLOSA_CONV)</v>
      </c>
    </row>
    <row r="1153" spans="1:7" x14ac:dyDescent="0.3">
      <c r="A1153" s="1" t="s">
        <v>4</v>
      </c>
      <c r="B1153" s="2" t="str">
        <f t="shared" si="101"/>
        <v>AUDITORIA E GLOSAS</v>
      </c>
      <c r="C1153" s="2" t="str">
        <f t="shared" si="102"/>
        <v>FINAN</v>
      </c>
      <c r="D1153" s="2" t="str">
        <f t="shared" si="103"/>
        <v>FFAG</v>
      </c>
      <c r="E1153" s="2" t="str">
        <f>"TABELAS - GERAIS - MOTIVO DE GLOSA"</f>
        <v>TABELAS - GERAIS - MOTIVO DE GLOSA</v>
      </c>
      <c r="F1153" s="2" t="str">
        <f>"M_MOT_GLOSA"</f>
        <v>M_MOT_GLOSA</v>
      </c>
      <c r="G1153" s="2" t="str">
        <f>"Faturamento / Auditoria e Controle de Recursos de Glosas / Tabelas / Gerais / Motivo de Glosa (M_MOT_GLOSA)"</f>
        <v>Faturamento / Auditoria e Controle de Recursos de Glosas / Tabelas / Gerais / Motivo de Glosa (M_MOT_GLOSA)</v>
      </c>
    </row>
    <row r="1154" spans="1:7" x14ac:dyDescent="0.3">
      <c r="A1154" s="1" t="s">
        <v>4</v>
      </c>
      <c r="B1154" s="2" t="str">
        <f t="shared" si="101"/>
        <v>AUDITORIA E GLOSAS</v>
      </c>
      <c r="C1154" s="2" t="str">
        <f t="shared" si="102"/>
        <v>FINAN</v>
      </c>
      <c r="D1154" s="2" t="str">
        <f t="shared" si="103"/>
        <v>FFAG</v>
      </c>
      <c r="E1154" s="2" t="str">
        <f>"WIN_PRINCIPAL"</f>
        <v>WIN_PRINCIPAL</v>
      </c>
      <c r="F1154" s="2" t="str">
        <f>"R_SINTE_RECURSO"</f>
        <v>R_SINTE_RECURSO</v>
      </c>
      <c r="G1154" s="2" t="str">
        <f>"Faturamento / Auditoria e Controle de Recursos de Glosas / Relatórios / Administrativos / Justificativa / Motivo / Recurso de Glosa / Sintético de Motivo de Recurso (R_SINTE_RECURSO)"</f>
        <v>Faturamento / Auditoria e Controle de Recursos de Glosas / Relatórios / Administrativos / Justificativa / Motivo / Recurso de Glosa / Sintético de Motivo de Recurso (R_SINTE_RECURSO)</v>
      </c>
    </row>
    <row r="1155" spans="1:7" x14ac:dyDescent="0.3">
      <c r="A1155" s="1" t="s">
        <v>4</v>
      </c>
      <c r="B1155" s="2" t="str">
        <f t="shared" si="101"/>
        <v>AUDITORIA E GLOSAS</v>
      </c>
      <c r="C1155" s="2" t="str">
        <f t="shared" si="102"/>
        <v>FINAN</v>
      </c>
      <c r="D1155" s="2" t="str">
        <f t="shared" si="103"/>
        <v>FFAG</v>
      </c>
      <c r="E1155" s="2" t="str">
        <f>"RELATÓRIO DE GLOSAS POR SITUAÇÃO"</f>
        <v>RELATÓRIO DE GLOSAS POR SITUAÇÃO</v>
      </c>
      <c r="F1155" s="2" t="str">
        <f>"R_ANALI_RECUR_GLOSA"</f>
        <v>R_ANALI_RECUR_GLOSA</v>
      </c>
      <c r="G1155" s="2" t="str">
        <f>"Faturamento / Auditoria e Controle de Recursos de Glosas / Relatórios / Administrativos / Justificativa / Motivo / Recurso de Glosa / Analítico de Justif. de Recurso de Glosa (R_ANALI_RECUR_GLOSA)"</f>
        <v>Faturamento / Auditoria e Controle de Recursos de Glosas / Relatórios / Administrativos / Justificativa / Motivo / Recurso de Glosa / Analítico de Justif. de Recurso de Glosa (R_ANALI_RECUR_GLOSA)</v>
      </c>
    </row>
    <row r="1156" spans="1:7" x14ac:dyDescent="0.3">
      <c r="A1156" s="1" t="s">
        <v>4</v>
      </c>
      <c r="B1156" s="2" t="str">
        <f t="shared" si="101"/>
        <v>AUDITORIA E GLOSAS</v>
      </c>
      <c r="C1156" s="2" t="str">
        <f t="shared" si="102"/>
        <v>FINAN</v>
      </c>
      <c r="D1156" s="2" t="str">
        <f t="shared" si="103"/>
        <v>FFAG</v>
      </c>
      <c r="E1156" s="2" t="str">
        <f>"WIN_PRINCIPAL"</f>
        <v>WIN_PRINCIPAL</v>
      </c>
      <c r="F1156" s="2" t="str">
        <f>"R_SINTE_GLOSA_RECURSO"</f>
        <v>R_SINTE_GLOSA_RECURSO</v>
      </c>
      <c r="G1156" s="2" t="str">
        <f>"Faturamento / Auditoria e Controle de Recursos de Glosas / Relatórios / Administrativos / Justificativa / Motivo / Recurso de Glosa / Sintético de Justif. de Glosa por Recurso (R_SINTE_GLOSA_RECURSO)"</f>
        <v>Faturamento / Auditoria e Controle de Recursos de Glosas / Relatórios / Administrativos / Justificativa / Motivo / Recurso de Glosa / Sintético de Justif. de Glosa por Recurso (R_SINTE_GLOSA_RECURSO)</v>
      </c>
    </row>
    <row r="1157" spans="1:7" x14ac:dyDescent="0.3">
      <c r="A1157" s="1" t="s">
        <v>4</v>
      </c>
      <c r="B1157" s="2" t="str">
        <f t="shared" si="101"/>
        <v>AUDITORIA E GLOSAS</v>
      </c>
      <c r="C1157" s="2" t="str">
        <f t="shared" si="102"/>
        <v>FINAN</v>
      </c>
      <c r="D1157" s="2" t="str">
        <f t="shared" si="103"/>
        <v>FFAG</v>
      </c>
      <c r="E1157" s="2" t="str">
        <f>"RELATÓRIO GERENCIAL DE GLOSAS"</f>
        <v>RELATÓRIO GERENCIAL DE GLOSAS</v>
      </c>
      <c r="F1157" s="2" t="str">
        <f>"R_GLOSA_GERENC.RDF"</f>
        <v>R_GLOSA_GERENC.RDF</v>
      </c>
      <c r="G1157" s="2" t="str">
        <f>" ()"</f>
        <v xml:space="preserve"> ()</v>
      </c>
    </row>
    <row r="1158" spans="1:7" x14ac:dyDescent="0.3">
      <c r="A1158" s="1" t="s">
        <v>4</v>
      </c>
      <c r="B1158" s="2" t="str">
        <f t="shared" si="101"/>
        <v>AUDITORIA E GLOSAS</v>
      </c>
      <c r="C1158" s="2" t="str">
        <f t="shared" si="102"/>
        <v>FINAN</v>
      </c>
      <c r="D1158" s="2" t="str">
        <f t="shared" si="103"/>
        <v>FFAG</v>
      </c>
      <c r="E1158" s="2" t="str">
        <f>"REL. GERENCIAL DE AUDITORIA DE CONTAS"</f>
        <v>REL. GERENCIAL DE AUDITORIA DE CONTAS</v>
      </c>
      <c r="F1158" s="2" t="str">
        <f>"R_AUD_CON_GRU_PRO.RDF"</f>
        <v>R_AUD_CON_GRU_PRO.RDF</v>
      </c>
      <c r="G1158" s="2" t="str">
        <f>" ()"</f>
        <v xml:space="preserve"> ()</v>
      </c>
    </row>
    <row r="1159" spans="1:7" x14ac:dyDescent="0.3">
      <c r="A1159" s="1" t="s">
        <v>4</v>
      </c>
      <c r="B1159" s="2" t="str">
        <f t="shared" si="101"/>
        <v>AUDITORIA E GLOSAS</v>
      </c>
      <c r="C1159" s="2" t="str">
        <f t="shared" si="102"/>
        <v>FINAN</v>
      </c>
      <c r="D1159" s="2" t="str">
        <f t="shared" si="103"/>
        <v>FFAG</v>
      </c>
      <c r="E1159" s="2" t="str">
        <f>"REL. ANÁLISE EVOLUTIVA DE GLOSAS"</f>
        <v>REL. ANÁLISE EVOLUTIVA DE GLOSAS</v>
      </c>
      <c r="F1159" s="2" t="str">
        <f>"R_13_GLOSAS.RDF"</f>
        <v>R_13_GLOSAS.RDF</v>
      </c>
      <c r="G1159" s="2" t="str">
        <f>" ()"</f>
        <v xml:space="preserve"> ()</v>
      </c>
    </row>
    <row r="1160" spans="1:7" x14ac:dyDescent="0.3">
      <c r="A1160" s="1" t="s">
        <v>4</v>
      </c>
      <c r="B1160" s="2" t="str">
        <f t="shared" si="101"/>
        <v>AUDITORIA E GLOSAS</v>
      </c>
      <c r="C1160" s="2" t="str">
        <f t="shared" si="102"/>
        <v>FINAN</v>
      </c>
      <c r="D1160" s="2" t="str">
        <f t="shared" si="103"/>
        <v>FFAG</v>
      </c>
      <c r="E1160" s="2" t="str">
        <f>"M_FFAG"</f>
        <v>M_FFAG</v>
      </c>
      <c r="F1160" s="2" t="str">
        <f>"M_FFAG"</f>
        <v>M_FFAG</v>
      </c>
      <c r="G1160" s="2" t="str">
        <f>" ()"</f>
        <v xml:space="preserve"> ()</v>
      </c>
    </row>
    <row r="1161" spans="1:7" x14ac:dyDescent="0.3">
      <c r="A1161" s="1" t="s">
        <v>4</v>
      </c>
      <c r="B1161" s="2" t="str">
        <f t="shared" si="101"/>
        <v>AUDITORIA E GLOSAS</v>
      </c>
      <c r="C1161" s="2" t="str">
        <f t="shared" si="102"/>
        <v>FINAN</v>
      </c>
      <c r="D1161" s="2" t="str">
        <f t="shared" si="103"/>
        <v>FFAG</v>
      </c>
      <c r="E1161" s="2" t="str">
        <f>"R_GLOSAS_PREST_297"</f>
        <v>R_GLOSAS_PREST_297</v>
      </c>
      <c r="F1161" s="2" t="str">
        <f>"R_GLOSAS_PREST_297"</f>
        <v>R_GLOSAS_PREST_297</v>
      </c>
      <c r="G1161" s="2" t="str">
        <f>" ()"</f>
        <v xml:space="preserve"> ()</v>
      </c>
    </row>
    <row r="1162" spans="1:7" x14ac:dyDescent="0.3">
      <c r="A1162" s="1" t="s">
        <v>4</v>
      </c>
      <c r="B1162" s="2" t="str">
        <f t="shared" si="101"/>
        <v>AUDITORIA E GLOSAS</v>
      </c>
      <c r="C1162" s="2" t="str">
        <f t="shared" si="102"/>
        <v>FINAN</v>
      </c>
      <c r="D1162" s="2" t="str">
        <f t="shared" si="103"/>
        <v>FFAG</v>
      </c>
      <c r="E1162" s="2" t="str">
        <f>"RELATÓRIO DE GLOSA PRÉ ACEITA"</f>
        <v>RELATÓRIO DE GLOSA PRÉ ACEITA</v>
      </c>
      <c r="F1162" s="2" t="str">
        <f>"R_GLOSA_PRE_ACEITA"</f>
        <v>R_GLOSA_PRE_ACEITA</v>
      </c>
      <c r="G1162" s="2" t="str">
        <f>"Faturamento / Auditoria e Controle de Recursos de Glosas / Relatórios / Operacionais / Glosas Pré-Aceitas (R_GLOSA_PRE_ACEITA)"</f>
        <v>Faturamento / Auditoria e Controle de Recursos de Glosas / Relatórios / Operacionais / Glosas Pré-Aceitas (R_GLOSA_PRE_ACEITA)</v>
      </c>
    </row>
    <row r="1163" spans="1:7" x14ac:dyDescent="0.3">
      <c r="A1163" s="1" t="s">
        <v>4</v>
      </c>
      <c r="B1163" s="2" t="str">
        <f t="shared" si="101"/>
        <v>AUDITORIA E GLOSAS</v>
      </c>
      <c r="C1163" s="2" t="str">
        <f t="shared" si="102"/>
        <v>FINAN</v>
      </c>
      <c r="D1163" s="2" t="str">
        <f t="shared" si="103"/>
        <v>FFAG</v>
      </c>
      <c r="E1163" s="2" t="str">
        <f>"R_GLOSA_CONV_SINT"</f>
        <v>R_GLOSA_CONV_SINT</v>
      </c>
      <c r="F1163" s="2" t="str">
        <f>"R_GLOSA_CONV_SINT"</f>
        <v>R_GLOSA_CONV_SINT</v>
      </c>
      <c r="G1163" s="2" t="str">
        <f>" ()"</f>
        <v xml:space="preserve"> ()</v>
      </c>
    </row>
    <row r="1164" spans="1:7" x14ac:dyDescent="0.3">
      <c r="A1164" s="1" t="s">
        <v>4</v>
      </c>
      <c r="B1164" s="2" t="str">
        <f t="shared" si="101"/>
        <v>AUDITORIA E GLOSAS</v>
      </c>
      <c r="C1164" s="2" t="str">
        <f t="shared" si="102"/>
        <v>FINAN</v>
      </c>
      <c r="D1164" s="2" t="str">
        <f t="shared" si="103"/>
        <v>FFAG</v>
      </c>
      <c r="E1164" s="2" t="str">
        <f>"CONFIGURAÇÕES DO SISTEMA"</f>
        <v>CONFIGURAÇÕES DO SISTEMA</v>
      </c>
      <c r="F1164" s="2" t="str">
        <f>"M_CONFIG_FFAG"</f>
        <v>M_CONFIG_FFAG</v>
      </c>
      <c r="G1164" s="2" t="str">
        <f>"Faturamento / Auditoria e Controle de Recursos de Glosas / Configurações / Parâmetros (M_CONFIG_FFAG)"</f>
        <v>Faturamento / Auditoria e Controle de Recursos de Glosas / Configurações / Parâmetros (M_CONFIG_FFAG)</v>
      </c>
    </row>
    <row r="1165" spans="1:7" x14ac:dyDescent="0.3">
      <c r="A1165" s="1" t="s">
        <v>4</v>
      </c>
      <c r="B1165" s="2" t="str">
        <f t="shared" si="101"/>
        <v>AUDITORIA E GLOSAS</v>
      </c>
      <c r="C1165" s="2" t="str">
        <f t="shared" si="102"/>
        <v>FINAN</v>
      </c>
      <c r="D1165" s="2" t="str">
        <f t="shared" si="103"/>
        <v>FFAG</v>
      </c>
      <c r="E1165" s="2" t="str">
        <f>"M_ACEITE_GLOSA"</f>
        <v>M_ACEITE_GLOSA</v>
      </c>
      <c r="F1165" s="2" t="str">
        <f>"M_ACEITE_GLOSA"</f>
        <v>M_ACEITE_GLOSA</v>
      </c>
      <c r="G1165" s="2" t="str">
        <f>"Faturamento / Auditoria e Controle de Recursos de Glosas / Lançamentos  / Aceite de Glosa (M_ACEITE_GLOSA)"</f>
        <v>Faturamento / Auditoria e Controle de Recursos de Glosas / Lançamentos  / Aceite de Glosa (M_ACEITE_GLOSA)</v>
      </c>
    </row>
    <row r="1166" spans="1:7" x14ac:dyDescent="0.3">
      <c r="A1166" s="1" t="s">
        <v>4</v>
      </c>
      <c r="B1166" s="2" t="str">
        <f t="shared" si="101"/>
        <v>AUDITORIA E GLOSAS</v>
      </c>
      <c r="C1166" s="2" t="str">
        <f t="shared" si="102"/>
        <v>FINAN</v>
      </c>
      <c r="D1166" s="2" t="str">
        <f t="shared" si="103"/>
        <v>FFAG</v>
      </c>
      <c r="E1166" s="2" t="str">
        <f>"RECURSO DE GLOSA RETROATIVA"</f>
        <v>RECURSO DE GLOSA RETROATIVA</v>
      </c>
      <c r="F1166" s="2" t="str">
        <f>"M_GLOSAS_RETRO"</f>
        <v>M_GLOSAS_RETRO</v>
      </c>
      <c r="G1166" s="2" t="str">
        <f>"Faturamento / Auditoria e Controle de Recursos de Glosas / Lançamentos  / Recurso de Glosas Retroativas (M_GLOSAS_RETRO)"</f>
        <v>Faturamento / Auditoria e Controle de Recursos de Glosas / Lançamentos  / Recurso de Glosas Retroativas (M_GLOSAS_RETRO)</v>
      </c>
    </row>
    <row r="1167" spans="1:7" x14ac:dyDescent="0.3">
      <c r="A1167" s="1" t="s">
        <v>4</v>
      </c>
      <c r="B1167" s="2" t="str">
        <f t="shared" si="101"/>
        <v>AUDITORIA E GLOSAS</v>
      </c>
      <c r="C1167" s="2" t="str">
        <f t="shared" si="102"/>
        <v>FINAN</v>
      </c>
      <c r="D1167" s="2" t="str">
        <f t="shared" si="103"/>
        <v>FFAG</v>
      </c>
      <c r="E1167" s="2" t="str">
        <f>"M_RECEBE_GLOSA_RETRO"</f>
        <v>M_RECEBE_GLOSA_RETRO</v>
      </c>
      <c r="F1167" s="2" t="str">
        <f>"M_RECEBE_GLOSA_RETRO"</f>
        <v>M_RECEBE_GLOSA_RETRO</v>
      </c>
      <c r="G1167" s="2" t="str">
        <f>"Faturamento / Auditoria e Controle de Recursos de Glosas / Lançamentos  / Recebimento de Recursos de Glosas Retroativas (M_RECEBE_GLOSA_RETRO)"</f>
        <v>Faturamento / Auditoria e Controle de Recursos de Glosas / Lançamentos  / Recebimento de Recursos de Glosas Retroativas (M_RECEBE_GLOSA_RETRO)</v>
      </c>
    </row>
    <row r="1168" spans="1:7" x14ac:dyDescent="0.3">
      <c r="A1168" s="1" t="s">
        <v>4</v>
      </c>
      <c r="B1168" s="2" t="str">
        <f t="shared" si="101"/>
        <v>AUDITORIA E GLOSAS</v>
      </c>
      <c r="C1168" s="2" t="str">
        <f t="shared" si="102"/>
        <v>FINAN</v>
      </c>
      <c r="D1168" s="2" t="str">
        <f t="shared" si="103"/>
        <v>FFAG</v>
      </c>
      <c r="E1168" s="2" t="str">
        <f>"ENTREGA DE GLOSAS"</f>
        <v>ENTREGA DE GLOSAS</v>
      </c>
      <c r="F1168" s="2" t="str">
        <f>"M_ENTREGA_RECURSO"</f>
        <v>M_ENTREGA_RECURSO</v>
      </c>
      <c r="G1168" s="2" t="str">
        <f>"Faturamento / Auditoria e Controle de Recursos de Glosas / Lançamentos  / Entrega de Recurso do Recurso (M_ENTREGA_RECURSO)"</f>
        <v>Faturamento / Auditoria e Controle de Recursos de Glosas / Lançamentos  / Entrega de Recurso do Recurso (M_ENTREGA_RECURSO)</v>
      </c>
    </row>
    <row r="1169" spans="1:7" x14ac:dyDescent="0.3">
      <c r="A1169" s="1" t="s">
        <v>4</v>
      </c>
      <c r="B1169" s="2" t="str">
        <f t="shared" si="101"/>
        <v>AUDITORIA E GLOSAS</v>
      </c>
      <c r="C1169" s="2" t="str">
        <f t="shared" si="102"/>
        <v>FINAN</v>
      </c>
      <c r="D1169" s="2" t="str">
        <f t="shared" si="103"/>
        <v>FFAG</v>
      </c>
      <c r="E1169" s="2" t="str">
        <f>"RELATÓRIO DE FATURA INDIVIDUAL"</f>
        <v>RELATÓRIO DE FATURA INDIVIDUAL</v>
      </c>
      <c r="F1169" s="2" t="str">
        <f>"R_AUDITORIA_PROC"</f>
        <v>R_AUDITORIA_PROC</v>
      </c>
      <c r="G1169" s="2" t="str">
        <f>"Faturamento / Auditoria e Controle de Recursos de Glosas / Relatórios / Administrativos / Auditoria de Conta por Grupo de Procedimento (R_AUDITORIA_PROC)"</f>
        <v>Faturamento / Auditoria e Controle de Recursos de Glosas / Relatórios / Administrativos / Auditoria de Conta por Grupo de Procedimento (R_AUDITORIA_PROC)</v>
      </c>
    </row>
    <row r="1170" spans="1:7" x14ac:dyDescent="0.3">
      <c r="A1170" s="1" t="s">
        <v>4</v>
      </c>
      <c r="B1170" s="2" t="str">
        <f t="shared" ref="B1170:B1171" si="107">"AUDITORIA E GLOSAS"</f>
        <v>AUDITORIA E GLOSAS</v>
      </c>
      <c r="C1170" s="2" t="str">
        <f t="shared" ref="C1170:C1171" si="108">"FINAN"</f>
        <v>FINAN</v>
      </c>
      <c r="D1170" s="2" t="str">
        <f t="shared" ref="D1170:D1171" si="109">"FFAG"</f>
        <v>FFAG</v>
      </c>
      <c r="E1170" s="2" t="str">
        <f>"REL. GLOSAS POR PRESTADOR"</f>
        <v>REL. GLOSAS POR PRESTADOR</v>
      </c>
      <c r="F1170" s="2" t="str">
        <f>"R_GLOSA_PRESTADOR_SINT"</f>
        <v>R_GLOSA_PRESTADOR_SINT</v>
      </c>
      <c r="G1170" s="2" t="str">
        <f>" ()"</f>
        <v xml:space="preserve"> ()</v>
      </c>
    </row>
    <row r="1171" spans="1:7" x14ac:dyDescent="0.3">
      <c r="A1171" s="1" t="s">
        <v>4</v>
      </c>
      <c r="B1171" s="2" t="str">
        <f t="shared" si="107"/>
        <v>AUDITORIA E GLOSAS</v>
      </c>
      <c r="C1171" s="2" t="str">
        <f t="shared" si="108"/>
        <v>FINAN</v>
      </c>
      <c r="D1171" s="2" t="str">
        <f t="shared" si="109"/>
        <v>FFAG</v>
      </c>
      <c r="E1171" s="2" t="str">
        <f>"REL. DE GLOSAS POR MOTIVO"</f>
        <v>REL. DE GLOSAS POR MOTIVO</v>
      </c>
      <c r="F1171" s="2" t="str">
        <f>"R_GLOSA_MOTIVO_SINT"</f>
        <v>R_GLOSA_MOTIVO_SINT</v>
      </c>
      <c r="G1171" s="2" t="str">
        <f>" ()"</f>
        <v xml:space="preserve"> ()</v>
      </c>
    </row>
    <row r="1172" spans="1:7" x14ac:dyDescent="0.3">
      <c r="A1172" s="1" t="s">
        <v>4</v>
      </c>
      <c r="B1172" s="2" t="str">
        <f t="shared" ref="B1172:B1235" si="110">"SISTEMA FATURAMENTO AMBULATORIO SUS"</f>
        <v>SISTEMA FATURAMENTO AMBULATORIO SUS</v>
      </c>
      <c r="C1172" s="2" t="str">
        <f t="shared" ref="C1172:C1235" si="111">"FATUR-SUS"</f>
        <v>FATUR-SUS</v>
      </c>
      <c r="D1172" s="2" t="str">
        <f t="shared" ref="D1172:D1235" si="112">"FFAS"</f>
        <v>FFAS</v>
      </c>
      <c r="E1172" s="2" t="str">
        <f>"PRODUTIVIDADE MÉDICA"</f>
        <v>PRODUTIVIDADE MÉDICA</v>
      </c>
      <c r="F1172" s="2" t="str">
        <f>"R_PROD_PREST_P321.RDF"</f>
        <v>R_PROD_PREST_P321.RDF</v>
      </c>
      <c r="G1172" s="2" t="str">
        <f>" ()"</f>
        <v xml:space="preserve"> ()</v>
      </c>
    </row>
    <row r="1173" spans="1:7" x14ac:dyDescent="0.3">
      <c r="A1173" s="1" t="s">
        <v>4</v>
      </c>
      <c r="B1173" s="2" t="str">
        <f t="shared" si="110"/>
        <v>SISTEMA FATURAMENTO AMBULATORIO SUS</v>
      </c>
      <c r="C1173" s="2" t="str">
        <f t="shared" si="111"/>
        <v>FATUR-SUS</v>
      </c>
      <c r="D1173" s="2" t="str">
        <f t="shared" si="112"/>
        <v>FFAS</v>
      </c>
      <c r="E1173" s="2" t="str">
        <f>"CEPs personalizados"</f>
        <v>CEPs personalizados</v>
      </c>
      <c r="F1173" s="2" t="str">
        <f>"M_CEP_LOGRADOURO"</f>
        <v>M_CEP_LOGRADOURO</v>
      </c>
      <c r="G1173" s="2" t="str">
        <f>"Faturamento / Faturamento de Internação SUS (AIH) / Tabelas / Gerais / CEP's Personalizados (M_CEP_LOGRADOURO)"</f>
        <v>Faturamento / Faturamento de Internação SUS (AIH) / Tabelas / Gerais / CEP's Personalizados (M_CEP_LOGRADOURO)</v>
      </c>
    </row>
    <row r="1174" spans="1:7" x14ac:dyDescent="0.3">
      <c r="A1174" s="1" t="s">
        <v>4</v>
      </c>
      <c r="B1174" s="2" t="str">
        <f t="shared" si="110"/>
        <v>SISTEMA FATURAMENTO AMBULATORIO SUS</v>
      </c>
      <c r="C1174" s="2" t="str">
        <f t="shared" si="111"/>
        <v>FATUR-SUS</v>
      </c>
      <c r="D1174" s="2" t="str">
        <f t="shared" si="112"/>
        <v>FFAS</v>
      </c>
      <c r="E1174" s="2" t="str">
        <f>"CEPs personalizados"</f>
        <v>CEPs personalizados</v>
      </c>
      <c r="F1174" s="2" t="str">
        <f>"M_CEP_LOGRADOURO"</f>
        <v>M_CEP_LOGRADOURO</v>
      </c>
      <c r="G1174" s="2" t="str">
        <f>"Faturamento / Faturamento Ambulatorial SUS (BPA e APAC) / Tabelas / Geral / CEP's Personalizados (M_CEP_LOGRADOURO)"</f>
        <v>Faturamento / Faturamento Ambulatorial SUS (BPA e APAC) / Tabelas / Geral / CEP's Personalizados (M_CEP_LOGRADOURO)</v>
      </c>
    </row>
    <row r="1175" spans="1:7" x14ac:dyDescent="0.3">
      <c r="A1175" s="1" t="s">
        <v>4</v>
      </c>
      <c r="B1175" s="2" t="str">
        <f t="shared" si="110"/>
        <v>SISTEMA FATURAMENTO AMBULATORIO SUS</v>
      </c>
      <c r="C1175" s="2" t="str">
        <f t="shared" si="111"/>
        <v>FATUR-SUS</v>
      </c>
      <c r="D1175" s="2" t="str">
        <f t="shared" si="112"/>
        <v>FFAS</v>
      </c>
      <c r="E1175" s="2" t="str">
        <f>"Monitora laudos trasmitidos ao GERPAC"</f>
        <v>Monitora laudos trasmitidos ao GERPAC</v>
      </c>
      <c r="F1175" s="2" t="str">
        <f>"M_CONTROLE_LAUDO_APAC_GERPAC"</f>
        <v>M_CONTROLE_LAUDO_APAC_GERPAC</v>
      </c>
      <c r="G1175" s="2" t="str">
        <f>" ()"</f>
        <v xml:space="preserve"> ()</v>
      </c>
    </row>
    <row r="1176" spans="1:7" x14ac:dyDescent="0.3">
      <c r="A1176" s="1" t="s">
        <v>4</v>
      </c>
      <c r="B1176" s="2" t="str">
        <f t="shared" si="110"/>
        <v>SISTEMA FATURAMENTO AMBULATORIO SUS</v>
      </c>
      <c r="C1176" s="2" t="str">
        <f t="shared" si="111"/>
        <v>FATUR-SUS</v>
      </c>
      <c r="D1176" s="2" t="str">
        <f t="shared" si="112"/>
        <v>FFAS</v>
      </c>
      <c r="E1176" s="2" t="str">
        <f>"RELATÓRIO DE PACIENTES FALTOSOS"</f>
        <v>RELATÓRIO DE PACIENTES FALTOSOS</v>
      </c>
      <c r="F1176" s="2" t="str">
        <f>"R_PAC_FALTOSOS"</f>
        <v>R_PAC_FALTOSOS</v>
      </c>
      <c r="G1176" s="2" t="str">
        <f>"Faturamento / Faturamento Ambulatorial SUS (BPA e APAC) / Relatórios / APAC / Listagem de Pacientes Faltosos (R_PAC_FALTOSOS)"</f>
        <v>Faturamento / Faturamento Ambulatorial SUS (BPA e APAC) / Relatórios / APAC / Listagem de Pacientes Faltosos (R_PAC_FALTOSOS)</v>
      </c>
    </row>
    <row r="1177" spans="1:7" x14ac:dyDescent="0.3">
      <c r="A1177" s="1" t="s">
        <v>4</v>
      </c>
      <c r="B1177" s="2" t="str">
        <f t="shared" si="110"/>
        <v>SISTEMA FATURAMENTO AMBULATORIO SUS</v>
      </c>
      <c r="C1177" s="2" t="str">
        <f t="shared" si="111"/>
        <v>FATUR-SUS</v>
      </c>
      <c r="D1177" s="2" t="str">
        <f t="shared" si="112"/>
        <v>FFAS</v>
      </c>
      <c r="E1177" s="2" t="str">
        <f>"RELATÓRIO DE FATURAMENTO POR UNIDADES"</f>
        <v>RELATÓRIO DE FATURAMENTO POR UNIDADES</v>
      </c>
      <c r="F1177" s="2" t="str">
        <f>"R_FUNIDADE"</f>
        <v>R_FUNIDADE</v>
      </c>
      <c r="G1177" s="2" t="str">
        <f>" ()"</f>
        <v xml:space="preserve"> ()</v>
      </c>
    </row>
    <row r="1178" spans="1:7" x14ac:dyDescent="0.3">
      <c r="A1178" s="1" t="s">
        <v>4</v>
      </c>
      <c r="B1178" s="2" t="str">
        <f t="shared" si="110"/>
        <v>SISTEMA FATURAMENTO AMBULATORIO SUS</v>
      </c>
      <c r="C1178" s="2" t="str">
        <f t="shared" si="111"/>
        <v>FATUR-SUS</v>
      </c>
      <c r="D1178" s="2" t="str">
        <f t="shared" si="112"/>
        <v>FFAS</v>
      </c>
      <c r="E1178" s="2" t="str">
        <f>"CONFIGURAÇÃO DE INTEGRAÇÃO - LAUDO APAC"</f>
        <v>CONFIGURAÇÃO DE INTEGRAÇÃO - LAUDO APAC</v>
      </c>
      <c r="F1178" s="2" t="str">
        <f>"M_CONFIG_LAUDO_APAC"</f>
        <v>M_CONFIG_LAUDO_APAC</v>
      </c>
      <c r="G1178" s="2" t="str">
        <f>"Faturamento / Faturamento Ambulatorial SUS (BPA e APAC) / Tabelas / APAC / Configuração de Resultados de Laudo APAC (M_CONFIG_LAUDO_APAC)"</f>
        <v>Faturamento / Faturamento Ambulatorial SUS (BPA e APAC) / Tabelas / APAC / Configuração de Resultados de Laudo APAC (M_CONFIG_LAUDO_APAC)</v>
      </c>
    </row>
    <row r="1179" spans="1:7" x14ac:dyDescent="0.3">
      <c r="A1179" s="1" t="s">
        <v>4</v>
      </c>
      <c r="B1179" s="2" t="str">
        <f t="shared" si="110"/>
        <v>SISTEMA FATURAMENTO AMBULATORIO SUS</v>
      </c>
      <c r="C1179" s="2" t="str">
        <f t="shared" si="111"/>
        <v>FATUR-SUS</v>
      </c>
      <c r="D1179" s="2" t="str">
        <f t="shared" si="112"/>
        <v>FFAS</v>
      </c>
      <c r="E1179" s="2" t="str">
        <f>"LANÇAMENTO DE PRODUÇÃO AMBULATORIAL"</f>
        <v>LANÇAMENTO DE PRODUÇÃO AMBULATORIAL</v>
      </c>
      <c r="F1179" s="2" t="str">
        <f>"L_PA"</f>
        <v>L_PA</v>
      </c>
      <c r="G1179" s="2" t="str">
        <f>"Faturamento / Faturamento Ambulatorial SUS (BPA e APAC) / Lançamentos / BPA / Produção Ambulatorial (L_PA)"</f>
        <v>Faturamento / Faturamento Ambulatorial SUS (BPA e APAC) / Lançamentos / BPA / Produção Ambulatorial (L_PA)</v>
      </c>
    </row>
    <row r="1180" spans="1:7" x14ac:dyDescent="0.3">
      <c r="A1180" s="1" t="s">
        <v>4</v>
      </c>
      <c r="B1180" s="2" t="str">
        <f t="shared" si="110"/>
        <v>SISTEMA FATURAMENTO AMBULATORIO SUS</v>
      </c>
      <c r="C1180" s="2" t="str">
        <f t="shared" si="111"/>
        <v>FATUR-SUS</v>
      </c>
      <c r="D1180" s="2" t="str">
        <f t="shared" si="112"/>
        <v>FFAS</v>
      </c>
      <c r="E1180" s="2" t="str">
        <f>"RELATORIO DE GRUPO DE ATENDIMENTO"</f>
        <v>RELATORIO DE GRUPO DE ATENDIMENTO</v>
      </c>
      <c r="F1180" s="2" t="str">
        <f>"R_GRUATE"</f>
        <v>R_GRUATE</v>
      </c>
      <c r="G1180" s="2" t="str">
        <f>"Faturamento / Faturamento Ambulatorial SUS (BPA e APAC) / Relatórios / Tabelas / Grupos do Atendimento (R_GRUATE)"</f>
        <v>Faturamento / Faturamento Ambulatorial SUS (BPA e APAC) / Relatórios / Tabelas / Grupos do Atendimento (R_GRUATE)</v>
      </c>
    </row>
    <row r="1181" spans="1:7" x14ac:dyDescent="0.3">
      <c r="A1181" s="1" t="s">
        <v>4</v>
      </c>
      <c r="B1181" s="2" t="str">
        <f t="shared" si="110"/>
        <v>SISTEMA FATURAMENTO AMBULATORIO SUS</v>
      </c>
      <c r="C1181" s="2" t="str">
        <f t="shared" si="111"/>
        <v>FATUR-SUS</v>
      </c>
      <c r="D1181" s="2" t="str">
        <f t="shared" si="112"/>
        <v>FFAS</v>
      </c>
      <c r="E1181" s="2" t="str">
        <f>"RELATÓRIO DE SERVIÇOS"</f>
        <v>RELATÓRIO DE SERVIÇOS</v>
      </c>
      <c r="F1181" s="2" t="str">
        <f>"R_PROC_SERVICO_P321"</f>
        <v>R_PROC_SERVICO_P321</v>
      </c>
      <c r="G1181" s="2" t="str">
        <f>"Faturamento / Faturamento Ambulatorial SUS (BPA e APAC) / Relatórios / Estatísticos / Procedimento por Serviço (R_PROC_SERVICO_P321)"</f>
        <v>Faturamento / Faturamento Ambulatorial SUS (BPA e APAC) / Relatórios / Estatísticos / Procedimento por Serviço (R_PROC_SERVICO_P321)</v>
      </c>
    </row>
    <row r="1182" spans="1:7" x14ac:dyDescent="0.3">
      <c r="A1182" s="1" t="s">
        <v>4</v>
      </c>
      <c r="B1182" s="2" t="str">
        <f t="shared" si="110"/>
        <v>SISTEMA FATURAMENTO AMBULATORIO SUS</v>
      </c>
      <c r="C1182" s="2" t="str">
        <f t="shared" si="111"/>
        <v>FATUR-SUS</v>
      </c>
      <c r="D1182" s="2" t="str">
        <f t="shared" si="112"/>
        <v>FFAS</v>
      </c>
      <c r="E1182" s="2" t="str">
        <f>"CONTAS AMBULATORIAIS "</f>
        <v xml:space="preserve">CONTAS AMBULATORIAIS </v>
      </c>
      <c r="F1182" s="2" t="str">
        <f>"C_CONTA_SUS"</f>
        <v>C_CONTA_SUS</v>
      </c>
      <c r="G1182" s="2" t="str">
        <f>"Faturamento / Faturamento Ambulatorial SUS (BPA e APAC) / Consultas / Contas (antiga) (C_CONTA_SUS)"</f>
        <v>Faturamento / Faturamento Ambulatorial SUS (BPA e APAC) / Consultas / Contas (antiga) (C_CONTA_SUS)</v>
      </c>
    </row>
    <row r="1183" spans="1:7" x14ac:dyDescent="0.3">
      <c r="A1183" s="1" t="s">
        <v>4</v>
      </c>
      <c r="B1183" s="2" t="str">
        <f t="shared" si="110"/>
        <v>SISTEMA FATURAMENTO AMBULATORIO SUS</v>
      </c>
      <c r="C1183" s="2" t="str">
        <f t="shared" si="111"/>
        <v>FATUR-SUS</v>
      </c>
      <c r="D1183" s="2" t="str">
        <f t="shared" si="112"/>
        <v>FFAS</v>
      </c>
      <c r="E1183" s="2" t="str">
        <f>"PROCEDIMENTO POR CARÁTER DE ATENDIMENTO"</f>
        <v>PROCEDIMENTO POR CARÁTER DE ATENDIMENTO</v>
      </c>
      <c r="F1183" s="2" t="str">
        <f>"R_PROC_CA_ATENDIME_P321"</f>
        <v>R_PROC_CA_ATENDIME_P321</v>
      </c>
      <c r="G1183" s="2" t="str">
        <f>"Faturamento / Faturamento Ambulatorial SUS (BPA e APAC) / Relatórios / Estatísticos / Procedimento por Caráter de Atendimento (R_PROC_CA_ATENDIME_P321)"</f>
        <v>Faturamento / Faturamento Ambulatorial SUS (BPA e APAC) / Relatórios / Estatísticos / Procedimento por Caráter de Atendimento (R_PROC_CA_ATENDIME_P321)</v>
      </c>
    </row>
    <row r="1184" spans="1:7" x14ac:dyDescent="0.3">
      <c r="A1184" s="1" t="s">
        <v>4</v>
      </c>
      <c r="B1184" s="2" t="str">
        <f t="shared" si="110"/>
        <v>SISTEMA FATURAMENTO AMBULATORIO SUS</v>
      </c>
      <c r="C1184" s="2" t="str">
        <f t="shared" si="111"/>
        <v>FATUR-SUS</v>
      </c>
      <c r="D1184" s="2" t="str">
        <f t="shared" si="112"/>
        <v>FFAS</v>
      </c>
      <c r="E1184" s="2" t="str">
        <f>"Central de Autorizações Apac"</f>
        <v>Central de Autorizações Apac</v>
      </c>
      <c r="F1184" s="2" t="str">
        <f>"M_CENTRAL_AUTORIZACAO_APAC"</f>
        <v>M_CENTRAL_AUTORIZACAO_APAC</v>
      </c>
      <c r="G1184" s="2" t="str">
        <f>"Faturamento / Faturamento Ambulatorial SUS (BPA e APAC) / Lançamentos / APAC / Central de Autorizações (M_CENTRAL_AUTORIZACAO_APAC)"</f>
        <v>Faturamento / Faturamento Ambulatorial SUS (BPA e APAC) / Lançamentos / APAC / Central de Autorizações (M_CENTRAL_AUTORIZACAO_APAC)</v>
      </c>
    </row>
    <row r="1185" spans="1:7" x14ac:dyDescent="0.3">
      <c r="A1185" s="1" t="s">
        <v>4</v>
      </c>
      <c r="B1185" s="2" t="str">
        <f t="shared" si="110"/>
        <v>SISTEMA FATURAMENTO AMBULATORIO SUS</v>
      </c>
      <c r="C1185" s="2" t="str">
        <f t="shared" si="111"/>
        <v>FATUR-SUS</v>
      </c>
      <c r="D1185" s="2" t="str">
        <f t="shared" si="112"/>
        <v>FFAS</v>
      </c>
      <c r="E1185" s="2" t="str">
        <f>"Motivo de Glosa BPA"</f>
        <v>Motivo de Glosa BPA</v>
      </c>
      <c r="F1185" s="2" t="str">
        <f>"M_MOTIVO_GLOSA_BPA"</f>
        <v>M_MOTIVO_GLOSA_BPA</v>
      </c>
      <c r="G1185" s="2" t="str">
        <f>"Faturamento / Faturamento Ambulatorial SUS (BPA e APAC) / Tabelas / Geral / Motivo de Glosa BPA (M_MOTIVO_GLOSA_BPA)"</f>
        <v>Faturamento / Faturamento Ambulatorial SUS (BPA e APAC) / Tabelas / Geral / Motivo de Glosa BPA (M_MOTIVO_GLOSA_BPA)</v>
      </c>
    </row>
    <row r="1186" spans="1:7" x14ac:dyDescent="0.3">
      <c r="A1186" s="1" t="s">
        <v>4</v>
      </c>
      <c r="B1186" s="2" t="str">
        <f t="shared" si="110"/>
        <v>SISTEMA FATURAMENTO AMBULATORIO SUS</v>
      </c>
      <c r="C1186" s="2" t="str">
        <f t="shared" si="111"/>
        <v>FATUR-SUS</v>
      </c>
      <c r="D1186" s="2" t="str">
        <f t="shared" si="112"/>
        <v>FFAS</v>
      </c>
      <c r="E1186" s="2" t="str">
        <f>"Glosas de BPA"</f>
        <v>Glosas de BPA</v>
      </c>
      <c r="F1186" s="2" t="str">
        <f>"M_GLOSA_BPA"</f>
        <v>M_GLOSA_BPA</v>
      </c>
      <c r="G1186" s="2" t="str">
        <f>"Faturamento / Faturamento Ambulatorial SUS (BPA e APAC) / Lançamentos / BPA / Glosas de BPA (M_GLOSA_BPA)"</f>
        <v>Faturamento / Faturamento Ambulatorial SUS (BPA e APAC) / Lançamentos / BPA / Glosas de BPA (M_GLOSA_BPA)</v>
      </c>
    </row>
    <row r="1187" spans="1:7" x14ac:dyDescent="0.3">
      <c r="A1187" s="1" t="s">
        <v>4</v>
      </c>
      <c r="B1187" s="2" t="str">
        <f t="shared" si="110"/>
        <v>SISTEMA FATURAMENTO AMBULATORIO SUS</v>
      </c>
      <c r="C1187" s="2" t="str">
        <f t="shared" si="111"/>
        <v>FATUR-SUS</v>
      </c>
      <c r="D1187" s="2" t="str">
        <f t="shared" si="112"/>
        <v>FFAS</v>
      </c>
      <c r="E1187" s="2" t="str">
        <f>"MOVIMENATAÇÃO DE CONTAS APAC"</f>
        <v>MOVIMENATAÇÃO DE CONTAS APAC</v>
      </c>
      <c r="F1187" s="2" t="str">
        <f>"M_TRANSF_LOT_REMES_APAC"</f>
        <v>M_TRANSF_LOT_REMES_APAC</v>
      </c>
      <c r="G1187" s="2" t="str">
        <f>"Faturamento / Faturamento Ambulatorial SUS (BPA e APAC) / Tabelas / Setores / Movimentação de contas APAC (M_TRANSF_LOT_REMES_APAC)"</f>
        <v>Faturamento / Faturamento Ambulatorial SUS (BPA e APAC) / Tabelas / Setores / Movimentação de contas APAC (M_TRANSF_LOT_REMES_APAC)</v>
      </c>
    </row>
    <row r="1188" spans="1:7" x14ac:dyDescent="0.3">
      <c r="A1188" s="1" t="s">
        <v>4</v>
      </c>
      <c r="B1188" s="2" t="str">
        <f t="shared" si="110"/>
        <v>SISTEMA FATURAMENTO AMBULATORIO SUS</v>
      </c>
      <c r="C1188" s="2" t="str">
        <f t="shared" si="111"/>
        <v>FATUR-SUS</v>
      </c>
      <c r="D1188" s="2" t="str">
        <f t="shared" si="112"/>
        <v>FFAS</v>
      </c>
      <c r="E1188" s="2" t="str">
        <f>"CADASTRO DE PROCED AUTORIZADOS AIH"</f>
        <v>CADASTRO DE PROCED AUTORIZADOS AIH</v>
      </c>
      <c r="F1188" s="2" t="str">
        <f>"M_CAD_SETOR_PROC_AIH"</f>
        <v>M_CAD_SETOR_PROC_AIH</v>
      </c>
      <c r="G1188" s="2" t="str">
        <f>"Faturamento / Faturamento de Internação SUS (AIH) / Tabelas / Setores / Procedimentos Autorizados por Setor/Paciente Dia AIH (M_CAD_SETOR_PROC_AIH)"</f>
        <v>Faturamento / Faturamento de Internação SUS (AIH) / Tabelas / Setores / Procedimentos Autorizados por Setor/Paciente Dia AIH (M_CAD_SETOR_PROC_AIH)</v>
      </c>
    </row>
    <row r="1189" spans="1:7" x14ac:dyDescent="0.3">
      <c r="A1189" s="1" t="s">
        <v>4</v>
      </c>
      <c r="B1189" s="2" t="str">
        <f t="shared" si="110"/>
        <v>SISTEMA FATURAMENTO AMBULATORIO SUS</v>
      </c>
      <c r="C1189" s="2" t="str">
        <f t="shared" si="111"/>
        <v>FATUR-SUS</v>
      </c>
      <c r="D1189" s="2" t="str">
        <f t="shared" si="112"/>
        <v>FFAS</v>
      </c>
      <c r="E1189" s="2" t="str">
        <f>"CADASTRO DE PROCED AUTORIZADOS BPA"</f>
        <v>CADASTRO DE PROCED AUTORIZADOS BPA</v>
      </c>
      <c r="F1189" s="2" t="str">
        <f>"M_CAD_SETOR_PROC_BPA"</f>
        <v>M_CAD_SETOR_PROC_BPA</v>
      </c>
      <c r="G1189" s="2" t="str">
        <f>"Faturamento / Faturamento Ambulatorial SUS (BPA e APAC) / Tabelas / Setores / Procedimentos Autorizados por Setor/Paciente Dia BPA (M_CAD_SETOR_PROC_BPA)"</f>
        <v>Faturamento / Faturamento Ambulatorial SUS (BPA e APAC) / Tabelas / Setores / Procedimentos Autorizados por Setor/Paciente Dia BPA (M_CAD_SETOR_PROC_BPA)</v>
      </c>
    </row>
    <row r="1190" spans="1:7" x14ac:dyDescent="0.3">
      <c r="A1190" s="1" t="s">
        <v>4</v>
      </c>
      <c r="B1190" s="2" t="str">
        <f t="shared" si="110"/>
        <v>SISTEMA FATURAMENTO AMBULATORIO SUS</v>
      </c>
      <c r="C1190" s="2" t="str">
        <f t="shared" si="111"/>
        <v>FATUR-SUS</v>
      </c>
      <c r="D1190" s="2" t="str">
        <f t="shared" si="112"/>
        <v>FFAS</v>
      </c>
      <c r="E1190" s="2" t="str">
        <f>"CADASTRO DE PROCED AUTORIZADOS APAC"</f>
        <v>CADASTRO DE PROCED AUTORIZADOS APAC</v>
      </c>
      <c r="F1190" s="2" t="str">
        <f>"M_CAD_SETOR_PROC_APAC"</f>
        <v>M_CAD_SETOR_PROC_APAC</v>
      </c>
      <c r="G1190" s="2" t="str">
        <f>"Faturamento / Faturamento Ambulatorial SUS (BPA e APAC) / Tabelas / Setores / Procedimentos Autorizados por Setor/Paciente Dia APAC (M_CAD_SETOR_PROC_APAC)"</f>
        <v>Faturamento / Faturamento Ambulatorial SUS (BPA e APAC) / Tabelas / Setores / Procedimentos Autorizados por Setor/Paciente Dia APAC (M_CAD_SETOR_PROC_APAC)</v>
      </c>
    </row>
    <row r="1191" spans="1:7" x14ac:dyDescent="0.3">
      <c r="A1191" s="1" t="s">
        <v>4</v>
      </c>
      <c r="B1191" s="2" t="str">
        <f t="shared" si="110"/>
        <v>SISTEMA FATURAMENTO AMBULATORIO SUS</v>
      </c>
      <c r="C1191" s="2" t="str">
        <f t="shared" si="111"/>
        <v>FATUR-SUS</v>
      </c>
      <c r="D1191" s="2" t="str">
        <f t="shared" si="112"/>
        <v>FFAS</v>
      </c>
      <c r="E1191" s="2" t="str">
        <f>"CADASTRO LOTE SETOR BPA"</f>
        <v>CADASTRO LOTE SETOR BPA</v>
      </c>
      <c r="F1191" s="2" t="str">
        <f>"M_CAD_LOTE_SETOR_BPA"</f>
        <v>M_CAD_LOTE_SETOR_BPA</v>
      </c>
      <c r="G1191" s="2" t="str">
        <f>"Faturamento / Faturamento Ambulatorial SUS (BPA e APAC) / Tabelas / Setores / Lote Setor BPA (M_CAD_LOTE_SETOR_BPA)"</f>
        <v>Faturamento / Faturamento Ambulatorial SUS (BPA e APAC) / Tabelas / Setores / Lote Setor BPA (M_CAD_LOTE_SETOR_BPA)</v>
      </c>
    </row>
    <row r="1192" spans="1:7" x14ac:dyDescent="0.3">
      <c r="A1192" s="1" t="s">
        <v>4</v>
      </c>
      <c r="B1192" s="2" t="str">
        <f t="shared" si="110"/>
        <v>SISTEMA FATURAMENTO AMBULATORIO SUS</v>
      </c>
      <c r="C1192" s="2" t="str">
        <f t="shared" si="111"/>
        <v>FATUR-SUS</v>
      </c>
      <c r="D1192" s="2" t="str">
        <f t="shared" si="112"/>
        <v>FFAS</v>
      </c>
      <c r="E1192" s="2" t="str">
        <f>"CADASTRO LOTE SETOR APAC"</f>
        <v>CADASTRO LOTE SETOR APAC</v>
      </c>
      <c r="F1192" s="2" t="str">
        <f>"M_CAD_LOTE_SETOR_APAC"</f>
        <v>M_CAD_LOTE_SETOR_APAC</v>
      </c>
      <c r="G1192" s="2" t="str">
        <f>"Faturamento / Faturamento Ambulatorial SUS (BPA e APAC) / Tabelas / Setores / Lote Setor APAC (M_CAD_LOTE_SETOR_APAC)"</f>
        <v>Faturamento / Faturamento Ambulatorial SUS (BPA e APAC) / Tabelas / Setores / Lote Setor APAC (M_CAD_LOTE_SETOR_APAC)</v>
      </c>
    </row>
    <row r="1193" spans="1:7" x14ac:dyDescent="0.3">
      <c r="A1193" s="1" t="s">
        <v>4</v>
      </c>
      <c r="B1193" s="2" t="str">
        <f t="shared" si="110"/>
        <v>SISTEMA FATURAMENTO AMBULATORIO SUS</v>
      </c>
      <c r="C1193" s="2" t="str">
        <f t="shared" si="111"/>
        <v>FATUR-SUS</v>
      </c>
      <c r="D1193" s="2" t="str">
        <f t="shared" si="112"/>
        <v>FFAS</v>
      </c>
      <c r="E1193" s="2" t="str">
        <f>"Cadastro de Guias"</f>
        <v>Cadastro de Guias</v>
      </c>
      <c r="F1193" s="2" t="str">
        <f>"M_CADASTRO_GUIAS_APAC"</f>
        <v>M_CADASTRO_GUIAS_APAC</v>
      </c>
      <c r="G1193" s="2" t="str">
        <f>"Faturamento / Faturamento Ambulatorial SUS (BPA e APAC) / Tabelas / Guias / Cadastro de Guias (M_CADASTRO_GUIAS_APAC)"</f>
        <v>Faturamento / Faturamento Ambulatorial SUS (BPA e APAC) / Tabelas / Guias / Cadastro de Guias (M_CADASTRO_GUIAS_APAC)</v>
      </c>
    </row>
    <row r="1194" spans="1:7" x14ac:dyDescent="0.3">
      <c r="A1194" s="1" t="s">
        <v>4</v>
      </c>
      <c r="B1194" s="2" t="str">
        <f t="shared" si="110"/>
        <v>SISTEMA FATURAMENTO AMBULATORIO SUS</v>
      </c>
      <c r="C1194" s="2" t="str">
        <f t="shared" si="111"/>
        <v>FATUR-SUS</v>
      </c>
      <c r="D1194" s="2" t="str">
        <f t="shared" si="112"/>
        <v>FFAS</v>
      </c>
      <c r="E1194" s="2" t="str">
        <f>"R_DESCARTES_APAC"</f>
        <v>R_DESCARTES_APAC</v>
      </c>
      <c r="F1194" s="2" t="str">
        <f>"R_DESCARTES_APAC"</f>
        <v>R_DESCARTES_APAC</v>
      </c>
      <c r="G1194" s="2" t="str">
        <f>"Faturamento / Faturamento Ambulatorial SUS (BPA e APAC) / Relatórios / Operacionais / Descartes na Fatura (R_DESCARTES_APAC)"</f>
        <v>Faturamento / Faturamento Ambulatorial SUS (BPA e APAC) / Relatórios / Operacionais / Descartes na Fatura (R_DESCARTES_APAC)</v>
      </c>
    </row>
    <row r="1195" spans="1:7" x14ac:dyDescent="0.3">
      <c r="A1195" s="1" t="s">
        <v>4</v>
      </c>
      <c r="B1195" s="2" t="str">
        <f t="shared" si="110"/>
        <v>SISTEMA FATURAMENTO AMBULATORIO SUS</v>
      </c>
      <c r="C1195" s="2" t="str">
        <f t="shared" si="111"/>
        <v>FATUR-SUS</v>
      </c>
      <c r="D1195" s="2" t="str">
        <f t="shared" si="112"/>
        <v>FFAS</v>
      </c>
      <c r="E1195" s="2" t="str">
        <f>"PREVISÃO DE FATURAMENTO APAC"</f>
        <v>PREVISÃO DE FATURAMENTO APAC</v>
      </c>
      <c r="F1195" s="2" t="str">
        <f>"R_PREV_FAT_APAC_P321.RDF"</f>
        <v>R_PREV_FAT_APAC_P321.RDF</v>
      </c>
      <c r="G1195" s="2" t="str">
        <f>" ()"</f>
        <v xml:space="preserve"> ()</v>
      </c>
    </row>
    <row r="1196" spans="1:7" x14ac:dyDescent="0.3">
      <c r="A1196" s="1" t="s">
        <v>4</v>
      </c>
      <c r="B1196" s="2" t="str">
        <f t="shared" si="110"/>
        <v>SISTEMA FATURAMENTO AMBULATORIO SUS</v>
      </c>
      <c r="C1196" s="2" t="str">
        <f t="shared" si="111"/>
        <v>FATUR-SUS</v>
      </c>
      <c r="D1196" s="2" t="str">
        <f t="shared" si="112"/>
        <v>FFAS</v>
      </c>
      <c r="E1196" s="2" t="str">
        <f>"TRIGGER DE CONTROLE DE FATURA FECHADA"</f>
        <v>TRIGGER DE CONTROLE DE FATURA FECHADA</v>
      </c>
      <c r="F1196" s="2" t="str">
        <f>"TRG_EVE_SIASUS_FAT_SIA"</f>
        <v>TRG_EVE_SIASUS_FAT_SIA</v>
      </c>
      <c r="G1196" s="2" t="str">
        <f>" ()"</f>
        <v xml:space="preserve"> ()</v>
      </c>
    </row>
    <row r="1197" spans="1:7" x14ac:dyDescent="0.3">
      <c r="A1197" s="1" t="s">
        <v>4</v>
      </c>
      <c r="B1197" s="2" t="str">
        <f t="shared" si="110"/>
        <v>SISTEMA FATURAMENTO AMBULATORIO SUS</v>
      </c>
      <c r="C1197" s="2" t="str">
        <f t="shared" si="111"/>
        <v>FATUR-SUS</v>
      </c>
      <c r="D1197" s="2" t="str">
        <f t="shared" si="112"/>
        <v>FFAS</v>
      </c>
      <c r="E1197" s="2" t="str">
        <f>"LISTAGEM DE PACIENTES FALTOSOS - Conta"</f>
        <v>LISTAGEM DE PACIENTES FALTOSOS - Conta</v>
      </c>
      <c r="F1197" s="2" t="str">
        <f>"R_PAC_FALTOSOS_APAC"</f>
        <v>R_PAC_FALTOSOS_APAC</v>
      </c>
      <c r="G1197" s="2" t="str">
        <f>" ()"</f>
        <v xml:space="preserve"> ()</v>
      </c>
    </row>
    <row r="1198" spans="1:7" x14ac:dyDescent="0.3">
      <c r="A1198" s="1" t="s">
        <v>4</v>
      </c>
      <c r="B1198" s="2" t="str">
        <f t="shared" si="110"/>
        <v>SISTEMA FATURAMENTO AMBULATORIO SUS</v>
      </c>
      <c r="C1198" s="2" t="str">
        <f t="shared" si="111"/>
        <v>FATUR-SUS</v>
      </c>
      <c r="D1198" s="2" t="str">
        <f t="shared" si="112"/>
        <v>FFAS</v>
      </c>
      <c r="E1198" s="2" t="str">
        <f>"CONSISTE APAC"</f>
        <v>CONSISTE APAC</v>
      </c>
      <c r="F1198" s="2" t="str">
        <f>"M_CONSISTE_REMESSA_APAC"</f>
        <v>M_CONSISTE_REMESSA_APAC</v>
      </c>
      <c r="G1198" s="2" t="str">
        <f>" ()"</f>
        <v xml:space="preserve"> ()</v>
      </c>
    </row>
    <row r="1199" spans="1:7" x14ac:dyDescent="0.3">
      <c r="A1199" s="1" t="s">
        <v>4</v>
      </c>
      <c r="B1199" s="2" t="str">
        <f t="shared" si="110"/>
        <v>SISTEMA FATURAMENTO AMBULATORIO SUS</v>
      </c>
      <c r="C1199" s="2" t="str">
        <f t="shared" si="111"/>
        <v>FATUR-SUS</v>
      </c>
      <c r="D1199" s="2" t="str">
        <f t="shared" si="112"/>
        <v>FFAS</v>
      </c>
      <c r="E1199" s="2" t="str">
        <f>"Transferência de eventos para internação"</f>
        <v>Transferência de eventos para internação</v>
      </c>
      <c r="F1199" s="2" t="str">
        <f>"M_GERENC_INTER_AMB_FFAS"</f>
        <v>M_GERENC_INTER_AMB_FFAS</v>
      </c>
      <c r="G1199" s="2" t="str">
        <f>"Faturamento / Faturamento Ambulatorial SUS (BPA e APAC) / Lançamentos / BPA / Transferência de eventos para internação (M_GERENC_INTER_AMB_FFAS)"</f>
        <v>Faturamento / Faturamento Ambulatorial SUS (BPA e APAC) / Lançamentos / BPA / Transferência de eventos para internação (M_GERENC_INTER_AMB_FFAS)</v>
      </c>
    </row>
    <row r="1200" spans="1:7" x14ac:dyDescent="0.3">
      <c r="A1200" s="1" t="s">
        <v>4</v>
      </c>
      <c r="B1200" s="2" t="str">
        <f t="shared" si="110"/>
        <v>SISTEMA FATURAMENTO AMBULATORIO SUS</v>
      </c>
      <c r="C1200" s="2" t="str">
        <f t="shared" si="111"/>
        <v>FATUR-SUS</v>
      </c>
      <c r="D1200" s="2" t="str">
        <f t="shared" si="112"/>
        <v>FFAS</v>
      </c>
      <c r="E1200" s="2" t="str">
        <f>"Controle de Laudo APAC"</f>
        <v>Controle de Laudo APAC</v>
      </c>
      <c r="F1200" s="2" t="str">
        <f>"M_CONTROLE_LAUDO_APAC"</f>
        <v>M_CONTROLE_LAUDO_APAC</v>
      </c>
      <c r="G1200" s="2" t="str">
        <f>" ()"</f>
        <v xml:space="preserve"> ()</v>
      </c>
    </row>
    <row r="1201" spans="1:7" x14ac:dyDescent="0.3">
      <c r="A1201" s="1" t="s">
        <v>4</v>
      </c>
      <c r="B1201" s="2" t="str">
        <f t="shared" si="110"/>
        <v>SISTEMA FATURAMENTO AMBULATORIO SUS</v>
      </c>
      <c r="C1201" s="2" t="str">
        <f t="shared" si="111"/>
        <v>FATUR-SUS</v>
      </c>
      <c r="D1201" s="2" t="str">
        <f t="shared" si="112"/>
        <v>FFAS</v>
      </c>
      <c r="E1201" s="2" t="str">
        <f>"Fatura e Remessa BPA(Nova)"</f>
        <v>Fatura e Remessa BPA(Nova)</v>
      </c>
      <c r="F1201" s="2" t="str">
        <f>"M_FATURA_BPA"</f>
        <v>M_FATURA_BPA</v>
      </c>
      <c r="G1201" s="2" t="str">
        <f>"Faturamento / Faturamento Ambulatorial SUS (BPA e APAC) / Faturamento / Abertura / Fatura e Remessa BPA(Nova) (M_FATURA_BPA)"</f>
        <v>Faturamento / Faturamento Ambulatorial SUS (BPA e APAC) / Faturamento / Abertura / Fatura e Remessa BPA(Nova) (M_FATURA_BPA)</v>
      </c>
    </row>
    <row r="1202" spans="1:7" x14ac:dyDescent="0.3">
      <c r="A1202" s="1" t="s">
        <v>4</v>
      </c>
      <c r="B1202" s="2" t="str">
        <f t="shared" si="110"/>
        <v>SISTEMA FATURAMENTO AMBULATORIO SUS</v>
      </c>
      <c r="C1202" s="2" t="str">
        <f t="shared" si="111"/>
        <v>FATUR-SUS</v>
      </c>
      <c r="D1202" s="2" t="str">
        <f t="shared" si="112"/>
        <v>FFAS</v>
      </c>
      <c r="E1202" s="2" t="str">
        <f>"Exportação BPA(Nova)"</f>
        <v>Exportação BPA(Nova)</v>
      </c>
      <c r="F1202" s="2" t="str">
        <f>"M_GERA_BPA"</f>
        <v>M_GERA_BPA</v>
      </c>
      <c r="G1202" s="2" t="str">
        <f>"Faturamento / Faturamento Ambulatorial SUS (BPA e APAC) / Faturamento / Exportação BPA(Nova) (M_GERA_BPA)"</f>
        <v>Faturamento / Faturamento Ambulatorial SUS (BPA e APAC) / Faturamento / Exportação BPA(Nova) (M_GERA_BPA)</v>
      </c>
    </row>
    <row r="1203" spans="1:7" x14ac:dyDescent="0.3">
      <c r="A1203" s="1" t="s">
        <v>4</v>
      </c>
      <c r="B1203" s="2" t="str">
        <f t="shared" si="110"/>
        <v>SISTEMA FATURAMENTO AMBULATORIO SUS</v>
      </c>
      <c r="C1203" s="2" t="str">
        <f t="shared" si="111"/>
        <v>FATUR-SUS</v>
      </c>
      <c r="D1203" s="2" t="str">
        <f t="shared" si="112"/>
        <v>FFAS</v>
      </c>
      <c r="E1203" s="2" t="str">
        <f>"Glosas de BPA"</f>
        <v>Glosas de BPA</v>
      </c>
      <c r="F1203" s="2" t="str">
        <f>"M_CANCELA_GLOSA_BPA"</f>
        <v>M_CANCELA_GLOSA_BPA</v>
      </c>
      <c r="G1203" s="2" t="str">
        <f>" ()"</f>
        <v xml:space="preserve"> ()</v>
      </c>
    </row>
    <row r="1204" spans="1:7" x14ac:dyDescent="0.3">
      <c r="A1204" s="1" t="s">
        <v>4</v>
      </c>
      <c r="B1204" s="2" t="str">
        <f t="shared" si="110"/>
        <v>SISTEMA FATURAMENTO AMBULATORIO SUS</v>
      </c>
      <c r="C1204" s="2" t="str">
        <f t="shared" si="111"/>
        <v>FATUR-SUS</v>
      </c>
      <c r="D1204" s="2" t="str">
        <f t="shared" si="112"/>
        <v>FFAS</v>
      </c>
      <c r="E1204" s="2" t="str">
        <f>"Pendencias de Integração Apac"</f>
        <v>Pendencias de Integração Apac</v>
      </c>
      <c r="F1204" s="2" t="str">
        <f>"M_PENDENCIA_INTEGRA_APAC"</f>
        <v>M_PENDENCIA_INTEGRA_APAC</v>
      </c>
      <c r="G1204" s="2" t="str">
        <f>" ()"</f>
        <v xml:space="preserve"> ()</v>
      </c>
    </row>
    <row r="1205" spans="1:7" x14ac:dyDescent="0.3">
      <c r="A1205" s="1" t="s">
        <v>4</v>
      </c>
      <c r="B1205" s="2" t="str">
        <f t="shared" si="110"/>
        <v>SISTEMA FATURAMENTO AMBULATORIO SUS</v>
      </c>
      <c r="C1205" s="2" t="str">
        <f t="shared" si="111"/>
        <v>FATUR-SUS</v>
      </c>
      <c r="D1205" s="2" t="str">
        <f t="shared" si="112"/>
        <v>FFAS</v>
      </c>
      <c r="E1205" s="2" t="str">
        <f>"Resultado Mamografia"</f>
        <v>Resultado Mamografia</v>
      </c>
      <c r="F1205" s="2" t="str">
        <f>"M_RESULTADO_MAMO_MAMA"</f>
        <v>M_RESULTADO_MAMO_MAMA</v>
      </c>
      <c r="G1205" s="2" t="str">
        <f>" ()"</f>
        <v xml:space="preserve"> ()</v>
      </c>
    </row>
    <row r="1206" spans="1:7" x14ac:dyDescent="0.3">
      <c r="A1206" s="1" t="s">
        <v>4</v>
      </c>
      <c r="B1206" s="2" t="str">
        <f t="shared" si="110"/>
        <v>SISTEMA FATURAMENTO AMBULATORIO SUS</v>
      </c>
      <c r="C1206" s="2" t="str">
        <f t="shared" si="111"/>
        <v>FATUR-SUS</v>
      </c>
      <c r="D1206" s="2" t="str">
        <f t="shared" si="112"/>
        <v>FFAS</v>
      </c>
      <c r="E1206" s="2" t="str">
        <f>"Requisição Mamografia"</f>
        <v>Requisição Mamografia</v>
      </c>
      <c r="F1206" s="2" t="str">
        <f>"M_REQUISICAO_MAMO_MAMA"</f>
        <v>M_REQUISICAO_MAMO_MAMA</v>
      </c>
      <c r="G1206" s="2" t="str">
        <f>" ()"</f>
        <v xml:space="preserve"> ()</v>
      </c>
    </row>
    <row r="1207" spans="1:7" x14ac:dyDescent="0.3">
      <c r="A1207" s="1" t="s">
        <v>4</v>
      </c>
      <c r="B1207" s="2" t="str">
        <f t="shared" si="110"/>
        <v>SISTEMA FATURAMENTO AMBULATORIO SUS</v>
      </c>
      <c r="C1207" s="2" t="str">
        <f t="shared" si="111"/>
        <v>FATUR-SUS</v>
      </c>
      <c r="D1207" s="2" t="str">
        <f t="shared" si="112"/>
        <v>FFAS</v>
      </c>
      <c r="E1207" s="2" t="str">
        <f>"EQUIPE DA SAUDE DA FAMILIA"</f>
        <v>EQUIPE DA SAUDE DA FAMILIA</v>
      </c>
      <c r="F1207" s="2" t="str">
        <f>"M_EQUIPE_SAUDE_FAMILIA"</f>
        <v>M_EQUIPE_SAUDE_FAMILIA</v>
      </c>
      <c r="G1207" s="2" t="str">
        <f>"Faturamento / Faturamento Ambulatorial SUS (BPA e APAC) / Tabelas / Geral / Equipe Brasil / Equipe Saúde da Família (M_EQUIPE_SAUDE_FAMILIA)"</f>
        <v>Faturamento / Faturamento Ambulatorial SUS (BPA e APAC) / Tabelas / Geral / Equipe Brasil / Equipe Saúde da Família (M_EQUIPE_SAUDE_FAMILIA)</v>
      </c>
    </row>
    <row r="1208" spans="1:7" x14ac:dyDescent="0.3">
      <c r="A1208" s="1" t="s">
        <v>4</v>
      </c>
      <c r="B1208" s="2" t="str">
        <f t="shared" si="110"/>
        <v>SISTEMA FATURAMENTO AMBULATORIO SUS</v>
      </c>
      <c r="C1208" s="2" t="str">
        <f t="shared" si="111"/>
        <v>FATUR-SUS</v>
      </c>
      <c r="D1208" s="2" t="str">
        <f t="shared" si="112"/>
        <v>FFAS</v>
      </c>
      <c r="E1208" s="2" t="str">
        <f>"TIPO DE EQUIPE DA SAUDE DA FAMILIA"</f>
        <v>TIPO DE EQUIPE DA SAUDE DA FAMILIA</v>
      </c>
      <c r="F1208" s="2" t="str">
        <f>"M_TIPO_EQUIPE_SF"</f>
        <v>M_TIPO_EQUIPE_SF</v>
      </c>
      <c r="G1208" s="2" t="str">
        <f>"Faturamento / Faturamento Ambulatorial SUS (BPA e APAC) / Tabelas / Geral / Equipe Brasil / Tipo da Equipe SF (M_TIPO_EQUIPE_SF)"</f>
        <v>Faturamento / Faturamento Ambulatorial SUS (BPA e APAC) / Tabelas / Geral / Equipe Brasil / Tipo da Equipe SF (M_TIPO_EQUIPE_SF)</v>
      </c>
    </row>
    <row r="1209" spans="1:7" x14ac:dyDescent="0.3">
      <c r="A1209" s="1" t="s">
        <v>4</v>
      </c>
      <c r="B1209" s="2" t="str">
        <f t="shared" si="110"/>
        <v>SISTEMA FATURAMENTO AMBULATORIO SUS</v>
      </c>
      <c r="C1209" s="2" t="str">
        <f t="shared" si="111"/>
        <v>FATUR-SUS</v>
      </c>
      <c r="D1209" s="2" t="str">
        <f t="shared" si="112"/>
        <v>FFAS</v>
      </c>
      <c r="E1209" s="2" t="str">
        <f>"AUTOMACAO DE SERVICO SUS"</f>
        <v>AUTOMACAO DE SERVICO SUS</v>
      </c>
      <c r="F1209" s="2" t="str">
        <f>"M_AUTOMATIZA_SERVICO_SUS"</f>
        <v>M_AUTOMATIZA_SERVICO_SUS</v>
      </c>
      <c r="G1209" s="2" t="str">
        <f>"Faturamento / Faturamento Ambulatorial SUS (BPA e APAC) / Tabelas / Integrações / Automatiza Serviço SUS (M_AUTOMATIZA_SERVICO_SUS)"</f>
        <v>Faturamento / Faturamento Ambulatorial SUS (BPA e APAC) / Tabelas / Integrações / Automatiza Serviço SUS (M_AUTOMATIZA_SERVICO_SUS)</v>
      </c>
    </row>
    <row r="1210" spans="1:7" x14ac:dyDescent="0.3">
      <c r="A1210" s="1" t="s">
        <v>4</v>
      </c>
      <c r="B1210" s="2" t="str">
        <f t="shared" si="110"/>
        <v>SISTEMA FATURAMENTO AMBULATORIO SUS</v>
      </c>
      <c r="C1210" s="2" t="str">
        <f t="shared" si="111"/>
        <v>FATUR-SUS</v>
      </c>
      <c r="D1210" s="2" t="str">
        <f t="shared" si="112"/>
        <v>FFAS</v>
      </c>
      <c r="E1210" s="2" t="str">
        <f>"SERVIÇOS"</f>
        <v>SERVIÇOS</v>
      </c>
      <c r="F1210" s="2" t="str">
        <f>"R_SERFAT.RDF"</f>
        <v>R_SERFAT.RDF</v>
      </c>
      <c r="G1210" s="2" t="str">
        <f t="shared" ref="G1210:G1223" si="113">" ()"</f>
        <v xml:space="preserve"> ()</v>
      </c>
    </row>
    <row r="1211" spans="1:7" x14ac:dyDescent="0.3">
      <c r="A1211" s="1" t="s">
        <v>4</v>
      </c>
      <c r="B1211" s="2" t="str">
        <f t="shared" si="110"/>
        <v>SISTEMA FATURAMENTO AMBULATORIO SUS</v>
      </c>
      <c r="C1211" s="2" t="str">
        <f t="shared" si="111"/>
        <v>FATUR-SUS</v>
      </c>
      <c r="D1211" s="2" t="str">
        <f t="shared" si="112"/>
        <v>FFAS</v>
      </c>
      <c r="E1211" s="2" t="str">
        <f>"R_RELACAO_NOMINAL_PERSONAL"</f>
        <v>R_RELACAO_NOMINAL_PERSONAL</v>
      </c>
      <c r="F1211" s="2" t="str">
        <f>"R_RELACAO_NOMINAL_PERSONAL"</f>
        <v>R_RELACAO_NOMINAL_PERSONAL</v>
      </c>
      <c r="G1211" s="2" t="str">
        <f t="shared" si="113"/>
        <v xml:space="preserve"> ()</v>
      </c>
    </row>
    <row r="1212" spans="1:7" x14ac:dyDescent="0.3">
      <c r="A1212" s="1" t="s">
        <v>4</v>
      </c>
      <c r="B1212" s="2" t="str">
        <f t="shared" si="110"/>
        <v>SISTEMA FATURAMENTO AMBULATORIO SUS</v>
      </c>
      <c r="C1212" s="2" t="str">
        <f t="shared" si="111"/>
        <v>FATUR-SUS</v>
      </c>
      <c r="D1212" s="2" t="str">
        <f t="shared" si="112"/>
        <v>FFAS</v>
      </c>
      <c r="E1212" s="2" t="str">
        <f>"RELAÇÃO NOMINAL"</f>
        <v>RELAÇÃO NOMINAL</v>
      </c>
      <c r="F1212" s="2" t="str">
        <f>"R_RELACAO_NOMINAL_P321.RDF"</f>
        <v>R_RELACAO_NOMINAL_P321.RDF</v>
      </c>
      <c r="G1212" s="2" t="str">
        <f t="shared" si="113"/>
        <v xml:space="preserve"> ()</v>
      </c>
    </row>
    <row r="1213" spans="1:7" x14ac:dyDescent="0.3">
      <c r="A1213" s="1" t="s">
        <v>4</v>
      </c>
      <c r="B1213" s="2" t="str">
        <f t="shared" si="110"/>
        <v>SISTEMA FATURAMENTO AMBULATORIO SUS</v>
      </c>
      <c r="C1213" s="2" t="str">
        <f t="shared" si="111"/>
        <v>FATUR-SUS</v>
      </c>
      <c r="D1213" s="2" t="str">
        <f t="shared" si="112"/>
        <v>FFAS</v>
      </c>
      <c r="E1213" s="2" t="str">
        <f>"LAUDOS APAC ENCAMINHADOS A SECRETARIA"</f>
        <v>LAUDOS APAC ENCAMINHADOS A SECRETARIA</v>
      </c>
      <c r="F1213" s="2" t="str">
        <f>"R_RELACAO_LD_APAC_P321.RDF"</f>
        <v>R_RELACAO_LD_APAC_P321.RDF</v>
      </c>
      <c r="G1213" s="2" t="str">
        <f t="shared" si="113"/>
        <v xml:space="preserve"> ()</v>
      </c>
    </row>
    <row r="1214" spans="1:7" x14ac:dyDescent="0.3">
      <c r="A1214" s="1" t="s">
        <v>4</v>
      </c>
      <c r="B1214" s="2" t="str">
        <f t="shared" si="110"/>
        <v>SISTEMA FATURAMENTO AMBULATORIO SUS</v>
      </c>
      <c r="C1214" s="2" t="str">
        <f t="shared" si="111"/>
        <v>FATUR-SUS</v>
      </c>
      <c r="D1214" s="2" t="str">
        <f t="shared" si="112"/>
        <v>FFAS</v>
      </c>
      <c r="E1214" s="2" t="str">
        <f>"TABELA DE MOTIVOS DE COBRANCA"</f>
        <v>TABELA DE MOTIVOS DE COBRANCA</v>
      </c>
      <c r="F1214" s="2" t="str">
        <f>"M_MOTIVO_COBRANCA"</f>
        <v>M_MOTIVO_COBRANCA</v>
      </c>
      <c r="G1214" s="2" t="str">
        <f t="shared" si="113"/>
        <v xml:space="preserve"> ()</v>
      </c>
    </row>
    <row r="1215" spans="1:7" x14ac:dyDescent="0.3">
      <c r="A1215" s="1" t="s">
        <v>4</v>
      </c>
      <c r="B1215" s="2" t="str">
        <f t="shared" si="110"/>
        <v>SISTEMA FATURAMENTO AMBULATORIO SUS</v>
      </c>
      <c r="C1215" s="2" t="str">
        <f t="shared" si="111"/>
        <v>FATUR-SUS</v>
      </c>
      <c r="D1215" s="2" t="str">
        <f t="shared" si="112"/>
        <v>FFAS</v>
      </c>
      <c r="E1215" s="2" t="str">
        <f>"LANCAMENTO DE PROCEDIMENTOS APAC"</f>
        <v>LANCAMENTO DE PROCEDIMENTOS APAC</v>
      </c>
      <c r="F1215" s="2" t="str">
        <f>"M_APAC"</f>
        <v>M_APAC</v>
      </c>
      <c r="G1215" s="2" t="str">
        <f t="shared" si="113"/>
        <v xml:space="preserve"> ()</v>
      </c>
    </row>
    <row r="1216" spans="1:7" x14ac:dyDescent="0.3">
      <c r="A1216" s="1" t="s">
        <v>4</v>
      </c>
      <c r="B1216" s="2" t="str">
        <f t="shared" si="110"/>
        <v>SISTEMA FATURAMENTO AMBULATORIO SUS</v>
      </c>
      <c r="C1216" s="2" t="str">
        <f t="shared" si="111"/>
        <v>FATUR-SUS</v>
      </c>
      <c r="D1216" s="2" t="str">
        <f t="shared" si="112"/>
        <v>FFAS</v>
      </c>
      <c r="E1216" s="2" t="str">
        <f>"GERAÇÃO DE DISCO MAGNÉTICO APAC"</f>
        <v>GERAÇÃO DE DISCO MAGNÉTICO APAC</v>
      </c>
      <c r="F1216" s="2" t="str">
        <f>"O_GERAPAC"</f>
        <v>O_GERAPAC</v>
      </c>
      <c r="G1216" s="2" t="str">
        <f t="shared" si="113"/>
        <v xml:space="preserve"> ()</v>
      </c>
    </row>
    <row r="1217" spans="1:7" x14ac:dyDescent="0.3">
      <c r="A1217" s="1" t="s">
        <v>4</v>
      </c>
      <c r="B1217" s="2" t="str">
        <f t="shared" si="110"/>
        <v>SISTEMA FATURAMENTO AMBULATORIO SUS</v>
      </c>
      <c r="C1217" s="2" t="str">
        <f t="shared" si="111"/>
        <v>FATUR-SUS</v>
      </c>
      <c r="D1217" s="2" t="str">
        <f t="shared" si="112"/>
        <v>FFAS</v>
      </c>
      <c r="E1217" s="2" t="str">
        <f>"RELATÓRIO DE GRUPOS DO ATENDIMENTO"</f>
        <v>RELATÓRIO DE GRUPOS DO ATENDIMENTO</v>
      </c>
      <c r="F1217" s="2" t="str">
        <f>"R_APAC_VENCIDA"</f>
        <v>R_APAC_VENCIDA</v>
      </c>
      <c r="G1217" s="2" t="str">
        <f t="shared" si="113"/>
        <v xml:space="preserve"> ()</v>
      </c>
    </row>
    <row r="1218" spans="1:7" x14ac:dyDescent="0.3">
      <c r="A1218" s="1" t="s">
        <v>4</v>
      </c>
      <c r="B1218" s="2" t="str">
        <f t="shared" si="110"/>
        <v>SISTEMA FATURAMENTO AMBULATORIO SUS</v>
      </c>
      <c r="C1218" s="2" t="str">
        <f t="shared" si="111"/>
        <v>FATUR-SUS</v>
      </c>
      <c r="D1218" s="2" t="str">
        <f t="shared" si="112"/>
        <v>FFAS</v>
      </c>
      <c r="E1218" s="2" t="str">
        <f>"RELATORIO DE FREQUENCIA - QUIMIOTERAPIA"</f>
        <v>RELATORIO DE FREQUENCIA - QUIMIOTERAPIA</v>
      </c>
      <c r="F1218" s="2" t="str">
        <f>"R_CONTROLE_FREQUENCIA_TIPO29"</f>
        <v>R_CONTROLE_FREQUENCIA_TIPO29</v>
      </c>
      <c r="G1218" s="2" t="str">
        <f t="shared" si="113"/>
        <v xml:space="preserve"> ()</v>
      </c>
    </row>
    <row r="1219" spans="1:7" x14ac:dyDescent="0.3">
      <c r="A1219" s="1" t="s">
        <v>4</v>
      </c>
      <c r="B1219" s="2" t="str">
        <f t="shared" si="110"/>
        <v>SISTEMA FATURAMENTO AMBULATORIO SUS</v>
      </c>
      <c r="C1219" s="2" t="str">
        <f t="shared" si="111"/>
        <v>FATUR-SUS</v>
      </c>
      <c r="D1219" s="2" t="str">
        <f t="shared" si="112"/>
        <v>FFAS</v>
      </c>
      <c r="E1219" s="2" t="str">
        <f>"RELATORIO DE FREQUENCIA - RADIOTERAPIA"</f>
        <v>RELATORIO DE FREQUENCIA - RADIOTERAPIA</v>
      </c>
      <c r="F1219" s="2" t="str">
        <f>"R_CONTROLE_FREQUENCIA_TIPO28"</f>
        <v>R_CONTROLE_FREQUENCIA_TIPO28</v>
      </c>
      <c r="G1219" s="2" t="str">
        <f t="shared" si="113"/>
        <v xml:space="preserve"> ()</v>
      </c>
    </row>
    <row r="1220" spans="1:7" x14ac:dyDescent="0.3">
      <c r="A1220" s="1" t="s">
        <v>4</v>
      </c>
      <c r="B1220" s="2" t="str">
        <f t="shared" si="110"/>
        <v>SISTEMA FATURAMENTO AMBULATORIO SUS</v>
      </c>
      <c r="C1220" s="2" t="str">
        <f t="shared" si="111"/>
        <v>FATUR-SUS</v>
      </c>
      <c r="D1220" s="2" t="str">
        <f t="shared" si="112"/>
        <v>FFAS</v>
      </c>
      <c r="E1220" s="2" t="str">
        <f>"RELATORIO DE FREQUENCIA - DIALISE"</f>
        <v>RELATORIO DE FREQUENCIA - DIALISE</v>
      </c>
      <c r="F1220" s="2" t="str">
        <f>"R_CONTROLE_FREQUENCIA_TIPO27"</f>
        <v>R_CONTROLE_FREQUENCIA_TIPO27</v>
      </c>
      <c r="G1220" s="2" t="str">
        <f t="shared" si="113"/>
        <v xml:space="preserve"> ()</v>
      </c>
    </row>
    <row r="1221" spans="1:7" x14ac:dyDescent="0.3">
      <c r="A1221" s="1" t="s">
        <v>4</v>
      </c>
      <c r="B1221" s="2" t="str">
        <f t="shared" si="110"/>
        <v>SISTEMA FATURAMENTO AMBULATORIO SUS</v>
      </c>
      <c r="C1221" s="2" t="str">
        <f t="shared" si="111"/>
        <v>FATUR-SUS</v>
      </c>
      <c r="D1221" s="2" t="str">
        <f t="shared" si="112"/>
        <v>FFAS</v>
      </c>
      <c r="E1221" s="2" t="str">
        <f>"MANUTENÇÃO PORTARIAS - TABELA SIA/SUS"</f>
        <v>MANUTENÇÃO PORTARIAS - TABELA SIA/SUS</v>
      </c>
      <c r="F1221" s="2" t="str">
        <f>"M_PORTARIAS"</f>
        <v>M_PORTARIAS</v>
      </c>
      <c r="G1221" s="2" t="str">
        <f t="shared" si="113"/>
        <v xml:space="preserve"> ()</v>
      </c>
    </row>
    <row r="1222" spans="1:7" x14ac:dyDescent="0.3">
      <c r="A1222" s="1" t="s">
        <v>4</v>
      </c>
      <c r="B1222" s="2" t="str">
        <f t="shared" si="110"/>
        <v>SISTEMA FATURAMENTO AMBULATORIO SUS</v>
      </c>
      <c r="C1222" s="2" t="str">
        <f t="shared" si="111"/>
        <v>FATUR-SUS</v>
      </c>
      <c r="D1222" s="2" t="str">
        <f t="shared" si="112"/>
        <v>FFAS</v>
      </c>
      <c r="E1222" s="2" t="str">
        <f>"CONSULTA DE VALORES SIA"</f>
        <v>CONSULTA DE VALORES SIA</v>
      </c>
      <c r="F1222" s="2" t="str">
        <f>"C_VALORES_SIA"</f>
        <v>C_VALORES_SIA</v>
      </c>
      <c r="G1222" s="2" t="str">
        <f t="shared" si="113"/>
        <v xml:space="preserve"> ()</v>
      </c>
    </row>
    <row r="1223" spans="1:7" x14ac:dyDescent="0.3">
      <c r="A1223" s="1" t="s">
        <v>4</v>
      </c>
      <c r="B1223" s="2" t="str">
        <f t="shared" si="110"/>
        <v>SISTEMA FATURAMENTO AMBULATORIO SUS</v>
      </c>
      <c r="C1223" s="2" t="str">
        <f t="shared" si="111"/>
        <v>FATUR-SUS</v>
      </c>
      <c r="D1223" s="2" t="str">
        <f t="shared" si="112"/>
        <v>FFAS</v>
      </c>
      <c r="E1223" s="2" t="str">
        <f>"RELATÓRIO DE FATURAMENTO GLOBAL"</f>
        <v>RELATÓRIO DE FATURAMENTO GLOBAL</v>
      </c>
      <c r="F1223" s="2" t="str">
        <f>"R_PROCMEDESP"</f>
        <v>R_PROCMEDESP</v>
      </c>
      <c r="G1223" s="2" t="str">
        <f t="shared" si="113"/>
        <v xml:space="preserve"> ()</v>
      </c>
    </row>
    <row r="1224" spans="1:7" x14ac:dyDescent="0.3">
      <c r="A1224" s="1" t="s">
        <v>4</v>
      </c>
      <c r="B1224" s="2" t="str">
        <f t="shared" si="110"/>
        <v>SISTEMA FATURAMENTO AMBULATORIO SUS</v>
      </c>
      <c r="C1224" s="2" t="str">
        <f t="shared" si="111"/>
        <v>FATUR-SUS</v>
      </c>
      <c r="D1224" s="2" t="str">
        <f t="shared" si="112"/>
        <v>FFAS</v>
      </c>
      <c r="E1224" s="2" t="str">
        <f>"Lançamento de BPA"</f>
        <v>Lançamento de BPA</v>
      </c>
      <c r="F1224" s="2" t="str">
        <f>"M_LANCA_BPA"</f>
        <v>M_LANCA_BPA</v>
      </c>
      <c r="G1224" s="2" t="str">
        <f>"Faturamento / Faturamento Ambulatorial SUS (BPA e APAC) / Lançamentos / BPA / Lançamento de BPA (M_LANCA_BPA)"</f>
        <v>Faturamento / Faturamento Ambulatorial SUS (BPA e APAC) / Lançamentos / BPA / Lançamento de BPA (M_LANCA_BPA)</v>
      </c>
    </row>
    <row r="1225" spans="1:7" x14ac:dyDescent="0.3">
      <c r="A1225" s="1" t="s">
        <v>4</v>
      </c>
      <c r="B1225" s="2" t="str">
        <f t="shared" si="110"/>
        <v>SISTEMA FATURAMENTO AMBULATORIO SUS</v>
      </c>
      <c r="C1225" s="2" t="str">
        <f t="shared" si="111"/>
        <v>FATUR-SUS</v>
      </c>
      <c r="D1225" s="2" t="str">
        <f t="shared" si="112"/>
        <v>FFAS</v>
      </c>
      <c r="E1225" s="2" t="str">
        <f>"RELATÓRIO DE PROCEDIMENTO POR IDADE"</f>
        <v>RELATÓRIO DE PROCEDIMENTO POR IDADE</v>
      </c>
      <c r="F1225" s="2" t="str">
        <f>"R_PROC_IDADE"</f>
        <v>R_PROC_IDADE</v>
      </c>
      <c r="G1225" s="2" t="str">
        <f t="shared" ref="G1225:G1230" si="114">" ()"</f>
        <v xml:space="preserve"> ()</v>
      </c>
    </row>
    <row r="1226" spans="1:7" x14ac:dyDescent="0.3">
      <c r="A1226" s="1" t="s">
        <v>4</v>
      </c>
      <c r="B1226" s="2" t="str">
        <f t="shared" si="110"/>
        <v>SISTEMA FATURAMENTO AMBULATORIO SUS</v>
      </c>
      <c r="C1226" s="2" t="str">
        <f t="shared" si="111"/>
        <v>FATUR-SUS</v>
      </c>
      <c r="D1226" s="2" t="str">
        <f t="shared" si="112"/>
        <v>FFAS</v>
      </c>
      <c r="E1226" s="2" t="str">
        <f>"R_SECI2"</f>
        <v>R_SECI2</v>
      </c>
      <c r="F1226" s="2" t="str">
        <f>"R_SECI2"</f>
        <v>R_SECI2</v>
      </c>
      <c r="G1226" s="2" t="str">
        <f t="shared" si="114"/>
        <v xml:space="preserve"> ()</v>
      </c>
    </row>
    <row r="1227" spans="1:7" x14ac:dyDescent="0.3">
      <c r="A1227" s="1" t="s">
        <v>4</v>
      </c>
      <c r="B1227" s="2" t="str">
        <f t="shared" si="110"/>
        <v>SISTEMA FATURAMENTO AMBULATORIO SUS</v>
      </c>
      <c r="C1227" s="2" t="str">
        <f t="shared" si="111"/>
        <v>FATUR-SUS</v>
      </c>
      <c r="D1227" s="2" t="str">
        <f t="shared" si="112"/>
        <v>FFAS</v>
      </c>
      <c r="E1227" s="2" t="str">
        <f>"REL.FAT. PRESTADOR E  ESPECIALIDADE"</f>
        <v>REL.FAT. PRESTADOR E  ESPECIALIDADE</v>
      </c>
      <c r="F1227" s="2" t="str">
        <f>"R_FAT_PRE_ESP"</f>
        <v>R_FAT_PRE_ESP</v>
      </c>
      <c r="G1227" s="2" t="str">
        <f t="shared" si="114"/>
        <v xml:space="preserve"> ()</v>
      </c>
    </row>
    <row r="1228" spans="1:7" x14ac:dyDescent="0.3">
      <c r="A1228" s="1" t="s">
        <v>4</v>
      </c>
      <c r="B1228" s="2" t="str">
        <f t="shared" si="110"/>
        <v>SISTEMA FATURAMENTO AMBULATORIO SUS</v>
      </c>
      <c r="C1228" s="2" t="str">
        <f t="shared" si="111"/>
        <v>FATUR-SUS</v>
      </c>
      <c r="D1228" s="2" t="str">
        <f t="shared" si="112"/>
        <v>FFAS</v>
      </c>
      <c r="E1228" s="2" t="str">
        <f>"TRIGGER DE VALIDAÇÃO DA TABELA EVE_SIASU"</f>
        <v>TRIGGER DE VALIDAÇÃO DA TABELA EVE_SIASU</v>
      </c>
      <c r="F1228" s="2" t="str">
        <f>"TRG_EVE_SIASUS"</f>
        <v>TRG_EVE_SIASUS</v>
      </c>
      <c r="G1228" s="2" t="str">
        <f t="shared" si="114"/>
        <v xml:space="preserve"> ()</v>
      </c>
    </row>
    <row r="1229" spans="1:7" x14ac:dyDescent="0.3">
      <c r="A1229" s="1" t="s">
        <v>4</v>
      </c>
      <c r="B1229" s="2" t="str">
        <f t="shared" si="110"/>
        <v>SISTEMA FATURAMENTO AMBULATORIO SUS</v>
      </c>
      <c r="C1229" s="2" t="str">
        <f t="shared" si="111"/>
        <v>FATUR-SUS</v>
      </c>
      <c r="D1229" s="2" t="str">
        <f t="shared" si="112"/>
        <v>FFAS</v>
      </c>
      <c r="E1229" s="2" t="str">
        <f>"REL. DOS TETOS ORÇAMENTÁRIOS"</f>
        <v>REL. DOS TETOS ORÇAMENTÁRIOS</v>
      </c>
      <c r="F1229" s="2" t="str">
        <f>"R_TERTOC"</f>
        <v>R_TERTOC</v>
      </c>
      <c r="G1229" s="2" t="str">
        <f t="shared" si="114"/>
        <v xml:space="preserve"> ()</v>
      </c>
    </row>
    <row r="1230" spans="1:7" x14ac:dyDescent="0.3">
      <c r="A1230" s="1" t="s">
        <v>4</v>
      </c>
      <c r="B1230" s="2" t="str">
        <f t="shared" si="110"/>
        <v>SISTEMA FATURAMENTO AMBULATORIO SUS</v>
      </c>
      <c r="C1230" s="2" t="str">
        <f t="shared" si="111"/>
        <v>FATUR-SUS</v>
      </c>
      <c r="D1230" s="2" t="str">
        <f t="shared" si="112"/>
        <v>FFAS</v>
      </c>
      <c r="E1230" s="2" t="str">
        <f>"R_PAC_AGD756"</f>
        <v>R_PAC_AGD756</v>
      </c>
      <c r="F1230" s="2" t="str">
        <f>"R_PAC_AGD756"</f>
        <v>R_PAC_AGD756</v>
      </c>
      <c r="G1230" s="2" t="str">
        <f t="shared" si="114"/>
        <v xml:space="preserve"> ()</v>
      </c>
    </row>
    <row r="1231" spans="1:7" x14ac:dyDescent="0.3">
      <c r="A1231" s="1" t="s">
        <v>4</v>
      </c>
      <c r="B1231" s="2" t="str">
        <f t="shared" si="110"/>
        <v>SISTEMA FATURAMENTO AMBULATORIO SUS</v>
      </c>
      <c r="C1231" s="2" t="str">
        <f t="shared" si="111"/>
        <v>FATUR-SUS</v>
      </c>
      <c r="D1231" s="2" t="str">
        <f t="shared" si="112"/>
        <v>FFAS</v>
      </c>
      <c r="E1231" s="2" t="str">
        <f>"CADASTRO DE FINALIDADES DE TRATAMENTO"</f>
        <v>CADASTRO DE FINALIDADES DE TRATAMENTO</v>
      </c>
      <c r="F1231" s="2" t="str">
        <f>"M_FINALIDADE"</f>
        <v>M_FINALIDADE</v>
      </c>
      <c r="G1231" s="2" t="str">
        <f>"Faturamento / Faturamento Ambulatorial SUS (BPA e APAC) / Tabelas / APAC / Finalidades de Tratamento (M_FINALIDADE)"</f>
        <v>Faturamento / Faturamento Ambulatorial SUS (BPA e APAC) / Tabelas / APAC / Finalidades de Tratamento (M_FINALIDADE)</v>
      </c>
    </row>
    <row r="1232" spans="1:7" x14ac:dyDescent="0.3">
      <c r="A1232" s="1" t="s">
        <v>4</v>
      </c>
      <c r="B1232" s="2" t="str">
        <f t="shared" si="110"/>
        <v>SISTEMA FATURAMENTO AMBULATORIO SUS</v>
      </c>
      <c r="C1232" s="2" t="str">
        <f t="shared" si="111"/>
        <v>FATUR-SUS</v>
      </c>
      <c r="D1232" s="2" t="str">
        <f t="shared" si="112"/>
        <v>FFAS</v>
      </c>
      <c r="E1232" s="2" t="str">
        <f>"CADASTRO DE ESTÁDIOS"</f>
        <v>CADASTRO DE ESTÁDIOS</v>
      </c>
      <c r="F1232" s="2" t="str">
        <f>"M_ESTADIO"</f>
        <v>M_ESTADIO</v>
      </c>
      <c r="G1232" s="2" t="str">
        <f>"Faturamento / Faturamento Ambulatorial SUS (BPA e APAC) / Tabelas / APAC / Estádios (M_ESTADIO)"</f>
        <v>Faturamento / Faturamento Ambulatorial SUS (BPA e APAC) / Tabelas / APAC / Estádios (M_ESTADIO)</v>
      </c>
    </row>
    <row r="1233" spans="1:7" x14ac:dyDescent="0.3">
      <c r="A1233" s="1" t="s">
        <v>4</v>
      </c>
      <c r="B1233" s="2" t="str">
        <f t="shared" si="110"/>
        <v>SISTEMA FATURAMENTO AMBULATORIO SUS</v>
      </c>
      <c r="C1233" s="2" t="str">
        <f t="shared" si="111"/>
        <v>FATUR-SUS</v>
      </c>
      <c r="D1233" s="2" t="str">
        <f t="shared" si="112"/>
        <v>FFAS</v>
      </c>
      <c r="E1233" s="2" t="str">
        <f>"M_LAUDO_APAC"</f>
        <v>M_LAUDO_APAC</v>
      </c>
      <c r="F1233" s="2" t="str">
        <f>"M_LAUDO_APAC"</f>
        <v>M_LAUDO_APAC</v>
      </c>
      <c r="G1233" s="2" t="str">
        <f>" ()"</f>
        <v xml:space="preserve"> ()</v>
      </c>
    </row>
    <row r="1234" spans="1:7" x14ac:dyDescent="0.3">
      <c r="A1234" s="1" t="s">
        <v>4</v>
      </c>
      <c r="B1234" s="2" t="str">
        <f t="shared" si="110"/>
        <v>SISTEMA FATURAMENTO AMBULATORIO SUS</v>
      </c>
      <c r="C1234" s="2" t="str">
        <f t="shared" si="111"/>
        <v>FATUR-SUS</v>
      </c>
      <c r="D1234" s="2" t="str">
        <f t="shared" si="112"/>
        <v>FFAS</v>
      </c>
      <c r="E1234" s="2" t="str">
        <f>"LANÇAMENTOS: PRODUÇÃO AMBULATORIAL"</f>
        <v>LANÇAMENTOS: PRODUÇÃO AMBULATORIAL</v>
      </c>
      <c r="F1234" s="2" t="str">
        <f>"M_LAN_MED"</f>
        <v>M_LAN_MED</v>
      </c>
      <c r="G1234" s="2" t="str">
        <f>" ()"</f>
        <v xml:space="preserve"> ()</v>
      </c>
    </row>
    <row r="1235" spans="1:7" x14ac:dyDescent="0.3">
      <c r="A1235" s="1" t="s">
        <v>4</v>
      </c>
      <c r="B1235" s="2" t="str">
        <f t="shared" si="110"/>
        <v>SISTEMA FATURAMENTO AMBULATORIO SUS</v>
      </c>
      <c r="C1235" s="2" t="str">
        <f t="shared" si="111"/>
        <v>FATUR-SUS</v>
      </c>
      <c r="D1235" s="2" t="str">
        <f t="shared" si="112"/>
        <v>FFAS</v>
      </c>
      <c r="E1235" s="2" t="str">
        <f>"RELATÓRIO DE GRUPOS DO ATENDIMENTO"</f>
        <v>RELATÓRIO DE GRUPOS DO ATENDIMENTO</v>
      </c>
      <c r="F1235" s="2" t="str">
        <f>"R_INTERNADOS_POST"</f>
        <v>R_INTERNADOS_POST</v>
      </c>
      <c r="G1235" s="2" t="str">
        <f>"Faturamento / Faturamento Ambulatorial SUS (BPA e APAC) / Relatórios / Operacionais / Internações Posteriores (R_INTERNADOS_POST)"</f>
        <v>Faturamento / Faturamento Ambulatorial SUS (BPA e APAC) / Relatórios / Operacionais / Internações Posteriores (R_INTERNADOS_POST)</v>
      </c>
    </row>
    <row r="1236" spans="1:7" x14ac:dyDescent="0.3">
      <c r="A1236" s="1" t="s">
        <v>4</v>
      </c>
      <c r="B1236" s="2" t="str">
        <f t="shared" ref="B1236:B1299" si="115">"SISTEMA FATURAMENTO AMBULATORIO SUS"</f>
        <v>SISTEMA FATURAMENTO AMBULATORIO SUS</v>
      </c>
      <c r="C1236" s="2" t="str">
        <f t="shared" ref="C1236:C1299" si="116">"FATUR-SUS"</f>
        <v>FATUR-SUS</v>
      </c>
      <c r="D1236" s="2" t="str">
        <f t="shared" ref="D1236:D1299" si="117">"FFAS"</f>
        <v>FFAS</v>
      </c>
      <c r="E1236" s="2" t="str">
        <f>"RELATÓRIO DE EMISÃO DEMOSTRATIVA DE APAC"</f>
        <v>RELATÓRIO DE EMISÃO DEMOSTRATIVA DE APAC</v>
      </c>
      <c r="F1236" s="2" t="str">
        <f>"R_APAC"</f>
        <v>R_APAC</v>
      </c>
      <c r="G1236" s="2" t="str">
        <f>"Faturamento / Faturamento Ambulatorial SUS (BPA e APAC) / Relatórios / APAC / Demonstrativo APAC (R_APAC)"</f>
        <v>Faturamento / Faturamento Ambulatorial SUS (BPA e APAC) / Relatórios / APAC / Demonstrativo APAC (R_APAC)</v>
      </c>
    </row>
    <row r="1237" spans="1:7" x14ac:dyDescent="0.3">
      <c r="A1237" s="1" t="s">
        <v>4</v>
      </c>
      <c r="B1237" s="2" t="str">
        <f t="shared" si="115"/>
        <v>SISTEMA FATURAMENTO AMBULATORIO SUS</v>
      </c>
      <c r="C1237" s="2" t="str">
        <f t="shared" si="116"/>
        <v>FATUR-SUS</v>
      </c>
      <c r="D1237" s="2" t="str">
        <f t="shared" si="117"/>
        <v>FFAS</v>
      </c>
      <c r="E1237" s="2" t="str">
        <f>"MANUTENÇÃO DA TABELA DE SSM"</f>
        <v>MANUTENÇÃO DA TABELA DE SSM</v>
      </c>
      <c r="F1237" s="2" t="str">
        <f>"M_MANUTENCAO"</f>
        <v>M_MANUTENCAO</v>
      </c>
      <c r="G1237" s="2" t="str">
        <f>" ()"</f>
        <v xml:space="preserve"> ()</v>
      </c>
    </row>
    <row r="1238" spans="1:7" x14ac:dyDescent="0.3">
      <c r="A1238" s="1" t="s">
        <v>4</v>
      </c>
      <c r="B1238" s="2" t="str">
        <f t="shared" si="115"/>
        <v>SISTEMA FATURAMENTO AMBULATORIO SUS</v>
      </c>
      <c r="C1238" s="2" t="str">
        <f t="shared" si="116"/>
        <v>FATUR-SUS</v>
      </c>
      <c r="D1238" s="2" t="str">
        <f t="shared" si="117"/>
        <v>FFAS</v>
      </c>
      <c r="E1238" s="2" t="str">
        <f>"RELATÓRIO DE PROC. POR FAIXA ETARIA"</f>
        <v>RELATÓRIO DE PROC. POR FAIXA ETARIA</v>
      </c>
      <c r="F1238" s="2" t="str">
        <f>"R_PROC_FX_ETARIA"</f>
        <v>R_PROC_FX_ETARIA</v>
      </c>
      <c r="G1238" s="2" t="str">
        <f>" ()"</f>
        <v xml:space="preserve"> ()</v>
      </c>
    </row>
    <row r="1239" spans="1:7" x14ac:dyDescent="0.3">
      <c r="A1239" s="1" t="s">
        <v>4</v>
      </c>
      <c r="B1239" s="2" t="str">
        <f t="shared" si="115"/>
        <v>SISTEMA FATURAMENTO AMBULATORIO SUS</v>
      </c>
      <c r="C1239" s="2" t="str">
        <f t="shared" si="116"/>
        <v>FATUR-SUS</v>
      </c>
      <c r="D1239" s="2" t="str">
        <f t="shared" si="117"/>
        <v>FFAS</v>
      </c>
      <c r="E1239" s="2" t="str">
        <f>"PERSONALIZADOS DO FFAS"</f>
        <v>PERSONALIZADOS DO FFAS</v>
      </c>
      <c r="F1239" s="2" t="str">
        <f>"R_PERSON_FFAS"</f>
        <v>R_PERSON_FFAS</v>
      </c>
      <c r="G1239" s="2" t="str">
        <f>"Faturamento / Faturamento Ambulatorial SUS (BPA e APAC) / Relatórios / Personalizados (R_PERSON_FFAS)"</f>
        <v>Faturamento / Faturamento Ambulatorial SUS (BPA e APAC) / Relatórios / Personalizados (R_PERSON_FFAS)</v>
      </c>
    </row>
    <row r="1240" spans="1:7" x14ac:dyDescent="0.3">
      <c r="A1240" s="1" t="s">
        <v>4</v>
      </c>
      <c r="B1240" s="2" t="str">
        <f t="shared" si="115"/>
        <v>SISTEMA FATURAMENTO AMBULATORIO SUS</v>
      </c>
      <c r="C1240" s="2" t="str">
        <f t="shared" si="116"/>
        <v>FATUR-SUS</v>
      </c>
      <c r="D1240" s="2" t="str">
        <f t="shared" si="117"/>
        <v>FFAS</v>
      </c>
      <c r="E1240" s="2" t="str">
        <f>"RELATÓRIO FINANCIAMENTO POR COMPLEXIDADE"</f>
        <v>RELATÓRIO FINANCIAMENTO POR COMPLEXIDADE</v>
      </c>
      <c r="F1240" s="2" t="str">
        <f>"R_FINANC_COMPLX_PROC"</f>
        <v>R_FINANC_COMPLX_PROC</v>
      </c>
      <c r="G1240" s="2" t="str">
        <f>"Faturamento / Faturamento Ambulatorial SUS (BPA e APAC) / Relatórios / Gerenciais / Financiamento por Complexidade Procedimento (R_FINANC_COMPLX_PROC)"</f>
        <v>Faturamento / Faturamento Ambulatorial SUS (BPA e APAC) / Relatórios / Gerenciais / Financiamento por Complexidade Procedimento (R_FINANC_COMPLX_PROC)</v>
      </c>
    </row>
    <row r="1241" spans="1:7" x14ac:dyDescent="0.3">
      <c r="A1241" s="1" t="s">
        <v>4</v>
      </c>
      <c r="B1241" s="2" t="str">
        <f t="shared" si="115"/>
        <v>SISTEMA FATURAMENTO AMBULATORIO SUS</v>
      </c>
      <c r="C1241" s="2" t="str">
        <f t="shared" si="116"/>
        <v>FATUR-SUS</v>
      </c>
      <c r="D1241" s="2" t="str">
        <f t="shared" si="117"/>
        <v>FFAS</v>
      </c>
      <c r="E1241" s="2" t="str">
        <f>"LAUDOS BPAI"</f>
        <v>LAUDOS BPAI</v>
      </c>
      <c r="F1241" s="2" t="str">
        <f>"M_LAUDO_BPAI"</f>
        <v>M_LAUDO_BPAI</v>
      </c>
      <c r="G1241" s="2" t="str">
        <f>"Faturamento / Faturamento Ambulatorial SUS (BPA e APAC) / Lançamentos / BPA / Laudo BPA-I (M_LAUDO_BPAI)"</f>
        <v>Faturamento / Faturamento Ambulatorial SUS (BPA e APAC) / Lançamentos / BPA / Laudo BPA-I (M_LAUDO_BPAI)</v>
      </c>
    </row>
    <row r="1242" spans="1:7" x14ac:dyDescent="0.3">
      <c r="A1242" s="1" t="s">
        <v>4</v>
      </c>
      <c r="B1242" s="2" t="str">
        <f t="shared" si="115"/>
        <v>SISTEMA FATURAMENTO AMBULATORIO SUS</v>
      </c>
      <c r="C1242" s="2" t="str">
        <f t="shared" si="116"/>
        <v>FATUR-SUS</v>
      </c>
      <c r="D1242" s="2" t="str">
        <f t="shared" si="117"/>
        <v>FFAS</v>
      </c>
      <c r="E1242" s="2" t="str">
        <f>"CONSULTA MAMOGRAFIA"</f>
        <v>CONSULTA MAMOGRAFIA</v>
      </c>
      <c r="F1242" s="2" t="str">
        <f>"M_LANCA_MAMO_SISMAMA_CALL"</f>
        <v>M_LANCA_MAMO_SISMAMA_CALL</v>
      </c>
      <c r="G1242" s="2" t="str">
        <f>"Faturamento / Faturamento Ambulatorial SUS (BPA e APAC) / Consultas / SISMAMA / Consulta Mamografia (M_LANCA_MAMO_SISMAMA_CALL)"</f>
        <v>Faturamento / Faturamento Ambulatorial SUS (BPA e APAC) / Consultas / SISMAMA / Consulta Mamografia (M_LANCA_MAMO_SISMAMA_CALL)</v>
      </c>
    </row>
    <row r="1243" spans="1:7" x14ac:dyDescent="0.3">
      <c r="A1243" s="1" t="s">
        <v>4</v>
      </c>
      <c r="B1243" s="2" t="str">
        <f t="shared" si="115"/>
        <v>SISTEMA FATURAMENTO AMBULATORIO SUS</v>
      </c>
      <c r="C1243" s="2" t="str">
        <f t="shared" si="116"/>
        <v>FATUR-SUS</v>
      </c>
      <c r="D1243" s="2" t="str">
        <f t="shared" si="117"/>
        <v>FFAS</v>
      </c>
      <c r="E1243" s="2" t="str">
        <f>"CONSULTA HISTOPATOLÓGICO"</f>
        <v>CONSULTA HISTOPATOLÓGICO</v>
      </c>
      <c r="F1243" s="2" t="str">
        <f>"M_LANCA_HISTO_SISMAMA_CALL"</f>
        <v>M_LANCA_HISTO_SISMAMA_CALL</v>
      </c>
      <c r="G1243" s="2" t="str">
        <f>"Faturamento / Faturamento Ambulatorial SUS (BPA e APAC) / Consultas / SISMAMA / Consulta Histopatológico (M_LANCA_HISTO_SISMAMA_CALL)"</f>
        <v>Faturamento / Faturamento Ambulatorial SUS (BPA e APAC) / Consultas / SISMAMA / Consulta Histopatológico (M_LANCA_HISTO_SISMAMA_CALL)</v>
      </c>
    </row>
    <row r="1244" spans="1:7" x14ac:dyDescent="0.3">
      <c r="A1244" s="1" t="s">
        <v>4</v>
      </c>
      <c r="B1244" s="2" t="str">
        <f t="shared" si="115"/>
        <v>SISTEMA FATURAMENTO AMBULATORIO SUS</v>
      </c>
      <c r="C1244" s="2" t="str">
        <f t="shared" si="116"/>
        <v>FATUR-SUS</v>
      </c>
      <c r="D1244" s="2" t="str">
        <f t="shared" si="117"/>
        <v>FFAS</v>
      </c>
      <c r="E1244" s="2" t="str">
        <f>"CONSULTA CITOPATOLÓGICO"</f>
        <v>CONSULTA CITOPATOLÓGICO</v>
      </c>
      <c r="F1244" s="2" t="str">
        <f>"M_LANCA_CITO_SISMAMA_CALL"</f>
        <v>M_LANCA_CITO_SISMAMA_CALL</v>
      </c>
      <c r="G1244" s="2" t="str">
        <f>"Faturamento / Faturamento Ambulatorial SUS (BPA e APAC) / Consultas / SISMAMA / Consulta Citopatológico (M_LANCA_CITO_SISMAMA_CALL)"</f>
        <v>Faturamento / Faturamento Ambulatorial SUS (BPA e APAC) / Consultas / SISMAMA / Consulta Citopatológico (M_LANCA_CITO_SISMAMA_CALL)</v>
      </c>
    </row>
    <row r="1245" spans="1:7" x14ac:dyDescent="0.3">
      <c r="A1245" s="1" t="s">
        <v>4</v>
      </c>
      <c r="B1245" s="2" t="str">
        <f t="shared" si="115"/>
        <v>SISTEMA FATURAMENTO AMBULATORIO SUS</v>
      </c>
      <c r="C1245" s="2" t="str">
        <f t="shared" si="116"/>
        <v>FATUR-SUS</v>
      </c>
      <c r="D1245" s="2" t="str">
        <f t="shared" si="117"/>
        <v>FFAS</v>
      </c>
      <c r="E1245" s="2" t="str">
        <f>"R_CONFERENCIA_P321"</f>
        <v>R_CONFERENCIA_P321</v>
      </c>
      <c r="F1245" s="2" t="str">
        <f>"R_CONFERENCIA_P321"</f>
        <v>R_CONFERENCIA_P321</v>
      </c>
      <c r="G1245" s="2" t="str">
        <f>"Faturamento / Faturamento Ambulatorial SUS (BPA e APAC) / Relatórios / Operacionais / Controle de Conferencia por Paciente (R_CONFERENCIA_P321)"</f>
        <v>Faturamento / Faturamento Ambulatorial SUS (BPA e APAC) / Relatórios / Operacionais / Controle de Conferencia por Paciente (R_CONFERENCIA_P321)</v>
      </c>
    </row>
    <row r="1246" spans="1:7" x14ac:dyDescent="0.3">
      <c r="A1246" s="1" t="s">
        <v>4</v>
      </c>
      <c r="B1246" s="2" t="str">
        <f t="shared" si="115"/>
        <v>SISTEMA FATURAMENTO AMBULATORIO SUS</v>
      </c>
      <c r="C1246" s="2" t="str">
        <f t="shared" si="116"/>
        <v>FATUR-SUS</v>
      </c>
      <c r="D1246" s="2" t="str">
        <f t="shared" si="117"/>
        <v>FFAS</v>
      </c>
      <c r="E1246" s="2" t="str">
        <f>"WIN_PRINCIPAL"</f>
        <v>WIN_PRINCIPAL</v>
      </c>
      <c r="F1246" s="2" t="str">
        <f>"L_INDIVIDU_P321"</f>
        <v>L_INDIVIDU_P321</v>
      </c>
      <c r="G1246" s="2" t="str">
        <f>" ()"</f>
        <v xml:space="preserve"> ()</v>
      </c>
    </row>
    <row r="1247" spans="1:7" x14ac:dyDescent="0.3">
      <c r="A1247" s="1" t="s">
        <v>4</v>
      </c>
      <c r="B1247" s="2" t="str">
        <f t="shared" si="115"/>
        <v>SISTEMA FATURAMENTO AMBULATORIO SUS</v>
      </c>
      <c r="C1247" s="2" t="str">
        <f t="shared" si="116"/>
        <v>FATUR-SUS</v>
      </c>
      <c r="D1247" s="2" t="str">
        <f t="shared" si="117"/>
        <v>FFAS</v>
      </c>
      <c r="E1247" s="2" t="str">
        <f>"R_RPA_INDIVIDUALIZADO"</f>
        <v>R_RPA_INDIVIDUALIZADO</v>
      </c>
      <c r="F1247" s="2" t="str">
        <f>"R_RPA_INDIVIDUALIZADO"</f>
        <v>R_RPA_INDIVIDUALIZADO</v>
      </c>
      <c r="G1247" s="2" t="str">
        <f>" ()"</f>
        <v xml:space="preserve"> ()</v>
      </c>
    </row>
    <row r="1248" spans="1:7" x14ac:dyDescent="0.3">
      <c r="A1248" s="1" t="s">
        <v>4</v>
      </c>
      <c r="B1248" s="2" t="str">
        <f t="shared" si="115"/>
        <v>SISTEMA FATURAMENTO AMBULATORIO SUS</v>
      </c>
      <c r="C1248" s="2" t="str">
        <f t="shared" si="116"/>
        <v>FATUR-SUS</v>
      </c>
      <c r="D1248" s="2" t="str">
        <f t="shared" si="117"/>
        <v>FFAS</v>
      </c>
      <c r="E1248" s="2" t="str">
        <f>"R_RPA_CONSOLIDADO"</f>
        <v>R_RPA_CONSOLIDADO</v>
      </c>
      <c r="F1248" s="2" t="str">
        <f>"R_RPA_CONSOLIDADO"</f>
        <v>R_RPA_CONSOLIDADO</v>
      </c>
      <c r="G1248" s="2" t="str">
        <f>" ()"</f>
        <v xml:space="preserve"> ()</v>
      </c>
    </row>
    <row r="1249" spans="1:7" x14ac:dyDescent="0.3">
      <c r="A1249" s="1" t="s">
        <v>4</v>
      </c>
      <c r="B1249" s="2" t="str">
        <f t="shared" si="115"/>
        <v>SISTEMA FATURAMENTO AMBULATORIO SUS</v>
      </c>
      <c r="C1249" s="2" t="str">
        <f t="shared" si="116"/>
        <v>FATUR-SUS</v>
      </c>
      <c r="D1249" s="2" t="str">
        <f t="shared" si="117"/>
        <v>FFAS</v>
      </c>
      <c r="E1249" s="2" t="str">
        <f>"RELATÓRIO DE FATURAMENTO POR CIDADES"</f>
        <v>RELATÓRIO DE FATURAMENTO POR CIDADES</v>
      </c>
      <c r="F1249" s="2" t="str">
        <f>"R_FCIDADE_P321"</f>
        <v>R_FCIDADE_P321</v>
      </c>
      <c r="G1249" s="2" t="str">
        <f>"Faturamento / Faturamento Ambulatorial SUS (BPA e APAC) / Relatórios / Gerenciais / Faturamento por Cidades (R_FCIDADE_P321)"</f>
        <v>Faturamento / Faturamento Ambulatorial SUS (BPA e APAC) / Relatórios / Gerenciais / Faturamento por Cidades (R_FCIDADE_P321)</v>
      </c>
    </row>
    <row r="1250" spans="1:7" x14ac:dyDescent="0.3">
      <c r="A1250" s="1" t="s">
        <v>4</v>
      </c>
      <c r="B1250" s="2" t="str">
        <f t="shared" si="115"/>
        <v>SISTEMA FATURAMENTO AMBULATORIO SUS</v>
      </c>
      <c r="C1250" s="2" t="str">
        <f t="shared" si="116"/>
        <v>FATUR-SUS</v>
      </c>
      <c r="D1250" s="2" t="str">
        <f t="shared" si="117"/>
        <v>FFAS</v>
      </c>
      <c r="E1250" s="2" t="str">
        <f>"RELATÓRIO DE EMISÃO DEMOSTRATIVA DE APAC"</f>
        <v>RELATÓRIO DE EMISÃO DEMOSTRATIVA DE APAC</v>
      </c>
      <c r="F1250" s="2" t="str">
        <f>"R_DEMONSTRATIVO_BPI"</f>
        <v>R_DEMONSTRATIVO_BPI</v>
      </c>
      <c r="G1250" s="2" t="str">
        <f>" ()"</f>
        <v xml:space="preserve"> ()</v>
      </c>
    </row>
    <row r="1251" spans="1:7" x14ac:dyDescent="0.3">
      <c r="A1251" s="1" t="s">
        <v>4</v>
      </c>
      <c r="B1251" s="2" t="str">
        <f t="shared" si="115"/>
        <v>SISTEMA FATURAMENTO AMBULATORIO SUS</v>
      </c>
      <c r="C1251" s="2" t="str">
        <f t="shared" si="116"/>
        <v>FATUR-SUS</v>
      </c>
      <c r="D1251" s="2" t="str">
        <f t="shared" si="117"/>
        <v>FFAS</v>
      </c>
      <c r="E1251" s="2" t="str">
        <f>"PROCESSO DE CÓPIAS DAS APAC"</f>
        <v>PROCESSO DE CÓPIAS DAS APAC</v>
      </c>
      <c r="F1251" s="2" t="str">
        <f>"M_TRANSF_APAC_REMESSA"</f>
        <v>M_TRANSF_APAC_REMESSA</v>
      </c>
      <c r="G1251" s="2" t="str">
        <f>"Faturamento / Faturamento Ambulatorial SUS (BPA e APAC) / Lançamentos / APAC / Transferência entre Remessas (M_TRANSF_APAC_REMESSA)"</f>
        <v>Faturamento / Faturamento Ambulatorial SUS (BPA e APAC) / Lançamentos / APAC / Transferência entre Remessas (M_TRANSF_APAC_REMESSA)</v>
      </c>
    </row>
    <row r="1252" spans="1:7" x14ac:dyDescent="0.3">
      <c r="A1252" s="1" t="s">
        <v>4</v>
      </c>
      <c r="B1252" s="2" t="str">
        <f t="shared" si="115"/>
        <v>SISTEMA FATURAMENTO AMBULATORIO SUS</v>
      </c>
      <c r="C1252" s="2" t="str">
        <f t="shared" si="116"/>
        <v>FATUR-SUS</v>
      </c>
      <c r="D1252" s="2" t="str">
        <f t="shared" si="117"/>
        <v>FFAS</v>
      </c>
      <c r="E1252" s="2" t="str">
        <f>"M_SER_DIS_SIA_SUS"</f>
        <v>M_SER_DIS_SIA_SUS</v>
      </c>
      <c r="F1252" s="2" t="str">
        <f>"M_SER_DIS_SIA_SUS"</f>
        <v>M_SER_DIS_SIA_SUS</v>
      </c>
      <c r="G1252" s="2" t="str">
        <f>"Faturamento / Faturamento Ambulatorial SUS (BPA e APAC) / Tabelas / Integrações / Servicos ambulatorial X procedimentos (M_SER_DIS_SIA_SUS)"</f>
        <v>Faturamento / Faturamento Ambulatorial SUS (BPA e APAC) / Tabelas / Integrações / Servicos ambulatorial X procedimentos (M_SER_DIS_SIA_SUS)</v>
      </c>
    </row>
    <row r="1253" spans="1:7" x14ac:dyDescent="0.3">
      <c r="A1253" s="1" t="s">
        <v>4</v>
      </c>
      <c r="B1253" s="2" t="str">
        <f t="shared" si="115"/>
        <v>SISTEMA FATURAMENTO AMBULATORIO SUS</v>
      </c>
      <c r="C1253" s="2" t="str">
        <f t="shared" si="116"/>
        <v>FATUR-SUS</v>
      </c>
      <c r="D1253" s="2" t="str">
        <f t="shared" si="117"/>
        <v>FFAS</v>
      </c>
      <c r="E1253" s="2" t="str">
        <f>"BPA PRODUÇÃO AMBULATORIAL POR PACIENTE"</f>
        <v>BPA PRODUÇÃO AMBULATORIAL POR PACIENTE</v>
      </c>
      <c r="F1253" s="2" t="str">
        <f>"L_PA_PACIENTE"</f>
        <v>L_PA_PACIENTE</v>
      </c>
      <c r="G1253" s="2" t="str">
        <f>"Faturamento / Faturamento Ambulatorial SUS (BPA e APAC) / Lançamentos / BPA / Produção Ambulatorial por Paciente (L_PA_PACIENTE)"</f>
        <v>Faturamento / Faturamento Ambulatorial SUS (BPA e APAC) / Lançamentos / BPA / Produção Ambulatorial por Paciente (L_PA_PACIENTE)</v>
      </c>
    </row>
    <row r="1254" spans="1:7" x14ac:dyDescent="0.3">
      <c r="A1254" s="1" t="s">
        <v>4</v>
      </c>
      <c r="B1254" s="2" t="str">
        <f t="shared" si="115"/>
        <v>SISTEMA FATURAMENTO AMBULATORIO SUS</v>
      </c>
      <c r="C1254" s="2" t="str">
        <f t="shared" si="116"/>
        <v>FATUR-SUS</v>
      </c>
      <c r="D1254" s="2" t="str">
        <f t="shared" si="117"/>
        <v>FFAS</v>
      </c>
      <c r="E1254" s="2" t="str">
        <f>"PROCESSO DE CÓPIAS DAS APAC"</f>
        <v>PROCESSO DE CÓPIAS DAS APAC</v>
      </c>
      <c r="F1254" s="2" t="str">
        <f>"M_COPIA_APAC"</f>
        <v>M_COPIA_APAC</v>
      </c>
      <c r="G1254" s="2" t="str">
        <f>"Faturamento / Faturamento Ambulatorial SUS (BPA e APAC) / Lançamentos / APAC / Cópia APAC (M_COPIA_APAC)"</f>
        <v>Faturamento / Faturamento Ambulatorial SUS (BPA e APAC) / Lançamentos / APAC / Cópia APAC (M_COPIA_APAC)</v>
      </c>
    </row>
    <row r="1255" spans="1:7" x14ac:dyDescent="0.3">
      <c r="A1255" s="1" t="s">
        <v>4</v>
      </c>
      <c r="B1255" s="2" t="str">
        <f t="shared" si="115"/>
        <v>SISTEMA FATURAMENTO AMBULATORIO SUS</v>
      </c>
      <c r="C1255" s="2" t="str">
        <f t="shared" si="116"/>
        <v>FATUR-SUS</v>
      </c>
      <c r="D1255" s="2" t="str">
        <f t="shared" si="117"/>
        <v>FFAS</v>
      </c>
      <c r="E1255" s="2" t="str">
        <f>"RENOVAÇÃO DE APAC VENCIDA"</f>
        <v>RENOVAÇÃO DE APAC VENCIDA</v>
      </c>
      <c r="F1255" s="2" t="str">
        <f>"M_COPIA_APAC_RENOVACAO"</f>
        <v>M_COPIA_APAC_RENOVACAO</v>
      </c>
      <c r="G1255" s="2" t="str">
        <f>"Faturamento / Faturamento Ambulatorial SUS (BPA e APAC) / Lançamentos / APAC / Cópia de Renovação de Apac Vencida (M_COPIA_APAC_RENOVACAO)"</f>
        <v>Faturamento / Faturamento Ambulatorial SUS (BPA e APAC) / Lançamentos / APAC / Cópia de Renovação de Apac Vencida (M_COPIA_APAC_RENOVACAO)</v>
      </c>
    </row>
    <row r="1256" spans="1:7" x14ac:dyDescent="0.3">
      <c r="A1256" s="1" t="s">
        <v>4</v>
      </c>
      <c r="B1256" s="2" t="str">
        <f t="shared" si="115"/>
        <v>SISTEMA FATURAMENTO AMBULATORIO SUS</v>
      </c>
      <c r="C1256" s="2" t="str">
        <f t="shared" si="116"/>
        <v>FATUR-SUS</v>
      </c>
      <c r="D1256" s="2" t="str">
        <f t="shared" si="117"/>
        <v>FFAS</v>
      </c>
      <c r="E1256" s="2" t="str">
        <f>"WIN_PRINCIPAL - HOSPITAL MV SISTEMAS"</f>
        <v>WIN_PRINCIPAL - HOSPITAL MV SISTEMAS</v>
      </c>
      <c r="F1256" s="2" t="str">
        <f>"O_GERAPAC_SIMPLIFICADA"</f>
        <v>O_GERAPAC_SIMPLIFICADA</v>
      </c>
      <c r="G1256" s="2" t="str">
        <f>" ()"</f>
        <v xml:space="preserve"> ()</v>
      </c>
    </row>
    <row r="1257" spans="1:7" x14ac:dyDescent="0.3">
      <c r="A1257" s="1" t="s">
        <v>4</v>
      </c>
      <c r="B1257" s="2" t="str">
        <f t="shared" si="115"/>
        <v>SISTEMA FATURAMENTO AMBULATORIO SUS</v>
      </c>
      <c r="C1257" s="2" t="str">
        <f t="shared" si="116"/>
        <v>FATUR-SUS</v>
      </c>
      <c r="D1257" s="2" t="str">
        <f t="shared" si="117"/>
        <v>FFAS</v>
      </c>
      <c r="E1257" s="2" t="str">
        <f>"SERVICO URGENRCIA EMERGENCIA/PROCEDIMENT"</f>
        <v>SERVICO URGENRCIA EMERGENCIA/PROCEDIMENT</v>
      </c>
      <c r="F1257" s="2" t="str">
        <f>"M_SERVICO_SIA_SUS_URG"</f>
        <v>M_SERVICO_SIA_SUS_URG</v>
      </c>
      <c r="G1257" s="2" t="str">
        <f>"Faturamento / Faturamento Ambulatorial SUS (BPA e APAC) / Tabelas / Integrações / Serviço de urgência emergencia/procedimento (M_SERVICO_SIA_SUS_URG)"</f>
        <v>Faturamento / Faturamento Ambulatorial SUS (BPA e APAC) / Tabelas / Integrações / Serviço de urgência emergencia/procedimento (M_SERVICO_SIA_SUS_URG)</v>
      </c>
    </row>
    <row r="1258" spans="1:7" x14ac:dyDescent="0.3">
      <c r="A1258" s="1" t="s">
        <v>4</v>
      </c>
      <c r="B1258" s="2" t="str">
        <f t="shared" si="115"/>
        <v>SISTEMA FATURAMENTO AMBULATORIO SUS</v>
      </c>
      <c r="C1258" s="2" t="str">
        <f t="shared" si="116"/>
        <v>FATUR-SUS</v>
      </c>
      <c r="D1258" s="2" t="str">
        <f t="shared" si="117"/>
        <v>FFAS</v>
      </c>
      <c r="E1258" s="2" t="str">
        <f>" M_SERVICO_SIA_SUS_URG"</f>
        <v xml:space="preserve"> M_SERVICO_SIA_SUS_URG</v>
      </c>
      <c r="F1258" s="2" t="str">
        <f>" M_SERVICO_SIA_SUS_URG"</f>
        <v xml:space="preserve"> M_SERVICO_SIA_SUS_URG</v>
      </c>
      <c r="G1258" s="2" t="str">
        <f>" ()"</f>
        <v xml:space="preserve"> ()</v>
      </c>
    </row>
    <row r="1259" spans="1:7" x14ac:dyDescent="0.3">
      <c r="A1259" s="1" t="s">
        <v>4</v>
      </c>
      <c r="B1259" s="2" t="str">
        <f t="shared" si="115"/>
        <v>SISTEMA FATURAMENTO AMBULATORIO SUS</v>
      </c>
      <c r="C1259" s="2" t="str">
        <f t="shared" si="116"/>
        <v>FATUR-SUS</v>
      </c>
      <c r="D1259" s="2" t="str">
        <f t="shared" si="117"/>
        <v>FFAS</v>
      </c>
      <c r="E1259" s="2" t="str">
        <f>"RELATÓRIO DE CUSTO X FATURAMENTO APAC"</f>
        <v>RELATÓRIO DE CUSTO X FATURAMENTO APAC</v>
      </c>
      <c r="F1259" s="2" t="str">
        <f>"R_CUSTO_FAT"</f>
        <v>R_CUSTO_FAT</v>
      </c>
      <c r="G1259" s="2" t="str">
        <f>" ()"</f>
        <v xml:space="preserve"> ()</v>
      </c>
    </row>
    <row r="1260" spans="1:7" x14ac:dyDescent="0.3">
      <c r="A1260" s="1" t="s">
        <v>4</v>
      </c>
      <c r="B1260" s="2" t="str">
        <f t="shared" si="115"/>
        <v>SISTEMA FATURAMENTO AMBULATORIO SUS</v>
      </c>
      <c r="C1260" s="2" t="str">
        <f t="shared" si="116"/>
        <v>FATUR-SUS</v>
      </c>
      <c r="D1260" s="2" t="str">
        <f t="shared" si="117"/>
        <v>FFAS</v>
      </c>
      <c r="E1260" s="2" t="str">
        <f>"TELA DE VALORES CONTRATADOS DOS PROC."</f>
        <v>TELA DE VALORES CONTRATADOS DOS PROC.</v>
      </c>
      <c r="F1260" s="2" t="str">
        <f>"M_VAL_PROC_CONTRATO"</f>
        <v>M_VAL_PROC_CONTRATO</v>
      </c>
      <c r="G1260" s="2" t="str">
        <f>"Faturamento / Faturamento Ambulatorial SUS (BPA e APAC) / Tabelas / Unidades Prestadoras de Serviço / Valorização por Contrato (M_VAL_PROC_CONTRATO)"</f>
        <v>Faturamento / Faturamento Ambulatorial SUS (BPA e APAC) / Tabelas / Unidades Prestadoras de Serviço / Valorização por Contrato (M_VAL_PROC_CONTRATO)</v>
      </c>
    </row>
    <row r="1261" spans="1:7" x14ac:dyDescent="0.3">
      <c r="A1261" s="1" t="s">
        <v>4</v>
      </c>
      <c r="B1261" s="2" t="str">
        <f t="shared" si="115"/>
        <v>SISTEMA FATURAMENTO AMBULATORIO SUS</v>
      </c>
      <c r="C1261" s="2" t="str">
        <f t="shared" si="116"/>
        <v>FATUR-SUS</v>
      </c>
      <c r="D1261" s="2" t="str">
        <f t="shared" si="117"/>
        <v>FFAS</v>
      </c>
      <c r="E1261" s="2" t="str">
        <f>"RELATÓRIO INDIVIDUALIZADO"</f>
        <v>RELATÓRIO INDIVIDUALIZADO</v>
      </c>
      <c r="F1261" s="2" t="str">
        <f>"R_RPA_INDIVIDUO"</f>
        <v>R_RPA_INDIVIDUO</v>
      </c>
      <c r="G1261" s="2" t="str">
        <f>" ()"</f>
        <v xml:space="preserve"> ()</v>
      </c>
    </row>
    <row r="1262" spans="1:7" x14ac:dyDescent="0.3">
      <c r="A1262" s="1" t="s">
        <v>4</v>
      </c>
      <c r="B1262" s="2" t="str">
        <f t="shared" si="115"/>
        <v>SISTEMA FATURAMENTO AMBULATORIO SUS</v>
      </c>
      <c r="C1262" s="2" t="str">
        <f t="shared" si="116"/>
        <v>FATUR-SUS</v>
      </c>
      <c r="D1262" s="2" t="str">
        <f t="shared" si="117"/>
        <v>FFAS</v>
      </c>
      <c r="E1262" s="2" t="str">
        <f>"TETO ORÇAMENTÁRIO POR SETOR"</f>
        <v>TETO ORÇAMENTÁRIO POR SETOR</v>
      </c>
      <c r="F1262" s="2" t="str">
        <f>"M_TETORC_SETOR_P321"</f>
        <v>M_TETORC_SETOR_P321</v>
      </c>
      <c r="G1262" s="2" t="str">
        <f>"Faturamento / Faturamento Ambulatorial SUS (BPA e APAC) / Faturamento / Teto Orçamentário / Teto Orçamentário por Setor (M_TETORC_SETOR_P321)"</f>
        <v>Faturamento / Faturamento Ambulatorial SUS (BPA e APAC) / Faturamento / Teto Orçamentário / Teto Orçamentário por Setor (M_TETORC_SETOR_P321)</v>
      </c>
    </row>
    <row r="1263" spans="1:7" x14ac:dyDescent="0.3">
      <c r="A1263" s="1" t="s">
        <v>4</v>
      </c>
      <c r="B1263" s="2" t="str">
        <f t="shared" si="115"/>
        <v>SISTEMA FATURAMENTO AMBULATORIO SUS</v>
      </c>
      <c r="C1263" s="2" t="str">
        <f t="shared" si="116"/>
        <v>FATUR-SUS</v>
      </c>
      <c r="D1263" s="2" t="str">
        <f t="shared" si="117"/>
        <v>FFAS</v>
      </c>
      <c r="E1263" s="2" t="str">
        <f>"CONSULTA LANÇAMENTOS INDIVIDUALIZADOS"</f>
        <v>CONSULTA LANÇAMENTOS INDIVIDUALIZADOS</v>
      </c>
      <c r="F1263" s="2" t="str">
        <f>"C_INDIVIDUP321"</f>
        <v>C_INDIVIDUP321</v>
      </c>
      <c r="G1263" s="2" t="str">
        <f>"Faturamento / Faturamento Ambulatorial SUS (BPA e APAC) / Consultas / Lançamentos Individualizados (C_INDIVIDUP321)"</f>
        <v>Faturamento / Faturamento Ambulatorial SUS (BPA e APAC) / Consultas / Lançamentos Individualizados (C_INDIVIDUP321)</v>
      </c>
    </row>
    <row r="1264" spans="1:7" x14ac:dyDescent="0.3">
      <c r="A1264" s="1" t="s">
        <v>4</v>
      </c>
      <c r="B1264" s="2" t="str">
        <f t="shared" si="115"/>
        <v>SISTEMA FATURAMENTO AMBULATORIO SUS</v>
      </c>
      <c r="C1264" s="2" t="str">
        <f t="shared" si="116"/>
        <v>FATUR-SUS</v>
      </c>
      <c r="D1264" s="2" t="str">
        <f t="shared" si="117"/>
        <v>FFAS</v>
      </c>
      <c r="E1264" s="2" t="str">
        <f>"RELATÓRIO DE LANÇAMENTOS DIÁRIOS"</f>
        <v>RELATÓRIO DE LANÇAMENTOS DIÁRIOS</v>
      </c>
      <c r="F1264" s="2" t="str">
        <f>"R_LANCAMENTOS_DIARIOS"</f>
        <v>R_LANCAMENTOS_DIARIOS</v>
      </c>
      <c r="G1264" s="2" t="str">
        <f>"Faturamento / Faturamento Ambulatorial SUS (BPA e APAC) / Relatórios / Operacionais / Lançamentos diários - BPA (R_LANCAMENTOS_DIARIOS)"</f>
        <v>Faturamento / Faturamento Ambulatorial SUS (BPA e APAC) / Relatórios / Operacionais / Lançamentos diários - BPA (R_LANCAMENTOS_DIARIOS)</v>
      </c>
    </row>
    <row r="1265" spans="1:7" x14ac:dyDescent="0.3">
      <c r="A1265" s="1" t="s">
        <v>4</v>
      </c>
      <c r="B1265" s="2" t="str">
        <f t="shared" si="115"/>
        <v>SISTEMA FATURAMENTO AMBULATORIO SUS</v>
      </c>
      <c r="C1265" s="2" t="str">
        <f t="shared" si="116"/>
        <v>FATUR-SUS</v>
      </c>
      <c r="D1265" s="2" t="str">
        <f t="shared" si="117"/>
        <v>FFAS</v>
      </c>
      <c r="E1265" s="2" t="str">
        <f>"RELATÓRIO DE LANÇAMENTOS SEM DECÊNDIO"</f>
        <v>RELATÓRIO DE LANÇAMENTOS SEM DECÊNDIO</v>
      </c>
      <c r="F1265" s="2" t="str">
        <f>"R_LANC_SEM_DECEND"</f>
        <v>R_LANC_SEM_DECEND</v>
      </c>
      <c r="G1265" s="2" t="str">
        <f>" ()"</f>
        <v xml:space="preserve"> ()</v>
      </c>
    </row>
    <row r="1266" spans="1:7" x14ac:dyDescent="0.3">
      <c r="A1266" s="1" t="s">
        <v>4</v>
      </c>
      <c r="B1266" s="2" t="str">
        <f t="shared" si="115"/>
        <v>SISTEMA FATURAMENTO AMBULATORIO SUS</v>
      </c>
      <c r="C1266" s="2" t="str">
        <f t="shared" si="116"/>
        <v>FATUR-SUS</v>
      </c>
      <c r="D1266" s="2" t="str">
        <f t="shared" si="117"/>
        <v>FFAS</v>
      </c>
      <c r="E1266" s="2" t="str">
        <f>"R_FATCBO_P321"</f>
        <v>R_FATCBO_P321</v>
      </c>
      <c r="F1266" s="2" t="str">
        <f>"R_FATCBO_P321"</f>
        <v>R_FATCBO_P321</v>
      </c>
      <c r="G1266" s="2" t="str">
        <f>"Faturamento / Faturamento Ambulatorial SUS (BPA e APAC) / Relatórios / Gerenciais / Faturamento por CBO (R_FATCBO_P321)"</f>
        <v>Faturamento / Faturamento Ambulatorial SUS (BPA e APAC) / Relatórios / Gerenciais / Faturamento por CBO (R_FATCBO_P321)</v>
      </c>
    </row>
    <row r="1267" spans="1:7" x14ac:dyDescent="0.3">
      <c r="A1267" s="1" t="s">
        <v>4</v>
      </c>
      <c r="B1267" s="2" t="str">
        <f t="shared" si="115"/>
        <v>SISTEMA FATURAMENTO AMBULATORIO SUS</v>
      </c>
      <c r="C1267" s="2" t="str">
        <f t="shared" si="116"/>
        <v>FATUR-SUS</v>
      </c>
      <c r="D1267" s="2" t="str">
        <f t="shared" si="117"/>
        <v>FFAS</v>
      </c>
      <c r="E1267" s="2" t="str">
        <f>"WEBUTIL INFORMATION"</f>
        <v>WEBUTIL INFORMATION</v>
      </c>
      <c r="F1267" s="2" t="str">
        <f>"R_PROC_CONTRATUALIZADO"</f>
        <v>R_PROC_CONTRATUALIZADO</v>
      </c>
      <c r="G1267" s="2" t="str">
        <f>"Faturamento / Faturamento Ambulatorial SUS (BPA e APAC) / Relatórios / Estatísticos / Procedimentos Contratualizados (R_PROC_CONTRATUALIZADO)"</f>
        <v>Faturamento / Faturamento Ambulatorial SUS (BPA e APAC) / Relatórios / Estatísticos / Procedimentos Contratualizados (R_PROC_CONTRATUALIZADO)</v>
      </c>
    </row>
    <row r="1268" spans="1:7" x14ac:dyDescent="0.3">
      <c r="A1268" s="1" t="s">
        <v>4</v>
      </c>
      <c r="B1268" s="2" t="str">
        <f t="shared" si="115"/>
        <v>SISTEMA FATURAMENTO AMBULATORIO SUS</v>
      </c>
      <c r="C1268" s="2" t="str">
        <f t="shared" si="116"/>
        <v>FATUR-SUS</v>
      </c>
      <c r="D1268" s="2" t="str">
        <f t="shared" si="117"/>
        <v>FFAS</v>
      </c>
      <c r="E1268" s="2" t="str">
        <f>"WEBUTIL INFORMATION"</f>
        <v>WEBUTIL INFORMATION</v>
      </c>
      <c r="F1268" s="2" t="str">
        <f>"R_TETQTD_FISICO"</f>
        <v>R_TETQTD_FISICO</v>
      </c>
      <c r="G1268" s="2" t="str">
        <f>"Faturamento / Faturamento Ambulatorial SUS (BPA e APAC) / Relatórios / Estatísticos / Quantidade Orçada por Procedimento (R_TETQTD_FISICO)"</f>
        <v>Faturamento / Faturamento Ambulatorial SUS (BPA e APAC) / Relatórios / Estatísticos / Quantidade Orçada por Procedimento (R_TETQTD_FISICO)</v>
      </c>
    </row>
    <row r="1269" spans="1:7" x14ac:dyDescent="0.3">
      <c r="A1269" s="1" t="s">
        <v>4</v>
      </c>
      <c r="B1269" s="2" t="str">
        <f t="shared" si="115"/>
        <v>SISTEMA FATURAMENTO AMBULATORIO SUS</v>
      </c>
      <c r="C1269" s="2" t="str">
        <f t="shared" si="116"/>
        <v>FATUR-SUS</v>
      </c>
      <c r="D1269" s="2" t="str">
        <f t="shared" si="117"/>
        <v>FFAS</v>
      </c>
      <c r="E1269" s="2" t="str">
        <f>"TETO FISICO E ORÇAMENTÁRIO"</f>
        <v>TETO FISICO E ORÇAMENTÁRIO</v>
      </c>
      <c r="F1269" s="2" t="str">
        <f>"M_TETORC_UPS_PROC"</f>
        <v>M_TETORC_UPS_PROC</v>
      </c>
      <c r="G1269" s="2" t="str">
        <f>"Faturamento / Faturamento Ambulatorial SUS (BPA e APAC) / Tabelas / Unidades Prestadoras de Serviço / Teto Orçamentário UPS x Procedimento (M_TETORC_UPS_PROC)"</f>
        <v>Faturamento / Faturamento Ambulatorial SUS (BPA e APAC) / Tabelas / Unidades Prestadoras de Serviço / Teto Orçamentário UPS x Procedimento (M_TETORC_UPS_PROC)</v>
      </c>
    </row>
    <row r="1270" spans="1:7" x14ac:dyDescent="0.3">
      <c r="A1270" s="1" t="s">
        <v>4</v>
      </c>
      <c r="B1270" s="2" t="str">
        <f t="shared" si="115"/>
        <v>SISTEMA FATURAMENTO AMBULATORIO SUS</v>
      </c>
      <c r="C1270" s="2" t="str">
        <f t="shared" si="116"/>
        <v>FATUR-SUS</v>
      </c>
      <c r="D1270" s="2" t="str">
        <f t="shared" si="117"/>
        <v>FFAS</v>
      </c>
      <c r="E1270" s="2" t="str">
        <f>"CADASTRO DE FATURA SISMAMA"</f>
        <v>CADASTRO DE FATURA SISMAMA</v>
      </c>
      <c r="F1270" s="2" t="str">
        <f>"M_FATURA_SISMAMA"</f>
        <v>M_FATURA_SISMAMA</v>
      </c>
      <c r="G1270" s="2" t="str">
        <f>"Faturamento / Faturamento Ambulatorial SUS (BPA e APAC) / Faturamento / Abertura / Fatura SISMAMA (M_FATURA_SISMAMA)"</f>
        <v>Faturamento / Faturamento Ambulatorial SUS (BPA e APAC) / Faturamento / Abertura / Fatura SISMAMA (M_FATURA_SISMAMA)</v>
      </c>
    </row>
    <row r="1271" spans="1:7" x14ac:dyDescent="0.3">
      <c r="A1271" s="1" t="s">
        <v>4</v>
      </c>
      <c r="B1271" s="2" t="str">
        <f t="shared" si="115"/>
        <v>SISTEMA FATURAMENTO AMBULATORIO SUS</v>
      </c>
      <c r="C1271" s="2" t="str">
        <f t="shared" si="116"/>
        <v>FATUR-SUS</v>
      </c>
      <c r="D1271" s="2" t="str">
        <f t="shared" si="117"/>
        <v>FFAS</v>
      </c>
      <c r="E1271" s="2" t="str">
        <f>"RELATÓRIO DE TETO ORÇAMENTÁRIO"</f>
        <v>RELATÓRIO DE TETO ORÇAMENTÁRIO</v>
      </c>
      <c r="F1271" s="2" t="str">
        <f>"R_TETORC_P321"</f>
        <v>R_TETORC_P321</v>
      </c>
      <c r="G1271" s="2" t="str">
        <f>" ()"</f>
        <v xml:space="preserve"> ()</v>
      </c>
    </row>
    <row r="1272" spans="1:7" x14ac:dyDescent="0.3">
      <c r="A1272" s="1" t="s">
        <v>4</v>
      </c>
      <c r="B1272" s="2" t="str">
        <f t="shared" si="115"/>
        <v>SISTEMA FATURAMENTO AMBULATORIO SUS</v>
      </c>
      <c r="C1272" s="2" t="str">
        <f t="shared" si="116"/>
        <v>FATUR-SUS</v>
      </c>
      <c r="D1272" s="2" t="str">
        <f t="shared" si="117"/>
        <v>FFAS</v>
      </c>
      <c r="E1272" s="2" t="str">
        <f>"TETO ORÇAMENTÁRIO - HOSPITAL MV SISTEMAS"</f>
        <v>TETO ORÇAMENTÁRIO - HOSPITAL MV SISTEMAS</v>
      </c>
      <c r="F1272" s="2" t="str">
        <f>"M_TETORC_P321"</f>
        <v>M_TETORC_P321</v>
      </c>
      <c r="G1272" s="2" t="str">
        <f>"Faturamento / Faturamento Ambulatorial SUS (BPA e APAC) / Faturamento / Teto Orçamentário / Teto por Grupo de Procedimento (M_TETORC_P321)"</f>
        <v>Faturamento / Faturamento Ambulatorial SUS (BPA e APAC) / Faturamento / Teto Orçamentário / Teto por Grupo de Procedimento (M_TETORC_P321)</v>
      </c>
    </row>
    <row r="1273" spans="1:7" x14ac:dyDescent="0.3">
      <c r="A1273" s="1" t="s">
        <v>4</v>
      </c>
      <c r="B1273" s="2" t="str">
        <f t="shared" si="115"/>
        <v>SISTEMA FATURAMENTO AMBULATORIO SUS</v>
      </c>
      <c r="C1273" s="2" t="str">
        <f t="shared" si="116"/>
        <v>FATUR-SUS</v>
      </c>
      <c r="D1273" s="2" t="str">
        <f t="shared" si="117"/>
        <v>FFAS</v>
      </c>
      <c r="E1273" s="2" t="str">
        <f>"CADASTRO: ÁREAS IRRADIADAS"</f>
        <v>CADASTRO: ÁREAS IRRADIADAS</v>
      </c>
      <c r="F1273" s="2" t="str">
        <f>"M_AREA_IRRADIADA"</f>
        <v>M_AREA_IRRADIADA</v>
      </c>
      <c r="G1273" s="2" t="str">
        <f>"Faturamento / Faturamento Ambulatorial SUS (BPA e APAC) / Tabelas / APAC / Áreas Irradiadas (M_AREA_IRRADIADA)"</f>
        <v>Faturamento / Faturamento Ambulatorial SUS (BPA e APAC) / Tabelas / APAC / Áreas Irradiadas (M_AREA_IRRADIADA)</v>
      </c>
    </row>
    <row r="1274" spans="1:7" x14ac:dyDescent="0.3">
      <c r="A1274" s="1" t="s">
        <v>4</v>
      </c>
      <c r="B1274" s="2" t="str">
        <f t="shared" si="115"/>
        <v>SISTEMA FATURAMENTO AMBULATORIO SUS</v>
      </c>
      <c r="C1274" s="2" t="str">
        <f t="shared" si="116"/>
        <v>FATUR-SUS</v>
      </c>
      <c r="D1274" s="2" t="str">
        <f t="shared" si="117"/>
        <v>FFAS</v>
      </c>
      <c r="E1274" s="2" t="str">
        <f>"WIN_PRINCIPAL"</f>
        <v>WIN_PRINCIPAL</v>
      </c>
      <c r="F1274" s="2" t="str">
        <f>"M_APARELHO_ONCOLOGIA"</f>
        <v>M_APARELHO_ONCOLOGIA</v>
      </c>
      <c r="G1274" s="2" t="str">
        <f>"Faturamento / Faturamento Ambulatorial SUS (BPA e APAC) / Tabelas / APAC / Aparelho para oncologia (M_APARELHO_ONCOLOGIA)"</f>
        <v>Faturamento / Faturamento Ambulatorial SUS (BPA e APAC) / Tabelas / APAC / Aparelho para oncologia (M_APARELHO_ONCOLOGIA)</v>
      </c>
    </row>
    <row r="1275" spans="1:7" x14ac:dyDescent="0.3">
      <c r="A1275" s="1" t="s">
        <v>4</v>
      </c>
      <c r="B1275" s="2" t="str">
        <f t="shared" si="115"/>
        <v>SISTEMA FATURAMENTO AMBULATORIO SUS</v>
      </c>
      <c r="C1275" s="2" t="str">
        <f t="shared" si="116"/>
        <v>FATUR-SUS</v>
      </c>
      <c r="D1275" s="2" t="str">
        <f t="shared" si="117"/>
        <v>FFAS</v>
      </c>
      <c r="E1275" s="2" t="str">
        <f>"L_PA_PACIENTE_725"</f>
        <v>L_PA_PACIENTE_725</v>
      </c>
      <c r="F1275" s="2" t="str">
        <f>"L_PA_PACIENTE_725"</f>
        <v>L_PA_PACIENTE_725</v>
      </c>
      <c r="G1275" s="2" t="str">
        <f>" ()"</f>
        <v xml:space="preserve"> ()</v>
      </c>
    </row>
    <row r="1276" spans="1:7" x14ac:dyDescent="0.3">
      <c r="A1276" s="1" t="s">
        <v>4</v>
      </c>
      <c r="B1276" s="2" t="str">
        <f t="shared" si="115"/>
        <v>SISTEMA FATURAMENTO AMBULATORIO SUS</v>
      </c>
      <c r="C1276" s="2" t="str">
        <f t="shared" si="116"/>
        <v>FATUR-SUS</v>
      </c>
      <c r="D1276" s="2" t="str">
        <f t="shared" si="117"/>
        <v>FFAS</v>
      </c>
      <c r="E1276" s="2" t="str">
        <f>"M_EXCECAO_PSDI"</f>
        <v>M_EXCECAO_PSDI</v>
      </c>
      <c r="F1276" s="2" t="str">
        <f>"M_EXCECAO_PSDI"</f>
        <v>M_EXCECAO_PSDI</v>
      </c>
      <c r="G1276" s="2" t="str">
        <f>" ()"</f>
        <v xml:space="preserve"> ()</v>
      </c>
    </row>
    <row r="1277" spans="1:7" x14ac:dyDescent="0.3">
      <c r="A1277" s="1" t="s">
        <v>4</v>
      </c>
      <c r="B1277" s="2" t="str">
        <f t="shared" si="115"/>
        <v>SISTEMA FATURAMENTO AMBULATORIO SUS</v>
      </c>
      <c r="C1277" s="2" t="str">
        <f t="shared" si="116"/>
        <v>FATUR-SUS</v>
      </c>
      <c r="D1277" s="2" t="str">
        <f t="shared" si="117"/>
        <v>FFAS</v>
      </c>
      <c r="E1277" s="2" t="str">
        <f>"GERAÇÃO DE ARQUIVOS DE EXAMES"</f>
        <v>GERAÇÃO DE ARQUIVOS DE EXAMES</v>
      </c>
      <c r="F1277" s="2" t="str">
        <f>"M_GERA_PRODUCAO_BPA"</f>
        <v>M_GERA_PRODUCAO_BPA</v>
      </c>
      <c r="G1277" s="2" t="str">
        <f>" ()"</f>
        <v xml:space="preserve"> ()</v>
      </c>
    </row>
    <row r="1278" spans="1:7" x14ac:dyDescent="0.3">
      <c r="A1278" s="1" t="s">
        <v>4</v>
      </c>
      <c r="B1278" s="2" t="str">
        <f t="shared" si="115"/>
        <v>SISTEMA FATURAMENTO AMBULATORIO SUS</v>
      </c>
      <c r="C1278" s="2" t="str">
        <f t="shared" si="116"/>
        <v>FATUR-SUS</v>
      </c>
      <c r="D1278" s="2" t="str">
        <f t="shared" si="117"/>
        <v>FFAS</v>
      </c>
      <c r="E1278" s="2" t="str">
        <f>"R_PROC_COMPETENCIA"</f>
        <v>R_PROC_COMPETENCIA</v>
      </c>
      <c r="F1278" s="2" t="str">
        <f>"R_PROC_COMPETENCIA"</f>
        <v>R_PROC_COMPETENCIA</v>
      </c>
      <c r="G1278" s="2" t="str">
        <f>"Faturamento / Faturamento Ambulatorial SUS (BPA e APAC) / Relatórios / Gerenciais / Relatório de Coordenadoria / Procedimentos APAC por Competencia (R_PROC_COMPETENCIA)"</f>
        <v>Faturamento / Faturamento Ambulatorial SUS (BPA e APAC) / Relatórios / Gerenciais / Relatório de Coordenadoria / Procedimentos APAC por Competencia (R_PROC_COMPETENCIA)</v>
      </c>
    </row>
    <row r="1279" spans="1:7" x14ac:dyDescent="0.3">
      <c r="A1279" s="1" t="s">
        <v>4</v>
      </c>
      <c r="B1279" s="2" t="str">
        <f t="shared" si="115"/>
        <v>SISTEMA FATURAMENTO AMBULATORIO SUS</v>
      </c>
      <c r="C1279" s="2" t="str">
        <f t="shared" si="116"/>
        <v>FATUR-SUS</v>
      </c>
      <c r="D1279" s="2" t="str">
        <f t="shared" si="117"/>
        <v>FFAS</v>
      </c>
      <c r="E1279" s="2" t="str">
        <f>"RELATÓRIO PROCEDIMENTOS APAC POR CIDADES"</f>
        <v>RELATÓRIO PROCEDIMENTOS APAC POR CIDADES</v>
      </c>
      <c r="F1279" s="2" t="str">
        <f>"R_PROC_CIDADE"</f>
        <v>R_PROC_CIDADE</v>
      </c>
      <c r="G1279" s="2" t="str">
        <f>"Faturamento / Faturamento Ambulatorial SUS (BPA e APAC) / Relatórios / Gerenciais / Relatório de Coordenadoria / Procedimentos APAC por Cidade (R_PROC_CIDADE)"</f>
        <v>Faturamento / Faturamento Ambulatorial SUS (BPA e APAC) / Relatórios / Gerenciais / Relatório de Coordenadoria / Procedimentos APAC por Cidade (R_PROC_CIDADE)</v>
      </c>
    </row>
    <row r="1280" spans="1:7" x14ac:dyDescent="0.3">
      <c r="A1280" s="1" t="s">
        <v>4</v>
      </c>
      <c r="B1280" s="2" t="str">
        <f t="shared" si="115"/>
        <v>SISTEMA FATURAMENTO AMBULATORIO SUS</v>
      </c>
      <c r="C1280" s="2" t="str">
        <f t="shared" si="116"/>
        <v>FATUR-SUS</v>
      </c>
      <c r="D1280" s="2" t="str">
        <f t="shared" si="117"/>
        <v>FFAS</v>
      </c>
      <c r="E1280" s="2" t="str">
        <f>"R_PROC_BPA_ORIGEM"</f>
        <v>R_PROC_BPA_ORIGEM</v>
      </c>
      <c r="F1280" s="2" t="str">
        <f>"R_PROC_BPA_ORIGEM"</f>
        <v>R_PROC_BPA_ORIGEM</v>
      </c>
      <c r="G1280" s="2" t="str">
        <f>" ()"</f>
        <v xml:space="preserve"> ()</v>
      </c>
    </row>
    <row r="1281" spans="1:7" x14ac:dyDescent="0.3">
      <c r="A1281" s="1" t="s">
        <v>4</v>
      </c>
      <c r="B1281" s="2" t="str">
        <f t="shared" si="115"/>
        <v>SISTEMA FATURAMENTO AMBULATORIO SUS</v>
      </c>
      <c r="C1281" s="2" t="str">
        <f t="shared" si="116"/>
        <v>FATUR-SUS</v>
      </c>
      <c r="D1281" s="2" t="str">
        <f t="shared" si="117"/>
        <v>FFAS</v>
      </c>
      <c r="E1281" s="2" t="str">
        <f>"R_PROC_BPA_GRU_ATE"</f>
        <v>R_PROC_BPA_GRU_ATE</v>
      </c>
      <c r="F1281" s="2" t="str">
        <f>"R_PROC_BPA_GRU_ATE"</f>
        <v>R_PROC_BPA_GRU_ATE</v>
      </c>
      <c r="G1281" s="2" t="str">
        <f>"Faturamento / Faturamento Ambulatorial SUS (BPA e APAC) / Relatórios / Gerenciais / Relatório de Coordenadoria / Procedimentos BPA por Grupo de Proc. (R_PROC_BPA_GRU_ATE)"</f>
        <v>Faturamento / Faturamento Ambulatorial SUS (BPA e APAC) / Relatórios / Gerenciais / Relatório de Coordenadoria / Procedimentos BPA por Grupo de Proc. (R_PROC_BPA_GRU_ATE)</v>
      </c>
    </row>
    <row r="1282" spans="1:7" x14ac:dyDescent="0.3">
      <c r="A1282" s="1" t="s">
        <v>4</v>
      </c>
      <c r="B1282" s="2" t="str">
        <f t="shared" si="115"/>
        <v>SISTEMA FATURAMENTO AMBULATORIO SUS</v>
      </c>
      <c r="C1282" s="2" t="str">
        <f t="shared" si="116"/>
        <v>FATUR-SUS</v>
      </c>
      <c r="D1282" s="2" t="str">
        <f t="shared" si="117"/>
        <v>FFAS</v>
      </c>
      <c r="E1282" s="2" t="str">
        <f>"PREVISÃO DE FATURAMENTO APAC"</f>
        <v>PREVISÃO DE FATURAMENTO APAC</v>
      </c>
      <c r="F1282" s="2" t="str">
        <f>"R_PREV_FAT_APAC"</f>
        <v>R_PREV_FAT_APAC</v>
      </c>
      <c r="G1282" s="2" t="str">
        <f>" ()"</f>
        <v xml:space="preserve"> ()</v>
      </c>
    </row>
    <row r="1283" spans="1:7" x14ac:dyDescent="0.3">
      <c r="A1283" s="1" t="s">
        <v>4</v>
      </c>
      <c r="B1283" s="2" t="str">
        <f t="shared" si="115"/>
        <v>SISTEMA FATURAMENTO AMBULATORIO SUS</v>
      </c>
      <c r="C1283" s="2" t="str">
        <f t="shared" si="116"/>
        <v>FATUR-SUS</v>
      </c>
      <c r="D1283" s="2" t="str">
        <f t="shared" si="117"/>
        <v>FFAS</v>
      </c>
      <c r="E1283" s="2" t="str">
        <f>"R_PROD_PREST_P321"</f>
        <v>R_PROD_PREST_P321</v>
      </c>
      <c r="F1283" s="2" t="str">
        <f>"R_PROD_PREST_P321"</f>
        <v>R_PROD_PREST_P321</v>
      </c>
      <c r="G1283" s="2" t="str">
        <f>"Faturamento / Faturamento de Internação SUS (AIH) / Relatórios / Gerenciais / Produtividade por Prestador / Produtividade por Remessa (R_PROD_PREST_P321)"</f>
        <v>Faturamento / Faturamento de Internação SUS (AIH) / Relatórios / Gerenciais / Produtividade por Prestador / Produtividade por Remessa (R_PROD_PREST_P321)</v>
      </c>
    </row>
    <row r="1284" spans="1:7" x14ac:dyDescent="0.3">
      <c r="A1284" s="1" t="s">
        <v>4</v>
      </c>
      <c r="B1284" s="2" t="str">
        <f t="shared" si="115"/>
        <v>SISTEMA FATURAMENTO AMBULATORIO SUS</v>
      </c>
      <c r="C1284" s="2" t="str">
        <f t="shared" si="116"/>
        <v>FATUR-SUS</v>
      </c>
      <c r="D1284" s="2" t="str">
        <f t="shared" si="117"/>
        <v>FFAS</v>
      </c>
      <c r="E1284" s="2" t="str">
        <f>"MANUTENÇÃO TETO ORÇAMENTÁRIO"</f>
        <v>MANUTENÇÃO TETO ORÇAMENTÁRIO</v>
      </c>
      <c r="F1284" s="2" t="str">
        <f>"M_TETORC_SUBGRU_SSM_P321"</f>
        <v>M_TETORC_SUBGRU_SSM_P321</v>
      </c>
      <c r="G1284" s="2" t="str">
        <f>"Faturamento / Faturamento Ambulatorial SUS (BPA e APAC) / Faturamento / Teto Orçamentário / Teto Orçamentário por Sub-Grupo (M_TETORC_SUBGRU_SSM_P321)"</f>
        <v>Faturamento / Faturamento Ambulatorial SUS (BPA e APAC) / Faturamento / Teto Orçamentário / Teto Orçamentário por Sub-Grupo (M_TETORC_SUBGRU_SSM_P321)</v>
      </c>
    </row>
    <row r="1285" spans="1:7" x14ac:dyDescent="0.3">
      <c r="A1285" s="1" t="s">
        <v>4</v>
      </c>
      <c r="B1285" s="2" t="str">
        <f t="shared" si="115"/>
        <v>SISTEMA FATURAMENTO AMBULATORIO SUS</v>
      </c>
      <c r="C1285" s="2" t="str">
        <f t="shared" si="116"/>
        <v>FATUR-SUS</v>
      </c>
      <c r="D1285" s="2" t="str">
        <f t="shared" si="117"/>
        <v>FFAS</v>
      </c>
      <c r="E1285" s="2" t="str">
        <f>"TETO ORÇAMENTÁRIO UPS"</f>
        <v>TETO ORÇAMENTÁRIO UPS</v>
      </c>
      <c r="F1285" s="2" t="str">
        <f>"M_TETORC_UPS_P321"</f>
        <v>M_TETORC_UPS_P321</v>
      </c>
      <c r="G1285" s="2" t="str">
        <f>"Faturamento / Faturamento Ambulatorial SUS (BPA e APAC) / Faturamento / Teto Orçamentário / Teto Orçamentário por UPS x Grupo Procedimento (M_TETORC_UPS_P321)"</f>
        <v>Faturamento / Faturamento Ambulatorial SUS (BPA e APAC) / Faturamento / Teto Orçamentário / Teto Orçamentário por UPS x Grupo Procedimento (M_TETORC_UPS_P321)</v>
      </c>
    </row>
    <row r="1286" spans="1:7" x14ac:dyDescent="0.3">
      <c r="A1286" s="1" t="s">
        <v>4</v>
      </c>
      <c r="B1286" s="2" t="str">
        <f t="shared" si="115"/>
        <v>SISTEMA FATURAMENTO AMBULATORIO SUS</v>
      </c>
      <c r="C1286" s="2" t="str">
        <f t="shared" si="116"/>
        <v>FATUR-SUS</v>
      </c>
      <c r="D1286" s="2" t="str">
        <f t="shared" si="117"/>
        <v>FFAS</v>
      </c>
      <c r="E1286" s="2" t="str">
        <f>"APAC"</f>
        <v>APAC</v>
      </c>
      <c r="F1286" s="2" t="str">
        <f>"M_CONTROLE_FREQUENCIA_P321"</f>
        <v>M_CONTROLE_FREQUENCIA_P321</v>
      </c>
      <c r="G1286" s="2" t="str">
        <f>"Faturamento / Faturamento Ambulatorial SUS (BPA e APAC) / Lançamentos / APAC / Ficha de Frequência APAC (M_CONTROLE_FREQUENCIA_P321)"</f>
        <v>Faturamento / Faturamento Ambulatorial SUS (BPA e APAC) / Lançamentos / APAC / Ficha de Frequência APAC (M_CONTROLE_FREQUENCIA_P321)</v>
      </c>
    </row>
    <row r="1287" spans="1:7" x14ac:dyDescent="0.3">
      <c r="A1287" s="1" t="s">
        <v>4</v>
      </c>
      <c r="B1287" s="2" t="str">
        <f t="shared" si="115"/>
        <v>SISTEMA FATURAMENTO AMBULATORIO SUS</v>
      </c>
      <c r="C1287" s="2" t="str">
        <f t="shared" si="116"/>
        <v>FATUR-SUS</v>
      </c>
      <c r="D1287" s="2" t="str">
        <f t="shared" si="117"/>
        <v>FFAS</v>
      </c>
      <c r="E1287" s="2" t="str">
        <f>"RELATÓRIO DE TRANSFERÊNCIA DE CONTAS"</f>
        <v>RELATÓRIO DE TRANSFERÊNCIA DE CONTAS</v>
      </c>
      <c r="F1287" s="2" t="str">
        <f>"R_TRANSFERE_CONTAS_P321"</f>
        <v>R_TRANSFERE_CONTAS_P321</v>
      </c>
      <c r="G1287" s="2" t="str">
        <f>" ()"</f>
        <v xml:space="preserve"> ()</v>
      </c>
    </row>
    <row r="1288" spans="1:7" x14ac:dyDescent="0.3">
      <c r="A1288" s="1" t="s">
        <v>4</v>
      </c>
      <c r="B1288" s="2" t="str">
        <f t="shared" si="115"/>
        <v>SISTEMA FATURAMENTO AMBULATORIO SUS</v>
      </c>
      <c r="C1288" s="2" t="str">
        <f t="shared" si="116"/>
        <v>FATUR-SUS</v>
      </c>
      <c r="D1288" s="2" t="str">
        <f t="shared" si="117"/>
        <v>FFAS</v>
      </c>
      <c r="E1288" s="2" t="str">
        <f>"RELAÇÃO DE APAC´S EM VENCIMENTO"</f>
        <v>RELAÇÃO DE APAC´S EM VENCIMENTO</v>
      </c>
      <c r="F1288" s="2" t="str">
        <f>"R_APAC_VENCIDA_P321"</f>
        <v>R_APAC_VENCIDA_P321</v>
      </c>
      <c r="G1288" s="2" t="str">
        <f>"Faturamento / Faturamento Ambulatorial SUS (BPA e APAC) / Relatórios / APAC / APAC's em Vencimento (R_APAC_VENCIDA_P321)"</f>
        <v>Faturamento / Faturamento Ambulatorial SUS (BPA e APAC) / Relatórios / APAC / APAC's em Vencimento (R_APAC_VENCIDA_P321)</v>
      </c>
    </row>
    <row r="1289" spans="1:7" x14ac:dyDescent="0.3">
      <c r="A1289" s="1" t="s">
        <v>4</v>
      </c>
      <c r="B1289" s="2" t="str">
        <f t="shared" si="115"/>
        <v>SISTEMA FATURAMENTO AMBULATORIO SUS</v>
      </c>
      <c r="C1289" s="2" t="str">
        <f t="shared" si="116"/>
        <v>FATUR-SUS</v>
      </c>
      <c r="D1289" s="2" t="str">
        <f t="shared" si="117"/>
        <v>FFAS</v>
      </c>
      <c r="E1289" s="2" t="str">
        <f>"RELAÇÃO DE APAC´S EM VENCIMENTO"</f>
        <v>RELAÇÃO DE APAC´S EM VENCIMENTO</v>
      </c>
      <c r="F1289" s="2" t="str">
        <f>"R_APAC_VENCIDA_P321"</f>
        <v>R_APAC_VENCIDA_P321</v>
      </c>
      <c r="G1289" s="2" t="str">
        <f>"Faturamento / Faturamento Ambulatorial SUS (BPA e APAC) / Relatórios / APAC / APAC's em vencimento (R_APAC_VENCIDA_P321)"</f>
        <v>Faturamento / Faturamento Ambulatorial SUS (BPA e APAC) / Relatórios / APAC / APAC's em vencimento (R_APAC_VENCIDA_P321)</v>
      </c>
    </row>
    <row r="1290" spans="1:7" x14ac:dyDescent="0.3">
      <c r="A1290" s="1" t="s">
        <v>4</v>
      </c>
      <c r="B1290" s="2" t="str">
        <f t="shared" si="115"/>
        <v>SISTEMA FATURAMENTO AMBULATORIO SUS</v>
      </c>
      <c r="C1290" s="2" t="str">
        <f t="shared" si="116"/>
        <v>FATUR-SUS</v>
      </c>
      <c r="D1290" s="2" t="str">
        <f t="shared" si="117"/>
        <v>FFAS</v>
      </c>
      <c r="E1290" s="2" t="str">
        <f>"R_PROCMEDESP_P321"</f>
        <v>R_PROCMEDESP_P321</v>
      </c>
      <c r="F1290" s="2" t="str">
        <f>"R_PROCMEDESP_P321"</f>
        <v>R_PROCMEDESP_P321</v>
      </c>
      <c r="G1290" s="2" t="str">
        <f>"Faturamento / Faturamento Ambulatorial SUS (BPA e APAC) / Relatórios / Gerenciais / Procedimentos por Prestador/CBO (R_PROCMEDESP_P321)"</f>
        <v>Faturamento / Faturamento Ambulatorial SUS (BPA e APAC) / Relatórios / Gerenciais / Procedimentos por Prestador/CBO (R_PROCMEDESP_P321)</v>
      </c>
    </row>
    <row r="1291" spans="1:7" x14ac:dyDescent="0.3">
      <c r="A1291" s="1" t="s">
        <v>4</v>
      </c>
      <c r="B1291" s="2" t="str">
        <f t="shared" si="115"/>
        <v>SISTEMA FATURAMENTO AMBULATORIO SUS</v>
      </c>
      <c r="C1291" s="2" t="str">
        <f t="shared" si="116"/>
        <v>FATUR-SUS</v>
      </c>
      <c r="D1291" s="2" t="str">
        <f t="shared" si="117"/>
        <v>FFAS</v>
      </c>
      <c r="E1291" s="2" t="str">
        <f>"PREVISÃO DE FATURAMENTO APAC"</f>
        <v>PREVISÃO DE FATURAMENTO APAC</v>
      </c>
      <c r="F1291" s="2" t="str">
        <f>"R_PREV_FAT_APAC_P321"</f>
        <v>R_PREV_FAT_APAC_P321</v>
      </c>
      <c r="G1291" s="2" t="str">
        <f>"Faturamento / Faturamento Ambulatorial SUS (BPA e APAC) / Relatórios / APAC / Previsão de Faturamento APAC (R_PREV_FAT_APAC_P321)"</f>
        <v>Faturamento / Faturamento Ambulatorial SUS (BPA e APAC) / Relatórios / APAC / Previsão de Faturamento APAC (R_PREV_FAT_APAC_P321)</v>
      </c>
    </row>
    <row r="1292" spans="1:7" x14ac:dyDescent="0.3">
      <c r="A1292" s="1" t="s">
        <v>4</v>
      </c>
      <c r="B1292" s="2" t="str">
        <f t="shared" si="115"/>
        <v>SISTEMA FATURAMENTO AMBULATORIO SUS</v>
      </c>
      <c r="C1292" s="2" t="str">
        <f t="shared" si="116"/>
        <v>FATUR-SUS</v>
      </c>
      <c r="D1292" s="2" t="str">
        <f t="shared" si="117"/>
        <v>FFAS</v>
      </c>
      <c r="E1292" s="2" t="str">
        <f>"RELATÓRIO DE FATURAMENTO POR DISTRITO"</f>
        <v>RELATÓRIO DE FATURAMENTO POR DISTRITO</v>
      </c>
      <c r="F1292" s="2" t="str">
        <f>"R_FATDISTR_P321"</f>
        <v>R_FATDISTR_P321</v>
      </c>
      <c r="G1292" s="2" t="str">
        <f>"Faturamento / Faturamento Ambulatorial SUS (BPA e APAC) / Relatórios / Gerenciais / Faturamento por Distrito Sanitário (R_FATDISTR_P321)"</f>
        <v>Faturamento / Faturamento Ambulatorial SUS (BPA e APAC) / Relatórios / Gerenciais / Faturamento por Distrito Sanitário (R_FATDISTR_P321)</v>
      </c>
    </row>
    <row r="1293" spans="1:7" x14ac:dyDescent="0.3">
      <c r="A1293" s="1" t="s">
        <v>4</v>
      </c>
      <c r="B1293" s="2" t="str">
        <f t="shared" si="115"/>
        <v>SISTEMA FATURAMENTO AMBULATORIO SUS</v>
      </c>
      <c r="C1293" s="2" t="str">
        <f t="shared" si="116"/>
        <v>FATUR-SUS</v>
      </c>
      <c r="D1293" s="2" t="str">
        <f t="shared" si="117"/>
        <v>FFAS</v>
      </c>
      <c r="E1293" s="2" t="str">
        <f>"RELATÓRIO DE CUSTO X FATURAMENTO APAC"</f>
        <v>RELATÓRIO DE CUSTO X FATURAMENTO APAC</v>
      </c>
      <c r="F1293" s="2" t="str">
        <f>"R_CUSTO_FAT_P321"</f>
        <v>R_CUSTO_FAT_P321</v>
      </c>
      <c r="G1293" s="2" t="str">
        <f>"Faturamento / Faturamento Ambulatorial SUS (BPA e APAC) / Relatórios / Gerenciais / Custo X Faturamento APAC (R_CUSTO_FAT_P321)"</f>
        <v>Faturamento / Faturamento Ambulatorial SUS (BPA e APAC) / Relatórios / Gerenciais / Custo X Faturamento APAC (R_CUSTO_FAT_P321)</v>
      </c>
    </row>
    <row r="1294" spans="1:7" x14ac:dyDescent="0.3">
      <c r="A1294" s="1" t="s">
        <v>4</v>
      </c>
      <c r="B1294" s="2" t="str">
        <f t="shared" si="115"/>
        <v>SISTEMA FATURAMENTO AMBULATORIO SUS</v>
      </c>
      <c r="C1294" s="2" t="str">
        <f t="shared" si="116"/>
        <v>FATUR-SUS</v>
      </c>
      <c r="D1294" s="2" t="str">
        <f t="shared" si="117"/>
        <v>FFAS</v>
      </c>
      <c r="E1294" s="2" t="str">
        <f>"R_PROC_BPA_ORIGEM_P321"</f>
        <v>R_PROC_BPA_ORIGEM_P321</v>
      </c>
      <c r="F1294" s="2" t="str">
        <f>"R_PROC_BPA_ORIGEM_P321"</f>
        <v>R_PROC_BPA_ORIGEM_P321</v>
      </c>
      <c r="G1294" s="2" t="str">
        <f>"Faturamento / Faturamento Ambulatorial SUS (BPA e APAC) / Relatórios / Gerenciais / Relatório de Coordenadoria / Procedimentos BPA por Origem (R_PROC_BPA_ORIGEM_P321)"</f>
        <v>Faturamento / Faturamento Ambulatorial SUS (BPA e APAC) / Relatórios / Gerenciais / Relatório de Coordenadoria / Procedimentos BPA por Origem (R_PROC_BPA_ORIGEM_P321)</v>
      </c>
    </row>
    <row r="1295" spans="1:7" x14ac:dyDescent="0.3">
      <c r="A1295" s="1" t="s">
        <v>4</v>
      </c>
      <c r="B1295" s="2" t="str">
        <f t="shared" si="115"/>
        <v>SISTEMA FATURAMENTO AMBULATORIO SUS</v>
      </c>
      <c r="C1295" s="2" t="str">
        <f t="shared" si="116"/>
        <v>FATUR-SUS</v>
      </c>
      <c r="D1295" s="2" t="str">
        <f t="shared" si="117"/>
        <v>FFAS</v>
      </c>
      <c r="E1295" s="2" t="str">
        <f>"CONSISTÊNCIA"</f>
        <v>CONSISTÊNCIA</v>
      </c>
      <c r="F1295" s="2" t="str">
        <f>"M_CONSISTENCIA"</f>
        <v>M_CONSISTENCIA</v>
      </c>
      <c r="G1295" s="2" t="str">
        <f>"Faturamento / Faturamento Ambulatorial SUS (BPA e APAC) / Tabelas / Procedimentos / Consistência (M_CONSISTENCIA)"</f>
        <v>Faturamento / Faturamento Ambulatorial SUS (BPA e APAC) / Tabelas / Procedimentos / Consistência (M_CONSISTENCIA)</v>
      </c>
    </row>
    <row r="1296" spans="1:7" x14ac:dyDescent="0.3">
      <c r="A1296" s="1" t="s">
        <v>4</v>
      </c>
      <c r="B1296" s="2" t="str">
        <f t="shared" si="115"/>
        <v>SISTEMA FATURAMENTO AMBULATORIO SUS</v>
      </c>
      <c r="C1296" s="2" t="str">
        <f t="shared" si="116"/>
        <v>FATUR-SUS</v>
      </c>
      <c r="D1296" s="2" t="str">
        <f t="shared" si="117"/>
        <v>FFAS</v>
      </c>
      <c r="E1296" s="2" t="str">
        <f>"R_PROD_PREST_ORIGEM"</f>
        <v>R_PROD_PREST_ORIGEM</v>
      </c>
      <c r="F1296" s="2" t="str">
        <f>"R_PROD_PREST_ORIGEM"</f>
        <v>R_PROD_PREST_ORIGEM</v>
      </c>
      <c r="G1296" s="2" t="str">
        <f t="shared" ref="G1296:G1304" si="118">" ()"</f>
        <v xml:space="preserve"> ()</v>
      </c>
    </row>
    <row r="1297" spans="1:7" x14ac:dyDescent="0.3">
      <c r="A1297" s="1" t="s">
        <v>4</v>
      </c>
      <c r="B1297" s="2" t="str">
        <f t="shared" si="115"/>
        <v>SISTEMA FATURAMENTO AMBULATORIO SUS</v>
      </c>
      <c r="C1297" s="2" t="str">
        <f t="shared" si="116"/>
        <v>FATUR-SUS</v>
      </c>
      <c r="D1297" s="2" t="str">
        <f t="shared" si="117"/>
        <v>FFAS</v>
      </c>
      <c r="E1297" s="2" t="str">
        <f>"CADASTRO: TIPO DE PRESTADORES"</f>
        <v>CADASTRO: TIPO DE PRESTADORES</v>
      </c>
      <c r="F1297" s="2" t="str">
        <f>"M_PREST_SIASUS"</f>
        <v>M_PREST_SIASUS</v>
      </c>
      <c r="G1297" s="2" t="str">
        <f t="shared" si="118"/>
        <v xml:space="preserve"> ()</v>
      </c>
    </row>
    <row r="1298" spans="1:7" x14ac:dyDescent="0.3">
      <c r="A1298" s="1" t="s">
        <v>4</v>
      </c>
      <c r="B1298" s="2" t="str">
        <f t="shared" si="115"/>
        <v>SISTEMA FATURAMENTO AMBULATORIO SUS</v>
      </c>
      <c r="C1298" s="2" t="str">
        <f t="shared" si="116"/>
        <v>FATUR-SUS</v>
      </c>
      <c r="D1298" s="2" t="str">
        <f t="shared" si="117"/>
        <v>FFAS</v>
      </c>
      <c r="E1298" s="2" t="str">
        <f>"RELATÓRIO DE FATURAMENTO POR UNIDADE"</f>
        <v>RELATÓRIO DE FATURAMENTO POR UNIDADE</v>
      </c>
      <c r="F1298" s="2" t="str">
        <f>"R_FAT_ESP_UNI"</f>
        <v>R_FAT_ESP_UNI</v>
      </c>
      <c r="G1298" s="2" t="str">
        <f t="shared" si="118"/>
        <v xml:space="preserve"> ()</v>
      </c>
    </row>
    <row r="1299" spans="1:7" x14ac:dyDescent="0.3">
      <c r="A1299" s="1" t="s">
        <v>4</v>
      </c>
      <c r="B1299" s="2" t="str">
        <f t="shared" si="115"/>
        <v>SISTEMA FATURAMENTO AMBULATORIO SUS</v>
      </c>
      <c r="C1299" s="2" t="str">
        <f t="shared" si="116"/>
        <v>FATUR-SUS</v>
      </c>
      <c r="D1299" s="2" t="str">
        <f t="shared" si="117"/>
        <v>FFAS</v>
      </c>
      <c r="E1299" s="2" t="str">
        <f>"CONTROLE DE FEQUENCIA DE FICHA DE APAC"</f>
        <v>CONTROLE DE FEQUENCIA DE FICHA DE APAC</v>
      </c>
      <c r="F1299" s="2" t="str">
        <f>"M_CONTROLE_FREQUENCIA"</f>
        <v>M_CONTROLE_FREQUENCIA</v>
      </c>
      <c r="G1299" s="2" t="str">
        <f t="shared" si="118"/>
        <v xml:space="preserve"> ()</v>
      </c>
    </row>
    <row r="1300" spans="1:7" x14ac:dyDescent="0.3">
      <c r="A1300" s="1" t="s">
        <v>4</v>
      </c>
      <c r="B1300" s="2" t="str">
        <f t="shared" ref="B1300:B1363" si="119">"SISTEMA FATURAMENTO AMBULATORIO SUS"</f>
        <v>SISTEMA FATURAMENTO AMBULATORIO SUS</v>
      </c>
      <c r="C1300" s="2" t="str">
        <f t="shared" ref="C1300:C1363" si="120">"FATUR-SUS"</f>
        <v>FATUR-SUS</v>
      </c>
      <c r="D1300" s="2" t="str">
        <f t="shared" ref="D1300:D1363" si="121">"FFAS"</f>
        <v>FFAS</v>
      </c>
      <c r="E1300" s="2" t="str">
        <f>"CADASTRO: TABELA DE SIA SUS"</f>
        <v>CADASTRO: TABELA DE SIA SUS</v>
      </c>
      <c r="F1300" s="2" t="str">
        <f>"M_SIASUS"</f>
        <v>M_SIASUS</v>
      </c>
      <c r="G1300" s="2" t="str">
        <f t="shared" si="118"/>
        <v xml:space="preserve"> ()</v>
      </c>
    </row>
    <row r="1301" spans="1:7" x14ac:dyDescent="0.3">
      <c r="A1301" s="1" t="s">
        <v>4</v>
      </c>
      <c r="B1301" s="2" t="str">
        <f t="shared" si="119"/>
        <v>SISTEMA FATURAMENTO AMBULATORIO SUS</v>
      </c>
      <c r="C1301" s="2" t="str">
        <f t="shared" si="120"/>
        <v>FATUR-SUS</v>
      </c>
      <c r="D1301" s="2" t="str">
        <f t="shared" si="121"/>
        <v>FFAS</v>
      </c>
      <c r="E1301" s="2" t="str">
        <f>"LAUDO EMISSÃO DE APAC - HEMODINÂMICA"</f>
        <v>LAUDO EMISSÃO DE APAC - HEMODINÂMICA</v>
      </c>
      <c r="F1301" s="2" t="str">
        <f>"R_LAUDO_APAC_TIPO26"</f>
        <v>R_LAUDO_APAC_TIPO26</v>
      </c>
      <c r="G1301" s="2" t="str">
        <f t="shared" si="118"/>
        <v xml:space="preserve"> ()</v>
      </c>
    </row>
    <row r="1302" spans="1:7" x14ac:dyDescent="0.3">
      <c r="A1302" s="1" t="s">
        <v>4</v>
      </c>
      <c r="B1302" s="2" t="str">
        <f t="shared" si="119"/>
        <v>SISTEMA FATURAMENTO AMBULATORIO SUS</v>
      </c>
      <c r="C1302" s="2" t="str">
        <f t="shared" si="120"/>
        <v>FATUR-SUS</v>
      </c>
      <c r="D1302" s="2" t="str">
        <f t="shared" si="121"/>
        <v>FFAS</v>
      </c>
      <c r="E1302" s="2" t="str">
        <f>"LAUDOS MÉDICOS PARA EMISSÃO DE APAC"</f>
        <v>LAUDOS MÉDICOS PARA EMISSÃO DE APAC</v>
      </c>
      <c r="F1302" s="2" t="str">
        <f>"M_LAUDOS_APAC"</f>
        <v>M_LAUDOS_APAC</v>
      </c>
      <c r="G1302" s="2" t="str">
        <f t="shared" si="118"/>
        <v xml:space="preserve"> ()</v>
      </c>
    </row>
    <row r="1303" spans="1:7" x14ac:dyDescent="0.3">
      <c r="A1303" s="1" t="s">
        <v>4</v>
      </c>
      <c r="B1303" s="2" t="str">
        <f t="shared" si="119"/>
        <v>SISTEMA FATURAMENTO AMBULATORIO SUS</v>
      </c>
      <c r="C1303" s="2" t="str">
        <f t="shared" si="120"/>
        <v>FATUR-SUS</v>
      </c>
      <c r="D1303" s="2" t="str">
        <f t="shared" si="121"/>
        <v>FFAS</v>
      </c>
      <c r="E1303" s="2" t="str">
        <f>"RELATÓRIO DE PROCEDIMENTO X SERVIÇO"</f>
        <v>RELATÓRIO DE PROCEDIMENTO X SERVIÇO</v>
      </c>
      <c r="F1303" s="2" t="str">
        <f>"R_PROC_SERVICO"</f>
        <v>R_PROC_SERVICO</v>
      </c>
      <c r="G1303" s="2" t="str">
        <f t="shared" si="118"/>
        <v xml:space="preserve"> ()</v>
      </c>
    </row>
    <row r="1304" spans="1:7" x14ac:dyDescent="0.3">
      <c r="A1304" s="1" t="s">
        <v>4</v>
      </c>
      <c r="B1304" s="2" t="str">
        <f t="shared" si="119"/>
        <v>SISTEMA FATURAMENTO AMBULATORIO SUS</v>
      </c>
      <c r="C1304" s="2" t="str">
        <f t="shared" si="120"/>
        <v>FATUR-SUS</v>
      </c>
      <c r="D1304" s="2" t="str">
        <f t="shared" si="121"/>
        <v>FFAS</v>
      </c>
      <c r="E1304" s="2" t="str">
        <f>"R_PROC_TP_ATENDIME"</f>
        <v>R_PROC_TP_ATENDIME</v>
      </c>
      <c r="F1304" s="2" t="str">
        <f>"R_PROC_TP_ATENDIME"</f>
        <v>R_PROC_TP_ATENDIME</v>
      </c>
      <c r="G1304" s="2" t="str">
        <f t="shared" si="118"/>
        <v xml:space="preserve"> ()</v>
      </c>
    </row>
    <row r="1305" spans="1:7" x14ac:dyDescent="0.3">
      <c r="A1305" s="1" t="s">
        <v>4</v>
      </c>
      <c r="B1305" s="2" t="str">
        <f t="shared" si="119"/>
        <v>SISTEMA FATURAMENTO AMBULATORIO SUS</v>
      </c>
      <c r="C1305" s="2" t="str">
        <f t="shared" si="120"/>
        <v>FATUR-SUS</v>
      </c>
      <c r="D1305" s="2" t="str">
        <f t="shared" si="121"/>
        <v>FFAS</v>
      </c>
      <c r="E1305" s="2" t="str">
        <f>"RELATÓRIO DE FATURAMENTO GLOBAL"</f>
        <v>RELATÓRIO DE FATURAMENTO GLOBAL</v>
      </c>
      <c r="F1305" s="2" t="str">
        <f>"R_RELACAO_NOMINAL_ORIGEM"</f>
        <v>R_RELACAO_NOMINAL_ORIGEM</v>
      </c>
      <c r="G1305" s="2" t="str">
        <f>"Faturamento / Faturamento Ambulatorial SUS (BPA e APAC) / Relatórios / Operacionais / Relação Nominal por Prestador e Origem (R_RELACAO_NOMINAL_ORIGEM)"</f>
        <v>Faturamento / Faturamento Ambulatorial SUS (BPA e APAC) / Relatórios / Operacionais / Relação Nominal por Prestador e Origem (R_RELACAO_NOMINAL_ORIGEM)</v>
      </c>
    </row>
    <row r="1306" spans="1:7" x14ac:dyDescent="0.3">
      <c r="A1306" s="1" t="s">
        <v>4</v>
      </c>
      <c r="B1306" s="2" t="str">
        <f t="shared" si="119"/>
        <v>SISTEMA FATURAMENTO AMBULATORIO SUS</v>
      </c>
      <c r="C1306" s="2" t="str">
        <f t="shared" si="120"/>
        <v>FATUR-SUS</v>
      </c>
      <c r="D1306" s="2" t="str">
        <f t="shared" si="121"/>
        <v>FFAS</v>
      </c>
      <c r="E1306" s="2" t="str">
        <f>"RELAÇÃO NOMINAL POR ESPECIALIDADE"</f>
        <v>RELAÇÃO NOMINAL POR ESPECIALIDADE</v>
      </c>
      <c r="F1306" s="2" t="str">
        <f>"R_RELACAO_NOMINAL_ANALIT"</f>
        <v>R_RELACAO_NOMINAL_ANALIT</v>
      </c>
      <c r="G1306" s="2" t="str">
        <f>" ()"</f>
        <v xml:space="preserve"> ()</v>
      </c>
    </row>
    <row r="1307" spans="1:7" x14ac:dyDescent="0.3">
      <c r="A1307" s="1" t="s">
        <v>4</v>
      </c>
      <c r="B1307" s="2" t="str">
        <f t="shared" si="119"/>
        <v>SISTEMA FATURAMENTO AMBULATORIO SUS</v>
      </c>
      <c r="C1307" s="2" t="str">
        <f t="shared" si="120"/>
        <v>FATUR-SUS</v>
      </c>
      <c r="D1307" s="2" t="str">
        <f t="shared" si="121"/>
        <v>FFAS</v>
      </c>
      <c r="E1307" s="2" t="str">
        <f>"IMPORTA_SIASUS"</f>
        <v>IMPORTA_SIASUS</v>
      </c>
      <c r="F1307" s="2" t="str">
        <f>"IMPORTA_SIASUS"</f>
        <v>IMPORTA_SIASUS</v>
      </c>
      <c r="G1307" s="2" t="str">
        <f>" ()"</f>
        <v xml:space="preserve"> ()</v>
      </c>
    </row>
    <row r="1308" spans="1:7" x14ac:dyDescent="0.3">
      <c r="A1308" s="1" t="s">
        <v>4</v>
      </c>
      <c r="B1308" s="2" t="str">
        <f t="shared" si="119"/>
        <v>SISTEMA FATURAMENTO AMBULATORIO SUS</v>
      </c>
      <c r="C1308" s="2" t="str">
        <f t="shared" si="120"/>
        <v>FATUR-SUS</v>
      </c>
      <c r="D1308" s="2" t="str">
        <f t="shared" si="121"/>
        <v>FFAS</v>
      </c>
      <c r="E1308" s="2" t="str">
        <f>"PCK_LCTO_AMB"</f>
        <v>PCK_LCTO_AMB</v>
      </c>
      <c r="F1308" s="2" t="str">
        <f>"PCK_LCTO_AMB"</f>
        <v>PCK_LCTO_AMB</v>
      </c>
      <c r="G1308" s="2" t="str">
        <f>" ()"</f>
        <v xml:space="preserve"> ()</v>
      </c>
    </row>
    <row r="1309" spans="1:7" x14ac:dyDescent="0.3">
      <c r="A1309" s="1" t="s">
        <v>4</v>
      </c>
      <c r="B1309" s="2" t="str">
        <f t="shared" si="119"/>
        <v>SISTEMA FATURAMENTO AMBULATORIO SUS</v>
      </c>
      <c r="C1309" s="2" t="str">
        <f t="shared" si="120"/>
        <v>FATUR-SUS</v>
      </c>
      <c r="D1309" s="2" t="str">
        <f t="shared" si="121"/>
        <v>FFAS</v>
      </c>
      <c r="E1309" s="2" t="str">
        <f>"RELATORIO DE PRESTADOR X ESPECIALIDADE"</f>
        <v>RELATORIO DE PRESTADOR X ESPECIALIDADE</v>
      </c>
      <c r="F1309" s="2" t="str">
        <f>"R_ESPPRE"</f>
        <v>R_ESPPRE</v>
      </c>
      <c r="G1309" s="2" t="str">
        <f>"Faturamento / Faturamento Ambulatorial SUS (BPA e APAC) / Relatórios / Tabelas / Prestador/Especialidades (R_ESPPRE)"</f>
        <v>Faturamento / Faturamento Ambulatorial SUS (BPA e APAC) / Relatórios / Tabelas / Prestador/Especialidades (R_ESPPRE)</v>
      </c>
    </row>
    <row r="1310" spans="1:7" x14ac:dyDescent="0.3">
      <c r="A1310" s="1" t="s">
        <v>4</v>
      </c>
      <c r="B1310" s="2" t="str">
        <f t="shared" si="119"/>
        <v>SISTEMA FATURAMENTO AMBULATORIO SUS</v>
      </c>
      <c r="C1310" s="2" t="str">
        <f t="shared" si="120"/>
        <v>FATUR-SUS</v>
      </c>
      <c r="D1310" s="2" t="str">
        <f t="shared" si="121"/>
        <v>FFAS</v>
      </c>
      <c r="E1310" s="2" t="str">
        <f>"RELATORIO DE PRESTADOR X ESPECIALIDADE"</f>
        <v>RELATORIO DE PRESTADOR X ESPECIALIDADE</v>
      </c>
      <c r="F1310" s="2" t="str">
        <f>"R_ESPPRE"</f>
        <v>R_ESPPRE</v>
      </c>
      <c r="G1310" s="2" t="str">
        <f>"Serviços de Apoio / Diretoria Clinica / Relatórios / Tabelas / Prestador por Especialidades (R_ESPPRE)"</f>
        <v>Serviços de Apoio / Diretoria Clinica / Relatórios / Tabelas / Prestador por Especialidades (R_ESPPRE)</v>
      </c>
    </row>
    <row r="1311" spans="1:7" x14ac:dyDescent="0.3">
      <c r="A1311" s="1" t="s">
        <v>4</v>
      </c>
      <c r="B1311" s="2" t="str">
        <f t="shared" si="119"/>
        <v>SISTEMA FATURAMENTO AMBULATORIO SUS</v>
      </c>
      <c r="C1311" s="2" t="str">
        <f t="shared" si="120"/>
        <v>FATUR-SUS</v>
      </c>
      <c r="D1311" s="2" t="str">
        <f t="shared" si="121"/>
        <v>FFAS</v>
      </c>
      <c r="E1311" s="2" t="str">
        <f>"RELATORIO DE PRESTADOR X ESPECIALIDADE"</f>
        <v>RELATORIO DE PRESTADOR X ESPECIALIDADE</v>
      </c>
      <c r="F1311" s="2" t="str">
        <f>"R_ESPPRE"</f>
        <v>R_ESPPRE</v>
      </c>
      <c r="G1311" s="2" t="str">
        <f>"Serviços de Apoio / Serviço Arquivo Médico / Relatórios / Tabelas / Prestador por Especialidades (R_ESPPRE)"</f>
        <v>Serviços de Apoio / Serviço Arquivo Médico / Relatórios / Tabelas / Prestador por Especialidades (R_ESPPRE)</v>
      </c>
    </row>
    <row r="1312" spans="1:7" x14ac:dyDescent="0.3">
      <c r="A1312" s="1" t="s">
        <v>4</v>
      </c>
      <c r="B1312" s="2" t="str">
        <f t="shared" si="119"/>
        <v>SISTEMA FATURAMENTO AMBULATORIO SUS</v>
      </c>
      <c r="C1312" s="2" t="str">
        <f t="shared" si="120"/>
        <v>FATUR-SUS</v>
      </c>
      <c r="D1312" s="2" t="str">
        <f t="shared" si="121"/>
        <v>FFAS</v>
      </c>
      <c r="E1312" s="2" t="str">
        <f>"RELATORIO DE PRESTADOR X ESPECIALIDADE"</f>
        <v>RELATORIO DE PRESTADOR X ESPECIALIDADE</v>
      </c>
      <c r="F1312" s="2" t="str">
        <f>"R_ESPPRE"</f>
        <v>R_ESPPRE</v>
      </c>
      <c r="G1312" s="2" t="str">
        <f>"Serviços de Apoio / Global / Relatórios / Prestadores / Prestador por Especialidades (R_ESPPRE)"</f>
        <v>Serviços de Apoio / Global / Relatórios / Prestadores / Prestador por Especialidades (R_ESPPRE)</v>
      </c>
    </row>
    <row r="1313" spans="1:7" x14ac:dyDescent="0.3">
      <c r="A1313" s="1" t="s">
        <v>4</v>
      </c>
      <c r="B1313" s="2" t="str">
        <f t="shared" si="119"/>
        <v>SISTEMA FATURAMENTO AMBULATORIO SUS</v>
      </c>
      <c r="C1313" s="2" t="str">
        <f t="shared" si="120"/>
        <v>FATUR-SUS</v>
      </c>
      <c r="D1313" s="2" t="str">
        <f t="shared" si="121"/>
        <v>FFAS</v>
      </c>
      <c r="E1313" s="2" t="str">
        <f>"INT TIPO DE ATEND.SUS X CARA DE ATEND SU"</f>
        <v>INT TIPO DE ATEND.SUS X CARA DE ATEND SU</v>
      </c>
      <c r="F1313" s="2" t="str">
        <f>"M_REL_CARATER_ATEND"</f>
        <v>M_REL_CARATER_ATEND</v>
      </c>
      <c r="G1313" s="2" t="str">
        <f>"Faturamento / Faturamento Ambulatorial SUS (BPA e APAC) / Tabelas / Integrações / Tipo de Atend SUS X Carater de atendimento SUS (M_REL_CARATER_ATEND)"</f>
        <v>Faturamento / Faturamento Ambulatorial SUS (BPA e APAC) / Tabelas / Integrações / Tipo de Atend SUS X Carater de atendimento SUS (M_REL_CARATER_ATEND)</v>
      </c>
    </row>
    <row r="1314" spans="1:7" x14ac:dyDescent="0.3">
      <c r="A1314" s="1" t="s">
        <v>4</v>
      </c>
      <c r="B1314" s="2" t="str">
        <f t="shared" si="119"/>
        <v>SISTEMA FATURAMENTO AMBULATORIO SUS</v>
      </c>
      <c r="C1314" s="2" t="str">
        <f t="shared" si="120"/>
        <v>FATUR-SUS</v>
      </c>
      <c r="D1314" s="2" t="str">
        <f t="shared" si="121"/>
        <v>FFAS</v>
      </c>
      <c r="E1314" s="2" t="str">
        <f>"PORTARIA 321 CADASTRO AUTORIZADOR"</f>
        <v>PORTARIA 321 CADASTRO AUTORIZADOR</v>
      </c>
      <c r="F1314" s="2" t="str">
        <f>"M_CAD_AUTORIZADOR"</f>
        <v>M_CAD_AUTORIZADOR</v>
      </c>
      <c r="G1314" s="2" t="str">
        <f>"Faturamento / Faturamento Ambulatorial SUS (BPA e APAC) / Tabelas / Cadastro Autorizador (M_CAD_AUTORIZADOR)"</f>
        <v>Faturamento / Faturamento Ambulatorial SUS (BPA e APAC) / Tabelas / Cadastro Autorizador (M_CAD_AUTORIZADOR)</v>
      </c>
    </row>
    <row r="1315" spans="1:7" x14ac:dyDescent="0.3">
      <c r="A1315" s="1" t="s">
        <v>4</v>
      </c>
      <c r="B1315" s="2" t="str">
        <f t="shared" si="119"/>
        <v>SISTEMA FATURAMENTO AMBULATORIO SUS</v>
      </c>
      <c r="C1315" s="2" t="str">
        <f t="shared" si="120"/>
        <v>FATUR-SUS</v>
      </c>
      <c r="D1315" s="2" t="str">
        <f t="shared" si="121"/>
        <v>FFAS</v>
      </c>
      <c r="E1315" s="2" t="str">
        <f>"PORTARIA 321 CARATER DE ATENDIMENTO"</f>
        <v>PORTARIA 321 CARATER DE ATENDIMENTO</v>
      </c>
      <c r="F1315" s="2" t="str">
        <f>"M_CARATER_ATENDIMENTO"</f>
        <v>M_CARATER_ATENDIMENTO</v>
      </c>
      <c r="G1315" s="2" t="str">
        <f>"Faturamento / Faturamento Ambulatorial SUS (BPA e APAC) / Tabelas / Geral / Caráter de Atendimento (M_CARATER_ATENDIMENTO)"</f>
        <v>Faturamento / Faturamento Ambulatorial SUS (BPA e APAC) / Tabelas / Geral / Caráter de Atendimento (M_CARATER_ATENDIMENTO)</v>
      </c>
    </row>
    <row r="1316" spans="1:7" x14ac:dyDescent="0.3">
      <c r="A1316" s="1" t="s">
        <v>4</v>
      </c>
      <c r="B1316" s="2" t="str">
        <f t="shared" si="119"/>
        <v>SISTEMA FATURAMENTO AMBULATORIO SUS</v>
      </c>
      <c r="C1316" s="2" t="str">
        <f t="shared" si="120"/>
        <v>FATUR-SUS</v>
      </c>
      <c r="D1316" s="2" t="str">
        <f t="shared" si="121"/>
        <v>FFAS</v>
      </c>
      <c r="E1316" s="2" t="str">
        <f>"APAC GLOSA APAC"</f>
        <v>APAC GLOSA APAC</v>
      </c>
      <c r="F1316" s="2" t="str">
        <f>"M_GLOSA_APAC"</f>
        <v>M_GLOSA_APAC</v>
      </c>
      <c r="G1316" s="2" t="str">
        <f>" ()"</f>
        <v xml:space="preserve"> ()</v>
      </c>
    </row>
    <row r="1317" spans="1:7" x14ac:dyDescent="0.3">
      <c r="A1317" s="1" t="s">
        <v>4</v>
      </c>
      <c r="B1317" s="2" t="str">
        <f t="shared" si="119"/>
        <v>SISTEMA FATURAMENTO AMBULATORIO SUS</v>
      </c>
      <c r="C1317" s="2" t="str">
        <f t="shared" si="120"/>
        <v>FATUR-SUS</v>
      </c>
      <c r="D1317" s="2" t="str">
        <f t="shared" si="121"/>
        <v>FFAS</v>
      </c>
      <c r="E1317" s="2" t="str">
        <f>"APAC"</f>
        <v>APAC</v>
      </c>
      <c r="F1317" s="2" t="str">
        <f>"APAC"</f>
        <v>APAC</v>
      </c>
      <c r="G1317" s="2" t="str">
        <f>" ()"</f>
        <v xml:space="preserve"> ()</v>
      </c>
    </row>
    <row r="1318" spans="1:7" x14ac:dyDescent="0.3">
      <c r="A1318" s="1" t="s">
        <v>4</v>
      </c>
      <c r="B1318" s="2" t="str">
        <f t="shared" si="119"/>
        <v>SISTEMA FATURAMENTO AMBULATORIO SUS</v>
      </c>
      <c r="C1318" s="2" t="str">
        <f t="shared" si="120"/>
        <v>FATUR-SUS</v>
      </c>
      <c r="D1318" s="2" t="str">
        <f t="shared" si="121"/>
        <v>FFAS</v>
      </c>
      <c r="E1318" s="2" t="str">
        <f>"BPA PRODUÇÃO AMBULATORIAL"</f>
        <v>BPA PRODUÇÃO AMBULATORIAL</v>
      </c>
      <c r="F1318" s="2" t="str">
        <f>"L_PAP321"</f>
        <v>L_PAP321</v>
      </c>
      <c r="G1318" s="2" t="str">
        <f>" ()"</f>
        <v xml:space="preserve"> ()</v>
      </c>
    </row>
    <row r="1319" spans="1:7" x14ac:dyDescent="0.3">
      <c r="A1319" s="1" t="s">
        <v>4</v>
      </c>
      <c r="B1319" s="2" t="str">
        <f t="shared" si="119"/>
        <v>SISTEMA FATURAMENTO AMBULATORIO SUS</v>
      </c>
      <c r="C1319" s="2" t="str">
        <f t="shared" si="120"/>
        <v>FATUR-SUS</v>
      </c>
      <c r="D1319" s="2" t="str">
        <f t="shared" si="121"/>
        <v>FFAS</v>
      </c>
      <c r="E1319" s="2" t="str">
        <f>"BPA PRODUÇÃO AMBULATORIAL POR PACIENTE"</f>
        <v>BPA PRODUÇÃO AMBULATORIAL POR PACIENTE</v>
      </c>
      <c r="F1319" s="2" t="str">
        <f>"L_PA_PACIENTEP321"</f>
        <v>L_PA_PACIENTEP321</v>
      </c>
      <c r="G1319" s="2" t="str">
        <f>" ()"</f>
        <v xml:space="preserve"> ()</v>
      </c>
    </row>
    <row r="1320" spans="1:7" x14ac:dyDescent="0.3">
      <c r="A1320" s="1" t="s">
        <v>4</v>
      </c>
      <c r="B1320" s="2" t="str">
        <f t="shared" si="119"/>
        <v>SISTEMA FATURAMENTO AMBULATORIO SUS</v>
      </c>
      <c r="C1320" s="2" t="str">
        <f t="shared" si="120"/>
        <v>FATUR-SUS</v>
      </c>
      <c r="D1320" s="2" t="str">
        <f t="shared" si="121"/>
        <v>FFAS</v>
      </c>
      <c r="E1320" s="2" t="str">
        <f>"BPA INDIVIDUALIZADO"</f>
        <v>BPA INDIVIDUALIZADO</v>
      </c>
      <c r="F1320" s="2" t="str">
        <f>"L_INDIVIDUP321"</f>
        <v>L_INDIVIDUP321</v>
      </c>
      <c r="G1320" s="2" t="str">
        <f>" ()"</f>
        <v xml:space="preserve"> ()</v>
      </c>
    </row>
    <row r="1321" spans="1:7" x14ac:dyDescent="0.3">
      <c r="A1321" s="1" t="s">
        <v>4</v>
      </c>
      <c r="B1321" s="2" t="str">
        <f t="shared" si="119"/>
        <v>SISTEMA FATURAMENTO AMBULATORIO SUS</v>
      </c>
      <c r="C1321" s="2" t="str">
        <f t="shared" si="120"/>
        <v>FATUR-SUS</v>
      </c>
      <c r="D1321" s="2" t="str">
        <f t="shared" si="121"/>
        <v>FFAS</v>
      </c>
      <c r="E1321" s="2" t="str">
        <f>"GERAÇÃO DE DISQUETES"</f>
        <v>GERAÇÃO DE DISQUETES</v>
      </c>
      <c r="F1321" s="2" t="str">
        <f>"O_GERDIS_P321"</f>
        <v>O_GERDIS_P321</v>
      </c>
      <c r="G1321" s="2" t="str">
        <f>"Faturamento / Faturamento Ambulatorial SUS (BPA e APAC) / Faturamento / Exportação BPA (O_GERDIS_P321)"</f>
        <v>Faturamento / Faturamento Ambulatorial SUS (BPA e APAC) / Faturamento / Exportação BPA (O_GERDIS_P321)</v>
      </c>
    </row>
    <row r="1322" spans="1:7" x14ac:dyDescent="0.3">
      <c r="A1322" s="1" t="s">
        <v>4</v>
      </c>
      <c r="B1322" s="2" t="str">
        <f t="shared" si="119"/>
        <v>SISTEMA FATURAMENTO AMBULATORIO SUS</v>
      </c>
      <c r="C1322" s="2" t="str">
        <f t="shared" si="120"/>
        <v>FATUR-SUS</v>
      </c>
      <c r="D1322" s="2" t="str">
        <f t="shared" si="121"/>
        <v>FFAS</v>
      </c>
      <c r="E1322" s="2" t="str">
        <f>"LAUDOS APAC"</f>
        <v>LAUDOS APAC</v>
      </c>
      <c r="F1322" s="2" t="str">
        <f>"M_LAUDO_SIA_APAC_P321"</f>
        <v>M_LAUDO_SIA_APAC_P321</v>
      </c>
      <c r="G1322" s="2" t="str">
        <f>"Faturamento / Faturamento Ambulatorial SUS (BPA e APAC) / Lançamentos / APAC / Laudos Médicos Para Emissão de APAC (M_LAUDO_SIA_APAC_P321)"</f>
        <v>Faturamento / Faturamento Ambulatorial SUS (BPA e APAC) / Lançamentos / APAC / Laudos Médicos Para Emissão de APAC (M_LAUDO_SIA_APAC_P321)</v>
      </c>
    </row>
    <row r="1323" spans="1:7" x14ac:dyDescent="0.3">
      <c r="A1323" s="1" t="s">
        <v>4</v>
      </c>
      <c r="B1323" s="2" t="str">
        <f t="shared" si="119"/>
        <v>SISTEMA FATURAMENTO AMBULATORIO SUS</v>
      </c>
      <c r="C1323" s="2" t="str">
        <f t="shared" si="120"/>
        <v>FATUR-SUS</v>
      </c>
      <c r="D1323" s="2" t="str">
        <f t="shared" si="121"/>
        <v>FFAS</v>
      </c>
      <c r="E1323" s="2" t="str">
        <f>"R_PROC_BPA_ORIGEM_971"</f>
        <v>R_PROC_BPA_ORIGEM_971</v>
      </c>
      <c r="F1323" s="2" t="str">
        <f>"R_PROC_BPA_ORIGEM_971"</f>
        <v>R_PROC_BPA_ORIGEM_971</v>
      </c>
      <c r="G1323" s="2" t="str">
        <f>" ()"</f>
        <v xml:space="preserve"> ()</v>
      </c>
    </row>
    <row r="1324" spans="1:7" x14ac:dyDescent="0.3">
      <c r="A1324" s="1" t="s">
        <v>4</v>
      </c>
      <c r="B1324" s="2" t="str">
        <f t="shared" si="119"/>
        <v>SISTEMA FATURAMENTO AMBULATORIO SUS</v>
      </c>
      <c r="C1324" s="2" t="str">
        <f t="shared" si="120"/>
        <v>FATUR-SUS</v>
      </c>
      <c r="D1324" s="2" t="str">
        <f t="shared" si="121"/>
        <v>FFAS</v>
      </c>
      <c r="E1324" s="2" t="str">
        <f>"WIN_PRINCIPAL"</f>
        <v>WIN_PRINCIPAL</v>
      </c>
      <c r="F1324" s="2" t="str">
        <f>"M_UPS"</f>
        <v>M_UPS</v>
      </c>
      <c r="G1324" s="2" t="str">
        <f>"Faturamento / Faturamento Ambulatorial SUS (BPA e APAC) / Tabelas / Unidades Prestadoras de Serviço / Cadastro de Unidades (M_UPS)"</f>
        <v>Faturamento / Faturamento Ambulatorial SUS (BPA e APAC) / Tabelas / Unidades Prestadoras de Serviço / Cadastro de Unidades (M_UPS)</v>
      </c>
    </row>
    <row r="1325" spans="1:7" x14ac:dyDescent="0.3">
      <c r="A1325" s="1" t="s">
        <v>4</v>
      </c>
      <c r="B1325" s="2" t="str">
        <f t="shared" si="119"/>
        <v>SISTEMA FATURAMENTO AMBULATORIO SUS</v>
      </c>
      <c r="C1325" s="2" t="str">
        <f t="shared" si="120"/>
        <v>FATUR-SUS</v>
      </c>
      <c r="D1325" s="2" t="str">
        <f t="shared" si="121"/>
        <v>FFAS</v>
      </c>
      <c r="E1325" s="2" t="str">
        <f>"L_PA_PACIENTE_971"</f>
        <v>L_PA_PACIENTE_971</v>
      </c>
      <c r="F1325" s="2" t="str">
        <f>"L_PA_PACIENTE_971"</f>
        <v>L_PA_PACIENTE_971</v>
      </c>
      <c r="G1325" s="2" t="str">
        <f>" ()"</f>
        <v xml:space="preserve"> ()</v>
      </c>
    </row>
    <row r="1326" spans="1:7" x14ac:dyDescent="0.3">
      <c r="A1326" s="1" t="s">
        <v>4</v>
      </c>
      <c r="B1326" s="2" t="str">
        <f t="shared" si="119"/>
        <v>SISTEMA FATURAMENTO AMBULATORIO SUS</v>
      </c>
      <c r="C1326" s="2" t="str">
        <f t="shared" si="120"/>
        <v>FATUR-SUS</v>
      </c>
      <c r="D1326" s="2" t="str">
        <f t="shared" si="121"/>
        <v>FFAS</v>
      </c>
      <c r="E1326" s="2" t="str">
        <f>"LAUDOS APAC"</f>
        <v>LAUDOS APAC</v>
      </c>
      <c r="F1326" s="2" t="str">
        <f>"M_LAUDO_SIA_APAC"</f>
        <v>M_LAUDO_SIA_APAC</v>
      </c>
      <c r="G1326" s="2" t="str">
        <f>" ()"</f>
        <v xml:space="preserve"> ()</v>
      </c>
    </row>
    <row r="1327" spans="1:7" x14ac:dyDescent="0.3">
      <c r="A1327" s="1" t="s">
        <v>4</v>
      </c>
      <c r="B1327" s="2" t="str">
        <f t="shared" si="119"/>
        <v>SISTEMA FATURAMENTO AMBULATORIO SUS</v>
      </c>
      <c r="C1327" s="2" t="str">
        <f t="shared" si="120"/>
        <v>FATUR-SUS</v>
      </c>
      <c r="D1327" s="2" t="str">
        <f t="shared" si="121"/>
        <v>FFAS</v>
      </c>
      <c r="E1327" s="2" t="str">
        <f>"RELATÓRIO PROCEDIMENTOS APAC POR ORIGEM"</f>
        <v>RELATÓRIO PROCEDIMENTOS APAC POR ORIGEM</v>
      </c>
      <c r="F1327" s="2" t="str">
        <f>"R_PROC_ORIGEM"</f>
        <v>R_PROC_ORIGEM</v>
      </c>
      <c r="G1327" s="2" t="str">
        <f>"Faturamento / Faturamento Ambulatorial SUS (BPA e APAC) / Relatórios / Gerenciais / Relatório de Coordenadoria / Procedimentos APAC por Origem (R_PROC_ORIGEM)"</f>
        <v>Faturamento / Faturamento Ambulatorial SUS (BPA e APAC) / Relatórios / Gerenciais / Relatório de Coordenadoria / Procedimentos APAC por Origem (R_PROC_ORIGEM)</v>
      </c>
    </row>
    <row r="1328" spans="1:7" x14ac:dyDescent="0.3">
      <c r="A1328" s="1" t="s">
        <v>4</v>
      </c>
      <c r="B1328" s="2" t="str">
        <f t="shared" si="119"/>
        <v>SISTEMA FATURAMENTO AMBULATORIO SUS</v>
      </c>
      <c r="C1328" s="2" t="str">
        <f t="shared" si="120"/>
        <v>FATUR-SUS</v>
      </c>
      <c r="D1328" s="2" t="str">
        <f t="shared" si="121"/>
        <v>FFAS</v>
      </c>
      <c r="E1328" s="2" t="str">
        <f>"RELATÓRIO DE DADOS DA COBRANÇA"</f>
        <v>RELATÓRIO DE DADOS DA COBRANÇA</v>
      </c>
      <c r="F1328" s="2" t="str">
        <f>"R_PACIENTES_HEMODIALISE"</f>
        <v>R_PACIENTES_HEMODIALISE</v>
      </c>
      <c r="G1328" s="2" t="str">
        <f>"Faturamento / Faturamento Ambulatorial SUS (BPA e APAC) / Relatórios / APAC / Pacientes de Hemodiálise (R_PACIENTES_HEMODIALISE)"</f>
        <v>Faturamento / Faturamento Ambulatorial SUS (BPA e APAC) / Relatórios / APAC / Pacientes de Hemodiálise (R_PACIENTES_HEMODIALISE)</v>
      </c>
    </row>
    <row r="1329" spans="1:7" x14ac:dyDescent="0.3">
      <c r="A1329" s="1" t="s">
        <v>4</v>
      </c>
      <c r="B1329" s="2" t="str">
        <f t="shared" si="119"/>
        <v>SISTEMA FATURAMENTO AMBULATORIO SUS</v>
      </c>
      <c r="C1329" s="2" t="str">
        <f t="shared" si="120"/>
        <v>FATUR-SUS</v>
      </c>
      <c r="D1329" s="2" t="str">
        <f t="shared" si="121"/>
        <v>FFAS</v>
      </c>
      <c r="E1329" s="2" t="str">
        <f>"WIN_PRINCIPAL"</f>
        <v>WIN_PRINCIPAL</v>
      </c>
      <c r="F1329" s="2" t="str">
        <f>"M_CAD_AUTORIZADOR_TETO"</f>
        <v>M_CAD_AUTORIZADOR_TETO</v>
      </c>
      <c r="G1329" s="2" t="str">
        <f>" ()"</f>
        <v xml:space="preserve"> ()</v>
      </c>
    </row>
    <row r="1330" spans="1:7" x14ac:dyDescent="0.3">
      <c r="A1330" s="1" t="s">
        <v>4</v>
      </c>
      <c r="B1330" s="2" t="str">
        <f t="shared" si="119"/>
        <v>SISTEMA FATURAMENTO AMBULATORIO SUS</v>
      </c>
      <c r="C1330" s="2" t="str">
        <f t="shared" si="120"/>
        <v>FATUR-SUS</v>
      </c>
      <c r="D1330" s="2" t="str">
        <f t="shared" si="121"/>
        <v>FFAS</v>
      </c>
      <c r="E1330" s="2" t="str">
        <f>"LISTAGEM DE PACIENTE SEM ATENDIMENTOS"</f>
        <v>LISTAGEM DE PACIENTE SEM ATENDIMENTOS</v>
      </c>
      <c r="F1330" s="2" t="str">
        <f>"R_LISTA_APAC_SEM_ATEND"</f>
        <v>R_LISTA_APAC_SEM_ATEND</v>
      </c>
      <c r="G1330" s="2" t="str">
        <f>"Faturamento / Faturamento Ambulatorial SUS (BPA e APAC) / Relatórios / APAC / Listagem de Pacientes sem Atendimentos (R_LISTA_APAC_SEM_ATEND)"</f>
        <v>Faturamento / Faturamento Ambulatorial SUS (BPA e APAC) / Relatórios / APAC / Listagem de Pacientes sem Atendimentos (R_LISTA_APAC_SEM_ATEND)</v>
      </c>
    </row>
    <row r="1331" spans="1:7" x14ac:dyDescent="0.3">
      <c r="A1331" s="1" t="s">
        <v>4</v>
      </c>
      <c r="B1331" s="2" t="str">
        <f t="shared" si="119"/>
        <v>SISTEMA FATURAMENTO AMBULATORIO SUS</v>
      </c>
      <c r="C1331" s="2" t="str">
        <f t="shared" si="120"/>
        <v>FATUR-SUS</v>
      </c>
      <c r="D1331" s="2" t="str">
        <f t="shared" si="121"/>
        <v>FFAS</v>
      </c>
      <c r="E1331" s="2" t="str">
        <f>"CONSULTA DE APAC(S) CADASTRADAS"</f>
        <v>CONSULTA DE APAC(S) CADASTRADAS</v>
      </c>
      <c r="F1331" s="2" t="str">
        <f>"M_CONSULTA_APAC"</f>
        <v>M_CONSULTA_APAC</v>
      </c>
      <c r="G1331" s="2" t="str">
        <f>"Faturamento / Faturamento Ambulatorial SUS (BPA e APAC) / Consultas / Lançamento APAC (M_CONSULTA_APAC)"</f>
        <v>Faturamento / Faturamento Ambulatorial SUS (BPA e APAC) / Consultas / Lançamento APAC (M_CONSULTA_APAC)</v>
      </c>
    </row>
    <row r="1332" spans="1:7" x14ac:dyDescent="0.3">
      <c r="A1332" s="1" t="s">
        <v>4</v>
      </c>
      <c r="B1332" s="2" t="str">
        <f t="shared" si="119"/>
        <v>SISTEMA FATURAMENTO AMBULATORIO SUS</v>
      </c>
      <c r="C1332" s="2" t="str">
        <f t="shared" si="120"/>
        <v>FATUR-SUS</v>
      </c>
      <c r="D1332" s="2" t="str">
        <f t="shared" si="121"/>
        <v>FFAS</v>
      </c>
      <c r="E1332" s="2" t="str">
        <f>"GERAÇÃO DE DISQUETES"</f>
        <v>GERAÇÃO DE DISQUETES</v>
      </c>
      <c r="F1332" s="2" t="str">
        <f>"O_GERAPAC_REMESSA"</f>
        <v>O_GERAPAC_REMESSA</v>
      </c>
      <c r="G1332" s="2" t="str">
        <f t="shared" ref="G1332:G1337" si="122">" ()"</f>
        <v xml:space="preserve"> ()</v>
      </c>
    </row>
    <row r="1333" spans="1:7" x14ac:dyDescent="0.3">
      <c r="A1333" s="1" t="s">
        <v>4</v>
      </c>
      <c r="B1333" s="2" t="str">
        <f t="shared" si="119"/>
        <v>SISTEMA FATURAMENTO AMBULATORIO SUS</v>
      </c>
      <c r="C1333" s="2" t="str">
        <f t="shared" si="120"/>
        <v>FATUR-SUS</v>
      </c>
      <c r="D1333" s="2" t="str">
        <f t="shared" si="121"/>
        <v>FFAS</v>
      </c>
      <c r="E1333" s="2" t="str">
        <f>"WIN_PRINCIPAL"</f>
        <v>WIN_PRINCIPAL</v>
      </c>
      <c r="F1333" s="2" t="str">
        <f>"M_CON_PLA_TETO"</f>
        <v>M_CON_PLA_TETO</v>
      </c>
      <c r="G1333" s="2" t="str">
        <f t="shared" si="122"/>
        <v xml:space="preserve"> ()</v>
      </c>
    </row>
    <row r="1334" spans="1:7" x14ac:dyDescent="0.3">
      <c r="A1334" s="1" t="s">
        <v>4</v>
      </c>
      <c r="B1334" s="2" t="str">
        <f t="shared" si="119"/>
        <v>SISTEMA FATURAMENTO AMBULATORIO SUS</v>
      </c>
      <c r="C1334" s="2" t="str">
        <f t="shared" si="120"/>
        <v>FATUR-SUS</v>
      </c>
      <c r="D1334" s="2" t="str">
        <f t="shared" si="121"/>
        <v>FFAS</v>
      </c>
      <c r="E1334" s="2" t="str">
        <f>"WIN_PRINCIPAL"</f>
        <v>WIN_PRINCIPAL</v>
      </c>
      <c r="F1334" s="2" t="str">
        <f>"M_AUTORIZADOR_TETO"</f>
        <v>M_AUTORIZADOR_TETO</v>
      </c>
      <c r="G1334" s="2" t="str">
        <f t="shared" si="122"/>
        <v xml:space="preserve"> ()</v>
      </c>
    </row>
    <row r="1335" spans="1:7" x14ac:dyDescent="0.3">
      <c r="A1335" s="1" t="s">
        <v>4</v>
      </c>
      <c r="B1335" s="2" t="str">
        <f t="shared" si="119"/>
        <v>SISTEMA FATURAMENTO AMBULATORIO SUS</v>
      </c>
      <c r="C1335" s="2" t="str">
        <f t="shared" si="120"/>
        <v>FATUR-SUS</v>
      </c>
      <c r="D1335" s="2" t="str">
        <f t="shared" si="121"/>
        <v>FFAS</v>
      </c>
      <c r="E1335" s="2" t="str">
        <f>"WIN_PRINCIPAL"</f>
        <v>WIN_PRINCIPAL</v>
      </c>
      <c r="F1335" s="2" t="str">
        <f>"M_CON_PLAN_TETO"</f>
        <v>M_CON_PLAN_TETO</v>
      </c>
      <c r="G1335" s="2" t="str">
        <f t="shared" si="122"/>
        <v xml:space="preserve"> ()</v>
      </c>
    </row>
    <row r="1336" spans="1:7" x14ac:dyDescent="0.3">
      <c r="A1336" s="1" t="s">
        <v>4</v>
      </c>
      <c r="B1336" s="2" t="str">
        <f t="shared" si="119"/>
        <v>SISTEMA FATURAMENTO AMBULATORIO SUS</v>
      </c>
      <c r="C1336" s="2" t="str">
        <f t="shared" si="120"/>
        <v>FATUR-SUS</v>
      </c>
      <c r="D1336" s="2" t="str">
        <f t="shared" si="121"/>
        <v>FFAS</v>
      </c>
      <c r="E1336" s="2" t="str">
        <f>"GERAÇÃO DE DISQUETES"</f>
        <v>GERAÇÃO DE DISQUETES</v>
      </c>
      <c r="F1336" s="2" t="str">
        <f>"O_GERAPAC_INC"</f>
        <v>O_GERAPAC_INC</v>
      </c>
      <c r="G1336" s="2" t="str">
        <f t="shared" si="122"/>
        <v xml:space="preserve"> ()</v>
      </c>
    </row>
    <row r="1337" spans="1:7" x14ac:dyDescent="0.3">
      <c r="A1337" s="1" t="s">
        <v>4</v>
      </c>
      <c r="B1337" s="2" t="str">
        <f t="shared" si="119"/>
        <v>SISTEMA FATURAMENTO AMBULATORIO SUS</v>
      </c>
      <c r="C1337" s="2" t="str">
        <f t="shared" si="120"/>
        <v>FATUR-SUS</v>
      </c>
      <c r="D1337" s="2" t="str">
        <f t="shared" si="121"/>
        <v>FFAS</v>
      </c>
      <c r="E1337" s="2" t="str">
        <f>"R_FATESP_P321"</f>
        <v>R_FATESP_P321</v>
      </c>
      <c r="F1337" s="2" t="str">
        <f>"R_FATESP_P321"</f>
        <v>R_FATESP_P321</v>
      </c>
      <c r="G1337" s="2" t="str">
        <f t="shared" si="122"/>
        <v xml:space="preserve"> ()</v>
      </c>
    </row>
    <row r="1338" spans="1:7" x14ac:dyDescent="0.3">
      <c r="A1338" s="1" t="s">
        <v>4</v>
      </c>
      <c r="B1338" s="2" t="str">
        <f t="shared" si="119"/>
        <v>SISTEMA FATURAMENTO AMBULATORIO SUS</v>
      </c>
      <c r="C1338" s="2" t="str">
        <f t="shared" si="120"/>
        <v>FATUR-SUS</v>
      </c>
      <c r="D1338" s="2" t="str">
        <f t="shared" si="121"/>
        <v>FFAS</v>
      </c>
      <c r="E1338" s="2" t="str">
        <f>"R_FATORI_P321"</f>
        <v>R_FATORI_P321</v>
      </c>
      <c r="F1338" s="2" t="str">
        <f>"R_FATORI_P321"</f>
        <v>R_FATORI_P321</v>
      </c>
      <c r="G1338" s="2" t="str">
        <f>"Faturamento / Faturamento Ambulatorial SUS (BPA e APAC) / Relatórios / Gerenciais / Faturamento por Origem (R_FATORI_P321)"</f>
        <v>Faturamento / Faturamento Ambulatorial SUS (BPA e APAC) / Relatórios / Gerenciais / Faturamento por Origem (R_FATORI_P321)</v>
      </c>
    </row>
    <row r="1339" spans="1:7" x14ac:dyDescent="0.3">
      <c r="A1339" s="1" t="s">
        <v>4</v>
      </c>
      <c r="B1339" s="2" t="str">
        <f t="shared" si="119"/>
        <v>SISTEMA FATURAMENTO AMBULATORIO SUS</v>
      </c>
      <c r="C1339" s="2" t="str">
        <f t="shared" si="120"/>
        <v>FATUR-SUS</v>
      </c>
      <c r="D1339" s="2" t="str">
        <f t="shared" si="121"/>
        <v>FFAS</v>
      </c>
      <c r="E1339" s="2" t="str">
        <f>"R_FAT_PRE_ESP_P321"</f>
        <v>R_FAT_PRE_ESP_P321</v>
      </c>
      <c r="F1339" s="2" t="str">
        <f>"R_FAT_PRE_ESP_P321"</f>
        <v>R_FAT_PRE_ESP_P321</v>
      </c>
      <c r="G1339" s="2" t="str">
        <f>" ()"</f>
        <v xml:space="preserve"> ()</v>
      </c>
    </row>
    <row r="1340" spans="1:7" x14ac:dyDescent="0.3">
      <c r="A1340" s="1" t="s">
        <v>4</v>
      </c>
      <c r="B1340" s="2" t="str">
        <f t="shared" si="119"/>
        <v>SISTEMA FATURAMENTO AMBULATORIO SUS</v>
      </c>
      <c r="C1340" s="2" t="str">
        <f t="shared" si="120"/>
        <v>FATUR-SUS</v>
      </c>
      <c r="D1340" s="2" t="str">
        <f t="shared" si="121"/>
        <v>FFAS</v>
      </c>
      <c r="E1340" s="2" t="str">
        <f>"AUTORIZACAO DE APAC"</f>
        <v>AUTORIZACAO DE APAC</v>
      </c>
      <c r="F1340" s="2" t="str">
        <f>"R_AUTORIZACAO_APAC_435"</f>
        <v>R_AUTORIZACAO_APAC_435</v>
      </c>
      <c r="G1340" s="2" t="str">
        <f>" ()"</f>
        <v xml:space="preserve"> ()</v>
      </c>
    </row>
    <row r="1341" spans="1:7" x14ac:dyDescent="0.3">
      <c r="A1341" s="1" t="s">
        <v>4</v>
      </c>
      <c r="B1341" s="2" t="str">
        <f t="shared" si="119"/>
        <v>SISTEMA FATURAMENTO AMBULATORIO SUS</v>
      </c>
      <c r="C1341" s="2" t="str">
        <f t="shared" si="120"/>
        <v>FATUR-SUS</v>
      </c>
      <c r="D1341" s="2" t="str">
        <f t="shared" si="121"/>
        <v>FFAS</v>
      </c>
      <c r="E1341" s="2" t="str">
        <f>"CANCELA GLOSA DE APAC"</f>
        <v>CANCELA GLOSA DE APAC</v>
      </c>
      <c r="F1341" s="2" t="str">
        <f>"M_CANCELA_GLOSA_APAC"</f>
        <v>M_CANCELA_GLOSA_APAC</v>
      </c>
      <c r="G1341" s="2" t="str">
        <f>"Faturamento / Faturamento Ambulatorial SUS (BPA e APAC) / Lançamentos / APAC / Glosa APAC / Cancelamento de Glosa APAC (M_CANCELA_GLOSA_APAC)"</f>
        <v>Faturamento / Faturamento Ambulatorial SUS (BPA e APAC) / Lançamentos / APAC / Glosa APAC / Cancelamento de Glosa APAC (M_CANCELA_GLOSA_APAC)</v>
      </c>
    </row>
    <row r="1342" spans="1:7" x14ac:dyDescent="0.3">
      <c r="A1342" s="1" t="s">
        <v>4</v>
      </c>
      <c r="B1342" s="2" t="str">
        <f t="shared" si="119"/>
        <v>SISTEMA FATURAMENTO AMBULATORIO SUS</v>
      </c>
      <c r="C1342" s="2" t="str">
        <f t="shared" si="120"/>
        <v>FATUR-SUS</v>
      </c>
      <c r="D1342" s="2" t="str">
        <f t="shared" si="121"/>
        <v>FFAS</v>
      </c>
      <c r="E1342" s="2" t="str">
        <f>"CONTAS AMBULATORIAIS"</f>
        <v>CONTAS AMBULATORIAIS</v>
      </c>
      <c r="F1342" s="2" t="str">
        <f>"C_CONTA_SUS_P321"</f>
        <v>C_CONTA_SUS_P321</v>
      </c>
      <c r="G1342" s="2" t="str">
        <f>"Faturamento / Faturamento Ambulatorial SUS (BPA e APAC) / Consultas / Contas Ambulatoriais (C_CONTA_SUS_P321)"</f>
        <v>Faturamento / Faturamento Ambulatorial SUS (BPA e APAC) / Consultas / Contas Ambulatoriais (C_CONTA_SUS_P321)</v>
      </c>
    </row>
    <row r="1343" spans="1:7" x14ac:dyDescent="0.3">
      <c r="A1343" s="1" t="s">
        <v>4</v>
      </c>
      <c r="B1343" s="2" t="str">
        <f t="shared" si="119"/>
        <v>SISTEMA FATURAMENTO AMBULATORIO SUS</v>
      </c>
      <c r="C1343" s="2" t="str">
        <f t="shared" si="120"/>
        <v>FATUR-SUS</v>
      </c>
      <c r="D1343" s="2" t="str">
        <f t="shared" si="121"/>
        <v>FFAS</v>
      </c>
      <c r="E1343" s="2" t="str">
        <f>"CADASTRO DE UNIDADE DE SERVIÇO"</f>
        <v>CADASTRO DE UNIDADE DE SERVIÇO</v>
      </c>
      <c r="F1343" s="2" t="str">
        <f>"M_UNIDADE_PRESTADOR"</f>
        <v>M_UNIDADE_PRESTADOR</v>
      </c>
      <c r="G1343" s="2" t="str">
        <f>"Faturamento / Faturamento Ambulatorial SUS (BPA e APAC) / Tabelas / Unidades Prestadoras de Serviço / Cad.de Unidade de Serviço(SISMAMA) (M_UNIDADE_PRESTADOR)"</f>
        <v>Faturamento / Faturamento Ambulatorial SUS (BPA e APAC) / Tabelas / Unidades Prestadoras de Serviço / Cad.de Unidade de Serviço(SISMAMA) (M_UNIDADE_PRESTADOR)</v>
      </c>
    </row>
    <row r="1344" spans="1:7" x14ac:dyDescent="0.3">
      <c r="A1344" s="1" t="s">
        <v>4</v>
      </c>
      <c r="B1344" s="2" t="str">
        <f t="shared" si="119"/>
        <v>SISTEMA FATURAMENTO AMBULATORIO SUS</v>
      </c>
      <c r="C1344" s="2" t="str">
        <f t="shared" si="120"/>
        <v>FATUR-SUS</v>
      </c>
      <c r="D1344" s="2" t="str">
        <f t="shared" si="121"/>
        <v>FFAS</v>
      </c>
      <c r="E1344" s="2" t="str">
        <f>"RELATÓRIO DE EMISÃO DEMOSTRATIVA DE APAC"</f>
        <v>RELATÓRIO DE EMISÃO DEMOSTRATIVA DE APAC</v>
      </c>
      <c r="F1344" s="2" t="str">
        <f>"R_APAC_P321"</f>
        <v>R_APAC_P321</v>
      </c>
      <c r="G1344" s="2" t="str">
        <f>" ()"</f>
        <v xml:space="preserve"> ()</v>
      </c>
    </row>
    <row r="1345" spans="1:7" x14ac:dyDescent="0.3">
      <c r="A1345" s="1" t="s">
        <v>4</v>
      </c>
      <c r="B1345" s="2" t="str">
        <f t="shared" si="119"/>
        <v>SISTEMA FATURAMENTO AMBULATORIO SUS</v>
      </c>
      <c r="C1345" s="2" t="str">
        <f t="shared" si="120"/>
        <v>FATUR-SUS</v>
      </c>
      <c r="D1345" s="2" t="str">
        <f t="shared" si="121"/>
        <v>FFAS</v>
      </c>
      <c r="E1345" s="2" t="str">
        <f>"LAUDO SISMAMA MAMOGRAFIA"</f>
        <v>LAUDO SISMAMA MAMOGRAFIA</v>
      </c>
      <c r="F1345" s="2" t="str">
        <f>"M_LANCA_MAMO_SISMAMA"</f>
        <v>M_LANCA_MAMO_SISMAMA</v>
      </c>
      <c r="G1345" s="2" t="str">
        <f>"Faturamento / Faturamento Ambulatorial SUS (BPA e APAC) / Lançamentos / SISMAMA / Mamografia (M_LANCA_MAMO_SISMAMA)"</f>
        <v>Faturamento / Faturamento Ambulatorial SUS (BPA e APAC) / Lançamentos / SISMAMA / Mamografia (M_LANCA_MAMO_SISMAMA)</v>
      </c>
    </row>
    <row r="1346" spans="1:7" x14ac:dyDescent="0.3">
      <c r="A1346" s="1" t="s">
        <v>4</v>
      </c>
      <c r="B1346" s="2" t="str">
        <f t="shared" si="119"/>
        <v>SISTEMA FATURAMENTO AMBULATORIO SUS</v>
      </c>
      <c r="C1346" s="2" t="str">
        <f t="shared" si="120"/>
        <v>FATUR-SUS</v>
      </c>
      <c r="D1346" s="2" t="str">
        <f t="shared" si="121"/>
        <v>FFAS</v>
      </c>
      <c r="E1346" s="2" t="str">
        <f>"LAUDO SISMAMA HISTOPATOLÓGICO"</f>
        <v>LAUDO SISMAMA HISTOPATOLÓGICO</v>
      </c>
      <c r="F1346" s="2" t="str">
        <f>"M_LANCA_HISTO_SISMAMA"</f>
        <v>M_LANCA_HISTO_SISMAMA</v>
      </c>
      <c r="G1346" s="2" t="str">
        <f>"Faturamento / Faturamento Ambulatorial SUS (BPA e APAC) / Lançamentos / SISMAMA / Histopatológico (M_LANCA_HISTO_SISMAMA)"</f>
        <v>Faturamento / Faturamento Ambulatorial SUS (BPA e APAC) / Lançamentos / SISMAMA / Histopatológico (M_LANCA_HISTO_SISMAMA)</v>
      </c>
    </row>
    <row r="1347" spans="1:7" x14ac:dyDescent="0.3">
      <c r="A1347" s="1" t="s">
        <v>4</v>
      </c>
      <c r="B1347" s="2" t="str">
        <f t="shared" si="119"/>
        <v>SISTEMA FATURAMENTO AMBULATORIO SUS</v>
      </c>
      <c r="C1347" s="2" t="str">
        <f t="shared" si="120"/>
        <v>FATUR-SUS</v>
      </c>
      <c r="D1347" s="2" t="str">
        <f t="shared" si="121"/>
        <v>FFAS</v>
      </c>
      <c r="E1347" s="2" t="str">
        <f>"LAUDO SISMAMA CITOPATOLÓGICO"</f>
        <v>LAUDO SISMAMA CITOPATOLÓGICO</v>
      </c>
      <c r="F1347" s="2" t="str">
        <f>"M_LANCA_CITO_SISMAMA"</f>
        <v>M_LANCA_CITO_SISMAMA</v>
      </c>
      <c r="G1347" s="2" t="str">
        <f>"Faturamento / Faturamento Ambulatorial SUS (BPA e APAC) / Lançamentos / SISMAMA / Citopatológico (M_LANCA_CITO_SISMAMA)"</f>
        <v>Faturamento / Faturamento Ambulatorial SUS (BPA e APAC) / Lançamentos / SISMAMA / Citopatológico (M_LANCA_CITO_SISMAMA)</v>
      </c>
    </row>
    <row r="1348" spans="1:7" x14ac:dyDescent="0.3">
      <c r="A1348" s="1" t="s">
        <v>4</v>
      </c>
      <c r="B1348" s="2" t="str">
        <f t="shared" si="119"/>
        <v>SISTEMA FATURAMENTO AMBULATORIO SUS</v>
      </c>
      <c r="C1348" s="2" t="str">
        <f t="shared" si="120"/>
        <v>FATUR-SUS</v>
      </c>
      <c r="D1348" s="2" t="str">
        <f t="shared" si="121"/>
        <v>FFAS</v>
      </c>
      <c r="E1348" s="2" t="str">
        <f>"GERAÇÃO DE DISQUETES"</f>
        <v>GERAÇÃO DE DISQUETES</v>
      </c>
      <c r="F1348" s="2" t="str">
        <f>"O_GERAPAC_P321"</f>
        <v>O_GERAPAC_P321</v>
      </c>
      <c r="G1348" s="2" t="str">
        <f>"Faturamento / Faturamento Ambulatorial SUS (BPA e APAC) / Faturamento / Exportação APAC (O_GERAPAC_P321)"</f>
        <v>Faturamento / Faturamento Ambulatorial SUS (BPA e APAC) / Faturamento / Exportação APAC (O_GERAPAC_P321)</v>
      </c>
    </row>
    <row r="1349" spans="1:7" x14ac:dyDescent="0.3">
      <c r="A1349" s="1" t="s">
        <v>4</v>
      </c>
      <c r="B1349" s="2" t="str">
        <f t="shared" si="119"/>
        <v>SISTEMA FATURAMENTO AMBULATORIO SUS</v>
      </c>
      <c r="C1349" s="2" t="str">
        <f t="shared" si="120"/>
        <v>FATUR-SUS</v>
      </c>
      <c r="D1349" s="2" t="str">
        <f t="shared" si="121"/>
        <v>FFAS</v>
      </c>
      <c r="E1349" s="2" t="str">
        <f>"APAC"</f>
        <v>APAC</v>
      </c>
      <c r="F1349" s="2" t="str">
        <f>"M_CONTROLE_FREQUENCIA_TESTE"</f>
        <v>M_CONTROLE_FREQUENCIA_TESTE</v>
      </c>
      <c r="G1349" s="2" t="str">
        <f>" ()"</f>
        <v xml:space="preserve"> ()</v>
      </c>
    </row>
    <row r="1350" spans="1:7" x14ac:dyDescent="0.3">
      <c r="A1350" s="1" t="s">
        <v>4</v>
      </c>
      <c r="B1350" s="2" t="str">
        <f t="shared" si="119"/>
        <v>SISTEMA FATURAMENTO AMBULATORIO SUS</v>
      </c>
      <c r="C1350" s="2" t="str">
        <f t="shared" si="120"/>
        <v>FATUR-SUS</v>
      </c>
      <c r="D1350" s="2" t="str">
        <f t="shared" si="121"/>
        <v>FFAS</v>
      </c>
      <c r="E1350" s="2" t="str">
        <f>"R_CONFERENCIA"</f>
        <v>R_CONFERENCIA</v>
      </c>
      <c r="F1350" s="2" t="str">
        <f>"R_CONFERENCIA"</f>
        <v>R_CONFERENCIA</v>
      </c>
      <c r="G1350" s="2" t="str">
        <f>" ()"</f>
        <v xml:space="preserve"> ()</v>
      </c>
    </row>
    <row r="1351" spans="1:7" x14ac:dyDescent="0.3">
      <c r="A1351" s="1" t="s">
        <v>4</v>
      </c>
      <c r="B1351" s="2" t="str">
        <f t="shared" si="119"/>
        <v>SISTEMA FATURAMENTO AMBULATORIO SUS</v>
      </c>
      <c r="C1351" s="2" t="str">
        <f t="shared" si="120"/>
        <v>FATUR-SUS</v>
      </c>
      <c r="D1351" s="2" t="str">
        <f t="shared" si="121"/>
        <v>FFAS</v>
      </c>
      <c r="E1351" s="2" t="str">
        <f>"RELATORIO REPASSE POR PROCEDIMENTO"</f>
        <v>RELATORIO REPASSE POR PROCEDIMENTO</v>
      </c>
      <c r="F1351" s="2" t="str">
        <f>"R_A_REP_PROC"</f>
        <v>R_A_REP_PROC</v>
      </c>
      <c r="G1351" s="2" t="str">
        <f>" ()"</f>
        <v xml:space="preserve"> ()</v>
      </c>
    </row>
    <row r="1352" spans="1:7" x14ac:dyDescent="0.3">
      <c r="A1352" s="1" t="s">
        <v>4</v>
      </c>
      <c r="B1352" s="2" t="str">
        <f t="shared" si="119"/>
        <v>SISTEMA FATURAMENTO AMBULATORIO SUS</v>
      </c>
      <c r="C1352" s="2" t="str">
        <f t="shared" si="120"/>
        <v>FATUR-SUS</v>
      </c>
      <c r="D1352" s="2" t="str">
        <f t="shared" si="121"/>
        <v>FFAS</v>
      </c>
      <c r="E1352" s="2" t="str">
        <f>"RELATORIO DE GRUPOS DE SSM"</f>
        <v>RELATORIO DE GRUPOS DE SSM</v>
      </c>
      <c r="F1352" s="2" t="str">
        <f>"R_GRUPOS"</f>
        <v>R_GRUPOS</v>
      </c>
      <c r="G1352" s="2" t="str">
        <f>"Faturamento / Faturamento Ambulatorial SUS (BPA e APAC) / Relatórios / Tabelas / Grupos SSM (R_GRUPOS)"</f>
        <v>Faturamento / Faturamento Ambulatorial SUS (BPA e APAC) / Relatórios / Tabelas / Grupos SSM (R_GRUPOS)</v>
      </c>
    </row>
    <row r="1353" spans="1:7" x14ac:dyDescent="0.3">
      <c r="A1353" s="1" t="s">
        <v>4</v>
      </c>
      <c r="B1353" s="2" t="str">
        <f t="shared" si="119"/>
        <v>SISTEMA FATURAMENTO AMBULATORIO SUS</v>
      </c>
      <c r="C1353" s="2" t="str">
        <f t="shared" si="120"/>
        <v>FATUR-SUS</v>
      </c>
      <c r="D1353" s="2" t="str">
        <f t="shared" si="121"/>
        <v>FFAS</v>
      </c>
      <c r="E1353" s="2" t="str">
        <f>"RELATORIO DE TABELA SIA_SUS"</f>
        <v>RELATORIO DE TABELA SIA_SUS</v>
      </c>
      <c r="F1353" s="2" t="str">
        <f>"R_TABSIA"</f>
        <v>R_TABSIA</v>
      </c>
      <c r="G1353" s="2" t="str">
        <f>"Faturamento / Faturamento Ambulatorial SUS (BPA e APAC) / Relatórios / Tabelas / SIA-SUS (SSM) (R_TABSIA)"</f>
        <v>Faturamento / Faturamento Ambulatorial SUS (BPA e APAC) / Relatórios / Tabelas / SIA-SUS (SSM) (R_TABSIA)</v>
      </c>
    </row>
    <row r="1354" spans="1:7" x14ac:dyDescent="0.3">
      <c r="A1354" s="1" t="s">
        <v>4</v>
      </c>
      <c r="B1354" s="2" t="str">
        <f t="shared" si="119"/>
        <v>SISTEMA FATURAMENTO AMBULATORIO SUS</v>
      </c>
      <c r="C1354" s="2" t="str">
        <f t="shared" si="120"/>
        <v>FATUR-SUS</v>
      </c>
      <c r="D1354" s="2" t="str">
        <f t="shared" si="121"/>
        <v>FFAS</v>
      </c>
      <c r="E1354" s="2" t="str">
        <f>"CONSULTA LANÇAMENTOS"</f>
        <v>CONSULTA LANÇAMENTOS</v>
      </c>
      <c r="F1354" s="2" t="str">
        <f>"C_LANCAM"</f>
        <v>C_LANCAM</v>
      </c>
      <c r="G1354" s="2" t="str">
        <f>" ()"</f>
        <v xml:space="preserve"> ()</v>
      </c>
    </row>
    <row r="1355" spans="1:7" x14ac:dyDescent="0.3">
      <c r="A1355" s="1" t="s">
        <v>4</v>
      </c>
      <c r="B1355" s="2" t="str">
        <f t="shared" si="119"/>
        <v>SISTEMA FATURAMENTO AMBULATORIO SUS</v>
      </c>
      <c r="C1355" s="2" t="str">
        <f t="shared" si="120"/>
        <v>FATUR-SUS</v>
      </c>
      <c r="D1355" s="2" t="str">
        <f t="shared" si="121"/>
        <v>FFAS</v>
      </c>
      <c r="E1355" s="2" t="str">
        <f>"CONSULTA IMPORTAÇÃO DOS PROCEDIMENTOS"</f>
        <v>CONSULTA IMPORTAÇÃO DOS PROCEDIMENTOS</v>
      </c>
      <c r="F1355" s="2" t="str">
        <f>"C_IMPPRO"</f>
        <v>C_IMPPRO</v>
      </c>
      <c r="G1355" s="2" t="str">
        <f>"Faturamento / Faturamento Ambulatorial SUS (BPA e APAC) / Consultas / Importações das Faturas (C_IMPPRO)"</f>
        <v>Faturamento / Faturamento Ambulatorial SUS (BPA e APAC) / Consultas / Importações das Faturas (C_IMPPRO)</v>
      </c>
    </row>
    <row r="1356" spans="1:7" x14ac:dyDescent="0.3">
      <c r="A1356" s="1" t="s">
        <v>4</v>
      </c>
      <c r="B1356" s="2" t="str">
        <f t="shared" si="119"/>
        <v>SISTEMA FATURAMENTO AMBULATORIO SUS</v>
      </c>
      <c r="C1356" s="2" t="str">
        <f t="shared" si="120"/>
        <v>FATUR-SUS</v>
      </c>
      <c r="D1356" s="2" t="str">
        <f t="shared" si="121"/>
        <v>FFAS</v>
      </c>
      <c r="E1356" s="2" t="str">
        <f>"CADASTRO DE CLASSIFICAÇÕES DO HOSPITAL"</f>
        <v>CADASTRO DE CLASSIFICAÇÕES DO HOSPITAL</v>
      </c>
      <c r="F1356" s="2" t="str">
        <f>"M_CLAHOS"</f>
        <v>M_CLAHOS</v>
      </c>
      <c r="G1356" s="2" t="str">
        <f t="shared" ref="G1356:G1362" si="123">" ()"</f>
        <v xml:space="preserve"> ()</v>
      </c>
    </row>
    <row r="1357" spans="1:7" x14ac:dyDescent="0.3">
      <c r="A1357" s="1" t="s">
        <v>4</v>
      </c>
      <c r="B1357" s="2" t="str">
        <f t="shared" si="119"/>
        <v>SISTEMA FATURAMENTO AMBULATORIO SUS</v>
      </c>
      <c r="C1357" s="2" t="str">
        <f t="shared" si="120"/>
        <v>FATUR-SUS</v>
      </c>
      <c r="D1357" s="2" t="str">
        <f t="shared" si="121"/>
        <v>FFAS</v>
      </c>
      <c r="E1357" s="2" t="str">
        <f>"CADASTRO SERVIÇOS DO HOSPITAL"</f>
        <v>CADASTRO SERVIÇOS DO HOSPITAL</v>
      </c>
      <c r="F1357" s="2" t="str">
        <f>"M_SERHOS"</f>
        <v>M_SERHOS</v>
      </c>
      <c r="G1357" s="2" t="str">
        <f t="shared" si="123"/>
        <v xml:space="preserve"> ()</v>
      </c>
    </row>
    <row r="1358" spans="1:7" x14ac:dyDescent="0.3">
      <c r="A1358" s="1" t="s">
        <v>4</v>
      </c>
      <c r="B1358" s="2" t="str">
        <f t="shared" si="119"/>
        <v>SISTEMA FATURAMENTO AMBULATORIO SUS</v>
      </c>
      <c r="C1358" s="2" t="str">
        <f t="shared" si="120"/>
        <v>FATUR-SUS</v>
      </c>
      <c r="D1358" s="2" t="str">
        <f t="shared" si="121"/>
        <v>FFAS</v>
      </c>
      <c r="E1358" s="2" t="str">
        <f>"GERAÇÃO DE DISQUETES BPA"</f>
        <v>GERAÇÃO DE DISQUETES BPA</v>
      </c>
      <c r="F1358" s="2" t="str">
        <f>"O_GERDIS"</f>
        <v>O_GERDIS</v>
      </c>
      <c r="G1358" s="2" t="str">
        <f t="shared" si="123"/>
        <v xml:space="preserve"> ()</v>
      </c>
    </row>
    <row r="1359" spans="1:7" x14ac:dyDescent="0.3">
      <c r="A1359" s="1" t="s">
        <v>4</v>
      </c>
      <c r="B1359" s="2" t="str">
        <f t="shared" si="119"/>
        <v>SISTEMA FATURAMENTO AMBULATORIO SUS</v>
      </c>
      <c r="C1359" s="2" t="str">
        <f t="shared" si="120"/>
        <v>FATUR-SUS</v>
      </c>
      <c r="D1359" s="2" t="str">
        <f t="shared" si="121"/>
        <v>FFAS</v>
      </c>
      <c r="E1359" s="2" t="str">
        <f>"CANCELAMENTO DAS IMPORTAÇÕES"</f>
        <v>CANCELAMENTO DAS IMPORTAÇÕES</v>
      </c>
      <c r="F1359" s="2" t="str">
        <f>"CAN_IMP"</f>
        <v>CAN_IMP</v>
      </c>
      <c r="G1359" s="2" t="str">
        <f t="shared" si="123"/>
        <v xml:space="preserve"> ()</v>
      </c>
    </row>
    <row r="1360" spans="1:7" x14ac:dyDescent="0.3">
      <c r="A1360" s="1" t="s">
        <v>4</v>
      </c>
      <c r="B1360" s="2" t="str">
        <f t="shared" si="119"/>
        <v>SISTEMA FATURAMENTO AMBULATORIO SUS</v>
      </c>
      <c r="C1360" s="2" t="str">
        <f t="shared" si="120"/>
        <v>FATUR-SUS</v>
      </c>
      <c r="D1360" s="2" t="str">
        <f t="shared" si="121"/>
        <v>FFAS</v>
      </c>
      <c r="E1360" s="2" t="str">
        <f>"IMPORTAÇÃO PROCEDIMENTOS REALIZADOS"</f>
        <v>IMPORTAÇÃO PROCEDIMENTOS REALIZADOS</v>
      </c>
      <c r="F1360" s="2" t="str">
        <f>"IMP_PRO"</f>
        <v>IMP_PRO</v>
      </c>
      <c r="G1360" s="2" t="str">
        <f t="shared" si="123"/>
        <v xml:space="preserve"> ()</v>
      </c>
    </row>
    <row r="1361" spans="1:7" x14ac:dyDescent="0.3">
      <c r="A1361" s="1" t="s">
        <v>4</v>
      </c>
      <c r="B1361" s="2" t="str">
        <f t="shared" si="119"/>
        <v>SISTEMA FATURAMENTO AMBULATORIO SUS</v>
      </c>
      <c r="C1361" s="2" t="str">
        <f t="shared" si="120"/>
        <v>FATUR-SUS</v>
      </c>
      <c r="D1361" s="2" t="str">
        <f t="shared" si="121"/>
        <v>FFAS</v>
      </c>
      <c r="E1361" s="2" t="str">
        <f>"CADASTRO DE GRUPOS DE SSM"</f>
        <v>CADASTRO DE GRUPOS DE SSM</v>
      </c>
      <c r="F1361" s="2" t="str">
        <f>"M_GRUSSM"</f>
        <v>M_GRUSSM</v>
      </c>
      <c r="G1361" s="2" t="str">
        <f t="shared" si="123"/>
        <v xml:space="preserve"> ()</v>
      </c>
    </row>
    <row r="1362" spans="1:7" x14ac:dyDescent="0.3">
      <c r="A1362" s="1" t="s">
        <v>4</v>
      </c>
      <c r="B1362" s="2" t="str">
        <f t="shared" si="119"/>
        <v>SISTEMA FATURAMENTO AMBULATORIO SUS</v>
      </c>
      <c r="C1362" s="2" t="str">
        <f t="shared" si="120"/>
        <v>FATUR-SUS</v>
      </c>
      <c r="D1362" s="2" t="str">
        <f t="shared" si="121"/>
        <v>FFAS</v>
      </c>
      <c r="E1362" s="2" t="str">
        <f>"CADASTRO DE TABELAS DO SIA-SUS"</f>
        <v>CADASTRO DE TABELAS DO SIA-SUS</v>
      </c>
      <c r="F1362" s="2" t="str">
        <f>"M_TABSIASUS"</f>
        <v>M_TABSIASUS</v>
      </c>
      <c r="G1362" s="2" t="str">
        <f t="shared" si="123"/>
        <v xml:space="preserve"> ()</v>
      </c>
    </row>
    <row r="1363" spans="1:7" x14ac:dyDescent="0.3">
      <c r="A1363" s="1" t="s">
        <v>4</v>
      </c>
      <c r="B1363" s="2" t="str">
        <f t="shared" si="119"/>
        <v>SISTEMA FATURAMENTO AMBULATORIO SUS</v>
      </c>
      <c r="C1363" s="2" t="str">
        <f t="shared" si="120"/>
        <v>FATUR-SUS</v>
      </c>
      <c r="D1363" s="2" t="str">
        <f t="shared" si="121"/>
        <v>FFAS</v>
      </c>
      <c r="E1363" s="2" t="str">
        <f>"LANÇAMENTO INDIVUDUALIZADO PROCEDIMENTO"</f>
        <v>LANÇAMENTO INDIVUDUALIZADO PROCEDIMENTO</v>
      </c>
      <c r="F1363" s="2" t="str">
        <f>"L_INDIVIDU"</f>
        <v>L_INDIVIDU</v>
      </c>
      <c r="G1363" s="2" t="str">
        <f>"Faturamento / Faturamento Ambulatorial SUS (BPA e APAC) / Lançamentos / BPA / Individualizado (L_INDIVIDU)"</f>
        <v>Faturamento / Faturamento Ambulatorial SUS (BPA e APAC) / Lançamentos / BPA / Individualizado (L_INDIVIDU)</v>
      </c>
    </row>
    <row r="1364" spans="1:7" x14ac:dyDescent="0.3">
      <c r="A1364" s="1" t="s">
        <v>4</v>
      </c>
      <c r="B1364" s="2" t="str">
        <f t="shared" ref="B1364:B1427" si="124">"SISTEMA FATURAMENTO AMBULATORIO SUS"</f>
        <v>SISTEMA FATURAMENTO AMBULATORIO SUS</v>
      </c>
      <c r="C1364" s="2" t="str">
        <f t="shared" ref="C1364:C1427" si="125">"FATUR-SUS"</f>
        <v>FATUR-SUS</v>
      </c>
      <c r="D1364" s="2" t="str">
        <f t="shared" ref="D1364:D1427" si="126">"FFAS"</f>
        <v>FFAS</v>
      </c>
      <c r="E1364" s="2" t="str">
        <f>"RELATORIO DE TETO ORÇAMENTÁRIO"</f>
        <v>RELATORIO DE TETO ORÇAMENTÁRIO</v>
      </c>
      <c r="F1364" s="2" t="str">
        <f>"R_TETORC"</f>
        <v>R_TETORC</v>
      </c>
      <c r="G1364" s="2" t="str">
        <f>" ()"</f>
        <v xml:space="preserve"> ()</v>
      </c>
    </row>
    <row r="1365" spans="1:7" x14ac:dyDescent="0.3">
      <c r="A1365" s="1" t="s">
        <v>4</v>
      </c>
      <c r="B1365" s="2" t="str">
        <f t="shared" si="124"/>
        <v>SISTEMA FATURAMENTO AMBULATORIO SUS</v>
      </c>
      <c r="C1365" s="2" t="str">
        <f t="shared" si="125"/>
        <v>FATUR-SUS</v>
      </c>
      <c r="D1365" s="2" t="str">
        <f t="shared" si="126"/>
        <v>FFAS</v>
      </c>
      <c r="E1365" s="2" t="str">
        <f>"RELATORIO DE ENTREGA DO BPA"</f>
        <v>RELATORIO DE ENTREGA DO BPA</v>
      </c>
      <c r="F1365" s="2" t="str">
        <f>"R_BPA"</f>
        <v>R_BPA</v>
      </c>
      <c r="G1365" s="2" t="str">
        <f>" ()"</f>
        <v xml:space="preserve"> ()</v>
      </c>
    </row>
    <row r="1366" spans="1:7" x14ac:dyDescent="0.3">
      <c r="A1366" s="1" t="s">
        <v>4</v>
      </c>
      <c r="B1366" s="2" t="str">
        <f t="shared" si="124"/>
        <v>SISTEMA FATURAMENTO AMBULATORIO SUS</v>
      </c>
      <c r="C1366" s="2" t="str">
        <f t="shared" si="125"/>
        <v>FATUR-SUS</v>
      </c>
      <c r="D1366" s="2" t="str">
        <f t="shared" si="126"/>
        <v>FFAS</v>
      </c>
      <c r="E1366" s="2" t="str">
        <f>"RELATORIO FAT.AMBULATORIO/DISTRITO SAN."</f>
        <v>RELATORIO FAT.AMBULATORIO/DISTRITO SAN.</v>
      </c>
      <c r="F1366" s="2" t="str">
        <f>"R_FATDISTR"</f>
        <v>R_FATDISTR</v>
      </c>
      <c r="G1366" s="2" t="str">
        <f>" ()"</f>
        <v xml:space="preserve"> ()</v>
      </c>
    </row>
    <row r="1367" spans="1:7" x14ac:dyDescent="0.3">
      <c r="A1367" s="1" t="s">
        <v>4</v>
      </c>
      <c r="B1367" s="2" t="str">
        <f t="shared" si="124"/>
        <v>SISTEMA FATURAMENTO AMBULATORIO SUS</v>
      </c>
      <c r="C1367" s="2" t="str">
        <f t="shared" si="125"/>
        <v>FATUR-SUS</v>
      </c>
      <c r="D1367" s="2" t="str">
        <f t="shared" si="126"/>
        <v>FFAS</v>
      </c>
      <c r="E1367" s="2" t="str">
        <f>"RELATORIO FAT.AMBULATORIO/CIDADE"</f>
        <v>RELATORIO FAT.AMBULATORIO/CIDADE</v>
      </c>
      <c r="F1367" s="2" t="str">
        <f>"R_FCIDADE"</f>
        <v>R_FCIDADE</v>
      </c>
      <c r="G1367" s="2" t="str">
        <f>" ()"</f>
        <v xml:space="preserve"> ()</v>
      </c>
    </row>
    <row r="1368" spans="1:7" x14ac:dyDescent="0.3">
      <c r="A1368" s="1" t="s">
        <v>4</v>
      </c>
      <c r="B1368" s="2" t="str">
        <f t="shared" si="124"/>
        <v>SISTEMA FATURAMENTO AMBULATORIO SUS</v>
      </c>
      <c r="C1368" s="2" t="str">
        <f t="shared" si="125"/>
        <v>FATUR-SUS</v>
      </c>
      <c r="D1368" s="2" t="str">
        <f t="shared" si="126"/>
        <v>FFAS</v>
      </c>
      <c r="E1368" s="2" t="str">
        <f>"CADASTRO DE TETOS ORÇAMENTÁRIOS"</f>
        <v>CADASTRO DE TETOS ORÇAMENTÁRIOS</v>
      </c>
      <c r="F1368" s="2" t="str">
        <f>"M_TETORC"</f>
        <v>M_TETORC</v>
      </c>
      <c r="G1368" s="2" t="str">
        <f>" ()"</f>
        <v xml:space="preserve"> ()</v>
      </c>
    </row>
    <row r="1369" spans="1:7" x14ac:dyDescent="0.3">
      <c r="A1369" s="1" t="s">
        <v>4</v>
      </c>
      <c r="B1369" s="2" t="str">
        <f t="shared" si="124"/>
        <v>SISTEMA FATURAMENTO AMBULATORIO SUS</v>
      </c>
      <c r="C1369" s="2" t="str">
        <f t="shared" si="125"/>
        <v>FATUR-SUS</v>
      </c>
      <c r="D1369" s="2" t="str">
        <f t="shared" si="126"/>
        <v>FFAS</v>
      </c>
      <c r="E1369" s="2" t="str">
        <f>"FECHAMENTO DA FATURA"</f>
        <v>FECHAMENTO DA FATURA</v>
      </c>
      <c r="F1369" s="2" t="str">
        <f>"FECHA_FAT"</f>
        <v>FECHA_FAT</v>
      </c>
      <c r="G1369" s="2" t="str">
        <f>"Faturamento / Faturamento Ambulatorial SUS (BPA e APAC) / Faturamento / Fechamento (FECHA_FAT)"</f>
        <v>Faturamento / Faturamento Ambulatorial SUS (BPA e APAC) / Faturamento / Fechamento (FECHA_FAT)</v>
      </c>
    </row>
    <row r="1370" spans="1:7" x14ac:dyDescent="0.3">
      <c r="A1370" s="1" t="s">
        <v>4</v>
      </c>
      <c r="B1370" s="2" t="str">
        <f t="shared" si="124"/>
        <v>SISTEMA FATURAMENTO AMBULATORIO SUS</v>
      </c>
      <c r="C1370" s="2" t="str">
        <f t="shared" si="125"/>
        <v>FATUR-SUS</v>
      </c>
      <c r="D1370" s="2" t="str">
        <f t="shared" si="126"/>
        <v>FFAS</v>
      </c>
      <c r="E1370" s="2" t="str">
        <f>"CADASTRO DE FATURAS DO SIA-SUS"</f>
        <v>CADASTRO DE FATURAS DO SIA-SUS</v>
      </c>
      <c r="F1370" s="2" t="str">
        <f>"M_FATURA"</f>
        <v>M_FATURA</v>
      </c>
      <c r="G1370" s="2" t="str">
        <f>"Faturamento / Faturamento Ambulatorial SUS (BPA e APAC) / Faturamento / Abertura / Fatura e Remessa BPA (M_FATURA)"</f>
        <v>Faturamento / Faturamento Ambulatorial SUS (BPA e APAC) / Faturamento / Abertura / Fatura e Remessa BPA (M_FATURA)</v>
      </c>
    </row>
    <row r="1371" spans="1:7" x14ac:dyDescent="0.3">
      <c r="A1371" s="1" t="s">
        <v>4</v>
      </c>
      <c r="B1371" s="2" t="str">
        <f t="shared" si="124"/>
        <v>SISTEMA FATURAMENTO AMBULATORIO SUS</v>
      </c>
      <c r="C1371" s="2" t="str">
        <f t="shared" si="125"/>
        <v>FATUR-SUS</v>
      </c>
      <c r="D1371" s="2" t="str">
        <f t="shared" si="126"/>
        <v>FFAS</v>
      </c>
      <c r="E1371" s="2" t="str">
        <f>"CADASTRO DE FATURAS DO SIA-SUS"</f>
        <v>CADASTRO DE FATURAS DO SIA-SUS</v>
      </c>
      <c r="F1371" s="2" t="str">
        <f>"M_FATURA"</f>
        <v>M_FATURA</v>
      </c>
      <c r="G1371" s="2" t="str">
        <f>"MVSaude / Contas Médicas / Tabelas / Faturas (M_FATURA)"</f>
        <v>MVSaude / Contas Médicas / Tabelas / Faturas (M_FATURA)</v>
      </c>
    </row>
    <row r="1372" spans="1:7" x14ac:dyDescent="0.3">
      <c r="A1372" s="1" t="s">
        <v>4</v>
      </c>
      <c r="B1372" s="2" t="str">
        <f t="shared" si="124"/>
        <v>SISTEMA FATURAMENTO AMBULATORIO SUS</v>
      </c>
      <c r="C1372" s="2" t="str">
        <f t="shared" si="125"/>
        <v>FATUR-SUS</v>
      </c>
      <c r="D1372" s="2" t="str">
        <f t="shared" si="126"/>
        <v>FFAS</v>
      </c>
      <c r="E1372" s="2" t="str">
        <f>"CADASTRO DE REGRAS POR PRESTADOR"</f>
        <v>CADASTRO DE REGRAS POR PRESTADOR</v>
      </c>
      <c r="F1372" s="2" t="str">
        <f>"M_REGPRE"</f>
        <v>M_REGPRE</v>
      </c>
      <c r="G1372" s="2" t="str">
        <f>"MVSaude / Contas Médicas / Prestadores / Regras de Pagamento por Prestador (M_REGPRE)"</f>
        <v>MVSaude / Contas Médicas / Prestadores / Regras de Pagamento por Prestador (M_REGPRE)</v>
      </c>
    </row>
    <row r="1373" spans="1:7" x14ac:dyDescent="0.3">
      <c r="A1373" s="1" t="s">
        <v>4</v>
      </c>
      <c r="B1373" s="2" t="str">
        <f t="shared" si="124"/>
        <v>SISTEMA FATURAMENTO AMBULATORIO SUS</v>
      </c>
      <c r="C1373" s="2" t="str">
        <f t="shared" si="125"/>
        <v>FATUR-SUS</v>
      </c>
      <c r="D1373" s="2" t="str">
        <f t="shared" si="126"/>
        <v>FFAS</v>
      </c>
      <c r="E1373" s="2" t="str">
        <f>"RELATORIO DE ESPECIALIDADES"</f>
        <v>RELATORIO DE ESPECIALIDADES</v>
      </c>
      <c r="F1373" s="2" t="str">
        <f>"R_ESPEC"</f>
        <v>R_ESPEC</v>
      </c>
      <c r="G1373" s="2" t="str">
        <f>" ()"</f>
        <v xml:space="preserve"> ()</v>
      </c>
    </row>
    <row r="1374" spans="1:7" x14ac:dyDescent="0.3">
      <c r="A1374" s="1" t="s">
        <v>4</v>
      </c>
      <c r="B1374" s="2" t="str">
        <f t="shared" si="124"/>
        <v>SISTEMA FATURAMENTO AMBULATORIO SUS</v>
      </c>
      <c r="C1374" s="2" t="str">
        <f t="shared" si="125"/>
        <v>FATUR-SUS</v>
      </c>
      <c r="D1374" s="2" t="str">
        <f t="shared" si="126"/>
        <v>FFAS</v>
      </c>
      <c r="E1374" s="2" t="str">
        <f>"RELAT DE REPASSESE MÉDICOS SINTÉTICO"</f>
        <v>RELAT DE REPASSESE MÉDICOS SINTÉTICO</v>
      </c>
      <c r="F1374" s="2" t="str">
        <f>"R_SIN_REP"</f>
        <v>R_SIN_REP</v>
      </c>
      <c r="G1374" s="2" t="str">
        <f>" ()"</f>
        <v xml:space="preserve"> ()</v>
      </c>
    </row>
    <row r="1375" spans="1:7" x14ac:dyDescent="0.3">
      <c r="A1375" s="1" t="s">
        <v>4</v>
      </c>
      <c r="B1375" s="2" t="str">
        <f t="shared" si="124"/>
        <v>SISTEMA FATURAMENTO AMBULATORIO SUS</v>
      </c>
      <c r="C1375" s="2" t="str">
        <f t="shared" si="125"/>
        <v>FATUR-SUS</v>
      </c>
      <c r="D1375" s="2" t="str">
        <f t="shared" si="126"/>
        <v>FFAS</v>
      </c>
      <c r="E1375" s="2" t="str">
        <f>"REL DE REPASSES MÉDICOS DETALH POR PROCE"</f>
        <v>REL DE REPASSES MÉDICOS DETALH POR PROCE</v>
      </c>
      <c r="F1375" s="2" t="str">
        <f>"R_PROC_SERV"</f>
        <v>R_PROC_SERV</v>
      </c>
      <c r="G1375" s="2" t="str">
        <f>" ()"</f>
        <v xml:space="preserve"> ()</v>
      </c>
    </row>
    <row r="1376" spans="1:7" x14ac:dyDescent="0.3">
      <c r="A1376" s="1" t="s">
        <v>4</v>
      </c>
      <c r="B1376" s="2" t="str">
        <f t="shared" si="124"/>
        <v>SISTEMA FATURAMENTO AMBULATORIO SUS</v>
      </c>
      <c r="C1376" s="2" t="str">
        <f t="shared" si="125"/>
        <v>FATUR-SUS</v>
      </c>
      <c r="D1376" s="2" t="str">
        <f t="shared" si="126"/>
        <v>FFAS</v>
      </c>
      <c r="E1376" s="2" t="str">
        <f>"RELATORIO DE REPASSES POR PACIENTE"</f>
        <v>RELATORIO DE REPASSES POR PACIENTE</v>
      </c>
      <c r="F1376" s="2" t="str">
        <f>"R_ANA_REP"</f>
        <v>R_ANA_REP</v>
      </c>
      <c r="G1376" s="2" t="str">
        <f>" ()"</f>
        <v xml:space="preserve"> ()</v>
      </c>
    </row>
    <row r="1377" spans="1:7" x14ac:dyDescent="0.3">
      <c r="A1377" s="1" t="s">
        <v>4</v>
      </c>
      <c r="B1377" s="2" t="str">
        <f t="shared" si="124"/>
        <v>SISTEMA FATURAMENTO AMBULATORIO SUS</v>
      </c>
      <c r="C1377" s="2" t="str">
        <f t="shared" si="125"/>
        <v>FATUR-SUS</v>
      </c>
      <c r="D1377" s="2" t="str">
        <f t="shared" si="126"/>
        <v>FFAS</v>
      </c>
      <c r="E1377" s="2" t="str">
        <f>"RELATÓRIO DE RELAÇÃO NOMINAL"</f>
        <v>RELATÓRIO DE RELAÇÃO NOMINAL</v>
      </c>
      <c r="F1377" s="2" t="str">
        <f>"R_RELACAO_NOMINAL"</f>
        <v>R_RELACAO_NOMINAL</v>
      </c>
      <c r="G1377" s="2" t="str">
        <f>"Faturamento / Faturamento Ambulatorial SUS (BPA e APAC) / Relatórios / Operacionais / Relação Nominal (R_RELACAO_NOMINAL)"</f>
        <v>Faturamento / Faturamento Ambulatorial SUS (BPA e APAC) / Relatórios / Operacionais / Relação Nominal (R_RELACAO_NOMINAL)</v>
      </c>
    </row>
    <row r="1378" spans="1:7" x14ac:dyDescent="0.3">
      <c r="A1378" s="1" t="s">
        <v>4</v>
      </c>
      <c r="B1378" s="2" t="str">
        <f t="shared" si="124"/>
        <v>SISTEMA FATURAMENTO AMBULATORIO SUS</v>
      </c>
      <c r="C1378" s="2" t="str">
        <f t="shared" si="125"/>
        <v>FATUR-SUS</v>
      </c>
      <c r="D1378" s="2" t="str">
        <f t="shared" si="126"/>
        <v>FFAS</v>
      </c>
      <c r="E1378" s="2" t="str">
        <f>"MENU DO SISTEMA FFAS"</f>
        <v>MENU DO SISTEMA FFAS</v>
      </c>
      <c r="F1378" s="2" t="str">
        <f>"MFFAS"</f>
        <v>MFFAS</v>
      </c>
      <c r="G1378" s="2" t="str">
        <f>" ()"</f>
        <v xml:space="preserve"> ()</v>
      </c>
    </row>
    <row r="1379" spans="1:7" x14ac:dyDescent="0.3">
      <c r="A1379" s="1" t="s">
        <v>4</v>
      </c>
      <c r="B1379" s="2" t="str">
        <f t="shared" si="124"/>
        <v>SISTEMA FATURAMENTO AMBULATORIO SUS</v>
      </c>
      <c r="C1379" s="2" t="str">
        <f t="shared" si="125"/>
        <v>FATUR-SUS</v>
      </c>
      <c r="D1379" s="2" t="str">
        <f t="shared" si="126"/>
        <v>FFAS</v>
      </c>
      <c r="E1379" s="2" t="str">
        <f>"MANUT. TAB. VALORES DE SSM"</f>
        <v>MANUT. TAB. VALORES DE SSM</v>
      </c>
      <c r="F1379" s="2" t="str">
        <f>"M_VAL_TAB_SIASUS"</f>
        <v>M_VAL_TAB_SIASUS</v>
      </c>
      <c r="G1379" s="2" t="str">
        <f>" ()"</f>
        <v xml:space="preserve"> ()</v>
      </c>
    </row>
    <row r="1380" spans="1:7" x14ac:dyDescent="0.3">
      <c r="A1380" s="1" t="s">
        <v>4</v>
      </c>
      <c r="B1380" s="2" t="str">
        <f t="shared" si="124"/>
        <v>SISTEMA FATURAMENTO AMBULATORIO SUS</v>
      </c>
      <c r="C1380" s="2" t="str">
        <f t="shared" si="125"/>
        <v>FATUR-SUS</v>
      </c>
      <c r="D1380" s="2" t="str">
        <f t="shared" si="126"/>
        <v>FFAS</v>
      </c>
      <c r="E1380" s="2" t="str">
        <f>"REL. DAS REGRAS AMBULATORIAIS"</f>
        <v>REL. DAS REGRAS AMBULATORIAIS</v>
      </c>
      <c r="F1380" s="2" t="str">
        <f>"R_REGRA"</f>
        <v>R_REGRA</v>
      </c>
      <c r="G1380" s="2" t="str">
        <f>"Faturamento / Faturamento Ambulatorial SUS (BPA e APAC) / Relatórios / Tabelas / Regras (R_REGRA)"</f>
        <v>Faturamento / Faturamento Ambulatorial SUS (BPA e APAC) / Relatórios / Tabelas / Regras (R_REGRA)</v>
      </c>
    </row>
    <row r="1381" spans="1:7" x14ac:dyDescent="0.3">
      <c r="A1381" s="1" t="s">
        <v>4</v>
      </c>
      <c r="B1381" s="2" t="str">
        <f t="shared" si="124"/>
        <v>SISTEMA FATURAMENTO AMBULATORIO SUS</v>
      </c>
      <c r="C1381" s="2" t="str">
        <f t="shared" si="125"/>
        <v>FATUR-SUS</v>
      </c>
      <c r="D1381" s="2" t="str">
        <f t="shared" si="126"/>
        <v>FFAS</v>
      </c>
      <c r="E1381" s="2" t="str">
        <f>"REL.FAT.AMBULATORIAL / ESPECIALIDADE"</f>
        <v>REL.FAT.AMBULATORIAL / ESPECIALIDADE</v>
      </c>
      <c r="F1381" s="2" t="str">
        <f>"R_FATESP"</f>
        <v>R_FATESP</v>
      </c>
      <c r="G1381" s="2" t="str">
        <f>" ()"</f>
        <v xml:space="preserve"> ()</v>
      </c>
    </row>
    <row r="1382" spans="1:7" x14ac:dyDescent="0.3">
      <c r="A1382" s="1" t="s">
        <v>4</v>
      </c>
      <c r="B1382" s="2" t="str">
        <f t="shared" si="124"/>
        <v>SISTEMA FATURAMENTO AMBULATORIO SUS</v>
      </c>
      <c r="C1382" s="2" t="str">
        <f t="shared" si="125"/>
        <v>FATUR-SUS</v>
      </c>
      <c r="D1382" s="2" t="str">
        <f t="shared" si="126"/>
        <v>FFAS</v>
      </c>
      <c r="E1382" s="2" t="str">
        <f>"MANUT. DE FAIXAS ETÁRIAS"</f>
        <v>MANUT. DE FAIXAS ETÁRIAS</v>
      </c>
      <c r="F1382" s="2" t="str">
        <f>"M_FAIXA_ETARIA"</f>
        <v>M_FAIXA_ETARIA</v>
      </c>
      <c r="G1382" s="2" t="str">
        <f>" ()"</f>
        <v xml:space="preserve"> ()</v>
      </c>
    </row>
    <row r="1383" spans="1:7" x14ac:dyDescent="0.3">
      <c r="A1383" s="1" t="s">
        <v>4</v>
      </c>
      <c r="B1383" s="2" t="str">
        <f t="shared" si="124"/>
        <v>SISTEMA FATURAMENTO AMBULATORIO SUS</v>
      </c>
      <c r="C1383" s="2" t="str">
        <f t="shared" si="125"/>
        <v>FATUR-SUS</v>
      </c>
      <c r="D1383" s="2" t="str">
        <f t="shared" si="126"/>
        <v>FFAS</v>
      </c>
      <c r="E1383" s="2" t="str">
        <f>"RELATORIO DO FATURA GLOBAL C/FPO"</f>
        <v>RELATORIO DO FATURA GLOBAL C/FPO</v>
      </c>
      <c r="F1383" s="2" t="str">
        <f>"R_FATSIA_FPO_P321"</f>
        <v>R_FATSIA_FPO_P321</v>
      </c>
      <c r="G1383" s="2" t="str">
        <f>" ()"</f>
        <v xml:space="preserve"> ()</v>
      </c>
    </row>
    <row r="1384" spans="1:7" x14ac:dyDescent="0.3">
      <c r="A1384" s="1" t="s">
        <v>4</v>
      </c>
      <c r="B1384" s="2" t="str">
        <f t="shared" si="124"/>
        <v>SISTEMA FATURAMENTO AMBULATORIO SUS</v>
      </c>
      <c r="C1384" s="2" t="str">
        <f t="shared" si="125"/>
        <v>FATUR-SUS</v>
      </c>
      <c r="D1384" s="2" t="str">
        <f t="shared" si="126"/>
        <v>FFAS</v>
      </c>
      <c r="E1384" s="2" t="str">
        <f>"REPASSES POR PACIENTE"</f>
        <v>REPASSES POR PACIENTE</v>
      </c>
      <c r="F1384" s="2" t="str">
        <f>"R_A_REP_DATA"</f>
        <v>R_A_REP_DATA</v>
      </c>
      <c r="G1384" s="2" t="str">
        <f>" ()"</f>
        <v xml:space="preserve"> ()</v>
      </c>
    </row>
    <row r="1385" spans="1:7" x14ac:dyDescent="0.3">
      <c r="A1385" s="1" t="s">
        <v>4</v>
      </c>
      <c r="B1385" s="2" t="str">
        <f t="shared" si="124"/>
        <v>SISTEMA FATURAMENTO AMBULATORIO SUS</v>
      </c>
      <c r="C1385" s="2" t="str">
        <f t="shared" si="125"/>
        <v>FATUR-SUS</v>
      </c>
      <c r="D1385" s="2" t="str">
        <f t="shared" si="126"/>
        <v>FFAS</v>
      </c>
      <c r="E1385" s="2" t="str">
        <f>"PRODUTIVIDADE MÉDICA"</f>
        <v>PRODUTIVIDADE MÉDICA</v>
      </c>
      <c r="F1385" s="2" t="str">
        <f>"R_PROD_PREST"</f>
        <v>R_PROD_PREST</v>
      </c>
      <c r="G1385" s="2" t="str">
        <f>"Faturamento / Faturamento Ambulatorial SUS (BPA e APAC) / Relatórios / Operacionais / Produtividade Médica (R_PROD_PREST)"</f>
        <v>Faturamento / Faturamento Ambulatorial SUS (BPA e APAC) / Relatórios / Operacionais / Produtividade Médica (R_PROD_PREST)</v>
      </c>
    </row>
    <row r="1386" spans="1:7" x14ac:dyDescent="0.3">
      <c r="A1386" s="1" t="s">
        <v>4</v>
      </c>
      <c r="B1386" s="2" t="str">
        <f t="shared" si="124"/>
        <v>SISTEMA FATURAMENTO AMBULATORIO SUS</v>
      </c>
      <c r="C1386" s="2" t="str">
        <f t="shared" si="125"/>
        <v>FATUR-SUS</v>
      </c>
      <c r="D1386" s="2" t="str">
        <f t="shared" si="126"/>
        <v>FFAS</v>
      </c>
      <c r="E1386" s="2" t="str">
        <f>"RELATORIO FATURA AMBULATORIO/ORIGEM"</f>
        <v>RELATORIO FATURA AMBULATORIO/ORIGEM</v>
      </c>
      <c r="F1386" s="2" t="str">
        <f>"R_FATORI"</f>
        <v>R_FATORI</v>
      </c>
      <c r="G1386" s="2" t="str">
        <f>" ()"</f>
        <v xml:space="preserve"> ()</v>
      </c>
    </row>
    <row r="1387" spans="1:7" x14ac:dyDescent="0.3">
      <c r="A1387" s="1" t="s">
        <v>4</v>
      </c>
      <c r="B1387" s="2" t="str">
        <f t="shared" si="124"/>
        <v>SISTEMA FATURAMENTO AMBULATORIO SUS</v>
      </c>
      <c r="C1387" s="2" t="str">
        <f t="shared" si="125"/>
        <v>FATUR-SUS</v>
      </c>
      <c r="D1387" s="2" t="str">
        <f t="shared" si="126"/>
        <v>FFAS</v>
      </c>
      <c r="E1387" s="2" t="str">
        <f>"RELATORIO DO FATURA AMBULATORIAL"</f>
        <v>RELATORIO DO FATURA AMBULATORIAL</v>
      </c>
      <c r="F1387" s="2" t="str">
        <f>"R_FATSIA"</f>
        <v>R_FATSIA</v>
      </c>
      <c r="G1387" s="2" t="str">
        <f>" ()"</f>
        <v xml:space="preserve"> ()</v>
      </c>
    </row>
    <row r="1388" spans="1:7" x14ac:dyDescent="0.3">
      <c r="A1388" s="1" t="s">
        <v>4</v>
      </c>
      <c r="B1388" s="2" t="str">
        <f t="shared" si="124"/>
        <v>SISTEMA FATURAMENTO AMBULATORIO SUS</v>
      </c>
      <c r="C1388" s="2" t="str">
        <f t="shared" si="125"/>
        <v>FATUR-SUS</v>
      </c>
      <c r="D1388" s="2" t="str">
        <f t="shared" si="126"/>
        <v>FFAS</v>
      </c>
      <c r="E1388" s="2" t="str">
        <f>"RELATORIO DE SERVIÇOS DO FATURAMENTO SIA"</f>
        <v>RELATORIO DE SERVIÇOS DO FATURAMENTO SIA</v>
      </c>
      <c r="F1388" s="2" t="str">
        <f>"R_SERFAT"</f>
        <v>R_SERFAT</v>
      </c>
      <c r="G1388" s="2" t="str">
        <f>"Faturamento / Faturamento Ambulatorial SUS (BPA e APAC) / Relatórios / Tabelas / Serviços (R_SERFAT)"</f>
        <v>Faturamento / Faturamento Ambulatorial SUS (BPA e APAC) / Relatórios / Tabelas / Serviços (R_SERFAT)</v>
      </c>
    </row>
    <row r="1389" spans="1:7" x14ac:dyDescent="0.3">
      <c r="A1389" s="1" t="s">
        <v>4</v>
      </c>
      <c r="B1389" s="2" t="str">
        <f t="shared" si="124"/>
        <v>SISTEMA FATURAMENTO AMBULATORIO SUS</v>
      </c>
      <c r="C1389" s="2" t="str">
        <f t="shared" si="125"/>
        <v>FATUR-SUS</v>
      </c>
      <c r="D1389" s="2" t="str">
        <f t="shared" si="126"/>
        <v>FFAS</v>
      </c>
      <c r="E1389" s="2" t="str">
        <f>"RELATORIO CLASSIFICAÇÃO FATURAMENTO SIA"</f>
        <v>RELATORIO CLASSIFICAÇÃO FATURAMENTO SIA</v>
      </c>
      <c r="F1389" s="2" t="str">
        <f>"R_CLASSIFI"</f>
        <v>R_CLASSIFI</v>
      </c>
      <c r="G1389" s="2" t="str">
        <f>"Faturamento / Faturamento Ambulatorial SUS (BPA e APAC) / Relatórios / Tabelas / Classificação (R_CLASSIFI)"</f>
        <v>Faturamento / Faturamento Ambulatorial SUS (BPA e APAC) / Relatórios / Tabelas / Classificação (R_CLASSIFI)</v>
      </c>
    </row>
    <row r="1390" spans="1:7" x14ac:dyDescent="0.3">
      <c r="A1390" s="1" t="s">
        <v>4</v>
      </c>
      <c r="B1390" s="2" t="str">
        <f t="shared" si="124"/>
        <v>SISTEMA FATURAMENTO AMBULATORIO SUS</v>
      </c>
      <c r="C1390" s="2" t="str">
        <f t="shared" si="125"/>
        <v>FATUR-SUS</v>
      </c>
      <c r="D1390" s="2" t="str">
        <f t="shared" si="126"/>
        <v>FFAS</v>
      </c>
      <c r="E1390" s="2" t="str">
        <f>"RELATORIO DE TIPOS ATENDIMENTO"</f>
        <v>RELATORIO DE TIPOS ATENDIMENTO</v>
      </c>
      <c r="F1390" s="2" t="str">
        <f>"R_TIPATE"</f>
        <v>R_TIPATE</v>
      </c>
      <c r="G1390" s="2" t="str">
        <f>"Faturamento / Faturamento Ambulatorial SUS (BPA e APAC) / Relatórios / Tabelas / Tipos de Atendimento (R_TIPATE)"</f>
        <v>Faturamento / Faturamento Ambulatorial SUS (BPA e APAC) / Relatórios / Tabelas / Tipos de Atendimento (R_TIPATE)</v>
      </c>
    </row>
    <row r="1391" spans="1:7" x14ac:dyDescent="0.3">
      <c r="A1391" s="1" t="s">
        <v>4</v>
      </c>
      <c r="B1391" s="2" t="str">
        <f t="shared" si="124"/>
        <v>SISTEMA FATURAMENTO AMBULATORIO SUS</v>
      </c>
      <c r="C1391" s="2" t="str">
        <f t="shared" si="125"/>
        <v>FATUR-SUS</v>
      </c>
      <c r="D1391" s="2" t="str">
        <f t="shared" si="126"/>
        <v>FFAS</v>
      </c>
      <c r="E1391" s="2" t="str">
        <f>"LANCAMENTOS POR AGENDA"</f>
        <v>LANCAMENTOS POR AGENDA</v>
      </c>
      <c r="F1391" s="2" t="str">
        <f>"R_LANC_PLAN"</f>
        <v>R_LANC_PLAN</v>
      </c>
      <c r="G1391" s="2" t="str">
        <f>"Faturamento / Faturamento Ambulatorial SUS (BPA e APAC) / Relatórios / Operacionais / Lançamentos por Agenda (R_LANC_PLAN)"</f>
        <v>Faturamento / Faturamento Ambulatorial SUS (BPA e APAC) / Relatórios / Operacionais / Lançamentos por Agenda (R_LANC_PLAN)</v>
      </c>
    </row>
    <row r="1392" spans="1:7" x14ac:dyDescent="0.3">
      <c r="A1392" s="1" t="s">
        <v>4</v>
      </c>
      <c r="B1392" s="2" t="str">
        <f t="shared" si="124"/>
        <v>SISTEMA FATURAMENTO AMBULATORIO SUS</v>
      </c>
      <c r="C1392" s="2" t="str">
        <f t="shared" si="125"/>
        <v>FATUR-SUS</v>
      </c>
      <c r="D1392" s="2" t="str">
        <f t="shared" si="126"/>
        <v>FFAS</v>
      </c>
      <c r="E1392" s="2" t="str">
        <f>"RELAÇÃO NOMINAL"</f>
        <v>RELAÇÃO NOMINAL</v>
      </c>
      <c r="F1392" s="2" t="str">
        <f>"R_RELACAO_NOMINAL_P321"</f>
        <v>R_RELACAO_NOMINAL_P321</v>
      </c>
      <c r="G1392" s="2" t="str">
        <f t="shared" ref="G1392:G1400" si="127">" ()"</f>
        <v xml:space="preserve"> ()</v>
      </c>
    </row>
    <row r="1393" spans="1:7" x14ac:dyDescent="0.3">
      <c r="A1393" s="1" t="s">
        <v>4</v>
      </c>
      <c r="B1393" s="2" t="str">
        <f t="shared" si="124"/>
        <v>SISTEMA FATURAMENTO AMBULATORIO SUS</v>
      </c>
      <c r="C1393" s="2" t="str">
        <f t="shared" si="125"/>
        <v>FATUR-SUS</v>
      </c>
      <c r="D1393" s="2" t="str">
        <f t="shared" si="126"/>
        <v>FFAS</v>
      </c>
      <c r="E1393" s="2" t="str">
        <f>"RELATÓRIO DA PPI"</f>
        <v>RELATÓRIO DA PPI</v>
      </c>
      <c r="F1393" s="2" t="str">
        <f>"R_PPI_P321"</f>
        <v>R_PPI_P321</v>
      </c>
      <c r="G1393" s="2" t="str">
        <f t="shared" si="127"/>
        <v xml:space="preserve"> ()</v>
      </c>
    </row>
    <row r="1394" spans="1:7" x14ac:dyDescent="0.3">
      <c r="A1394" s="1" t="s">
        <v>4</v>
      </c>
      <c r="B1394" s="2" t="str">
        <f t="shared" si="124"/>
        <v>SISTEMA FATURAMENTO AMBULATORIO SUS</v>
      </c>
      <c r="C1394" s="2" t="str">
        <f t="shared" si="125"/>
        <v>FATUR-SUS</v>
      </c>
      <c r="D1394" s="2" t="str">
        <f t="shared" si="126"/>
        <v>FFAS</v>
      </c>
      <c r="E1394" s="2" t="str">
        <f>"RELATÓRIO PACIENTES REALIZAM HEMODIALISE"</f>
        <v>RELATÓRIO PACIENTES REALIZAM HEMODIALISE</v>
      </c>
      <c r="F1394" s="2" t="str">
        <f>"R_PACIENTES_HEMODIALISE_P321"</f>
        <v>R_PACIENTES_HEMODIALISE_P321</v>
      </c>
      <c r="G1394" s="2" t="str">
        <f t="shared" si="127"/>
        <v xml:space="preserve"> ()</v>
      </c>
    </row>
    <row r="1395" spans="1:7" x14ac:dyDescent="0.3">
      <c r="A1395" s="1" t="s">
        <v>4</v>
      </c>
      <c r="B1395" s="2" t="str">
        <f t="shared" si="124"/>
        <v>SISTEMA FATURAMENTO AMBULATORIO SUS</v>
      </c>
      <c r="C1395" s="2" t="str">
        <f t="shared" si="125"/>
        <v>FATUR-SUS</v>
      </c>
      <c r="D1395" s="2" t="str">
        <f t="shared" si="126"/>
        <v>FFAS</v>
      </c>
      <c r="E1395" s="2" t="str">
        <f>"RELATÓRIO DE LAUDOS APAC"</f>
        <v>RELATÓRIO DE LAUDOS APAC</v>
      </c>
      <c r="F1395" s="2" t="str">
        <f>"R_RELACAO_LD_APAC_P321"</f>
        <v>R_RELACAO_LD_APAC_P321</v>
      </c>
      <c r="G1395" s="2" t="str">
        <f t="shared" si="127"/>
        <v xml:space="preserve"> ()</v>
      </c>
    </row>
    <row r="1396" spans="1:7" x14ac:dyDescent="0.3">
      <c r="A1396" s="1" t="s">
        <v>4</v>
      </c>
      <c r="B1396" s="2" t="str">
        <f t="shared" si="124"/>
        <v>SISTEMA FATURAMENTO AMBULATORIO SUS</v>
      </c>
      <c r="C1396" s="2" t="str">
        <f t="shared" si="125"/>
        <v>FATUR-SUS</v>
      </c>
      <c r="D1396" s="2" t="str">
        <f t="shared" si="126"/>
        <v>FFAS</v>
      </c>
      <c r="E1396" s="2" t="str">
        <f>"RELATÓRIO PROCEDIMENTOS BPA POR GRUPO"</f>
        <v>RELATÓRIO PROCEDIMENTOS BPA POR GRUPO</v>
      </c>
      <c r="F1396" s="2" t="str">
        <f>"R_PROC_BPA_GRU_ATE_P321"</f>
        <v>R_PROC_BPA_GRU_ATE_P321</v>
      </c>
      <c r="G1396" s="2" t="str">
        <f t="shared" si="127"/>
        <v xml:space="preserve"> ()</v>
      </c>
    </row>
    <row r="1397" spans="1:7" x14ac:dyDescent="0.3">
      <c r="A1397" s="1" t="s">
        <v>4</v>
      </c>
      <c r="B1397" s="2" t="str">
        <f t="shared" si="124"/>
        <v>SISTEMA FATURAMENTO AMBULATORIO SUS</v>
      </c>
      <c r="C1397" s="2" t="str">
        <f t="shared" si="125"/>
        <v>FATUR-SUS</v>
      </c>
      <c r="D1397" s="2" t="str">
        <f t="shared" si="126"/>
        <v>FFAS</v>
      </c>
      <c r="E1397" s="2" t="str">
        <f>"RELATÓRIO DE ATENDIMENTOS"</f>
        <v>RELATÓRIO DE ATENDIMENTOS</v>
      </c>
      <c r="F1397" s="2" t="str">
        <f>"R_ATENDIME_SUS_APAC_P321"</f>
        <v>R_ATENDIME_SUS_APAC_P321</v>
      </c>
      <c r="G1397" s="2" t="str">
        <f t="shared" si="127"/>
        <v xml:space="preserve"> ()</v>
      </c>
    </row>
    <row r="1398" spans="1:7" x14ac:dyDescent="0.3">
      <c r="A1398" s="1" t="s">
        <v>4</v>
      </c>
      <c r="B1398" s="2" t="str">
        <f t="shared" si="124"/>
        <v>SISTEMA FATURAMENTO AMBULATORIO SUS</v>
      </c>
      <c r="C1398" s="2" t="str">
        <f t="shared" si="125"/>
        <v>FATUR-SUS</v>
      </c>
      <c r="D1398" s="2" t="str">
        <f t="shared" si="126"/>
        <v>FFAS</v>
      </c>
      <c r="E1398" s="2" t="str">
        <f>"RELATÓRIO PROCEDIMENTOS POR COMPETENCIA"</f>
        <v>RELATÓRIO PROCEDIMENTOS POR COMPETENCIA</v>
      </c>
      <c r="F1398" s="2" t="str">
        <f>"R_PROC_COMPETENCIA_P321"</f>
        <v>R_PROC_COMPETENCIA_P321</v>
      </c>
      <c r="G1398" s="2" t="str">
        <f t="shared" si="127"/>
        <v xml:space="preserve"> ()</v>
      </c>
    </row>
    <row r="1399" spans="1:7" x14ac:dyDescent="0.3">
      <c r="A1399" s="1" t="s">
        <v>4</v>
      </c>
      <c r="B1399" s="2" t="str">
        <f t="shared" si="124"/>
        <v>SISTEMA FATURAMENTO AMBULATORIO SUS</v>
      </c>
      <c r="C1399" s="2" t="str">
        <f t="shared" si="125"/>
        <v>FATUR-SUS</v>
      </c>
      <c r="D1399" s="2" t="str">
        <f t="shared" si="126"/>
        <v>FFAS</v>
      </c>
      <c r="E1399" s="2" t="str">
        <f>"RELATÓRIO DE PROCEDIMENTOS POR ORIGEM"</f>
        <v>RELATÓRIO DE PROCEDIMENTOS POR ORIGEM</v>
      </c>
      <c r="F1399" s="2" t="str">
        <f>"R_PROC_ORIGEM_P321"</f>
        <v>R_PROC_ORIGEM_P321</v>
      </c>
      <c r="G1399" s="2" t="str">
        <f t="shared" si="127"/>
        <v xml:space="preserve"> ()</v>
      </c>
    </row>
    <row r="1400" spans="1:7" x14ac:dyDescent="0.3">
      <c r="A1400" s="1" t="s">
        <v>4</v>
      </c>
      <c r="B1400" s="2" t="str">
        <f t="shared" si="124"/>
        <v>SISTEMA FATURAMENTO AMBULATORIO SUS</v>
      </c>
      <c r="C1400" s="2" t="str">
        <f t="shared" si="125"/>
        <v>FATUR-SUS</v>
      </c>
      <c r="D1400" s="2" t="str">
        <f t="shared" si="126"/>
        <v>FFAS</v>
      </c>
      <c r="E1400" s="2" t="str">
        <f>"RELATORIO PROCEDIMENTOS APAC POR CIDADE"</f>
        <v>RELATORIO PROCEDIMENTOS APAC POR CIDADE</v>
      </c>
      <c r="F1400" s="2" t="str">
        <f>"R_PROC_CIDADE_P321"</f>
        <v>R_PROC_CIDADE_P321</v>
      </c>
      <c r="G1400" s="2" t="str">
        <f t="shared" si="127"/>
        <v xml:space="preserve"> ()</v>
      </c>
    </row>
    <row r="1401" spans="1:7" x14ac:dyDescent="0.3">
      <c r="A1401" s="1" t="s">
        <v>4</v>
      </c>
      <c r="B1401" s="2" t="str">
        <f t="shared" si="124"/>
        <v>SISTEMA FATURAMENTO AMBULATORIO SUS</v>
      </c>
      <c r="C1401" s="2" t="str">
        <f t="shared" si="125"/>
        <v>FATUR-SUS</v>
      </c>
      <c r="D1401" s="2" t="str">
        <f t="shared" si="126"/>
        <v>FFAS</v>
      </c>
      <c r="E1401" s="2" t="str">
        <f>"RELATÓRIO DE FATURAMENTO GLOBAL"</f>
        <v>RELATÓRIO DE FATURAMENTO GLOBAL</v>
      </c>
      <c r="F1401" s="2" t="str">
        <f>"R_FATSIA_P321"</f>
        <v>R_FATSIA_P321</v>
      </c>
      <c r="G1401" s="2" t="str">
        <f>"Faturamento / Faturamento Ambulatorial SUS (BPA e APAC) / Relatórios / Gerenciais / Faturamento Global (R_FATSIA_P321)"</f>
        <v>Faturamento / Faturamento Ambulatorial SUS (BPA e APAC) / Relatórios / Gerenciais / Faturamento Global (R_FATSIA_P321)</v>
      </c>
    </row>
    <row r="1402" spans="1:7" x14ac:dyDescent="0.3">
      <c r="A1402" s="1" t="s">
        <v>4</v>
      </c>
      <c r="B1402" s="2" t="str">
        <f t="shared" si="124"/>
        <v>SISTEMA FATURAMENTO AMBULATORIO SUS</v>
      </c>
      <c r="C1402" s="2" t="str">
        <f t="shared" si="125"/>
        <v>FATUR-SUS</v>
      </c>
      <c r="D1402" s="2" t="str">
        <f t="shared" si="126"/>
        <v>FFAS</v>
      </c>
      <c r="E1402" s="2" t="str">
        <f>"RELATÓRIO DE FATURAMENTO GLOBAL"</f>
        <v>RELATÓRIO DE FATURAMENTO GLOBAL</v>
      </c>
      <c r="F1402" s="2" t="str">
        <f>"R_FATSIA_P321"</f>
        <v>R_FATSIA_P321</v>
      </c>
      <c r="G1402" s="2" t="str">
        <f>"Faturamento / Faturamento SUS - Siscolo / Relatórios / Gerenciais / Faturamento Global (R_FATSIA_P321)"</f>
        <v>Faturamento / Faturamento SUS - Siscolo / Relatórios / Gerenciais / Faturamento Global (R_FATSIA_P321)</v>
      </c>
    </row>
    <row r="1403" spans="1:7" x14ac:dyDescent="0.3">
      <c r="A1403" s="1" t="s">
        <v>4</v>
      </c>
      <c r="B1403" s="2" t="str">
        <f t="shared" si="124"/>
        <v>SISTEMA FATURAMENTO AMBULATORIO SUS</v>
      </c>
      <c r="C1403" s="2" t="str">
        <f t="shared" si="125"/>
        <v>FATUR-SUS</v>
      </c>
      <c r="D1403" s="2" t="str">
        <f t="shared" si="126"/>
        <v>FFAS</v>
      </c>
      <c r="E1403" s="2" t="str">
        <f>"RELATÓRIO TIPO DE ATENDIMENTO"</f>
        <v>RELATÓRIO TIPO DE ATENDIMENTO</v>
      </c>
      <c r="F1403" s="2" t="str">
        <f>"R_PROC_TP_ATENDIME_P321"</f>
        <v>R_PROC_TP_ATENDIME_P321</v>
      </c>
      <c r="G1403" s="2" t="str">
        <f>" ()"</f>
        <v xml:space="preserve"> ()</v>
      </c>
    </row>
    <row r="1404" spans="1:7" x14ac:dyDescent="0.3">
      <c r="A1404" s="1" t="s">
        <v>4</v>
      </c>
      <c r="B1404" s="2" t="str">
        <f t="shared" si="124"/>
        <v>SISTEMA FATURAMENTO AMBULATORIO SUS</v>
      </c>
      <c r="C1404" s="2" t="str">
        <f t="shared" si="125"/>
        <v>FATUR-SUS</v>
      </c>
      <c r="D1404" s="2" t="str">
        <f t="shared" si="126"/>
        <v>FFAS</v>
      </c>
      <c r="E1404" s="2" t="str">
        <f>"RELATÓRIO DE FAIXA ETÁRIA"</f>
        <v>RELATÓRIO DE FAIXA ETÁRIA</v>
      </c>
      <c r="F1404" s="2" t="str">
        <f>"R_PROC_FX_ETARIA_P321"</f>
        <v>R_PROC_FX_ETARIA_P321</v>
      </c>
      <c r="G1404" s="2" t="str">
        <f>" ()"</f>
        <v xml:space="preserve"> ()</v>
      </c>
    </row>
    <row r="1405" spans="1:7" x14ac:dyDescent="0.3">
      <c r="A1405" s="1" t="s">
        <v>4</v>
      </c>
      <c r="B1405" s="2" t="str">
        <f t="shared" si="124"/>
        <v>SISTEMA FATURAMENTO AMBULATORIO SUS</v>
      </c>
      <c r="C1405" s="2" t="str">
        <f t="shared" si="125"/>
        <v>FATUR-SUS</v>
      </c>
      <c r="D1405" s="2" t="str">
        <f t="shared" si="126"/>
        <v>FFAS</v>
      </c>
      <c r="E1405" s="2" t="str">
        <f>"LANÇAMENTO DE APAC"</f>
        <v>LANÇAMENTO DE APAC</v>
      </c>
      <c r="F1405" s="2" t="str">
        <f>"M_LANCA_APAC_P321"</f>
        <v>M_LANCA_APAC_P321</v>
      </c>
      <c r="G1405" s="2" t="str">
        <f>"Faturamento / Faturamento Ambulatorial SUS (BPA e APAC) / Lançamentos / APAC / Lançamento APAC (M_LANCA_APAC_P321)"</f>
        <v>Faturamento / Faturamento Ambulatorial SUS (BPA e APAC) / Lançamentos / APAC / Lançamento APAC (M_LANCA_APAC_P321)</v>
      </c>
    </row>
    <row r="1406" spans="1:7" x14ac:dyDescent="0.3">
      <c r="A1406" s="1" t="s">
        <v>4</v>
      </c>
      <c r="B1406" s="2" t="str">
        <f t="shared" si="124"/>
        <v>SISTEMA FATURAMENTO AMBULATORIO SUS</v>
      </c>
      <c r="C1406" s="2" t="str">
        <f t="shared" si="125"/>
        <v>FATUR-SUS</v>
      </c>
      <c r="D1406" s="2" t="str">
        <f t="shared" si="126"/>
        <v>FFAS</v>
      </c>
      <c r="E1406" s="2" t="str">
        <f>"R_FAT_PRE_CBO_P321"</f>
        <v>R_FAT_PRE_CBO_P321</v>
      </c>
      <c r="F1406" s="2" t="str">
        <f>"R_FAT_PRE_CBO_P321"</f>
        <v>R_FAT_PRE_CBO_P321</v>
      </c>
      <c r="G1406" s="2" t="str">
        <f>"Faturamento / Faturamento Ambulatorial SUS (BPA e APAC) / Relatórios / Gerenciais / Faturamento por Prestador X CBO (R_FAT_PRE_CBO_P321)"</f>
        <v>Faturamento / Faturamento Ambulatorial SUS (BPA e APAC) / Relatórios / Gerenciais / Faturamento por Prestador X CBO (R_FAT_PRE_CBO_P321)</v>
      </c>
    </row>
    <row r="1407" spans="1:7" x14ac:dyDescent="0.3">
      <c r="A1407" s="1" t="s">
        <v>4</v>
      </c>
      <c r="B1407" s="2" t="str">
        <f t="shared" si="124"/>
        <v>SISTEMA FATURAMENTO AMBULATORIO SUS</v>
      </c>
      <c r="C1407" s="2" t="str">
        <f t="shared" si="125"/>
        <v>FATUR-SUS</v>
      </c>
      <c r="D1407" s="2" t="str">
        <f t="shared" si="126"/>
        <v>FFAS</v>
      </c>
      <c r="E1407" s="2" t="str">
        <f>"RELAÇÃO DE APAC´S EM VENCIMENTO"</f>
        <v>RELAÇÃO DE APAC´S EM VENCIMENTO</v>
      </c>
      <c r="F1407" s="2" t="str">
        <f>"R_PDA_SEM_NOME"</f>
        <v>R_PDA_SEM_NOME</v>
      </c>
      <c r="G1407" s="2" t="str">
        <f t="shared" ref="G1407:G1413" si="128">" ()"</f>
        <v xml:space="preserve"> ()</v>
      </c>
    </row>
    <row r="1408" spans="1:7" x14ac:dyDescent="0.3">
      <c r="A1408" s="1" t="s">
        <v>4</v>
      </c>
      <c r="B1408" s="2" t="str">
        <f t="shared" si="124"/>
        <v>SISTEMA FATURAMENTO AMBULATORIO SUS</v>
      </c>
      <c r="C1408" s="2" t="str">
        <f t="shared" si="125"/>
        <v>FATUR-SUS</v>
      </c>
      <c r="D1408" s="2" t="str">
        <f t="shared" si="126"/>
        <v>FFAS</v>
      </c>
      <c r="E1408" s="2" t="str">
        <f>"CADASTRO: SERVIÇOS DE FATURAMENTO"</f>
        <v>CADASTRO: SERVIÇOS DE FATURAMENTO</v>
      </c>
      <c r="F1408" s="2" t="str">
        <f>"M_PRE_FAT"</f>
        <v>M_PRE_FAT</v>
      </c>
      <c r="G1408" s="2" t="str">
        <f t="shared" si="128"/>
        <v xml:space="preserve"> ()</v>
      </c>
    </row>
    <row r="1409" spans="1:7" x14ac:dyDescent="0.3">
      <c r="A1409" s="1" t="s">
        <v>4</v>
      </c>
      <c r="B1409" s="2" t="str">
        <f t="shared" si="124"/>
        <v>SISTEMA FATURAMENTO AMBULATORIO SUS</v>
      </c>
      <c r="C1409" s="2" t="str">
        <f t="shared" si="125"/>
        <v>FATUR-SUS</v>
      </c>
      <c r="D1409" s="2" t="str">
        <f t="shared" si="126"/>
        <v>FFAS</v>
      </c>
      <c r="E1409" s="2" t="str">
        <f>"CADASTRO: TIPO DE PRESTADORES"</f>
        <v>CADASTRO: TIPO DE PRESTADORES</v>
      </c>
      <c r="F1409" s="2" t="str">
        <f>"M_NIVEL_HIERARQUIA"</f>
        <v>M_NIVEL_HIERARQUIA</v>
      </c>
      <c r="G1409" s="2" t="str">
        <f t="shared" si="128"/>
        <v xml:space="preserve"> ()</v>
      </c>
    </row>
    <row r="1410" spans="1:7" x14ac:dyDescent="0.3">
      <c r="A1410" s="1" t="s">
        <v>4</v>
      </c>
      <c r="B1410" s="2" t="str">
        <f t="shared" si="124"/>
        <v>SISTEMA FATURAMENTO AMBULATORIO SUS</v>
      </c>
      <c r="C1410" s="2" t="str">
        <f t="shared" si="125"/>
        <v>FATUR-SUS</v>
      </c>
      <c r="D1410" s="2" t="str">
        <f t="shared" si="126"/>
        <v>FFAS</v>
      </c>
      <c r="E1410" s="2" t="str">
        <f>"LAUDO EMISSAO APAC - SAUDE TRABALHADOR"</f>
        <v>LAUDO EMISSAO APAC - SAUDE TRABALHADOR</v>
      </c>
      <c r="F1410" s="2" t="str">
        <f>"R_LAUDO_APAC_TIPO58"</f>
        <v>R_LAUDO_APAC_TIPO58</v>
      </c>
      <c r="G1410" s="2" t="str">
        <f t="shared" si="128"/>
        <v xml:space="preserve"> ()</v>
      </c>
    </row>
    <row r="1411" spans="1:7" x14ac:dyDescent="0.3">
      <c r="A1411" s="1" t="s">
        <v>4</v>
      </c>
      <c r="B1411" s="2" t="str">
        <f t="shared" si="124"/>
        <v>SISTEMA FATURAMENTO AMBULATORIO SUS</v>
      </c>
      <c r="C1411" s="2" t="str">
        <f t="shared" si="125"/>
        <v>FATUR-SUS</v>
      </c>
      <c r="D1411" s="2" t="str">
        <f t="shared" si="126"/>
        <v>FFAS</v>
      </c>
      <c r="E1411" s="2" t="str">
        <f>"LAUDO EMISSAO APAC - SAUDE MENTAL"</f>
        <v>LAUDO EMISSAO APAC - SAUDE MENTAL</v>
      </c>
      <c r="F1411" s="2" t="str">
        <f>"R_LAUDO_APAC_TIPO48"</f>
        <v>R_LAUDO_APAC_TIPO48</v>
      </c>
      <c r="G1411" s="2" t="str">
        <f t="shared" si="128"/>
        <v xml:space="preserve"> ()</v>
      </c>
    </row>
    <row r="1412" spans="1:7" x14ac:dyDescent="0.3">
      <c r="A1412" s="1" t="s">
        <v>4</v>
      </c>
      <c r="B1412" s="2" t="str">
        <f t="shared" si="124"/>
        <v>SISTEMA FATURAMENTO AMBULATORIO SUS</v>
      </c>
      <c r="C1412" s="2" t="str">
        <f t="shared" si="125"/>
        <v>FATUR-SUS</v>
      </c>
      <c r="D1412" s="2" t="str">
        <f t="shared" si="126"/>
        <v>FFAS</v>
      </c>
      <c r="E1412" s="2" t="str">
        <f>"LAUDO EMISSAO APAC - TABAGISMO"</f>
        <v>LAUDO EMISSAO APAC - TABAGISMO</v>
      </c>
      <c r="F1412" s="2" t="str">
        <f>"R_LAUDO_APAC_TIPO39"</f>
        <v>R_LAUDO_APAC_TIPO39</v>
      </c>
      <c r="G1412" s="2" t="str">
        <f t="shared" si="128"/>
        <v xml:space="preserve"> ()</v>
      </c>
    </row>
    <row r="1413" spans="1:7" x14ac:dyDescent="0.3">
      <c r="A1413" s="1" t="s">
        <v>4</v>
      </c>
      <c r="B1413" s="2" t="str">
        <f t="shared" si="124"/>
        <v>SISTEMA FATURAMENTO AMBULATORIO SUS</v>
      </c>
      <c r="C1413" s="2" t="str">
        <f t="shared" si="125"/>
        <v>FATUR-SUS</v>
      </c>
      <c r="D1413" s="2" t="str">
        <f t="shared" si="126"/>
        <v>FFAS</v>
      </c>
      <c r="E1413" s="2" t="str">
        <f>"CADASTRO: TETOS ORÇAMENTÁRIOS"</f>
        <v>CADASTRO: TETOS ORÇAMENTÁRIOS</v>
      </c>
      <c r="F1413" s="2" t="str">
        <f>"M_TETORC_PROC"</f>
        <v>M_TETORC_PROC</v>
      </c>
      <c r="G1413" s="2" t="str">
        <f t="shared" si="128"/>
        <v xml:space="preserve"> ()</v>
      </c>
    </row>
    <row r="1414" spans="1:7" x14ac:dyDescent="0.3">
      <c r="A1414" s="1" t="s">
        <v>4</v>
      </c>
      <c r="B1414" s="2" t="str">
        <f t="shared" si="124"/>
        <v>SISTEMA FATURAMENTO AMBULATORIO SUS</v>
      </c>
      <c r="C1414" s="2" t="str">
        <f t="shared" si="125"/>
        <v>FATUR-SUS</v>
      </c>
      <c r="D1414" s="2" t="str">
        <f t="shared" si="126"/>
        <v>FFAS</v>
      </c>
      <c r="E1414" s="2" t="str">
        <f>"WIN_PRINCIPAL"</f>
        <v>WIN_PRINCIPAL</v>
      </c>
      <c r="F1414" s="2" t="str">
        <f>"M_VIA_TRATAMENTO"</f>
        <v>M_VIA_TRATAMENTO</v>
      </c>
      <c r="G1414" s="2" t="str">
        <f>"Faturamento / Faturamento Ambulatorial SUS (BPA e APAC) / Tabelas / APAC / Via Tratamento (M_VIA_TRATAMENTO)"</f>
        <v>Faturamento / Faturamento Ambulatorial SUS (BPA e APAC) / Tabelas / APAC / Via Tratamento (M_VIA_TRATAMENTO)</v>
      </c>
    </row>
    <row r="1415" spans="1:7" x14ac:dyDescent="0.3">
      <c r="A1415" s="1" t="s">
        <v>4</v>
      </c>
      <c r="B1415" s="2" t="str">
        <f t="shared" si="124"/>
        <v>SISTEMA FATURAMENTO AMBULATORIO SUS</v>
      </c>
      <c r="C1415" s="2" t="str">
        <f t="shared" si="125"/>
        <v>FATUR-SUS</v>
      </c>
      <c r="D1415" s="2" t="str">
        <f t="shared" si="126"/>
        <v>FFAS</v>
      </c>
      <c r="E1415" s="2" t="str">
        <f>"WIN_PRINCIPAL"</f>
        <v>WIN_PRINCIPAL</v>
      </c>
      <c r="F1415" s="2" t="str">
        <f>"M_ASSOCIACAO"</f>
        <v>M_ASSOCIACAO</v>
      </c>
      <c r="G1415" s="2" t="str">
        <f>"Faturamento / Faturamento Ambulatorial SUS (BPA e APAC) / Tabelas / APAC / Associação (M_ASSOCIACAO)"</f>
        <v>Faturamento / Faturamento Ambulatorial SUS (BPA e APAC) / Tabelas / APAC / Associação (M_ASSOCIACAO)</v>
      </c>
    </row>
    <row r="1416" spans="1:7" x14ac:dyDescent="0.3">
      <c r="A1416" s="1" t="s">
        <v>4</v>
      </c>
      <c r="B1416" s="2" t="str">
        <f t="shared" si="124"/>
        <v>SISTEMA FATURAMENTO AMBULATORIO SUS</v>
      </c>
      <c r="C1416" s="2" t="str">
        <f t="shared" si="125"/>
        <v>FATUR-SUS</v>
      </c>
      <c r="D1416" s="2" t="str">
        <f t="shared" si="126"/>
        <v>FFAS</v>
      </c>
      <c r="E1416" s="2" t="str">
        <f>"WIN_PRINCIPAL"</f>
        <v>WIN_PRINCIPAL</v>
      </c>
      <c r="F1416" s="2" t="str">
        <f>"M_ESQUEMA"</f>
        <v>M_ESQUEMA</v>
      </c>
      <c r="G1416" s="2" t="str">
        <f>"Faturamento / Faturamento Ambulatorial SUS (BPA e APAC) / Tabelas / APAC / Esquema (M_ESQUEMA)"</f>
        <v>Faturamento / Faturamento Ambulatorial SUS (BPA e APAC) / Tabelas / APAC / Esquema (M_ESQUEMA)</v>
      </c>
    </row>
    <row r="1417" spans="1:7" x14ac:dyDescent="0.3">
      <c r="A1417" s="1" t="s">
        <v>4</v>
      </c>
      <c r="B1417" s="2" t="str">
        <f t="shared" si="124"/>
        <v>SISTEMA FATURAMENTO AMBULATORIO SUS</v>
      </c>
      <c r="C1417" s="2" t="str">
        <f t="shared" si="125"/>
        <v>FATUR-SUS</v>
      </c>
      <c r="D1417" s="2" t="str">
        <f t="shared" si="126"/>
        <v>FFAS</v>
      </c>
      <c r="E1417" s="2" t="str">
        <f>"WIN_PRINCIPAL"</f>
        <v>WIN_PRINCIPAL</v>
      </c>
      <c r="F1417" s="2" t="str">
        <f>"M_TRATAMENTO_REALIZADO"</f>
        <v>M_TRATAMENTO_REALIZADO</v>
      </c>
      <c r="G1417" s="2" t="str">
        <f>"Faturamento / Faturamento Ambulatorial SUS (BPA e APAC) / Tabelas / APAC / Tratamento realizado (M_TRATAMENTO_REALIZADO)"</f>
        <v>Faturamento / Faturamento Ambulatorial SUS (BPA e APAC) / Tabelas / APAC / Tratamento realizado (M_TRATAMENTO_REALIZADO)</v>
      </c>
    </row>
    <row r="1418" spans="1:7" x14ac:dyDescent="0.3">
      <c r="A1418" s="1" t="s">
        <v>4</v>
      </c>
      <c r="B1418" s="2" t="str">
        <f t="shared" si="124"/>
        <v>SISTEMA FATURAMENTO AMBULATORIO SUS</v>
      </c>
      <c r="C1418" s="2" t="str">
        <f t="shared" si="125"/>
        <v>FATUR-SUS</v>
      </c>
      <c r="D1418" s="2" t="str">
        <f t="shared" si="126"/>
        <v>FFAS</v>
      </c>
      <c r="E1418" s="2" t="str">
        <f>"TRANSFERÊNCIA DE CONTAS SEM DECÊNDIO"</f>
        <v>TRANSFERÊNCIA DE CONTAS SEM DECÊNDIO</v>
      </c>
      <c r="F1418" s="2" t="str">
        <f>"M_TRANSF_CONTAS"</f>
        <v>M_TRANSF_CONTAS</v>
      </c>
      <c r="G1418" s="2" t="str">
        <f>"Faturamento / Faturamento Ambulatorial SUS (BPA e APAC) / Lançamentos / BPA / Transferência de contas sem Decêndio (M_TRANSF_CONTAS)"</f>
        <v>Faturamento / Faturamento Ambulatorial SUS (BPA e APAC) / Lançamentos / BPA / Transferência de contas sem Decêndio (M_TRANSF_CONTAS)</v>
      </c>
    </row>
    <row r="1419" spans="1:7" x14ac:dyDescent="0.3">
      <c r="A1419" s="1" t="s">
        <v>4</v>
      </c>
      <c r="B1419" s="2" t="str">
        <f t="shared" si="124"/>
        <v>SISTEMA FATURAMENTO AMBULATORIO SUS</v>
      </c>
      <c r="C1419" s="2" t="str">
        <f t="shared" si="125"/>
        <v>FATUR-SUS</v>
      </c>
      <c r="D1419" s="2" t="str">
        <f t="shared" si="126"/>
        <v>FFAS</v>
      </c>
      <c r="E1419" s="2" t="str">
        <f>"REAPRESENTAÇÃO E GLOSAS - SUS"</f>
        <v>REAPRESENTAÇÃO E GLOSAS - SUS</v>
      </c>
      <c r="F1419" s="2" t="str">
        <f>"M_GLOSAS_APAC"</f>
        <v>M_GLOSAS_APAC</v>
      </c>
      <c r="G1419" s="2" t="str">
        <f>"Faturamento / Faturamento Ambulatorial SUS (BPA e APAC) / Lançamentos / APAC / Glosa APAC / Glosa e Reapresentação (M_GLOSAS_APAC)"</f>
        <v>Faturamento / Faturamento Ambulatorial SUS (BPA e APAC) / Lançamentos / APAC / Glosa APAC / Glosa e Reapresentação (M_GLOSAS_APAC)</v>
      </c>
    </row>
    <row r="1420" spans="1:7" x14ac:dyDescent="0.3">
      <c r="A1420" s="1" t="s">
        <v>4</v>
      </c>
      <c r="B1420" s="2" t="str">
        <f t="shared" si="124"/>
        <v>SISTEMA FATURAMENTO AMBULATORIO SUS</v>
      </c>
      <c r="C1420" s="2" t="str">
        <f t="shared" si="125"/>
        <v>FATUR-SUS</v>
      </c>
      <c r="D1420" s="2" t="str">
        <f t="shared" si="126"/>
        <v>FFAS</v>
      </c>
      <c r="E1420" s="2" t="str">
        <f>"RELATÓRIO DE TRANSFERÊNCIA DE CONTAS"</f>
        <v>RELATÓRIO DE TRANSFERÊNCIA DE CONTAS</v>
      </c>
      <c r="F1420" s="2" t="str">
        <f>"R_TRANSFERE_CONTAS"</f>
        <v>R_TRANSFERE_CONTAS</v>
      </c>
      <c r="G1420" s="2" t="str">
        <f>" ()"</f>
        <v xml:space="preserve"> ()</v>
      </c>
    </row>
    <row r="1421" spans="1:7" x14ac:dyDescent="0.3">
      <c r="A1421" s="1" t="s">
        <v>4</v>
      </c>
      <c r="B1421" s="2" t="str">
        <f t="shared" si="124"/>
        <v>SISTEMA FATURAMENTO AMBULATORIO SUS</v>
      </c>
      <c r="C1421" s="2" t="str">
        <f t="shared" si="125"/>
        <v>FATUR-SUS</v>
      </c>
      <c r="D1421" s="2" t="str">
        <f t="shared" si="126"/>
        <v>FFAS</v>
      </c>
      <c r="E1421" s="2" t="str">
        <f>"R_PPI"</f>
        <v>R_PPI</v>
      </c>
      <c r="F1421" s="2" t="str">
        <f>"R_PPI"</f>
        <v>R_PPI</v>
      </c>
      <c r="G1421" s="2" t="str">
        <f>"Faturamento / Faturamento Ambulatorial SUS (BPA e APAC) / Relatórios / Operacionais / Relatorio PPI (Programação Pactuada Integrada) (R_PPI)"</f>
        <v>Faturamento / Faturamento Ambulatorial SUS (BPA e APAC) / Relatórios / Operacionais / Relatorio PPI (Programação Pactuada Integrada) (R_PPI)</v>
      </c>
    </row>
    <row r="1422" spans="1:7" x14ac:dyDescent="0.3">
      <c r="A1422" s="1" t="s">
        <v>4</v>
      </c>
      <c r="B1422" s="2" t="str">
        <f t="shared" si="124"/>
        <v>SISTEMA FATURAMENTO AMBULATORIO SUS</v>
      </c>
      <c r="C1422" s="2" t="str">
        <f t="shared" si="125"/>
        <v>FATUR-SUS</v>
      </c>
      <c r="D1422" s="2" t="str">
        <f t="shared" si="126"/>
        <v>FFAS</v>
      </c>
      <c r="E1422" s="2" t="str">
        <f>"WIN_PRINCIPAL"</f>
        <v>WIN_PRINCIPAL</v>
      </c>
      <c r="F1422" s="2" t="str">
        <f>"R_SOBRA_PERIODO"</f>
        <v>R_SOBRA_PERIODO</v>
      </c>
      <c r="G1422" s="2" t="str">
        <f>" ()"</f>
        <v xml:space="preserve"> ()</v>
      </c>
    </row>
    <row r="1423" spans="1:7" x14ac:dyDescent="0.3">
      <c r="A1423" s="1" t="s">
        <v>4</v>
      </c>
      <c r="B1423" s="2" t="str">
        <f t="shared" si="124"/>
        <v>SISTEMA FATURAMENTO AMBULATORIO SUS</v>
      </c>
      <c r="C1423" s="2" t="str">
        <f t="shared" si="125"/>
        <v>FATUR-SUS</v>
      </c>
      <c r="D1423" s="2" t="str">
        <f t="shared" si="126"/>
        <v>FFAS</v>
      </c>
      <c r="E1423" s="2" t="str">
        <f>"LISTAGEM DE FICHA DE FREQUENCIA"</f>
        <v>LISTAGEM DE FICHA DE FREQUENCIA</v>
      </c>
      <c r="F1423" s="2" t="str">
        <f>"R_LISTA_FREQUENCIA"</f>
        <v>R_LISTA_FREQUENCIA</v>
      </c>
      <c r="G1423" s="2" t="str">
        <f>"Faturamento / Faturamento Ambulatorial SUS (BPA e APAC) / Relatórios / APAC / Listagem de Fichas de Frequencia - Sintético (R_LISTA_FREQUENCIA)"</f>
        <v>Faturamento / Faturamento Ambulatorial SUS (BPA e APAC) / Relatórios / APAC / Listagem de Fichas de Frequencia - Sintético (R_LISTA_FREQUENCIA)</v>
      </c>
    </row>
    <row r="1424" spans="1:7" x14ac:dyDescent="0.3">
      <c r="A1424" s="1" t="s">
        <v>4</v>
      </c>
      <c r="B1424" s="2" t="str">
        <f t="shared" si="124"/>
        <v>SISTEMA FATURAMENTO AMBULATORIO SUS</v>
      </c>
      <c r="C1424" s="2" t="str">
        <f t="shared" si="125"/>
        <v>FATUR-SUS</v>
      </c>
      <c r="D1424" s="2" t="str">
        <f t="shared" si="126"/>
        <v>FFAS</v>
      </c>
      <c r="E1424" s="2" t="str">
        <f>"R_FLUXO_PAC_ATEND_ONCO"</f>
        <v>R_FLUXO_PAC_ATEND_ONCO</v>
      </c>
      <c r="F1424" s="2" t="str">
        <f>"R_FLUXO_PAC_ATEND_ONCO"</f>
        <v>R_FLUXO_PAC_ATEND_ONCO</v>
      </c>
      <c r="G1424" s="2" t="str">
        <f>"Faturamento / Faturamento Ambulatorial SUS (BPA e APAC) / Relatórios / Operacionais / Fluxo de Pacientes Atendidos em Oncologia (R_FLUXO_PAC_ATEND_ONCO)"</f>
        <v>Faturamento / Faturamento Ambulatorial SUS (BPA e APAC) / Relatórios / Operacionais / Fluxo de Pacientes Atendidos em Oncologia (R_FLUXO_PAC_ATEND_ONCO)</v>
      </c>
    </row>
    <row r="1425" spans="1:7" x14ac:dyDescent="0.3">
      <c r="A1425" s="1" t="s">
        <v>4</v>
      </c>
      <c r="B1425" s="2" t="str">
        <f t="shared" si="124"/>
        <v>SISTEMA FATURAMENTO AMBULATORIO SUS</v>
      </c>
      <c r="C1425" s="2" t="str">
        <f t="shared" si="125"/>
        <v>FATUR-SUS</v>
      </c>
      <c r="D1425" s="2" t="str">
        <f t="shared" si="126"/>
        <v>FFAS</v>
      </c>
      <c r="E1425" s="2" t="str">
        <f>"RELATÓRIO DE ATENDIMENTOS SUS - APAC"</f>
        <v>RELATÓRIO DE ATENDIMENTOS SUS - APAC</v>
      </c>
      <c r="F1425" s="2" t="str">
        <f>"R_ATENDIME_SUS_APAC"</f>
        <v>R_ATENDIME_SUS_APAC</v>
      </c>
      <c r="G1425" s="2" t="str">
        <f>"Faturamento / Faturamento Ambulatorial SUS (BPA e APAC) / Relatórios / Gerenciais / Relatório de Coordenadoria / Atendimentos SUS - APAC (R_ATENDIME_SUS_APAC)"</f>
        <v>Faturamento / Faturamento Ambulatorial SUS (BPA e APAC) / Relatórios / Gerenciais / Relatório de Coordenadoria / Atendimentos SUS - APAC (R_ATENDIME_SUS_APAC)</v>
      </c>
    </row>
    <row r="1426" spans="1:7" x14ac:dyDescent="0.3">
      <c r="A1426" s="1" t="s">
        <v>4</v>
      </c>
      <c r="B1426" s="2" t="str">
        <f t="shared" si="124"/>
        <v>SISTEMA FATURAMENTO AMBULATORIO SUS</v>
      </c>
      <c r="C1426" s="2" t="str">
        <f t="shared" si="125"/>
        <v>FATUR-SUS</v>
      </c>
      <c r="D1426" s="2" t="str">
        <f t="shared" si="126"/>
        <v>FFAS</v>
      </c>
      <c r="E1426" s="2" t="str">
        <f>"CADASTRO: FINANCIAMENTOS"</f>
        <v>CADASTRO: FINANCIAMENTOS</v>
      </c>
      <c r="F1426" s="2" t="str">
        <f>"M_CAD_FINANC"</f>
        <v>M_CAD_FINANC</v>
      </c>
      <c r="G1426" s="2" t="str">
        <f>" ()"</f>
        <v xml:space="preserve"> ()</v>
      </c>
    </row>
    <row r="1427" spans="1:7" x14ac:dyDescent="0.3">
      <c r="A1427" s="1" t="s">
        <v>4</v>
      </c>
      <c r="B1427" s="2" t="str">
        <f t="shared" si="124"/>
        <v>SISTEMA FATURAMENTO AMBULATORIO SUS</v>
      </c>
      <c r="C1427" s="2" t="str">
        <f t="shared" si="125"/>
        <v>FATUR-SUS</v>
      </c>
      <c r="D1427" s="2" t="str">
        <f t="shared" si="126"/>
        <v>FFAS</v>
      </c>
      <c r="E1427" s="2" t="str">
        <f>"RELATÓRIO DE CAPA DE LOTE"</f>
        <v>RELATÓRIO DE CAPA DE LOTE</v>
      </c>
      <c r="F1427" s="2" t="str">
        <f>"R_CAPA_LOTE"</f>
        <v>R_CAPA_LOTE</v>
      </c>
      <c r="G1427" s="2" t="str">
        <f>"Faturamento / Faturamento Ambulatorial SUS (BPA e APAC) / Relatórios / Operacionais / Emissão de Capas de Lote (R_CAPA_LOTE)"</f>
        <v>Faturamento / Faturamento Ambulatorial SUS (BPA e APAC) / Relatórios / Operacionais / Emissão de Capas de Lote (R_CAPA_LOTE)</v>
      </c>
    </row>
    <row r="1428" spans="1:7" x14ac:dyDescent="0.3">
      <c r="A1428" s="1" t="s">
        <v>4</v>
      </c>
      <c r="B1428" s="2" t="str">
        <f t="shared" ref="B1428:B1491" si="129">"SISTEMA FATURAMENTO AMBULATORIO SUS"</f>
        <v>SISTEMA FATURAMENTO AMBULATORIO SUS</v>
      </c>
      <c r="C1428" s="2" t="str">
        <f t="shared" ref="C1428:C1491" si="130">"FATUR-SUS"</f>
        <v>FATUR-SUS</v>
      </c>
      <c r="D1428" s="2" t="str">
        <f t="shared" ref="D1428:D1491" si="131">"FFAS"</f>
        <v>FFAS</v>
      </c>
      <c r="E1428" s="2" t="str">
        <f>"RELATORIO DE INCONSISTENCIA  DADOS APAC"</f>
        <v>RELATORIO DE INCONSISTENCIA  DADOS APAC</v>
      </c>
      <c r="F1428" s="2" t="str">
        <f>"R_INCONSISTENCIA_APAC"</f>
        <v>R_INCONSISTENCIA_APAC</v>
      </c>
      <c r="G1428" s="2" t="str">
        <f>" ()"</f>
        <v xml:space="preserve"> ()</v>
      </c>
    </row>
    <row r="1429" spans="1:7" x14ac:dyDescent="0.3">
      <c r="A1429" s="1" t="s">
        <v>4</v>
      </c>
      <c r="B1429" s="2" t="str">
        <f t="shared" si="129"/>
        <v>SISTEMA FATURAMENTO AMBULATORIO SUS</v>
      </c>
      <c r="C1429" s="2" t="str">
        <f t="shared" si="130"/>
        <v>FATUR-SUS</v>
      </c>
      <c r="D1429" s="2" t="str">
        <f t="shared" si="131"/>
        <v>FFAS</v>
      </c>
      <c r="E1429" s="2" t="str">
        <f>"LISTAGEM DE APAC DIGITADAS"</f>
        <v>LISTAGEM DE APAC DIGITADAS</v>
      </c>
      <c r="F1429" s="2" t="str">
        <f>"R_LISTA_APAC"</f>
        <v>R_LISTA_APAC</v>
      </c>
      <c r="G1429" s="2" t="str">
        <f>"Faturamento / Faturamento Ambulatorial SUS (BPA e APAC) / Relatórios / APAC / Listagem de APAC's Digitadas (R_LISTA_APAC)"</f>
        <v>Faturamento / Faturamento Ambulatorial SUS (BPA e APAC) / Relatórios / APAC / Listagem de APAC's Digitadas (R_LISTA_APAC)</v>
      </c>
    </row>
    <row r="1430" spans="1:7" x14ac:dyDescent="0.3">
      <c r="A1430" s="1" t="s">
        <v>4</v>
      </c>
      <c r="B1430" s="2" t="str">
        <f t="shared" si="129"/>
        <v>SISTEMA FATURAMENTO AMBULATORIO SUS</v>
      </c>
      <c r="C1430" s="2" t="str">
        <f t="shared" si="130"/>
        <v>FATUR-SUS</v>
      </c>
      <c r="D1430" s="2" t="str">
        <f t="shared" si="131"/>
        <v>FFAS</v>
      </c>
      <c r="E1430" s="2" t="str">
        <f>"RELATORIO DE PROCEDIMENTOS SMS"</f>
        <v>RELATORIO DE PROCEDIMENTOS SMS</v>
      </c>
      <c r="F1430" s="2" t="str">
        <f>"R_PROC_SMS"</f>
        <v>R_PROC_SMS</v>
      </c>
      <c r="G1430" s="2" t="str">
        <f>" ()"</f>
        <v xml:space="preserve"> ()</v>
      </c>
    </row>
    <row r="1431" spans="1:7" x14ac:dyDescent="0.3">
      <c r="A1431" s="1" t="s">
        <v>4</v>
      </c>
      <c r="B1431" s="2" t="str">
        <f t="shared" si="129"/>
        <v>SISTEMA FATURAMENTO AMBULATORIO SUS</v>
      </c>
      <c r="C1431" s="2" t="str">
        <f t="shared" si="130"/>
        <v>FATUR-SUS</v>
      </c>
      <c r="D1431" s="2" t="str">
        <f t="shared" si="131"/>
        <v>FFAS</v>
      </c>
      <c r="E1431" s="2" t="str">
        <f>"CADASTRO: FATURAS APAC DO SIA-SUS"</f>
        <v>CADASTRO: FATURAS APAC DO SIA-SUS</v>
      </c>
      <c r="F1431" s="2" t="str">
        <f>"M_FATURA_APAC"</f>
        <v>M_FATURA_APAC</v>
      </c>
      <c r="G1431" s="2" t="str">
        <f>"Faturamento / Faturamento Ambulatorial SUS (BPA e APAC) / Faturamento / Abertura / Fatura e Remessa APAC (M_FATURA_APAC)"</f>
        <v>Faturamento / Faturamento Ambulatorial SUS (BPA e APAC) / Faturamento / Abertura / Fatura e Remessa APAC (M_FATURA_APAC)</v>
      </c>
    </row>
    <row r="1432" spans="1:7" x14ac:dyDescent="0.3">
      <c r="A1432" s="1" t="s">
        <v>4</v>
      </c>
      <c r="B1432" s="2" t="str">
        <f t="shared" si="129"/>
        <v>SISTEMA FATURAMENTO AMBULATORIO SUS</v>
      </c>
      <c r="C1432" s="2" t="str">
        <f t="shared" si="130"/>
        <v>FATUR-SUS</v>
      </c>
      <c r="D1432" s="2" t="str">
        <f t="shared" si="131"/>
        <v>FFAS</v>
      </c>
      <c r="E1432" s="2" t="str">
        <f>"R_INTERV_CONS_TRAT"</f>
        <v>R_INTERV_CONS_TRAT</v>
      </c>
      <c r="F1432" s="2" t="str">
        <f>"R_INTERV_CONS_TRAT"</f>
        <v>R_INTERV_CONS_TRAT</v>
      </c>
      <c r="G1432" s="2" t="str">
        <f>"Faturamento / Faturamento Ambulatorial SUS (BPA e APAC) / Relatórios / APAC / Intervalo entre Consulta e Tratamento (R_INTERV_CONS_TRAT)"</f>
        <v>Faturamento / Faturamento Ambulatorial SUS (BPA e APAC) / Relatórios / APAC / Intervalo entre Consulta e Tratamento (R_INTERV_CONS_TRAT)</v>
      </c>
    </row>
    <row r="1433" spans="1:7" x14ac:dyDescent="0.3">
      <c r="A1433" s="1" t="s">
        <v>4</v>
      </c>
      <c r="B1433" s="2" t="str">
        <f t="shared" si="129"/>
        <v>SISTEMA FATURAMENTO AMBULATORIO SUS</v>
      </c>
      <c r="C1433" s="2" t="str">
        <f t="shared" si="130"/>
        <v>FATUR-SUS</v>
      </c>
      <c r="D1433" s="2" t="str">
        <f t="shared" si="131"/>
        <v>FFAS</v>
      </c>
      <c r="E1433" s="2" t="str">
        <f>"RELATORIO DE FICHAS DE FREQUENCIAS"</f>
        <v>RELATORIO DE FICHAS DE FREQUENCIAS</v>
      </c>
      <c r="F1433" s="2" t="str">
        <f>"R_FICHA_FREQUENCIA"</f>
        <v>R_FICHA_FREQUENCIA</v>
      </c>
      <c r="G1433" s="2" t="str">
        <f>"Faturamento / Faturamento Ambulatorial SUS (BPA e APAC) / Relatórios / APAC / Ficha de Frequencia (R_FICHA_FREQUENCIA)"</f>
        <v>Faturamento / Faturamento Ambulatorial SUS (BPA e APAC) / Relatórios / APAC / Ficha de Frequencia (R_FICHA_FREQUENCIA)</v>
      </c>
    </row>
    <row r="1434" spans="1:7" x14ac:dyDescent="0.3">
      <c r="A1434" s="1" t="s">
        <v>4</v>
      </c>
      <c r="B1434" s="2" t="str">
        <f t="shared" si="129"/>
        <v>SISTEMA FATURAMENTO AMBULATORIO SUS</v>
      </c>
      <c r="C1434" s="2" t="str">
        <f t="shared" si="130"/>
        <v>FATUR-SUS</v>
      </c>
      <c r="D1434" s="2" t="str">
        <f t="shared" si="131"/>
        <v>FFAS</v>
      </c>
      <c r="E1434" s="2" t="str">
        <f>"WIN_PRINCIPAL"</f>
        <v>WIN_PRINCIPAL</v>
      </c>
      <c r="F1434" s="2" t="str">
        <f>"M_GRAU_HISTOPATOLOGICO"</f>
        <v>M_GRAU_HISTOPATOLOGICO</v>
      </c>
      <c r="G1434" s="2" t="str">
        <f>"Faturamento / Faturamento Ambulatorial SUS (BPA e APAC) / Tabelas / APAC / Grau Histopatológico (M_GRAU_HISTOPATOLOGICO)"</f>
        <v>Faturamento / Faturamento Ambulatorial SUS (BPA e APAC) / Tabelas / APAC / Grau Histopatológico (M_GRAU_HISTOPATOLOGICO)</v>
      </c>
    </row>
    <row r="1435" spans="1:7" x14ac:dyDescent="0.3">
      <c r="A1435" s="1" t="s">
        <v>4</v>
      </c>
      <c r="B1435" s="2" t="str">
        <f t="shared" si="129"/>
        <v>SISTEMA FATURAMENTO AMBULATORIO SUS</v>
      </c>
      <c r="C1435" s="2" t="str">
        <f t="shared" si="130"/>
        <v>FATUR-SUS</v>
      </c>
      <c r="D1435" s="2" t="str">
        <f t="shared" si="131"/>
        <v>FFAS</v>
      </c>
      <c r="E1435" s="2" t="str">
        <f>"WIN_PRINCIPAL"</f>
        <v>WIN_PRINCIPAL</v>
      </c>
      <c r="F1435" s="2" t="str">
        <f>"M_METASTASE"</f>
        <v>M_METASTASE</v>
      </c>
      <c r="G1435" s="2" t="str">
        <f>"Faturamento / Faturamento Ambulatorial SUS (BPA e APAC) / Tabelas / APAC / Metastase (M_METASTASE)"</f>
        <v>Faturamento / Faturamento Ambulatorial SUS (BPA e APAC) / Tabelas / APAC / Metastase (M_METASTASE)</v>
      </c>
    </row>
    <row r="1436" spans="1:7" x14ac:dyDescent="0.3">
      <c r="A1436" s="1" t="s">
        <v>4</v>
      </c>
      <c r="B1436" s="2" t="str">
        <f t="shared" si="129"/>
        <v>SISTEMA FATURAMENTO AMBULATORIO SUS</v>
      </c>
      <c r="C1436" s="2" t="str">
        <f t="shared" si="130"/>
        <v>FATUR-SUS</v>
      </c>
      <c r="D1436" s="2" t="str">
        <f t="shared" si="131"/>
        <v>FFAS</v>
      </c>
      <c r="E1436" s="2" t="str">
        <f>"CADASTRO: ÁREAS IRRADIADAS"</f>
        <v>CADASTRO: ÁREAS IRRADIADAS</v>
      </c>
      <c r="F1436" s="2" t="str">
        <f>"M_REGIAO_ANATOMICA"</f>
        <v>M_REGIAO_ANATOMICA</v>
      </c>
      <c r="G1436" s="2" t="str">
        <f>"Faturamento / Faturamento Ambulatorial SUS (BPA e APAC) / Tabelas / APAC / Região Anatômica (M_REGIAO_ANATOMICA)"</f>
        <v>Faturamento / Faturamento Ambulatorial SUS (BPA e APAC) / Tabelas / APAC / Região Anatômica (M_REGIAO_ANATOMICA)</v>
      </c>
    </row>
    <row r="1437" spans="1:7" x14ac:dyDescent="0.3">
      <c r="A1437" s="1" t="s">
        <v>4</v>
      </c>
      <c r="B1437" s="2" t="str">
        <f t="shared" si="129"/>
        <v>SISTEMA FATURAMENTO AMBULATORIO SUS</v>
      </c>
      <c r="C1437" s="2" t="str">
        <f t="shared" si="130"/>
        <v>FATUR-SUS</v>
      </c>
      <c r="D1437" s="2" t="str">
        <f t="shared" si="131"/>
        <v>FFAS</v>
      </c>
      <c r="E1437" s="2" t="str">
        <f>"WIN_PRINCIPAL - HOSPITAL MV SISTEMAS"</f>
        <v>WIN_PRINCIPAL - HOSPITAL MV SISTEMAS</v>
      </c>
      <c r="F1437" s="2" t="str">
        <f>"M_PREENCHER_APAC_PENDENTE"</f>
        <v>M_PREENCHER_APAC_PENDENTE</v>
      </c>
      <c r="G1437" s="2" t="str">
        <f>" ()"</f>
        <v xml:space="preserve"> ()</v>
      </c>
    </row>
    <row r="1438" spans="1:7" x14ac:dyDescent="0.3">
      <c r="A1438" s="1" t="s">
        <v>4</v>
      </c>
      <c r="B1438" s="2" t="str">
        <f t="shared" si="129"/>
        <v>SISTEMA FATURAMENTO AMBULATORIO SUS</v>
      </c>
      <c r="C1438" s="2" t="str">
        <f t="shared" si="130"/>
        <v>FATUR-SUS</v>
      </c>
      <c r="D1438" s="2" t="str">
        <f t="shared" si="131"/>
        <v>FFAS</v>
      </c>
      <c r="E1438" s="2" t="str">
        <f>"R_RELACAO_LAUDO_APAC"</f>
        <v>R_RELACAO_LAUDO_APAC</v>
      </c>
      <c r="F1438" s="2" t="str">
        <f>"R_RELACAO_LAUDO_APAC"</f>
        <v>R_RELACAO_LAUDO_APAC</v>
      </c>
      <c r="G1438" s="2" t="str">
        <f>"Faturamento / Faturamento Ambulatorial SUS (BPA e APAC) / Relatórios / APAC / Rel. de Laudos APAC Encaminhados à Secretaria (R_RELACAO_LAUDO_APAC)"</f>
        <v>Faturamento / Faturamento Ambulatorial SUS (BPA e APAC) / Relatórios / APAC / Rel. de Laudos APAC Encaminhados à Secretaria (R_RELACAO_LAUDO_APAC)</v>
      </c>
    </row>
    <row r="1439" spans="1:7" x14ac:dyDescent="0.3">
      <c r="A1439" s="1" t="s">
        <v>4</v>
      </c>
      <c r="B1439" s="2" t="str">
        <f t="shared" si="129"/>
        <v>SISTEMA FATURAMENTO AMBULATORIO SUS</v>
      </c>
      <c r="C1439" s="2" t="str">
        <f t="shared" si="130"/>
        <v>FATUR-SUS</v>
      </c>
      <c r="D1439" s="2" t="str">
        <f t="shared" si="131"/>
        <v>FFAS</v>
      </c>
      <c r="E1439" s="2" t="str">
        <f>"CADASTRO: TIPOS DE ATENDIMENTO"</f>
        <v>CADASTRO: TIPOS DE ATENDIMENTO</v>
      </c>
      <c r="F1439" s="2" t="str">
        <f>"M_TIPO_TRATAMENTO_APAC"</f>
        <v>M_TIPO_TRATAMENTO_APAC</v>
      </c>
      <c r="G1439" s="2" t="str">
        <f>"Faturamento / Faturamento Ambulatorial SUS (BPA e APAC) / Tabelas / APAC / Tipos de Tratamento APAC (M_TIPO_TRATAMENTO_APAC)"</f>
        <v>Faturamento / Faturamento Ambulatorial SUS (BPA e APAC) / Tabelas / APAC / Tipos de Tratamento APAC (M_TIPO_TRATAMENTO_APAC)</v>
      </c>
    </row>
    <row r="1440" spans="1:7" x14ac:dyDescent="0.3">
      <c r="A1440" s="1" t="s">
        <v>4</v>
      </c>
      <c r="B1440" s="2" t="str">
        <f t="shared" si="129"/>
        <v>SISTEMA FATURAMENTO AMBULATORIO SUS</v>
      </c>
      <c r="C1440" s="2" t="str">
        <f t="shared" si="130"/>
        <v>FATUR-SUS</v>
      </c>
      <c r="D1440" s="2" t="str">
        <f t="shared" si="131"/>
        <v>FFAS</v>
      </c>
      <c r="E1440" s="2" t="str">
        <f>"O_GERA_POR_APAC"</f>
        <v>O_GERA_POR_APAC</v>
      </c>
      <c r="F1440" s="2" t="str">
        <f>"O_GERA_POR_APAC"</f>
        <v>O_GERA_POR_APAC</v>
      </c>
      <c r="G1440" s="2" t="str">
        <f t="shared" ref="G1440:G1445" si="132">" ()"</f>
        <v xml:space="preserve"> ()</v>
      </c>
    </row>
    <row r="1441" spans="1:7" x14ac:dyDescent="0.3">
      <c r="A1441" s="1" t="s">
        <v>4</v>
      </c>
      <c r="B1441" s="2" t="str">
        <f t="shared" si="129"/>
        <v>SISTEMA FATURAMENTO AMBULATORIO SUS</v>
      </c>
      <c r="C1441" s="2" t="str">
        <f t="shared" si="130"/>
        <v>FATUR-SUS</v>
      </c>
      <c r="D1441" s="2" t="str">
        <f t="shared" si="131"/>
        <v>FFAS</v>
      </c>
      <c r="E1441" s="2" t="str">
        <f>"RELATORIO CONTROLE DE REMESSA - BPA"</f>
        <v>RELATORIO CONTROLE DE REMESSA - BPA</v>
      </c>
      <c r="F1441" s="2" t="str">
        <f>"R_RCR"</f>
        <v>R_RCR</v>
      </c>
      <c r="G1441" s="2" t="str">
        <f t="shared" si="132"/>
        <v xml:space="preserve"> ()</v>
      </c>
    </row>
    <row r="1442" spans="1:7" x14ac:dyDescent="0.3">
      <c r="A1442" s="1" t="s">
        <v>4</v>
      </c>
      <c r="B1442" s="2" t="str">
        <f t="shared" si="129"/>
        <v>SISTEMA FATURAMENTO AMBULATORIO SUS</v>
      </c>
      <c r="C1442" s="2" t="str">
        <f t="shared" si="130"/>
        <v>FATUR-SUS</v>
      </c>
      <c r="D1442" s="2" t="str">
        <f t="shared" si="131"/>
        <v>FFAS</v>
      </c>
      <c r="E1442" s="2" t="str">
        <f>"RELATORIO DE ENTREGA DA REMESSA APAC"</f>
        <v>RELATORIO DE ENTREGA DA REMESSA APAC</v>
      </c>
      <c r="F1442" s="2" t="str">
        <f>"R_ENTREGA_APAC"</f>
        <v>R_ENTREGA_APAC</v>
      </c>
      <c r="G1442" s="2" t="str">
        <f t="shared" si="132"/>
        <v xml:space="preserve"> ()</v>
      </c>
    </row>
    <row r="1443" spans="1:7" x14ac:dyDescent="0.3">
      <c r="A1443" s="1" t="s">
        <v>4</v>
      </c>
      <c r="B1443" s="2" t="str">
        <f t="shared" si="129"/>
        <v>SISTEMA FATURAMENTO AMBULATORIO SUS</v>
      </c>
      <c r="C1443" s="2" t="str">
        <f t="shared" si="130"/>
        <v>FATUR-SUS</v>
      </c>
      <c r="D1443" s="2" t="str">
        <f t="shared" si="131"/>
        <v>FFAS</v>
      </c>
      <c r="E1443" s="2" t="str">
        <f>"LAUDO EMISSÃO DE APAC - PATOLOGIA CLINIC"</f>
        <v>LAUDO EMISSÃO DE APAC - PATOLOGIA CLINIC</v>
      </c>
      <c r="F1443" s="2" t="str">
        <f>"R_LAUDO_APAC_TIPO11"</f>
        <v>R_LAUDO_APAC_TIPO11</v>
      </c>
      <c r="G1443" s="2" t="str">
        <f t="shared" si="132"/>
        <v xml:space="preserve"> ()</v>
      </c>
    </row>
    <row r="1444" spans="1:7" x14ac:dyDescent="0.3">
      <c r="A1444" s="1" t="s">
        <v>4</v>
      </c>
      <c r="B1444" s="2" t="str">
        <f t="shared" si="129"/>
        <v>SISTEMA FATURAMENTO AMBULATORIO SUS</v>
      </c>
      <c r="C1444" s="2" t="str">
        <f t="shared" si="130"/>
        <v>FATUR-SUS</v>
      </c>
      <c r="D1444" s="2" t="str">
        <f t="shared" si="131"/>
        <v>FFAS</v>
      </c>
      <c r="E1444" s="2" t="str">
        <f>"FICHA DE FPO"</f>
        <v>FICHA DE FPO</v>
      </c>
      <c r="F1444" s="2" t="str">
        <f>"R_FICHA_ORCAMENTARIA"</f>
        <v>R_FICHA_ORCAMENTARIA</v>
      </c>
      <c r="G1444" s="2" t="str">
        <f t="shared" si="132"/>
        <v xml:space="preserve"> ()</v>
      </c>
    </row>
    <row r="1445" spans="1:7" x14ac:dyDescent="0.3">
      <c r="A1445" s="1" t="s">
        <v>4</v>
      </c>
      <c r="B1445" s="2" t="str">
        <f t="shared" si="129"/>
        <v>SISTEMA FATURAMENTO AMBULATORIO SUS</v>
      </c>
      <c r="C1445" s="2" t="str">
        <f t="shared" si="130"/>
        <v>FATUR-SUS</v>
      </c>
      <c r="D1445" s="2" t="str">
        <f t="shared" si="131"/>
        <v>FFAS</v>
      </c>
      <c r="E1445" s="2" t="str">
        <f>"WIN_PRINCIPAL"</f>
        <v>WIN_PRINCIPAL</v>
      </c>
      <c r="F1445" s="2" t="str">
        <f>"M_TETORC_SUBGRU_SSM"</f>
        <v>M_TETORC_SUBGRU_SSM</v>
      </c>
      <c r="G1445" s="2" t="str">
        <f t="shared" si="132"/>
        <v xml:space="preserve"> ()</v>
      </c>
    </row>
    <row r="1446" spans="1:7" x14ac:dyDescent="0.3">
      <c r="A1446" s="1" t="s">
        <v>4</v>
      </c>
      <c r="B1446" s="2" t="str">
        <f t="shared" si="129"/>
        <v>SISTEMA FATURAMENTO AMBULATORIO SUS</v>
      </c>
      <c r="C1446" s="2" t="str">
        <f t="shared" si="130"/>
        <v>FATUR-SUS</v>
      </c>
      <c r="D1446" s="2" t="str">
        <f t="shared" si="131"/>
        <v>FFAS</v>
      </c>
      <c r="E1446" s="2" t="str">
        <f>"CONFIGURAÇÃO: DADOS DO HOSPITAL"</f>
        <v>CONFIGURAÇÃO: DADOS DO HOSPITAL</v>
      </c>
      <c r="F1446" s="2" t="str">
        <f>"M_CONFIG_FFAS"</f>
        <v>M_CONFIG_FFAS</v>
      </c>
      <c r="G1446" s="2" t="str">
        <f>"Faturamento / Faturamento Ambulatorial SUS (BPA e APAC) / Configurações / Parâmetros (M_CONFIG_FFAS)"</f>
        <v>Faturamento / Faturamento Ambulatorial SUS (BPA e APAC) / Configurações / Parâmetros (M_CONFIG_FFAS)</v>
      </c>
    </row>
    <row r="1447" spans="1:7" x14ac:dyDescent="0.3">
      <c r="A1447" s="1" t="s">
        <v>4</v>
      </c>
      <c r="B1447" s="2" t="str">
        <f t="shared" si="129"/>
        <v>SISTEMA FATURAMENTO AMBULATORIO SUS</v>
      </c>
      <c r="C1447" s="2" t="str">
        <f t="shared" si="130"/>
        <v>FATUR-SUS</v>
      </c>
      <c r="D1447" s="2" t="str">
        <f t="shared" si="131"/>
        <v>FFAS</v>
      </c>
      <c r="E1447" s="2" t="str">
        <f>"M_APAC_LAUDO"</f>
        <v>M_APAC_LAUDO</v>
      </c>
      <c r="F1447" s="2" t="str">
        <f>"M_APAC_LAUDO"</f>
        <v>M_APAC_LAUDO</v>
      </c>
      <c r="G1447" s="2" t="str">
        <f t="shared" ref="G1447:G1459" si="133">" ()"</f>
        <v xml:space="preserve"> ()</v>
      </c>
    </row>
    <row r="1448" spans="1:7" x14ac:dyDescent="0.3">
      <c r="A1448" s="1" t="s">
        <v>4</v>
      </c>
      <c r="B1448" s="2" t="str">
        <f t="shared" si="129"/>
        <v>SISTEMA FATURAMENTO AMBULATORIO SUS</v>
      </c>
      <c r="C1448" s="2" t="str">
        <f t="shared" si="130"/>
        <v>FATUR-SUS</v>
      </c>
      <c r="D1448" s="2" t="str">
        <f t="shared" si="131"/>
        <v>FFAS</v>
      </c>
      <c r="E1448" s="2" t="str">
        <f>"RELATÓRIO DE MAPA MENSAL PAB"</f>
        <v>RELATÓRIO DE MAPA MENSAL PAB</v>
      </c>
      <c r="F1448" s="2" t="str">
        <f>"R_MAPA_MENSAL_PAB"</f>
        <v>R_MAPA_MENSAL_PAB</v>
      </c>
      <c r="G1448" s="2" t="str">
        <f t="shared" si="133"/>
        <v xml:space="preserve"> ()</v>
      </c>
    </row>
    <row r="1449" spans="1:7" x14ac:dyDescent="0.3">
      <c r="A1449" s="1" t="s">
        <v>4</v>
      </c>
      <c r="B1449" s="2" t="str">
        <f t="shared" si="129"/>
        <v>SISTEMA FATURAMENTO AMBULATORIO SUS</v>
      </c>
      <c r="C1449" s="2" t="str">
        <f t="shared" si="130"/>
        <v>FATUR-SUS</v>
      </c>
      <c r="D1449" s="2" t="str">
        <f t="shared" si="131"/>
        <v>FFAS</v>
      </c>
      <c r="E1449" s="2" t="str">
        <f>"TRG EXCLUI AUT. DO FFAS EXAMES"</f>
        <v>TRG EXCLUI AUT. DO FFAS EXAMES</v>
      </c>
      <c r="F1449" s="2" t="str">
        <f>"TRG_LANCA_PSDI_FFAS_EXC"</f>
        <v>TRG_LANCA_PSDI_FFAS_EXC</v>
      </c>
      <c r="G1449" s="2" t="str">
        <f t="shared" si="133"/>
        <v xml:space="preserve"> ()</v>
      </c>
    </row>
    <row r="1450" spans="1:7" x14ac:dyDescent="0.3">
      <c r="A1450" s="1" t="s">
        <v>4</v>
      </c>
      <c r="B1450" s="2" t="str">
        <f t="shared" si="129"/>
        <v>SISTEMA FATURAMENTO AMBULATORIO SUS</v>
      </c>
      <c r="C1450" s="2" t="str">
        <f t="shared" si="130"/>
        <v>FATUR-SUS</v>
      </c>
      <c r="D1450" s="2" t="str">
        <f t="shared" si="131"/>
        <v>FFAS</v>
      </c>
      <c r="E1450" s="2" t="str">
        <f>"TRG DE LCTO AUT. DO PSDI PARA O FFAS PED"</f>
        <v>TRG DE LCTO AUT. DO PSDI PARA O FFAS PED</v>
      </c>
      <c r="F1450" s="2" t="str">
        <f>"TRG_LANCA_PSDI_FFAS_PED"</f>
        <v>TRG_LANCA_PSDI_FFAS_PED</v>
      </c>
      <c r="G1450" s="2" t="str">
        <f t="shared" si="133"/>
        <v xml:space="preserve"> ()</v>
      </c>
    </row>
    <row r="1451" spans="1:7" x14ac:dyDescent="0.3">
      <c r="A1451" s="1" t="s">
        <v>4</v>
      </c>
      <c r="B1451" s="2" t="str">
        <f t="shared" si="129"/>
        <v>SISTEMA FATURAMENTO AMBULATORIO SUS</v>
      </c>
      <c r="C1451" s="2" t="str">
        <f t="shared" si="130"/>
        <v>FATUR-SUS</v>
      </c>
      <c r="D1451" s="2" t="str">
        <f t="shared" si="131"/>
        <v>FFAS</v>
      </c>
      <c r="E1451" s="2" t="str">
        <f>"TRG. EXCLUI EXAMES PSSD DO FFAS"</f>
        <v>TRG. EXCLUI EXAMES PSSD DO FFAS</v>
      </c>
      <c r="F1451" s="2" t="str">
        <f>"TRG_LANCA_PSSD_FFAS_EXC"</f>
        <v>TRG_LANCA_PSSD_FFAS_EXC</v>
      </c>
      <c r="G1451" s="2" t="str">
        <f t="shared" si="133"/>
        <v xml:space="preserve"> ()</v>
      </c>
    </row>
    <row r="1452" spans="1:7" x14ac:dyDescent="0.3">
      <c r="A1452" s="1" t="s">
        <v>4</v>
      </c>
      <c r="B1452" s="2" t="str">
        <f t="shared" si="129"/>
        <v>SISTEMA FATURAMENTO AMBULATORIO SUS</v>
      </c>
      <c r="C1452" s="2" t="str">
        <f t="shared" si="130"/>
        <v>FATUR-SUS</v>
      </c>
      <c r="D1452" s="2" t="str">
        <f t="shared" si="131"/>
        <v>FFAS</v>
      </c>
      <c r="E1452" s="2" t="str">
        <f>"FAIXAS ETÁRIAS"</f>
        <v>FAIXAS ETÁRIAS</v>
      </c>
      <c r="F1452" s="2" t="str">
        <f>"M_LANCA_APAC"</f>
        <v>M_LANCA_APAC</v>
      </c>
      <c r="G1452" s="2" t="str">
        <f t="shared" si="133"/>
        <v xml:space="preserve"> ()</v>
      </c>
    </row>
    <row r="1453" spans="1:7" x14ac:dyDescent="0.3">
      <c r="A1453" s="1" t="s">
        <v>4</v>
      </c>
      <c r="B1453" s="2" t="str">
        <f t="shared" si="129"/>
        <v>SISTEMA FATURAMENTO AMBULATORIO SUS</v>
      </c>
      <c r="C1453" s="2" t="str">
        <f t="shared" si="130"/>
        <v>FATUR-SUS</v>
      </c>
      <c r="D1453" s="2" t="str">
        <f t="shared" si="131"/>
        <v>FFAS</v>
      </c>
      <c r="E1453" s="2" t="str">
        <f>"LAUDO EMISSÃO APAC - PÓS - TRANSPLANTE"</f>
        <v>LAUDO EMISSÃO APAC - PÓS - TRANSPLANTE</v>
      </c>
      <c r="F1453" s="2" t="str">
        <f>"R_LAUDO_APAC_TIPO38"</f>
        <v>R_LAUDO_APAC_TIPO38</v>
      </c>
      <c r="G1453" s="2" t="str">
        <f t="shared" si="133"/>
        <v xml:space="preserve"> ()</v>
      </c>
    </row>
    <row r="1454" spans="1:7" x14ac:dyDescent="0.3">
      <c r="A1454" s="1" t="s">
        <v>4</v>
      </c>
      <c r="B1454" s="2" t="str">
        <f t="shared" si="129"/>
        <v>SISTEMA FATURAMENTO AMBULATORIO SUS</v>
      </c>
      <c r="C1454" s="2" t="str">
        <f t="shared" si="130"/>
        <v>FATUR-SUS</v>
      </c>
      <c r="D1454" s="2" t="str">
        <f t="shared" si="131"/>
        <v>FFAS</v>
      </c>
      <c r="E1454" s="2" t="str">
        <f>"LAUDO EMISSÃO APAC - QUIMIOTERAPIA"</f>
        <v>LAUDO EMISSÃO APAC - QUIMIOTERAPIA</v>
      </c>
      <c r="F1454" s="2" t="str">
        <f>"R_LAUDO_APAC_TIPO29"</f>
        <v>R_LAUDO_APAC_TIPO29</v>
      </c>
      <c r="G1454" s="2" t="str">
        <f t="shared" si="133"/>
        <v xml:space="preserve"> ()</v>
      </c>
    </row>
    <row r="1455" spans="1:7" x14ac:dyDescent="0.3">
      <c r="A1455" s="1" t="s">
        <v>4</v>
      </c>
      <c r="B1455" s="2" t="str">
        <f t="shared" si="129"/>
        <v>SISTEMA FATURAMENTO AMBULATORIO SUS</v>
      </c>
      <c r="C1455" s="2" t="str">
        <f t="shared" si="130"/>
        <v>FATUR-SUS</v>
      </c>
      <c r="D1455" s="2" t="str">
        <f t="shared" si="131"/>
        <v>FFAS</v>
      </c>
      <c r="E1455" s="2" t="str">
        <f>"LAUDO EMISSÃO DE APAC - RADIOTERAPIA"</f>
        <v>LAUDO EMISSÃO DE APAC - RADIOTERAPIA</v>
      </c>
      <c r="F1455" s="2" t="str">
        <f>"R_LAUDO_APAC_TIPO28"</f>
        <v>R_LAUDO_APAC_TIPO28</v>
      </c>
      <c r="G1455" s="2" t="str">
        <f t="shared" si="133"/>
        <v xml:space="preserve"> ()</v>
      </c>
    </row>
    <row r="1456" spans="1:7" x14ac:dyDescent="0.3">
      <c r="A1456" s="1" t="s">
        <v>4</v>
      </c>
      <c r="B1456" s="2" t="str">
        <f t="shared" si="129"/>
        <v>SISTEMA FATURAMENTO AMBULATORIO SUS</v>
      </c>
      <c r="C1456" s="2" t="str">
        <f t="shared" si="130"/>
        <v>FATUR-SUS</v>
      </c>
      <c r="D1456" s="2" t="str">
        <f t="shared" si="131"/>
        <v>FFAS</v>
      </c>
      <c r="E1456" s="2" t="str">
        <f>"LAUDO EMISSÃO DE APAC - TRS"</f>
        <v>LAUDO EMISSÃO DE APAC - TRS</v>
      </c>
      <c r="F1456" s="2" t="str">
        <f>"R_LAUDO_APAC_TIPO27"</f>
        <v>R_LAUDO_APAC_TIPO27</v>
      </c>
      <c r="G1456" s="2" t="str">
        <f t="shared" si="133"/>
        <v xml:space="preserve"> ()</v>
      </c>
    </row>
    <row r="1457" spans="1:7" x14ac:dyDescent="0.3">
      <c r="A1457" s="1" t="s">
        <v>4</v>
      </c>
      <c r="B1457" s="2" t="str">
        <f t="shared" si="129"/>
        <v>SISTEMA FATURAMENTO AMBULATORIO SUS</v>
      </c>
      <c r="C1457" s="2" t="str">
        <f t="shared" si="130"/>
        <v>FATUR-SUS</v>
      </c>
      <c r="D1457" s="2" t="str">
        <f t="shared" si="131"/>
        <v>FFAS</v>
      </c>
      <c r="E1457" s="2" t="str">
        <f>"TRG LANCA DO PSSD PARA A FFAS NO MOM PED"</f>
        <v>TRG LANCA DO PSSD PARA A FFAS NO MOM PED</v>
      </c>
      <c r="F1457" s="2" t="str">
        <f>"TRG_LANCA_PSSD_FFAS_PED"</f>
        <v>TRG_LANCA_PSSD_FFAS_PED</v>
      </c>
      <c r="G1457" s="2" t="str">
        <f t="shared" si="133"/>
        <v xml:space="preserve"> ()</v>
      </c>
    </row>
    <row r="1458" spans="1:7" x14ac:dyDescent="0.3">
      <c r="A1458" s="1" t="s">
        <v>4</v>
      </c>
      <c r="B1458" s="2" t="str">
        <f t="shared" si="129"/>
        <v>SISTEMA FATURAMENTO AMBULATORIO SUS</v>
      </c>
      <c r="C1458" s="2" t="str">
        <f t="shared" si="130"/>
        <v>FATUR-SUS</v>
      </c>
      <c r="D1458" s="2" t="str">
        <f t="shared" si="131"/>
        <v>FFAS</v>
      </c>
      <c r="E1458" s="2" t="str">
        <f>"CADASTRO DE REGRAS POR PROCEDIMENTOS"</f>
        <v>CADASTRO DE REGRAS POR PROCEDIMENTOS</v>
      </c>
      <c r="F1458" s="2" t="str">
        <f>"M_REGSSM"</f>
        <v>M_REGSSM</v>
      </c>
      <c r="G1458" s="2" t="str">
        <f t="shared" si="133"/>
        <v xml:space="preserve"> ()</v>
      </c>
    </row>
    <row r="1459" spans="1:7" x14ac:dyDescent="0.3">
      <c r="A1459" s="1" t="s">
        <v>4</v>
      </c>
      <c r="B1459" s="2" t="str">
        <f t="shared" si="129"/>
        <v>SISTEMA FATURAMENTO AMBULATORIO SUS</v>
      </c>
      <c r="C1459" s="2" t="str">
        <f t="shared" si="130"/>
        <v>FATUR-SUS</v>
      </c>
      <c r="D1459" s="2" t="str">
        <f t="shared" si="131"/>
        <v>FFAS</v>
      </c>
      <c r="E1459" s="2" t="str">
        <f>"CADASTRO CLASSIFICAÇÃO DO FATURAMENTO"</f>
        <v>CADASTRO CLASSIFICAÇÃO DO FATURAMENTO</v>
      </c>
      <c r="F1459" s="2" t="str">
        <f>"M_CLAFAT"</f>
        <v>M_CLAFAT</v>
      </c>
      <c r="G1459" s="2" t="str">
        <f t="shared" si="133"/>
        <v xml:space="preserve"> ()</v>
      </c>
    </row>
    <row r="1460" spans="1:7" x14ac:dyDescent="0.3">
      <c r="A1460" s="1" t="s">
        <v>4</v>
      </c>
      <c r="B1460" s="2" t="str">
        <f t="shared" si="129"/>
        <v>SISTEMA FATURAMENTO AMBULATORIO SUS</v>
      </c>
      <c r="C1460" s="2" t="str">
        <f t="shared" si="130"/>
        <v>FATUR-SUS</v>
      </c>
      <c r="D1460" s="2" t="str">
        <f t="shared" si="131"/>
        <v>FFAS</v>
      </c>
      <c r="E1460" s="2" t="str">
        <f>"MANUT.PRESTADORES X ESPECIALIDADES"</f>
        <v>MANUT.PRESTADORES X ESPECIALIDADES</v>
      </c>
      <c r="F1460" s="2" t="str">
        <f>"CAD_ESP"</f>
        <v>CAD_ESP</v>
      </c>
      <c r="G1460" s="2" t="str">
        <f>"Faturamento / Faturamento Ambulatorial SUS (BPA e APAC) / Tabelas / Prestadores / Prestador/Especialidades (CAD_ESP)"</f>
        <v>Faturamento / Faturamento Ambulatorial SUS (BPA e APAC) / Tabelas / Prestadores / Prestador/Especialidades (CAD_ESP)</v>
      </c>
    </row>
    <row r="1461" spans="1:7" x14ac:dyDescent="0.3">
      <c r="A1461" s="1" t="s">
        <v>4</v>
      </c>
      <c r="B1461" s="2" t="str">
        <f t="shared" si="129"/>
        <v>SISTEMA FATURAMENTO AMBULATORIO SUS</v>
      </c>
      <c r="C1461" s="2" t="str">
        <f t="shared" si="130"/>
        <v>FATUR-SUS</v>
      </c>
      <c r="D1461" s="2" t="str">
        <f t="shared" si="131"/>
        <v>FFAS</v>
      </c>
      <c r="E1461" s="2" t="str">
        <f>"CADASTRO DE REGRAS DE REPASSES"</f>
        <v>CADASTRO DE REGRAS DE REPASSES</v>
      </c>
      <c r="F1461" s="2" t="str">
        <f>"M_REGRAS"</f>
        <v>M_REGRAS</v>
      </c>
      <c r="G1461" s="2" t="str">
        <f>" ()"</f>
        <v xml:space="preserve"> ()</v>
      </c>
    </row>
    <row r="1462" spans="1:7" x14ac:dyDescent="0.3">
      <c r="A1462" s="1" t="s">
        <v>4</v>
      </c>
      <c r="B1462" s="2" t="str">
        <f t="shared" si="129"/>
        <v>SISTEMA FATURAMENTO AMBULATORIO SUS</v>
      </c>
      <c r="C1462" s="2" t="str">
        <f t="shared" si="130"/>
        <v>FATUR-SUS</v>
      </c>
      <c r="D1462" s="2" t="str">
        <f t="shared" si="131"/>
        <v>FFAS</v>
      </c>
      <c r="E1462" s="2" t="str">
        <f>"CADASTRO SERVIÇOS DE FATURAMENTO"</f>
        <v>CADASTRO SERVIÇOS DE FATURAMENTO</v>
      </c>
      <c r="F1462" s="2" t="str">
        <f>"M_SERFAT"</f>
        <v>M_SERFAT</v>
      </c>
      <c r="G1462" s="2" t="str">
        <f>" ()"</f>
        <v xml:space="preserve"> ()</v>
      </c>
    </row>
    <row r="1463" spans="1:7" x14ac:dyDescent="0.3">
      <c r="A1463" s="1" t="s">
        <v>4</v>
      </c>
      <c r="B1463" s="2" t="str">
        <f t="shared" si="129"/>
        <v>SISTEMA FATURAMENTO AMBULATORIO SUS</v>
      </c>
      <c r="C1463" s="2" t="str">
        <f t="shared" si="130"/>
        <v>FATUR-SUS</v>
      </c>
      <c r="D1463" s="2" t="str">
        <f t="shared" si="131"/>
        <v>FFAS</v>
      </c>
      <c r="E1463" s="2" t="str">
        <f>"CADASTRO DE TIPOS DE ATENDIMENTO"</f>
        <v>CADASTRO DE TIPOS DE ATENDIMENTO</v>
      </c>
      <c r="F1463" s="2" t="str">
        <f>"M_TIPATE"</f>
        <v>M_TIPATE</v>
      </c>
      <c r="G1463" s="2" t="str">
        <f>" ()"</f>
        <v xml:space="preserve"> ()</v>
      </c>
    </row>
    <row r="1464" spans="1:7" x14ac:dyDescent="0.3">
      <c r="A1464" s="1" t="s">
        <v>4</v>
      </c>
      <c r="B1464" s="2" t="str">
        <f t="shared" si="129"/>
        <v>SISTEMA FATURAMENTO AMBULATORIO SUS</v>
      </c>
      <c r="C1464" s="2" t="str">
        <f t="shared" si="130"/>
        <v>FATUR-SUS</v>
      </c>
      <c r="D1464" s="2" t="str">
        <f t="shared" si="131"/>
        <v>FFAS</v>
      </c>
      <c r="E1464" s="2" t="str">
        <f>"CADASTRO DE GRUPOS DE ATENDIMENTO"</f>
        <v>CADASTRO DE GRUPOS DE ATENDIMENTO</v>
      </c>
      <c r="F1464" s="2" t="str">
        <f>"M_GRUATE"</f>
        <v>M_GRUATE</v>
      </c>
      <c r="G1464" s="2" t="str">
        <f>" ()"</f>
        <v xml:space="preserve"> ()</v>
      </c>
    </row>
    <row r="1465" spans="1:7" x14ac:dyDescent="0.3">
      <c r="A1465" s="1" t="s">
        <v>4</v>
      </c>
      <c r="B1465" s="2" t="str">
        <f t="shared" si="129"/>
        <v>SISTEMA FATURAMENTO AMBULATORIO SUS</v>
      </c>
      <c r="C1465" s="2" t="str">
        <f t="shared" si="130"/>
        <v>FATUR-SUS</v>
      </c>
      <c r="D1465" s="2" t="str">
        <f t="shared" si="131"/>
        <v>FFAS</v>
      </c>
      <c r="E1465" s="2" t="str">
        <f>"R_INCONSISTENCIA_BPA'"</f>
        <v>R_INCONSISTENCIA_BPA'</v>
      </c>
      <c r="F1465" s="2" t="str">
        <f>"R_INCONSISTENCIA_BPA"</f>
        <v>R_INCONSISTENCIA_BPA</v>
      </c>
      <c r="G1465" s="2" t="str">
        <f>" ()"</f>
        <v xml:space="preserve"> ()</v>
      </c>
    </row>
    <row r="1466" spans="1:7" x14ac:dyDescent="0.3">
      <c r="A1466" s="1" t="s">
        <v>4</v>
      </c>
      <c r="B1466" s="2" t="str">
        <f t="shared" si="129"/>
        <v>SISTEMA FATURAMENTO AMBULATORIO SUS</v>
      </c>
      <c r="C1466" s="2" t="str">
        <f t="shared" si="130"/>
        <v>FATUR-SUS</v>
      </c>
      <c r="D1466" s="2" t="str">
        <f t="shared" si="131"/>
        <v>FFAS</v>
      </c>
      <c r="E1466" s="2" t="str">
        <f>"REL. AUTORIZAÇÃO"</f>
        <v>REL. AUTORIZAÇÃO</v>
      </c>
      <c r="F1466" s="2" t="str">
        <f>"R_CTRL_AUTORIZACAO"</f>
        <v>R_CTRL_AUTORIZACAO</v>
      </c>
      <c r="G1466" s="2" t="str">
        <f>"Faturamento / Faturamento Ambulatorial SUS (BPA e APAC) / Relatórios / Operacionais / Relatório de Controle de Autorização (R_CTRL_AUTORIZACAO)"</f>
        <v>Faturamento / Faturamento Ambulatorial SUS (BPA e APAC) / Relatórios / Operacionais / Relatório de Controle de Autorização (R_CTRL_AUTORIZACAO)</v>
      </c>
    </row>
    <row r="1467" spans="1:7" x14ac:dyDescent="0.3">
      <c r="A1467" s="1" t="s">
        <v>4</v>
      </c>
      <c r="B1467" s="2" t="str">
        <f t="shared" si="129"/>
        <v>SISTEMA FATURAMENTO AMBULATORIO SUS</v>
      </c>
      <c r="C1467" s="2" t="str">
        <f t="shared" si="130"/>
        <v>FATUR-SUS</v>
      </c>
      <c r="D1467" s="2" t="str">
        <f t="shared" si="131"/>
        <v>FFAS</v>
      </c>
      <c r="E1467" s="2" t="str">
        <f>"MANUTENÇÃO DO TETO ORÇAMENTÁRIO"</f>
        <v>MANUTENÇÃO DO TETO ORÇAMENTÁRIO</v>
      </c>
      <c r="F1467" s="2" t="str">
        <f>"M_TETORC_PROC_P321"</f>
        <v>M_TETORC_PROC_P321</v>
      </c>
      <c r="G1467" s="2" t="str">
        <f>"Faturamento / Faturamento Ambulatorial SUS (BPA e APAC) / Faturamento / Teto Orçamentário / Teto Orçamentário por Procedimento (M_TETORC_PROC_P321)"</f>
        <v>Faturamento / Faturamento Ambulatorial SUS (BPA e APAC) / Faturamento / Teto Orçamentário / Teto Orçamentário por Procedimento (M_TETORC_PROC_P321)</v>
      </c>
    </row>
    <row r="1468" spans="1:7" x14ac:dyDescent="0.3">
      <c r="A1468" s="1" t="s">
        <v>4</v>
      </c>
      <c r="B1468" s="2" t="str">
        <f t="shared" si="129"/>
        <v>SISTEMA FATURAMENTO AMBULATORIO SUS</v>
      </c>
      <c r="C1468" s="2" t="str">
        <f t="shared" si="130"/>
        <v>FATUR-SUS</v>
      </c>
      <c r="D1468" s="2" t="str">
        <f t="shared" si="131"/>
        <v>FFAS</v>
      </c>
      <c r="E1468" s="2" t="str">
        <f>"R_ANA_REP_P321"</f>
        <v>R_ANA_REP_P321</v>
      </c>
      <c r="F1468" s="2" t="str">
        <f>"R_ANA_REP_P321"</f>
        <v>R_ANA_REP_P321</v>
      </c>
      <c r="G1468" s="2" t="str">
        <f>" ()"</f>
        <v xml:space="preserve"> ()</v>
      </c>
    </row>
    <row r="1469" spans="1:7" x14ac:dyDescent="0.3">
      <c r="A1469" s="1" t="s">
        <v>4</v>
      </c>
      <c r="B1469" s="2" t="str">
        <f t="shared" si="129"/>
        <v>SISTEMA FATURAMENTO AMBULATORIO SUS</v>
      </c>
      <c r="C1469" s="2" t="str">
        <f t="shared" si="130"/>
        <v>FATUR-SUS</v>
      </c>
      <c r="D1469" s="2" t="str">
        <f t="shared" si="131"/>
        <v>FFAS</v>
      </c>
      <c r="E1469" s="2" t="str">
        <f>"WIN_PRINCIPAL"</f>
        <v>WIN_PRINCIPAL</v>
      </c>
      <c r="F1469" s="2" t="str">
        <f>"M_EXCECAO_CHEKIN"</f>
        <v>M_EXCECAO_CHEKIN</v>
      </c>
      <c r="G1469" s="2" t="str">
        <f>" ()"</f>
        <v xml:space="preserve"> ()</v>
      </c>
    </row>
    <row r="1470" spans="1:7" x14ac:dyDescent="0.3">
      <c r="A1470" s="1" t="s">
        <v>4</v>
      </c>
      <c r="B1470" s="2" t="str">
        <f t="shared" si="129"/>
        <v>SISTEMA FATURAMENTO AMBULATORIO SUS</v>
      </c>
      <c r="C1470" s="2" t="str">
        <f t="shared" si="130"/>
        <v>FATUR-SUS</v>
      </c>
      <c r="D1470" s="2" t="str">
        <f t="shared" si="131"/>
        <v>FFAS</v>
      </c>
      <c r="E1470" s="2" t="str">
        <f>"CADASTRO GRUPO SUS"</f>
        <v>CADASTRO GRUPO SUS</v>
      </c>
      <c r="F1470" s="2" t="str">
        <f>"M_LANCAMENTO_APAC"</f>
        <v>M_LANCAMENTO_APAC</v>
      </c>
      <c r="G1470" s="2" t="str">
        <f>" ()"</f>
        <v xml:space="preserve"> ()</v>
      </c>
    </row>
    <row r="1471" spans="1:7" x14ac:dyDescent="0.3">
      <c r="A1471" s="1" t="s">
        <v>4</v>
      </c>
      <c r="B1471" s="2" t="str">
        <f t="shared" si="129"/>
        <v>SISTEMA FATURAMENTO AMBULATORIO SUS</v>
      </c>
      <c r="C1471" s="2" t="str">
        <f t="shared" si="130"/>
        <v>FATUR-SUS</v>
      </c>
      <c r="D1471" s="2" t="str">
        <f t="shared" si="131"/>
        <v>FFAS</v>
      </c>
      <c r="E1471" s="2" t="str">
        <f>"GERAÇÃO DE DISQUETE APAC - 1.14 - 1311"</f>
        <v>GERAÇÃO DE DISQUETE APAC - 1.14 - 1311</v>
      </c>
      <c r="F1471" s="2" t="str">
        <f>"M_TRANSF_BPA_REMESSA"</f>
        <v>M_TRANSF_BPA_REMESSA</v>
      </c>
      <c r="G1471" s="2" t="str">
        <f>"Faturamento / Faturamento Ambulatorial SUS (BPA e APAC) / Lançamentos / BPA / Transferência entre Remessa BPA (M_TRANSF_BPA_REMESSA)"</f>
        <v>Faturamento / Faturamento Ambulatorial SUS (BPA e APAC) / Lançamentos / BPA / Transferência entre Remessa BPA (M_TRANSF_BPA_REMESSA)</v>
      </c>
    </row>
    <row r="1472" spans="1:7" x14ac:dyDescent="0.3">
      <c r="A1472" s="1" t="s">
        <v>4</v>
      </c>
      <c r="B1472" s="2" t="str">
        <f t="shared" si="129"/>
        <v>SISTEMA FATURAMENTO AMBULATORIO SUS</v>
      </c>
      <c r="C1472" s="2" t="str">
        <f t="shared" si="130"/>
        <v>FATUR-SUS</v>
      </c>
      <c r="D1472" s="2" t="str">
        <f t="shared" si="131"/>
        <v>FFAS</v>
      </c>
      <c r="E1472" s="2" t="str">
        <f>"HALYSSON TESTANDO"</f>
        <v>HALYSSON TESTANDO</v>
      </c>
      <c r="F1472" s="2" t="str">
        <f>"TESTE_SGU"</f>
        <v>TESTE_SGU</v>
      </c>
      <c r="G1472" s="2" t="str">
        <f t="shared" ref="G1472:G1493" si="134">" ()"</f>
        <v xml:space="preserve"> ()</v>
      </c>
    </row>
    <row r="1473" spans="1:7" x14ac:dyDescent="0.3">
      <c r="A1473" s="1" t="s">
        <v>4</v>
      </c>
      <c r="B1473" s="2" t="str">
        <f t="shared" si="129"/>
        <v>SISTEMA FATURAMENTO AMBULATORIO SUS</v>
      </c>
      <c r="C1473" s="2" t="str">
        <f t="shared" si="130"/>
        <v>FATUR-SUS</v>
      </c>
      <c r="D1473" s="2" t="str">
        <f t="shared" si="131"/>
        <v>FFAS</v>
      </c>
      <c r="E1473" s="2" t="str">
        <f>"LISTAGEM DE FICHAS DE FREQUENCIA"</f>
        <v>LISTAGEM DE FICHAS DE FREQUENCIA</v>
      </c>
      <c r="F1473" s="2" t="str">
        <f>"R_LISTA_FREQUENCIA.RDF"</f>
        <v>R_LISTA_FREQUENCIA.RDF</v>
      </c>
      <c r="G1473" s="2" t="str">
        <f t="shared" si="134"/>
        <v xml:space="preserve"> ()</v>
      </c>
    </row>
    <row r="1474" spans="1:7" x14ac:dyDescent="0.3">
      <c r="A1474" s="1" t="s">
        <v>4</v>
      </c>
      <c r="B1474" s="2" t="str">
        <f t="shared" si="129"/>
        <v>SISTEMA FATURAMENTO AMBULATORIO SUS</v>
      </c>
      <c r="C1474" s="2" t="str">
        <f t="shared" si="130"/>
        <v>FATUR-SUS</v>
      </c>
      <c r="D1474" s="2" t="str">
        <f t="shared" si="131"/>
        <v>FFAS</v>
      </c>
      <c r="E1474" s="2" t="str">
        <f>"FICHA DE FREQUÊNCIA"</f>
        <v>FICHA DE FREQUÊNCIA</v>
      </c>
      <c r="F1474" s="2" t="str">
        <f>"R_FICHA_FREQUENCIA.RDF"</f>
        <v>R_FICHA_FREQUENCIA.RDF</v>
      </c>
      <c r="G1474" s="2" t="str">
        <f t="shared" si="134"/>
        <v xml:space="preserve"> ()</v>
      </c>
    </row>
    <row r="1475" spans="1:7" x14ac:dyDescent="0.3">
      <c r="A1475" s="1" t="s">
        <v>4</v>
      </c>
      <c r="B1475" s="2" t="str">
        <f t="shared" si="129"/>
        <v>SISTEMA FATURAMENTO AMBULATORIO SUS</v>
      </c>
      <c r="C1475" s="2" t="str">
        <f t="shared" si="130"/>
        <v>FATUR-SUS</v>
      </c>
      <c r="D1475" s="2" t="str">
        <f t="shared" si="131"/>
        <v>FFAS</v>
      </c>
      <c r="E1475" s="2" t="str">
        <f>"LISTAGEM DE PACIENTES SEM ATENDIMENTOS"</f>
        <v>LISTAGEM DE PACIENTES SEM ATENDIMENTOS</v>
      </c>
      <c r="F1475" s="2" t="str">
        <f>"R_LISTA_APAC_SEM_ATEND.RDF"</f>
        <v>R_LISTA_APAC_SEM_ATEND.RDF</v>
      </c>
      <c r="G1475" s="2" t="str">
        <f t="shared" si="134"/>
        <v xml:space="preserve"> ()</v>
      </c>
    </row>
    <row r="1476" spans="1:7" x14ac:dyDescent="0.3">
      <c r="A1476" s="1" t="s">
        <v>4</v>
      </c>
      <c r="B1476" s="2" t="str">
        <f t="shared" si="129"/>
        <v>SISTEMA FATURAMENTO AMBULATORIO SUS</v>
      </c>
      <c r="C1476" s="2" t="str">
        <f t="shared" si="130"/>
        <v>FATUR-SUS</v>
      </c>
      <c r="D1476" s="2" t="str">
        <f t="shared" si="131"/>
        <v>FFAS</v>
      </c>
      <c r="E1476" s="2" t="str">
        <f>"APAC'S EM VENCIMENTO"</f>
        <v>APAC'S EM VENCIMENTO</v>
      </c>
      <c r="F1476" s="2" t="str">
        <f>"R_APAC_VENCIDA_P321.RDF"</f>
        <v>R_APAC_VENCIDA_P321.RDF</v>
      </c>
      <c r="G1476" s="2" t="str">
        <f t="shared" si="134"/>
        <v xml:space="preserve"> ()</v>
      </c>
    </row>
    <row r="1477" spans="1:7" x14ac:dyDescent="0.3">
      <c r="A1477" s="1" t="s">
        <v>4</v>
      </c>
      <c r="B1477" s="2" t="str">
        <f t="shared" si="129"/>
        <v>SISTEMA FATURAMENTO AMBULATORIO SUS</v>
      </c>
      <c r="C1477" s="2" t="str">
        <f t="shared" si="130"/>
        <v>FATUR-SUS</v>
      </c>
      <c r="D1477" s="2" t="str">
        <f t="shared" si="131"/>
        <v>FFAS</v>
      </c>
      <c r="E1477" s="2" t="str">
        <f>"DEMONSTRATIVO APAC"</f>
        <v>DEMONSTRATIVO APAC</v>
      </c>
      <c r="F1477" s="2" t="str">
        <f>"R_APAC.RDF"</f>
        <v>R_APAC.RDF</v>
      </c>
      <c r="G1477" s="2" t="str">
        <f t="shared" si="134"/>
        <v xml:space="preserve"> ()</v>
      </c>
    </row>
    <row r="1478" spans="1:7" x14ac:dyDescent="0.3">
      <c r="A1478" s="1" t="s">
        <v>4</v>
      </c>
      <c r="B1478" s="2" t="str">
        <f t="shared" si="129"/>
        <v>SISTEMA FATURAMENTO AMBULATORIO SUS</v>
      </c>
      <c r="C1478" s="2" t="str">
        <f t="shared" si="130"/>
        <v>FATUR-SUS</v>
      </c>
      <c r="D1478" s="2" t="str">
        <f t="shared" si="131"/>
        <v>FFAS</v>
      </c>
      <c r="E1478" s="2" t="str">
        <f>"PROCEDIMENTOS BPA POR ORIGEM"</f>
        <v>PROCEDIMENTOS BPA POR ORIGEM</v>
      </c>
      <c r="F1478" s="2" t="str">
        <f>"R_PROC_BPA_ORIGEM_P321.RDF"</f>
        <v>R_PROC_BPA_ORIGEM_P321.RDF</v>
      </c>
      <c r="G1478" s="2" t="str">
        <f t="shared" si="134"/>
        <v xml:space="preserve"> ()</v>
      </c>
    </row>
    <row r="1479" spans="1:7" x14ac:dyDescent="0.3">
      <c r="A1479" s="1" t="s">
        <v>4</v>
      </c>
      <c r="B1479" s="2" t="str">
        <f t="shared" si="129"/>
        <v>SISTEMA FATURAMENTO AMBULATORIO SUS</v>
      </c>
      <c r="C1479" s="2" t="str">
        <f t="shared" si="130"/>
        <v>FATUR-SUS</v>
      </c>
      <c r="D1479" s="2" t="str">
        <f t="shared" si="131"/>
        <v>FFAS</v>
      </c>
      <c r="E1479" s="2" t="str">
        <f>"PROCEDIMENTOS BPA POR GRUPO DE PROC."</f>
        <v>PROCEDIMENTOS BPA POR GRUPO DE PROC.</v>
      </c>
      <c r="F1479" s="2" t="str">
        <f>"R_PROC_BPA_GRU_ATE_P321.RDF"</f>
        <v>R_PROC_BPA_GRU_ATE_P321.RDF</v>
      </c>
      <c r="G1479" s="2" t="str">
        <f t="shared" si="134"/>
        <v xml:space="preserve"> ()</v>
      </c>
    </row>
    <row r="1480" spans="1:7" x14ac:dyDescent="0.3">
      <c r="A1480" s="1" t="s">
        <v>4</v>
      </c>
      <c r="B1480" s="2" t="str">
        <f t="shared" si="129"/>
        <v>SISTEMA FATURAMENTO AMBULATORIO SUS</v>
      </c>
      <c r="C1480" s="2" t="str">
        <f t="shared" si="130"/>
        <v>FATUR-SUS</v>
      </c>
      <c r="D1480" s="2" t="str">
        <f t="shared" si="131"/>
        <v>FFAS</v>
      </c>
      <c r="E1480" s="2" t="str">
        <f>"ATENDIMENTOS SUS - APAC"</f>
        <v>ATENDIMENTOS SUS - APAC</v>
      </c>
      <c r="F1480" s="2" t="str">
        <f>"R_ATENDIME_SUS_APAC_P321.RDF"</f>
        <v>R_ATENDIME_SUS_APAC_P321.RDF</v>
      </c>
      <c r="G1480" s="2" t="str">
        <f t="shared" si="134"/>
        <v xml:space="preserve"> ()</v>
      </c>
    </row>
    <row r="1481" spans="1:7" x14ac:dyDescent="0.3">
      <c r="A1481" s="1" t="s">
        <v>4</v>
      </c>
      <c r="B1481" s="2" t="str">
        <f t="shared" si="129"/>
        <v>SISTEMA FATURAMENTO AMBULATORIO SUS</v>
      </c>
      <c r="C1481" s="2" t="str">
        <f t="shared" si="130"/>
        <v>FATUR-SUS</v>
      </c>
      <c r="D1481" s="2" t="str">
        <f t="shared" si="131"/>
        <v>FFAS</v>
      </c>
      <c r="E1481" s="2" t="str">
        <f>"PROCEDIMENTOS APAC POR COMPETÊNCIA"</f>
        <v>PROCEDIMENTOS APAC POR COMPETÊNCIA</v>
      </c>
      <c r="F1481" s="2" t="str">
        <f>"R_PROC_COMPETENCIA_P321.RDF"</f>
        <v>R_PROC_COMPETENCIA_P321.RDF</v>
      </c>
      <c r="G1481" s="2" t="str">
        <f t="shared" si="134"/>
        <v xml:space="preserve"> ()</v>
      </c>
    </row>
    <row r="1482" spans="1:7" x14ac:dyDescent="0.3">
      <c r="A1482" s="1" t="s">
        <v>4</v>
      </c>
      <c r="B1482" s="2" t="str">
        <f t="shared" si="129"/>
        <v>SISTEMA FATURAMENTO AMBULATORIO SUS</v>
      </c>
      <c r="C1482" s="2" t="str">
        <f t="shared" si="130"/>
        <v>FATUR-SUS</v>
      </c>
      <c r="D1482" s="2" t="str">
        <f t="shared" si="131"/>
        <v>FFAS</v>
      </c>
      <c r="E1482" s="2" t="str">
        <f>"PROCEDIMENTOS APAC POR ORIGEM"</f>
        <v>PROCEDIMENTOS APAC POR ORIGEM</v>
      </c>
      <c r="F1482" s="2" t="str">
        <f>"R_PROC_ORIGEM_P321.RDF"</f>
        <v>R_PROC_ORIGEM_P321.RDF</v>
      </c>
      <c r="G1482" s="2" t="str">
        <f t="shared" si="134"/>
        <v xml:space="preserve"> ()</v>
      </c>
    </row>
    <row r="1483" spans="1:7" x14ac:dyDescent="0.3">
      <c r="A1483" s="1" t="s">
        <v>4</v>
      </c>
      <c r="B1483" s="2" t="str">
        <f t="shared" si="129"/>
        <v>SISTEMA FATURAMENTO AMBULATORIO SUS</v>
      </c>
      <c r="C1483" s="2" t="str">
        <f t="shared" si="130"/>
        <v>FATUR-SUS</v>
      </c>
      <c r="D1483" s="2" t="str">
        <f t="shared" si="131"/>
        <v>FFAS</v>
      </c>
      <c r="E1483" s="2" t="str">
        <f>"PROCEDIMENTOS APAC POR CIDADE"</f>
        <v>PROCEDIMENTOS APAC POR CIDADE</v>
      </c>
      <c r="F1483" s="2" t="str">
        <f>"R_PROC_CIDADE_P321.RDF"</f>
        <v>R_PROC_CIDADE_P321.RDF</v>
      </c>
      <c r="G1483" s="2" t="str">
        <f t="shared" si="134"/>
        <v xml:space="preserve"> ()</v>
      </c>
    </row>
    <row r="1484" spans="1:7" x14ac:dyDescent="0.3">
      <c r="A1484" s="1" t="s">
        <v>4</v>
      </c>
      <c r="B1484" s="2" t="str">
        <f t="shared" si="129"/>
        <v>SISTEMA FATURAMENTO AMBULATORIO SUS</v>
      </c>
      <c r="C1484" s="2" t="str">
        <f t="shared" si="130"/>
        <v>FATUR-SUS</v>
      </c>
      <c r="D1484" s="2" t="str">
        <f t="shared" si="131"/>
        <v>FFAS</v>
      </c>
      <c r="E1484" s="2" t="str">
        <f>"CUSTO X FATURAMENTO APAC"</f>
        <v>CUSTO X FATURAMENTO APAC</v>
      </c>
      <c r="F1484" s="2" t="str">
        <f>"R_CUSTO_FAT_P321.RDF"</f>
        <v>R_CUSTO_FAT_P321.RDF</v>
      </c>
      <c r="G1484" s="2" t="str">
        <f t="shared" si="134"/>
        <v xml:space="preserve"> ()</v>
      </c>
    </row>
    <row r="1485" spans="1:7" x14ac:dyDescent="0.3">
      <c r="A1485" s="1" t="s">
        <v>4</v>
      </c>
      <c r="B1485" s="2" t="str">
        <f t="shared" si="129"/>
        <v>SISTEMA FATURAMENTO AMBULATORIO SUS</v>
      </c>
      <c r="C1485" s="2" t="str">
        <f t="shared" si="130"/>
        <v>FATUR-SUS</v>
      </c>
      <c r="D1485" s="2" t="str">
        <f t="shared" si="131"/>
        <v>FFAS</v>
      </c>
      <c r="E1485" s="2" t="str">
        <f>"PROCEDIMENTOS POR PRESTADOR/CBO"</f>
        <v>PROCEDIMENTOS POR PRESTADOR/CBO</v>
      </c>
      <c r="F1485" s="2" t="str">
        <f>"R_PROCMEDESP_P321.RDF"</f>
        <v>R_PROCMEDESP_P321.RDF</v>
      </c>
      <c r="G1485" s="2" t="str">
        <f t="shared" si="134"/>
        <v xml:space="preserve"> ()</v>
      </c>
    </row>
    <row r="1486" spans="1:7" x14ac:dyDescent="0.3">
      <c r="A1486" s="1" t="s">
        <v>4</v>
      </c>
      <c r="B1486" s="2" t="str">
        <f t="shared" si="129"/>
        <v>SISTEMA FATURAMENTO AMBULATORIO SUS</v>
      </c>
      <c r="C1486" s="2" t="str">
        <f t="shared" si="130"/>
        <v>FATUR-SUS</v>
      </c>
      <c r="D1486" s="2" t="str">
        <f t="shared" si="131"/>
        <v>FFAS</v>
      </c>
      <c r="E1486" s="2" t="str">
        <f>"FATURAMENTO POR PRESTADOR X CBO"</f>
        <v>FATURAMENTO POR PRESTADOR X CBO</v>
      </c>
      <c r="F1486" s="2" t="str">
        <f>"R_FAT_PRE_CBO_P321.RDF"</f>
        <v>R_FAT_PRE_CBO_P321.RDF</v>
      </c>
      <c r="G1486" s="2" t="str">
        <f t="shared" si="134"/>
        <v xml:space="preserve"> ()</v>
      </c>
    </row>
    <row r="1487" spans="1:7" x14ac:dyDescent="0.3">
      <c r="A1487" s="1" t="s">
        <v>4</v>
      </c>
      <c r="B1487" s="2" t="str">
        <f t="shared" si="129"/>
        <v>SISTEMA FATURAMENTO AMBULATORIO SUS</v>
      </c>
      <c r="C1487" s="2" t="str">
        <f t="shared" si="130"/>
        <v>FATUR-SUS</v>
      </c>
      <c r="D1487" s="2" t="str">
        <f t="shared" si="131"/>
        <v>FFAS</v>
      </c>
      <c r="E1487" s="2" t="str">
        <f>"FATURAMENTO POR DISTRITO SANITÁRIO"</f>
        <v>FATURAMENTO POR DISTRITO SANITÁRIO</v>
      </c>
      <c r="F1487" s="2" t="str">
        <f>"R_FATDISTR_P321.RDF"</f>
        <v>R_FATDISTR_P321.RDF</v>
      </c>
      <c r="G1487" s="2" t="str">
        <f t="shared" si="134"/>
        <v xml:space="preserve"> ()</v>
      </c>
    </row>
    <row r="1488" spans="1:7" x14ac:dyDescent="0.3">
      <c r="A1488" s="1" t="s">
        <v>4</v>
      </c>
      <c r="B1488" s="2" t="str">
        <f t="shared" si="129"/>
        <v>SISTEMA FATURAMENTO AMBULATORIO SUS</v>
      </c>
      <c r="C1488" s="2" t="str">
        <f t="shared" si="130"/>
        <v>FATUR-SUS</v>
      </c>
      <c r="D1488" s="2" t="str">
        <f t="shared" si="131"/>
        <v>FFAS</v>
      </c>
      <c r="E1488" s="2" t="str">
        <f>"FATURAMENTO POR CIDADES"</f>
        <v>FATURAMENTO POR CIDADES</v>
      </c>
      <c r="F1488" s="2" t="str">
        <f>"R_FCIDADE_P321.RDF"</f>
        <v>R_FCIDADE_P321.RDF</v>
      </c>
      <c r="G1488" s="2" t="str">
        <f t="shared" si="134"/>
        <v xml:space="preserve"> ()</v>
      </c>
    </row>
    <row r="1489" spans="1:7" x14ac:dyDescent="0.3">
      <c r="A1489" s="1" t="s">
        <v>4</v>
      </c>
      <c r="B1489" s="2" t="str">
        <f t="shared" si="129"/>
        <v>SISTEMA FATURAMENTO AMBULATORIO SUS</v>
      </c>
      <c r="C1489" s="2" t="str">
        <f t="shared" si="130"/>
        <v>FATUR-SUS</v>
      </c>
      <c r="D1489" s="2" t="str">
        <f t="shared" si="131"/>
        <v>FFAS</v>
      </c>
      <c r="E1489" s="2" t="str">
        <f>"FATURAMENTO POR CBO"</f>
        <v>FATURAMENTO POR CBO</v>
      </c>
      <c r="F1489" s="2" t="str">
        <f>"R_FATCBO_P321.RDF"</f>
        <v>R_FATCBO_P321.RDF</v>
      </c>
      <c r="G1489" s="2" t="str">
        <f t="shared" si="134"/>
        <v xml:space="preserve"> ()</v>
      </c>
    </row>
    <row r="1490" spans="1:7" x14ac:dyDescent="0.3">
      <c r="A1490" s="1" t="s">
        <v>4</v>
      </c>
      <c r="B1490" s="2" t="str">
        <f t="shared" si="129"/>
        <v>SISTEMA FATURAMENTO AMBULATORIO SUS</v>
      </c>
      <c r="C1490" s="2" t="str">
        <f t="shared" si="130"/>
        <v>FATUR-SUS</v>
      </c>
      <c r="D1490" s="2" t="str">
        <f t="shared" si="131"/>
        <v>FFAS</v>
      </c>
      <c r="E1490" s="2" t="str">
        <f>"FATURAMENTO POR ORIGEM"</f>
        <v>FATURAMENTO POR ORIGEM</v>
      </c>
      <c r="F1490" s="2" t="str">
        <f>"R_FATORI_P321.RDF"</f>
        <v>R_FATORI_P321.RDF</v>
      </c>
      <c r="G1490" s="2" t="str">
        <f t="shared" si="134"/>
        <v xml:space="preserve"> ()</v>
      </c>
    </row>
    <row r="1491" spans="1:7" x14ac:dyDescent="0.3">
      <c r="A1491" s="1" t="s">
        <v>4</v>
      </c>
      <c r="B1491" s="2" t="str">
        <f t="shared" si="129"/>
        <v>SISTEMA FATURAMENTO AMBULATORIO SUS</v>
      </c>
      <c r="C1491" s="2" t="str">
        <f t="shared" si="130"/>
        <v>FATUR-SUS</v>
      </c>
      <c r="D1491" s="2" t="str">
        <f t="shared" si="131"/>
        <v>FFAS</v>
      </c>
      <c r="E1491" s="2" t="str">
        <f>"PROCEDIMENTOS CONTRATUALIZADOS"</f>
        <v>PROCEDIMENTOS CONTRATUALIZADOS</v>
      </c>
      <c r="F1491" s="2" t="str">
        <f>"R_PROC_CONTRATUALIZADO.RDF"</f>
        <v>R_PROC_CONTRATUALIZADO.RDF</v>
      </c>
      <c r="G1491" s="2" t="str">
        <f t="shared" si="134"/>
        <v xml:space="preserve"> ()</v>
      </c>
    </row>
    <row r="1492" spans="1:7" x14ac:dyDescent="0.3">
      <c r="A1492" s="1" t="s">
        <v>4</v>
      </c>
      <c r="B1492" s="2" t="str">
        <f t="shared" ref="B1492:B1524" si="135">"SISTEMA FATURAMENTO AMBULATORIO SUS"</f>
        <v>SISTEMA FATURAMENTO AMBULATORIO SUS</v>
      </c>
      <c r="C1492" s="2" t="str">
        <f t="shared" ref="C1492:C1524" si="136">"FATUR-SUS"</f>
        <v>FATUR-SUS</v>
      </c>
      <c r="D1492" s="2" t="str">
        <f t="shared" ref="D1492:D1524" si="137">"FFAS"</f>
        <v>FFAS</v>
      </c>
      <c r="E1492" s="2" t="str">
        <f>"QUANTIDADE ORÇADA POR PROCEDIMENTO"</f>
        <v>QUANTIDADE ORÇADA POR PROCEDIMENTO</v>
      </c>
      <c r="F1492" s="2" t="str">
        <f>"R_TETQTD_FISICO.RDF"</f>
        <v>R_TETQTD_FISICO.RDF</v>
      </c>
      <c r="G1492" s="2" t="str">
        <f t="shared" si="134"/>
        <v xml:space="preserve"> ()</v>
      </c>
    </row>
    <row r="1493" spans="1:7" x14ac:dyDescent="0.3">
      <c r="A1493" s="1" t="s">
        <v>4</v>
      </c>
      <c r="B1493" s="2" t="str">
        <f t="shared" si="135"/>
        <v>SISTEMA FATURAMENTO AMBULATORIO SUS</v>
      </c>
      <c r="C1493" s="2" t="str">
        <f t="shared" si="136"/>
        <v>FATUR-SUS</v>
      </c>
      <c r="D1493" s="2" t="str">
        <f t="shared" si="137"/>
        <v>FFAS</v>
      </c>
      <c r="E1493" s="2" t="str">
        <f>"PROCEDIMENTO POR SERVIÇO"</f>
        <v>PROCEDIMENTO POR SERVIÇO</v>
      </c>
      <c r="F1493" s="2" t="str">
        <f>"R_PROC_SERVICO_P321.RDF"</f>
        <v>R_PROC_SERVICO_P321.RDF</v>
      </c>
      <c r="G1493" s="2" t="str">
        <f t="shared" si="134"/>
        <v xml:space="preserve"> ()</v>
      </c>
    </row>
    <row r="1494" spans="1:7" x14ac:dyDescent="0.3">
      <c r="A1494" s="1" t="s">
        <v>4</v>
      </c>
      <c r="B1494" s="2" t="str">
        <f t="shared" si="135"/>
        <v>SISTEMA FATURAMENTO AMBULATORIO SUS</v>
      </c>
      <c r="C1494" s="2" t="str">
        <f t="shared" si="136"/>
        <v>FATUR-SUS</v>
      </c>
      <c r="D1494" s="2" t="str">
        <f t="shared" si="137"/>
        <v>FFAS</v>
      </c>
      <c r="E1494" s="2" t="str">
        <f>"CONTROLE DE AUTORIZAÇÕES"</f>
        <v>CONTROLE DE AUTORIZAÇÕES</v>
      </c>
      <c r="F1494" s="2" t="str">
        <f>"R_CTRL_AUTORIZACAO.RDF"</f>
        <v>R_CTRL_AUTORIZACAO.RDF</v>
      </c>
      <c r="G1494" s="2" t="str">
        <f>"Faturamento / Faturamento Ambulatorial SUS (BPA e APAC) / Relatórios / Operacionais / Controle de Autorizações (R_CTRL_AUTORIZACAO.RDF)"</f>
        <v>Faturamento / Faturamento Ambulatorial SUS (BPA e APAC) / Relatórios / Operacionais / Controle de Autorizações (R_CTRL_AUTORIZACAO.RDF)</v>
      </c>
    </row>
    <row r="1495" spans="1:7" x14ac:dyDescent="0.3">
      <c r="A1495" s="1" t="s">
        <v>4</v>
      </c>
      <c r="B1495" s="2" t="str">
        <f t="shared" si="135"/>
        <v>SISTEMA FATURAMENTO AMBULATORIO SUS</v>
      </c>
      <c r="C1495" s="2" t="str">
        <f t="shared" si="136"/>
        <v>FATUR-SUS</v>
      </c>
      <c r="D1495" s="2" t="str">
        <f t="shared" si="137"/>
        <v>FFAS</v>
      </c>
      <c r="E1495" s="2" t="str">
        <f>"CONTROLE DE CONFERÊNCIA POR PACIENTE"</f>
        <v>CONTROLE DE CONFERÊNCIA POR PACIENTE</v>
      </c>
      <c r="F1495" s="2" t="str">
        <f>"R_CONFERENCIA_P321.RDF"</f>
        <v>R_CONFERENCIA_P321.RDF</v>
      </c>
      <c r="G1495" s="2" t="str">
        <f>" ()"</f>
        <v xml:space="preserve"> ()</v>
      </c>
    </row>
    <row r="1496" spans="1:7" x14ac:dyDescent="0.3">
      <c r="A1496" s="1" t="s">
        <v>4</v>
      </c>
      <c r="B1496" s="2" t="str">
        <f t="shared" si="135"/>
        <v>SISTEMA FATURAMENTO AMBULATORIO SUS</v>
      </c>
      <c r="C1496" s="2" t="str">
        <f t="shared" si="136"/>
        <v>FATUR-SUS</v>
      </c>
      <c r="D1496" s="2" t="str">
        <f t="shared" si="137"/>
        <v>FFAS</v>
      </c>
      <c r="E1496" s="2" t="str">
        <f>"TRANSFERÊNCIA DE CONTAS SEM DECÊNDIO"</f>
        <v>TRANSFERÊNCIA DE CONTAS SEM DECÊNDIO</v>
      </c>
      <c r="F1496" s="2" t="str">
        <f>"R_TRANSFERE_CONTAS_P321.RDF"</f>
        <v>R_TRANSFERE_CONTAS_P321.RDF</v>
      </c>
      <c r="G1496" s="2" t="str">
        <f>"Faturamento / Faturamento Ambulatorial SUS (BPA e APAC) / Relatórios / Operacionais / Transferencia de Contas sem Decendio (R_TRANSFERE_CONTAS_P321.RDF)"</f>
        <v>Faturamento / Faturamento Ambulatorial SUS (BPA e APAC) / Relatórios / Operacionais / Transferencia de Contas sem Decendio (R_TRANSFERE_CONTAS_P321.RDF)</v>
      </c>
    </row>
    <row r="1497" spans="1:7" x14ac:dyDescent="0.3">
      <c r="A1497" s="1" t="s">
        <v>4</v>
      </c>
      <c r="B1497" s="2" t="str">
        <f t="shared" si="135"/>
        <v>SISTEMA FATURAMENTO AMBULATORIO SUS</v>
      </c>
      <c r="C1497" s="2" t="str">
        <f t="shared" si="136"/>
        <v>FATUR-SUS</v>
      </c>
      <c r="D1497" s="2" t="str">
        <f t="shared" si="137"/>
        <v>FFAS</v>
      </c>
      <c r="E1497" s="2" t="str">
        <f>"EMISSÃO CAPAS DE LOTE"</f>
        <v>EMISSÃO CAPAS DE LOTE</v>
      </c>
      <c r="F1497" s="2" t="str">
        <f>"R_CAPA_LOTE.RDF"</f>
        <v>R_CAPA_LOTE.RDF</v>
      </c>
      <c r="G1497" s="2" t="str">
        <f t="shared" ref="G1497:G1517" si="138">" ()"</f>
        <v xml:space="preserve"> ()</v>
      </c>
    </row>
    <row r="1498" spans="1:7" x14ac:dyDescent="0.3">
      <c r="A1498" s="1" t="s">
        <v>4</v>
      </c>
      <c r="B1498" s="2" t="str">
        <f t="shared" si="135"/>
        <v>SISTEMA FATURAMENTO AMBULATORIO SUS</v>
      </c>
      <c r="C1498" s="2" t="str">
        <f t="shared" si="136"/>
        <v>FATUR-SUS</v>
      </c>
      <c r="D1498" s="2" t="str">
        <f t="shared" si="137"/>
        <v>FFAS</v>
      </c>
      <c r="E1498" s="2" t="str">
        <f>"FLUXO DE PACIENTES ATENDIDOS EM ONCO"</f>
        <v>FLUXO DE PACIENTES ATENDIDOS EM ONCO</v>
      </c>
      <c r="F1498" s="2" t="str">
        <f>"R_FLUXO_PAC_ATEND_ONCO.RDF"</f>
        <v>R_FLUXO_PAC_ATEND_ONCO.RDF</v>
      </c>
      <c r="G1498" s="2" t="str">
        <f t="shared" si="138"/>
        <v xml:space="preserve"> ()</v>
      </c>
    </row>
    <row r="1499" spans="1:7" x14ac:dyDescent="0.3">
      <c r="A1499" s="1" t="s">
        <v>4</v>
      </c>
      <c r="B1499" s="2" t="str">
        <f t="shared" si="135"/>
        <v>SISTEMA FATURAMENTO AMBULATORIO SUS</v>
      </c>
      <c r="C1499" s="2" t="str">
        <f t="shared" si="136"/>
        <v>FATUR-SUS</v>
      </c>
      <c r="D1499" s="2" t="str">
        <f t="shared" si="137"/>
        <v>FFAS</v>
      </c>
      <c r="E1499" s="2" t="str">
        <f>"RELATORIO PPI"</f>
        <v>RELATORIO PPI</v>
      </c>
      <c r="F1499" s="2" t="str">
        <f>"R_PPI_P321.RDF"</f>
        <v>R_PPI_P321.RDF</v>
      </c>
      <c r="G1499" s="2" t="str">
        <f t="shared" si="138"/>
        <v xml:space="preserve"> ()</v>
      </c>
    </row>
    <row r="1500" spans="1:7" x14ac:dyDescent="0.3">
      <c r="A1500" s="1" t="s">
        <v>4</v>
      </c>
      <c r="B1500" s="2" t="str">
        <f t="shared" si="135"/>
        <v>SISTEMA FATURAMENTO AMBULATORIO SUS</v>
      </c>
      <c r="C1500" s="2" t="str">
        <f t="shared" si="136"/>
        <v>FATUR-SUS</v>
      </c>
      <c r="D1500" s="2" t="str">
        <f t="shared" si="137"/>
        <v>FFAS</v>
      </c>
      <c r="E1500" s="2" t="str">
        <f>"INTERNAÇÕES POSTERIORES"</f>
        <v>INTERNAÇÕES POSTERIORES</v>
      </c>
      <c r="F1500" s="2" t="str">
        <f>"R_INTERNADOS_POST.RDF"</f>
        <v>R_INTERNADOS_POST.RDF</v>
      </c>
      <c r="G1500" s="2" t="str">
        <f t="shared" si="138"/>
        <v xml:space="preserve"> ()</v>
      </c>
    </row>
    <row r="1501" spans="1:7" x14ac:dyDescent="0.3">
      <c r="A1501" s="1" t="s">
        <v>4</v>
      </c>
      <c r="B1501" s="2" t="str">
        <f t="shared" si="135"/>
        <v>SISTEMA FATURAMENTO AMBULATORIO SUS</v>
      </c>
      <c r="C1501" s="2" t="str">
        <f t="shared" si="136"/>
        <v>FATUR-SUS</v>
      </c>
      <c r="D1501" s="2" t="str">
        <f t="shared" si="137"/>
        <v>FFAS</v>
      </c>
      <c r="E1501" s="2" t="str">
        <f>"REGRAS"</f>
        <v>REGRAS</v>
      </c>
      <c r="F1501" s="2" t="str">
        <f>"R_REGRA.RDF"</f>
        <v>R_REGRA.RDF</v>
      </c>
      <c r="G1501" s="2" t="str">
        <f t="shared" si="138"/>
        <v xml:space="preserve"> ()</v>
      </c>
    </row>
    <row r="1502" spans="1:7" x14ac:dyDescent="0.3">
      <c r="A1502" s="1" t="s">
        <v>4</v>
      </c>
      <c r="B1502" s="2" t="str">
        <f t="shared" si="135"/>
        <v>SISTEMA FATURAMENTO AMBULATORIO SUS</v>
      </c>
      <c r="C1502" s="2" t="str">
        <f t="shared" si="136"/>
        <v>FATUR-SUS</v>
      </c>
      <c r="D1502" s="2" t="str">
        <f t="shared" si="137"/>
        <v>FFAS</v>
      </c>
      <c r="E1502" s="2" t="str">
        <f>"CLASSIFICAÇÃO"</f>
        <v>CLASSIFICAÇÃO</v>
      </c>
      <c r="F1502" s="2" t="str">
        <f>"R_CLASSIFI.RDF"</f>
        <v>R_CLASSIFI.RDF</v>
      </c>
      <c r="G1502" s="2" t="str">
        <f t="shared" si="138"/>
        <v xml:space="preserve"> ()</v>
      </c>
    </row>
    <row r="1503" spans="1:7" x14ac:dyDescent="0.3">
      <c r="A1503" s="1" t="s">
        <v>4</v>
      </c>
      <c r="B1503" s="2" t="str">
        <f t="shared" si="135"/>
        <v>SISTEMA FATURAMENTO AMBULATORIO SUS</v>
      </c>
      <c r="C1503" s="2" t="str">
        <f t="shared" si="136"/>
        <v>FATUR-SUS</v>
      </c>
      <c r="D1503" s="2" t="str">
        <f t="shared" si="137"/>
        <v>FFAS</v>
      </c>
      <c r="E1503" s="2" t="str">
        <f>"PRESTADOR/ESPECIALIDADES"</f>
        <v>PRESTADOR/ESPECIALIDADES</v>
      </c>
      <c r="F1503" s="2" t="str">
        <f>"R_ESPPRE.RDF"</f>
        <v>R_ESPPRE.RDF</v>
      </c>
      <c r="G1503" s="2" t="str">
        <f t="shared" si="138"/>
        <v xml:space="preserve"> ()</v>
      </c>
    </row>
    <row r="1504" spans="1:7" x14ac:dyDescent="0.3">
      <c r="A1504" s="1" t="s">
        <v>4</v>
      </c>
      <c r="B1504" s="2" t="str">
        <f t="shared" si="135"/>
        <v>SISTEMA FATURAMENTO AMBULATORIO SUS</v>
      </c>
      <c r="C1504" s="2" t="str">
        <f t="shared" si="136"/>
        <v>FATUR-SUS</v>
      </c>
      <c r="D1504" s="2" t="str">
        <f t="shared" si="137"/>
        <v>FFAS</v>
      </c>
      <c r="E1504" s="2" t="str">
        <f>"ESPECIALIDADES"</f>
        <v>ESPECIALIDADES</v>
      </c>
      <c r="F1504" s="2" t="str">
        <f>"R_ESPEC.RDF"</f>
        <v>R_ESPEC.RDF</v>
      </c>
      <c r="G1504" s="2" t="str">
        <f t="shared" si="138"/>
        <v xml:space="preserve"> ()</v>
      </c>
    </row>
    <row r="1505" spans="1:7" x14ac:dyDescent="0.3">
      <c r="A1505" s="1" t="s">
        <v>4</v>
      </c>
      <c r="B1505" s="2" t="str">
        <f t="shared" si="135"/>
        <v>SISTEMA FATURAMENTO AMBULATORIO SUS</v>
      </c>
      <c r="C1505" s="2" t="str">
        <f t="shared" si="136"/>
        <v>FATUR-SUS</v>
      </c>
      <c r="D1505" s="2" t="str">
        <f t="shared" si="137"/>
        <v>FFAS</v>
      </c>
      <c r="E1505" s="2" t="str">
        <f>"TIPOS DE ATENDIMENTO"</f>
        <v>TIPOS DE ATENDIMENTO</v>
      </c>
      <c r="F1505" s="2" t="str">
        <f>"R_TIPATE.RDF"</f>
        <v>R_TIPATE.RDF</v>
      </c>
      <c r="G1505" s="2" t="str">
        <f t="shared" si="138"/>
        <v xml:space="preserve"> ()</v>
      </c>
    </row>
    <row r="1506" spans="1:7" x14ac:dyDescent="0.3">
      <c r="A1506" s="1" t="s">
        <v>4</v>
      </c>
      <c r="B1506" s="2" t="str">
        <f t="shared" si="135"/>
        <v>SISTEMA FATURAMENTO AMBULATORIO SUS</v>
      </c>
      <c r="C1506" s="2" t="str">
        <f t="shared" si="136"/>
        <v>FATUR-SUS</v>
      </c>
      <c r="D1506" s="2" t="str">
        <f t="shared" si="137"/>
        <v>FFAS</v>
      </c>
      <c r="E1506" s="2" t="str">
        <f>"GRUPOS DO ATENDIMENTO"</f>
        <v>GRUPOS DO ATENDIMENTO</v>
      </c>
      <c r="F1506" s="2" t="str">
        <f>"R_GRUATE.RDF"</f>
        <v>R_GRUATE.RDF</v>
      </c>
      <c r="G1506" s="2" t="str">
        <f t="shared" si="138"/>
        <v xml:space="preserve"> ()</v>
      </c>
    </row>
    <row r="1507" spans="1:7" x14ac:dyDescent="0.3">
      <c r="A1507" s="1" t="s">
        <v>4</v>
      </c>
      <c r="B1507" s="2" t="str">
        <f t="shared" si="135"/>
        <v>SISTEMA FATURAMENTO AMBULATORIO SUS</v>
      </c>
      <c r="C1507" s="2" t="str">
        <f t="shared" si="136"/>
        <v>FATUR-SUS</v>
      </c>
      <c r="D1507" s="2" t="str">
        <f t="shared" si="137"/>
        <v>FFAS</v>
      </c>
      <c r="E1507" s="2" t="str">
        <f>"GRUPOS SSM"</f>
        <v>GRUPOS SSM</v>
      </c>
      <c r="F1507" s="2" t="str">
        <f>"R_GRUPOS.RDF"</f>
        <v>R_GRUPOS.RDF</v>
      </c>
      <c r="G1507" s="2" t="str">
        <f t="shared" si="138"/>
        <v xml:space="preserve"> ()</v>
      </c>
    </row>
    <row r="1508" spans="1:7" x14ac:dyDescent="0.3">
      <c r="A1508" s="1" t="s">
        <v>4</v>
      </c>
      <c r="B1508" s="2" t="str">
        <f t="shared" si="135"/>
        <v>SISTEMA FATURAMENTO AMBULATORIO SUS</v>
      </c>
      <c r="C1508" s="2" t="str">
        <f t="shared" si="136"/>
        <v>FATUR-SUS</v>
      </c>
      <c r="D1508" s="2" t="str">
        <f t="shared" si="137"/>
        <v>FFAS</v>
      </c>
      <c r="E1508" s="2" t="str">
        <f>"CUSTO X FATURAMENTO APAC"</f>
        <v>CUSTO X FATURAMENTO APAC</v>
      </c>
      <c r="F1508" s="2" t="str">
        <f>"R_CUSTO_FAT_P321_SINT"</f>
        <v>R_CUSTO_FAT_P321_SINT</v>
      </c>
      <c r="G1508" s="2" t="str">
        <f t="shared" si="138"/>
        <v xml:space="preserve"> ()</v>
      </c>
    </row>
    <row r="1509" spans="1:7" x14ac:dyDescent="0.3">
      <c r="A1509" s="1" t="s">
        <v>4</v>
      </c>
      <c r="B1509" s="2" t="str">
        <f t="shared" si="135"/>
        <v>SISTEMA FATURAMENTO AMBULATORIO SUS</v>
      </c>
      <c r="C1509" s="2" t="str">
        <f t="shared" si="136"/>
        <v>FATUR-SUS</v>
      </c>
      <c r="D1509" s="2" t="str">
        <f t="shared" si="137"/>
        <v>FFAS</v>
      </c>
      <c r="E1509" s="2" t="str">
        <f>"REL. DE PROC. POR CARATÉR DE ATEND. SINT"</f>
        <v>REL. DE PROC. POR CARATÉR DE ATEND. SINT</v>
      </c>
      <c r="F1509" s="2" t="str">
        <f>"R_PROC_CA_ATENDIME_P321_SINT"</f>
        <v>R_PROC_CA_ATENDIME_P321_SINT</v>
      </c>
      <c r="G1509" s="2" t="str">
        <f t="shared" si="138"/>
        <v xml:space="preserve"> ()</v>
      </c>
    </row>
    <row r="1510" spans="1:7" x14ac:dyDescent="0.3">
      <c r="A1510" s="1" t="s">
        <v>4</v>
      </c>
      <c r="B1510" s="2" t="str">
        <f t="shared" si="135"/>
        <v>SISTEMA FATURAMENTO AMBULATORIO SUS</v>
      </c>
      <c r="C1510" s="2" t="str">
        <f t="shared" si="136"/>
        <v>FATUR-SUS</v>
      </c>
      <c r="D1510" s="2" t="str">
        <f t="shared" si="137"/>
        <v>FFAS</v>
      </c>
      <c r="E1510" s="2" t="str">
        <f>"REL. FATURAMENTO POR CIDADES SINT"</f>
        <v>REL. FATURAMENTO POR CIDADES SINT</v>
      </c>
      <c r="F1510" s="2" t="str">
        <f>"R_FCIDADE_P321_SINT"</f>
        <v>R_FCIDADE_P321_SINT</v>
      </c>
      <c r="G1510" s="2" t="str">
        <f t="shared" si="138"/>
        <v xml:space="preserve"> ()</v>
      </c>
    </row>
    <row r="1511" spans="1:7" x14ac:dyDescent="0.3">
      <c r="A1511" s="1" t="s">
        <v>4</v>
      </c>
      <c r="B1511" s="2" t="str">
        <f t="shared" si="135"/>
        <v>SISTEMA FATURAMENTO AMBULATORIO SUS</v>
      </c>
      <c r="C1511" s="2" t="str">
        <f t="shared" si="136"/>
        <v>FATUR-SUS</v>
      </c>
      <c r="D1511" s="2" t="str">
        <f t="shared" si="137"/>
        <v>FFAS</v>
      </c>
      <c r="E1511" s="2" t="str">
        <f>"SIA-SUS (SSM)"</f>
        <v>SIA-SUS (SSM)</v>
      </c>
      <c r="F1511" s="2" t="str">
        <f>"R_TABSIA.RDF"</f>
        <v>R_TABSIA.RDF</v>
      </c>
      <c r="G1511" s="2" t="str">
        <f t="shared" si="138"/>
        <v xml:space="preserve"> ()</v>
      </c>
    </row>
    <row r="1512" spans="1:7" x14ac:dyDescent="0.3">
      <c r="A1512" s="1" t="s">
        <v>4</v>
      </c>
      <c r="B1512" s="2" t="str">
        <f t="shared" si="135"/>
        <v>SISTEMA FATURAMENTO AMBULATORIO SUS</v>
      </c>
      <c r="C1512" s="2" t="str">
        <f t="shared" si="136"/>
        <v>FATUR-SUS</v>
      </c>
      <c r="D1512" s="2" t="str">
        <f t="shared" si="137"/>
        <v>FFAS</v>
      </c>
      <c r="E1512" s="2" t="str">
        <f>"REL. PROCEDIMENTO POR SERVIÇO SINTÉTICO"</f>
        <v>REL. PROCEDIMENTO POR SERVIÇO SINTÉTICO</v>
      </c>
      <c r="F1512" s="2" t="str">
        <f>"R_PROC_SERVICO_P321_SINT"</f>
        <v>R_PROC_SERVICO_P321_SINT</v>
      </c>
      <c r="G1512" s="2" t="str">
        <f t="shared" si="138"/>
        <v xml:space="preserve"> ()</v>
      </c>
    </row>
    <row r="1513" spans="1:7" x14ac:dyDescent="0.3">
      <c r="A1513" s="1" t="s">
        <v>4</v>
      </c>
      <c r="B1513" s="2" t="str">
        <f t="shared" si="135"/>
        <v>SISTEMA FATURAMENTO AMBULATORIO SUS</v>
      </c>
      <c r="C1513" s="2" t="str">
        <f t="shared" si="136"/>
        <v>FATUR-SUS</v>
      </c>
      <c r="D1513" s="2" t="str">
        <f t="shared" si="137"/>
        <v>FFAS</v>
      </c>
      <c r="E1513" s="2" t="str">
        <f>"LISTAGEM DE PACIENTES FALTOSOS"</f>
        <v>LISTAGEM DE PACIENTES FALTOSOS</v>
      </c>
      <c r="F1513" s="2" t="str">
        <f>"R_PAC_FALTOSOS.RDF"</f>
        <v>R_PAC_FALTOSOS.RDF</v>
      </c>
      <c r="G1513" s="2" t="str">
        <f t="shared" si="138"/>
        <v xml:space="preserve"> ()</v>
      </c>
    </row>
    <row r="1514" spans="1:7" x14ac:dyDescent="0.3">
      <c r="A1514" s="1" t="s">
        <v>4</v>
      </c>
      <c r="B1514" s="2" t="str">
        <f t="shared" si="135"/>
        <v>SISTEMA FATURAMENTO AMBULATORIO SUS</v>
      </c>
      <c r="C1514" s="2" t="str">
        <f t="shared" si="136"/>
        <v>FATUR-SUS</v>
      </c>
      <c r="D1514" s="2" t="str">
        <f t="shared" si="137"/>
        <v>FFAS</v>
      </c>
      <c r="E1514" s="2" t="str">
        <f>"INTERVALO ENTRE CONSULTA E TRATAMENTO"</f>
        <v>INTERVALO ENTRE CONSULTA E TRATAMENTO</v>
      </c>
      <c r="F1514" s="2" t="str">
        <f>"R_INTERV_CONS_TRAT.RDF"</f>
        <v>R_INTERV_CONS_TRAT.RDF</v>
      </c>
      <c r="G1514" s="2" t="str">
        <f t="shared" si="138"/>
        <v xml:space="preserve"> ()</v>
      </c>
    </row>
    <row r="1515" spans="1:7" x14ac:dyDescent="0.3">
      <c r="A1515" s="1" t="s">
        <v>4</v>
      </c>
      <c r="B1515" s="2" t="str">
        <f t="shared" si="135"/>
        <v>SISTEMA FATURAMENTO AMBULATORIO SUS</v>
      </c>
      <c r="C1515" s="2" t="str">
        <f t="shared" si="136"/>
        <v>FATUR-SUS</v>
      </c>
      <c r="D1515" s="2" t="str">
        <f t="shared" si="137"/>
        <v>FFAS</v>
      </c>
      <c r="E1515" s="2" t="str">
        <f>"PACIENTES DE HEMODIÁLISE"</f>
        <v>PACIENTES DE HEMODIÁLISE</v>
      </c>
      <c r="F1515" s="2" t="str">
        <f>"R_PACIENTES_HEMODIALISE_P321.RDF"</f>
        <v>R_PACIENTES_HEMODIALISE_P321.RDF</v>
      </c>
      <c r="G1515" s="2" t="str">
        <f t="shared" si="138"/>
        <v xml:space="preserve"> ()</v>
      </c>
    </row>
    <row r="1516" spans="1:7" x14ac:dyDescent="0.3">
      <c r="A1516" s="1" t="s">
        <v>4</v>
      </c>
      <c r="B1516" s="2" t="str">
        <f t="shared" si="135"/>
        <v>SISTEMA FATURAMENTO AMBULATORIO SUS</v>
      </c>
      <c r="C1516" s="2" t="str">
        <f t="shared" si="136"/>
        <v>FATUR-SUS</v>
      </c>
      <c r="D1516" s="2" t="str">
        <f t="shared" si="137"/>
        <v>FFAS</v>
      </c>
      <c r="E1516" s="2" t="str">
        <f>"PRESTADOR POR ESPECIALIDADES"</f>
        <v>PRESTADOR POR ESPECIALIDADES</v>
      </c>
      <c r="F1516" s="2" t="str">
        <f>"R_ESPPRE_SINT"</f>
        <v>R_ESPPRE_SINT</v>
      </c>
      <c r="G1516" s="2" t="str">
        <f t="shared" si="138"/>
        <v xml:space="preserve"> ()</v>
      </c>
    </row>
    <row r="1517" spans="1:7" x14ac:dyDescent="0.3">
      <c r="A1517" s="1" t="s">
        <v>4</v>
      </c>
      <c r="B1517" s="2" t="str">
        <f t="shared" si="135"/>
        <v>SISTEMA FATURAMENTO AMBULATORIO SUS</v>
      </c>
      <c r="C1517" s="2" t="str">
        <f t="shared" si="136"/>
        <v>FATUR-SUS</v>
      </c>
      <c r="D1517" s="2" t="str">
        <f t="shared" si="137"/>
        <v>FFAS</v>
      </c>
      <c r="E1517" s="2" t="str">
        <f>"RELATORIO DE FICHAS DE FREQUENCIAS"</f>
        <v>RELATORIO DE FICHAS DE FREQUENCIAS</v>
      </c>
      <c r="F1517" s="2" t="str">
        <f>"R_CONSULTA_SEM_DECENDIO"</f>
        <v>R_CONSULTA_SEM_DECENDIO</v>
      </c>
      <c r="G1517" s="2" t="str">
        <f t="shared" si="138"/>
        <v xml:space="preserve"> ()</v>
      </c>
    </row>
    <row r="1518" spans="1:7" x14ac:dyDescent="0.3">
      <c r="A1518" s="1" t="s">
        <v>4</v>
      </c>
      <c r="B1518" s="2" t="str">
        <f t="shared" si="135"/>
        <v>SISTEMA FATURAMENTO AMBULATORIO SUS</v>
      </c>
      <c r="C1518" s="2" t="str">
        <f t="shared" si="136"/>
        <v>FATUR-SUS</v>
      </c>
      <c r="D1518" s="2" t="str">
        <f t="shared" si="137"/>
        <v>FFAS</v>
      </c>
      <c r="E1518" s="2" t="str">
        <f>"GERAÇÃO DE DISQUETES SISMAMA"</f>
        <v>GERAÇÃO DE DISQUETES SISMAMA</v>
      </c>
      <c r="F1518" s="2" t="str">
        <f>"M_GERA_SISMAMA"</f>
        <v>M_GERA_SISMAMA</v>
      </c>
      <c r="G1518" s="2" t="str">
        <f>"Faturamento / Faturamento Ambulatorial SUS (BPA e APAC) / Faturamento / Exportação XML(SISMAMA) (M_GERA_SISMAMA)"</f>
        <v>Faturamento / Faturamento Ambulatorial SUS (BPA e APAC) / Faturamento / Exportação XML(SISMAMA) (M_GERA_SISMAMA)</v>
      </c>
    </row>
    <row r="1519" spans="1:7" x14ac:dyDescent="0.3">
      <c r="A1519" s="1" t="s">
        <v>4</v>
      </c>
      <c r="B1519" s="2" t="str">
        <f t="shared" si="135"/>
        <v>SISTEMA FATURAMENTO AMBULATORIO SUS</v>
      </c>
      <c r="C1519" s="2" t="str">
        <f t="shared" si="136"/>
        <v>FATUR-SUS</v>
      </c>
      <c r="D1519" s="2" t="str">
        <f t="shared" si="137"/>
        <v>FFAS</v>
      </c>
      <c r="E1519" s="2" t="str">
        <f>"CONTROLE DE ENTREGA"</f>
        <v>CONTROLE DE ENTREGA</v>
      </c>
      <c r="F1519" s="2" t="str">
        <f>"R_RCR_P321"</f>
        <v>R_RCR_P321</v>
      </c>
      <c r="G1519" s="2" t="str">
        <f t="shared" ref="G1519:G1525" si="139">" ()"</f>
        <v xml:space="preserve"> ()</v>
      </c>
    </row>
    <row r="1520" spans="1:7" x14ac:dyDescent="0.3">
      <c r="A1520" s="1" t="s">
        <v>4</v>
      </c>
      <c r="B1520" s="2" t="str">
        <f t="shared" si="135"/>
        <v>SISTEMA FATURAMENTO AMBULATORIO SUS</v>
      </c>
      <c r="C1520" s="2" t="str">
        <f t="shared" si="136"/>
        <v>FATUR-SUS</v>
      </c>
      <c r="D1520" s="2" t="str">
        <f t="shared" si="137"/>
        <v>FFAS</v>
      </c>
      <c r="E1520" s="2" t="str">
        <f>"RELATÓRIO INDIVIDUALIZADO"</f>
        <v>RELATÓRIO INDIVIDUALIZADO</v>
      </c>
      <c r="F1520" s="2" t="str">
        <f>"R_RPA_INDIVID"</f>
        <v>R_RPA_INDIVID</v>
      </c>
      <c r="G1520" s="2" t="str">
        <f t="shared" si="139"/>
        <v xml:space="preserve"> ()</v>
      </c>
    </row>
    <row r="1521" spans="1:7" x14ac:dyDescent="0.3">
      <c r="A1521" s="1" t="s">
        <v>4</v>
      </c>
      <c r="B1521" s="2" t="str">
        <f t="shared" si="135"/>
        <v>SISTEMA FATURAMENTO AMBULATORIO SUS</v>
      </c>
      <c r="C1521" s="2" t="str">
        <f t="shared" si="136"/>
        <v>FATUR-SUS</v>
      </c>
      <c r="D1521" s="2" t="str">
        <f t="shared" si="137"/>
        <v>FFAS</v>
      </c>
      <c r="E1521" s="2" t="str">
        <f>"RELATORIO CONSOLIDADO"</f>
        <v>RELATORIO CONSOLIDADO</v>
      </c>
      <c r="F1521" s="2" t="str">
        <f>"R_RPA_CONSOLI"</f>
        <v>R_RPA_CONSOLI</v>
      </c>
      <c r="G1521" s="2" t="str">
        <f t="shared" si="139"/>
        <v xml:space="preserve"> ()</v>
      </c>
    </row>
    <row r="1522" spans="1:7" x14ac:dyDescent="0.3">
      <c r="A1522" s="1" t="s">
        <v>4</v>
      </c>
      <c r="B1522" s="2" t="str">
        <f t="shared" si="135"/>
        <v>SISTEMA FATURAMENTO AMBULATORIO SUS</v>
      </c>
      <c r="C1522" s="2" t="str">
        <f t="shared" si="136"/>
        <v>FATUR-SUS</v>
      </c>
      <c r="D1522" s="2" t="str">
        <f t="shared" si="137"/>
        <v>FFAS</v>
      </c>
      <c r="E1522" s="2" t="str">
        <f>"LISTAGEM DE APAC'S DIGITADAS"</f>
        <v>LISTAGEM DE APAC'S DIGITADAS</v>
      </c>
      <c r="F1522" s="2" t="str">
        <f>"R_LISTA_APAC.RDF"</f>
        <v>R_LISTA_APAC.RDF</v>
      </c>
      <c r="G1522" s="2" t="str">
        <f t="shared" si="139"/>
        <v xml:space="preserve"> ()</v>
      </c>
    </row>
    <row r="1523" spans="1:7" x14ac:dyDescent="0.3">
      <c r="A1523" s="1" t="s">
        <v>4</v>
      </c>
      <c r="B1523" s="2" t="str">
        <f t="shared" si="135"/>
        <v>SISTEMA FATURAMENTO AMBULATORIO SUS</v>
      </c>
      <c r="C1523" s="2" t="str">
        <f t="shared" si="136"/>
        <v>FATUR-SUS</v>
      </c>
      <c r="D1523" s="2" t="str">
        <f t="shared" si="137"/>
        <v>FFAS</v>
      </c>
      <c r="E1523" s="2" t="str">
        <f>"RELATÓRIO DE FATURAMENTO GLOBAL"</f>
        <v>RELATÓRIO DE FATURAMENTO GLOBAL</v>
      </c>
      <c r="F1523" s="2" t="str">
        <f>"R_FATSIA_P321.RDF"</f>
        <v>R_FATSIA_P321.RDF</v>
      </c>
      <c r="G1523" s="2" t="str">
        <f t="shared" si="139"/>
        <v xml:space="preserve"> ()</v>
      </c>
    </row>
    <row r="1524" spans="1:7" x14ac:dyDescent="0.3">
      <c r="A1524" s="1" t="s">
        <v>4</v>
      </c>
      <c r="B1524" s="2" t="str">
        <f t="shared" si="135"/>
        <v>SISTEMA FATURAMENTO AMBULATORIO SUS</v>
      </c>
      <c r="C1524" s="2" t="str">
        <f t="shared" si="136"/>
        <v>FATUR-SUS</v>
      </c>
      <c r="D1524" s="2" t="str">
        <f t="shared" si="137"/>
        <v>FFAS</v>
      </c>
      <c r="E1524" s="2" t="str">
        <f>"RELAÇÃO NOMINAL POR PRESTADOR E ORIGEM"</f>
        <v>RELAÇÃO NOMINAL POR PRESTADOR E ORIGEM</v>
      </c>
      <c r="F1524" s="2" t="str">
        <f>"R_RELACAO_NOMINAL_ORIGEM.RDF"</f>
        <v>R_RELACAO_NOMINAL_ORIGEM.RDF</v>
      </c>
      <c r="G1524" s="2" t="str">
        <f t="shared" si="139"/>
        <v xml:space="preserve"> ()</v>
      </c>
    </row>
    <row r="1525" spans="1:7" x14ac:dyDescent="0.3">
      <c r="A1525" s="1" t="s">
        <v>4</v>
      </c>
      <c r="B1525" s="2" t="str">
        <f t="shared" ref="B1525:B1588" si="140">"SISTEMA DE CUSTOS HOSPITALARES"</f>
        <v>SISTEMA DE CUSTOS HOSPITALARES</v>
      </c>
      <c r="C1525" s="2" t="str">
        <f t="shared" ref="C1525:C1588" si="141">"CONTR"</f>
        <v>CONTR</v>
      </c>
      <c r="D1525" s="2" t="str">
        <f t="shared" ref="D1525:D1588" si="142">"FFCH"</f>
        <v>FFCH</v>
      </c>
      <c r="E1525" s="2" t="str">
        <f>"REL RESULTADO ATENDIMENTO CONSOLIDADO"</f>
        <v>REL RESULTADO ATENDIMENTO CONSOLIDADO</v>
      </c>
      <c r="F1525" s="2" t="str">
        <f>"R_CUSTO_FINAL_PAC_CONS.RDF"</f>
        <v>R_CUSTO_FINAL_PAC_CONS.RDF</v>
      </c>
      <c r="G1525" s="2" t="str">
        <f t="shared" si="139"/>
        <v xml:space="preserve"> ()</v>
      </c>
    </row>
    <row r="1526" spans="1:7" x14ac:dyDescent="0.3">
      <c r="A1526" s="1" t="s">
        <v>4</v>
      </c>
      <c r="B1526" s="2" t="str">
        <f t="shared" si="140"/>
        <v>SISTEMA DE CUSTOS HOSPITALARES</v>
      </c>
      <c r="C1526" s="2" t="str">
        <f t="shared" si="141"/>
        <v>CONTR</v>
      </c>
      <c r="D1526" s="2" t="str">
        <f t="shared" si="142"/>
        <v>FFCH</v>
      </c>
      <c r="E1526" s="2" t="str">
        <f>"PROCEDIMENTOS"</f>
        <v>PROCEDIMENTOS</v>
      </c>
      <c r="F1526" s="2" t="str">
        <f>"R_ITEM_PROCEDIMENTO"</f>
        <v>R_ITEM_PROCEDIMENTO</v>
      </c>
      <c r="G1526" s="2" t="str">
        <f>"Controladoria / Custos / Relatórios / Tabelas / Procedimentos (R_ITEM_PROCEDIMENTO)"</f>
        <v>Controladoria / Custos / Relatórios / Tabelas / Procedimentos (R_ITEM_PROCEDIMENTO)</v>
      </c>
    </row>
    <row r="1527" spans="1:7" x14ac:dyDescent="0.3">
      <c r="A1527" s="1" t="s">
        <v>4</v>
      </c>
      <c r="B1527" s="2" t="str">
        <f t="shared" si="140"/>
        <v>SISTEMA DE CUSTOS HOSPITALARES</v>
      </c>
      <c r="C1527" s="2" t="str">
        <f t="shared" si="141"/>
        <v>CONTR</v>
      </c>
      <c r="D1527" s="2" t="str">
        <f t="shared" si="142"/>
        <v>FFCH</v>
      </c>
      <c r="E1527" s="2" t="str">
        <f>"R_CUSTO_CENTRO_CIRURGICO"</f>
        <v>R_CUSTO_CENTRO_CIRURGICO</v>
      </c>
      <c r="F1527" s="2" t="str">
        <f>"R_CUSTO_CENTRO_CIRURGICO"</f>
        <v>R_CUSTO_CENTRO_CIRURGICO</v>
      </c>
      <c r="G1527" s="2" t="str">
        <f>" ()"</f>
        <v xml:space="preserve"> ()</v>
      </c>
    </row>
    <row r="1528" spans="1:7" x14ac:dyDescent="0.3">
      <c r="A1528" s="1" t="s">
        <v>4</v>
      </c>
      <c r="B1528" s="2" t="str">
        <f t="shared" si="140"/>
        <v>SISTEMA DE CUSTOS HOSPITALARES</v>
      </c>
      <c r="C1528" s="2" t="str">
        <f t="shared" si="141"/>
        <v>CONTR</v>
      </c>
      <c r="D1528" s="2" t="str">
        <f t="shared" si="142"/>
        <v>FFCH</v>
      </c>
      <c r="E1528" s="2" t="str">
        <f>"CONFIGURAÇÃO DAS EXCEÇÕES DAS CLASSES"</f>
        <v>CONFIGURAÇÃO DAS EXCEÇÕES DAS CLASSES</v>
      </c>
      <c r="F1528" s="2" t="str">
        <f>"M_CONFIG_EXCECAO_CLASSE"</f>
        <v>M_CONFIG_EXCECAO_CLASSE</v>
      </c>
      <c r="G1528" s="2" t="str">
        <f>" ()"</f>
        <v xml:space="preserve"> ()</v>
      </c>
    </row>
    <row r="1529" spans="1:7" x14ac:dyDescent="0.3">
      <c r="A1529" s="1" t="s">
        <v>4</v>
      </c>
      <c r="B1529" s="2" t="str">
        <f t="shared" si="140"/>
        <v>SISTEMA DE CUSTOS HOSPITALARES</v>
      </c>
      <c r="C1529" s="2" t="str">
        <f t="shared" si="141"/>
        <v>CONTR</v>
      </c>
      <c r="D1529" s="2" t="str">
        <f t="shared" si="142"/>
        <v>FFCH</v>
      </c>
      <c r="E1529" s="2" t="str">
        <f>"M_ITEM_PRODUCAO_PS"</f>
        <v>M_ITEM_PRODUCAO_PS</v>
      </c>
      <c r="F1529" s="2" t="str">
        <f>"M_ITEM_PRODUCAO_PS"</f>
        <v>M_ITEM_PRODUCAO_PS</v>
      </c>
      <c r="G1529" s="2" t="str">
        <f>" ()"</f>
        <v xml:space="preserve"> ()</v>
      </c>
    </row>
    <row r="1530" spans="1:7" x14ac:dyDescent="0.3">
      <c r="A1530" s="1" t="s">
        <v>4</v>
      </c>
      <c r="B1530" s="2" t="str">
        <f t="shared" si="140"/>
        <v>SISTEMA DE CUSTOS HOSPITALARES</v>
      </c>
      <c r="C1530" s="2" t="str">
        <f t="shared" si="141"/>
        <v>CONTR</v>
      </c>
      <c r="D1530" s="2" t="str">
        <f t="shared" si="142"/>
        <v>FFCH</v>
      </c>
      <c r="E1530" s="2" t="str">
        <f>"ANÁLISE DE OXIGÊNIO"</f>
        <v>ANÁLISE DE OXIGÊNIO</v>
      </c>
      <c r="F1530" s="2" t="str">
        <f>"R_ANALISE_OXIGENIO"</f>
        <v>R_ANALISE_OXIGENIO</v>
      </c>
      <c r="G1530" s="2" t="str">
        <f>"Controladoria / Custos / Relatórios / Análise de Oxigênio (R_ANALISE_OXIGENIO)"</f>
        <v>Controladoria / Custos / Relatórios / Análise de Oxigênio (R_ANALISE_OXIGENIO)</v>
      </c>
    </row>
    <row r="1531" spans="1:7" x14ac:dyDescent="0.3">
      <c r="A1531" s="1" t="s">
        <v>4</v>
      </c>
      <c r="B1531" s="2" t="str">
        <f t="shared" si="140"/>
        <v>SISTEMA DE CUSTOS HOSPITALARES</v>
      </c>
      <c r="C1531" s="2" t="str">
        <f t="shared" si="141"/>
        <v>CONTR</v>
      </c>
      <c r="D1531" s="2" t="str">
        <f t="shared" si="142"/>
        <v>FFCH</v>
      </c>
      <c r="E1531" s="2" t="str">
        <f>"M_REG_EXC_MATMED"</f>
        <v>M_REG_EXC_MATMED</v>
      </c>
      <c r="F1531" s="2" t="str">
        <f>"M_REG_EXC_MATMED"</f>
        <v>M_REG_EXC_MATMED</v>
      </c>
      <c r="G1531" s="2" t="str">
        <f>" ()"</f>
        <v xml:space="preserve"> ()</v>
      </c>
    </row>
    <row r="1532" spans="1:7" x14ac:dyDescent="0.3">
      <c r="A1532" s="1" t="s">
        <v>4</v>
      </c>
      <c r="B1532" s="2" t="str">
        <f t="shared" si="140"/>
        <v>SISTEMA DE CUSTOS HOSPITALARES</v>
      </c>
      <c r="C1532" s="2" t="str">
        <f t="shared" si="141"/>
        <v>CONTR</v>
      </c>
      <c r="D1532" s="2" t="str">
        <f t="shared" si="142"/>
        <v>FFCH</v>
      </c>
      <c r="E1532" s="2" t="str">
        <f>"CADASTRO DE EMPRESAS"</f>
        <v>CADASTRO DE EMPRESAS</v>
      </c>
      <c r="F1532" s="2" t="str">
        <f>"M_EMPRESA"</f>
        <v>M_EMPRESA</v>
      </c>
      <c r="G1532" s="2" t="str">
        <f>"Serviços de Apoio / Laprod / Tabelas / Empresas (M_EMPRESA)"</f>
        <v>Serviços de Apoio / Laprod / Tabelas / Empresas (M_EMPRESA)</v>
      </c>
    </row>
    <row r="1533" spans="1:7" x14ac:dyDescent="0.3">
      <c r="A1533" s="1" t="s">
        <v>4</v>
      </c>
      <c r="B1533" s="2" t="str">
        <f t="shared" si="140"/>
        <v>SISTEMA DE CUSTOS HOSPITALARES</v>
      </c>
      <c r="C1533" s="2" t="str">
        <f t="shared" si="141"/>
        <v>CONTR</v>
      </c>
      <c r="D1533" s="2" t="str">
        <f t="shared" si="142"/>
        <v>FFCH</v>
      </c>
      <c r="E1533" s="2" t="str">
        <f>"CADASTRO DE EMPRESAS"</f>
        <v>CADASTRO DE EMPRESAS</v>
      </c>
      <c r="F1533" s="2" t="str">
        <f>"M_EMPRESA"</f>
        <v>M_EMPRESA</v>
      </c>
      <c r="G1533" s="2" t="str">
        <f>"Controladoria / Custos / Configurações / Empresa (M_EMPRESA)"</f>
        <v>Controladoria / Custos / Configurações / Empresa (M_EMPRESA)</v>
      </c>
    </row>
    <row r="1534" spans="1:7" x14ac:dyDescent="0.3">
      <c r="A1534" s="1" t="s">
        <v>4</v>
      </c>
      <c r="B1534" s="2" t="str">
        <f t="shared" si="140"/>
        <v>SISTEMA DE CUSTOS HOSPITALARES</v>
      </c>
      <c r="C1534" s="2" t="str">
        <f t="shared" si="141"/>
        <v>CONTR</v>
      </c>
      <c r="D1534" s="2" t="str">
        <f t="shared" si="142"/>
        <v>FFCH</v>
      </c>
      <c r="E1534" s="2" t="str">
        <f>"CADASTRO DE EMPRESAS"</f>
        <v>CADASTRO DE EMPRESAS</v>
      </c>
      <c r="F1534" s="2" t="str">
        <f>"M_EMPRESA"</f>
        <v>M_EMPRESA</v>
      </c>
      <c r="G1534" s="2" t="str">
        <f>"Controladoria / Custos / Configurações / Empresas (M_EMPRESA)"</f>
        <v>Controladoria / Custos / Configurações / Empresas (M_EMPRESA)</v>
      </c>
    </row>
    <row r="1535" spans="1:7" x14ac:dyDescent="0.3">
      <c r="A1535" s="1" t="s">
        <v>4</v>
      </c>
      <c r="B1535" s="2" t="str">
        <f t="shared" si="140"/>
        <v>SISTEMA DE CUSTOS HOSPITALARES</v>
      </c>
      <c r="C1535" s="2" t="str">
        <f t="shared" si="141"/>
        <v>CONTR</v>
      </c>
      <c r="D1535" s="2" t="str">
        <f t="shared" si="142"/>
        <v>FFCH</v>
      </c>
      <c r="E1535" s="2" t="str">
        <f>"CADASTRO DE EMPRESAS"</f>
        <v>CADASTRO DE EMPRESAS</v>
      </c>
      <c r="F1535" s="2" t="str">
        <f>"M_EMPRESA"</f>
        <v>M_EMPRESA</v>
      </c>
      <c r="G1535" s="2" t="str">
        <f>"MVSaude / Cadastros / Empresas (M_EMPRESA)"</f>
        <v>MVSaude / Cadastros / Empresas (M_EMPRESA)</v>
      </c>
    </row>
    <row r="1536" spans="1:7" x14ac:dyDescent="0.3">
      <c r="A1536" s="1" t="s">
        <v>4</v>
      </c>
      <c r="B1536" s="2" t="str">
        <f t="shared" si="140"/>
        <v>SISTEMA DE CUSTOS HOSPITALARES</v>
      </c>
      <c r="C1536" s="2" t="str">
        <f t="shared" si="141"/>
        <v>CONTR</v>
      </c>
      <c r="D1536" s="2" t="str">
        <f t="shared" si="142"/>
        <v>FFCH</v>
      </c>
      <c r="E1536" s="2" t="str">
        <f>"LANCAMENTO DOS CUSTOS DIRETS"</f>
        <v>LANCAMENTO DOS CUSTOS DIRETS</v>
      </c>
      <c r="F1536" s="2" t="str">
        <f>"LANCA_DIRETOS"</f>
        <v>LANCA_DIRETOS</v>
      </c>
      <c r="G1536" s="2" t="str">
        <f t="shared" ref="G1536:G1542" si="143">" ()"</f>
        <v xml:space="preserve"> ()</v>
      </c>
    </row>
    <row r="1537" spans="1:7" x14ac:dyDescent="0.3">
      <c r="A1537" s="1" t="s">
        <v>4</v>
      </c>
      <c r="B1537" s="2" t="str">
        <f t="shared" si="140"/>
        <v>SISTEMA DE CUSTOS HOSPITALARES</v>
      </c>
      <c r="C1537" s="2" t="str">
        <f t="shared" si="141"/>
        <v>CONTR</v>
      </c>
      <c r="D1537" s="2" t="str">
        <f t="shared" si="142"/>
        <v>FFCH</v>
      </c>
      <c r="E1537" s="2" t="str">
        <f>"WIN_PRINCIPAL"</f>
        <v>WIN_PRINCIPAL</v>
      </c>
      <c r="F1537" s="2" t="str">
        <f>"M_CONFIG_EXCECAO_PRODUTO"</f>
        <v>M_CONFIG_EXCECAO_PRODUTO</v>
      </c>
      <c r="G1537" s="2" t="str">
        <f t="shared" si="143"/>
        <v xml:space="preserve"> ()</v>
      </c>
    </row>
    <row r="1538" spans="1:7" x14ac:dyDescent="0.3">
      <c r="A1538" s="1" t="s">
        <v>4</v>
      </c>
      <c r="B1538" s="2" t="str">
        <f t="shared" si="140"/>
        <v>SISTEMA DE CUSTOS HOSPITALARES</v>
      </c>
      <c r="C1538" s="2" t="str">
        <f t="shared" si="141"/>
        <v>CONTR</v>
      </c>
      <c r="D1538" s="2" t="str">
        <f t="shared" si="142"/>
        <v>FFCH</v>
      </c>
      <c r="E1538" s="2" t="str">
        <f>"FFCH_RATEIO_SETOR_GRAF"</f>
        <v>FFCH_RATEIO_SETOR_GRAF</v>
      </c>
      <c r="F1538" s="2" t="str">
        <f>"FFCH_RATEIO_SETOR_GRAF"</f>
        <v>FFCH_RATEIO_SETOR_GRAF</v>
      </c>
      <c r="G1538" s="2" t="str">
        <f t="shared" si="143"/>
        <v xml:space="preserve"> ()</v>
      </c>
    </row>
    <row r="1539" spans="1:7" x14ac:dyDescent="0.3">
      <c r="A1539" s="1" t="s">
        <v>4</v>
      </c>
      <c r="B1539" s="2" t="str">
        <f t="shared" si="140"/>
        <v>SISTEMA DE CUSTOS HOSPITALARES</v>
      </c>
      <c r="C1539" s="2" t="str">
        <f t="shared" si="141"/>
        <v>CONTR</v>
      </c>
      <c r="D1539" s="2" t="str">
        <f t="shared" si="142"/>
        <v>FFCH</v>
      </c>
      <c r="E1539" s="2" t="str">
        <f>"Resultado Consolidado"</f>
        <v>Resultado Consolidado</v>
      </c>
      <c r="F1539" s="2" t="str">
        <f>"R_CUSTO_RESULTADO_CONS"</f>
        <v>R_CUSTO_RESULTADO_CONS</v>
      </c>
      <c r="G1539" s="2" t="str">
        <f t="shared" si="143"/>
        <v xml:space="preserve"> ()</v>
      </c>
    </row>
    <row r="1540" spans="1:7" x14ac:dyDescent="0.3">
      <c r="A1540" s="1" t="s">
        <v>4</v>
      </c>
      <c r="B1540" s="2" t="str">
        <f t="shared" si="140"/>
        <v>SISTEMA DE CUSTOS HOSPITALARES</v>
      </c>
      <c r="C1540" s="2" t="str">
        <f t="shared" si="141"/>
        <v>CONTR</v>
      </c>
      <c r="D1540" s="2" t="str">
        <f t="shared" si="142"/>
        <v>FFCH</v>
      </c>
      <c r="E1540" s="2" t="str">
        <f>"Comparativo de Custos"</f>
        <v>Comparativo de Custos</v>
      </c>
      <c r="F1540" s="2" t="str">
        <f>"R_CUSTO_COMPARATIVO"</f>
        <v>R_CUSTO_COMPARATIVO</v>
      </c>
      <c r="G1540" s="2" t="str">
        <f t="shared" si="143"/>
        <v xml:space="preserve"> ()</v>
      </c>
    </row>
    <row r="1541" spans="1:7" x14ac:dyDescent="0.3">
      <c r="A1541" s="1" t="s">
        <v>4</v>
      </c>
      <c r="B1541" s="2" t="str">
        <f t="shared" si="140"/>
        <v>SISTEMA DE CUSTOS HOSPITALARES</v>
      </c>
      <c r="C1541" s="2" t="str">
        <f t="shared" si="141"/>
        <v>CONTR</v>
      </c>
      <c r="D1541" s="2" t="str">
        <f t="shared" si="142"/>
        <v>FFCH</v>
      </c>
      <c r="E1541" s="2" t="str">
        <f>"Resultado por Atendimento"</f>
        <v>Resultado por Atendimento</v>
      </c>
      <c r="F1541" s="2" t="str">
        <f>"R_CUSTO_RESULTADO_ATEN"</f>
        <v>R_CUSTO_RESULTADO_ATEN</v>
      </c>
      <c r="G1541" s="2" t="str">
        <f t="shared" si="143"/>
        <v xml:space="preserve"> ()</v>
      </c>
    </row>
    <row r="1542" spans="1:7" x14ac:dyDescent="0.3">
      <c r="A1542" s="1" t="s">
        <v>4</v>
      </c>
      <c r="B1542" s="2" t="str">
        <f t="shared" si="140"/>
        <v>SISTEMA DE CUSTOS HOSPITALARES</v>
      </c>
      <c r="C1542" s="2" t="str">
        <f t="shared" si="141"/>
        <v>CONTR</v>
      </c>
      <c r="D1542" s="2" t="str">
        <f t="shared" si="142"/>
        <v>FFCH</v>
      </c>
      <c r="E1542" s="2" t="str">
        <f>"Ficha Técnica"</f>
        <v>Ficha Técnica</v>
      </c>
      <c r="F1542" s="2" t="str">
        <f>"M_CUSTO_FICHATECN"</f>
        <v>M_CUSTO_FICHATECN</v>
      </c>
      <c r="G1542" s="2" t="str">
        <f t="shared" si="143"/>
        <v xml:space="preserve"> ()</v>
      </c>
    </row>
    <row r="1543" spans="1:7" x14ac:dyDescent="0.3">
      <c r="A1543" s="1" t="s">
        <v>4</v>
      </c>
      <c r="B1543" s="2" t="str">
        <f t="shared" si="140"/>
        <v>SISTEMA DE CUSTOS HOSPITALARES</v>
      </c>
      <c r="C1543" s="2" t="str">
        <f t="shared" si="141"/>
        <v>CONTR</v>
      </c>
      <c r="D1543" s="2" t="str">
        <f t="shared" si="142"/>
        <v>FFCH</v>
      </c>
      <c r="E1543" s="2" t="str">
        <f>"CONSUMO BASE FATURAMENTO"</f>
        <v>CONSUMO BASE FATURAMENTO</v>
      </c>
      <c r="F1543" s="2" t="str">
        <f>"M_REGRA_EXC_MATMED"</f>
        <v>M_REGRA_EXC_MATMED</v>
      </c>
      <c r="G1543" s="2" t="str">
        <f>"Controladoria / Custos / Configurações / Faturamento / Consumo Base Faturamento (M_REGRA_EXC_MATMED)"</f>
        <v>Controladoria / Custos / Configurações / Faturamento / Consumo Base Faturamento (M_REGRA_EXC_MATMED)</v>
      </c>
    </row>
    <row r="1544" spans="1:7" x14ac:dyDescent="0.3">
      <c r="A1544" s="1" t="s">
        <v>4</v>
      </c>
      <c r="B1544" s="2" t="str">
        <f t="shared" si="140"/>
        <v>SISTEMA DE CUSTOS HOSPITALARES</v>
      </c>
      <c r="C1544" s="2" t="str">
        <f t="shared" si="141"/>
        <v>CONTR</v>
      </c>
      <c r="D1544" s="2" t="str">
        <f t="shared" si="142"/>
        <v>FFCH</v>
      </c>
      <c r="E1544" s="2" t="str">
        <f>"LANCAMENTO DE RECEITAS POR CONVENIO"</f>
        <v>LANCAMENTO DE RECEITAS POR CONVENIO</v>
      </c>
      <c r="F1544" s="2" t="str">
        <f>"LANCA_RECEITAS"</f>
        <v>LANCA_RECEITAS</v>
      </c>
      <c r="G1544" s="2" t="str">
        <f>"Controladoria / Custos / Lançamentos / Receitas (LANCA_RECEITAS)"</f>
        <v>Controladoria / Custos / Lançamentos / Receitas (LANCA_RECEITAS)</v>
      </c>
    </row>
    <row r="1545" spans="1:7" x14ac:dyDescent="0.3">
      <c r="A1545" s="1" t="s">
        <v>4</v>
      </c>
      <c r="B1545" s="2" t="str">
        <f t="shared" si="140"/>
        <v>SISTEMA DE CUSTOS HOSPITALARES</v>
      </c>
      <c r="C1545" s="2" t="str">
        <f t="shared" si="141"/>
        <v>CONTR</v>
      </c>
      <c r="D1545" s="2" t="str">
        <f t="shared" si="142"/>
        <v>FFCH</v>
      </c>
      <c r="E1545" s="2" t="str">
        <f>"Custos das Acomodações ATUAL X SIMULADO"</f>
        <v>Custos das Acomodações ATUAL X SIMULADO</v>
      </c>
      <c r="F1545" s="2" t="str">
        <f>"R_CUSTO_ACOMOD_ATUALSIMUL"</f>
        <v>R_CUSTO_ACOMOD_ATUALSIMUL</v>
      </c>
      <c r="G1545" s="2" t="str">
        <f>"Controladoria / Custos / Relatórios / Custos das Acomodações / Custos das Acomodações ATUAL X SIMULADO (R_CUSTO_ACOMOD_ATUALSIMUL)"</f>
        <v>Controladoria / Custos / Relatórios / Custos das Acomodações / Custos das Acomodações ATUAL X SIMULADO (R_CUSTO_ACOMOD_ATUALSIMUL)</v>
      </c>
    </row>
    <row r="1546" spans="1:7" x14ac:dyDescent="0.3">
      <c r="A1546" s="1" t="s">
        <v>4</v>
      </c>
      <c r="B1546" s="2" t="str">
        <f t="shared" si="140"/>
        <v>SISTEMA DE CUSTOS HOSPITALARES</v>
      </c>
      <c r="C1546" s="2" t="str">
        <f t="shared" si="141"/>
        <v>CONTR</v>
      </c>
      <c r="D1546" s="2" t="str">
        <f t="shared" si="142"/>
        <v>FFCH</v>
      </c>
      <c r="E1546" s="2" t="str">
        <f>"AUTOMATICOS DAS RECEITAS DAS CONTAS"</f>
        <v>AUTOMATICOS DAS RECEITAS DAS CONTAS</v>
      </c>
      <c r="F1546" s="2" t="str">
        <f>"FFCH_M_LANC_AUTO_RECT"</f>
        <v>FFCH_M_LANC_AUTO_RECT</v>
      </c>
      <c r="G1546" s="2" t="str">
        <f>"Controladoria / Custos / Configurações / Lançamentos / Automaticos das Receitas das Contas (FFCH_M_LANC_AUTO_RECT)"</f>
        <v>Controladoria / Custos / Configurações / Lançamentos / Automaticos das Receitas das Contas (FFCH_M_LANC_AUTO_RECT)</v>
      </c>
    </row>
    <row r="1547" spans="1:7" x14ac:dyDescent="0.3">
      <c r="A1547" s="1" t="s">
        <v>4</v>
      </c>
      <c r="B1547" s="2" t="str">
        <f t="shared" si="140"/>
        <v>SISTEMA DE CUSTOS HOSPITALARES</v>
      </c>
      <c r="C1547" s="2" t="str">
        <f t="shared" si="141"/>
        <v>CONTR</v>
      </c>
      <c r="D1547" s="2" t="str">
        <f t="shared" si="142"/>
        <v>FFCH</v>
      </c>
      <c r="E1547" s="2" t="str">
        <f>"Cadastro dos Modelos"</f>
        <v>Cadastro dos Modelos</v>
      </c>
      <c r="F1547" s="2" t="str">
        <f>"FFCH_MODELO_WIZARD_3"</f>
        <v>FFCH_MODELO_WIZARD_3</v>
      </c>
      <c r="G1547" s="2" t="str">
        <f>" ()"</f>
        <v xml:space="preserve"> ()</v>
      </c>
    </row>
    <row r="1548" spans="1:7" x14ac:dyDescent="0.3">
      <c r="A1548" s="1" t="s">
        <v>4</v>
      </c>
      <c r="B1548" s="2" t="str">
        <f t="shared" si="140"/>
        <v>SISTEMA DE CUSTOS HOSPITALARES</v>
      </c>
      <c r="C1548" s="2" t="str">
        <f t="shared" si="141"/>
        <v>CONTR</v>
      </c>
      <c r="D1548" s="2" t="str">
        <f t="shared" si="142"/>
        <v>FFCH</v>
      </c>
      <c r="E1548" s="2" t="str">
        <f>"Geração Carga SUS"</f>
        <v>Geração Carga SUS</v>
      </c>
      <c r="F1548" s="2" t="str">
        <f>"O_GERA_CARGA_SUS"</f>
        <v>O_GERA_CARGA_SUS</v>
      </c>
      <c r="G1548" s="2" t="str">
        <f>"Geração Receita Sus (Custos) (O_GERA_CARGA_SUS)"</f>
        <v>Geração Receita Sus (Custos) (O_GERA_CARGA_SUS)</v>
      </c>
    </row>
    <row r="1549" spans="1:7" x14ac:dyDescent="0.3">
      <c r="A1549" s="1" t="s">
        <v>4</v>
      </c>
      <c r="B1549" s="2" t="str">
        <f t="shared" si="140"/>
        <v>SISTEMA DE CUSTOS HOSPITALARES</v>
      </c>
      <c r="C1549" s="2" t="str">
        <f t="shared" si="141"/>
        <v>CONTR</v>
      </c>
      <c r="D1549" s="2" t="str">
        <f t="shared" si="142"/>
        <v>FFCH</v>
      </c>
      <c r="E1549" s="2" t="str">
        <f>"Geração Carga SUS"</f>
        <v>Geração Carga SUS</v>
      </c>
      <c r="F1549" s="2" t="str">
        <f>"O_GERA_CARGA_SUS"</f>
        <v>O_GERA_CARGA_SUS</v>
      </c>
      <c r="G1549" s="2" t="str">
        <f>"Faturamento / Faturamento de Internação SUS (AIH) / Tabelas / Gerais / Geração Receita Sus (Custos) (O_GERA_CARGA_SUS)"</f>
        <v>Faturamento / Faturamento de Internação SUS (AIH) / Tabelas / Gerais / Geração Receita Sus (Custos) (O_GERA_CARGA_SUS)</v>
      </c>
    </row>
    <row r="1550" spans="1:7" x14ac:dyDescent="0.3">
      <c r="A1550" s="1" t="s">
        <v>4</v>
      </c>
      <c r="B1550" s="2" t="str">
        <f t="shared" si="140"/>
        <v>SISTEMA DE CUSTOS HOSPITALARES</v>
      </c>
      <c r="C1550" s="2" t="str">
        <f t="shared" si="141"/>
        <v>CONTR</v>
      </c>
      <c r="D1550" s="2" t="str">
        <f t="shared" si="142"/>
        <v>FFCH</v>
      </c>
      <c r="E1550" s="2" t="str">
        <f>"Atendimento detalhadao COMPUTO"</f>
        <v>Atendimento detalhadao COMPUTO</v>
      </c>
      <c r="F1550" s="2" t="str">
        <f>"ATENDIMENTO_DETALHADO"</f>
        <v>ATENDIMENTO_DETALHADO</v>
      </c>
      <c r="G1550" s="2" t="str">
        <f>" ()"</f>
        <v xml:space="preserve"> ()</v>
      </c>
    </row>
    <row r="1551" spans="1:7" x14ac:dyDescent="0.3">
      <c r="A1551" s="1" t="s">
        <v>4</v>
      </c>
      <c r="B1551" s="2" t="str">
        <f t="shared" si="140"/>
        <v>SISTEMA DE CUSTOS HOSPITALARES</v>
      </c>
      <c r="C1551" s="2" t="str">
        <f t="shared" si="141"/>
        <v>CONTR</v>
      </c>
      <c r="D1551" s="2" t="str">
        <f t="shared" si="142"/>
        <v>FFCH</v>
      </c>
      <c r="E1551" s="2" t="str">
        <f>"SINTÉTICO DO CENTRO CIRÚRGICO"</f>
        <v>SINTÉTICO DO CENTRO CIRÚRGICO</v>
      </c>
      <c r="F1551" s="2" t="str">
        <f>"R_SINTETICO_CENCIR"</f>
        <v>R_SINTETICO_CENCIR</v>
      </c>
      <c r="G1551" s="2" t="str">
        <f>"Controladoria / Custos / Relatórios / Centro Cirúrgico / Custo Tempo de Sala (R_SINTETICO_CENCIR)"</f>
        <v>Controladoria / Custos / Relatórios / Centro Cirúrgico / Custo Tempo de Sala (R_SINTETICO_CENCIR)</v>
      </c>
    </row>
    <row r="1552" spans="1:7" x14ac:dyDescent="0.3">
      <c r="A1552" s="1" t="s">
        <v>4</v>
      </c>
      <c r="B1552" s="2" t="str">
        <f t="shared" si="140"/>
        <v>SISTEMA DE CUSTOS HOSPITALARES</v>
      </c>
      <c r="C1552" s="2" t="str">
        <f t="shared" si="141"/>
        <v>CONTR</v>
      </c>
      <c r="D1552" s="2" t="str">
        <f t="shared" si="142"/>
        <v>FFCH</v>
      </c>
      <c r="E1552" s="2" t="str">
        <f>"RESULTADO DO TRATAMENTO POR ATENDIMENTO"</f>
        <v>RESULTADO DO TRATAMENTO POR ATENDIMENTO</v>
      </c>
      <c r="F1552" s="2" t="str">
        <f>"R_RESULT_TRAT_ATEND"</f>
        <v>R_RESULT_TRAT_ATEND</v>
      </c>
      <c r="G1552" s="2" t="str">
        <f>"Controladoria / Custos / Relatórios / Análise do Tratamento do Atendimento / Resultado dos Tratamento/Atendimento Consolidados (R_RESULT_TRAT_ATEND)"</f>
        <v>Controladoria / Custos / Relatórios / Análise do Tratamento do Atendimento / Resultado dos Tratamento/Atendimento Consolidados (R_RESULT_TRAT_ATEND)</v>
      </c>
    </row>
    <row r="1553" spans="1:7" x14ac:dyDescent="0.3">
      <c r="A1553" s="1" t="s">
        <v>4</v>
      </c>
      <c r="B1553" s="2" t="str">
        <f t="shared" si="140"/>
        <v>SISTEMA DE CUSTOS HOSPITALARES</v>
      </c>
      <c r="C1553" s="2" t="str">
        <f t="shared" si="141"/>
        <v>CONTR</v>
      </c>
      <c r="D1553" s="2" t="str">
        <f t="shared" si="142"/>
        <v>FFCH</v>
      </c>
      <c r="E1553" s="2" t="str">
        <f>"RATEIO POR SETOR"</f>
        <v>RATEIO POR SETOR</v>
      </c>
      <c r="F1553" s="2" t="str">
        <f>"R_RATEIO_SETOR"</f>
        <v>R_RATEIO_SETOR</v>
      </c>
      <c r="G1553" s="2" t="str">
        <f>"Controladoria / Custos / Relatórios / Custos Primários e Rateios dos Centros de Custos / Rateios do Centro de Custo (R_RATEIO_SETOR)"</f>
        <v>Controladoria / Custos / Relatórios / Custos Primários e Rateios dos Centros de Custos / Rateios do Centro de Custo (R_RATEIO_SETOR)</v>
      </c>
    </row>
    <row r="1554" spans="1:7" x14ac:dyDescent="0.3">
      <c r="A1554" s="1" t="s">
        <v>4</v>
      </c>
      <c r="B1554" s="2" t="str">
        <f t="shared" si="140"/>
        <v>SISTEMA DE CUSTOS HOSPITALARES</v>
      </c>
      <c r="C1554" s="2" t="str">
        <f t="shared" si="141"/>
        <v>CONTR</v>
      </c>
      <c r="D1554" s="2" t="str">
        <f t="shared" si="142"/>
        <v>FFCH</v>
      </c>
      <c r="E1554" s="2" t="str">
        <f>"R_DIARIAS"</f>
        <v>R_DIARIAS</v>
      </c>
      <c r="F1554" s="2" t="str">
        <f>"R_DIARIAS"</f>
        <v>R_DIARIAS</v>
      </c>
      <c r="G1554" s="2" t="str">
        <f>" ()"</f>
        <v xml:space="preserve"> ()</v>
      </c>
    </row>
    <row r="1555" spans="1:7" x14ac:dyDescent="0.3">
      <c r="A1555" s="1" t="s">
        <v>4</v>
      </c>
      <c r="B1555" s="2" t="str">
        <f t="shared" si="140"/>
        <v>SISTEMA DE CUSTOS HOSPITALARES</v>
      </c>
      <c r="C1555" s="2" t="str">
        <f t="shared" si="141"/>
        <v>CONTR</v>
      </c>
      <c r="D1555" s="2" t="str">
        <f t="shared" si="142"/>
        <v>FFCH</v>
      </c>
      <c r="E1555" s="2" t="str">
        <f>"CADASTRO: TIPOS DE ACOMODAÇÃO"</f>
        <v>CADASTRO: TIPOS DE ACOMODAÇÃO</v>
      </c>
      <c r="F1555" s="2" t="str">
        <f>"M_CONFIG_TIP_ACO"</f>
        <v>M_CONFIG_TIP_ACO</v>
      </c>
      <c r="G1555" s="2" t="str">
        <f>"Controladoria / Custos / Configurações / Tipos de Acomodação (M_CONFIG_TIP_ACO)"</f>
        <v>Controladoria / Custos / Configurações / Tipos de Acomodação (M_CONFIG_TIP_ACO)</v>
      </c>
    </row>
    <row r="1556" spans="1:7" x14ac:dyDescent="0.3">
      <c r="A1556" s="1" t="s">
        <v>4</v>
      </c>
      <c r="B1556" s="2" t="str">
        <f t="shared" si="140"/>
        <v>SISTEMA DE CUSTOS HOSPITALARES</v>
      </c>
      <c r="C1556" s="2" t="str">
        <f t="shared" si="141"/>
        <v>CONTR</v>
      </c>
      <c r="D1556" s="2" t="str">
        <f t="shared" si="142"/>
        <v>FFCH</v>
      </c>
      <c r="E1556" s="2" t="str">
        <f>"CADASTRO: PROCEDIMENTOS DE FATURAMENTO"</f>
        <v>CADASTRO: PROCEDIMENTOS DE FATURAMENTO</v>
      </c>
      <c r="F1556" s="2" t="str">
        <f>"M_ITEM_PRO_FAT"</f>
        <v>M_ITEM_PRO_FAT</v>
      </c>
      <c r="G1556" s="2" t="str">
        <f>" ()"</f>
        <v xml:space="preserve"> ()</v>
      </c>
    </row>
    <row r="1557" spans="1:7" x14ac:dyDescent="0.3">
      <c r="A1557" s="1" t="s">
        <v>4</v>
      </c>
      <c r="B1557" s="2" t="str">
        <f t="shared" si="140"/>
        <v>SISTEMA DE CUSTOS HOSPITALARES</v>
      </c>
      <c r="C1557" s="2" t="str">
        <f t="shared" si="141"/>
        <v>CONTR</v>
      </c>
      <c r="D1557" s="2" t="str">
        <f t="shared" si="142"/>
        <v>FFCH</v>
      </c>
      <c r="E1557" s="2" t="str">
        <f>"O_EXECUCAO"</f>
        <v>O_EXECUCAO</v>
      </c>
      <c r="F1557" s="2" t="str">
        <f>"O_EXECUCAO"</f>
        <v>O_EXECUCAO</v>
      </c>
      <c r="G1557" s="2" t="str">
        <f>" ()"</f>
        <v xml:space="preserve"> ()</v>
      </c>
    </row>
    <row r="1558" spans="1:7" x14ac:dyDescent="0.3">
      <c r="A1558" s="1" t="s">
        <v>4</v>
      </c>
      <c r="B1558" s="2" t="str">
        <f t="shared" si="140"/>
        <v>SISTEMA DE CUSTOS HOSPITALARES</v>
      </c>
      <c r="C1558" s="2" t="str">
        <f t="shared" si="141"/>
        <v>CONTR</v>
      </c>
      <c r="D1558" s="2" t="str">
        <f t="shared" si="142"/>
        <v>FFCH</v>
      </c>
      <c r="E1558" s="2" t="str">
        <f>"RELATÓRIO DE UNIDADE DE MENS. X SETOR"</f>
        <v>RELATÓRIO DE UNIDADE DE MENS. X SETOR</v>
      </c>
      <c r="F1558" s="2" t="str">
        <f>"R_UNIMEN_SETOR"</f>
        <v>R_UNIMEN_SETOR</v>
      </c>
      <c r="G1558" s="2" t="str">
        <f>" ()"</f>
        <v xml:space="preserve"> ()</v>
      </c>
    </row>
    <row r="1559" spans="1:7" x14ac:dyDescent="0.3">
      <c r="A1559" s="1" t="s">
        <v>4</v>
      </c>
      <c r="B1559" s="2" t="str">
        <f t="shared" si="140"/>
        <v>SISTEMA DE CUSTOS HOSPITALARES</v>
      </c>
      <c r="C1559" s="2" t="str">
        <f t="shared" si="141"/>
        <v>CONTR</v>
      </c>
      <c r="D1559" s="2" t="str">
        <f t="shared" si="142"/>
        <v>FFCH</v>
      </c>
      <c r="E1559" s="2" t="str">
        <f>"CONFIGURAÇÃO DAS EXCEÇÕES DOS PRODUTOS"</f>
        <v>CONFIGURAÇÃO DAS EXCEÇÕES DOS PRODUTOS</v>
      </c>
      <c r="F1559" s="2" t="str">
        <f>"M_CONFIG_EXCECAO"</f>
        <v>M_CONFIG_EXCECAO</v>
      </c>
      <c r="G1559" s="2" t="str">
        <f>"Controladoria / Custos / Configurações / Estoque / Produtos (M_CONFIG_EXCECAO)"</f>
        <v>Controladoria / Custos / Configurações / Estoque / Produtos (M_CONFIG_EXCECAO)</v>
      </c>
    </row>
    <row r="1560" spans="1:7" x14ac:dyDescent="0.3">
      <c r="A1560" s="1" t="s">
        <v>4</v>
      </c>
      <c r="B1560" s="2" t="str">
        <f t="shared" si="140"/>
        <v>SISTEMA DE CUSTOS HOSPITALARES</v>
      </c>
      <c r="C1560" s="2" t="str">
        <f t="shared" si="141"/>
        <v>CONTR</v>
      </c>
      <c r="D1560" s="2" t="str">
        <f t="shared" si="142"/>
        <v>FFCH</v>
      </c>
      <c r="E1560" s="2" t="str">
        <f>"CONFIGURAÇÃO DAS EXCEÇÕES DOS PRODUTOS"</f>
        <v>CONFIGURAÇÃO DAS EXCEÇÕES DOS PRODUTOS</v>
      </c>
      <c r="F1560" s="2" t="str">
        <f>"M_CONFIG_EXCECAO"</f>
        <v>M_CONFIG_EXCECAO</v>
      </c>
      <c r="G1560" s="2" t="str">
        <f>"Clínica e Assistencial / Controle de Infecção Hospitalar / Exceções / Produtos (M_CONFIG_EXCECAO)"</f>
        <v>Clínica e Assistencial / Controle de Infecção Hospitalar / Exceções / Produtos (M_CONFIG_EXCECAO)</v>
      </c>
    </row>
    <row r="1561" spans="1:7" x14ac:dyDescent="0.3">
      <c r="A1561" s="1" t="s">
        <v>4</v>
      </c>
      <c r="B1561" s="2" t="str">
        <f t="shared" si="140"/>
        <v>SISTEMA DE CUSTOS HOSPITALARES</v>
      </c>
      <c r="C1561" s="2" t="str">
        <f t="shared" si="141"/>
        <v>CONTR</v>
      </c>
      <c r="D1561" s="2" t="str">
        <f t="shared" si="142"/>
        <v>FFCH</v>
      </c>
      <c r="E1561" s="2" t="str">
        <f>"TIPO PRESTADOR X UNIDADE PRODUZIDA"</f>
        <v>TIPO PRESTADOR X UNIDADE PRODUZIDA</v>
      </c>
      <c r="F1561" s="2" t="str">
        <f>"M_PRESTADOR_UNIDPROD"</f>
        <v>M_PRESTADOR_UNIDPROD</v>
      </c>
      <c r="G1561" s="2" t="str">
        <f t="shared" ref="G1561:G1568" si="144">" ()"</f>
        <v xml:space="preserve"> ()</v>
      </c>
    </row>
    <row r="1562" spans="1:7" x14ac:dyDescent="0.3">
      <c r="A1562" s="1" t="s">
        <v>4</v>
      </c>
      <c r="B1562" s="2" t="str">
        <f t="shared" si="140"/>
        <v>SISTEMA DE CUSTOS HOSPITALARES</v>
      </c>
      <c r="C1562" s="2" t="str">
        <f t="shared" si="141"/>
        <v>CONTR</v>
      </c>
      <c r="D1562" s="2" t="str">
        <f t="shared" si="142"/>
        <v>FFCH</v>
      </c>
      <c r="E1562" s="2" t="str">
        <f>"FFCH_CUSTO_ONTIME"</f>
        <v>FFCH_CUSTO_ONTIME</v>
      </c>
      <c r="F1562" s="2" t="str">
        <f>"FFCH_CUSTO_ONTIME"</f>
        <v>FFCH_CUSTO_ONTIME</v>
      </c>
      <c r="G1562" s="2" t="str">
        <f t="shared" si="144"/>
        <v xml:space="preserve"> ()</v>
      </c>
    </row>
    <row r="1563" spans="1:7" x14ac:dyDescent="0.3">
      <c r="A1563" s="1" t="s">
        <v>4</v>
      </c>
      <c r="B1563" s="2" t="str">
        <f t="shared" si="140"/>
        <v>SISTEMA DE CUSTOS HOSPITALARES</v>
      </c>
      <c r="C1563" s="2" t="str">
        <f t="shared" si="141"/>
        <v>CONTR</v>
      </c>
      <c r="D1563" s="2" t="str">
        <f t="shared" si="142"/>
        <v>FFCH</v>
      </c>
      <c r="E1563" s="2" t="str">
        <f>"FFCH_IND_PRODUTIVIDADE"</f>
        <v>FFCH_IND_PRODUTIVIDADE</v>
      </c>
      <c r="F1563" s="2" t="str">
        <f>"FFCH_IND_PRODUTIVIDADE"</f>
        <v>FFCH_IND_PRODUTIVIDADE</v>
      </c>
      <c r="G1563" s="2" t="str">
        <f t="shared" si="144"/>
        <v xml:space="preserve"> ()</v>
      </c>
    </row>
    <row r="1564" spans="1:7" x14ac:dyDescent="0.3">
      <c r="A1564" s="1" t="s">
        <v>4</v>
      </c>
      <c r="B1564" s="2" t="str">
        <f t="shared" si="140"/>
        <v>SISTEMA DE CUSTOS HOSPITALARES</v>
      </c>
      <c r="C1564" s="2" t="str">
        <f t="shared" si="141"/>
        <v>CONTR</v>
      </c>
      <c r="D1564" s="2" t="str">
        <f t="shared" si="142"/>
        <v>FFCH</v>
      </c>
      <c r="E1564" s="2" t="str">
        <f>"FFCH_DIRECIONADOR"</f>
        <v>FFCH_DIRECIONADOR</v>
      </c>
      <c r="F1564" s="2" t="str">
        <f>"FFCH_DIRECIONADOR"</f>
        <v>FFCH_DIRECIONADOR</v>
      </c>
      <c r="G1564" s="2" t="str">
        <f t="shared" si="144"/>
        <v xml:space="preserve"> ()</v>
      </c>
    </row>
    <row r="1565" spans="1:7" x14ac:dyDescent="0.3">
      <c r="A1565" s="1" t="s">
        <v>4</v>
      </c>
      <c r="B1565" s="2" t="str">
        <f t="shared" si="140"/>
        <v>SISTEMA DE CUSTOS HOSPITALARES</v>
      </c>
      <c r="C1565" s="2" t="str">
        <f t="shared" si="141"/>
        <v>CONTR</v>
      </c>
      <c r="D1565" s="2" t="str">
        <f t="shared" si="142"/>
        <v>FFCH</v>
      </c>
      <c r="E1565" s="2" t="str">
        <f>"FFCH_RESULTADO"</f>
        <v>FFCH_RESULTADO</v>
      </c>
      <c r="F1565" s="2" t="str">
        <f>"FFCH_RESULTADO"</f>
        <v>FFCH_RESULTADO</v>
      </c>
      <c r="G1565" s="2" t="str">
        <f t="shared" si="144"/>
        <v xml:space="preserve"> ()</v>
      </c>
    </row>
    <row r="1566" spans="1:7" x14ac:dyDescent="0.3">
      <c r="A1566" s="1" t="s">
        <v>4</v>
      </c>
      <c r="B1566" s="2" t="str">
        <f t="shared" si="140"/>
        <v>SISTEMA DE CUSTOS HOSPITALARES</v>
      </c>
      <c r="C1566" s="2" t="str">
        <f t="shared" si="141"/>
        <v>CONTR</v>
      </c>
      <c r="D1566" s="2" t="str">
        <f t="shared" si="142"/>
        <v>FFCH</v>
      </c>
      <c r="E1566" s="2" t="str">
        <f>"FFCH_GRAF_ONTIME"</f>
        <v>FFCH_GRAF_ONTIME</v>
      </c>
      <c r="F1566" s="2" t="str">
        <f>"FFCH_GRAF_ONTIME"</f>
        <v>FFCH_GRAF_ONTIME</v>
      </c>
      <c r="G1566" s="2" t="str">
        <f t="shared" si="144"/>
        <v xml:space="preserve"> ()</v>
      </c>
    </row>
    <row r="1567" spans="1:7" x14ac:dyDescent="0.3">
      <c r="A1567" s="1" t="s">
        <v>4</v>
      </c>
      <c r="B1567" s="2" t="str">
        <f t="shared" si="140"/>
        <v>SISTEMA DE CUSTOS HOSPITALARES</v>
      </c>
      <c r="C1567" s="2" t="str">
        <f t="shared" si="141"/>
        <v>CONTR</v>
      </c>
      <c r="D1567" s="2" t="str">
        <f t="shared" si="142"/>
        <v>FFCH</v>
      </c>
      <c r="E1567" s="2" t="str">
        <f>"FFCH_GRAF_PRODUTIVIDADE"</f>
        <v>FFCH_GRAF_PRODUTIVIDADE</v>
      </c>
      <c r="F1567" s="2" t="str">
        <f>"FFCH_GRAF_PRODUTIVIDADE"</f>
        <v>FFCH_GRAF_PRODUTIVIDADE</v>
      </c>
      <c r="G1567" s="2" t="str">
        <f t="shared" si="144"/>
        <v xml:space="preserve"> ()</v>
      </c>
    </row>
    <row r="1568" spans="1:7" x14ac:dyDescent="0.3">
      <c r="A1568" s="1" t="s">
        <v>4</v>
      </c>
      <c r="B1568" s="2" t="str">
        <f t="shared" si="140"/>
        <v>SISTEMA DE CUSTOS HOSPITALARES</v>
      </c>
      <c r="C1568" s="2" t="str">
        <f t="shared" si="141"/>
        <v>CONTR</v>
      </c>
      <c r="D1568" s="2" t="str">
        <f t="shared" si="142"/>
        <v>FFCH</v>
      </c>
      <c r="E1568" s="2" t="str">
        <f>"REL DE RATEIO E PROD. DOS CENT.DE CUSTOS"</f>
        <v>REL DE RATEIO E PROD. DOS CENT.DE CUSTOS</v>
      </c>
      <c r="F1568" s="2" t="str">
        <f>"R_RATEIO_PROD_CEN_CUSTO"</f>
        <v>R_RATEIO_PROD_CEN_CUSTO</v>
      </c>
      <c r="G1568" s="2" t="str">
        <f t="shared" si="144"/>
        <v xml:space="preserve"> ()</v>
      </c>
    </row>
    <row r="1569" spans="1:7" x14ac:dyDescent="0.3">
      <c r="A1569" s="1" t="s">
        <v>4</v>
      </c>
      <c r="B1569" s="2" t="str">
        <f t="shared" si="140"/>
        <v>SISTEMA DE CUSTOS HOSPITALARES</v>
      </c>
      <c r="C1569" s="2" t="str">
        <f t="shared" si="141"/>
        <v>CONTR</v>
      </c>
      <c r="D1569" s="2" t="str">
        <f t="shared" si="142"/>
        <v>FFCH</v>
      </c>
      <c r="E1569" s="2" t="str">
        <f>"REL. PRODUCAO MENSAL POR CENTRO DE CUSTO"</f>
        <v>REL. PRODUCAO MENSAL POR CENTRO DE CUSTO</v>
      </c>
      <c r="F1569" s="2" t="str">
        <f>"R_GRUPO_ORIGEM_DESTINO"</f>
        <v>R_GRUPO_ORIGEM_DESTINO</v>
      </c>
      <c r="G1569" s="2" t="str">
        <f>"Controladoria / Custos / Relatórios / Produção / Produção Mensal por Grupo de Centro de Custo (R_GRUPO_ORIGEM_DESTINO)"</f>
        <v>Controladoria / Custos / Relatórios / Produção / Produção Mensal por Grupo de Centro de Custo (R_GRUPO_ORIGEM_DESTINO)</v>
      </c>
    </row>
    <row r="1570" spans="1:7" x14ac:dyDescent="0.3">
      <c r="A1570" s="1" t="s">
        <v>4</v>
      </c>
      <c r="B1570" s="2" t="str">
        <f t="shared" si="140"/>
        <v>SISTEMA DE CUSTOS HOSPITALARES</v>
      </c>
      <c r="C1570" s="2" t="str">
        <f t="shared" si="141"/>
        <v>CONTR</v>
      </c>
      <c r="D1570" s="2" t="str">
        <f t="shared" si="142"/>
        <v>FFCH</v>
      </c>
      <c r="E1570" s="2" t="str">
        <f>"R_RESULTADO_SETOR_GRAF"</f>
        <v>R_RESULTADO_SETOR_GRAF</v>
      </c>
      <c r="F1570" s="2" t="str">
        <f>"R_RESULTADO_SETOR_GRAF"</f>
        <v>R_RESULTADO_SETOR_GRAF</v>
      </c>
      <c r="G1570" s="2" t="str">
        <f>" ()"</f>
        <v xml:space="preserve"> ()</v>
      </c>
    </row>
    <row r="1571" spans="1:7" x14ac:dyDescent="0.3">
      <c r="A1571" s="1" t="s">
        <v>4</v>
      </c>
      <c r="B1571" s="2" t="str">
        <f t="shared" si="140"/>
        <v>SISTEMA DE CUSTOS HOSPITALARES</v>
      </c>
      <c r="C1571" s="2" t="str">
        <f t="shared" si="141"/>
        <v>CONTR</v>
      </c>
      <c r="D1571" s="2" t="str">
        <f t="shared" si="142"/>
        <v>FFCH</v>
      </c>
      <c r="E1571" s="2" t="str">
        <f>"RELAT. DE CONTAS DE CUSTOS POR GRUPO"</f>
        <v>RELAT. DE CONTAS DE CUSTOS POR GRUPO</v>
      </c>
      <c r="F1571" s="2" t="str">
        <f>"R_REGRAS_ITEM_SETOR"</f>
        <v>R_REGRAS_ITEM_SETOR</v>
      </c>
      <c r="G1571" s="2" t="str">
        <f>" ()"</f>
        <v xml:space="preserve"> ()</v>
      </c>
    </row>
    <row r="1572" spans="1:7" x14ac:dyDescent="0.3">
      <c r="A1572" s="1" t="s">
        <v>4</v>
      </c>
      <c r="B1572" s="2" t="str">
        <f t="shared" si="140"/>
        <v>SISTEMA DE CUSTOS HOSPITALARES</v>
      </c>
      <c r="C1572" s="2" t="str">
        <f t="shared" si="141"/>
        <v>CONTR</v>
      </c>
      <c r="D1572" s="2" t="str">
        <f t="shared" si="142"/>
        <v>FFCH</v>
      </c>
      <c r="E1572" s="2" t="str">
        <f>"LANÇAMENTO DA PRODUÇÃO DOS PROCEDIMENTOS"</f>
        <v>LANÇAMENTO DA PRODUÇÃO DOS PROCEDIMENTOS</v>
      </c>
      <c r="F1572" s="2" t="str">
        <f>"LANCA_PRODUCAO_PROCED"</f>
        <v>LANCA_PRODUCAO_PROCED</v>
      </c>
      <c r="G1572" s="2" t="str">
        <f>"Clínica e Assistencial / Controle de Infecção Hospitalar / Produção / Procedimentos (LANCA_PRODUCAO_PROCED)"</f>
        <v>Clínica e Assistencial / Controle de Infecção Hospitalar / Produção / Procedimentos (LANCA_PRODUCAO_PROCED)</v>
      </c>
    </row>
    <row r="1573" spans="1:7" x14ac:dyDescent="0.3">
      <c r="A1573" s="1" t="s">
        <v>4</v>
      </c>
      <c r="B1573" s="2" t="str">
        <f t="shared" si="140"/>
        <v>SISTEMA DE CUSTOS HOSPITALARES</v>
      </c>
      <c r="C1573" s="2" t="str">
        <f t="shared" si="141"/>
        <v>CONTR</v>
      </c>
      <c r="D1573" s="2" t="str">
        <f t="shared" si="142"/>
        <v>FFCH</v>
      </c>
      <c r="E1573" s="2" t="str">
        <f>"LANÇAMENTO DA PRODUÇÃO DOS PROCEDIMENTOS"</f>
        <v>LANÇAMENTO DA PRODUÇÃO DOS PROCEDIMENTOS</v>
      </c>
      <c r="F1573" s="2" t="str">
        <f>"LANCA_PRODUCAO_PROCED"</f>
        <v>LANCA_PRODUCAO_PROCED</v>
      </c>
      <c r="G1573" s="2" t="str">
        <f>"Controladoria / Custos / Lançamentos / Procedimentos (LANCA_PRODUCAO_PROCED)"</f>
        <v>Controladoria / Custos / Lançamentos / Procedimentos (LANCA_PRODUCAO_PROCED)</v>
      </c>
    </row>
    <row r="1574" spans="1:7" x14ac:dyDescent="0.3">
      <c r="A1574" s="1" t="s">
        <v>4</v>
      </c>
      <c r="B1574" s="2" t="str">
        <f t="shared" si="140"/>
        <v>SISTEMA DE CUSTOS HOSPITALARES</v>
      </c>
      <c r="C1574" s="2" t="str">
        <f t="shared" si="141"/>
        <v>CONTR</v>
      </c>
      <c r="D1574" s="2" t="str">
        <f t="shared" si="142"/>
        <v>FFCH</v>
      </c>
      <c r="E1574" s="2" t="str">
        <f>"R_COMP_MARG_TOT_EXA"</f>
        <v>R_COMP_MARG_TOT_EXA</v>
      </c>
      <c r="F1574" s="2" t="str">
        <f>"R_COMP_MARG_TOT_EXA"</f>
        <v>R_COMP_MARG_TOT_EXA</v>
      </c>
      <c r="G1574" s="2" t="str">
        <f>" ()"</f>
        <v xml:space="preserve"> ()</v>
      </c>
    </row>
    <row r="1575" spans="1:7" x14ac:dyDescent="0.3">
      <c r="A1575" s="1" t="s">
        <v>4</v>
      </c>
      <c r="B1575" s="2" t="str">
        <f t="shared" si="140"/>
        <v>SISTEMA DE CUSTOS HOSPITALARES</v>
      </c>
      <c r="C1575" s="2" t="str">
        <f t="shared" si="141"/>
        <v>CONTR</v>
      </c>
      <c r="D1575" s="2" t="str">
        <f t="shared" si="142"/>
        <v>FFCH</v>
      </c>
      <c r="E1575" s="2" t="str">
        <f>"WIN_PRINCIPAL"</f>
        <v>WIN_PRINCIPAL</v>
      </c>
      <c r="F1575" s="2" t="str">
        <f>"R_ABC_CONTA_CUSTO_RECEITA"</f>
        <v>R_ABC_CONTA_CUSTO_RECEITA</v>
      </c>
      <c r="G1575" s="2" t="str">
        <f>"Controladoria / Custos / Relatórios / Contas de Receitas / Análise ABC das contas de Receitas (R_ABC_CONTA_CUSTO_RECEITA)"</f>
        <v>Controladoria / Custos / Relatórios / Contas de Receitas / Análise ABC das contas de Receitas (R_ABC_CONTA_CUSTO_RECEITA)</v>
      </c>
    </row>
    <row r="1576" spans="1:7" x14ac:dyDescent="0.3">
      <c r="A1576" s="1" t="s">
        <v>4</v>
      </c>
      <c r="B1576" s="2" t="str">
        <f t="shared" si="140"/>
        <v>SISTEMA DE CUSTOS HOSPITALARES</v>
      </c>
      <c r="C1576" s="2" t="str">
        <f t="shared" si="141"/>
        <v>CONTR</v>
      </c>
      <c r="D1576" s="2" t="str">
        <f t="shared" si="142"/>
        <v>FFCH</v>
      </c>
      <c r="E1576" s="2" t="str">
        <f>"ANALISE DAS CONTAS DE CUSTO DAS RECEITAS"</f>
        <v>ANALISE DAS CONTAS DE CUSTO DAS RECEITAS</v>
      </c>
      <c r="F1576" s="2" t="str">
        <f>"R_ANALISE_CONTA_CUSTO_RECEITA"</f>
        <v>R_ANALISE_CONTA_CUSTO_RECEITA</v>
      </c>
      <c r="G1576" s="2" t="str">
        <f>" ()"</f>
        <v xml:space="preserve"> ()</v>
      </c>
    </row>
    <row r="1577" spans="1:7" x14ac:dyDescent="0.3">
      <c r="A1577" s="1" t="s">
        <v>4</v>
      </c>
      <c r="B1577" s="2" t="str">
        <f t="shared" si="140"/>
        <v>SISTEMA DE CUSTOS HOSPITALARES</v>
      </c>
      <c r="C1577" s="2" t="str">
        <f t="shared" si="141"/>
        <v>CONTR</v>
      </c>
      <c r="D1577" s="2" t="str">
        <f t="shared" si="142"/>
        <v>FFCH</v>
      </c>
      <c r="E1577" s="2" t="str">
        <f>"CUSTOS CENTRO CIRÚRGICOS"</f>
        <v>CUSTOS CENTRO CIRÚRGICOS</v>
      </c>
      <c r="F1577" s="2" t="str">
        <f>"M_CUSTO_CENCIR"</f>
        <v>M_CUSTO_CENCIR</v>
      </c>
      <c r="G1577" s="2" t="str">
        <f>"Controladoria / Custos / Lançamentos / Horas Centro Cirúrgico (M_CUSTO_CENCIR)"</f>
        <v>Controladoria / Custos / Lançamentos / Horas Centro Cirúrgico (M_CUSTO_CENCIR)</v>
      </c>
    </row>
    <row r="1578" spans="1:7" x14ac:dyDescent="0.3">
      <c r="A1578" s="1" t="s">
        <v>4</v>
      </c>
      <c r="B1578" s="2" t="str">
        <f t="shared" si="140"/>
        <v>SISTEMA DE CUSTOS HOSPITALARES</v>
      </c>
      <c r="C1578" s="2" t="str">
        <f t="shared" si="141"/>
        <v>CONTR</v>
      </c>
      <c r="D1578" s="2" t="str">
        <f t="shared" si="142"/>
        <v>FFCH</v>
      </c>
      <c r="E1578" s="2" t="str">
        <f>"R_CONTA_CUSTO_GRAF"</f>
        <v>R_CONTA_CUSTO_GRAF</v>
      </c>
      <c r="F1578" s="2" t="str">
        <f>"R_CONTA_CUSTO_GRAF"</f>
        <v>R_CONTA_CUSTO_GRAF</v>
      </c>
      <c r="G1578" s="2" t="str">
        <f>" ()"</f>
        <v xml:space="preserve"> ()</v>
      </c>
    </row>
    <row r="1579" spans="1:7" x14ac:dyDescent="0.3">
      <c r="A1579" s="1" t="s">
        <v>4</v>
      </c>
      <c r="B1579" s="2" t="str">
        <f t="shared" si="140"/>
        <v>SISTEMA DE CUSTOS HOSPITALARES</v>
      </c>
      <c r="C1579" s="2" t="str">
        <f t="shared" si="141"/>
        <v>CONTR</v>
      </c>
      <c r="D1579" s="2" t="str">
        <f t="shared" si="142"/>
        <v>FFCH</v>
      </c>
      <c r="E1579" s="2" t="str">
        <f>"FFCH_M_GRU_PRO_ITEM_RES"</f>
        <v>FFCH_M_GRU_PRO_ITEM_RES</v>
      </c>
      <c r="F1579" s="2" t="str">
        <f>"FFCH_M_GRU_PRO_ITEM_RES"</f>
        <v>FFCH_M_GRU_PRO_ITEM_RES</v>
      </c>
      <c r="G1579" s="2" t="str">
        <f>"Controladoria / Custos / Configurações / Repasse Médico (FFCH_M_GRU_PRO_ITEM_RES)"</f>
        <v>Controladoria / Custos / Configurações / Repasse Médico (FFCH_M_GRU_PRO_ITEM_RES)</v>
      </c>
    </row>
    <row r="1580" spans="1:7" x14ac:dyDescent="0.3">
      <c r="A1580" s="1" t="s">
        <v>4</v>
      </c>
      <c r="B1580" s="2" t="str">
        <f t="shared" si="140"/>
        <v>SISTEMA DE CUSTOS HOSPITALARES</v>
      </c>
      <c r="C1580" s="2" t="str">
        <f t="shared" si="141"/>
        <v>CONTR</v>
      </c>
      <c r="D1580" s="2" t="str">
        <f t="shared" si="142"/>
        <v>FFCH</v>
      </c>
      <c r="E1580" s="2" t="str">
        <f>"CADASTRO DE EMPRESAS"</f>
        <v>CADASTRO DE EMPRESAS</v>
      </c>
      <c r="F1580" s="2" t="str">
        <f>"FFCH_M_EMPRESA"</f>
        <v>FFCH_M_EMPRESA</v>
      </c>
      <c r="G1580" s="2" t="str">
        <f>"Controladoria / Custos / Configurações / Empresas (FFCH_M_EMPRESA)"</f>
        <v>Controladoria / Custos / Configurações / Empresas (FFCH_M_EMPRESA)</v>
      </c>
    </row>
    <row r="1581" spans="1:7" x14ac:dyDescent="0.3">
      <c r="A1581" s="1" t="s">
        <v>4</v>
      </c>
      <c r="B1581" s="2" t="str">
        <f t="shared" si="140"/>
        <v>SISTEMA DE CUSTOS HOSPITALARES</v>
      </c>
      <c r="C1581" s="2" t="str">
        <f t="shared" si="141"/>
        <v>CONTR</v>
      </c>
      <c r="D1581" s="2" t="str">
        <f t="shared" si="142"/>
        <v>FFCH</v>
      </c>
      <c r="E1581" s="2" t="str">
        <f>"ROTINAS DO CUSTOS"</f>
        <v>ROTINAS DO CUSTOS</v>
      </c>
      <c r="F1581" s="2" t="str">
        <f>"FFCH_M_ROTINAS"</f>
        <v>FFCH_M_ROTINAS</v>
      </c>
      <c r="G1581" s="2" t="str">
        <f>"Controladoria / Custos / Tabelas / Rotinas x Variáveis (FFCH_M_ROTINAS)"</f>
        <v>Controladoria / Custos / Tabelas / Rotinas x Variáveis (FFCH_M_ROTINAS)</v>
      </c>
    </row>
    <row r="1582" spans="1:7" x14ac:dyDescent="0.3">
      <c r="A1582" s="1" t="s">
        <v>4</v>
      </c>
      <c r="B1582" s="2" t="str">
        <f t="shared" si="140"/>
        <v>SISTEMA DE CUSTOS HOSPITALARES</v>
      </c>
      <c r="C1582" s="2" t="str">
        <f t="shared" si="141"/>
        <v>CONTR</v>
      </c>
      <c r="D1582" s="2" t="str">
        <f t="shared" si="142"/>
        <v>FFCH</v>
      </c>
      <c r="E1582" s="2" t="str">
        <f>"RECEBE ITENS DE PRODUÇÃO"</f>
        <v>RECEBE ITENS DE PRODUÇÃO</v>
      </c>
      <c r="F1582" s="2" t="str">
        <f>"FFCH_M_RECEBE_ITEM_PRODUCAO"</f>
        <v>FFCH_M_RECEBE_ITEM_PRODUCAO</v>
      </c>
      <c r="G1582" s="2" t="str">
        <f>"Controladoria / Custos / Configurações / Importação do arquivo / Item de Produção (FFCH_M_RECEBE_ITEM_PRODUCAO)"</f>
        <v>Controladoria / Custos / Configurações / Importação do arquivo / Item de Produção (FFCH_M_RECEBE_ITEM_PRODUCAO)</v>
      </c>
    </row>
    <row r="1583" spans="1:7" x14ac:dyDescent="0.3">
      <c r="A1583" s="1" t="s">
        <v>4</v>
      </c>
      <c r="B1583" s="2" t="str">
        <f t="shared" si="140"/>
        <v>SISTEMA DE CUSTOS HOSPITALARES</v>
      </c>
      <c r="C1583" s="2" t="str">
        <f t="shared" si="141"/>
        <v>CONTR</v>
      </c>
      <c r="D1583" s="2" t="str">
        <f t="shared" si="142"/>
        <v>FFCH</v>
      </c>
      <c r="E1583" s="2" t="str">
        <f>"RECEBE CONTAS DE CUSTOS"</f>
        <v>RECEBE CONTAS DE CUSTOS</v>
      </c>
      <c r="F1583" s="2" t="str">
        <f>"FFCH_M_RECEBE_CONTA_CUSTO"</f>
        <v>FFCH_M_RECEBE_CONTA_CUSTO</v>
      </c>
      <c r="G1583" s="2" t="str">
        <f>"Controladoria / Custos / Configurações / Importação do arquivo / Conta de Custo (FFCH_M_RECEBE_CONTA_CUSTO)"</f>
        <v>Controladoria / Custos / Configurações / Importação do arquivo / Conta de Custo (FFCH_M_RECEBE_CONTA_CUSTO)</v>
      </c>
    </row>
    <row r="1584" spans="1:7" x14ac:dyDescent="0.3">
      <c r="A1584" s="1" t="s">
        <v>4</v>
      </c>
      <c r="B1584" s="2" t="str">
        <f t="shared" si="140"/>
        <v>SISTEMA DE CUSTOS HOSPITALARES</v>
      </c>
      <c r="C1584" s="2" t="str">
        <f t="shared" si="141"/>
        <v>CONTR</v>
      </c>
      <c r="D1584" s="2" t="str">
        <f t="shared" si="142"/>
        <v>FFCH</v>
      </c>
      <c r="E1584" s="2" t="str">
        <f>"CONTAS DE CUSTO X GASES"</f>
        <v>CONTAS DE CUSTO X GASES</v>
      </c>
      <c r="F1584" s="2" t="str">
        <f>"FFCH_M_ITEM_RES_GASES"</f>
        <v>FFCH_M_ITEM_RES_GASES</v>
      </c>
      <c r="G1584" s="2" t="str">
        <f>"Controladoria / Custos / Configurações / Conta de custo x Gases (FFCH_M_ITEM_RES_GASES)"</f>
        <v>Controladoria / Custos / Configurações / Conta de custo x Gases (FFCH_M_ITEM_RES_GASES)</v>
      </c>
    </row>
    <row r="1585" spans="1:7" x14ac:dyDescent="0.3">
      <c r="A1585" s="1" t="s">
        <v>4</v>
      </c>
      <c r="B1585" s="2" t="str">
        <f t="shared" si="140"/>
        <v>SISTEMA DE CUSTOS HOSPITALARES</v>
      </c>
      <c r="C1585" s="2" t="str">
        <f t="shared" si="141"/>
        <v>CONTR</v>
      </c>
      <c r="D1585" s="2" t="str">
        <f t="shared" si="142"/>
        <v>FFCH</v>
      </c>
      <c r="E1585" s="2" t="str">
        <f>"PROCEDIMENTOS DE FATURAMENTO"</f>
        <v>PROCEDIMENTOS DE FATURAMENTO</v>
      </c>
      <c r="F1585" s="2" t="str">
        <f>"FFCH_M_ITEM_PRO_FAT"</f>
        <v>FFCH_M_ITEM_PRO_FAT</v>
      </c>
      <c r="G1585" s="2" t="str">
        <f>"Controladoria / Custos / Tabelas / Procedimentos (FFCH_M_ITEM_PRO_FAT)"</f>
        <v>Controladoria / Custos / Tabelas / Procedimentos (FFCH_M_ITEM_PRO_FAT)</v>
      </c>
    </row>
    <row r="1586" spans="1:7" x14ac:dyDescent="0.3">
      <c r="A1586" s="1" t="s">
        <v>4</v>
      </c>
      <c r="B1586" s="2" t="str">
        <f t="shared" si="140"/>
        <v>SISTEMA DE CUSTOS HOSPITALARES</v>
      </c>
      <c r="C1586" s="2" t="str">
        <f t="shared" si="141"/>
        <v>CONTR</v>
      </c>
      <c r="D1586" s="2" t="str">
        <f t="shared" si="142"/>
        <v>FFCH</v>
      </c>
      <c r="E1586" s="2" t="str">
        <f>"CADASTRO DE GRUPOS DE CUSTO"</f>
        <v>CADASTRO DE GRUPOS DE CUSTO</v>
      </c>
      <c r="F1586" s="2" t="str">
        <f>"FFCH_M_GRUPO_CUSTO"</f>
        <v>FFCH_M_GRUPO_CUSTO</v>
      </c>
      <c r="G1586" s="2" t="str">
        <f>"Controladoria / Custos / Tabelas / Grupos dos Centros de Custos (FFCH_M_GRUPO_CUSTO)"</f>
        <v>Controladoria / Custos / Tabelas / Grupos dos Centros de Custos (FFCH_M_GRUPO_CUSTO)</v>
      </c>
    </row>
    <row r="1587" spans="1:7" x14ac:dyDescent="0.3">
      <c r="A1587" s="1" t="s">
        <v>4</v>
      </c>
      <c r="B1587" s="2" t="str">
        <f t="shared" si="140"/>
        <v>SISTEMA DE CUSTOS HOSPITALARES</v>
      </c>
      <c r="C1587" s="2" t="str">
        <f t="shared" si="141"/>
        <v>CONTR</v>
      </c>
      <c r="D1587" s="2" t="str">
        <f t="shared" si="142"/>
        <v>FFCH</v>
      </c>
      <c r="E1587" s="2" t="str">
        <f>"EXCLUSÃO DE ARQUIVOS IMPORTADOS"</f>
        <v>EXCLUSÃO DE ARQUIVOS IMPORTADOS</v>
      </c>
      <c r="F1587" s="2" t="str">
        <f>"FFCH_M_EXCLUI_IMP"</f>
        <v>FFCH_M_EXCLUI_IMP</v>
      </c>
      <c r="G1587" s="2" t="str">
        <f>"Controladoria / Custos / Importação / Centro Custo / Item Produção / Excluir (FFCH_M_EXCLUI_IMP)"</f>
        <v>Controladoria / Custos / Importação / Centro Custo / Item Produção / Excluir (FFCH_M_EXCLUI_IMP)</v>
      </c>
    </row>
    <row r="1588" spans="1:7" x14ac:dyDescent="0.3">
      <c r="A1588" s="1" t="s">
        <v>4</v>
      </c>
      <c r="B1588" s="2" t="str">
        <f t="shared" si="140"/>
        <v>SISTEMA DE CUSTOS HOSPITALARES</v>
      </c>
      <c r="C1588" s="2" t="str">
        <f t="shared" si="141"/>
        <v>CONTR</v>
      </c>
      <c r="D1588" s="2" t="str">
        <f t="shared" si="142"/>
        <v>FFCH</v>
      </c>
      <c r="E1588" s="2" t="str">
        <f>"CONFIGURAÇÃO DAS EXC. DAS SUB-CLASSES"</f>
        <v>CONFIGURAÇÃO DAS EXC. DAS SUB-CLASSES</v>
      </c>
      <c r="F1588" s="2" t="str">
        <f>"FFCH_M_CONFIG_EXCECAO_SUB_CLASSE"</f>
        <v>FFCH_M_CONFIG_EXCECAO_SUB_CLASSE</v>
      </c>
      <c r="G1588" s="2" t="str">
        <f>"Controladoria / Custos / Configurações / Estoque / Sub-classe / Produto Direto (FFCH_M_CONFIG_EXCECAO_SUB_CLASSE)"</f>
        <v>Controladoria / Custos / Configurações / Estoque / Sub-classe / Produto Direto (FFCH_M_CONFIG_EXCECAO_SUB_CLASSE)</v>
      </c>
    </row>
    <row r="1589" spans="1:7" x14ac:dyDescent="0.3">
      <c r="A1589" s="1" t="s">
        <v>4</v>
      </c>
      <c r="B1589" s="2" t="str">
        <f t="shared" ref="B1589:B1652" si="145">"SISTEMA DE CUSTOS HOSPITALARES"</f>
        <v>SISTEMA DE CUSTOS HOSPITALARES</v>
      </c>
      <c r="C1589" s="2" t="str">
        <f t="shared" ref="C1589:C1652" si="146">"CONTR"</f>
        <v>CONTR</v>
      </c>
      <c r="D1589" s="2" t="str">
        <f t="shared" ref="D1589:D1652" si="147">"FFCH"</f>
        <v>FFCH</v>
      </c>
      <c r="E1589" s="2" t="str">
        <f>"CONFIGURAÇÃO DAS EXC. DAS CLASSES"</f>
        <v>CONFIGURAÇÃO DAS EXC. DAS CLASSES</v>
      </c>
      <c r="F1589" s="2" t="str">
        <f>"FFCH_M_CONFIG_EXCECAO_CLASSE"</f>
        <v>FFCH_M_CONFIG_EXCECAO_CLASSE</v>
      </c>
      <c r="G1589" s="2" t="str">
        <f>"Controladoria / Custos / Configurações / Estoque / Classe (FFCH_M_CONFIG_EXCECAO_CLASSE)"</f>
        <v>Controladoria / Custos / Configurações / Estoque / Classe (FFCH_M_CONFIG_EXCECAO_CLASSE)</v>
      </c>
    </row>
    <row r="1590" spans="1:7" x14ac:dyDescent="0.3">
      <c r="A1590" s="1" t="s">
        <v>4</v>
      </c>
      <c r="B1590" s="2" t="str">
        <f t="shared" si="145"/>
        <v>SISTEMA DE CUSTOS HOSPITALARES</v>
      </c>
      <c r="C1590" s="2" t="str">
        <f t="shared" si="146"/>
        <v>CONTR</v>
      </c>
      <c r="D1590" s="2" t="str">
        <f t="shared" si="147"/>
        <v>FFCH</v>
      </c>
      <c r="E1590" s="2" t="str">
        <f>"CONSULTA DE PACIENTES CONSOLIDADO"</f>
        <v>CONSULTA DE PACIENTES CONSOLIDADO</v>
      </c>
      <c r="F1590" s="2" t="str">
        <f>"FFCH_C_PACIENTE"</f>
        <v>FFCH_C_PACIENTE</v>
      </c>
      <c r="G1590" s="2" t="str">
        <f>"Controladoria / Custos / Consultas / Pacientes (FFCH_C_PACIENTE)"</f>
        <v>Controladoria / Custos / Consultas / Pacientes (FFCH_C_PACIENTE)</v>
      </c>
    </row>
    <row r="1591" spans="1:7" x14ac:dyDescent="0.3">
      <c r="A1591" s="1" t="s">
        <v>4</v>
      </c>
      <c r="B1591" s="2" t="str">
        <f t="shared" si="145"/>
        <v>SISTEMA DE CUSTOS HOSPITALARES</v>
      </c>
      <c r="C1591" s="2" t="str">
        <f t="shared" si="146"/>
        <v>CONTR</v>
      </c>
      <c r="D1591" s="2" t="str">
        <f t="shared" si="147"/>
        <v>FFCH</v>
      </c>
      <c r="E1591" s="2" t="str">
        <f>"ITENS DE PRODUÇÃO"</f>
        <v>ITENS DE PRODUÇÃO</v>
      </c>
      <c r="F1591" s="2" t="str">
        <f>"R_ITEM_PRODUCAO"</f>
        <v>R_ITEM_PRODUCAO</v>
      </c>
      <c r="G1591" s="2" t="str">
        <f>"Controladoria / Custos / Relatórios / Tabelas / Direcionadores de Custo (R_ITEM_PRODUCAO)"</f>
        <v>Controladoria / Custos / Relatórios / Tabelas / Direcionadores de Custo (R_ITEM_PRODUCAO)</v>
      </c>
    </row>
    <row r="1592" spans="1:7" x14ac:dyDescent="0.3">
      <c r="A1592" s="1" t="s">
        <v>4</v>
      </c>
      <c r="B1592" s="2" t="str">
        <f t="shared" si="145"/>
        <v>SISTEMA DE CUSTOS HOSPITALARES</v>
      </c>
      <c r="C1592" s="2" t="str">
        <f t="shared" si="146"/>
        <v>CONTR</v>
      </c>
      <c r="D1592" s="2" t="str">
        <f t="shared" si="147"/>
        <v>FFCH</v>
      </c>
      <c r="E1592" s="2" t="str">
        <f>"ANALISE EVOLUTIVA DOS ITENS DE PROD"</f>
        <v>ANALISE EVOLUTIVA DOS ITENS DE PROD</v>
      </c>
      <c r="F1592" s="2" t="str">
        <f>" R_ANA_EVO_ITEM_PROD"</f>
        <v xml:space="preserve"> R_ANA_EVO_ITEM_PROD</v>
      </c>
      <c r="G1592" s="2" t="str">
        <f>" ()"</f>
        <v xml:space="preserve"> ()</v>
      </c>
    </row>
    <row r="1593" spans="1:7" x14ac:dyDescent="0.3">
      <c r="A1593" s="1" t="s">
        <v>4</v>
      </c>
      <c r="B1593" s="2" t="str">
        <f t="shared" si="145"/>
        <v>SISTEMA DE CUSTOS HOSPITALARES</v>
      </c>
      <c r="C1593" s="2" t="str">
        <f t="shared" si="146"/>
        <v>CONTR</v>
      </c>
      <c r="D1593" s="2" t="str">
        <f t="shared" si="147"/>
        <v>FFCH</v>
      </c>
      <c r="E1593" s="2" t="str">
        <f>"R_RESULTADO_COMP_GRAF"</f>
        <v>R_RESULTADO_COMP_GRAF</v>
      </c>
      <c r="F1593" s="2" t="str">
        <f>"R_RESULTADO_COMP_GRAF"</f>
        <v>R_RESULTADO_COMP_GRAF</v>
      </c>
      <c r="G1593" s="2" t="str">
        <f>" ()"</f>
        <v xml:space="preserve"> ()</v>
      </c>
    </row>
    <row r="1594" spans="1:7" x14ac:dyDescent="0.3">
      <c r="A1594" s="1" t="s">
        <v>4</v>
      </c>
      <c r="B1594" s="2" t="str">
        <f t="shared" si="145"/>
        <v>SISTEMA DE CUSTOS HOSPITALARES</v>
      </c>
      <c r="C1594" s="2" t="str">
        <f t="shared" si="146"/>
        <v>CONTR</v>
      </c>
      <c r="D1594" s="2" t="str">
        <f t="shared" si="147"/>
        <v>FFCH</v>
      </c>
      <c r="E1594" s="2" t="str">
        <f>"CONFIGURAÇÃO DE EMPRESAS"</f>
        <v>CONFIGURAÇÃO DE EMPRESAS</v>
      </c>
      <c r="F1594" s="2" t="str">
        <f>"M_CONFIG_EMPRESAS"</f>
        <v>M_CONFIG_EMPRESAS</v>
      </c>
      <c r="G1594" s="2" t="str">
        <f>" ()"</f>
        <v xml:space="preserve"> ()</v>
      </c>
    </row>
    <row r="1595" spans="1:7" x14ac:dyDescent="0.3">
      <c r="A1595" s="1" t="s">
        <v>4</v>
      </c>
      <c r="B1595" s="2" t="str">
        <f t="shared" si="145"/>
        <v>SISTEMA DE CUSTOS HOSPITALARES</v>
      </c>
      <c r="C1595" s="2" t="str">
        <f t="shared" si="146"/>
        <v>CONTR</v>
      </c>
      <c r="D1595" s="2" t="str">
        <f t="shared" si="147"/>
        <v>FFCH</v>
      </c>
      <c r="E1595" s="2" t="str">
        <f>"RELAT. DE PROD. MENSAL POR GRUPO DE CUST"</f>
        <v>RELAT. DE PROD. MENSAL POR GRUPO DE CUST</v>
      </c>
      <c r="F1595" s="2" t="str">
        <f>"R_GRUPO_ORIGEM_DESTINO_PERIODO"</f>
        <v>R_GRUPO_ORIGEM_DESTINO_PERIODO</v>
      </c>
      <c r="G1595" s="2" t="str">
        <f>" ()"</f>
        <v xml:space="preserve"> ()</v>
      </c>
    </row>
    <row r="1596" spans="1:7" x14ac:dyDescent="0.3">
      <c r="A1596" s="1" t="s">
        <v>4</v>
      </c>
      <c r="B1596" s="2" t="str">
        <f t="shared" si="145"/>
        <v>SISTEMA DE CUSTOS HOSPITALARES</v>
      </c>
      <c r="C1596" s="2" t="str">
        <f t="shared" si="146"/>
        <v>CONTR</v>
      </c>
      <c r="D1596" s="2" t="str">
        <f t="shared" si="147"/>
        <v>FFCH</v>
      </c>
      <c r="E1596" s="2" t="str">
        <f>"RELAT. COMPUT CUSTO PACIENTE"</f>
        <v>RELAT. COMPUT CUSTO PACIENTE</v>
      </c>
      <c r="F1596" s="2" t="str">
        <f>"R_COMPUTO_CUSTO_PACIENTE"</f>
        <v>R_COMPUTO_CUSTO_PACIENTE</v>
      </c>
      <c r="G1596" s="2" t="str">
        <f>" ()"</f>
        <v xml:space="preserve"> ()</v>
      </c>
    </row>
    <row r="1597" spans="1:7" x14ac:dyDescent="0.3">
      <c r="A1597" s="1" t="s">
        <v>4</v>
      </c>
      <c r="B1597" s="2" t="str">
        <f t="shared" si="145"/>
        <v>SISTEMA DE CUSTOS HOSPITALARES</v>
      </c>
      <c r="C1597" s="2" t="str">
        <f t="shared" si="146"/>
        <v>CONTR</v>
      </c>
      <c r="D1597" s="2" t="str">
        <f t="shared" si="147"/>
        <v>FFCH</v>
      </c>
      <c r="E1597" s="2" t="str">
        <f>"RELAT. DE ANAL .EVOL.  ITENS DE PRODUÇÃO"</f>
        <v>RELAT. DE ANAL .EVOL.  ITENS DE PRODUÇÃO</v>
      </c>
      <c r="F1597" s="2" t="str">
        <f>"R_ANA_EVO_ITEM_PROD"</f>
        <v>R_ANA_EVO_ITEM_PROD</v>
      </c>
      <c r="G1597" s="2" t="str">
        <f>"Controladoria / Custos / Relatórios / Produção / Análise Evolutiva dos Itens de Produção (R_ANA_EVO_ITEM_PROD)"</f>
        <v>Controladoria / Custos / Relatórios / Produção / Análise Evolutiva dos Itens de Produção (R_ANA_EVO_ITEM_PROD)</v>
      </c>
    </row>
    <row r="1598" spans="1:7" x14ac:dyDescent="0.3">
      <c r="A1598" s="1" t="s">
        <v>4</v>
      </c>
      <c r="B1598" s="2" t="str">
        <f t="shared" si="145"/>
        <v>SISTEMA DE CUSTOS HOSPITALARES</v>
      </c>
      <c r="C1598" s="2" t="str">
        <f t="shared" si="146"/>
        <v>CONTR</v>
      </c>
      <c r="D1598" s="2" t="str">
        <f t="shared" si="147"/>
        <v>FFCH</v>
      </c>
      <c r="E1598" s="2" t="str">
        <f>"RESULTADO POR SETOR"</f>
        <v>RESULTADO POR SETOR</v>
      </c>
      <c r="F1598" s="2" t="str">
        <f>"R_RESULTADO_SETOR"</f>
        <v>R_RESULTADO_SETOR</v>
      </c>
      <c r="G1598" s="2" t="str">
        <f>"Controladoria / Custos / Relatórios / Avaliação de Resultados / Resultado dos Centros de Custos (R_RESULTADO_SETOR)"</f>
        <v>Controladoria / Custos / Relatórios / Avaliação de Resultados / Resultado dos Centros de Custos (R_RESULTADO_SETOR)</v>
      </c>
    </row>
    <row r="1599" spans="1:7" x14ac:dyDescent="0.3">
      <c r="A1599" s="1" t="s">
        <v>4</v>
      </c>
      <c r="B1599" s="2" t="str">
        <f t="shared" si="145"/>
        <v>SISTEMA DE CUSTOS HOSPITALARES</v>
      </c>
      <c r="C1599" s="2" t="str">
        <f t="shared" si="146"/>
        <v>CONTR</v>
      </c>
      <c r="D1599" s="2" t="str">
        <f t="shared" si="147"/>
        <v>FFCH</v>
      </c>
      <c r="E1599" s="2" t="str">
        <f>"RELAT. PROD.MENSAL POR SETORES ORIGEM"</f>
        <v>RELAT. PROD.MENSAL POR SETORES ORIGEM</v>
      </c>
      <c r="F1599" s="2" t="str">
        <f>"R_PROD_MENSAL"</f>
        <v>R_PROD_MENSAL</v>
      </c>
      <c r="G1599" s="2" t="str">
        <f>"Controladoria / Custos / Relatórios / Produção / Produção Mensal por Centro de Custo (R_PROD_MENSAL)"</f>
        <v>Controladoria / Custos / Relatórios / Produção / Produção Mensal por Centro de Custo (R_PROD_MENSAL)</v>
      </c>
    </row>
    <row r="1600" spans="1:7" x14ac:dyDescent="0.3">
      <c r="A1600" s="1" t="s">
        <v>4</v>
      </c>
      <c r="B1600" s="2" t="str">
        <f t="shared" si="145"/>
        <v>SISTEMA DE CUSTOS HOSPITALARES</v>
      </c>
      <c r="C1600" s="2" t="str">
        <f t="shared" si="146"/>
        <v>CONTR</v>
      </c>
      <c r="D1600" s="2" t="str">
        <f t="shared" si="147"/>
        <v>FFCH</v>
      </c>
      <c r="E1600" s="2" t="str">
        <f>"RELAT. APRESENT. DOS CUSTOS DOS SETORES"</f>
        <v>RELAT. APRESENT. DOS CUSTOS DOS SETORES</v>
      </c>
      <c r="F1600" s="2" t="str">
        <f>"R_ANA_DESEM_SET_RAT"</f>
        <v>R_ANA_DESEM_SET_RAT</v>
      </c>
      <c r="G1600" s="2" t="str">
        <f>"Controladoria / Custos / Relatórios / Avaliação de Resultados / Desempenho por Centro de Custo (R_ANA_DESEM_SET_RAT)"</f>
        <v>Controladoria / Custos / Relatórios / Avaliação de Resultados / Desempenho por Centro de Custo (R_ANA_DESEM_SET_RAT)</v>
      </c>
    </row>
    <row r="1601" spans="1:7" x14ac:dyDescent="0.3">
      <c r="A1601" s="1" t="s">
        <v>4</v>
      </c>
      <c r="B1601" s="2" t="str">
        <f t="shared" si="145"/>
        <v>SISTEMA DE CUSTOS HOSPITALARES</v>
      </c>
      <c r="C1601" s="2" t="str">
        <f t="shared" si="146"/>
        <v>CONTR</v>
      </c>
      <c r="D1601" s="2" t="str">
        <f t="shared" si="147"/>
        <v>FFCH</v>
      </c>
      <c r="E1601" s="2" t="str">
        <f>"CUSTO PRIMARIO P/ GRUPO"</f>
        <v>CUSTO PRIMARIO P/ GRUPO</v>
      </c>
      <c r="F1601" s="2" t="str">
        <f>" R_CUS_EST_PRI_GRU"</f>
        <v xml:space="preserve"> R_CUS_EST_PRI_GRU</v>
      </c>
      <c r="G1601" s="2" t="str">
        <f>" ()"</f>
        <v xml:space="preserve"> ()</v>
      </c>
    </row>
    <row r="1602" spans="1:7" x14ac:dyDescent="0.3">
      <c r="A1602" s="1" t="s">
        <v>4</v>
      </c>
      <c r="B1602" s="2" t="str">
        <f t="shared" si="145"/>
        <v>SISTEMA DE CUSTOS HOSPITALARES</v>
      </c>
      <c r="C1602" s="2" t="str">
        <f t="shared" si="146"/>
        <v>CONTR</v>
      </c>
      <c r="D1602" s="2" t="str">
        <f t="shared" si="147"/>
        <v>FFCH</v>
      </c>
      <c r="E1602" s="2" t="str">
        <f>"CONSULTA DE CENTROS DE CUSTOS"</f>
        <v>CONSULTA DE CENTROS DE CUSTOS</v>
      </c>
      <c r="F1602" s="2" t="str">
        <f>"C_VL_SETOR"</f>
        <v>C_VL_SETOR</v>
      </c>
      <c r="G1602" s="2" t="str">
        <f>"Controladoria / Custos / Consultas / Resultado dos Centros de Custos (C_VL_SETOR)"</f>
        <v>Controladoria / Custos / Consultas / Resultado dos Centros de Custos (C_VL_SETOR)</v>
      </c>
    </row>
    <row r="1603" spans="1:7" x14ac:dyDescent="0.3">
      <c r="A1603" s="1" t="s">
        <v>4</v>
      </c>
      <c r="B1603" s="2" t="str">
        <f t="shared" si="145"/>
        <v>SISTEMA DE CUSTOS HOSPITALARES</v>
      </c>
      <c r="C1603" s="2" t="str">
        <f t="shared" si="146"/>
        <v>CONTR</v>
      </c>
      <c r="D1603" s="2" t="str">
        <f t="shared" si="147"/>
        <v>FFCH</v>
      </c>
      <c r="E1603" s="2" t="str">
        <f>"RELATORIO DE CUSTO DE ACOMODACAO"</f>
        <v>RELATORIO DE CUSTO DE ACOMODACAO</v>
      </c>
      <c r="F1603" s="2" t="str">
        <f>"R_CUSTO_ACOMODACAO"</f>
        <v>R_CUSTO_ACOMODACAO</v>
      </c>
      <c r="G1603" s="2" t="str">
        <f>"Controladoria / Custos / Relatórios / Custos das Acomodações / Custos das Acomodações (R_CUSTO_ACOMODACAO)"</f>
        <v>Controladoria / Custos / Relatórios / Custos das Acomodações / Custos das Acomodações (R_CUSTO_ACOMODACAO)</v>
      </c>
    </row>
    <row r="1604" spans="1:7" x14ac:dyDescent="0.3">
      <c r="A1604" s="1" t="s">
        <v>4</v>
      </c>
      <c r="B1604" s="2" t="str">
        <f t="shared" si="145"/>
        <v>SISTEMA DE CUSTOS HOSPITALARES</v>
      </c>
      <c r="C1604" s="2" t="str">
        <f t="shared" si="146"/>
        <v>CONTR</v>
      </c>
      <c r="D1604" s="2" t="str">
        <f t="shared" si="147"/>
        <v>FFCH</v>
      </c>
      <c r="E1604" s="2" t="str">
        <f>"R_COMPARATIVO_PROCED_CONVENIO"</f>
        <v>R_COMPARATIVO_PROCED_CONVENIO</v>
      </c>
      <c r="F1604" s="2" t="str">
        <f>"R_COMPARATIVO_PROCED_CONVENIO"</f>
        <v>R_COMPARATIVO_PROCED_CONVENIO</v>
      </c>
      <c r="G1604" s="2" t="str">
        <f>" ()"</f>
        <v xml:space="preserve"> ()</v>
      </c>
    </row>
    <row r="1605" spans="1:7" x14ac:dyDescent="0.3">
      <c r="A1605" s="1" t="s">
        <v>4</v>
      </c>
      <c r="B1605" s="2" t="str">
        <f t="shared" si="145"/>
        <v>SISTEMA DE CUSTOS HOSPITALARES</v>
      </c>
      <c r="C1605" s="2" t="str">
        <f t="shared" si="146"/>
        <v>CONTR</v>
      </c>
      <c r="D1605" s="2" t="str">
        <f t="shared" si="147"/>
        <v>FFCH</v>
      </c>
      <c r="E1605" s="2" t="str">
        <f>"RELATORIO DE CUSTO POR CUSTO PAI"</f>
        <v>RELATORIO DE CUSTO POR CUSTO PAI</v>
      </c>
      <c r="F1605" s="2" t="str">
        <f>"R_SET_CUS_PAI"</f>
        <v>R_SET_CUS_PAI</v>
      </c>
      <c r="G1605" s="2" t="str">
        <f>" ()"</f>
        <v xml:space="preserve"> ()</v>
      </c>
    </row>
    <row r="1606" spans="1:7" x14ac:dyDescent="0.3">
      <c r="A1606" s="1" t="s">
        <v>4</v>
      </c>
      <c r="B1606" s="2" t="str">
        <f t="shared" si="145"/>
        <v>SISTEMA DE CUSTOS HOSPITALARES</v>
      </c>
      <c r="C1606" s="2" t="str">
        <f t="shared" si="146"/>
        <v>CONTR</v>
      </c>
      <c r="D1606" s="2" t="str">
        <f t="shared" si="147"/>
        <v>FFCH</v>
      </c>
      <c r="E1606" s="2" t="str">
        <f>"DETALAMENTO DOS CUSTOS OPERACIONAIS"</f>
        <v>DETALAMENTO DOS CUSTOS OPERACIONAIS</v>
      </c>
      <c r="F1606" s="2" t="str">
        <f>"R_DET_CUSTO_OPERAC"</f>
        <v>R_DET_CUSTO_OPERAC</v>
      </c>
      <c r="G1606" s="2" t="str">
        <f>"Controladoria / Custos / Relatórios / Custos do Centro de Custo / Detalhamento de Custos Operacionais (R_DET_CUSTO_OPERAC)"</f>
        <v>Controladoria / Custos / Relatórios / Custos do Centro de Custo / Detalhamento de Custos Operacionais (R_DET_CUSTO_OPERAC)</v>
      </c>
    </row>
    <row r="1607" spans="1:7" x14ac:dyDescent="0.3">
      <c r="A1607" s="1" t="s">
        <v>4</v>
      </c>
      <c r="B1607" s="2" t="str">
        <f t="shared" si="145"/>
        <v>SISTEMA DE CUSTOS HOSPITALARES</v>
      </c>
      <c r="C1607" s="2" t="str">
        <f t="shared" si="146"/>
        <v>CONTR</v>
      </c>
      <c r="D1607" s="2" t="str">
        <f t="shared" si="147"/>
        <v>FFCH</v>
      </c>
      <c r="E1607" s="2" t="str">
        <f>"AVALIAÇÃO DE DESEMPENHO POR SETOR"</f>
        <v>AVALIAÇÃO DE DESEMPENHO POR SETOR</v>
      </c>
      <c r="F1607" s="2" t="str">
        <f>"R_ANA_DESEM_SETOR"</f>
        <v>R_ANA_DESEM_SETOR</v>
      </c>
      <c r="G1607" s="2" t="str">
        <f>"Controladoria / Custos / Relatórios / Custos do Centro de Custo / Avaliação de Desempenho por Centro de Custo (R_ANA_DESEM_SETOR)"</f>
        <v>Controladoria / Custos / Relatórios / Custos do Centro de Custo / Avaliação de Desempenho por Centro de Custo (R_ANA_DESEM_SETOR)</v>
      </c>
    </row>
    <row r="1608" spans="1:7" x14ac:dyDescent="0.3">
      <c r="A1608" s="1" t="s">
        <v>4</v>
      </c>
      <c r="B1608" s="2" t="str">
        <f t="shared" si="145"/>
        <v>SISTEMA DE CUSTOS HOSPITALARES</v>
      </c>
      <c r="C1608" s="2" t="str">
        <f t="shared" si="146"/>
        <v>CONTR</v>
      </c>
      <c r="D1608" s="2" t="str">
        <f t="shared" si="147"/>
        <v>FFCH</v>
      </c>
      <c r="E1608" s="2" t="str">
        <f>"COMPOSIÇÃO E EVOLUÇÃO DE CUSTOS"</f>
        <v>COMPOSIÇÃO E EVOLUÇÃO DE CUSTOS</v>
      </c>
      <c r="F1608" s="2" t="str">
        <f>"R_COMP_EVO_CUSTOS"</f>
        <v>R_COMP_EVO_CUSTOS</v>
      </c>
      <c r="G1608" s="2" t="str">
        <f>"Controladoria / Custos / Relatórios / Contas de Custos / Composição e Evolução de Custos (R_COMP_EVO_CUSTOS)"</f>
        <v>Controladoria / Custos / Relatórios / Contas de Custos / Composição e Evolução de Custos (R_COMP_EVO_CUSTOS)</v>
      </c>
    </row>
    <row r="1609" spans="1:7" x14ac:dyDescent="0.3">
      <c r="A1609" s="1" t="s">
        <v>4</v>
      </c>
      <c r="B1609" s="2" t="str">
        <f t="shared" si="145"/>
        <v>SISTEMA DE CUSTOS HOSPITALARES</v>
      </c>
      <c r="C1609" s="2" t="str">
        <f t="shared" si="146"/>
        <v>CONTR</v>
      </c>
      <c r="D1609" s="2" t="str">
        <f t="shared" si="147"/>
        <v>FFCH</v>
      </c>
      <c r="E1609" s="2" t="str">
        <f>"RELATORIO DE CENTO DE CUSTO"</f>
        <v>RELATORIO DE CENTO DE CUSTO</v>
      </c>
      <c r="F1609" s="2" t="str">
        <f>"R_CENT_CUSTO"</f>
        <v>R_CENT_CUSTO</v>
      </c>
      <c r="G1609" s="2" t="str">
        <f t="shared" ref="G1609:G1614" si="148">" ()"</f>
        <v xml:space="preserve"> ()</v>
      </c>
    </row>
    <row r="1610" spans="1:7" x14ac:dyDescent="0.3">
      <c r="A1610" s="1" t="s">
        <v>4</v>
      </c>
      <c r="B1610" s="2" t="str">
        <f t="shared" si="145"/>
        <v>SISTEMA DE CUSTOS HOSPITALARES</v>
      </c>
      <c r="C1610" s="2" t="str">
        <f t="shared" si="146"/>
        <v>CONTR</v>
      </c>
      <c r="D1610" s="2" t="str">
        <f t="shared" si="147"/>
        <v>FFCH</v>
      </c>
      <c r="E1610" s="2" t="str">
        <f>"SETORES DAS UNIDADES OPERACIONAIS"</f>
        <v>SETORES DAS UNIDADES OPERACIONAIS</v>
      </c>
      <c r="F1610" s="2" t="str">
        <f>"M_SETOR_UNID_OPER"</f>
        <v>M_SETOR_UNID_OPER</v>
      </c>
      <c r="G1610" s="2" t="str">
        <f t="shared" si="148"/>
        <v xml:space="preserve"> ()</v>
      </c>
    </row>
    <row r="1611" spans="1:7" x14ac:dyDescent="0.3">
      <c r="A1611" s="1" t="s">
        <v>4</v>
      </c>
      <c r="B1611" s="2" t="str">
        <f t="shared" si="145"/>
        <v>SISTEMA DE CUSTOS HOSPITALARES</v>
      </c>
      <c r="C1611" s="2" t="str">
        <f t="shared" si="146"/>
        <v>CONTR</v>
      </c>
      <c r="D1611" s="2" t="str">
        <f t="shared" si="147"/>
        <v>FFCH</v>
      </c>
      <c r="E1611" s="2" t="str">
        <f>"R_ABC_CONTA_CUSTO"</f>
        <v>R_ABC_CONTA_CUSTO</v>
      </c>
      <c r="F1611" s="2" t="str">
        <f>"R_ABC_CONTA_CUSTO"</f>
        <v>R_ABC_CONTA_CUSTO</v>
      </c>
      <c r="G1611" s="2" t="str">
        <f t="shared" si="148"/>
        <v xml:space="preserve"> ()</v>
      </c>
    </row>
    <row r="1612" spans="1:7" x14ac:dyDescent="0.3">
      <c r="A1612" s="1" t="s">
        <v>4</v>
      </c>
      <c r="B1612" s="2" t="str">
        <f t="shared" si="145"/>
        <v>SISTEMA DE CUSTOS HOSPITALARES</v>
      </c>
      <c r="C1612" s="2" t="str">
        <f t="shared" si="146"/>
        <v>CONTR</v>
      </c>
      <c r="D1612" s="2" t="str">
        <f t="shared" si="147"/>
        <v>FFCH</v>
      </c>
      <c r="E1612" s="2" t="str">
        <f>"R_CUSTO_ACOM_CONVENIO_COMP"</f>
        <v>R_CUSTO_ACOM_CONVENIO_COMP</v>
      </c>
      <c r="F1612" s="2" t="str">
        <f>"R_CUSTO_ACOM_CONVENIO_COMP"</f>
        <v>R_CUSTO_ACOM_CONVENIO_COMP</v>
      </c>
      <c r="G1612" s="2" t="str">
        <f t="shared" si="148"/>
        <v xml:space="preserve"> ()</v>
      </c>
    </row>
    <row r="1613" spans="1:7" x14ac:dyDescent="0.3">
      <c r="A1613" s="1" t="s">
        <v>4</v>
      </c>
      <c r="B1613" s="2" t="str">
        <f t="shared" si="145"/>
        <v>SISTEMA DE CUSTOS HOSPITALARES</v>
      </c>
      <c r="C1613" s="2" t="str">
        <f t="shared" si="146"/>
        <v>CONTR</v>
      </c>
      <c r="D1613" s="2" t="str">
        <f t="shared" si="147"/>
        <v>FFCH</v>
      </c>
      <c r="E1613" s="2" t="str">
        <f>"CUSTO ACOMODACAO CONVENIO"</f>
        <v>CUSTO ACOMODACAO CONVENIO</v>
      </c>
      <c r="F1613" s="2" t="str">
        <f>"R_CUSTO_ACOM_CONVENIO"</f>
        <v>R_CUSTO_ACOM_CONVENIO</v>
      </c>
      <c r="G1613" s="2" t="str">
        <f t="shared" si="148"/>
        <v xml:space="preserve"> ()</v>
      </c>
    </row>
    <row r="1614" spans="1:7" x14ac:dyDescent="0.3">
      <c r="A1614" s="1" t="s">
        <v>4</v>
      </c>
      <c r="B1614" s="2" t="str">
        <f t="shared" si="145"/>
        <v>SISTEMA DE CUSTOS HOSPITALARES</v>
      </c>
      <c r="C1614" s="2" t="str">
        <f t="shared" si="146"/>
        <v>CONTR</v>
      </c>
      <c r="D1614" s="2" t="str">
        <f t="shared" si="147"/>
        <v>FFCH</v>
      </c>
      <c r="E1614" s="2" t="str">
        <f>"R_CUSTO_PACIENTE_PROCED"</f>
        <v>R_CUSTO_PACIENTE_PROCED</v>
      </c>
      <c r="F1614" s="2" t="str">
        <f>"R_CUSTO_PACIENTE_PROCED"</f>
        <v>R_CUSTO_PACIENTE_PROCED</v>
      </c>
      <c r="G1614" s="2" t="str">
        <f t="shared" si="148"/>
        <v xml:space="preserve"> ()</v>
      </c>
    </row>
    <row r="1615" spans="1:7" x14ac:dyDescent="0.3">
      <c r="A1615" s="1" t="s">
        <v>4</v>
      </c>
      <c r="B1615" s="2" t="str">
        <f t="shared" si="145"/>
        <v>SISTEMA DE CUSTOS HOSPITALARES</v>
      </c>
      <c r="C1615" s="2" t="str">
        <f t="shared" si="146"/>
        <v>CONTR</v>
      </c>
      <c r="D1615" s="2" t="str">
        <f t="shared" si="147"/>
        <v>FFCH</v>
      </c>
      <c r="E1615" s="2" t="str">
        <f>"CONSULTA DE DIRECIONADORES DE CUSTOS"</f>
        <v>CONSULTA DE DIRECIONADORES DE CUSTOS</v>
      </c>
      <c r="F1615" s="2" t="str">
        <f>"C_DIRECIONADOR_CUSTOS"</f>
        <v>C_DIRECIONADOR_CUSTOS</v>
      </c>
      <c r="G1615" s="2" t="str">
        <f>"Controladoria / Custos / Consultas / Direcionadores / Unidade de Produção (C_DIRECIONADOR_CUSTOS)"</f>
        <v>Controladoria / Custos / Consultas / Direcionadores / Unidade de Produção (C_DIRECIONADOR_CUSTOS)</v>
      </c>
    </row>
    <row r="1616" spans="1:7" x14ac:dyDescent="0.3">
      <c r="A1616" s="1" t="s">
        <v>4</v>
      </c>
      <c r="B1616" s="2" t="str">
        <f t="shared" si="145"/>
        <v>SISTEMA DE CUSTOS HOSPITALARES</v>
      </c>
      <c r="C1616" s="2" t="str">
        <f t="shared" si="146"/>
        <v>CONTR</v>
      </c>
      <c r="D1616" s="2" t="str">
        <f t="shared" si="147"/>
        <v>FFCH</v>
      </c>
      <c r="E1616" s="2" t="str">
        <f>"COMPETÊNCIA"</f>
        <v>COMPETÊNCIA</v>
      </c>
      <c r="F1616" s="2" t="str">
        <f>"M_COMPETENCIA"</f>
        <v>M_COMPETENCIA</v>
      </c>
      <c r="G1616" s="2" t="str">
        <f>"Controladoria / Custos / Tabelas / Competência (M_COMPETENCIA)"</f>
        <v>Controladoria / Custos / Tabelas / Competência (M_COMPETENCIA)</v>
      </c>
    </row>
    <row r="1617" spans="1:7" x14ac:dyDescent="0.3">
      <c r="A1617" s="1" t="s">
        <v>4</v>
      </c>
      <c r="B1617" s="2" t="str">
        <f t="shared" si="145"/>
        <v>SISTEMA DE CUSTOS HOSPITALARES</v>
      </c>
      <c r="C1617" s="2" t="str">
        <f t="shared" si="146"/>
        <v>CONTR</v>
      </c>
      <c r="D1617" s="2" t="str">
        <f t="shared" si="147"/>
        <v>FFCH</v>
      </c>
      <c r="E1617" s="2" t="str">
        <f>"R_UNID_APURACAO_CUSTOS"</f>
        <v>R_UNID_APURACAO_CUSTOS</v>
      </c>
      <c r="F1617" s="2" t="str">
        <f>"R_UNID_APURACAO_CUSTOS"</f>
        <v>R_UNID_APURACAO_CUSTOS</v>
      </c>
      <c r="G1617" s="2" t="str">
        <f>" ()"</f>
        <v xml:space="preserve"> ()</v>
      </c>
    </row>
    <row r="1618" spans="1:7" x14ac:dyDescent="0.3">
      <c r="A1618" s="1" t="s">
        <v>4</v>
      </c>
      <c r="B1618" s="2" t="str">
        <f t="shared" si="145"/>
        <v>SISTEMA DE CUSTOS HOSPITALARES</v>
      </c>
      <c r="C1618" s="2" t="str">
        <f t="shared" si="146"/>
        <v>CONTR</v>
      </c>
      <c r="D1618" s="2" t="str">
        <f t="shared" si="147"/>
        <v>FFCH</v>
      </c>
      <c r="E1618" s="2" t="str">
        <f>"CONSULTA DE TOTAL DE CONTA DE CUSTO"</f>
        <v>CONSULTA DE TOTAL DE CONTA DE CUSTO</v>
      </c>
      <c r="F1618" s="2" t="str">
        <f>"C_VL_CONTA_CUSTO"</f>
        <v>C_VL_CONTA_CUSTO</v>
      </c>
      <c r="G1618" s="2" t="str">
        <f>"Controladoria / Custos / Consultas / Contas de Custo (C_VL_CONTA_CUSTO)"</f>
        <v>Controladoria / Custos / Consultas / Contas de Custo (C_VL_CONTA_CUSTO)</v>
      </c>
    </row>
    <row r="1619" spans="1:7" x14ac:dyDescent="0.3">
      <c r="A1619" s="1" t="s">
        <v>4</v>
      </c>
      <c r="B1619" s="2" t="str">
        <f t="shared" si="145"/>
        <v>SISTEMA DE CUSTOS HOSPITALARES</v>
      </c>
      <c r="C1619" s="2" t="str">
        <f t="shared" si="146"/>
        <v>CONTR</v>
      </c>
      <c r="D1619" s="2" t="str">
        <f t="shared" si="147"/>
        <v>FFCH</v>
      </c>
      <c r="E1619" s="2" t="str">
        <f>"R_AVAL_MARGEM_EXA"</f>
        <v>R_AVAL_MARGEM_EXA</v>
      </c>
      <c r="F1619" s="2" t="str">
        <f>"R_AVAL_MARGEM_EXA"</f>
        <v>R_AVAL_MARGEM_EXA</v>
      </c>
      <c r="G1619" s="2" t="str">
        <f>" ()"</f>
        <v xml:space="preserve"> ()</v>
      </c>
    </row>
    <row r="1620" spans="1:7" x14ac:dyDescent="0.3">
      <c r="A1620" s="1" t="s">
        <v>4</v>
      </c>
      <c r="B1620" s="2" t="str">
        <f t="shared" si="145"/>
        <v>SISTEMA DE CUSTOS HOSPITALARES</v>
      </c>
      <c r="C1620" s="2" t="str">
        <f t="shared" si="146"/>
        <v>CONTR</v>
      </c>
      <c r="D1620" s="2" t="str">
        <f t="shared" si="147"/>
        <v>FFCH</v>
      </c>
      <c r="E1620" s="2" t="str">
        <f>"MARGEM DE CONTRIBUIÇÃO POR PROCEDIMENTO"</f>
        <v>MARGEM DE CONTRIBUIÇÃO POR PROCEDIMENTO</v>
      </c>
      <c r="F1620" s="2" t="str">
        <f>"R_MARGEM_CONT_EXAME"</f>
        <v>R_MARGEM_CONT_EXAME</v>
      </c>
      <c r="G1620" s="2" t="str">
        <f>" ()"</f>
        <v xml:space="preserve"> ()</v>
      </c>
    </row>
    <row r="1621" spans="1:7" x14ac:dyDescent="0.3">
      <c r="A1621" s="1" t="s">
        <v>4</v>
      </c>
      <c r="B1621" s="2" t="str">
        <f t="shared" si="145"/>
        <v>SISTEMA DE CUSTOS HOSPITALARES</v>
      </c>
      <c r="C1621" s="2" t="str">
        <f t="shared" si="146"/>
        <v>CONTR</v>
      </c>
      <c r="D1621" s="2" t="str">
        <f t="shared" si="147"/>
        <v>FFCH</v>
      </c>
      <c r="E1621" s="2" t="str">
        <f>"DIRECIONADOR DE CUSTOS"</f>
        <v>DIRECIONADOR DE CUSTOS</v>
      </c>
      <c r="F1621" s="2" t="str">
        <f>"R_DIRECIONADOR_CUSTOS"</f>
        <v>R_DIRECIONADOR_CUSTOS</v>
      </c>
      <c r="G1621" s="2" t="str">
        <f>"Controladoria / Custos / Relatórios / Lançamentos / Direcionador de Custos (R_DIRECIONADOR_CUSTOS)"</f>
        <v>Controladoria / Custos / Relatórios / Lançamentos / Direcionador de Custos (R_DIRECIONADOR_CUSTOS)</v>
      </c>
    </row>
    <row r="1622" spans="1:7" x14ac:dyDescent="0.3">
      <c r="A1622" s="1" t="s">
        <v>4</v>
      </c>
      <c r="B1622" s="2" t="str">
        <f t="shared" si="145"/>
        <v>SISTEMA DE CUSTOS HOSPITALARES</v>
      </c>
      <c r="C1622" s="2" t="str">
        <f t="shared" si="146"/>
        <v>CONTR</v>
      </c>
      <c r="D1622" s="2" t="str">
        <f t="shared" si="147"/>
        <v>FFCH</v>
      </c>
      <c r="E1622" s="2" t="str">
        <f>"M_ROTINAS_VARIAVEIS"</f>
        <v>M_ROTINAS_VARIAVEIS</v>
      </c>
      <c r="F1622" s="2" t="str">
        <f>"M_ROTINAS_VARIAVEIS"</f>
        <v>M_ROTINAS_VARIAVEIS</v>
      </c>
      <c r="G1622" s="2" t="str">
        <f>" ()"</f>
        <v xml:space="preserve"> ()</v>
      </c>
    </row>
    <row r="1623" spans="1:7" x14ac:dyDescent="0.3">
      <c r="A1623" s="1" t="s">
        <v>4</v>
      </c>
      <c r="B1623" s="2" t="str">
        <f t="shared" si="145"/>
        <v>SISTEMA DE CUSTOS HOSPITALARES</v>
      </c>
      <c r="C1623" s="2" t="str">
        <f t="shared" si="146"/>
        <v>CONTR</v>
      </c>
      <c r="D1623" s="2" t="str">
        <f t="shared" si="147"/>
        <v>FFCH</v>
      </c>
      <c r="E1623" s="2" t="str">
        <f>"ANALISE DAS CONTAS DE CUSTO"</f>
        <v>ANALISE DAS CONTAS DE CUSTO</v>
      </c>
      <c r="F1623" s="2" t="str">
        <f>"R_ANALISE_CONTA_CUSTO"</f>
        <v>R_ANALISE_CONTA_CUSTO</v>
      </c>
      <c r="G1623" s="2" t="str">
        <f>"Controladoria / Custos / Relatórios / Contas de Custos / Análise das Contas de Custo (R_ANALISE_CONTA_CUSTO)"</f>
        <v>Controladoria / Custos / Relatórios / Contas de Custos / Análise das Contas de Custo (R_ANALISE_CONTA_CUSTO)</v>
      </c>
    </row>
    <row r="1624" spans="1:7" x14ac:dyDescent="0.3">
      <c r="A1624" s="1" t="s">
        <v>4</v>
      </c>
      <c r="B1624" s="2" t="str">
        <f t="shared" si="145"/>
        <v>SISTEMA DE CUSTOS HOSPITALARES</v>
      </c>
      <c r="C1624" s="2" t="str">
        <f t="shared" si="146"/>
        <v>CONTR</v>
      </c>
      <c r="D1624" s="2" t="str">
        <f t="shared" si="147"/>
        <v>FFCH</v>
      </c>
      <c r="E1624" s="2" t="str">
        <f>"LANÇAMENTOS"</f>
        <v>LANÇAMENTOS</v>
      </c>
      <c r="F1624" s="2" t="str">
        <f>"R_LANCAMENTOS"</f>
        <v>R_LANCAMENTOS</v>
      </c>
      <c r="G1624" s="2" t="str">
        <f>"Controladoria / Custos / Relatórios / Lançamentos / Lançamentos do Financeiro (R_LANCAMENTOS)"</f>
        <v>Controladoria / Custos / Relatórios / Lançamentos / Lançamentos do Financeiro (R_LANCAMENTOS)</v>
      </c>
    </row>
    <row r="1625" spans="1:7" x14ac:dyDescent="0.3">
      <c r="A1625" s="1" t="s">
        <v>4</v>
      </c>
      <c r="B1625" s="2" t="str">
        <f t="shared" si="145"/>
        <v>SISTEMA DE CUSTOS HOSPITALARES</v>
      </c>
      <c r="C1625" s="2" t="str">
        <f t="shared" si="146"/>
        <v>CONTR</v>
      </c>
      <c r="D1625" s="2" t="str">
        <f t="shared" si="147"/>
        <v>FFCH</v>
      </c>
      <c r="E1625" s="2" t="str">
        <f>"ESPÉCIES / CLASSES / SUB-CLASSES"</f>
        <v>ESPÉCIES / CLASSES / SUB-CLASSES</v>
      </c>
      <c r="F1625" s="2" t="str">
        <f>"R_ESPECIE_CLASS"</f>
        <v>R_ESPECIE_CLASS</v>
      </c>
      <c r="G1625" s="2" t="str">
        <f>"Controladoria / Custos / Relatórios / Tabelas / Espécies / Classes / Sub-Classes (R_ESPECIE_CLASS)"</f>
        <v>Controladoria / Custos / Relatórios / Tabelas / Espécies / Classes / Sub-Classes (R_ESPECIE_CLASS)</v>
      </c>
    </row>
    <row r="1626" spans="1:7" x14ac:dyDescent="0.3">
      <c r="A1626" s="1" t="s">
        <v>4</v>
      </c>
      <c r="B1626" s="2" t="str">
        <f t="shared" si="145"/>
        <v>SISTEMA DE CUSTOS HOSPITALARES</v>
      </c>
      <c r="C1626" s="2" t="str">
        <f t="shared" si="146"/>
        <v>CONTR</v>
      </c>
      <c r="D1626" s="2" t="str">
        <f t="shared" si="147"/>
        <v>FFCH</v>
      </c>
      <c r="E1626" s="2" t="str">
        <f>"PRODUTO DIRETO - HOSPITAL MV SISTEMAS"</f>
        <v>PRODUTO DIRETO - HOSPITAL MV SISTEMAS</v>
      </c>
      <c r="F1626" s="2" t="str">
        <f>"M_PRODUTO_DIRETO"</f>
        <v>M_PRODUTO_DIRETO</v>
      </c>
      <c r="G1626" s="2" t="str">
        <f>" ()"</f>
        <v xml:space="preserve"> ()</v>
      </c>
    </row>
    <row r="1627" spans="1:7" x14ac:dyDescent="0.3">
      <c r="A1627" s="1" t="s">
        <v>4</v>
      </c>
      <c r="B1627" s="2" t="str">
        <f t="shared" si="145"/>
        <v>SISTEMA DE CUSTOS HOSPITALARES</v>
      </c>
      <c r="C1627" s="2" t="str">
        <f t="shared" si="146"/>
        <v>CONTR</v>
      </c>
      <c r="D1627" s="2" t="str">
        <f t="shared" si="147"/>
        <v>FFCH</v>
      </c>
      <c r="E1627" s="2" t="str">
        <f>"RELATÓRIO DE ORÇAMENTO ANUAL"</f>
        <v>RELATÓRIO DE ORÇAMENTO ANUAL</v>
      </c>
      <c r="F1627" s="2" t="str">
        <f>"R_ORCAMENTO_ANUAL"</f>
        <v>R_ORCAMENTO_ANUAL</v>
      </c>
      <c r="G1627" s="2" t="str">
        <f>"Controladoria / Custos / Relatórios / Orçamentos de Centro de Custo (R_ORCAMENTO_ANUAL)"</f>
        <v>Controladoria / Custos / Relatórios / Orçamentos de Centro de Custo (R_ORCAMENTO_ANUAL)</v>
      </c>
    </row>
    <row r="1628" spans="1:7" x14ac:dyDescent="0.3">
      <c r="A1628" s="1" t="s">
        <v>4</v>
      </c>
      <c r="B1628" s="2" t="str">
        <f t="shared" si="145"/>
        <v>SISTEMA DE CUSTOS HOSPITALARES</v>
      </c>
      <c r="C1628" s="2" t="str">
        <f t="shared" si="146"/>
        <v>CONTR</v>
      </c>
      <c r="D1628" s="2" t="str">
        <f t="shared" si="147"/>
        <v>FFCH</v>
      </c>
      <c r="E1628" s="2" t="str">
        <f>"R_MAPA_CUS_PRI_N"</f>
        <v>R_MAPA_CUS_PRI_N</v>
      </c>
      <c r="F1628" s="2" t="str">
        <f>"R_MAPA_CUS_PRI_N"</f>
        <v>R_MAPA_CUS_PRI_N</v>
      </c>
      <c r="G1628" s="2" t="str">
        <f>" ()"</f>
        <v xml:space="preserve"> ()</v>
      </c>
    </row>
    <row r="1629" spans="1:7" x14ac:dyDescent="0.3">
      <c r="A1629" s="1" t="s">
        <v>4</v>
      </c>
      <c r="B1629" s="2" t="str">
        <f t="shared" si="145"/>
        <v>SISTEMA DE CUSTOS HOSPITALARES</v>
      </c>
      <c r="C1629" s="2" t="str">
        <f t="shared" si="146"/>
        <v>CONTR</v>
      </c>
      <c r="D1629" s="2" t="str">
        <f t="shared" si="147"/>
        <v>FFCH</v>
      </c>
      <c r="E1629" s="2" t="str">
        <f>"PERSONALIZADOS FFCH"</f>
        <v>PERSONALIZADOS FFCH</v>
      </c>
      <c r="F1629" s="2" t="str">
        <f>"R_PERSON_FFCH"</f>
        <v>R_PERSON_FFCH</v>
      </c>
      <c r="G1629" s="2" t="str">
        <f>" ()"</f>
        <v xml:space="preserve"> ()</v>
      </c>
    </row>
    <row r="1630" spans="1:7" x14ac:dyDescent="0.3">
      <c r="A1630" s="1" t="s">
        <v>4</v>
      </c>
      <c r="B1630" s="2" t="str">
        <f t="shared" si="145"/>
        <v>SISTEMA DE CUSTOS HOSPITALARES</v>
      </c>
      <c r="C1630" s="2" t="str">
        <f t="shared" si="146"/>
        <v>CONTR</v>
      </c>
      <c r="D1630" s="2" t="str">
        <f t="shared" si="147"/>
        <v>FFCH</v>
      </c>
      <c r="E1630" s="2" t="str">
        <f>"RELATORIO DE CUSTO POR SETOR"</f>
        <v>RELATORIO DE CUSTO POR SETOR</v>
      </c>
      <c r="F1630" s="2" t="str">
        <f>"FFCH_R_CUSTO_SETOR"</f>
        <v>FFCH_R_CUSTO_SETOR</v>
      </c>
      <c r="G1630" s="2" t="str">
        <f>"Controladoria / Custos / Relatórios / Custos das Acomodações / Custos das Acomodações por Centro de Custo (FFCH_R_CUSTO_SETOR)"</f>
        <v>Controladoria / Custos / Relatórios / Custos das Acomodações / Custos das Acomodações por Centro de Custo (FFCH_R_CUSTO_SETOR)</v>
      </c>
    </row>
    <row r="1631" spans="1:7" x14ac:dyDescent="0.3">
      <c r="A1631" s="1" t="s">
        <v>4</v>
      </c>
      <c r="B1631" s="2" t="str">
        <f t="shared" si="145"/>
        <v>SISTEMA DE CUSTOS HOSPITALARES</v>
      </c>
      <c r="C1631" s="2" t="str">
        <f t="shared" si="146"/>
        <v>CONTR</v>
      </c>
      <c r="D1631" s="2" t="str">
        <f t="shared" si="147"/>
        <v>FFCH</v>
      </c>
      <c r="E1631" s="2" t="str">
        <f>"Gerencia atividades de atendime. via XML"</f>
        <v>Gerencia atividades de atendime. via XML</v>
      </c>
      <c r="F1631" s="2" t="str">
        <f>"FFCH_C_IMPORTA_XML"</f>
        <v>FFCH_C_IMPORTA_XML</v>
      </c>
      <c r="G1631" s="2" t="str">
        <f>"Controladoria / Custos / Importação / Atividades / Gerenciar XML (FFCH_C_IMPORTA_XML)"</f>
        <v>Controladoria / Custos / Importação / Atividades / Gerenciar XML (FFCH_C_IMPORTA_XML)</v>
      </c>
    </row>
    <row r="1632" spans="1:7" x14ac:dyDescent="0.3">
      <c r="A1632" s="1" t="s">
        <v>4</v>
      </c>
      <c r="B1632" s="2" t="str">
        <f t="shared" si="145"/>
        <v>SISTEMA DE CUSTOS HOSPITALARES</v>
      </c>
      <c r="C1632" s="2" t="str">
        <f t="shared" si="146"/>
        <v>CONTR</v>
      </c>
      <c r="D1632" s="2" t="str">
        <f t="shared" si="147"/>
        <v>FFCH</v>
      </c>
      <c r="E1632" s="2" t="str">
        <f>"Importa atividades de atendime. via XML"</f>
        <v>Importa atividades de atendime. via XML</v>
      </c>
      <c r="F1632" s="2" t="str">
        <f>"FFCH_O_IMPORTA_XML"</f>
        <v>FFCH_O_IMPORTA_XML</v>
      </c>
      <c r="G1632" s="2" t="str">
        <f>"Controladoria / Custos / Importação / Atividades / Importar XML (FFCH_O_IMPORTA_XML)"</f>
        <v>Controladoria / Custos / Importação / Atividades / Importar XML (FFCH_O_IMPORTA_XML)</v>
      </c>
    </row>
    <row r="1633" spans="1:7" x14ac:dyDescent="0.3">
      <c r="A1633" s="1" t="s">
        <v>4</v>
      </c>
      <c r="B1633" s="2" t="str">
        <f t="shared" si="145"/>
        <v>SISTEMA DE CUSTOS HOSPITALARES</v>
      </c>
      <c r="C1633" s="2" t="str">
        <f t="shared" si="146"/>
        <v>CONTR</v>
      </c>
      <c r="D1633" s="2" t="str">
        <f t="shared" si="147"/>
        <v>FFCH</v>
      </c>
      <c r="E1633" s="2" t="str">
        <f>"PLANO DE ORÇAMENTO"</f>
        <v>PLANO DE ORÇAMENTO</v>
      </c>
      <c r="F1633" s="2" t="str">
        <f>"R_PLANO_ORCAMENTO"</f>
        <v>R_PLANO_ORCAMENTO</v>
      </c>
      <c r="G1633" s="2" t="str">
        <f>" ()"</f>
        <v xml:space="preserve"> ()</v>
      </c>
    </row>
    <row r="1634" spans="1:7" x14ac:dyDescent="0.3">
      <c r="A1634" s="1" t="s">
        <v>4</v>
      </c>
      <c r="B1634" s="2" t="str">
        <f t="shared" si="145"/>
        <v>SISTEMA DE CUSTOS HOSPITALARES</v>
      </c>
      <c r="C1634" s="2" t="str">
        <f t="shared" si="146"/>
        <v>CONTR</v>
      </c>
      <c r="D1634" s="2" t="str">
        <f t="shared" si="147"/>
        <v>FFCH</v>
      </c>
      <c r="E1634" s="2" t="str">
        <f>"TESTE4.5"</f>
        <v>TESTE4.5</v>
      </c>
      <c r="F1634" s="2" t="str">
        <f>"123"</f>
        <v>123</v>
      </c>
      <c r="G1634" s="2" t="str">
        <f>" ()"</f>
        <v xml:space="preserve"> ()</v>
      </c>
    </row>
    <row r="1635" spans="1:7" x14ac:dyDescent="0.3">
      <c r="A1635" s="1" t="s">
        <v>4</v>
      </c>
      <c r="B1635" s="2" t="str">
        <f t="shared" si="145"/>
        <v>SISTEMA DE CUSTOS HOSPITALARES</v>
      </c>
      <c r="C1635" s="2" t="str">
        <f t="shared" si="146"/>
        <v>CONTR</v>
      </c>
      <c r="D1635" s="2" t="str">
        <f t="shared" si="147"/>
        <v>FFCH</v>
      </c>
      <c r="E1635" s="2" t="str">
        <f>"M_GRU_PRO_ITEM_RES"</f>
        <v>M_GRU_PRO_ITEM_RES</v>
      </c>
      <c r="F1635" s="2" t="str">
        <f>"M_GRU_PRO_ITEM_RES"</f>
        <v>M_GRU_PRO_ITEM_RES</v>
      </c>
      <c r="G1635" s="2" t="str">
        <f>" ()"</f>
        <v xml:space="preserve"> ()</v>
      </c>
    </row>
    <row r="1636" spans="1:7" x14ac:dyDescent="0.3">
      <c r="A1636" s="1" t="s">
        <v>4</v>
      </c>
      <c r="B1636" s="2" t="str">
        <f t="shared" si="145"/>
        <v>SISTEMA DE CUSTOS HOSPITALARES</v>
      </c>
      <c r="C1636" s="2" t="str">
        <f t="shared" si="146"/>
        <v>CONTR</v>
      </c>
      <c r="D1636" s="2" t="str">
        <f t="shared" si="147"/>
        <v>FFCH</v>
      </c>
      <c r="E1636" s="2" t="str">
        <f>"CADASTRO: GRUPOS DE FATURAMENTO"</f>
        <v>CADASTRO: GRUPOS DE FATURAMENTO</v>
      </c>
      <c r="F1636" s="2" t="str">
        <f>"M_GRU_FAT_FFCH"</f>
        <v>M_GRU_FAT_FFCH</v>
      </c>
      <c r="G1636" s="2" t="str">
        <f>"Controladoria / Custos / Configurações / Faturamento / Convênio/Particular / Grupo de Faturamento (M_GRU_FAT_FFCH)"</f>
        <v>Controladoria / Custos / Configurações / Faturamento / Convênio/Particular / Grupo de Faturamento (M_GRU_FAT_FFCH)</v>
      </c>
    </row>
    <row r="1637" spans="1:7" x14ac:dyDescent="0.3">
      <c r="A1637" s="1" t="s">
        <v>4</v>
      </c>
      <c r="B1637" s="2" t="str">
        <f t="shared" si="145"/>
        <v>SISTEMA DE CUSTOS HOSPITALARES</v>
      </c>
      <c r="C1637" s="2" t="str">
        <f t="shared" si="146"/>
        <v>CONTR</v>
      </c>
      <c r="D1637" s="2" t="str">
        <f t="shared" si="147"/>
        <v>FFCH</v>
      </c>
      <c r="E1637" s="2" t="str">
        <f>"RELATÓRIO CRÍTICA DOS MÉDICOS"</f>
        <v>RELATÓRIO CRÍTICA DOS MÉDICOS</v>
      </c>
      <c r="F1637" s="2" t="str">
        <f>"R_CRITICA_MEDICO.RDF"</f>
        <v>R_CRITICA_MEDICO.RDF</v>
      </c>
      <c r="G1637" s="2" t="str">
        <f t="shared" ref="G1637:G1643" si="149">" ()"</f>
        <v xml:space="preserve"> ()</v>
      </c>
    </row>
    <row r="1638" spans="1:7" x14ac:dyDescent="0.3">
      <c r="A1638" s="1" t="s">
        <v>4</v>
      </c>
      <c r="B1638" s="2" t="str">
        <f t="shared" si="145"/>
        <v>SISTEMA DE CUSTOS HOSPITALARES</v>
      </c>
      <c r="C1638" s="2" t="str">
        <f t="shared" si="146"/>
        <v>CONTR</v>
      </c>
      <c r="D1638" s="2" t="str">
        <f t="shared" si="147"/>
        <v>FFCH</v>
      </c>
      <c r="E1638" s="2" t="str">
        <f>"RELATÓRIO CRÍTICA ATENDIMENTO"</f>
        <v>RELATÓRIO CRÍTICA ATENDIMENTO</v>
      </c>
      <c r="F1638" s="2" t="str">
        <f>"R_CRITICA_ATENDIME.RDF"</f>
        <v>R_CRITICA_ATENDIME.RDF</v>
      </c>
      <c r="G1638" s="2" t="str">
        <f t="shared" si="149"/>
        <v xml:space="preserve"> ()</v>
      </c>
    </row>
    <row r="1639" spans="1:7" x14ac:dyDescent="0.3">
      <c r="A1639" s="1" t="s">
        <v>4</v>
      </c>
      <c r="B1639" s="2" t="str">
        <f t="shared" si="145"/>
        <v>SISTEMA DE CUSTOS HOSPITALARES</v>
      </c>
      <c r="C1639" s="2" t="str">
        <f t="shared" si="146"/>
        <v>CONTR</v>
      </c>
      <c r="D1639" s="2" t="str">
        <f t="shared" si="147"/>
        <v>FFCH</v>
      </c>
      <c r="E1639" s="2" t="str">
        <f>"RELATÓRIO CRÍTICA ATENDIMENTO"</f>
        <v>RELATÓRIO CRÍTICA ATENDIMENTO</v>
      </c>
      <c r="F1639" s="2" t="str">
        <f>"R_CRITICA_ATENDIME.RTF"</f>
        <v>R_CRITICA_ATENDIME.RTF</v>
      </c>
      <c r="G1639" s="2" t="str">
        <f t="shared" si="149"/>
        <v xml:space="preserve"> ()</v>
      </c>
    </row>
    <row r="1640" spans="1:7" x14ac:dyDescent="0.3">
      <c r="A1640" s="1" t="s">
        <v>4</v>
      </c>
      <c r="B1640" s="2" t="str">
        <f t="shared" si="145"/>
        <v>SISTEMA DE CUSTOS HOSPITALARES</v>
      </c>
      <c r="C1640" s="2" t="str">
        <f t="shared" si="146"/>
        <v>CONTR</v>
      </c>
      <c r="D1640" s="2" t="str">
        <f t="shared" si="147"/>
        <v>FFCH</v>
      </c>
      <c r="E1640" s="2" t="str">
        <f>"RELATÓRIO ORIGEM DA RECEITAS"</f>
        <v>RELATÓRIO ORIGEM DA RECEITAS</v>
      </c>
      <c r="F1640" s="2" t="str">
        <f>"R_ORIGEM_RECEITA.RDF"</f>
        <v>R_ORIGEM_RECEITA.RDF</v>
      </c>
      <c r="G1640" s="2" t="str">
        <f t="shared" si="149"/>
        <v xml:space="preserve"> ()</v>
      </c>
    </row>
    <row r="1641" spans="1:7" x14ac:dyDescent="0.3">
      <c r="A1641" s="1" t="s">
        <v>4</v>
      </c>
      <c r="B1641" s="2" t="str">
        <f t="shared" si="145"/>
        <v>SISTEMA DE CUSTOS HOSPITALARES</v>
      </c>
      <c r="C1641" s="2" t="str">
        <f t="shared" si="146"/>
        <v>CONTR</v>
      </c>
      <c r="D1641" s="2" t="str">
        <f t="shared" si="147"/>
        <v>FFCH</v>
      </c>
      <c r="E1641" s="2" t="str">
        <f>"REL LANÇAMENTO DIRECIONADORES DE CUSTO"</f>
        <v>REL LANÇAMENTO DIRECIONADORES DE CUSTO</v>
      </c>
      <c r="F1641" s="2" t="str">
        <f>"R_DIRECIONADOR_CUSTOS.RDF"</f>
        <v>R_DIRECIONADOR_CUSTOS.RDF</v>
      </c>
      <c r="G1641" s="2" t="str">
        <f t="shared" si="149"/>
        <v xml:space="preserve"> ()</v>
      </c>
    </row>
    <row r="1642" spans="1:7" x14ac:dyDescent="0.3">
      <c r="A1642" s="1" t="s">
        <v>4</v>
      </c>
      <c r="B1642" s="2" t="str">
        <f t="shared" si="145"/>
        <v>SISTEMA DE CUSTOS HOSPITALARES</v>
      </c>
      <c r="C1642" s="2" t="str">
        <f t="shared" si="146"/>
        <v>CONTR</v>
      </c>
      <c r="D1642" s="2" t="str">
        <f t="shared" si="147"/>
        <v>FFCH</v>
      </c>
      <c r="E1642" s="2" t="str">
        <f>"RELATÓRIO LANÇAMENTO CUSTOS PRIMÁRIOS"</f>
        <v>RELATÓRIO LANÇAMENTO CUSTOS PRIMÁRIOS</v>
      </c>
      <c r="F1642" s="2" t="str">
        <f>"R_CUSTO_PRIM.RDF"</f>
        <v>R_CUSTO_PRIM.RDF</v>
      </c>
      <c r="G1642" s="2" t="str">
        <f t="shared" si="149"/>
        <v xml:space="preserve"> ()</v>
      </c>
    </row>
    <row r="1643" spans="1:7" x14ac:dyDescent="0.3">
      <c r="A1643" s="1" t="s">
        <v>4</v>
      </c>
      <c r="B1643" s="2" t="str">
        <f t="shared" si="145"/>
        <v>SISTEMA DE CUSTOS HOSPITALARES</v>
      </c>
      <c r="C1643" s="2" t="str">
        <f t="shared" si="146"/>
        <v>CONTR</v>
      </c>
      <c r="D1643" s="2" t="str">
        <f t="shared" si="147"/>
        <v>FFCH</v>
      </c>
      <c r="E1643" s="2" t="str">
        <f>"CONSULTA DE PACIENTES"</f>
        <v>CONSULTA DE PACIENTES</v>
      </c>
      <c r="F1643" s="2" t="str">
        <f>"C_PACIENTE"</f>
        <v>C_PACIENTE</v>
      </c>
      <c r="G1643" s="2" t="str">
        <f t="shared" si="149"/>
        <v xml:space="preserve"> ()</v>
      </c>
    </row>
    <row r="1644" spans="1:7" x14ac:dyDescent="0.3">
      <c r="A1644" s="1" t="s">
        <v>4</v>
      </c>
      <c r="B1644" s="2" t="str">
        <f t="shared" si="145"/>
        <v>SISTEMA DE CUSTOS HOSPITALARES</v>
      </c>
      <c r="C1644" s="2" t="str">
        <f t="shared" si="146"/>
        <v>CONTR</v>
      </c>
      <c r="D1644" s="2" t="str">
        <f t="shared" si="147"/>
        <v>FFCH</v>
      </c>
      <c r="E1644" s="2" t="str">
        <f>"CONSULTA"</f>
        <v>CONSULTA</v>
      </c>
      <c r="F1644" s="2" t="str">
        <f>"C_PROCEDIMENTO_CUSTOS"</f>
        <v>C_PROCEDIMENTO_CUSTOS</v>
      </c>
      <c r="G1644" s="2" t="str">
        <f>"Controladoria / Custos / Consultas / Procedimentos (C_PROCEDIMENTO_CUSTOS)"</f>
        <v>Controladoria / Custos / Consultas / Procedimentos (C_PROCEDIMENTO_CUSTOS)</v>
      </c>
    </row>
    <row r="1645" spans="1:7" x14ac:dyDescent="0.3">
      <c r="A1645" s="1" t="s">
        <v>4</v>
      </c>
      <c r="B1645" s="2" t="str">
        <f t="shared" si="145"/>
        <v>SISTEMA DE CUSTOS HOSPITALARES</v>
      </c>
      <c r="C1645" s="2" t="str">
        <f t="shared" si="146"/>
        <v>CONTR</v>
      </c>
      <c r="D1645" s="2" t="str">
        <f t="shared" si="147"/>
        <v>FFCH</v>
      </c>
      <c r="E1645" s="2" t="str">
        <f>"IMPORTAÇÃO"</f>
        <v>IMPORTAÇÃO</v>
      </c>
      <c r="F1645" s="2" t="str">
        <f>"O_IMPORTACAO_ARQ"</f>
        <v>O_IMPORTACAO_ARQ</v>
      </c>
      <c r="G1645" s="2" t="str">
        <f>"Controladoria / Custos / Importação / Centro Custo / Item Produção / Importar (O_IMPORTACAO_ARQ)"</f>
        <v>Controladoria / Custos / Importação / Centro Custo / Item Produção / Importar (O_IMPORTACAO_ARQ)</v>
      </c>
    </row>
    <row r="1646" spans="1:7" x14ac:dyDescent="0.3">
      <c r="A1646" s="1" t="s">
        <v>4</v>
      </c>
      <c r="B1646" s="2" t="str">
        <f t="shared" si="145"/>
        <v>SISTEMA DE CUSTOS HOSPITALARES</v>
      </c>
      <c r="C1646" s="2" t="str">
        <f t="shared" si="146"/>
        <v>CONTR</v>
      </c>
      <c r="D1646" s="2" t="str">
        <f t="shared" si="147"/>
        <v>FFCH</v>
      </c>
      <c r="E1646" s="2" t="str">
        <f>"CADASTRO: GRUPOS DE PROCEDIMENTO"</f>
        <v>CADASTRO: GRUPOS DE PROCEDIMENTO</v>
      </c>
      <c r="F1646" s="2" t="str">
        <f>"M_CONFIG_GRUPRO"</f>
        <v>M_CONFIG_GRUPRO</v>
      </c>
      <c r="G1646" s="2" t="str">
        <f>"Controladoria / Custos / Configurações / Faturamento / Convênio/Particular / Grupo de Procedimentos (M_CONFIG_GRUPRO)"</f>
        <v>Controladoria / Custos / Configurações / Faturamento / Convênio/Particular / Grupo de Procedimentos (M_CONFIG_GRUPRO)</v>
      </c>
    </row>
    <row r="1647" spans="1:7" x14ac:dyDescent="0.3">
      <c r="A1647" s="1" t="s">
        <v>4</v>
      </c>
      <c r="B1647" s="2" t="str">
        <f t="shared" si="145"/>
        <v>SISTEMA DE CUSTOS HOSPITALARES</v>
      </c>
      <c r="C1647" s="2" t="str">
        <f t="shared" si="146"/>
        <v>CONTR</v>
      </c>
      <c r="D1647" s="2" t="str">
        <f t="shared" si="147"/>
        <v>FFCH</v>
      </c>
      <c r="E1647" s="2" t="str">
        <f>"CADASTRO: GRUPOS DE CONTAS DE CUSTO"</f>
        <v>CADASTRO: GRUPOS DE CONTAS DE CUSTO</v>
      </c>
      <c r="F1647" s="2" t="str">
        <f>"M_ITEM_RES"</f>
        <v>M_ITEM_RES</v>
      </c>
      <c r="G1647" s="2" t="str">
        <f>"Controladoria / Custos / Tabelas / Contas de Custo / Receita (M_ITEM_RES)"</f>
        <v>Controladoria / Custos / Tabelas / Contas de Custo / Receita (M_ITEM_RES)</v>
      </c>
    </row>
    <row r="1648" spans="1:7" x14ac:dyDescent="0.3">
      <c r="A1648" s="1" t="s">
        <v>4</v>
      </c>
      <c r="B1648" s="2" t="str">
        <f t="shared" si="145"/>
        <v>SISTEMA DE CUSTOS HOSPITALARES</v>
      </c>
      <c r="C1648" s="2" t="str">
        <f t="shared" si="146"/>
        <v>CONTR</v>
      </c>
      <c r="D1648" s="2" t="str">
        <f t="shared" si="147"/>
        <v>FFCH</v>
      </c>
      <c r="E1648" s="2" t="str">
        <f>"MAPA DE ANÁLISE DE RATEIOS"</f>
        <v>MAPA DE ANÁLISE DE RATEIOS</v>
      </c>
      <c r="F1648" s="2" t="str">
        <f>"R_MAPA_ANA_RATEIO"</f>
        <v>R_MAPA_ANA_RATEIO</v>
      </c>
      <c r="G1648" s="2" t="str">
        <f>"Controladoria / Custos / Relatórios / Avaliação de Resultados / Mapa de Análise de Rateios (R_MAPA_ANA_RATEIO)"</f>
        <v>Controladoria / Custos / Relatórios / Avaliação de Resultados / Mapa de Análise de Rateios (R_MAPA_ANA_RATEIO)</v>
      </c>
    </row>
    <row r="1649" spans="1:7" x14ac:dyDescent="0.3">
      <c r="A1649" s="1" t="s">
        <v>4</v>
      </c>
      <c r="B1649" s="2" t="str">
        <f t="shared" si="145"/>
        <v>SISTEMA DE CUSTOS HOSPITALARES</v>
      </c>
      <c r="C1649" s="2" t="str">
        <f t="shared" si="146"/>
        <v>CONTR</v>
      </c>
      <c r="D1649" s="2" t="str">
        <f t="shared" si="147"/>
        <v>FFCH</v>
      </c>
      <c r="E1649" s="2" t="str">
        <f>"R_ANA_RES_ATENDIME_CONS"</f>
        <v>R_ANA_RES_ATENDIME_CONS</v>
      </c>
      <c r="F1649" s="2" t="str">
        <f>"R_ANA_RES_ATENDIME_CONS"</f>
        <v>R_ANA_RES_ATENDIME_CONS</v>
      </c>
      <c r="G1649" s="2" t="str">
        <f>"Controladoria / Custos / Relatórios / Análise de Resultado dos Atendimentos / Consolidado (R_ANA_RES_ATENDIME_CONS)"</f>
        <v>Controladoria / Custos / Relatórios / Análise de Resultado dos Atendimentos / Consolidado (R_ANA_RES_ATENDIME_CONS)</v>
      </c>
    </row>
    <row r="1650" spans="1:7" x14ac:dyDescent="0.3">
      <c r="A1650" s="1" t="s">
        <v>4</v>
      </c>
      <c r="B1650" s="2" t="str">
        <f t="shared" si="145"/>
        <v>SISTEMA DE CUSTOS HOSPITALARES</v>
      </c>
      <c r="C1650" s="2" t="str">
        <f t="shared" si="146"/>
        <v>CONTR</v>
      </c>
      <c r="D1650" s="2" t="str">
        <f t="shared" si="147"/>
        <v>FFCH</v>
      </c>
      <c r="E1650" s="2" t="str">
        <f>"WIN_PRINCIPAL"</f>
        <v>WIN_PRINCIPAL</v>
      </c>
      <c r="F1650" s="2" t="str">
        <f>"R_CUSTO_FINAL_PAC_CONS"</f>
        <v>R_CUSTO_FINAL_PAC_CONS</v>
      </c>
      <c r="G1650" s="2" t="str">
        <f>"Controladoria / Custos / Relatórios / Paciente / Resultado por Atendimento  / Consolidado (R_CUSTO_FINAL_PAC_CONS)"</f>
        <v>Controladoria / Custos / Relatórios / Paciente / Resultado por Atendimento  / Consolidado (R_CUSTO_FINAL_PAC_CONS)</v>
      </c>
    </row>
    <row r="1651" spans="1:7" x14ac:dyDescent="0.3">
      <c r="A1651" s="1" t="s">
        <v>4</v>
      </c>
      <c r="B1651" s="2" t="str">
        <f t="shared" si="145"/>
        <v>SISTEMA DE CUSTOS HOSPITALARES</v>
      </c>
      <c r="C1651" s="2" t="str">
        <f t="shared" si="146"/>
        <v>CONTR</v>
      </c>
      <c r="D1651" s="2" t="str">
        <f t="shared" si="147"/>
        <v>FFCH</v>
      </c>
      <c r="E1651" s="2" t="str">
        <f>"RC_REFEICAO_COPA"</f>
        <v>RC_REFEICAO_COPA</v>
      </c>
      <c r="F1651" s="2" t="str">
        <f>"RC_REFEICAO_COPA"</f>
        <v>RC_REFEICAO_COPA</v>
      </c>
      <c r="G1651" s="2" t="str">
        <f t="shared" ref="G1651:G1663" si="150">" ()"</f>
        <v xml:space="preserve"> ()</v>
      </c>
    </row>
    <row r="1652" spans="1:7" x14ac:dyDescent="0.3">
      <c r="A1652" s="1" t="s">
        <v>4</v>
      </c>
      <c r="B1652" s="2" t="str">
        <f t="shared" si="145"/>
        <v>SISTEMA DE CUSTOS HOSPITALARES</v>
      </c>
      <c r="C1652" s="2" t="str">
        <f t="shared" si="146"/>
        <v>CONTR</v>
      </c>
      <c r="D1652" s="2" t="str">
        <f t="shared" si="147"/>
        <v>FFCH</v>
      </c>
      <c r="E1652" s="2" t="str">
        <f>"RC_REFEICAO_SETOR"</f>
        <v>RC_REFEICAO_SETOR</v>
      </c>
      <c r="F1652" s="2" t="str">
        <f>"RC_REFEICAO_SETOR"</f>
        <v>RC_REFEICAO_SETOR</v>
      </c>
      <c r="G1652" s="2" t="str">
        <f t="shared" si="150"/>
        <v xml:space="preserve"> ()</v>
      </c>
    </row>
    <row r="1653" spans="1:7" x14ac:dyDescent="0.3">
      <c r="A1653" s="1" t="s">
        <v>4</v>
      </c>
      <c r="B1653" s="2" t="str">
        <f t="shared" ref="B1653:B1716" si="151">"SISTEMA DE CUSTOS HOSPITALARES"</f>
        <v>SISTEMA DE CUSTOS HOSPITALARES</v>
      </c>
      <c r="C1653" s="2" t="str">
        <f t="shared" ref="C1653:C1716" si="152">"CONTR"</f>
        <v>CONTR</v>
      </c>
      <c r="D1653" s="2" t="str">
        <f t="shared" ref="D1653:D1716" si="153">"FFCH"</f>
        <v>FFCH</v>
      </c>
      <c r="E1653" s="2" t="str">
        <f>"RC_RECEITA_PROD"</f>
        <v>RC_RECEITA_PROD</v>
      </c>
      <c r="F1653" s="2" t="str">
        <f>"RC_RECEITA_PROD"</f>
        <v>RC_RECEITA_PROD</v>
      </c>
      <c r="G1653" s="2" t="str">
        <f t="shared" si="150"/>
        <v xml:space="preserve"> ()</v>
      </c>
    </row>
    <row r="1654" spans="1:7" x14ac:dyDescent="0.3">
      <c r="A1654" s="1" t="s">
        <v>4</v>
      </c>
      <c r="B1654" s="2" t="str">
        <f t="shared" si="151"/>
        <v>SISTEMA DE CUSTOS HOSPITALARES</v>
      </c>
      <c r="C1654" s="2" t="str">
        <f t="shared" si="152"/>
        <v>CONTR</v>
      </c>
      <c r="D1654" s="2" t="str">
        <f t="shared" si="153"/>
        <v>FFCH</v>
      </c>
      <c r="E1654" s="2" t="str">
        <f>"RC_RECEITA_GASES"</f>
        <v>RC_RECEITA_GASES</v>
      </c>
      <c r="F1654" s="2" t="str">
        <f>"RC_RECEITA_GASES"</f>
        <v>RC_RECEITA_GASES</v>
      </c>
      <c r="G1654" s="2" t="str">
        <f t="shared" si="150"/>
        <v xml:space="preserve"> ()</v>
      </c>
    </row>
    <row r="1655" spans="1:7" x14ac:dyDescent="0.3">
      <c r="A1655" s="1" t="s">
        <v>4</v>
      </c>
      <c r="B1655" s="2" t="str">
        <f t="shared" si="151"/>
        <v>SISTEMA DE CUSTOS HOSPITALARES</v>
      </c>
      <c r="C1655" s="2" t="str">
        <f t="shared" si="152"/>
        <v>CONTR</v>
      </c>
      <c r="D1655" s="2" t="str">
        <f t="shared" si="153"/>
        <v>FFCH</v>
      </c>
      <c r="E1655" s="2" t="str">
        <f>"RC_PONTOS_ATENDIME"</f>
        <v>RC_PONTOS_ATENDIME</v>
      </c>
      <c r="F1655" s="2" t="str">
        <f>"RC_PONTOS_ATENDIME"</f>
        <v>RC_PONTOS_ATENDIME</v>
      </c>
      <c r="G1655" s="2" t="str">
        <f t="shared" si="150"/>
        <v xml:space="preserve"> ()</v>
      </c>
    </row>
    <row r="1656" spans="1:7" x14ac:dyDescent="0.3">
      <c r="A1656" s="1" t="s">
        <v>4</v>
      </c>
      <c r="B1656" s="2" t="str">
        <f t="shared" si="151"/>
        <v>SISTEMA DE CUSTOS HOSPITALARES</v>
      </c>
      <c r="C1656" s="2" t="str">
        <f t="shared" si="152"/>
        <v>CONTR</v>
      </c>
      <c r="D1656" s="2" t="str">
        <f t="shared" si="153"/>
        <v>FFCH</v>
      </c>
      <c r="E1656" s="2" t="str">
        <f>"RC_PACIENTE_DIA"</f>
        <v>RC_PACIENTE_DIA</v>
      </c>
      <c r="F1656" s="2" t="str">
        <f>"RC_PACIENTE_DIA"</f>
        <v>RC_PACIENTE_DIA</v>
      </c>
      <c r="G1656" s="2" t="str">
        <f t="shared" si="150"/>
        <v xml:space="preserve"> ()</v>
      </c>
    </row>
    <row r="1657" spans="1:7" x14ac:dyDescent="0.3">
      <c r="A1657" s="1" t="s">
        <v>4</v>
      </c>
      <c r="B1657" s="2" t="str">
        <f t="shared" si="151"/>
        <v>SISTEMA DE CUSTOS HOSPITALARES</v>
      </c>
      <c r="C1657" s="2" t="str">
        <f t="shared" si="152"/>
        <v>CONTR</v>
      </c>
      <c r="D1657" s="2" t="str">
        <f t="shared" si="153"/>
        <v>FFCH</v>
      </c>
      <c r="E1657" s="2" t="str">
        <f>"RC_NUMERO_GUIAS"</f>
        <v>RC_NUMERO_GUIAS</v>
      </c>
      <c r="F1657" s="2" t="str">
        <f>"RC_NUMERO_GUIAS"</f>
        <v>RC_NUMERO_GUIAS</v>
      </c>
      <c r="G1657" s="2" t="str">
        <f t="shared" si="150"/>
        <v xml:space="preserve"> ()</v>
      </c>
    </row>
    <row r="1658" spans="1:7" x14ac:dyDescent="0.3">
      <c r="A1658" s="1" t="s">
        <v>4</v>
      </c>
      <c r="B1658" s="2" t="str">
        <f t="shared" si="151"/>
        <v>SISTEMA DE CUSTOS HOSPITALARES</v>
      </c>
      <c r="C1658" s="2" t="str">
        <f t="shared" si="152"/>
        <v>CONTR</v>
      </c>
      <c r="D1658" s="2" t="str">
        <f t="shared" si="153"/>
        <v>FFCH</v>
      </c>
      <c r="E1658" s="2" t="str">
        <f>"RC_NUMERO_EXAMES"</f>
        <v>RC_NUMERO_EXAMES</v>
      </c>
      <c r="F1658" s="2" t="str">
        <f>"RC_NUMERO_EXAMES"</f>
        <v>RC_NUMERO_EXAMES</v>
      </c>
      <c r="G1658" s="2" t="str">
        <f t="shared" si="150"/>
        <v xml:space="preserve"> ()</v>
      </c>
    </row>
    <row r="1659" spans="1:7" x14ac:dyDescent="0.3">
      <c r="A1659" s="1" t="s">
        <v>4</v>
      </c>
      <c r="B1659" s="2" t="str">
        <f t="shared" si="151"/>
        <v>SISTEMA DE CUSTOS HOSPITALARES</v>
      </c>
      <c r="C1659" s="2" t="str">
        <f t="shared" si="152"/>
        <v>CONTR</v>
      </c>
      <c r="D1659" s="2" t="str">
        <f t="shared" si="153"/>
        <v>FFCH</v>
      </c>
      <c r="E1659" s="2" t="str">
        <f>"RC_MVTO_ESTOQUE_GERAL"</f>
        <v>RC_MVTO_ESTOQUE_GERAL</v>
      </c>
      <c r="F1659" s="2" t="str">
        <f>"RC_MVTO_ESTOQUE_GERAL"</f>
        <v>RC_MVTO_ESTOQUE_GERAL</v>
      </c>
      <c r="G1659" s="2" t="str">
        <f t="shared" si="150"/>
        <v xml:space="preserve"> ()</v>
      </c>
    </row>
    <row r="1660" spans="1:7" x14ac:dyDescent="0.3">
      <c r="A1660" s="1" t="s">
        <v>4</v>
      </c>
      <c r="B1660" s="2" t="str">
        <f t="shared" si="151"/>
        <v>SISTEMA DE CUSTOS HOSPITALARES</v>
      </c>
      <c r="C1660" s="2" t="str">
        <f t="shared" si="152"/>
        <v>CONTR</v>
      </c>
      <c r="D1660" s="2" t="str">
        <f t="shared" si="153"/>
        <v>FFCH</v>
      </c>
      <c r="E1660" s="2" t="str">
        <f>"RC_CONTAS_FATURADAS"</f>
        <v>RC_CONTAS_FATURADAS</v>
      </c>
      <c r="F1660" s="2" t="str">
        <f>"RC_CONTAS_FATURADAS"</f>
        <v>RC_CONTAS_FATURADAS</v>
      </c>
      <c r="G1660" s="2" t="str">
        <f t="shared" si="150"/>
        <v xml:space="preserve"> ()</v>
      </c>
    </row>
    <row r="1661" spans="1:7" x14ac:dyDescent="0.3">
      <c r="A1661" s="1" t="s">
        <v>4</v>
      </c>
      <c r="B1661" s="2" t="str">
        <f t="shared" si="151"/>
        <v>SISTEMA DE CUSTOS HOSPITALARES</v>
      </c>
      <c r="C1661" s="2" t="str">
        <f t="shared" si="152"/>
        <v>CONTR</v>
      </c>
      <c r="D1661" s="2" t="str">
        <f t="shared" si="153"/>
        <v>FFCH</v>
      </c>
      <c r="E1661" s="2" t="str">
        <f>"RC_ATENDIME"</f>
        <v>RC_ATENDIME</v>
      </c>
      <c r="F1661" s="2" t="str">
        <f>"RC_ATENDIME"</f>
        <v>RC_ATENDIME</v>
      </c>
      <c r="G1661" s="2" t="str">
        <f t="shared" si="150"/>
        <v xml:space="preserve"> ()</v>
      </c>
    </row>
    <row r="1662" spans="1:7" x14ac:dyDescent="0.3">
      <c r="A1662" s="1" t="s">
        <v>4</v>
      </c>
      <c r="B1662" s="2" t="str">
        <f t="shared" si="151"/>
        <v>SISTEMA DE CUSTOS HOSPITALARES</v>
      </c>
      <c r="C1662" s="2" t="str">
        <f t="shared" si="152"/>
        <v>CONTR</v>
      </c>
      <c r="D1662" s="2" t="str">
        <f t="shared" si="153"/>
        <v>FFCH</v>
      </c>
      <c r="E1662" s="2" t="str">
        <f>"R_DIRECIONADOR_CUSTO"</f>
        <v>R_DIRECIONADOR_CUSTO</v>
      </c>
      <c r="F1662" s="2" t="str">
        <f>"R_DIRECIONADOR_CUSTO"</f>
        <v>R_DIRECIONADOR_CUSTO</v>
      </c>
      <c r="G1662" s="2" t="str">
        <f t="shared" si="150"/>
        <v xml:space="preserve"> ()</v>
      </c>
    </row>
    <row r="1663" spans="1:7" x14ac:dyDescent="0.3">
      <c r="A1663" s="1" t="s">
        <v>4</v>
      </c>
      <c r="B1663" s="2" t="str">
        <f t="shared" si="151"/>
        <v>SISTEMA DE CUSTOS HOSPITALARES</v>
      </c>
      <c r="C1663" s="2" t="str">
        <f t="shared" si="152"/>
        <v>CONTR</v>
      </c>
      <c r="D1663" s="2" t="str">
        <f t="shared" si="153"/>
        <v>FFCH</v>
      </c>
      <c r="E1663" s="2" t="str">
        <f>"WIN_PRINCIPAL - 01-HOSPITAL MV SISTEMAS"</f>
        <v>WIN_PRINCIPAL - 01-HOSPITAL MV SISTEMAS</v>
      </c>
      <c r="F1663" s="2" t="str">
        <f>"M_CONFIG_EXCECAO_SUB_CLASSE"</f>
        <v>M_CONFIG_EXCECAO_SUB_CLASSE</v>
      </c>
      <c r="G1663" s="2" t="str">
        <f t="shared" si="150"/>
        <v xml:space="preserve"> ()</v>
      </c>
    </row>
    <row r="1664" spans="1:7" x14ac:dyDescent="0.3">
      <c r="A1664" s="1" t="s">
        <v>4</v>
      </c>
      <c r="B1664" s="2" t="str">
        <f t="shared" si="151"/>
        <v>SISTEMA DE CUSTOS HOSPITALARES</v>
      </c>
      <c r="C1664" s="2" t="str">
        <f t="shared" si="152"/>
        <v>CONTR</v>
      </c>
      <c r="D1664" s="2" t="str">
        <f t="shared" si="153"/>
        <v>FFCH</v>
      </c>
      <c r="E1664" s="2" t="str">
        <f>"COMPUTO CUSTO PACIENTE"</f>
        <v>COMPUTO CUSTO PACIENTE</v>
      </c>
      <c r="F1664" s="2" t="str">
        <f>"R_COMPUTO_PACIENTE"</f>
        <v>R_COMPUTO_PACIENTE</v>
      </c>
      <c r="G1664" s="2" t="str">
        <f>"Controladoria / Custos / Relatórios / Paciente / Custo do Atendimento detalhado (R_COMPUTO_PACIENTE)"</f>
        <v>Controladoria / Custos / Relatórios / Paciente / Custo do Atendimento detalhado (R_COMPUTO_PACIENTE)</v>
      </c>
    </row>
    <row r="1665" spans="1:7" x14ac:dyDescent="0.3">
      <c r="A1665" s="1" t="s">
        <v>4</v>
      </c>
      <c r="B1665" s="2" t="str">
        <f t="shared" si="151"/>
        <v>SISTEMA DE CUSTOS HOSPITALARES</v>
      </c>
      <c r="C1665" s="2" t="str">
        <f t="shared" si="152"/>
        <v>CONTR</v>
      </c>
      <c r="D1665" s="2" t="str">
        <f t="shared" si="153"/>
        <v>FFCH</v>
      </c>
      <c r="E1665" s="2" t="str">
        <f>"R_PROD_MENSAL_CUSTOS"</f>
        <v>R_PROD_MENSAL_CUSTOS</v>
      </c>
      <c r="F1665" s="2" t="str">
        <f>"R_PROD_MENSAL_CUSTOS"</f>
        <v>R_PROD_MENSAL_CUSTOS</v>
      </c>
      <c r="G1665" s="2" t="str">
        <f t="shared" ref="G1665:G1670" si="154">" ()"</f>
        <v xml:space="preserve"> ()</v>
      </c>
    </row>
    <row r="1666" spans="1:7" x14ac:dyDescent="0.3">
      <c r="A1666" s="1" t="s">
        <v>4</v>
      </c>
      <c r="B1666" s="2" t="str">
        <f t="shared" si="151"/>
        <v>SISTEMA DE CUSTOS HOSPITALARES</v>
      </c>
      <c r="C1666" s="2" t="str">
        <f t="shared" si="152"/>
        <v>CONTR</v>
      </c>
      <c r="D1666" s="2" t="str">
        <f t="shared" si="153"/>
        <v>FFCH</v>
      </c>
      <c r="E1666" s="2" t="str">
        <f>"RC_MVTO_ESTOQUE"</f>
        <v>RC_MVTO_ESTOQUE</v>
      </c>
      <c r="F1666" s="2" t="str">
        <f>"RC_MVTO_ESTOQUE"</f>
        <v>RC_MVTO_ESTOQUE</v>
      </c>
      <c r="G1666" s="2" t="str">
        <f t="shared" si="154"/>
        <v xml:space="preserve"> ()</v>
      </c>
    </row>
    <row r="1667" spans="1:7" x14ac:dyDescent="0.3">
      <c r="A1667" s="1" t="s">
        <v>4</v>
      </c>
      <c r="B1667" s="2" t="str">
        <f t="shared" si="151"/>
        <v>SISTEMA DE CUSTOS HOSPITALARES</v>
      </c>
      <c r="C1667" s="2" t="str">
        <f t="shared" si="152"/>
        <v>CONTR</v>
      </c>
      <c r="D1667" s="2" t="str">
        <f t="shared" si="153"/>
        <v>FFCH</v>
      </c>
      <c r="E1667" s="2" t="str">
        <f>"RC_ITEM_SETOR"</f>
        <v>RC_ITEM_SETOR</v>
      </c>
      <c r="F1667" s="2" t="str">
        <f>"RC_ITEM_SETOR"</f>
        <v>RC_ITEM_SETOR</v>
      </c>
      <c r="G1667" s="2" t="str">
        <f t="shared" si="154"/>
        <v xml:space="preserve"> ()</v>
      </c>
    </row>
    <row r="1668" spans="1:7" x14ac:dyDescent="0.3">
      <c r="A1668" s="1" t="s">
        <v>4</v>
      </c>
      <c r="B1668" s="2" t="str">
        <f t="shared" si="151"/>
        <v>SISTEMA DE CUSTOS HOSPITALARES</v>
      </c>
      <c r="C1668" s="2" t="str">
        <f t="shared" si="152"/>
        <v>CONTR</v>
      </c>
      <c r="D1668" s="2" t="str">
        <f t="shared" si="153"/>
        <v>FFCH</v>
      </c>
      <c r="E1668" s="2" t="str">
        <f>"G_PRODUTIVIDADE"</f>
        <v>G_PRODUTIVIDADE</v>
      </c>
      <c r="F1668" s="2" t="str">
        <f>"G_PRODUTIVIDADE"</f>
        <v>G_PRODUTIVIDADE</v>
      </c>
      <c r="G1668" s="2" t="str">
        <f t="shared" si="154"/>
        <v xml:space="preserve"> ()</v>
      </c>
    </row>
    <row r="1669" spans="1:7" x14ac:dyDescent="0.3">
      <c r="A1669" s="1" t="s">
        <v>4</v>
      </c>
      <c r="B1669" s="2" t="str">
        <f t="shared" si="151"/>
        <v>SISTEMA DE CUSTOS HOSPITALARES</v>
      </c>
      <c r="C1669" s="2" t="str">
        <f t="shared" si="152"/>
        <v>CONTR</v>
      </c>
      <c r="D1669" s="2" t="str">
        <f t="shared" si="153"/>
        <v>FFCH</v>
      </c>
      <c r="E1669" s="2" t="str">
        <f>"R_MAPA_CUS_PRI_GRU"</f>
        <v>R_MAPA_CUS_PRI_GRU</v>
      </c>
      <c r="F1669" s="2" t="str">
        <f>"R_MAPA_CUS_PRI_GRU"</f>
        <v>R_MAPA_CUS_PRI_GRU</v>
      </c>
      <c r="G1669" s="2" t="str">
        <f t="shared" si="154"/>
        <v xml:space="preserve"> ()</v>
      </c>
    </row>
    <row r="1670" spans="1:7" x14ac:dyDescent="0.3">
      <c r="A1670" s="1" t="s">
        <v>4</v>
      </c>
      <c r="B1670" s="2" t="str">
        <f t="shared" si="151"/>
        <v>SISTEMA DE CUSTOS HOSPITALARES</v>
      </c>
      <c r="C1670" s="2" t="str">
        <f t="shared" si="152"/>
        <v>CONTR</v>
      </c>
      <c r="D1670" s="2" t="str">
        <f t="shared" si="153"/>
        <v>FFCH</v>
      </c>
      <c r="E1670" s="2" t="str">
        <f>"M_RECEBE_CONTA_CUSTO"</f>
        <v>M_RECEBE_CONTA_CUSTO</v>
      </c>
      <c r="F1670" s="2" t="str">
        <f>"M_RECEBE_CONTA_CUSTO"</f>
        <v>M_RECEBE_CONTA_CUSTO</v>
      </c>
      <c r="G1670" s="2" t="str">
        <f t="shared" si="154"/>
        <v xml:space="preserve"> ()</v>
      </c>
    </row>
    <row r="1671" spans="1:7" x14ac:dyDescent="0.3">
      <c r="A1671" s="1" t="s">
        <v>4</v>
      </c>
      <c r="B1671" s="2" t="str">
        <f t="shared" si="151"/>
        <v>SISTEMA DE CUSTOS HOSPITALARES</v>
      </c>
      <c r="C1671" s="2" t="str">
        <f t="shared" si="152"/>
        <v>CONTR</v>
      </c>
      <c r="D1671" s="2" t="str">
        <f t="shared" si="153"/>
        <v>FFCH</v>
      </c>
      <c r="E1671" s="2" t="str">
        <f>"M_LCTO_AUT"</f>
        <v>M_LCTO_AUT</v>
      </c>
      <c r="F1671" s="2" t="str">
        <f>"M_LCTO_AUT"</f>
        <v>M_LCTO_AUT</v>
      </c>
      <c r="G1671" s="2" t="str">
        <f>"Controladoria / Custos / Configurações / Lançamentos / Automático das Contas de Custo (M_LCTO_AUT)"</f>
        <v>Controladoria / Custos / Configurações / Lançamentos / Automático das Contas de Custo (M_LCTO_AUT)</v>
      </c>
    </row>
    <row r="1672" spans="1:7" x14ac:dyDescent="0.3">
      <c r="A1672" s="1" t="s">
        <v>4</v>
      </c>
      <c r="B1672" s="2" t="str">
        <f t="shared" si="151"/>
        <v>SISTEMA DE CUSTOS HOSPITALARES</v>
      </c>
      <c r="C1672" s="2" t="str">
        <f t="shared" si="152"/>
        <v>CONTR</v>
      </c>
      <c r="D1672" s="2" t="str">
        <f t="shared" si="153"/>
        <v>FFCH</v>
      </c>
      <c r="E1672" s="2" t="str">
        <f>"WIN_PRINCIPAL"</f>
        <v>WIN_PRINCIPAL</v>
      </c>
      <c r="F1672" s="2" t="str">
        <f>"R_ANA_CUSTO_SETOR"</f>
        <v>R_ANA_CUSTO_SETOR</v>
      </c>
      <c r="G1672" s="2" t="str">
        <f>"Controladoria / Custos / Relatórios / Custos do Centro de Custo / Apresentação dos Custos dos Centros de Custos (R_ANA_CUSTO_SETOR)"</f>
        <v>Controladoria / Custos / Relatórios / Custos do Centro de Custo / Apresentação dos Custos dos Centros de Custos (R_ANA_CUSTO_SETOR)</v>
      </c>
    </row>
    <row r="1673" spans="1:7" x14ac:dyDescent="0.3">
      <c r="A1673" s="1" t="s">
        <v>4</v>
      </c>
      <c r="B1673" s="2" t="str">
        <f t="shared" si="151"/>
        <v>SISTEMA DE CUSTOS HOSPITALARES</v>
      </c>
      <c r="C1673" s="2" t="str">
        <f t="shared" si="152"/>
        <v>CONTR</v>
      </c>
      <c r="D1673" s="2" t="str">
        <f t="shared" si="153"/>
        <v>FFCH</v>
      </c>
      <c r="E1673" s="2" t="str">
        <f>"PACK_FFCH"</f>
        <v>PACK_FFCH</v>
      </c>
      <c r="F1673" s="2" t="str">
        <f>"PACK_FFCH"</f>
        <v>PACK_FFCH</v>
      </c>
      <c r="G1673" s="2" t="str">
        <f>" ()"</f>
        <v xml:space="preserve"> ()</v>
      </c>
    </row>
    <row r="1674" spans="1:7" x14ac:dyDescent="0.3">
      <c r="A1674" s="1" t="s">
        <v>4</v>
      </c>
      <c r="B1674" s="2" t="str">
        <f t="shared" si="151"/>
        <v>SISTEMA DE CUSTOS HOSPITALARES</v>
      </c>
      <c r="C1674" s="2" t="str">
        <f t="shared" si="152"/>
        <v>CONTR</v>
      </c>
      <c r="D1674" s="2" t="str">
        <f t="shared" si="153"/>
        <v>FFCH</v>
      </c>
      <c r="E1674" s="2" t="str">
        <f>"M_FFCH_ITRES_SETOR"</f>
        <v>M_FFCH_ITRES_SETOR</v>
      </c>
      <c r="F1674" s="2" t="str">
        <f>"M_FFCH_ITRES_SETOR"</f>
        <v>M_FFCH_ITRES_SETOR</v>
      </c>
      <c r="G1674" s="2" t="str">
        <f>"Controladoria / Custos / Configurações / Lançamentos / Custos Primário (M_FFCH_ITRES_SETOR)"</f>
        <v>Controladoria / Custos / Configurações / Lançamentos / Custos Primário (M_FFCH_ITRES_SETOR)</v>
      </c>
    </row>
    <row r="1675" spans="1:7" x14ac:dyDescent="0.3">
      <c r="A1675" s="1" t="s">
        <v>4</v>
      </c>
      <c r="B1675" s="2" t="str">
        <f t="shared" si="151"/>
        <v>SISTEMA DE CUSTOS HOSPITALARES</v>
      </c>
      <c r="C1675" s="2" t="str">
        <f t="shared" si="152"/>
        <v>CONTR</v>
      </c>
      <c r="D1675" s="2" t="str">
        <f t="shared" si="153"/>
        <v>FFCH</v>
      </c>
      <c r="E1675" s="2" t="str">
        <f>"R_CUSTEIO_ABSORVIDO"</f>
        <v>R_CUSTEIO_ABSORVIDO</v>
      </c>
      <c r="F1675" s="2" t="str">
        <f>"R_CUSTEIO_ABSORVIDO"</f>
        <v>R_CUSTEIO_ABSORVIDO</v>
      </c>
      <c r="G1675" s="2" t="str">
        <f t="shared" ref="G1675:G1682" si="155">" ()"</f>
        <v xml:space="preserve"> ()</v>
      </c>
    </row>
    <row r="1676" spans="1:7" x14ac:dyDescent="0.3">
      <c r="A1676" s="1" t="s">
        <v>4</v>
      </c>
      <c r="B1676" s="2" t="str">
        <f t="shared" si="151"/>
        <v>SISTEMA DE CUSTOS HOSPITALARES</v>
      </c>
      <c r="C1676" s="2" t="str">
        <f t="shared" si="152"/>
        <v>CONTR</v>
      </c>
      <c r="D1676" s="2" t="str">
        <f t="shared" si="153"/>
        <v>FFCH</v>
      </c>
      <c r="E1676" s="2" t="str">
        <f>"CUSTO_UNITARIO_GRAF"</f>
        <v>CUSTO_UNITARIO_GRAF</v>
      </c>
      <c r="F1676" s="2" t="str">
        <f>"CUSTO_UNITARIO_GRAF"</f>
        <v>CUSTO_UNITARIO_GRAF</v>
      </c>
      <c r="G1676" s="2" t="str">
        <f t="shared" si="155"/>
        <v xml:space="preserve"> ()</v>
      </c>
    </row>
    <row r="1677" spans="1:7" x14ac:dyDescent="0.3">
      <c r="A1677" s="1" t="s">
        <v>4</v>
      </c>
      <c r="B1677" s="2" t="str">
        <f t="shared" si="151"/>
        <v>SISTEMA DE CUSTOS HOSPITALARES</v>
      </c>
      <c r="C1677" s="2" t="str">
        <f t="shared" si="152"/>
        <v>CONTR</v>
      </c>
      <c r="D1677" s="2" t="str">
        <f t="shared" si="153"/>
        <v>FFCH</v>
      </c>
      <c r="E1677" s="2" t="str">
        <f>"R_CUS_EST_PRI_GRU"</f>
        <v>R_CUS_EST_PRI_GRU</v>
      </c>
      <c r="F1677" s="2" t="str">
        <f>"R_CUS_EST_PRI_GRU"</f>
        <v>R_CUS_EST_PRI_GRU</v>
      </c>
      <c r="G1677" s="2" t="str">
        <f t="shared" si="155"/>
        <v xml:space="preserve"> ()</v>
      </c>
    </row>
    <row r="1678" spans="1:7" x14ac:dyDescent="0.3">
      <c r="A1678" s="1" t="s">
        <v>4</v>
      </c>
      <c r="B1678" s="2" t="str">
        <f t="shared" si="151"/>
        <v>SISTEMA DE CUSTOS HOSPITALARES</v>
      </c>
      <c r="C1678" s="2" t="str">
        <f t="shared" si="152"/>
        <v>CONTR</v>
      </c>
      <c r="D1678" s="2" t="str">
        <f t="shared" si="153"/>
        <v>FFCH</v>
      </c>
      <c r="E1678" s="2" t="str">
        <f>"EXCLUSÃO DE IMPORTAÇÃO REALIZADA"</f>
        <v>EXCLUSÃO DE IMPORTAÇÃO REALIZADA</v>
      </c>
      <c r="F1678" s="2" t="str">
        <f>"M_EXCLUI_IMP"</f>
        <v>M_EXCLUI_IMP</v>
      </c>
      <c r="G1678" s="2" t="str">
        <f t="shared" si="155"/>
        <v xml:space="preserve"> ()</v>
      </c>
    </row>
    <row r="1679" spans="1:7" x14ac:dyDescent="0.3">
      <c r="A1679" s="1" t="s">
        <v>4</v>
      </c>
      <c r="B1679" s="2" t="str">
        <f t="shared" si="151"/>
        <v>SISTEMA DE CUSTOS HOSPITALARES</v>
      </c>
      <c r="C1679" s="2" t="str">
        <f t="shared" si="152"/>
        <v>CONTR</v>
      </c>
      <c r="D1679" s="2" t="str">
        <f t="shared" si="153"/>
        <v>FFCH</v>
      </c>
      <c r="E1679" s="2" t="str">
        <f>"R_CONTRIBUICAO_MEDICO_SINT"</f>
        <v>R_CONTRIBUICAO_MEDICO_SINT</v>
      </c>
      <c r="F1679" s="2" t="str">
        <f>"R_CONTRIBUICAO_MEDICO_SINT"</f>
        <v>R_CONTRIBUICAO_MEDICO_SINT</v>
      </c>
      <c r="G1679" s="2" t="str">
        <f t="shared" si="155"/>
        <v xml:space="preserve"> ()</v>
      </c>
    </row>
    <row r="1680" spans="1:7" x14ac:dyDescent="0.3">
      <c r="A1680" s="1" t="s">
        <v>4</v>
      </c>
      <c r="B1680" s="2" t="str">
        <f t="shared" si="151"/>
        <v>SISTEMA DE CUSTOS HOSPITALARES</v>
      </c>
      <c r="C1680" s="2" t="str">
        <f t="shared" si="152"/>
        <v>CONTR</v>
      </c>
      <c r="D1680" s="2" t="str">
        <f t="shared" si="153"/>
        <v>FFCH</v>
      </c>
      <c r="E1680" s="2" t="str">
        <f>"R_CUSTEIO_ABS"</f>
        <v>R_CUSTEIO_ABS</v>
      </c>
      <c r="F1680" s="2" t="str">
        <f>"R_CUSTEIO_ABS"</f>
        <v>R_CUSTEIO_ABS</v>
      </c>
      <c r="G1680" s="2" t="str">
        <f t="shared" si="155"/>
        <v xml:space="preserve"> ()</v>
      </c>
    </row>
    <row r="1681" spans="1:7" x14ac:dyDescent="0.3">
      <c r="A1681" s="1" t="s">
        <v>4</v>
      </c>
      <c r="B1681" s="2" t="str">
        <f t="shared" si="151"/>
        <v>SISTEMA DE CUSTOS HOSPITALARES</v>
      </c>
      <c r="C1681" s="2" t="str">
        <f t="shared" si="152"/>
        <v>CONTR</v>
      </c>
      <c r="D1681" s="2" t="str">
        <f t="shared" si="153"/>
        <v>FFCH</v>
      </c>
      <c r="E1681" s="2" t="str">
        <f>"LANÇAMENTO DA PRODUÇÃO MENSAL -"</f>
        <v>LANÇAMENTO DA PRODUÇÃO MENSAL -</v>
      </c>
      <c r="F1681" s="2" t="str">
        <f>"LANCA_PRODUCAO_ITEM"</f>
        <v>LANCA_PRODUCAO_ITEM</v>
      </c>
      <c r="G1681" s="2" t="str">
        <f t="shared" si="155"/>
        <v xml:space="preserve"> ()</v>
      </c>
    </row>
    <row r="1682" spans="1:7" x14ac:dyDescent="0.3">
      <c r="A1682" s="1" t="s">
        <v>4</v>
      </c>
      <c r="B1682" s="2" t="str">
        <f t="shared" si="151"/>
        <v>SISTEMA DE CUSTOS HOSPITALARES</v>
      </c>
      <c r="C1682" s="2" t="str">
        <f t="shared" si="152"/>
        <v>CONTR</v>
      </c>
      <c r="D1682" s="2" t="str">
        <f t="shared" si="153"/>
        <v>FFCH</v>
      </c>
      <c r="E1682" s="2" t="str">
        <f>"R_CUSTO_FINAL_PACIENTE_ONLINE"</f>
        <v>R_CUSTO_FINAL_PACIENTE_ONLINE</v>
      </c>
      <c r="F1682" s="2" t="str">
        <f>"R_CUSTO_FINAL_PACIENTE_ONLINE"</f>
        <v>R_CUSTO_FINAL_PACIENTE_ONLINE</v>
      </c>
      <c r="G1682" s="2" t="str">
        <f t="shared" si="155"/>
        <v xml:space="preserve"> ()</v>
      </c>
    </row>
    <row r="1683" spans="1:7" x14ac:dyDescent="0.3">
      <c r="A1683" s="1" t="s">
        <v>4</v>
      </c>
      <c r="B1683" s="2" t="str">
        <f t="shared" si="151"/>
        <v>SISTEMA DE CUSTOS HOSPITALARES</v>
      </c>
      <c r="C1683" s="2" t="str">
        <f t="shared" si="152"/>
        <v>CONTR</v>
      </c>
      <c r="D1683" s="2" t="str">
        <f t="shared" si="153"/>
        <v>FFCH</v>
      </c>
      <c r="E1683" s="2" t="str">
        <f>"MAPA DE CUSTO PRIMÁRIO"</f>
        <v>MAPA DE CUSTO PRIMÁRIO</v>
      </c>
      <c r="F1683" s="2" t="str">
        <f>"R_CUSTO_PRIM"</f>
        <v>R_CUSTO_PRIM</v>
      </c>
      <c r="G1683" s="2" t="str">
        <f>"Controladoria / Custos / Relatórios / Lançamentos / Custos Primários (R_CUSTO_PRIM)"</f>
        <v>Controladoria / Custos / Relatórios / Lançamentos / Custos Primários (R_CUSTO_PRIM)</v>
      </c>
    </row>
    <row r="1684" spans="1:7" x14ac:dyDescent="0.3">
      <c r="A1684" s="1" t="s">
        <v>4</v>
      </c>
      <c r="B1684" s="2" t="str">
        <f t="shared" si="151"/>
        <v>SISTEMA DE CUSTOS HOSPITALARES</v>
      </c>
      <c r="C1684" s="2" t="str">
        <f t="shared" si="152"/>
        <v>CONTR</v>
      </c>
      <c r="D1684" s="2" t="str">
        <f t="shared" si="153"/>
        <v>FFCH</v>
      </c>
      <c r="E1684" s="2" t="str">
        <f>"LANÇAMENTOS COM PROBLEMAS"</f>
        <v>LANÇAMENTOS COM PROBLEMAS</v>
      </c>
      <c r="F1684" s="2" t="str">
        <f>"R_LANCAMENTOS_ERR"</f>
        <v>R_LANCAMENTOS_ERR</v>
      </c>
      <c r="G1684" s="2" t="str">
        <f>"Controladoria / Custos / Relatórios / Críticas / Lançamentos do Financeiro c/ problema (R_LANCAMENTOS_ERR)"</f>
        <v>Controladoria / Custos / Relatórios / Críticas / Lançamentos do Financeiro c/ problema (R_LANCAMENTOS_ERR)</v>
      </c>
    </row>
    <row r="1685" spans="1:7" x14ac:dyDescent="0.3">
      <c r="A1685" s="1" t="s">
        <v>4</v>
      </c>
      <c r="B1685" s="2" t="str">
        <f t="shared" si="151"/>
        <v>SISTEMA DE CUSTOS HOSPITALARES</v>
      </c>
      <c r="C1685" s="2" t="str">
        <f t="shared" si="152"/>
        <v>CONTR</v>
      </c>
      <c r="D1685" s="2" t="str">
        <f t="shared" si="153"/>
        <v>FFCH</v>
      </c>
      <c r="E1685" s="2" t="str">
        <f>"R_CRITICA_MEDICO"</f>
        <v>R_CRITICA_MEDICO</v>
      </c>
      <c r="F1685" s="2" t="str">
        <f>"R_CRITICA_MEDICO"</f>
        <v>R_CRITICA_MEDICO</v>
      </c>
      <c r="G1685" s="2" t="str">
        <f>"Controladoria / Custos / Relatórios / Críticas / Médicos (R_CRITICA_MEDICO)"</f>
        <v>Controladoria / Custos / Relatórios / Críticas / Médicos (R_CRITICA_MEDICO)</v>
      </c>
    </row>
    <row r="1686" spans="1:7" x14ac:dyDescent="0.3">
      <c r="A1686" s="1" t="s">
        <v>4</v>
      </c>
      <c r="B1686" s="2" t="str">
        <f t="shared" si="151"/>
        <v>SISTEMA DE CUSTOS HOSPITALARES</v>
      </c>
      <c r="C1686" s="2" t="str">
        <f t="shared" si="152"/>
        <v>CONTR</v>
      </c>
      <c r="D1686" s="2" t="str">
        <f t="shared" si="153"/>
        <v>FFCH</v>
      </c>
      <c r="E1686" s="2" t="str">
        <f>"CRÍTICA DOS ATENDIMENTOS"</f>
        <v>CRÍTICA DOS ATENDIMENTOS</v>
      </c>
      <c r="F1686" s="2" t="str">
        <f>"R_CRITICA_ATENDIME"</f>
        <v>R_CRITICA_ATENDIME</v>
      </c>
      <c r="G1686" s="2" t="str">
        <f>"Controladoria / Custos / Relatórios / Críticas / Atendimentos (R_CRITICA_ATENDIME)"</f>
        <v>Controladoria / Custos / Relatórios / Críticas / Atendimentos (R_CRITICA_ATENDIME)</v>
      </c>
    </row>
    <row r="1687" spans="1:7" x14ac:dyDescent="0.3">
      <c r="A1687" s="1" t="s">
        <v>4</v>
      </c>
      <c r="B1687" s="2" t="str">
        <f t="shared" si="151"/>
        <v>SISTEMA DE CUSTOS HOSPITALARES</v>
      </c>
      <c r="C1687" s="2" t="str">
        <f t="shared" si="152"/>
        <v>CONTR</v>
      </c>
      <c r="D1687" s="2" t="str">
        <f t="shared" si="153"/>
        <v>FFCH</v>
      </c>
      <c r="E1687" s="2" t="str">
        <f>"RET_DIAS_A"</f>
        <v>RET_DIAS_A</v>
      </c>
      <c r="F1687" s="2" t="str">
        <f>"RET_DIAS_A"</f>
        <v>RET_DIAS_A</v>
      </c>
      <c r="G1687" s="2" t="str">
        <f>" ()"</f>
        <v xml:space="preserve"> ()</v>
      </c>
    </row>
    <row r="1688" spans="1:7" x14ac:dyDescent="0.3">
      <c r="A1688" s="1" t="s">
        <v>4</v>
      </c>
      <c r="B1688" s="2" t="str">
        <f t="shared" si="151"/>
        <v>SISTEMA DE CUSTOS HOSPITALARES</v>
      </c>
      <c r="C1688" s="2" t="str">
        <f t="shared" si="152"/>
        <v>CONTR</v>
      </c>
      <c r="D1688" s="2" t="str">
        <f t="shared" si="153"/>
        <v>FFCH</v>
      </c>
      <c r="E1688" s="2" t="str">
        <f>"R_GRUPO_ORIGEM_DESTINO_ORDEM"</f>
        <v>R_GRUPO_ORIGEM_DESTINO_ORDEM</v>
      </c>
      <c r="F1688" s="2" t="str">
        <f>"R_GRUPO_ORIGEM_DESTINO_ORDEM"</f>
        <v>R_GRUPO_ORIGEM_DESTINO_ORDEM</v>
      </c>
      <c r="G1688" s="2" t="str">
        <f>" ()"</f>
        <v xml:space="preserve"> ()</v>
      </c>
    </row>
    <row r="1689" spans="1:7" x14ac:dyDescent="0.3">
      <c r="A1689" s="1" t="s">
        <v>4</v>
      </c>
      <c r="B1689" s="2" t="str">
        <f t="shared" si="151"/>
        <v>SISTEMA DE CUSTOS HOSPITALARES</v>
      </c>
      <c r="C1689" s="2" t="str">
        <f t="shared" si="152"/>
        <v>CONTR</v>
      </c>
      <c r="D1689" s="2" t="str">
        <f t="shared" si="153"/>
        <v>FFCH</v>
      </c>
      <c r="E1689" s="2" t="str">
        <f>"COMPOSIÇÃO DOS CUSTOS DAS ACOMODAÇÕES"</f>
        <v>COMPOSIÇÃO DOS CUSTOS DAS ACOMODAÇÕES</v>
      </c>
      <c r="F1689" s="2" t="str">
        <f>"R_CUSTO_ACOMODACAO_ESPEC"</f>
        <v>R_CUSTO_ACOMODACAO_ESPEC</v>
      </c>
      <c r="G1689" s="2" t="str">
        <f>"Controladoria / Custos / Relatórios / Custos das Acomodações / Composição dos custos das Acomodações (R_CUSTO_ACOMODACAO_ESPEC)"</f>
        <v>Controladoria / Custos / Relatórios / Custos das Acomodações / Composição dos custos das Acomodações (R_CUSTO_ACOMODACAO_ESPEC)</v>
      </c>
    </row>
    <row r="1690" spans="1:7" x14ac:dyDescent="0.3">
      <c r="A1690" s="1" t="s">
        <v>4</v>
      </c>
      <c r="B1690" s="2" t="str">
        <f t="shared" si="151"/>
        <v>SISTEMA DE CUSTOS HOSPITALARES</v>
      </c>
      <c r="C1690" s="2" t="str">
        <f t="shared" si="152"/>
        <v>CONTR</v>
      </c>
      <c r="D1690" s="2" t="str">
        <f t="shared" si="153"/>
        <v>FFCH</v>
      </c>
      <c r="E1690" s="2" t="str">
        <f>"RC_HORAS_MANUT"</f>
        <v>RC_HORAS_MANUT</v>
      </c>
      <c r="F1690" s="2" t="str">
        <f>"RC_HORAS_MANUT"</f>
        <v>RC_HORAS_MANUT</v>
      </c>
      <c r="G1690" s="2" t="str">
        <f>" ()"</f>
        <v xml:space="preserve"> ()</v>
      </c>
    </row>
    <row r="1691" spans="1:7" x14ac:dyDescent="0.3">
      <c r="A1691" s="1" t="s">
        <v>4</v>
      </c>
      <c r="B1691" s="2" t="str">
        <f t="shared" si="151"/>
        <v>SISTEMA DE CUSTOS HOSPITALARES</v>
      </c>
      <c r="C1691" s="2" t="str">
        <f t="shared" si="152"/>
        <v>CONTR</v>
      </c>
      <c r="D1691" s="2" t="str">
        <f t="shared" si="153"/>
        <v>FFCH</v>
      </c>
      <c r="E1691" s="2" t="str">
        <f>"RC_CONTAS_FECHADAS"</f>
        <v>RC_CONTAS_FECHADAS</v>
      </c>
      <c r="F1691" s="2" t="str">
        <f>"RC_CONTAS_FECHADAS"</f>
        <v>RC_CONTAS_FECHADAS</v>
      </c>
      <c r="G1691" s="2" t="str">
        <f>" ()"</f>
        <v xml:space="preserve"> ()</v>
      </c>
    </row>
    <row r="1692" spans="1:7" x14ac:dyDescent="0.3">
      <c r="A1692" s="1" t="s">
        <v>4</v>
      </c>
      <c r="B1692" s="2" t="str">
        <f t="shared" si="151"/>
        <v>SISTEMA DE CUSTOS HOSPITALARES</v>
      </c>
      <c r="C1692" s="2" t="str">
        <f t="shared" si="152"/>
        <v>CONTR</v>
      </c>
      <c r="D1692" s="2" t="str">
        <f t="shared" si="153"/>
        <v>FFCH</v>
      </c>
      <c r="E1692" s="2" t="str">
        <f>"FFCH_PS"</f>
        <v>FFCH_PS</v>
      </c>
      <c r="F1692" s="2" t="str">
        <f>"FFCH_PS"</f>
        <v>FFCH_PS</v>
      </c>
      <c r="G1692" s="2" t="str">
        <f>" ()"</f>
        <v xml:space="preserve"> ()</v>
      </c>
    </row>
    <row r="1693" spans="1:7" x14ac:dyDescent="0.3">
      <c r="A1693" s="1" t="s">
        <v>4</v>
      </c>
      <c r="B1693" s="2" t="str">
        <f t="shared" si="151"/>
        <v>SISTEMA DE CUSTOS HOSPITALARES</v>
      </c>
      <c r="C1693" s="2" t="str">
        <f t="shared" si="152"/>
        <v>CONTR</v>
      </c>
      <c r="D1693" s="2" t="str">
        <f t="shared" si="153"/>
        <v>FFCH</v>
      </c>
      <c r="E1693" s="2" t="str">
        <f>"C_EXCLUSAO_IMP"</f>
        <v>C_EXCLUSAO_IMP</v>
      </c>
      <c r="F1693" s="2" t="str">
        <f>"C_EXCLUSAO_IMP"</f>
        <v>C_EXCLUSAO_IMP</v>
      </c>
      <c r="G1693" s="2" t="str">
        <f>"Controladoria / Custos / Importação / Dw Plano Saúde / Consultar Importação / Exclusão (C_EXCLUSAO_IMP)"</f>
        <v>Controladoria / Custos / Importação / Dw Plano Saúde / Consultar Importação / Exclusão (C_EXCLUSAO_IMP)</v>
      </c>
    </row>
    <row r="1694" spans="1:7" x14ac:dyDescent="0.3">
      <c r="A1694" s="1" t="s">
        <v>4</v>
      </c>
      <c r="B1694" s="2" t="str">
        <f t="shared" si="151"/>
        <v>SISTEMA DE CUSTOS HOSPITALARES</v>
      </c>
      <c r="C1694" s="2" t="str">
        <f t="shared" si="152"/>
        <v>CONTR</v>
      </c>
      <c r="D1694" s="2" t="str">
        <f t="shared" si="153"/>
        <v>FFCH</v>
      </c>
      <c r="E1694" s="2" t="str">
        <f>"O_GERA_ONTIME"</f>
        <v>O_GERA_ONTIME</v>
      </c>
      <c r="F1694" s="2" t="str">
        <f>"O_GERA_ONTIME"</f>
        <v>O_GERA_ONTIME</v>
      </c>
      <c r="G1694" s="2" t="str">
        <f>"Controladoria / Custos / Cálculos / Geração do custo 'On-Time' (O_GERA_ONTIME)"</f>
        <v>Controladoria / Custos / Cálculos / Geração do custo 'On-Time' (O_GERA_ONTIME)</v>
      </c>
    </row>
    <row r="1695" spans="1:7" x14ac:dyDescent="0.3">
      <c r="A1695" s="1" t="s">
        <v>4</v>
      </c>
      <c r="B1695" s="2" t="str">
        <f t="shared" si="151"/>
        <v>SISTEMA DE CUSTOS HOSPITALARES</v>
      </c>
      <c r="C1695" s="2" t="str">
        <f t="shared" si="152"/>
        <v>CONTR</v>
      </c>
      <c r="D1695" s="2" t="str">
        <f t="shared" si="153"/>
        <v>FFCH</v>
      </c>
      <c r="E1695" s="2" t="str">
        <f>"M_ITEM_PRODUCAO_SP"</f>
        <v>M_ITEM_PRODUCAO_SP</v>
      </c>
      <c r="F1695" s="2" t="str">
        <f>"M_ITEM_PRODUCAO_SP"</f>
        <v>M_ITEM_PRODUCAO_SP</v>
      </c>
      <c r="G1695" s="2" t="str">
        <f>" ()"</f>
        <v xml:space="preserve"> ()</v>
      </c>
    </row>
    <row r="1696" spans="1:7" x14ac:dyDescent="0.3">
      <c r="A1696" s="1" t="s">
        <v>4</v>
      </c>
      <c r="B1696" s="2" t="str">
        <f t="shared" si="151"/>
        <v>SISTEMA DE CUSTOS HOSPITALARES</v>
      </c>
      <c r="C1696" s="2" t="str">
        <f t="shared" si="152"/>
        <v>CONTR</v>
      </c>
      <c r="D1696" s="2" t="str">
        <f t="shared" si="153"/>
        <v>FFCH</v>
      </c>
      <c r="E1696" s="2" t="str">
        <f>"R_MAPA_CUS_PRI_GRUPO_GRUPO"</f>
        <v>R_MAPA_CUS_PRI_GRUPO_GRUPO</v>
      </c>
      <c r="F1696" s="2" t="str">
        <f>"R_MAPA_CUS_PRI_GRUPO_GRUPO"</f>
        <v>R_MAPA_CUS_PRI_GRUPO_GRUPO</v>
      </c>
      <c r="G1696" s="2" t="str">
        <f>" ()"</f>
        <v xml:space="preserve"> ()</v>
      </c>
    </row>
    <row r="1697" spans="1:7" x14ac:dyDescent="0.3">
      <c r="A1697" s="1" t="s">
        <v>4</v>
      </c>
      <c r="B1697" s="2" t="str">
        <f t="shared" si="151"/>
        <v>SISTEMA DE CUSTOS HOSPITALARES</v>
      </c>
      <c r="C1697" s="2" t="str">
        <f t="shared" si="152"/>
        <v>CONTR</v>
      </c>
      <c r="D1697" s="2" t="str">
        <f t="shared" si="153"/>
        <v>FFCH</v>
      </c>
      <c r="E1697" s="2" t="str">
        <f>"M_RECEBE_ITEM_PRODUCAO"</f>
        <v>M_RECEBE_ITEM_PRODUCAO</v>
      </c>
      <c r="F1697" s="2" t="str">
        <f>"M_RECEBE_ITEM_PRODUCAO"</f>
        <v>M_RECEBE_ITEM_PRODUCAO</v>
      </c>
      <c r="G1697" s="2" t="str">
        <f>" ()"</f>
        <v xml:space="preserve"> ()</v>
      </c>
    </row>
    <row r="1698" spans="1:7" x14ac:dyDescent="0.3">
      <c r="A1698" s="1" t="s">
        <v>4</v>
      </c>
      <c r="B1698" s="2" t="str">
        <f t="shared" si="151"/>
        <v>SISTEMA DE CUSTOS HOSPITALARES</v>
      </c>
      <c r="C1698" s="2" t="str">
        <f t="shared" si="152"/>
        <v>CONTR</v>
      </c>
      <c r="D1698" s="2" t="str">
        <f t="shared" si="153"/>
        <v>FFCH</v>
      </c>
      <c r="E1698" s="2" t="str">
        <f>"GERAÇÃO DO CUSTO HISTÓRICO"</f>
        <v>GERAÇÃO DO CUSTO HISTÓRICO</v>
      </c>
      <c r="F1698" s="2" t="str">
        <f>"O_GERA_CUSTO_HISTORICO"</f>
        <v>O_GERA_CUSTO_HISTORICO</v>
      </c>
      <c r="G1698" s="2" t="str">
        <f>"Controladoria / Custos / Cálculos / Geração do histórico dos custos (O_GERA_CUSTO_HISTORICO)"</f>
        <v>Controladoria / Custos / Cálculos / Geração do histórico dos custos (O_GERA_CUSTO_HISTORICO)</v>
      </c>
    </row>
    <row r="1699" spans="1:7" x14ac:dyDescent="0.3">
      <c r="A1699" s="1" t="s">
        <v>4</v>
      </c>
      <c r="B1699" s="2" t="str">
        <f t="shared" si="151"/>
        <v>SISTEMA DE CUSTOS HOSPITALARES</v>
      </c>
      <c r="C1699" s="2" t="str">
        <f t="shared" si="152"/>
        <v>CONTR</v>
      </c>
      <c r="D1699" s="2" t="str">
        <f t="shared" si="153"/>
        <v>FFCH</v>
      </c>
      <c r="E1699" s="2" t="str">
        <f>"LANÇAMENTO DOS CUSTOS PRIMÁRIOS"</f>
        <v>LANÇAMENTO DOS CUSTOS PRIMÁRIOS</v>
      </c>
      <c r="F1699" s="2" t="str">
        <f>"LANCA_DIRETOS_PRI_SETOR"</f>
        <v>LANCA_DIRETOS_PRI_SETOR</v>
      </c>
      <c r="G1699" s="2" t="str">
        <f>"Controladoria / Custos / Lançamentos / Custos Primários / Centro de Custo (LANCA_DIRETOS_PRI_SETOR)"</f>
        <v>Controladoria / Custos / Lançamentos / Custos Primários / Centro de Custo (LANCA_DIRETOS_PRI_SETOR)</v>
      </c>
    </row>
    <row r="1700" spans="1:7" x14ac:dyDescent="0.3">
      <c r="A1700" s="1" t="s">
        <v>4</v>
      </c>
      <c r="B1700" s="2" t="str">
        <f t="shared" si="151"/>
        <v>SISTEMA DE CUSTOS HOSPITALARES</v>
      </c>
      <c r="C1700" s="2" t="str">
        <f t="shared" si="152"/>
        <v>CONTR</v>
      </c>
      <c r="D1700" s="2" t="str">
        <f t="shared" si="153"/>
        <v>FFCH</v>
      </c>
      <c r="E1700" s="2" t="str">
        <f>"TRG_IT_PROD_UNID_MENS"</f>
        <v>TRG_IT_PROD_UNID_MENS</v>
      </c>
      <c r="F1700" s="2" t="str">
        <f>"TRG_IT_PROD_UNID_MENS"</f>
        <v>TRG_IT_PROD_UNID_MENS</v>
      </c>
      <c r="G1700" s="2" t="str">
        <f>" ()"</f>
        <v xml:space="preserve"> ()</v>
      </c>
    </row>
    <row r="1701" spans="1:7" x14ac:dyDescent="0.3">
      <c r="A1701" s="1" t="s">
        <v>4</v>
      </c>
      <c r="B1701" s="2" t="str">
        <f t="shared" si="151"/>
        <v>SISTEMA DE CUSTOS HOSPITALARES</v>
      </c>
      <c r="C1701" s="2" t="str">
        <f t="shared" si="152"/>
        <v>CONTR</v>
      </c>
      <c r="D1701" s="2" t="str">
        <f t="shared" si="153"/>
        <v>FFCH</v>
      </c>
      <c r="E1701" s="2" t="str">
        <f>"C_INDICADOR_ONTIME"</f>
        <v>C_INDICADOR_ONTIME</v>
      </c>
      <c r="F1701" s="2" t="str">
        <f>"C_INDICADOR_ONTIME"</f>
        <v>C_INDICADOR_ONTIME</v>
      </c>
      <c r="G1701" s="2" t="str">
        <f>"Controladoria / Custos / Consultas / Custo on-time (C_INDICADOR_ONTIME)"</f>
        <v>Controladoria / Custos / Consultas / Custo on-time (C_INDICADOR_ONTIME)</v>
      </c>
    </row>
    <row r="1702" spans="1:7" x14ac:dyDescent="0.3">
      <c r="A1702" s="1" t="s">
        <v>4</v>
      </c>
      <c r="B1702" s="2" t="str">
        <f t="shared" si="151"/>
        <v>SISTEMA DE CUSTOS HOSPITALARES</v>
      </c>
      <c r="C1702" s="2" t="str">
        <f t="shared" si="152"/>
        <v>CONTR</v>
      </c>
      <c r="D1702" s="2" t="str">
        <f t="shared" si="153"/>
        <v>FFCH</v>
      </c>
      <c r="E1702" s="2" t="str">
        <f>"M_CONFIG_SIASUS_SSM"</f>
        <v>M_CONFIG_SIASUS_SSM</v>
      </c>
      <c r="F1702" s="2" t="str">
        <f>"M_CONFIG_SIASUS_SSM"</f>
        <v>M_CONFIG_SIASUS_SSM</v>
      </c>
      <c r="G1702" s="2" t="str">
        <f>"Controladoria / Custos / Configurações / Faturamento / Ambulatorial SUS / Tipo / Especialidade / Serviço (M_CONFIG_SIASUS_SSM)"</f>
        <v>Controladoria / Custos / Configurações / Faturamento / Ambulatorial SUS / Tipo / Especialidade / Serviço (M_CONFIG_SIASUS_SSM)</v>
      </c>
    </row>
    <row r="1703" spans="1:7" x14ac:dyDescent="0.3">
      <c r="A1703" s="1" t="s">
        <v>4</v>
      </c>
      <c r="B1703" s="2" t="str">
        <f t="shared" si="151"/>
        <v>SISTEMA DE CUSTOS HOSPITALARES</v>
      </c>
      <c r="C1703" s="2" t="str">
        <f t="shared" si="152"/>
        <v>CONTR</v>
      </c>
      <c r="D1703" s="2" t="str">
        <f t="shared" si="153"/>
        <v>FFCH</v>
      </c>
      <c r="E1703" s="2" t="str">
        <f>"ORACLE FORMS RUNTIME"</f>
        <v>ORACLE FORMS RUNTIME</v>
      </c>
      <c r="F1703" s="2" t="str">
        <f>"R_CUSTO_FINAL_PACIENTE"</f>
        <v>R_CUSTO_FINAL_PACIENTE</v>
      </c>
      <c r="G1703" s="2" t="str">
        <f>"Controladoria / Custos / Relatórios / Paciente / Resultado por Atendimento  / On Line (R_CUSTO_FINAL_PACIENTE)"</f>
        <v>Controladoria / Custos / Relatórios / Paciente / Resultado por Atendimento  / On Line (R_CUSTO_FINAL_PACIENTE)</v>
      </c>
    </row>
    <row r="1704" spans="1:7" x14ac:dyDescent="0.3">
      <c r="A1704" s="1" t="s">
        <v>4</v>
      </c>
      <c r="B1704" s="2" t="str">
        <f t="shared" si="151"/>
        <v>SISTEMA DE CUSTOS HOSPITALARES</v>
      </c>
      <c r="C1704" s="2" t="str">
        <f t="shared" si="152"/>
        <v>CONTR</v>
      </c>
      <c r="D1704" s="2" t="str">
        <f t="shared" si="153"/>
        <v>FFCH</v>
      </c>
      <c r="E1704" s="2" t="str">
        <f>"ANÁLISE DOS CUSTOS DO CENTRO CIRÚRGICO"</f>
        <v>ANÁLISE DOS CUSTOS DO CENTRO CIRÚRGICO</v>
      </c>
      <c r="F1704" s="2" t="str">
        <f>"R_ANALISE_CUSTO_CENCIR"</f>
        <v>R_ANALISE_CUSTO_CENCIR</v>
      </c>
      <c r="G1704" s="2" t="str">
        <f>"Controladoria / Custos / Relatórios / Centro Cirúrgico / Custo Tempo Cirurgia Realizada (R_ANALISE_CUSTO_CENCIR)"</f>
        <v>Controladoria / Custos / Relatórios / Centro Cirúrgico / Custo Tempo Cirurgia Realizada (R_ANALISE_CUSTO_CENCIR)</v>
      </c>
    </row>
    <row r="1705" spans="1:7" x14ac:dyDescent="0.3">
      <c r="A1705" s="1" t="s">
        <v>4</v>
      </c>
      <c r="B1705" s="2" t="str">
        <f t="shared" si="151"/>
        <v>SISTEMA DE CUSTOS HOSPITALARES</v>
      </c>
      <c r="C1705" s="2" t="str">
        <f t="shared" si="152"/>
        <v>CONTR</v>
      </c>
      <c r="D1705" s="2" t="str">
        <f t="shared" si="153"/>
        <v>FFCH</v>
      </c>
      <c r="E1705" s="2" t="str">
        <f>"TELA DE SETOR DO SISTEMA DE CUSTOS"</f>
        <v>TELA DE SETOR DO SISTEMA DE CUSTOS</v>
      </c>
      <c r="F1705" s="2" t="str">
        <f>"M_SETOR_CUSTO"</f>
        <v>M_SETOR_CUSTO</v>
      </c>
      <c r="G1705" s="2" t="str">
        <f>" ()"</f>
        <v xml:space="preserve"> ()</v>
      </c>
    </row>
    <row r="1706" spans="1:7" x14ac:dyDescent="0.3">
      <c r="A1706" s="1" t="s">
        <v>4</v>
      </c>
      <c r="B1706" s="2" t="str">
        <f t="shared" si="151"/>
        <v>SISTEMA DE CUSTOS HOSPITALARES</v>
      </c>
      <c r="C1706" s="2" t="str">
        <f t="shared" si="152"/>
        <v>CONTR</v>
      </c>
      <c r="D1706" s="2" t="str">
        <f t="shared" si="153"/>
        <v>FFCH</v>
      </c>
      <c r="E1706" s="2" t="str">
        <f>"R_COMPUTO_CUSTO_PACIENTE_SETOR"</f>
        <v>R_COMPUTO_CUSTO_PACIENTE_SETOR</v>
      </c>
      <c r="F1706" s="2" t="str">
        <f>"R_COMPUTO_CUSTO_PACIENTE_SETOR"</f>
        <v>R_COMPUTO_CUSTO_PACIENTE_SETOR</v>
      </c>
      <c r="G1706" s="2" t="str">
        <f>" ()"</f>
        <v xml:space="preserve"> ()</v>
      </c>
    </row>
    <row r="1707" spans="1:7" x14ac:dyDescent="0.3">
      <c r="A1707" s="1" t="s">
        <v>4</v>
      </c>
      <c r="B1707" s="2" t="str">
        <f t="shared" si="151"/>
        <v>SISTEMA DE CUSTOS HOSPITALARES</v>
      </c>
      <c r="C1707" s="2" t="str">
        <f t="shared" si="152"/>
        <v>CONTR</v>
      </c>
      <c r="D1707" s="2" t="str">
        <f t="shared" si="153"/>
        <v>FFCH</v>
      </c>
      <c r="E1707" s="2" t="str">
        <f>"LANCA_DIRETOS_CONTA"</f>
        <v>LANCA_DIRETOS_CONTA</v>
      </c>
      <c r="F1707" s="2" t="str">
        <f>"LANCA_DIRETOS_CONTA"</f>
        <v>LANCA_DIRETOS_CONTA</v>
      </c>
      <c r="G1707" s="2" t="str">
        <f>" ()"</f>
        <v xml:space="preserve"> ()</v>
      </c>
    </row>
    <row r="1708" spans="1:7" x14ac:dyDescent="0.3">
      <c r="A1708" s="1" t="s">
        <v>4</v>
      </c>
      <c r="B1708" s="2" t="str">
        <f t="shared" si="151"/>
        <v>SISTEMA DE CUSTOS HOSPITALARES</v>
      </c>
      <c r="C1708" s="2" t="str">
        <f t="shared" si="152"/>
        <v>CONTR</v>
      </c>
      <c r="D1708" s="2" t="str">
        <f t="shared" si="153"/>
        <v>FFCH</v>
      </c>
      <c r="E1708" s="2" t="str">
        <f>"R_ANALISE_OXIGENIO_SINT"</f>
        <v>R_ANALISE_OXIGENIO_SINT</v>
      </c>
      <c r="F1708" s="2" t="str">
        <f>"R_ANALISE_OXIGENIO_SINT"</f>
        <v>R_ANALISE_OXIGENIO_SINT</v>
      </c>
      <c r="G1708" s="2" t="str">
        <f>" ()"</f>
        <v xml:space="preserve"> ()</v>
      </c>
    </row>
    <row r="1709" spans="1:7" x14ac:dyDescent="0.3">
      <c r="A1709" s="1" t="s">
        <v>4</v>
      </c>
      <c r="B1709" s="2" t="str">
        <f t="shared" si="151"/>
        <v>SISTEMA DE CUSTOS HOSPITALARES</v>
      </c>
      <c r="C1709" s="2" t="str">
        <f t="shared" si="152"/>
        <v>CONTR</v>
      </c>
      <c r="D1709" s="2" t="str">
        <f t="shared" si="153"/>
        <v>FFCH</v>
      </c>
      <c r="E1709" s="2" t="str">
        <f>"R_CUSTO_FINAL_PAC_OL"</f>
        <v>R_CUSTO_FINAL_PAC_OL</v>
      </c>
      <c r="F1709" s="2" t="str">
        <f>"R_CUSTO_FINAL_PAC_OL"</f>
        <v>R_CUSTO_FINAL_PAC_OL</v>
      </c>
      <c r="G1709" s="2" t="str">
        <f>"Controladoria / Custos / Relatórios / Paciente / Resultado por Atendimento Real Time (R_CUSTO_FINAL_PAC_OL)"</f>
        <v>Controladoria / Custos / Relatórios / Paciente / Resultado por Atendimento Real Time (R_CUSTO_FINAL_PAC_OL)</v>
      </c>
    </row>
    <row r="1710" spans="1:7" x14ac:dyDescent="0.3">
      <c r="A1710" s="1" t="s">
        <v>4</v>
      </c>
      <c r="B1710" s="2" t="str">
        <f t="shared" si="151"/>
        <v>SISTEMA DE CUSTOS HOSPITALARES</v>
      </c>
      <c r="C1710" s="2" t="str">
        <f t="shared" si="152"/>
        <v>CONTR</v>
      </c>
      <c r="D1710" s="2" t="str">
        <f t="shared" si="153"/>
        <v>FFCH</v>
      </c>
      <c r="E1710" s="2" t="str">
        <f>"R_CCSS_QIV_AUXILIAR"</f>
        <v>R_CCSS_QIV_AUXILIAR</v>
      </c>
      <c r="F1710" s="2" t="str">
        <f>"R_CCSS_QIV_AUXILIAR"</f>
        <v>R_CCSS_QIV_AUXILIAR</v>
      </c>
      <c r="G1710" s="2" t="str">
        <f>"Controladoria / Custos / IV-Demonstração de Custos Auxiliares / Auxiliares / Apoio (R_CCSS_QIV_AUXILIAR)"</f>
        <v>Controladoria / Custos / IV-Demonstração de Custos Auxiliares / Auxiliares / Apoio (R_CCSS_QIV_AUXILIAR)</v>
      </c>
    </row>
    <row r="1711" spans="1:7" x14ac:dyDescent="0.3">
      <c r="A1711" s="1" t="s">
        <v>4</v>
      </c>
      <c r="B1711" s="2" t="str">
        <f t="shared" si="151"/>
        <v>SISTEMA DE CUSTOS HOSPITALARES</v>
      </c>
      <c r="C1711" s="2" t="str">
        <f t="shared" si="152"/>
        <v>CONTR</v>
      </c>
      <c r="D1711" s="2" t="str">
        <f t="shared" si="153"/>
        <v>FFCH</v>
      </c>
      <c r="E1711" s="2" t="str">
        <f>"R_CCSS_QIV_MANUT"</f>
        <v>R_CCSS_QIV_MANUT</v>
      </c>
      <c r="F1711" s="2" t="str">
        <f>"R_CCSS_QIV_MANUT"</f>
        <v>R_CCSS_QIV_MANUT</v>
      </c>
      <c r="G1711" s="2" t="str">
        <f>"Controladoria / Custos / IV-Demonstração de Custos Auxiliares / Auxiliares / Manutenção (R_CCSS_QIV_MANUT)"</f>
        <v>Controladoria / Custos / IV-Demonstração de Custos Auxiliares / Auxiliares / Manutenção (R_CCSS_QIV_MANUT)</v>
      </c>
    </row>
    <row r="1712" spans="1:7" x14ac:dyDescent="0.3">
      <c r="A1712" s="1" t="s">
        <v>4</v>
      </c>
      <c r="B1712" s="2" t="str">
        <f t="shared" si="151"/>
        <v>SISTEMA DE CUSTOS HOSPITALARES</v>
      </c>
      <c r="C1712" s="2" t="str">
        <f t="shared" si="152"/>
        <v>CONTR</v>
      </c>
      <c r="D1712" s="2" t="str">
        <f t="shared" si="153"/>
        <v>FFCH</v>
      </c>
      <c r="E1712" s="2" t="str">
        <f>"R_CCSS_QIII_RANKING"</f>
        <v>R_CCSS_QIII_RANKING</v>
      </c>
      <c r="F1712" s="2" t="str">
        <f>"R_CCSS_QIII_RANKING"</f>
        <v>R_CCSS_QIII_RANKING</v>
      </c>
      <c r="G1712" s="2" t="str">
        <f>" ()"</f>
        <v xml:space="preserve"> ()</v>
      </c>
    </row>
    <row r="1713" spans="1:7" x14ac:dyDescent="0.3">
      <c r="A1713" s="1" t="s">
        <v>4</v>
      </c>
      <c r="B1713" s="2" t="str">
        <f t="shared" si="151"/>
        <v>SISTEMA DE CUSTOS HOSPITALARES</v>
      </c>
      <c r="C1713" s="2" t="str">
        <f t="shared" si="152"/>
        <v>CONTR</v>
      </c>
      <c r="D1713" s="2" t="str">
        <f t="shared" si="153"/>
        <v>FFCH</v>
      </c>
      <c r="E1713" s="2" t="str">
        <f>"R_CCSS_QII_EVOLUCAO"</f>
        <v>R_CCSS_QII_EVOLUCAO</v>
      </c>
      <c r="F1713" s="2" t="str">
        <f>"R_CCSS_QII_EVOLUCAO"</f>
        <v>R_CCSS_QII_EVOLUCAO</v>
      </c>
      <c r="G1713" s="2" t="str">
        <f>" ()"</f>
        <v xml:space="preserve"> ()</v>
      </c>
    </row>
    <row r="1714" spans="1:7" x14ac:dyDescent="0.3">
      <c r="A1714" s="1" t="s">
        <v>4</v>
      </c>
      <c r="B1714" s="2" t="str">
        <f t="shared" si="151"/>
        <v>SISTEMA DE CUSTOS HOSPITALARES</v>
      </c>
      <c r="C1714" s="2" t="str">
        <f t="shared" si="152"/>
        <v>CONTR</v>
      </c>
      <c r="D1714" s="2" t="str">
        <f t="shared" si="153"/>
        <v>FFCH</v>
      </c>
      <c r="E1714" s="2" t="str">
        <f>"R_CCSS_QI_EVOLUCAO"</f>
        <v>R_CCSS_QI_EVOLUCAO</v>
      </c>
      <c r="F1714" s="2" t="str">
        <f>"R_CCSS_QI_EVOLUCAO"</f>
        <v>R_CCSS_QI_EVOLUCAO</v>
      </c>
      <c r="G1714" s="2" t="str">
        <f>" ()"</f>
        <v xml:space="preserve"> ()</v>
      </c>
    </row>
    <row r="1715" spans="1:7" x14ac:dyDescent="0.3">
      <c r="A1715" s="1" t="s">
        <v>4</v>
      </c>
      <c r="B1715" s="2" t="str">
        <f t="shared" si="151"/>
        <v>SISTEMA DE CUSTOS HOSPITALARES</v>
      </c>
      <c r="C1715" s="2" t="str">
        <f t="shared" si="152"/>
        <v>CONTR</v>
      </c>
      <c r="D1715" s="2" t="str">
        <f t="shared" si="153"/>
        <v>FFCH</v>
      </c>
      <c r="E1715" s="2" t="str">
        <f>"C_LOG_CALC_CUSTO"</f>
        <v>C_LOG_CALC_CUSTO</v>
      </c>
      <c r="F1715" s="2" t="str">
        <f>"C_LOG_CALC_CUSTO"</f>
        <v>C_LOG_CALC_CUSTO</v>
      </c>
      <c r="G1715" s="2" t="str">
        <f>"Controladoria / Custos / Consultas / Log de Cálculos (C_LOG_CALC_CUSTO)"</f>
        <v>Controladoria / Custos / Consultas / Log de Cálculos (C_LOG_CALC_CUSTO)</v>
      </c>
    </row>
    <row r="1716" spans="1:7" x14ac:dyDescent="0.3">
      <c r="A1716" s="1" t="s">
        <v>4</v>
      </c>
      <c r="B1716" s="2" t="str">
        <f t="shared" si="151"/>
        <v>SISTEMA DE CUSTOS HOSPITALARES</v>
      </c>
      <c r="C1716" s="2" t="str">
        <f t="shared" si="152"/>
        <v>CONTR</v>
      </c>
      <c r="D1716" s="2" t="str">
        <f t="shared" si="153"/>
        <v>FFCH</v>
      </c>
      <c r="E1716" s="2" t="str">
        <f>"M_GRU_POS_ITEM_RES"</f>
        <v>M_GRU_POS_ITEM_RES</v>
      </c>
      <c r="F1716" s="2" t="str">
        <f>"M_GRU_POS_ITEM_RES"</f>
        <v>M_GRU_POS_ITEM_RES</v>
      </c>
      <c r="G1716" s="2" t="str">
        <f>" ()"</f>
        <v xml:space="preserve"> ()</v>
      </c>
    </row>
    <row r="1717" spans="1:7" x14ac:dyDescent="0.3">
      <c r="A1717" s="1" t="s">
        <v>4</v>
      </c>
      <c r="B1717" s="2" t="str">
        <f t="shared" ref="B1717:B1780" si="156">"SISTEMA DE CUSTOS HOSPITALARES"</f>
        <v>SISTEMA DE CUSTOS HOSPITALARES</v>
      </c>
      <c r="C1717" s="2" t="str">
        <f t="shared" ref="C1717:C1780" si="157">"CONTR"</f>
        <v>CONTR</v>
      </c>
      <c r="D1717" s="2" t="str">
        <f t="shared" ref="D1717:D1780" si="158">"FFCH"</f>
        <v>FFCH</v>
      </c>
      <c r="E1717" s="2" t="str">
        <f>"R_ANA_RES_TRAT"</f>
        <v>R_ANA_RES_TRAT</v>
      </c>
      <c r="F1717" s="2" t="str">
        <f>"R_ANA_RES_TRAT"</f>
        <v>R_ANA_RES_TRAT</v>
      </c>
      <c r="G1717" s="2" t="str">
        <f>"Controladoria / Custos / Relatórios / Análise do Tratamento do Atendimento / Análise Resultado Consolidado do Tratamento (R_ANA_RES_TRAT)"</f>
        <v>Controladoria / Custos / Relatórios / Análise do Tratamento do Atendimento / Análise Resultado Consolidado do Tratamento (R_ANA_RES_TRAT)</v>
      </c>
    </row>
    <row r="1718" spans="1:7" x14ac:dyDescent="0.3">
      <c r="A1718" s="1" t="s">
        <v>4</v>
      </c>
      <c r="B1718" s="2" t="str">
        <f t="shared" si="156"/>
        <v>SISTEMA DE CUSTOS HOSPITALARES</v>
      </c>
      <c r="C1718" s="2" t="str">
        <f t="shared" si="157"/>
        <v>CONTR</v>
      </c>
      <c r="D1718" s="2" t="str">
        <f t="shared" si="158"/>
        <v>FFCH</v>
      </c>
      <c r="E1718" s="2" t="str">
        <f>"R_ANA_TRAT_ATEND"</f>
        <v>R_ANA_TRAT_ATEND</v>
      </c>
      <c r="F1718" s="2" t="str">
        <f>"R_ANA_TRAT_ATEND"</f>
        <v>R_ANA_TRAT_ATEND</v>
      </c>
      <c r="G1718" s="2" t="str">
        <f>"Controladoria / Custos / Relatórios / Análise do Tratamento do Atendimento / Análise Detalhada do Tratamento/Atendimento (R_ANA_TRAT_ATEND)"</f>
        <v>Controladoria / Custos / Relatórios / Análise do Tratamento do Atendimento / Análise Detalhada do Tratamento/Atendimento (R_ANA_TRAT_ATEND)</v>
      </c>
    </row>
    <row r="1719" spans="1:7" x14ac:dyDescent="0.3">
      <c r="A1719" s="1" t="s">
        <v>4</v>
      </c>
      <c r="B1719" s="2" t="str">
        <f t="shared" si="156"/>
        <v>SISTEMA DE CUSTOS HOSPITALARES</v>
      </c>
      <c r="C1719" s="2" t="str">
        <f t="shared" si="157"/>
        <v>CONTR</v>
      </c>
      <c r="D1719" s="2" t="str">
        <f t="shared" si="158"/>
        <v>FFCH</v>
      </c>
      <c r="E1719" s="2" t="str">
        <f>"R_COMP_FAT_X_CONS"</f>
        <v>R_COMP_FAT_X_CONS</v>
      </c>
      <c r="F1719" s="2" t="str">
        <f>"R_COMP_FAT_X_CONS"</f>
        <v>R_COMP_FAT_X_CONS</v>
      </c>
      <c r="G1719" s="2" t="str">
        <f>"Controladoria / Custos / Relatórios / Custos do Centro de Custo / Comparativo Consumo Base Faturamento x Consumido (R_COMP_FAT_X_CONS)"</f>
        <v>Controladoria / Custos / Relatórios / Custos do Centro de Custo / Comparativo Consumo Base Faturamento x Consumido (R_COMP_FAT_X_CONS)</v>
      </c>
    </row>
    <row r="1720" spans="1:7" x14ac:dyDescent="0.3">
      <c r="A1720" s="1" t="s">
        <v>4</v>
      </c>
      <c r="B1720" s="2" t="str">
        <f t="shared" si="156"/>
        <v>SISTEMA DE CUSTOS HOSPITALARES</v>
      </c>
      <c r="C1720" s="2" t="str">
        <f t="shared" si="157"/>
        <v>CONTR</v>
      </c>
      <c r="D1720" s="2" t="str">
        <f t="shared" si="158"/>
        <v>FFCH</v>
      </c>
      <c r="E1720" s="2" t="str">
        <f>"M_UNID_INT_FFCH_263"</f>
        <v>M_UNID_INT_FFCH_263</v>
      </c>
      <c r="F1720" s="2" t="str">
        <f>"M_UNID_INT_FFCH_263"</f>
        <v>M_UNID_INT_FFCH_263</v>
      </c>
      <c r="G1720" s="2" t="str">
        <f>" ()"</f>
        <v xml:space="preserve"> ()</v>
      </c>
    </row>
    <row r="1721" spans="1:7" x14ac:dyDescent="0.3">
      <c r="A1721" s="1" t="s">
        <v>4</v>
      </c>
      <c r="B1721" s="2" t="str">
        <f t="shared" si="156"/>
        <v>SISTEMA DE CUSTOS HOSPITALARES</v>
      </c>
      <c r="C1721" s="2" t="str">
        <f t="shared" si="157"/>
        <v>CONTR</v>
      </c>
      <c r="D1721" s="2" t="str">
        <f t="shared" si="158"/>
        <v>FFCH</v>
      </c>
      <c r="E1721" s="2" t="str">
        <f>"M_ESPE_FFCH_263"</f>
        <v>M_ESPE_FFCH_263</v>
      </c>
      <c r="F1721" s="2" t="str">
        <f>"M_ESPE_FFCH_263"</f>
        <v>M_ESPE_FFCH_263</v>
      </c>
      <c r="G1721" s="2" t="str">
        <f>" ()"</f>
        <v xml:space="preserve"> ()</v>
      </c>
    </row>
    <row r="1722" spans="1:7" x14ac:dyDescent="0.3">
      <c r="A1722" s="1" t="s">
        <v>4</v>
      </c>
      <c r="B1722" s="2" t="str">
        <f t="shared" si="156"/>
        <v>SISTEMA DE CUSTOS HOSPITALARES</v>
      </c>
      <c r="C1722" s="2" t="str">
        <f t="shared" si="157"/>
        <v>CONTR</v>
      </c>
      <c r="D1722" s="2" t="str">
        <f t="shared" si="158"/>
        <v>FFCH</v>
      </c>
      <c r="E1722" s="2" t="str">
        <f>"M_FATOR_PROCEDIMENTO"</f>
        <v>M_FATOR_PROCEDIMENTO</v>
      </c>
      <c r="F1722" s="2" t="str">
        <f>"M_FATOR_PROCEDIMENTO"</f>
        <v>M_FATOR_PROCEDIMENTO</v>
      </c>
      <c r="G1722" s="2" t="str">
        <f>"Controladoria / Custos / Configurações / Faturamento / Pondera Direcionador (M_FATOR_PROCEDIMENTO)"</f>
        <v>Controladoria / Custos / Configurações / Faturamento / Pondera Direcionador (M_FATOR_PROCEDIMENTO)</v>
      </c>
    </row>
    <row r="1723" spans="1:7" x14ac:dyDescent="0.3">
      <c r="A1723" s="1" t="s">
        <v>4</v>
      </c>
      <c r="B1723" s="2" t="str">
        <f t="shared" si="156"/>
        <v>SISTEMA DE CUSTOS HOSPITALARES</v>
      </c>
      <c r="C1723" s="2" t="str">
        <f t="shared" si="157"/>
        <v>CONTR</v>
      </c>
      <c r="D1723" s="2" t="str">
        <f t="shared" si="158"/>
        <v>FFCH</v>
      </c>
      <c r="E1723" s="2" t="str">
        <f>"M_REGRA_RECEITA"</f>
        <v>M_REGRA_RECEITA</v>
      </c>
      <c r="F1723" s="2" t="str">
        <f>"M_REGRA_RECEITA"</f>
        <v>M_REGRA_RECEITA</v>
      </c>
      <c r="G1723" s="2" t="str">
        <f>"Controladoria / Custos / Configurações / Faturamento / Alocação Receita (M_REGRA_RECEITA)"</f>
        <v>Controladoria / Custos / Configurações / Faturamento / Alocação Receita (M_REGRA_RECEITA)</v>
      </c>
    </row>
    <row r="1724" spans="1:7" x14ac:dyDescent="0.3">
      <c r="A1724" s="1" t="s">
        <v>4</v>
      </c>
      <c r="B1724" s="2" t="str">
        <f t="shared" si="156"/>
        <v>SISTEMA DE CUSTOS HOSPITALARES</v>
      </c>
      <c r="C1724" s="2" t="str">
        <f t="shared" si="157"/>
        <v>CONTR</v>
      </c>
      <c r="D1724" s="2" t="str">
        <f t="shared" si="158"/>
        <v>FFCH</v>
      </c>
      <c r="E1724" s="2" t="str">
        <f>"M_CONFIG_GRUPO"</f>
        <v>M_CONFIG_GRUPO</v>
      </c>
      <c r="F1724" s="2" t="str">
        <f>"M_CONFIG_GRUPO"</f>
        <v>M_CONFIG_GRUPO</v>
      </c>
      <c r="G1724" s="2" t="str">
        <f>" ()"</f>
        <v xml:space="preserve"> ()</v>
      </c>
    </row>
    <row r="1725" spans="1:7" x14ac:dyDescent="0.3">
      <c r="A1725" s="1" t="s">
        <v>4</v>
      </c>
      <c r="B1725" s="2" t="str">
        <f t="shared" si="156"/>
        <v>SISTEMA DE CUSTOS HOSPITALARES</v>
      </c>
      <c r="C1725" s="2" t="str">
        <f t="shared" si="157"/>
        <v>CONTR</v>
      </c>
      <c r="D1725" s="2" t="str">
        <f t="shared" si="158"/>
        <v>FFCH</v>
      </c>
      <c r="E1725" s="2" t="str">
        <f>"M_PRO_FFCH_CUSTOMEDIO"</f>
        <v>M_PRO_FFCH_CUSTOMEDIO</v>
      </c>
      <c r="F1725" s="2" t="str">
        <f>"M_PRO_FFCH_CUSTOMEDIO"</f>
        <v>M_PRO_FFCH_CUSTOMEDIO</v>
      </c>
      <c r="G1725" s="2" t="str">
        <f>"Controladoria / Custos / Configurações / Estoque / Custo Médio Fixado (M_PRO_FFCH_CUSTOMEDIO)"</f>
        <v>Controladoria / Custos / Configurações / Estoque / Custo Médio Fixado (M_PRO_FFCH_CUSTOMEDIO)</v>
      </c>
    </row>
    <row r="1726" spans="1:7" x14ac:dyDescent="0.3">
      <c r="A1726" s="1" t="s">
        <v>4</v>
      </c>
      <c r="B1726" s="2" t="str">
        <f t="shared" si="156"/>
        <v>SISTEMA DE CUSTOS HOSPITALARES</v>
      </c>
      <c r="C1726" s="2" t="str">
        <f t="shared" si="157"/>
        <v>CONTR</v>
      </c>
      <c r="D1726" s="2" t="str">
        <f t="shared" si="158"/>
        <v>FFCH</v>
      </c>
      <c r="E1726" s="2" t="str">
        <f>"M_META_ORCAMENTO"</f>
        <v>M_META_ORCAMENTO</v>
      </c>
      <c r="F1726" s="2" t="str">
        <f>"M_META_ORCAMENTO"</f>
        <v>M_META_ORCAMENTO</v>
      </c>
      <c r="G1726" s="2" t="str">
        <f>"Controladoria / Custos / Lançamentos / Metas e Orçamentos / Orçamento de Centro de Custos (M_META_ORCAMENTO)"</f>
        <v>Controladoria / Custos / Lançamentos / Metas e Orçamentos / Orçamento de Centro de Custos (M_META_ORCAMENTO)</v>
      </c>
    </row>
    <row r="1727" spans="1:7" x14ac:dyDescent="0.3">
      <c r="A1727" s="1" t="s">
        <v>4</v>
      </c>
      <c r="B1727" s="2" t="str">
        <f t="shared" si="156"/>
        <v>SISTEMA DE CUSTOS HOSPITALARES</v>
      </c>
      <c r="C1727" s="2" t="str">
        <f t="shared" si="157"/>
        <v>CONTR</v>
      </c>
      <c r="D1727" s="2" t="str">
        <f t="shared" si="158"/>
        <v>FFCH</v>
      </c>
      <c r="E1727" s="2" t="str">
        <f>"EVOLUÇÃO DO CENTROS"</f>
        <v>EVOLUÇÃO DO CENTROS</v>
      </c>
      <c r="F1727" s="2" t="str">
        <f>"R_QUADRO_CCSS"</f>
        <v>R_QUADRO_CCSS</v>
      </c>
      <c r="G1727" s="2" t="str">
        <f>"Controladoria / Custos / Relatórios / Quadros Informativos - CCSS / OSS (R_QUADRO_CCSS)"</f>
        <v>Controladoria / Custos / Relatórios / Quadros Informativos - CCSS / OSS (R_QUADRO_CCSS)</v>
      </c>
    </row>
    <row r="1728" spans="1:7" x14ac:dyDescent="0.3">
      <c r="A1728" s="1" t="s">
        <v>4</v>
      </c>
      <c r="B1728" s="2" t="str">
        <f t="shared" si="156"/>
        <v>SISTEMA DE CUSTOS HOSPITALARES</v>
      </c>
      <c r="C1728" s="2" t="str">
        <f t="shared" si="157"/>
        <v>CONTR</v>
      </c>
      <c r="D1728" s="2" t="str">
        <f t="shared" si="158"/>
        <v>FFCH</v>
      </c>
      <c r="E1728" s="2" t="str">
        <f>"CONTAS DE CUSTOS - HOSPITAL MV SISTEMAS"</f>
        <v>CONTAS DE CUSTOS - HOSPITAL MV SISTEMAS</v>
      </c>
      <c r="F1728" s="2" t="str">
        <f>"R_CONTA_CUSTO"</f>
        <v>R_CONTA_CUSTO</v>
      </c>
      <c r="G1728" s="2" t="str">
        <f>"Controladoria / Custos / Relatórios / Tabelas / Contas de Custos (R_CONTA_CUSTO)"</f>
        <v>Controladoria / Custos / Relatórios / Tabelas / Contas de Custos (R_CONTA_CUSTO)</v>
      </c>
    </row>
    <row r="1729" spans="1:7" x14ac:dyDescent="0.3">
      <c r="A1729" s="1" t="s">
        <v>4</v>
      </c>
      <c r="B1729" s="2" t="str">
        <f t="shared" si="156"/>
        <v>SISTEMA DE CUSTOS HOSPITALARES</v>
      </c>
      <c r="C1729" s="2" t="str">
        <f t="shared" si="157"/>
        <v>CONTR</v>
      </c>
      <c r="D1729" s="2" t="str">
        <f t="shared" si="158"/>
        <v>FFCH</v>
      </c>
      <c r="E1729" s="2" t="str">
        <f>"ANALISE DAS CONTAS DE CUSTO DAS RECEITAS"</f>
        <v>ANALISE DAS CONTAS DE CUSTO DAS RECEITAS</v>
      </c>
      <c r="F1729" s="2" t="str">
        <f>"R_ANALISE_CONTA_RECEITA"</f>
        <v>R_ANALISE_CONTA_RECEITA</v>
      </c>
      <c r="G1729" s="2" t="str">
        <f>"Controladoria / Custos / Relatórios / Contas de Receitas / Análise das Contas de Receitas (R_ANALISE_CONTA_RECEITA)"</f>
        <v>Controladoria / Custos / Relatórios / Contas de Receitas / Análise das Contas de Receitas (R_ANALISE_CONTA_RECEITA)</v>
      </c>
    </row>
    <row r="1730" spans="1:7" x14ac:dyDescent="0.3">
      <c r="A1730" s="1" t="s">
        <v>4</v>
      </c>
      <c r="B1730" s="2" t="str">
        <f t="shared" si="156"/>
        <v>SISTEMA DE CUSTOS HOSPITALARES</v>
      </c>
      <c r="C1730" s="2" t="str">
        <f t="shared" si="157"/>
        <v>CONTR</v>
      </c>
      <c r="D1730" s="2" t="str">
        <f t="shared" si="158"/>
        <v>FFCH</v>
      </c>
      <c r="E1730" s="2" t="str">
        <f>"ORIGEM DAS RECEITAS"</f>
        <v>ORIGEM DAS RECEITAS</v>
      </c>
      <c r="F1730" s="2" t="str">
        <f>"R_ORIGEM_RECEITA"</f>
        <v>R_ORIGEM_RECEITA</v>
      </c>
      <c r="G1730" s="2" t="str">
        <f>"Controladoria / Custos / Relatórios / Lançamentos / Origem das Receitas (R_ORIGEM_RECEITA)"</f>
        <v>Controladoria / Custos / Relatórios / Lançamentos / Origem das Receitas (R_ORIGEM_RECEITA)</v>
      </c>
    </row>
    <row r="1731" spans="1:7" x14ac:dyDescent="0.3">
      <c r="A1731" s="1" t="s">
        <v>4</v>
      </c>
      <c r="B1731" s="2" t="str">
        <f t="shared" si="156"/>
        <v>SISTEMA DE CUSTOS HOSPITALARES</v>
      </c>
      <c r="C1731" s="2" t="str">
        <f t="shared" si="157"/>
        <v>CONTR</v>
      </c>
      <c r="D1731" s="2" t="str">
        <f t="shared" si="158"/>
        <v>FFCH</v>
      </c>
      <c r="E1731" s="2" t="str">
        <f>"CENTROS DE CUSTOS"</f>
        <v>CENTROS DE CUSTOS</v>
      </c>
      <c r="F1731" s="2" t="str">
        <f>"R_CENTRO_CUSTO"</f>
        <v>R_CENTRO_CUSTO</v>
      </c>
      <c r="G1731" s="2" t="str">
        <f>"Controladoria / Custos / Relatórios / Tabelas / Centros de Custos (R_CENTRO_CUSTO)"</f>
        <v>Controladoria / Custos / Relatórios / Tabelas / Centros de Custos (R_CENTRO_CUSTO)</v>
      </c>
    </row>
    <row r="1732" spans="1:7" x14ac:dyDescent="0.3">
      <c r="A1732" s="1" t="s">
        <v>4</v>
      </c>
      <c r="B1732" s="2" t="str">
        <f t="shared" si="156"/>
        <v>SISTEMA DE CUSTOS HOSPITALARES</v>
      </c>
      <c r="C1732" s="2" t="str">
        <f t="shared" si="157"/>
        <v>CONTR</v>
      </c>
      <c r="D1732" s="2" t="str">
        <f t="shared" si="158"/>
        <v>FFCH</v>
      </c>
      <c r="E1732" s="2" t="str">
        <f>"CADASTRO: METAS CUSTO / RECEITA"</f>
        <v>CADASTRO: METAS CUSTO / RECEITA</v>
      </c>
      <c r="F1732" s="2" t="str">
        <f>"M_META_CUSTO_REC"</f>
        <v>M_META_CUSTO_REC</v>
      </c>
      <c r="G1732" s="2" t="str">
        <f>"Controladoria / Custos / Lançamentos / Metas e Orçamentos / Metas de Custos / Receitas (M_META_CUSTO_REC)"</f>
        <v>Controladoria / Custos / Lançamentos / Metas e Orçamentos / Metas de Custos / Receitas (M_META_CUSTO_REC)</v>
      </c>
    </row>
    <row r="1733" spans="1:7" x14ac:dyDescent="0.3">
      <c r="A1733" s="1" t="s">
        <v>4</v>
      </c>
      <c r="B1733" s="2" t="str">
        <f t="shared" si="156"/>
        <v>SISTEMA DE CUSTOS HOSPITALARES</v>
      </c>
      <c r="C1733" s="2" t="str">
        <f t="shared" si="157"/>
        <v>CONTR</v>
      </c>
      <c r="D1733" s="2" t="str">
        <f t="shared" si="158"/>
        <v>FFCH</v>
      </c>
      <c r="E1733" s="2" t="str">
        <f>"WIN_PRINCIPAL - HOSPITAL MV SISTEMAS"</f>
        <v>WIN_PRINCIPAL - HOSPITAL MV SISTEMAS</v>
      </c>
      <c r="F1733" s="2" t="str">
        <f>"M_FFCH_CCSS"</f>
        <v>M_FFCH_CCSS</v>
      </c>
      <c r="G1733" s="2" t="str">
        <f>"Controladoria / Custos / Configurações / Configurações CCSS / OSS (M_FFCH_CCSS)"</f>
        <v>Controladoria / Custos / Configurações / Configurações CCSS / OSS (M_FFCH_CCSS)</v>
      </c>
    </row>
    <row r="1734" spans="1:7" x14ac:dyDescent="0.3">
      <c r="A1734" s="1" t="s">
        <v>4</v>
      </c>
      <c r="B1734" s="2" t="str">
        <f t="shared" si="156"/>
        <v>SISTEMA DE CUSTOS HOSPITALARES</v>
      </c>
      <c r="C1734" s="2" t="str">
        <f t="shared" si="157"/>
        <v>CONTR</v>
      </c>
      <c r="D1734" s="2" t="str">
        <f t="shared" si="158"/>
        <v>FFCH</v>
      </c>
      <c r="E1734" s="2" t="str">
        <f>"CADASTRO/FECHAMENTO DE LOTES"</f>
        <v>CADASTRO/FECHAMENTO DE LOTES</v>
      </c>
      <c r="F1734" s="2" t="str">
        <f>"M_FFCH_LOTE"</f>
        <v>M_FFCH_LOTE</v>
      </c>
      <c r="G1734" s="2" t="str">
        <f>"Controladoria / Custos / Configurações / Lançamentos / Excecão Lote Contábil (M_FFCH_LOTE)"</f>
        <v>Controladoria / Custos / Configurações / Lançamentos / Excecão Lote Contábil (M_FFCH_LOTE)</v>
      </c>
    </row>
    <row r="1735" spans="1:7" x14ac:dyDescent="0.3">
      <c r="A1735" s="1" t="s">
        <v>4</v>
      </c>
      <c r="B1735" s="2" t="str">
        <f t="shared" si="156"/>
        <v>SISTEMA DE CUSTOS HOSPITALARES</v>
      </c>
      <c r="C1735" s="2" t="str">
        <f t="shared" si="157"/>
        <v>CONTR</v>
      </c>
      <c r="D1735" s="2" t="str">
        <f t="shared" si="158"/>
        <v>FFCH</v>
      </c>
      <c r="E1735" s="2" t="str">
        <f>"CONFIGURAÇÃO: USUÁRIOS POR SETOR"</f>
        <v>CONFIGURAÇÃO: USUÁRIOS POR SETOR</v>
      </c>
      <c r="F1735" s="2" t="str">
        <f>"M_USU_SETOR_FFCH"</f>
        <v>M_USU_SETOR_FFCH</v>
      </c>
      <c r="G1735" s="2" t="str">
        <f>" ()"</f>
        <v xml:space="preserve"> ()</v>
      </c>
    </row>
    <row r="1736" spans="1:7" x14ac:dyDescent="0.3">
      <c r="A1736" s="1" t="s">
        <v>4</v>
      </c>
      <c r="B1736" s="2" t="str">
        <f t="shared" si="156"/>
        <v>SISTEMA DE CUSTOS HOSPITALARES</v>
      </c>
      <c r="C1736" s="2" t="str">
        <f t="shared" si="157"/>
        <v>CONTR</v>
      </c>
      <c r="D1736" s="2" t="str">
        <f t="shared" si="158"/>
        <v>FFCH</v>
      </c>
      <c r="E1736" s="2" t="str">
        <f>"O_GERA_CUSTO_DW"</f>
        <v>O_GERA_CUSTO_DW</v>
      </c>
      <c r="F1736" s="2" t="str">
        <f>"O_GERA_CUSTO_DW"</f>
        <v>O_GERA_CUSTO_DW</v>
      </c>
      <c r="G1736" s="2" t="str">
        <f>"Controladoria / Custos / Cálculos / Transfere Custo para o DW (O_GERA_CUSTO_DW)"</f>
        <v>Controladoria / Custos / Cálculos / Transfere Custo para o DW (O_GERA_CUSTO_DW)</v>
      </c>
    </row>
    <row r="1737" spans="1:7" x14ac:dyDescent="0.3">
      <c r="A1737" s="1" t="s">
        <v>4</v>
      </c>
      <c r="B1737" s="2" t="str">
        <f t="shared" si="156"/>
        <v>SISTEMA DE CUSTOS HOSPITALARES</v>
      </c>
      <c r="C1737" s="2" t="str">
        <f t="shared" si="157"/>
        <v>CONTR</v>
      </c>
      <c r="D1737" s="2" t="str">
        <f t="shared" si="158"/>
        <v>FFCH</v>
      </c>
      <c r="E1737" s="2" t="str">
        <f>"R_ANA_MRG_CONT_CONS_263"</f>
        <v>R_ANA_MRG_CONT_CONS_263</v>
      </c>
      <c r="F1737" s="2" t="str">
        <f>"R_ANA_MRG_CONT_CONS_263"</f>
        <v>R_ANA_MRG_CONT_CONS_263</v>
      </c>
      <c r="G1737" s="2" t="str">
        <f t="shared" ref="G1737:G1753" si="159">" ()"</f>
        <v xml:space="preserve"> ()</v>
      </c>
    </row>
    <row r="1738" spans="1:7" x14ac:dyDescent="0.3">
      <c r="A1738" s="1" t="s">
        <v>4</v>
      </c>
      <c r="B1738" s="2" t="str">
        <f t="shared" si="156"/>
        <v>SISTEMA DE CUSTOS HOSPITALARES</v>
      </c>
      <c r="C1738" s="2" t="str">
        <f t="shared" si="157"/>
        <v>CONTR</v>
      </c>
      <c r="D1738" s="2" t="str">
        <f t="shared" si="158"/>
        <v>FFCH</v>
      </c>
      <c r="E1738" s="2" t="str">
        <f>"R_CUSTO_PRIMARIO"</f>
        <v>R_CUSTO_PRIMARIO</v>
      </c>
      <c r="F1738" s="2" t="str">
        <f>"R_CUSTO_PRIMARIO"</f>
        <v>R_CUSTO_PRIMARIO</v>
      </c>
      <c r="G1738" s="2" t="str">
        <f t="shared" si="159"/>
        <v xml:space="preserve"> ()</v>
      </c>
    </row>
    <row r="1739" spans="1:7" x14ac:dyDescent="0.3">
      <c r="A1739" s="1" t="s">
        <v>4</v>
      </c>
      <c r="B1739" s="2" t="str">
        <f t="shared" si="156"/>
        <v>SISTEMA DE CUSTOS HOSPITALARES</v>
      </c>
      <c r="C1739" s="2" t="str">
        <f t="shared" si="157"/>
        <v>CONTR</v>
      </c>
      <c r="D1739" s="2" t="str">
        <f t="shared" si="158"/>
        <v>FFCH</v>
      </c>
      <c r="E1739" s="2" t="str">
        <f>"M_ITEM_RS_GASES"</f>
        <v>M_ITEM_RS_GASES</v>
      </c>
      <c r="F1739" s="2" t="str">
        <f>"M_ITEM_RS_GASES"</f>
        <v>M_ITEM_RS_GASES</v>
      </c>
      <c r="G1739" s="2" t="str">
        <f t="shared" si="159"/>
        <v xml:space="preserve"> ()</v>
      </c>
    </row>
    <row r="1740" spans="1:7" x14ac:dyDescent="0.3">
      <c r="A1740" s="1" t="s">
        <v>4</v>
      </c>
      <c r="B1740" s="2" t="str">
        <f t="shared" si="156"/>
        <v>SISTEMA DE CUSTOS HOSPITALARES</v>
      </c>
      <c r="C1740" s="2" t="str">
        <f t="shared" si="157"/>
        <v>CONTR</v>
      </c>
      <c r="D1740" s="2" t="str">
        <f t="shared" si="158"/>
        <v>FFCH</v>
      </c>
      <c r="E1740" s="2" t="str">
        <f>"LOGOMVCUSTO"</f>
        <v>LOGOMVCUSTO</v>
      </c>
      <c r="F1740" s="2" t="str">
        <f>"LOGOMVCUSTO"</f>
        <v>LOGOMVCUSTO</v>
      </c>
      <c r="G1740" s="2" t="str">
        <f t="shared" si="159"/>
        <v xml:space="preserve"> ()</v>
      </c>
    </row>
    <row r="1741" spans="1:7" x14ac:dyDescent="0.3">
      <c r="A1741" s="1" t="s">
        <v>4</v>
      </c>
      <c r="B1741" s="2" t="str">
        <f t="shared" si="156"/>
        <v>SISTEMA DE CUSTOS HOSPITALARES</v>
      </c>
      <c r="C1741" s="2" t="str">
        <f t="shared" si="157"/>
        <v>CONTR</v>
      </c>
      <c r="D1741" s="2" t="str">
        <f t="shared" si="158"/>
        <v>FFCH</v>
      </c>
      <c r="E1741" s="2" t="str">
        <f>"C_VL_CONTA_CUSTO_PERIODO"</f>
        <v>C_VL_CONTA_CUSTO_PERIODO</v>
      </c>
      <c r="F1741" s="2" t="str">
        <f>"C_VL_CONTA_CUSTO_PERIODO"</f>
        <v>C_VL_CONTA_CUSTO_PERIODO</v>
      </c>
      <c r="G1741" s="2" t="str">
        <f t="shared" si="159"/>
        <v xml:space="preserve"> ()</v>
      </c>
    </row>
    <row r="1742" spans="1:7" x14ac:dyDescent="0.3">
      <c r="A1742" s="1" t="s">
        <v>4</v>
      </c>
      <c r="B1742" s="2" t="str">
        <f t="shared" si="156"/>
        <v>SISTEMA DE CUSTOS HOSPITALARES</v>
      </c>
      <c r="C1742" s="2" t="str">
        <f t="shared" si="157"/>
        <v>CONTR</v>
      </c>
      <c r="D1742" s="2" t="str">
        <f t="shared" si="158"/>
        <v>FFCH</v>
      </c>
      <c r="E1742" s="2" t="str">
        <f>"REL ANÁLISE EVOLUTIVA DOS ITENS PRODUÇÃO"</f>
        <v>REL ANÁLISE EVOLUTIVA DOS ITENS PRODUÇÃO</v>
      </c>
      <c r="F1742" s="2" t="str">
        <f>"R_ANA_EVO_ITEM_PROD.RDF"</f>
        <v>R_ANA_EVO_ITEM_PROD.RDF</v>
      </c>
      <c r="G1742" s="2" t="str">
        <f t="shared" si="159"/>
        <v xml:space="preserve"> ()</v>
      </c>
    </row>
    <row r="1743" spans="1:7" x14ac:dyDescent="0.3">
      <c r="A1743" s="1" t="s">
        <v>4</v>
      </c>
      <c r="B1743" s="2" t="str">
        <f t="shared" si="156"/>
        <v>SISTEMA DE CUSTOS HOSPITALARES</v>
      </c>
      <c r="C1743" s="2" t="str">
        <f t="shared" si="157"/>
        <v>CONTR</v>
      </c>
      <c r="D1743" s="2" t="str">
        <f t="shared" si="158"/>
        <v>FFCH</v>
      </c>
      <c r="E1743" s="2" t="str">
        <f>"RELATÓRIO ORÇAMENTO DOS CENTROS DE CUSTO"</f>
        <v>RELATÓRIO ORÇAMENTO DOS CENTROS DE CUSTO</v>
      </c>
      <c r="F1743" s="2" t="str">
        <f>"R_ORCAMENTO_ANUAL.RDF"</f>
        <v>R_ORCAMENTO_ANUAL.RDF</v>
      </c>
      <c r="G1743" s="2" t="str">
        <f t="shared" si="159"/>
        <v xml:space="preserve"> ()</v>
      </c>
    </row>
    <row r="1744" spans="1:7" x14ac:dyDescent="0.3">
      <c r="A1744" s="1" t="s">
        <v>4</v>
      </c>
      <c r="B1744" s="2" t="str">
        <f t="shared" si="156"/>
        <v>SISTEMA DE CUSTOS HOSPITALARES</v>
      </c>
      <c r="C1744" s="2" t="str">
        <f t="shared" si="157"/>
        <v>CONTR</v>
      </c>
      <c r="D1744" s="2" t="str">
        <f t="shared" si="158"/>
        <v>FFCH</v>
      </c>
      <c r="E1744" s="2" t="str">
        <f>"REL ANÁLISE ABC DAS CONTAS DE RECEITAS"</f>
        <v>REL ANÁLISE ABC DAS CONTAS DE RECEITAS</v>
      </c>
      <c r="F1744" s="2" t="str">
        <f>"R_ABC_CONTA_CUSTO_RECEITA.RDF"</f>
        <v>R_ABC_CONTA_CUSTO_RECEITA.RDF</v>
      </c>
      <c r="G1744" s="2" t="str">
        <f t="shared" si="159"/>
        <v xml:space="preserve"> ()</v>
      </c>
    </row>
    <row r="1745" spans="1:7" x14ac:dyDescent="0.3">
      <c r="A1745" s="1" t="s">
        <v>4</v>
      </c>
      <c r="B1745" s="2" t="str">
        <f t="shared" si="156"/>
        <v>SISTEMA DE CUSTOS HOSPITALARES</v>
      </c>
      <c r="C1745" s="2" t="str">
        <f t="shared" si="157"/>
        <v>CONTR</v>
      </c>
      <c r="D1745" s="2" t="str">
        <f t="shared" si="158"/>
        <v>FFCH</v>
      </c>
      <c r="E1745" s="2" t="str">
        <f>"RELATÓRIO ANÁLISE DAS CONTAS DE RECEITA"</f>
        <v>RELATÓRIO ANÁLISE DAS CONTAS DE RECEITA</v>
      </c>
      <c r="F1745" s="2" t="str">
        <f>"R_ANALISE_CONTA_RECEITA.RDF"</f>
        <v>R_ANALISE_CONTA_RECEITA.RDF</v>
      </c>
      <c r="G1745" s="2" t="str">
        <f t="shared" si="159"/>
        <v xml:space="preserve"> ()</v>
      </c>
    </row>
    <row r="1746" spans="1:7" x14ac:dyDescent="0.3">
      <c r="A1746" s="1" t="s">
        <v>4</v>
      </c>
      <c r="B1746" s="2" t="str">
        <f t="shared" si="156"/>
        <v>SISTEMA DE CUSTOS HOSPITALARES</v>
      </c>
      <c r="C1746" s="2" t="str">
        <f t="shared" si="157"/>
        <v>CONTR</v>
      </c>
      <c r="D1746" s="2" t="str">
        <f t="shared" si="158"/>
        <v>FFCH</v>
      </c>
      <c r="E1746" s="2" t="str">
        <f>"RELATÓRIO COMPISIÇÃO E EVOLUÇÃO CUSTOS"</f>
        <v>RELATÓRIO COMPISIÇÃO E EVOLUÇÃO CUSTOS</v>
      </c>
      <c r="F1746" s="2" t="str">
        <f>"R_COMP_EVO_CUSTOS.RDF"</f>
        <v>R_COMP_EVO_CUSTOS.RDF</v>
      </c>
      <c r="G1746" s="2" t="str">
        <f t="shared" si="159"/>
        <v xml:space="preserve"> ()</v>
      </c>
    </row>
    <row r="1747" spans="1:7" x14ac:dyDescent="0.3">
      <c r="A1747" s="1" t="s">
        <v>4</v>
      </c>
      <c r="B1747" s="2" t="str">
        <f t="shared" si="156"/>
        <v>SISTEMA DE CUSTOS HOSPITALARES</v>
      </c>
      <c r="C1747" s="2" t="str">
        <f t="shared" si="157"/>
        <v>CONTR</v>
      </c>
      <c r="D1747" s="2" t="str">
        <f t="shared" si="158"/>
        <v>FFCH</v>
      </c>
      <c r="E1747" s="2" t="str">
        <f>"RELATÓRIO DE ANÁLISE DAS CONTAS DE CUSTO"</f>
        <v>RELATÓRIO DE ANÁLISE DAS CONTAS DE CUSTO</v>
      </c>
      <c r="F1747" s="2" t="str">
        <f>"R_ANALISE_CONTA_CUSTO.RDF"</f>
        <v>R_ANALISE_CONTA_CUSTO.RDF</v>
      </c>
      <c r="G1747" s="2" t="str">
        <f t="shared" si="159"/>
        <v xml:space="preserve"> ()</v>
      </c>
    </row>
    <row r="1748" spans="1:7" x14ac:dyDescent="0.3">
      <c r="A1748" s="1" t="s">
        <v>4</v>
      </c>
      <c r="B1748" s="2" t="str">
        <f t="shared" si="156"/>
        <v>SISTEMA DE CUSTOS HOSPITALARES</v>
      </c>
      <c r="C1748" s="2" t="str">
        <f t="shared" si="157"/>
        <v>CONTR</v>
      </c>
      <c r="D1748" s="2" t="str">
        <f t="shared" si="158"/>
        <v>FFCH</v>
      </c>
      <c r="E1748" s="2" t="str">
        <f>"RELATÓRIO EVOLUÇÃO DOS CUSTOS"</f>
        <v>RELATÓRIO EVOLUÇÃO DOS CUSTOS</v>
      </c>
      <c r="F1748" s="2" t="str">
        <f>"R_QUADRO_CCSS.RDF"</f>
        <v>R_QUADRO_CCSS.RDF</v>
      </c>
      <c r="G1748" s="2" t="str">
        <f t="shared" si="159"/>
        <v xml:space="preserve"> ()</v>
      </c>
    </row>
    <row r="1749" spans="1:7" x14ac:dyDescent="0.3">
      <c r="A1749" s="1" t="s">
        <v>4</v>
      </c>
      <c r="B1749" s="2" t="str">
        <f t="shared" si="156"/>
        <v>SISTEMA DE CUSTOS HOSPITALARES</v>
      </c>
      <c r="C1749" s="2" t="str">
        <f t="shared" si="157"/>
        <v>CONTR</v>
      </c>
      <c r="D1749" s="2" t="str">
        <f t="shared" si="158"/>
        <v>FFCH</v>
      </c>
      <c r="E1749" s="2" t="str">
        <f>"RELATÓRIO MAPA DE CUSTOS PRIMÁRIOS"</f>
        <v>RELATÓRIO MAPA DE CUSTOS PRIMÁRIOS</v>
      </c>
      <c r="F1749" s="2" t="str">
        <f>"R_CUS_EST_PRI.RDF"</f>
        <v>R_CUS_EST_PRI.RDF</v>
      </c>
      <c r="G1749" s="2" t="str">
        <f t="shared" si="159"/>
        <v xml:space="preserve"> ()</v>
      </c>
    </row>
    <row r="1750" spans="1:7" x14ac:dyDescent="0.3">
      <c r="A1750" s="1" t="s">
        <v>4</v>
      </c>
      <c r="B1750" s="2" t="str">
        <f t="shared" si="156"/>
        <v>SISTEMA DE CUSTOS HOSPITALARES</v>
      </c>
      <c r="C1750" s="2" t="str">
        <f t="shared" si="157"/>
        <v>CONTR</v>
      </c>
      <c r="D1750" s="2" t="str">
        <f t="shared" si="158"/>
        <v>FFCH</v>
      </c>
      <c r="E1750" s="2" t="str">
        <f>"REL LANÇAMENTO COM PROBLEMAS NO FINANC"</f>
        <v>REL LANÇAMENTO COM PROBLEMAS NO FINANC</v>
      </c>
      <c r="F1750" s="2" t="str">
        <f>"R_LANCAMENTOS_ERR.RDF"</f>
        <v>R_LANCAMENTOS_ERR.RDF</v>
      </c>
      <c r="G1750" s="2" t="str">
        <f t="shared" si="159"/>
        <v xml:space="preserve"> ()</v>
      </c>
    </row>
    <row r="1751" spans="1:7" x14ac:dyDescent="0.3">
      <c r="A1751" s="1" t="s">
        <v>4</v>
      </c>
      <c r="B1751" s="2" t="str">
        <f t="shared" si="156"/>
        <v>SISTEMA DE CUSTOS HOSPITALARES</v>
      </c>
      <c r="C1751" s="2" t="str">
        <f t="shared" si="157"/>
        <v>CONTR</v>
      </c>
      <c r="D1751" s="2" t="str">
        <f t="shared" si="158"/>
        <v>FFCH</v>
      </c>
      <c r="E1751" s="2" t="str">
        <f>"RELATÓRIO DE LANÇAMENTO DO FINANCEIRO"</f>
        <v>RELATÓRIO DE LANÇAMENTO DO FINANCEIRO</v>
      </c>
      <c r="F1751" s="2" t="str">
        <f>"R_LANCAMENTOS.RDF"</f>
        <v>R_LANCAMENTOS.RDF</v>
      </c>
      <c r="G1751" s="2" t="str">
        <f t="shared" si="159"/>
        <v xml:space="preserve"> ()</v>
      </c>
    </row>
    <row r="1752" spans="1:7" x14ac:dyDescent="0.3">
      <c r="A1752" s="1" t="s">
        <v>4</v>
      </c>
      <c r="B1752" s="2" t="str">
        <f t="shared" si="156"/>
        <v>SISTEMA DE CUSTOS HOSPITALARES</v>
      </c>
      <c r="C1752" s="2" t="str">
        <f t="shared" si="157"/>
        <v>CONTR</v>
      </c>
      <c r="D1752" s="2" t="str">
        <f t="shared" si="158"/>
        <v>FFCH</v>
      </c>
      <c r="E1752" s="2" t="str">
        <f>"RELATÓRIO DE CONSTAS DE CUSTO"</f>
        <v>RELATÓRIO DE CONSTAS DE CUSTO</v>
      </c>
      <c r="F1752" s="2" t="str">
        <f>"R_CONTA_CUSTO.RDF"</f>
        <v>R_CONTA_CUSTO.RDF</v>
      </c>
      <c r="G1752" s="2" t="str">
        <f t="shared" si="159"/>
        <v xml:space="preserve"> ()</v>
      </c>
    </row>
    <row r="1753" spans="1:7" x14ac:dyDescent="0.3">
      <c r="A1753" s="1" t="s">
        <v>4</v>
      </c>
      <c r="B1753" s="2" t="str">
        <f t="shared" si="156"/>
        <v>SISTEMA DE CUSTOS HOSPITALARES</v>
      </c>
      <c r="C1753" s="2" t="str">
        <f t="shared" si="157"/>
        <v>CONTR</v>
      </c>
      <c r="D1753" s="2" t="str">
        <f t="shared" si="158"/>
        <v>FFCH</v>
      </c>
      <c r="E1753" s="2" t="str">
        <f>"RELATÓRIO DE CENTROS DE CUSTO"</f>
        <v>RELATÓRIO DE CENTROS DE CUSTO</v>
      </c>
      <c r="F1753" s="2" t="str">
        <f>"R_CENTRO_CUSTO.RDF"</f>
        <v>R_CENTRO_CUSTO.RDF</v>
      </c>
      <c r="G1753" s="2" t="str">
        <f t="shared" si="159"/>
        <v xml:space="preserve"> ()</v>
      </c>
    </row>
    <row r="1754" spans="1:7" x14ac:dyDescent="0.3">
      <c r="A1754" s="1" t="s">
        <v>4</v>
      </c>
      <c r="B1754" s="2" t="str">
        <f t="shared" si="156"/>
        <v>SISTEMA DE CUSTOS HOSPITALARES</v>
      </c>
      <c r="C1754" s="2" t="str">
        <f t="shared" si="157"/>
        <v>CONTR</v>
      </c>
      <c r="D1754" s="2" t="str">
        <f t="shared" si="158"/>
        <v>FFCH</v>
      </c>
      <c r="E1754" s="2" t="s">
        <v>13</v>
      </c>
      <c r="F1754" s="2" t="s">
        <v>14</v>
      </c>
      <c r="G1754" s="2" t="str">
        <f>"R_ESPECIE_CLASS.RDF"</f>
        <v>R_ESPECIE_CLASS.RDF</v>
      </c>
    </row>
    <row r="1755" spans="1:7" x14ac:dyDescent="0.3">
      <c r="A1755" s="1" t="s">
        <v>4</v>
      </c>
      <c r="B1755" s="2" t="str">
        <f t="shared" si="156"/>
        <v>SISTEMA DE CUSTOS HOSPITALARES</v>
      </c>
      <c r="C1755" s="2" t="str">
        <f t="shared" si="157"/>
        <v>CONTR</v>
      </c>
      <c r="D1755" s="2" t="str">
        <f t="shared" si="158"/>
        <v>FFCH</v>
      </c>
      <c r="E1755" s="2" t="str">
        <f>"CONSULTA DOS CUSTOS DO CENTRO"</f>
        <v>CONSULTA DOS CUSTOS DO CENTRO</v>
      </c>
      <c r="F1755" s="2" t="str">
        <f>"C_CUSTO_CENTRO"</f>
        <v>C_CUSTO_CENTRO</v>
      </c>
      <c r="G1755" s="2" t="str">
        <f>"Controladoria / Custos / Consultas / Custos dos Centros (C_CUSTO_CENTRO)"</f>
        <v>Controladoria / Custos / Consultas / Custos dos Centros (C_CUSTO_CENTRO)</v>
      </c>
    </row>
    <row r="1756" spans="1:7" x14ac:dyDescent="0.3">
      <c r="A1756" s="1" t="s">
        <v>4</v>
      </c>
      <c r="B1756" s="2" t="str">
        <f t="shared" si="156"/>
        <v>SISTEMA DE CUSTOS HOSPITALARES</v>
      </c>
      <c r="C1756" s="2" t="str">
        <f t="shared" si="157"/>
        <v>CONTR</v>
      </c>
      <c r="D1756" s="2" t="str">
        <f t="shared" si="158"/>
        <v>FFCH</v>
      </c>
      <c r="E1756" s="2" t="str">
        <f>"REGRA DE RATEIO DOS ITENS DE RESULTADO"</f>
        <v>REGRA DE RATEIO DOS ITENS DE RESULTADO</v>
      </c>
      <c r="F1756" s="2" t="str">
        <f>"M_REG_RAT_ITEM"</f>
        <v>M_REG_RAT_ITEM</v>
      </c>
      <c r="G1756" s="2" t="str">
        <f>" ()"</f>
        <v xml:space="preserve"> ()</v>
      </c>
    </row>
    <row r="1757" spans="1:7" x14ac:dyDescent="0.3">
      <c r="A1757" s="1" t="s">
        <v>4</v>
      </c>
      <c r="B1757" s="2" t="str">
        <f t="shared" si="156"/>
        <v>SISTEMA DE CUSTOS HOSPITALARES</v>
      </c>
      <c r="C1757" s="2" t="str">
        <f t="shared" si="157"/>
        <v>CONTR</v>
      </c>
      <c r="D1757" s="2" t="str">
        <f t="shared" si="158"/>
        <v>FFCH</v>
      </c>
      <c r="E1757" s="2" t="str">
        <f>"CADASTRO DE UNIDADES DE MENSURACAO"</f>
        <v>CADASTRO DE UNIDADES DE MENSURACAO</v>
      </c>
      <c r="F1757" s="2" t="str">
        <f>"M_UNID_MENSURACAO"</f>
        <v>M_UNID_MENSURACAO</v>
      </c>
      <c r="G1757" s="2" t="str">
        <f>" ()"</f>
        <v xml:space="preserve"> ()</v>
      </c>
    </row>
    <row r="1758" spans="1:7" x14ac:dyDescent="0.3">
      <c r="A1758" s="1" t="s">
        <v>4</v>
      </c>
      <c r="B1758" s="2" t="str">
        <f t="shared" si="156"/>
        <v>SISTEMA DE CUSTOS HOSPITALARES</v>
      </c>
      <c r="C1758" s="2" t="str">
        <f t="shared" si="157"/>
        <v>CONTR</v>
      </c>
      <c r="D1758" s="2" t="str">
        <f t="shared" si="158"/>
        <v>FFCH</v>
      </c>
      <c r="E1758" s="2" t="str">
        <f>"LANCAMENTO DA PRODUCAO DOS SETORES"</f>
        <v>LANCAMENTO DA PRODUCAO DOS SETORES</v>
      </c>
      <c r="F1758" s="2" t="str">
        <f>"LANCA_PRODUCAO"</f>
        <v>LANCA_PRODUCAO</v>
      </c>
      <c r="G1758" s="2" t="str">
        <f>"Clínica e Assistencial / Controle de Infecção Hospitalar / Produção / Itens (LANCA_PRODUCAO)"</f>
        <v>Clínica e Assistencial / Controle de Infecção Hospitalar / Produção / Itens (LANCA_PRODUCAO)</v>
      </c>
    </row>
    <row r="1759" spans="1:7" x14ac:dyDescent="0.3">
      <c r="A1759" s="1" t="s">
        <v>4</v>
      </c>
      <c r="B1759" s="2" t="str">
        <f t="shared" si="156"/>
        <v>SISTEMA DE CUSTOS HOSPITALARES</v>
      </c>
      <c r="C1759" s="2" t="str">
        <f t="shared" si="157"/>
        <v>CONTR</v>
      </c>
      <c r="D1759" s="2" t="str">
        <f t="shared" si="158"/>
        <v>FFCH</v>
      </c>
      <c r="E1759" s="2" t="str">
        <f>"LANCAMENTO DA PRODUCAO DOS SETORES"</f>
        <v>LANCAMENTO DA PRODUCAO DOS SETORES</v>
      </c>
      <c r="F1759" s="2" t="str">
        <f>"LANCA_PRODUCAO"</f>
        <v>LANCA_PRODUCAO</v>
      </c>
      <c r="G1759" s="2" t="str">
        <f>"Controladoria / Custos / Lançamentos / Direcionadores / Unidade de Produção (LANCA_PRODUCAO)"</f>
        <v>Controladoria / Custos / Lançamentos / Direcionadores / Unidade de Produção (LANCA_PRODUCAO)</v>
      </c>
    </row>
    <row r="1760" spans="1:7" x14ac:dyDescent="0.3">
      <c r="A1760" s="1" t="s">
        <v>4</v>
      </c>
      <c r="B1760" s="2" t="str">
        <f t="shared" si="156"/>
        <v>SISTEMA DE CUSTOS HOSPITALARES</v>
      </c>
      <c r="C1760" s="2" t="str">
        <f t="shared" si="157"/>
        <v>CONTR</v>
      </c>
      <c r="D1760" s="2" t="str">
        <f t="shared" si="158"/>
        <v>FFCH</v>
      </c>
      <c r="E1760" s="2" t="str">
        <f>"CADASTRO DOS ITENS DE PRODUCAO"</f>
        <v>CADASTRO DOS ITENS DE PRODUCAO</v>
      </c>
      <c r="F1760" s="2" t="str">
        <f>"M_ITEM_PRODUCAO"</f>
        <v>M_ITEM_PRODUCAO</v>
      </c>
      <c r="G1760" s="2" t="str">
        <f>"Controladoria / Custos / Tabelas / Direcionadores / Unidade de Produção (M_ITEM_PRODUCAO)"</f>
        <v>Controladoria / Custos / Tabelas / Direcionadores / Unidade de Produção (M_ITEM_PRODUCAO)</v>
      </c>
    </row>
    <row r="1761" spans="1:7" x14ac:dyDescent="0.3">
      <c r="A1761" s="1" t="s">
        <v>4</v>
      </c>
      <c r="B1761" s="2" t="str">
        <f t="shared" si="156"/>
        <v>SISTEMA DE CUSTOS HOSPITALARES</v>
      </c>
      <c r="C1761" s="2" t="str">
        <f t="shared" si="157"/>
        <v>CONTR</v>
      </c>
      <c r="D1761" s="2" t="str">
        <f t="shared" si="158"/>
        <v>FFCH</v>
      </c>
      <c r="E1761" s="2" t="str">
        <f>"CADASTRO COMPLETO DE CENTROS DE CUSTO"</f>
        <v>CADASTRO COMPLETO DE CENTROS DE CUSTO</v>
      </c>
      <c r="F1761" s="2" t="str">
        <f>"M_CENTRO_CUSTO_COMP"</f>
        <v>M_CENTRO_CUSTO_COMP</v>
      </c>
      <c r="G1761" s="2" t="str">
        <f>"Controladoria / Custos / Tabelas / Centros de Custo (M_CENTRO_CUSTO_COMP)"</f>
        <v>Controladoria / Custos / Tabelas / Centros de Custo (M_CENTRO_CUSTO_COMP)</v>
      </c>
    </row>
    <row r="1762" spans="1:7" x14ac:dyDescent="0.3">
      <c r="A1762" s="1" t="s">
        <v>4</v>
      </c>
      <c r="B1762" s="2" t="str">
        <f t="shared" si="156"/>
        <v>SISTEMA DE CUSTOS HOSPITALARES</v>
      </c>
      <c r="C1762" s="2" t="str">
        <f t="shared" si="157"/>
        <v>CONTR</v>
      </c>
      <c r="D1762" s="2" t="str">
        <f t="shared" si="158"/>
        <v>FFCH</v>
      </c>
      <c r="E1762" s="2" t="str">
        <f>"GRUPO DE RESULTADO"</f>
        <v>GRUPO DE RESULTADO</v>
      </c>
      <c r="F1762" s="2" t="str">
        <f>"M_GRU_RES"</f>
        <v>M_GRU_RES</v>
      </c>
      <c r="G1762" s="2" t="str">
        <f>"Controladoria / Custos / Tabelas / Grupos das Contas de Custos (M_GRU_RES)"</f>
        <v>Controladoria / Custos / Tabelas / Grupos das Contas de Custos (M_GRU_RES)</v>
      </c>
    </row>
    <row r="1763" spans="1:7" x14ac:dyDescent="0.3">
      <c r="A1763" s="1" t="s">
        <v>4</v>
      </c>
      <c r="B1763" s="2" t="str">
        <f t="shared" si="156"/>
        <v>SISTEMA DE CUSTOS HOSPITALARES</v>
      </c>
      <c r="C1763" s="2" t="str">
        <f t="shared" si="157"/>
        <v>CONTR</v>
      </c>
      <c r="D1763" s="2" t="str">
        <f t="shared" si="158"/>
        <v>FFCH</v>
      </c>
      <c r="E1763" s="2" t="str">
        <f>"ANÁLISE DE DESEMPENHO"</f>
        <v>ANÁLISE DE DESEMPENHO</v>
      </c>
      <c r="F1763" s="2" t="str">
        <f>"R_ANALISE_DESEMPENHO"</f>
        <v>R_ANALISE_DESEMPENHO</v>
      </c>
      <c r="G1763" s="2" t="str">
        <f>"Controladoria / Custos / Relatórios / Avaliação de Resultados / Análise Consolidada de Desempenho (R_ANALISE_DESEMPENHO)"</f>
        <v>Controladoria / Custos / Relatórios / Avaliação de Resultados / Análise Consolidada de Desempenho (R_ANALISE_DESEMPENHO)</v>
      </c>
    </row>
    <row r="1764" spans="1:7" x14ac:dyDescent="0.3">
      <c r="A1764" s="1" t="s">
        <v>4</v>
      </c>
      <c r="B1764" s="2" t="str">
        <f t="shared" si="156"/>
        <v>SISTEMA DE CUSTOS HOSPITALARES</v>
      </c>
      <c r="C1764" s="2" t="str">
        <f t="shared" si="157"/>
        <v>CONTR</v>
      </c>
      <c r="D1764" s="2" t="str">
        <f t="shared" si="158"/>
        <v>FFCH</v>
      </c>
      <c r="E1764" s="2" t="str">
        <f>"CONFIGURAÇÃO"</f>
        <v>CONFIGURAÇÃO</v>
      </c>
      <c r="F1764" s="2" t="str">
        <f>"M_CONFIG_FCCH"</f>
        <v>M_CONFIG_FCCH</v>
      </c>
      <c r="G1764" s="2" t="str">
        <f>"Controladoria / Custos / Configurações / Funcionamento (M_CONFIG_FCCH)"</f>
        <v>Controladoria / Custos / Configurações / Funcionamento (M_CONFIG_FCCH)</v>
      </c>
    </row>
    <row r="1765" spans="1:7" x14ac:dyDescent="0.3">
      <c r="A1765" s="1" t="s">
        <v>4</v>
      </c>
      <c r="B1765" s="2" t="str">
        <f t="shared" si="156"/>
        <v>SISTEMA DE CUSTOS HOSPITALARES</v>
      </c>
      <c r="C1765" s="2" t="str">
        <f t="shared" si="157"/>
        <v>CONTR</v>
      </c>
      <c r="D1765" s="2" t="str">
        <f t="shared" si="158"/>
        <v>FFCH</v>
      </c>
      <c r="E1765" s="2" t="str">
        <f>"ROTINAS X VARIÁVEIS"</f>
        <v>ROTINAS X VARIÁVEIS</v>
      </c>
      <c r="F1765" s="2" t="str">
        <f>"M_ROTINAS"</f>
        <v>M_ROTINAS</v>
      </c>
      <c r="G1765" s="2" t="str">
        <f>" ()"</f>
        <v xml:space="preserve"> ()</v>
      </c>
    </row>
    <row r="1766" spans="1:7" x14ac:dyDescent="0.3">
      <c r="A1766" s="1" t="s">
        <v>4</v>
      </c>
      <c r="B1766" s="2" t="str">
        <f t="shared" si="156"/>
        <v>SISTEMA DE CUSTOS HOSPITALARES</v>
      </c>
      <c r="C1766" s="2" t="str">
        <f t="shared" si="157"/>
        <v>CONTR</v>
      </c>
      <c r="D1766" s="2" t="str">
        <f t="shared" si="158"/>
        <v>FFCH</v>
      </c>
      <c r="E1766" s="2" t="str">
        <f>"M_CONFIG_EXCECAO_PROCEDIMENTO"</f>
        <v>M_CONFIG_EXCECAO_PROCEDIMENTO</v>
      </c>
      <c r="F1766" s="2" t="str">
        <f>"M_CONFIG_EXCECAO_PROCEDIMENTO"</f>
        <v>M_CONFIG_EXCECAO_PROCEDIMENTO</v>
      </c>
      <c r="G1766" s="2" t="str">
        <f>"Controladoria / Custos / Configurações / Faturamento / Convênio/Particular / Procedimentos (M_CONFIG_EXCECAO_PROCEDIMENTO)"</f>
        <v>Controladoria / Custos / Configurações / Faturamento / Convênio/Particular / Procedimentos (M_CONFIG_EXCECAO_PROCEDIMENTO)</v>
      </c>
    </row>
    <row r="1767" spans="1:7" x14ac:dyDescent="0.3">
      <c r="A1767" s="1" t="s">
        <v>4</v>
      </c>
      <c r="B1767" s="2" t="str">
        <f t="shared" si="156"/>
        <v>SISTEMA DE CUSTOS HOSPITALARES</v>
      </c>
      <c r="C1767" s="2" t="str">
        <f t="shared" si="157"/>
        <v>CONTR</v>
      </c>
      <c r="D1767" s="2" t="str">
        <f t="shared" si="158"/>
        <v>FFCH</v>
      </c>
      <c r="E1767" s="2" t="str">
        <f>"M_CONFIG_EXCECAO_PROCEDIMENTO"</f>
        <v>M_CONFIG_EXCECAO_PROCEDIMENTO</v>
      </c>
      <c r="F1767" s="2" t="str">
        <f>"M_CONFIG_EXCECAO_PROCEDIMENTO"</f>
        <v>M_CONFIG_EXCECAO_PROCEDIMENTO</v>
      </c>
      <c r="G1767" s="2" t="str">
        <f>"Clínica e Assistencial / Controle de Infecção Hospitalar / Exceções / Procedimentos (M_CONFIG_EXCECAO_PROCEDIMENTO)"</f>
        <v>Clínica e Assistencial / Controle de Infecção Hospitalar / Exceções / Procedimentos (M_CONFIG_EXCECAO_PROCEDIMENTO)</v>
      </c>
    </row>
    <row r="1768" spans="1:7" x14ac:dyDescent="0.3">
      <c r="A1768" s="1" t="s">
        <v>4</v>
      </c>
      <c r="B1768" s="2" t="str">
        <f t="shared" si="156"/>
        <v>SISTEMA DE CUSTOS HOSPITALARES</v>
      </c>
      <c r="C1768" s="2" t="str">
        <f t="shared" si="157"/>
        <v>CONTR</v>
      </c>
      <c r="D1768" s="2" t="str">
        <f t="shared" si="158"/>
        <v>FFCH</v>
      </c>
      <c r="E1768" s="2" t="str">
        <f>"APURAÇÃO DOS CUSTOS DE PROCEDIMENTOS"</f>
        <v>APURAÇÃO DOS CUSTOS DE PROCEDIMENTOS</v>
      </c>
      <c r="F1768" s="2" t="str">
        <f>"R_APURACAO_CUSTOS_PROCED"</f>
        <v>R_APURACAO_CUSTOS_PROCED</v>
      </c>
      <c r="G1768" s="2" t="str">
        <f>"Controladoria / Custos / Relatórios / Apuração dos Custos dos Procedimentos (R_APURACAO_CUSTOS_PROCED)"</f>
        <v>Controladoria / Custos / Relatórios / Apuração dos Custos dos Procedimentos (R_APURACAO_CUSTOS_PROCED)</v>
      </c>
    </row>
    <row r="1769" spans="1:7" x14ac:dyDescent="0.3">
      <c r="A1769" s="1" t="s">
        <v>4</v>
      </c>
      <c r="B1769" s="2" t="str">
        <f t="shared" si="156"/>
        <v>SISTEMA DE CUSTOS HOSPITALARES</v>
      </c>
      <c r="C1769" s="2" t="str">
        <f t="shared" si="157"/>
        <v>CONTR</v>
      </c>
      <c r="D1769" s="2" t="str">
        <f t="shared" si="158"/>
        <v>FFCH</v>
      </c>
      <c r="E1769" s="2" t="str">
        <f>"CONSULTA DA PRODUCAO DOS CENTROS"</f>
        <v>CONSULTA DA PRODUCAO DOS CENTROS</v>
      </c>
      <c r="F1769" s="2" t="str">
        <f>"C_PRODUCAO"</f>
        <v>C_PRODUCAO</v>
      </c>
      <c r="G1769" s="2" t="str">
        <f>"Controladoria / Custos / Consultas / Produção (C_PRODUCAO)"</f>
        <v>Controladoria / Custos / Consultas / Produção (C_PRODUCAO)</v>
      </c>
    </row>
    <row r="1770" spans="1:7" x14ac:dyDescent="0.3">
      <c r="A1770" s="1" t="s">
        <v>4</v>
      </c>
      <c r="B1770" s="2" t="str">
        <f t="shared" si="156"/>
        <v>SISTEMA DE CUSTOS HOSPITALARES</v>
      </c>
      <c r="C1770" s="2" t="str">
        <f t="shared" si="157"/>
        <v>CONTR</v>
      </c>
      <c r="D1770" s="2" t="str">
        <f t="shared" si="158"/>
        <v>FFCH</v>
      </c>
      <c r="E1770" s="2" t="str">
        <f>"CALCULO DOS CUSTOS UNITARIOS DA PRODUCAO"</f>
        <v>CALCULO DOS CUSTOS UNITARIOS DA PRODUCAO</v>
      </c>
      <c r="F1770" s="2" t="str">
        <f>"O_GERA_UNITARIO"</f>
        <v>O_GERA_UNITARIO</v>
      </c>
      <c r="G1770" s="2" t="str">
        <f>" ()"</f>
        <v xml:space="preserve"> ()</v>
      </c>
    </row>
    <row r="1771" spans="1:7" x14ac:dyDescent="0.3">
      <c r="A1771" s="1" t="s">
        <v>4</v>
      </c>
      <c r="B1771" s="2" t="str">
        <f t="shared" si="156"/>
        <v>SISTEMA DE CUSTOS HOSPITALARES</v>
      </c>
      <c r="C1771" s="2" t="str">
        <f t="shared" si="157"/>
        <v>CONTR</v>
      </c>
      <c r="D1771" s="2" t="str">
        <f t="shared" si="158"/>
        <v>FFCH</v>
      </c>
      <c r="E1771" s="2" t="str">
        <f>"REL DE MAPA DE CUSTOS PRIMÁRIOS"</f>
        <v>REL DE MAPA DE CUSTOS PRIMÁRIOS</v>
      </c>
      <c r="F1771" s="2" t="str">
        <f>"R_CUS_EST_PRI"</f>
        <v>R_CUS_EST_PRI</v>
      </c>
      <c r="G1771" s="2" t="str">
        <f>"Controladoria / Custos / Relatórios / Custos Primários e Rateios dos Centros de Custos / Mapa de Custos Primários (R_CUS_EST_PRI)"</f>
        <v>Controladoria / Custos / Relatórios / Custos Primários e Rateios dos Centros de Custos / Mapa de Custos Primários (R_CUS_EST_PRI)</v>
      </c>
    </row>
    <row r="1772" spans="1:7" x14ac:dyDescent="0.3">
      <c r="A1772" s="1" t="s">
        <v>4</v>
      </c>
      <c r="B1772" s="2" t="str">
        <f t="shared" si="156"/>
        <v>SISTEMA DE CUSTOS HOSPITALARES</v>
      </c>
      <c r="C1772" s="2" t="str">
        <f t="shared" si="157"/>
        <v>CONTR</v>
      </c>
      <c r="D1772" s="2" t="str">
        <f t="shared" si="158"/>
        <v>FFCH</v>
      </c>
      <c r="E1772" s="2" t="str">
        <f>"REL DE MAPA DE ANÁLISE EVOLUTIVA"</f>
        <v>REL DE MAPA DE ANÁLISE EVOLUTIVA</v>
      </c>
      <c r="F1772" s="2" t="str">
        <f>"R_ANA_EVO"</f>
        <v>R_ANA_EVO</v>
      </c>
      <c r="G1772" s="2" t="str">
        <f t="shared" ref="G1772:G1779" si="160">" ()"</f>
        <v xml:space="preserve"> ()</v>
      </c>
    </row>
    <row r="1773" spans="1:7" x14ac:dyDescent="0.3">
      <c r="A1773" s="1" t="s">
        <v>4</v>
      </c>
      <c r="B1773" s="2" t="str">
        <f t="shared" si="156"/>
        <v>SISTEMA DE CUSTOS HOSPITALARES</v>
      </c>
      <c r="C1773" s="2" t="str">
        <f t="shared" si="157"/>
        <v>CONTR</v>
      </c>
      <c r="D1773" s="2" t="str">
        <f t="shared" si="158"/>
        <v>FFCH</v>
      </c>
      <c r="E1773" s="2" t="str">
        <f>"REL DE ITENS DE RESULTADO X ESPECIES"</f>
        <v>REL DE ITENS DE RESULTADO X ESPECIES</v>
      </c>
      <c r="F1773" s="2" t="str">
        <f>"R_ESPECIE"</f>
        <v>R_ESPECIE</v>
      </c>
      <c r="G1773" s="2" t="str">
        <f t="shared" si="160"/>
        <v xml:space="preserve"> ()</v>
      </c>
    </row>
    <row r="1774" spans="1:7" x14ac:dyDescent="0.3">
      <c r="A1774" s="1" t="s">
        <v>4</v>
      </c>
      <c r="B1774" s="2" t="str">
        <f t="shared" si="156"/>
        <v>SISTEMA DE CUSTOS HOSPITALARES</v>
      </c>
      <c r="C1774" s="2" t="str">
        <f t="shared" si="157"/>
        <v>CONTR</v>
      </c>
      <c r="D1774" s="2" t="str">
        <f t="shared" si="158"/>
        <v>FFCH</v>
      </c>
      <c r="E1774" s="2" t="str">
        <f>"REL DE ITENS E RESULTADOS"</f>
        <v>REL DE ITENS E RESULTADOS</v>
      </c>
      <c r="F1774" s="2" t="str">
        <f>"R_ITEM_RES"</f>
        <v>R_ITEM_RES</v>
      </c>
      <c r="G1774" s="2" t="str">
        <f t="shared" si="160"/>
        <v xml:space="preserve"> ()</v>
      </c>
    </row>
    <row r="1775" spans="1:7" x14ac:dyDescent="0.3">
      <c r="A1775" s="1" t="s">
        <v>4</v>
      </c>
      <c r="B1775" s="2" t="str">
        <f t="shared" si="156"/>
        <v>SISTEMA DE CUSTOS HOSPITALARES</v>
      </c>
      <c r="C1775" s="2" t="str">
        <f t="shared" si="157"/>
        <v>CONTR</v>
      </c>
      <c r="D1775" s="2" t="str">
        <f t="shared" si="158"/>
        <v>FFCH</v>
      </c>
      <c r="E1775" s="2" t="str">
        <f>"REL DE ITENS DA PRODUÇÃO"</f>
        <v>REL DE ITENS DA PRODUÇÃO</v>
      </c>
      <c r="F1775" s="2" t="str">
        <f>"R_ITPROD"</f>
        <v>R_ITPROD</v>
      </c>
      <c r="G1775" s="2" t="str">
        <f t="shared" si="160"/>
        <v xml:space="preserve"> ()</v>
      </c>
    </row>
    <row r="1776" spans="1:7" x14ac:dyDescent="0.3">
      <c r="A1776" s="1" t="s">
        <v>4</v>
      </c>
      <c r="B1776" s="2" t="str">
        <f t="shared" si="156"/>
        <v>SISTEMA DE CUSTOS HOSPITALARES</v>
      </c>
      <c r="C1776" s="2" t="str">
        <f t="shared" si="157"/>
        <v>CONTR</v>
      </c>
      <c r="D1776" s="2" t="str">
        <f t="shared" si="158"/>
        <v>FFCH</v>
      </c>
      <c r="E1776" s="2" t="str">
        <f>"REL DE UNIDADES DE MENSURAÇÃO"</f>
        <v>REL DE UNIDADES DE MENSURAÇÃO</v>
      </c>
      <c r="F1776" s="2" t="str">
        <f>"R_UNIMEN"</f>
        <v>R_UNIMEN</v>
      </c>
      <c r="G1776" s="2" t="str">
        <f t="shared" si="160"/>
        <v xml:space="preserve"> ()</v>
      </c>
    </row>
    <row r="1777" spans="1:7" x14ac:dyDescent="0.3">
      <c r="A1777" s="1" t="s">
        <v>4</v>
      </c>
      <c r="B1777" s="2" t="str">
        <f t="shared" si="156"/>
        <v>SISTEMA DE CUSTOS HOSPITALARES</v>
      </c>
      <c r="C1777" s="2" t="str">
        <f t="shared" si="157"/>
        <v>CONTR</v>
      </c>
      <c r="D1777" s="2" t="str">
        <f t="shared" si="158"/>
        <v>FFCH</v>
      </c>
      <c r="E1777" s="2" t="str">
        <f>"RATEIO DOS CUSTOS DOS CENTROS"</f>
        <v>RATEIO DOS CUSTOS DOS CENTROS</v>
      </c>
      <c r="F1777" s="2" t="str">
        <f>"O_GERA_SETOR"</f>
        <v>O_GERA_SETOR</v>
      </c>
      <c r="G1777" s="2" t="str">
        <f t="shared" si="160"/>
        <v xml:space="preserve"> ()</v>
      </c>
    </row>
    <row r="1778" spans="1:7" x14ac:dyDescent="0.3">
      <c r="A1778" s="1" t="s">
        <v>4</v>
      </c>
      <c r="B1778" s="2" t="str">
        <f t="shared" si="156"/>
        <v>SISTEMA DE CUSTOS HOSPITALARES</v>
      </c>
      <c r="C1778" s="2" t="str">
        <f t="shared" si="157"/>
        <v>CONTR</v>
      </c>
      <c r="D1778" s="2" t="str">
        <f t="shared" si="158"/>
        <v>FFCH</v>
      </c>
      <c r="E1778" s="2" t="str">
        <f>"COMPARTILHAMENTO DOS CUSTOS PRIMARIOS"</f>
        <v>COMPARTILHAMENTO DOS CUSTOS PRIMARIOS</v>
      </c>
      <c r="F1778" s="2" t="str">
        <f>"O_GERA_CONTAS"</f>
        <v>O_GERA_CONTAS</v>
      </c>
      <c r="G1778" s="2" t="str">
        <f t="shared" si="160"/>
        <v xml:space="preserve"> ()</v>
      </c>
    </row>
    <row r="1779" spans="1:7" x14ac:dyDescent="0.3">
      <c r="A1779" s="1" t="s">
        <v>4</v>
      </c>
      <c r="B1779" s="2" t="str">
        <f t="shared" si="156"/>
        <v>SISTEMA DE CUSTOS HOSPITALARES</v>
      </c>
      <c r="C1779" s="2" t="str">
        <f t="shared" si="157"/>
        <v>CONTR</v>
      </c>
      <c r="D1779" s="2" t="str">
        <f t="shared" si="158"/>
        <v>FFCH</v>
      </c>
      <c r="E1779" s="2" t="str">
        <f>"CONSOLIDACAO DAS RECEITAS DO CONVENIO"</f>
        <v>CONSOLIDACAO DAS RECEITAS DO CONVENIO</v>
      </c>
      <c r="F1779" s="2" t="str">
        <f>"O_GERA_RECEITAS"</f>
        <v>O_GERA_RECEITAS</v>
      </c>
      <c r="G1779" s="2" t="str">
        <f t="shared" si="160"/>
        <v xml:space="preserve"> ()</v>
      </c>
    </row>
    <row r="1780" spans="1:7" x14ac:dyDescent="0.3">
      <c r="A1780" s="1" t="s">
        <v>4</v>
      </c>
      <c r="B1780" s="2" t="str">
        <f t="shared" si="156"/>
        <v>SISTEMA DE CUSTOS HOSPITALARES</v>
      </c>
      <c r="C1780" s="2" t="str">
        <f t="shared" si="157"/>
        <v>CONTR</v>
      </c>
      <c r="D1780" s="2" t="str">
        <f t="shared" si="158"/>
        <v>FFCH</v>
      </c>
      <c r="E1780" s="2" t="str">
        <f>"MENU PRINCIPAL DO CUSTOS"</f>
        <v>MENU PRINCIPAL DO CUSTOS</v>
      </c>
      <c r="F1780" s="2" t="str">
        <f>"FFCH"</f>
        <v>FFCH</v>
      </c>
      <c r="G1780" s="2" t="str">
        <f>"Controladoria / Custos / Relatórios / Personalizados (FFCH)"</f>
        <v>Controladoria / Custos / Relatórios / Personalizados (FFCH)</v>
      </c>
    </row>
    <row r="1781" spans="1:7" x14ac:dyDescent="0.3">
      <c r="A1781" s="1" t="s">
        <v>4</v>
      </c>
      <c r="B1781" s="2" t="str">
        <f t="shared" ref="B1781:B1844" si="161">"SISTEMA DE CUSTOS HOSPITALARES"</f>
        <v>SISTEMA DE CUSTOS HOSPITALARES</v>
      </c>
      <c r="C1781" s="2" t="str">
        <f t="shared" ref="C1781:C1844" si="162">"CONTR"</f>
        <v>CONTR</v>
      </c>
      <c r="D1781" s="2" t="str">
        <f t="shared" ref="D1781:D1844" si="163">"FFCH"</f>
        <v>FFCH</v>
      </c>
      <c r="E1781" s="2" t="str">
        <f>"MAPA DE CUSTO PRIMARIO"</f>
        <v>MAPA DE CUSTO PRIMARIO</v>
      </c>
      <c r="F1781" s="2" t="str">
        <f>"R_MAPA_CUS_PRI"</f>
        <v>R_MAPA_CUS_PRI</v>
      </c>
      <c r="G1781" s="2" t="str">
        <f>" ()"</f>
        <v xml:space="preserve"> ()</v>
      </c>
    </row>
    <row r="1782" spans="1:7" x14ac:dyDescent="0.3">
      <c r="A1782" s="1" t="s">
        <v>4</v>
      </c>
      <c r="B1782" s="2" t="str">
        <f t="shared" si="161"/>
        <v>SISTEMA DE CUSTOS HOSPITALARES</v>
      </c>
      <c r="C1782" s="2" t="str">
        <f t="shared" si="162"/>
        <v>CONTR</v>
      </c>
      <c r="D1782" s="2" t="str">
        <f t="shared" si="163"/>
        <v>FFCH</v>
      </c>
      <c r="E1782" s="2" t="str">
        <f>"REGRA DE RATEIO DOS SETORES"</f>
        <v>REGRA DE RATEIO DOS SETORES</v>
      </c>
      <c r="F1782" s="2" t="str">
        <f>"M_REG_RAT_SET"</f>
        <v>M_REG_RAT_SET</v>
      </c>
      <c r="G1782" s="2" t="str">
        <f>" ()"</f>
        <v xml:space="preserve"> ()</v>
      </c>
    </row>
    <row r="1783" spans="1:7" x14ac:dyDescent="0.3">
      <c r="A1783" s="1" t="s">
        <v>4</v>
      </c>
      <c r="B1783" s="2" t="str">
        <f t="shared" si="161"/>
        <v>SISTEMA DE CUSTOS HOSPITALARES</v>
      </c>
      <c r="C1783" s="2" t="str">
        <f t="shared" si="162"/>
        <v>CONTR</v>
      </c>
      <c r="D1783" s="2" t="str">
        <f t="shared" si="163"/>
        <v>FFCH</v>
      </c>
      <c r="E1783" s="2" t="str">
        <f>"REGRA DE RATEIO DE CUSTOS INDIRETOS"</f>
        <v>REGRA DE RATEIO DE CUSTOS INDIRETOS</v>
      </c>
      <c r="F1783" s="2" t="str">
        <f>"M_RAT_CUS_IND"</f>
        <v>M_RAT_CUS_IND</v>
      </c>
      <c r="G1783" s="2" t="str">
        <f>" ()"</f>
        <v xml:space="preserve"> ()</v>
      </c>
    </row>
    <row r="1784" spans="1:7" x14ac:dyDescent="0.3">
      <c r="A1784" s="1" t="s">
        <v>4</v>
      </c>
      <c r="B1784" s="2" t="str">
        <f t="shared" si="161"/>
        <v>SISTEMA DE CUSTOS HOSPITALARES</v>
      </c>
      <c r="C1784" s="2" t="str">
        <f t="shared" si="162"/>
        <v>CONTR</v>
      </c>
      <c r="D1784" s="2" t="str">
        <f t="shared" si="163"/>
        <v>FFCH</v>
      </c>
      <c r="E1784" s="2" t="str">
        <f>"GRUPO DE RESULTADO"</f>
        <v>GRUPO DE RESULTADO</v>
      </c>
      <c r="F1784" s="2" t="str">
        <f>"M_GRU_RESULTADO"</f>
        <v>M_GRU_RESULTADO</v>
      </c>
      <c r="G1784" s="2" t="str">
        <f>" ()"</f>
        <v xml:space="preserve"> ()</v>
      </c>
    </row>
    <row r="1785" spans="1:7" x14ac:dyDescent="0.3">
      <c r="A1785" s="1" t="s">
        <v>4</v>
      </c>
      <c r="B1785" s="2" t="str">
        <f t="shared" si="161"/>
        <v>SISTEMA DE CUSTOS HOSPITALARES</v>
      </c>
      <c r="C1785" s="2" t="str">
        <f t="shared" si="162"/>
        <v>CONTR</v>
      </c>
      <c r="D1785" s="2" t="str">
        <f t="shared" si="163"/>
        <v>FFCH</v>
      </c>
      <c r="E1785" s="2" t="str">
        <f>"M_EXCLUSAO_IMP"</f>
        <v>M_EXCLUSAO_IMP</v>
      </c>
      <c r="F1785" s="2" t="str">
        <f>"M_EXCLUSAO_IMP"</f>
        <v>M_EXCLUSAO_IMP</v>
      </c>
      <c r="G1785" s="2" t="str">
        <f>"Controladoria / Custos / Importação / Dw Plano Saúde / Excluir (M_EXCLUSAO_IMP)"</f>
        <v>Controladoria / Custos / Importação / Dw Plano Saúde / Excluir (M_EXCLUSAO_IMP)</v>
      </c>
    </row>
    <row r="1786" spans="1:7" x14ac:dyDescent="0.3">
      <c r="A1786" s="1" t="s">
        <v>4</v>
      </c>
      <c r="B1786" s="2" t="str">
        <f t="shared" si="161"/>
        <v>SISTEMA DE CUSTOS HOSPITALARES</v>
      </c>
      <c r="C1786" s="2" t="str">
        <f t="shared" si="162"/>
        <v>CONTR</v>
      </c>
      <c r="D1786" s="2" t="str">
        <f t="shared" si="163"/>
        <v>FFCH</v>
      </c>
      <c r="E1786" s="2" t="str">
        <f>"M_IMPORTACAO"</f>
        <v>M_IMPORTACAO</v>
      </c>
      <c r="F1786" s="2" t="str">
        <f>"M_IMPORTACAO"</f>
        <v>M_IMPORTACAO</v>
      </c>
      <c r="G1786" s="2" t="str">
        <f>"Controladoria / Custos / Importação / Dw Plano Saúde / Importar (M_IMPORTACAO)"</f>
        <v>Controladoria / Custos / Importação / Dw Plano Saúde / Importar (M_IMPORTACAO)</v>
      </c>
    </row>
    <row r="1787" spans="1:7" x14ac:dyDescent="0.3">
      <c r="A1787" s="1" t="s">
        <v>4</v>
      </c>
      <c r="B1787" s="2" t="str">
        <f t="shared" si="161"/>
        <v>SISTEMA DE CUSTOS HOSPITALARES</v>
      </c>
      <c r="C1787" s="2" t="str">
        <f t="shared" si="162"/>
        <v>CONTR</v>
      </c>
      <c r="D1787" s="2" t="str">
        <f t="shared" si="163"/>
        <v>FFCH</v>
      </c>
      <c r="E1787" s="2" t="str">
        <f>"R_COMP_CUSTO_RESULT_PAC"</f>
        <v>R_COMP_CUSTO_RESULT_PAC</v>
      </c>
      <c r="F1787" s="2" t="str">
        <f>"R_COMP_CUSTO_RESULT_PAC"</f>
        <v>R_COMP_CUSTO_RESULT_PAC</v>
      </c>
      <c r="G1787" s="2" t="str">
        <f>" ()"</f>
        <v xml:space="preserve"> ()</v>
      </c>
    </row>
    <row r="1788" spans="1:7" x14ac:dyDescent="0.3">
      <c r="A1788" s="1" t="s">
        <v>4</v>
      </c>
      <c r="B1788" s="2" t="str">
        <f t="shared" si="161"/>
        <v>SISTEMA DE CUSTOS HOSPITALARES</v>
      </c>
      <c r="C1788" s="2" t="str">
        <f t="shared" si="162"/>
        <v>CONTR</v>
      </c>
      <c r="D1788" s="2" t="str">
        <f t="shared" si="163"/>
        <v>FFCH</v>
      </c>
      <c r="E1788" s="2" t="str">
        <f>"R_ANA_DESEM_SETOR_RATEIO"</f>
        <v>R_ANA_DESEM_SETOR_RATEIO</v>
      </c>
      <c r="F1788" s="2" t="str">
        <f>"R_ANA_DESEM_SETOR_RATEIO"</f>
        <v>R_ANA_DESEM_SETOR_RATEIO</v>
      </c>
      <c r="G1788" s="2" t="str">
        <f>" ()"</f>
        <v xml:space="preserve"> ()</v>
      </c>
    </row>
    <row r="1789" spans="1:7" x14ac:dyDescent="0.3">
      <c r="A1789" s="1" t="s">
        <v>4</v>
      </c>
      <c r="B1789" s="2" t="str">
        <f t="shared" si="161"/>
        <v>SISTEMA DE CUSTOS HOSPITALARES</v>
      </c>
      <c r="C1789" s="2" t="str">
        <f t="shared" si="162"/>
        <v>CONTR</v>
      </c>
      <c r="D1789" s="2" t="str">
        <f t="shared" si="163"/>
        <v>FFCH</v>
      </c>
      <c r="E1789" s="2" t="str">
        <f>"R_ANA_DESEM_SET_RAT_NEW"</f>
        <v>R_ANA_DESEM_SET_RAT_NEW</v>
      </c>
      <c r="F1789" s="2" t="str">
        <f>"R_ANA_DESEM_SET_RAT_NEW"</f>
        <v>R_ANA_DESEM_SET_RAT_NEW</v>
      </c>
      <c r="G1789" s="2" t="str">
        <f>" ()"</f>
        <v xml:space="preserve"> ()</v>
      </c>
    </row>
    <row r="1790" spans="1:7" x14ac:dyDescent="0.3">
      <c r="A1790" s="1" t="s">
        <v>4</v>
      </c>
      <c r="B1790" s="2" t="str">
        <f t="shared" si="161"/>
        <v>SISTEMA DE CUSTOS HOSPITALARES</v>
      </c>
      <c r="C1790" s="2" t="str">
        <f t="shared" si="162"/>
        <v>CONTR</v>
      </c>
      <c r="D1790" s="2" t="str">
        <f t="shared" si="163"/>
        <v>FFCH</v>
      </c>
      <c r="E1790" s="2" t="str">
        <f>"WIN_PRINCIPAL"</f>
        <v>WIN_PRINCIPAL</v>
      </c>
      <c r="F1790" s="2" t="str">
        <f>"M_TAB_SIASUS"</f>
        <v>M_TAB_SIASUS</v>
      </c>
      <c r="G1790" s="2" t="str">
        <f>"Controladoria / Custos / Configurações / Faturamento / Ambulatorial SUS / Procedimentos SUS (M_TAB_SIASUS)"</f>
        <v>Controladoria / Custos / Configurações / Faturamento / Ambulatorial SUS / Procedimentos SUS (M_TAB_SIASUS)</v>
      </c>
    </row>
    <row r="1791" spans="1:7" x14ac:dyDescent="0.3">
      <c r="A1791" s="1" t="s">
        <v>4</v>
      </c>
      <c r="B1791" s="2" t="str">
        <f t="shared" si="161"/>
        <v>SISTEMA DE CUSTOS HOSPITALARES</v>
      </c>
      <c r="C1791" s="2" t="str">
        <f t="shared" si="162"/>
        <v>CONTR</v>
      </c>
      <c r="D1791" s="2" t="str">
        <f t="shared" si="163"/>
        <v>FFCH</v>
      </c>
      <c r="E1791" s="2" t="str">
        <f>"CADASTRO: GRUPOS DE FATURAMENTO"</f>
        <v>CADASTRO: GRUPOS DE FATURAMENTO</v>
      </c>
      <c r="F1791" s="2" t="str">
        <f>"M_GRU_SSM"</f>
        <v>M_GRU_SSM</v>
      </c>
      <c r="G1791" s="2" t="str">
        <f>"Controladoria / Custos / Configurações / Faturamento / Ambulatorial SUS / Grupo de Procedimentos SUS (M_GRU_SSM)"</f>
        <v>Controladoria / Custos / Configurações / Faturamento / Ambulatorial SUS / Grupo de Procedimentos SUS (M_GRU_SSM)</v>
      </c>
    </row>
    <row r="1792" spans="1:7" x14ac:dyDescent="0.3">
      <c r="A1792" s="1" t="s">
        <v>4</v>
      </c>
      <c r="B1792" s="2" t="str">
        <f t="shared" si="161"/>
        <v>SISTEMA DE CUSTOS HOSPITALARES</v>
      </c>
      <c r="C1792" s="2" t="str">
        <f t="shared" si="162"/>
        <v>CONTR</v>
      </c>
      <c r="D1792" s="2" t="str">
        <f t="shared" si="163"/>
        <v>FFCH</v>
      </c>
      <c r="E1792" s="2" t="str">
        <f>"R_CUSTO_FINAL_PAC_OL_ANA"</f>
        <v>R_CUSTO_FINAL_PAC_OL_ANA</v>
      </c>
      <c r="F1792" s="2" t="str">
        <f>"R_CUSTO_FINAL_PAC_OL_ANA"</f>
        <v>R_CUSTO_FINAL_PAC_OL_ANA</v>
      </c>
      <c r="G1792" s="2" t="str">
        <f>" ()"</f>
        <v xml:space="preserve"> ()</v>
      </c>
    </row>
    <row r="1793" spans="1:7" x14ac:dyDescent="0.3">
      <c r="A1793" s="1" t="s">
        <v>4</v>
      </c>
      <c r="B1793" s="2" t="str">
        <f t="shared" si="161"/>
        <v>SISTEMA DE CUSTOS HOSPITALARES</v>
      </c>
      <c r="C1793" s="2" t="str">
        <f t="shared" si="162"/>
        <v>CONTR</v>
      </c>
      <c r="D1793" s="2" t="str">
        <f t="shared" si="163"/>
        <v>FFCH</v>
      </c>
      <c r="E1793" s="2" t="str">
        <f>"RELATÓRIO DE PRODUÇÃO MENSAL POR SETOR"</f>
        <v>RELATÓRIO DE PRODUÇÃO MENSAL POR SETOR</v>
      </c>
      <c r="F1793" s="2" t="str">
        <f>"R_PROD_MENSAL_CUSTO"</f>
        <v>R_PROD_MENSAL_CUSTO</v>
      </c>
      <c r="G1793" s="2" t="str">
        <f>"Controladoria / Custos / Relatórios / Produção / Custos dos Itens de Produção (R_PROD_MENSAL_CUSTO)"</f>
        <v>Controladoria / Custos / Relatórios / Produção / Custos dos Itens de Produção (R_PROD_MENSAL_CUSTO)</v>
      </c>
    </row>
    <row r="1794" spans="1:7" x14ac:dyDescent="0.3">
      <c r="A1794" s="1" t="s">
        <v>4</v>
      </c>
      <c r="B1794" s="2" t="str">
        <f t="shared" si="161"/>
        <v>SISTEMA DE CUSTOS HOSPITALARES</v>
      </c>
      <c r="C1794" s="2" t="str">
        <f t="shared" si="162"/>
        <v>CONTR</v>
      </c>
      <c r="D1794" s="2" t="str">
        <f t="shared" si="163"/>
        <v>FFCH</v>
      </c>
      <c r="E1794" s="2" t="str">
        <f>"GRUPOS DE CONTAS"</f>
        <v>GRUPOS DE CONTAS</v>
      </c>
      <c r="F1794" s="2" t="str">
        <f>"M_ITEM_RES_GASES"</f>
        <v>M_ITEM_RES_GASES</v>
      </c>
      <c r="G1794" s="2" t="str">
        <f>" ()"</f>
        <v xml:space="preserve"> ()</v>
      </c>
    </row>
    <row r="1795" spans="1:7" x14ac:dyDescent="0.3">
      <c r="A1795" s="1" t="s">
        <v>4</v>
      </c>
      <c r="B1795" s="2" t="str">
        <f t="shared" si="161"/>
        <v>SISTEMA DE CUSTOS HOSPITALARES</v>
      </c>
      <c r="C1795" s="2" t="str">
        <f t="shared" si="162"/>
        <v>CONTR</v>
      </c>
      <c r="D1795" s="2" t="str">
        <f t="shared" si="163"/>
        <v>FFCH</v>
      </c>
      <c r="E1795" s="2" t="str">
        <f>"R_CUSTO_PACIENTE_ONLINE"</f>
        <v>R_CUSTO_PACIENTE_ONLINE</v>
      </c>
      <c r="F1795" s="2" t="str">
        <f>"R_CUSTO_PACIENTE_ONLINE"</f>
        <v>R_CUSTO_PACIENTE_ONLINE</v>
      </c>
      <c r="G1795" s="2" t="str">
        <f>" ()"</f>
        <v xml:space="preserve"> ()</v>
      </c>
    </row>
    <row r="1796" spans="1:7" x14ac:dyDescent="0.3">
      <c r="A1796" s="1" t="s">
        <v>4</v>
      </c>
      <c r="B1796" s="2" t="str">
        <f t="shared" si="161"/>
        <v>SISTEMA DE CUSTOS HOSPITALARES</v>
      </c>
      <c r="C1796" s="2" t="str">
        <f t="shared" si="162"/>
        <v>CONTR</v>
      </c>
      <c r="D1796" s="2" t="str">
        <f t="shared" si="163"/>
        <v>FFCH</v>
      </c>
      <c r="E1796" s="2" t="str">
        <f>"CÁLCULO GERAL DO CUSTOS"</f>
        <v>CÁLCULO GERAL DO CUSTOS</v>
      </c>
      <c r="F1796" s="2" t="str">
        <f>"O_GERA_CALCULOS"</f>
        <v>O_GERA_CALCULOS</v>
      </c>
      <c r="G1796" s="2" t="str">
        <f>"Controladoria / Custos / Cálculos / Cálculos Geral Custos (O_GERA_CALCULOS)"</f>
        <v>Controladoria / Custos / Cálculos / Cálculos Geral Custos (O_GERA_CALCULOS)</v>
      </c>
    </row>
    <row r="1797" spans="1:7" x14ac:dyDescent="0.3">
      <c r="A1797" s="1" t="s">
        <v>4</v>
      </c>
      <c r="B1797" s="2" t="str">
        <f t="shared" si="161"/>
        <v>SISTEMA DE CUSTOS HOSPITALARES</v>
      </c>
      <c r="C1797" s="2" t="str">
        <f t="shared" si="162"/>
        <v>CONTR</v>
      </c>
      <c r="D1797" s="2" t="str">
        <f t="shared" si="163"/>
        <v>FFCH</v>
      </c>
      <c r="E1797" s="2" t="str">
        <f>"CADASTRO: ORDEM INTERNA - EMPRESA 6"</f>
        <v>CADASTRO: ORDEM INTERNA - EMPRESA 6</v>
      </c>
      <c r="F1797" s="2" t="str">
        <f>"M_CENTRO_CUSTO_ORDINT"</f>
        <v>M_CENTRO_CUSTO_ORDINT</v>
      </c>
      <c r="G1797" s="2" t="str">
        <f>"Controladoria / Custos / Tabelas / Ordem Interna (M_CENTRO_CUSTO_ORDINT)"</f>
        <v>Controladoria / Custos / Tabelas / Ordem Interna (M_CENTRO_CUSTO_ORDINT)</v>
      </c>
    </row>
    <row r="1798" spans="1:7" x14ac:dyDescent="0.3">
      <c r="A1798" s="1" t="s">
        <v>4</v>
      </c>
      <c r="B1798" s="2" t="str">
        <f t="shared" si="161"/>
        <v>SISTEMA DE CUSTOS HOSPITALARES</v>
      </c>
      <c r="C1798" s="2" t="str">
        <f t="shared" si="162"/>
        <v>CONTR</v>
      </c>
      <c r="D1798" s="2" t="str">
        <f t="shared" si="163"/>
        <v>FFCH</v>
      </c>
      <c r="E1798" s="2" t="str">
        <f>"CALC_CUS_REC_RESULTADO"</f>
        <v>CALC_CUS_REC_RESULTADO</v>
      </c>
      <c r="F1798" s="2" t="str">
        <f>"CALC_CUS_REC_RESULTADO"</f>
        <v>CALC_CUS_REC_RESULTADO</v>
      </c>
      <c r="G1798" s="2" t="str">
        <f>" ()"</f>
        <v xml:space="preserve"> ()</v>
      </c>
    </row>
    <row r="1799" spans="1:7" x14ac:dyDescent="0.3">
      <c r="A1799" s="1" t="s">
        <v>4</v>
      </c>
      <c r="B1799" s="2" t="str">
        <f t="shared" si="161"/>
        <v>SISTEMA DE CUSTOS HOSPITALARES</v>
      </c>
      <c r="C1799" s="2" t="str">
        <f t="shared" si="162"/>
        <v>CONTR</v>
      </c>
      <c r="D1799" s="2" t="str">
        <f t="shared" si="163"/>
        <v>FFCH</v>
      </c>
      <c r="E1799" s="2" t="str">
        <f>" - HOSPITAL MV SISTEMAS"</f>
        <v xml:space="preserve"> - HOSPITAL MV SISTEMAS</v>
      </c>
      <c r="F1799" s="2" t="str">
        <f>"C_IND_PRODUTIVIDADE"</f>
        <v>C_IND_PRODUTIVIDADE</v>
      </c>
      <c r="G1799" s="2" t="str">
        <f>"Controladoria / Custos / Consultas / Indicadores de Produtividade (C_IND_PRODUTIVIDADE)"</f>
        <v>Controladoria / Custos / Consultas / Indicadores de Produtividade (C_IND_PRODUTIVIDADE)</v>
      </c>
    </row>
    <row r="1800" spans="1:7" x14ac:dyDescent="0.3">
      <c r="A1800" s="1" t="s">
        <v>4</v>
      </c>
      <c r="B1800" s="2" t="str">
        <f t="shared" si="161"/>
        <v>SISTEMA DE CUSTOS HOSPITALARES</v>
      </c>
      <c r="C1800" s="2" t="str">
        <f t="shared" si="162"/>
        <v>CONTR</v>
      </c>
      <c r="D1800" s="2" t="str">
        <f t="shared" si="163"/>
        <v>FFCH</v>
      </c>
      <c r="E1800" s="2" t="str">
        <f>"WIN_PRINCIPAL"</f>
        <v>WIN_PRINCIPAL</v>
      </c>
      <c r="F1800" s="2" t="str">
        <f>"R_CUSTO_ONTIME"</f>
        <v>R_CUSTO_ONTIME</v>
      </c>
      <c r="G1800" s="2" t="str">
        <f>"Controladoria / Custos / Relatórios / Indicadores  / 'On-Time' (R_CUSTO_ONTIME)"</f>
        <v>Controladoria / Custos / Relatórios / Indicadores  / 'On-Time' (R_CUSTO_ONTIME)</v>
      </c>
    </row>
    <row r="1801" spans="1:7" x14ac:dyDescent="0.3">
      <c r="A1801" s="1" t="s">
        <v>4</v>
      </c>
      <c r="B1801" s="2" t="str">
        <f t="shared" si="161"/>
        <v>SISTEMA DE CUSTOS HOSPITALARES</v>
      </c>
      <c r="C1801" s="2" t="str">
        <f t="shared" si="162"/>
        <v>CONTR</v>
      </c>
      <c r="D1801" s="2" t="str">
        <f t="shared" si="163"/>
        <v>FFCH</v>
      </c>
      <c r="E1801" s="2" t="str">
        <f>"ORACLE FORMS RUNTIME"</f>
        <v>ORACLE FORMS RUNTIME</v>
      </c>
      <c r="F1801" s="2" t="str">
        <f>"R_IND_PRODUTIVIDADE"</f>
        <v>R_IND_PRODUTIVIDADE</v>
      </c>
      <c r="G1801" s="2" t="str">
        <f>"Controladoria / Custos / Relatórios / Indicadores  / Produtividade (R_IND_PRODUTIVIDADE)"</f>
        <v>Controladoria / Custos / Relatórios / Indicadores  / Produtividade (R_IND_PRODUTIVIDADE)</v>
      </c>
    </row>
    <row r="1802" spans="1:7" x14ac:dyDescent="0.3">
      <c r="A1802" s="1" t="s">
        <v>4</v>
      </c>
      <c r="B1802" s="2" t="str">
        <f t="shared" si="161"/>
        <v>SISTEMA DE CUSTOS HOSPITALARES</v>
      </c>
      <c r="C1802" s="2" t="str">
        <f t="shared" si="162"/>
        <v>CONTR</v>
      </c>
      <c r="D1802" s="2" t="str">
        <f t="shared" si="163"/>
        <v>FFCH</v>
      </c>
      <c r="E1802" s="2" t="str">
        <f>"M_FFCH_ITEM_PRODUCAO"</f>
        <v>M_FFCH_ITEM_PRODUCAO</v>
      </c>
      <c r="F1802" s="2" t="str">
        <f>"M_FFCH_ITEM_PRODUCAO"</f>
        <v>M_FFCH_ITEM_PRODUCAO</v>
      </c>
      <c r="G1802" s="2" t="str">
        <f>"Controladoria / Custos / Configurações / Lançamentos / Direcionadores / Unidade de Produção (M_FFCH_ITEM_PRODUCAO)"</f>
        <v>Controladoria / Custos / Configurações / Lançamentos / Direcionadores / Unidade de Produção (M_FFCH_ITEM_PRODUCAO)</v>
      </c>
    </row>
    <row r="1803" spans="1:7" x14ac:dyDescent="0.3">
      <c r="A1803" s="1" t="s">
        <v>4</v>
      </c>
      <c r="B1803" s="2" t="str">
        <f t="shared" si="161"/>
        <v>SISTEMA DE CUSTOS HOSPITALARES</v>
      </c>
      <c r="C1803" s="2" t="str">
        <f t="shared" si="162"/>
        <v>CONTR</v>
      </c>
      <c r="D1803" s="2" t="str">
        <f t="shared" si="163"/>
        <v>FFCH</v>
      </c>
      <c r="E1803" s="2" t="str">
        <f>"G_ONTIME"</f>
        <v>G_ONTIME</v>
      </c>
      <c r="F1803" s="2" t="str">
        <f>"G_ONTIME"</f>
        <v>G_ONTIME</v>
      </c>
      <c r="G1803" s="2" t="str">
        <f t="shared" ref="G1803:G1825" si="164">" ()"</f>
        <v xml:space="preserve"> ()</v>
      </c>
    </row>
    <row r="1804" spans="1:7" x14ac:dyDescent="0.3">
      <c r="A1804" s="1" t="s">
        <v>4</v>
      </c>
      <c r="B1804" s="2" t="str">
        <f t="shared" si="161"/>
        <v>SISTEMA DE CUSTOS HOSPITALARES</v>
      </c>
      <c r="C1804" s="2" t="str">
        <f t="shared" si="162"/>
        <v>CONTR</v>
      </c>
      <c r="D1804" s="2" t="str">
        <f t="shared" si="163"/>
        <v>FFCH</v>
      </c>
      <c r="E1804" s="2" t="str">
        <f>" R_REGRAS_ITEM_SETOR"</f>
        <v xml:space="preserve"> R_REGRAS_ITEM_SETOR</v>
      </c>
      <c r="F1804" s="2" t="str">
        <f>" R_REGRAS_ITEM_SETOR"</f>
        <v xml:space="preserve"> R_REGRAS_ITEM_SETOR</v>
      </c>
      <c r="G1804" s="2" t="str">
        <f t="shared" si="164"/>
        <v xml:space="preserve"> ()</v>
      </c>
    </row>
    <row r="1805" spans="1:7" x14ac:dyDescent="0.3">
      <c r="A1805" s="1" t="s">
        <v>4</v>
      </c>
      <c r="B1805" s="2" t="str">
        <f t="shared" si="161"/>
        <v>SISTEMA DE CUSTOS HOSPITALARES</v>
      </c>
      <c r="C1805" s="2" t="str">
        <f t="shared" si="162"/>
        <v>CONTR</v>
      </c>
      <c r="D1805" s="2" t="str">
        <f t="shared" si="163"/>
        <v>FFCH</v>
      </c>
      <c r="E1805" s="2" t="str">
        <f>"FFCH_RATEIO_DIST_GRAF"</f>
        <v>FFCH_RATEIO_DIST_GRAF</v>
      </c>
      <c r="F1805" s="2" t="str">
        <f>"FFCH_RATEIO_DIST_GRAF"</f>
        <v>FFCH_RATEIO_DIST_GRAF</v>
      </c>
      <c r="G1805" s="2" t="str">
        <f t="shared" si="164"/>
        <v xml:space="preserve"> ()</v>
      </c>
    </row>
    <row r="1806" spans="1:7" x14ac:dyDescent="0.3">
      <c r="A1806" s="1" t="s">
        <v>4</v>
      </c>
      <c r="B1806" s="2" t="str">
        <f t="shared" si="161"/>
        <v>SISTEMA DE CUSTOS HOSPITALARES</v>
      </c>
      <c r="C1806" s="2" t="str">
        <f t="shared" si="162"/>
        <v>CONTR</v>
      </c>
      <c r="D1806" s="2" t="str">
        <f t="shared" si="163"/>
        <v>FFCH</v>
      </c>
      <c r="E1806" s="2" t="str">
        <f>" R_COMP_EVO_CUSTOS"</f>
        <v xml:space="preserve"> R_COMP_EVO_CUSTOS</v>
      </c>
      <c r="F1806" s="2" t="str">
        <f>" R_COMP_EVO_CUSTOS"</f>
        <v xml:space="preserve"> R_COMP_EVO_CUSTOS</v>
      </c>
      <c r="G1806" s="2" t="str">
        <f t="shared" si="164"/>
        <v xml:space="preserve"> ()</v>
      </c>
    </row>
    <row r="1807" spans="1:7" x14ac:dyDescent="0.3">
      <c r="A1807" s="1" t="s">
        <v>4</v>
      </c>
      <c r="B1807" s="2" t="str">
        <f t="shared" si="161"/>
        <v>SISTEMA DE CUSTOS HOSPITALARES</v>
      </c>
      <c r="C1807" s="2" t="str">
        <f t="shared" si="162"/>
        <v>CONTR</v>
      </c>
      <c r="D1807" s="2" t="str">
        <f t="shared" si="163"/>
        <v>FFCH</v>
      </c>
      <c r="E1807" s="2" t="str">
        <f>"RATEIO_DIST_GRAF"</f>
        <v>RATEIO_DIST_GRAF</v>
      </c>
      <c r="F1807" s="2" t="str">
        <f>"RATEIO_DIST_GRAF"</f>
        <v>RATEIO_DIST_GRAF</v>
      </c>
      <c r="G1807" s="2" t="str">
        <f t="shared" si="164"/>
        <v xml:space="preserve"> ()</v>
      </c>
    </row>
    <row r="1808" spans="1:7" x14ac:dyDescent="0.3">
      <c r="A1808" s="1" t="s">
        <v>4</v>
      </c>
      <c r="B1808" s="2" t="str">
        <f t="shared" si="161"/>
        <v>SISTEMA DE CUSTOS HOSPITALARES</v>
      </c>
      <c r="C1808" s="2" t="str">
        <f t="shared" si="162"/>
        <v>CONTR</v>
      </c>
      <c r="D1808" s="2" t="str">
        <f t="shared" si="163"/>
        <v>FFCH</v>
      </c>
      <c r="E1808" s="2" t="str">
        <f>"R_RESULTADO_SETOR_N"</f>
        <v>R_RESULTADO_SETOR_N</v>
      </c>
      <c r="F1808" s="2" t="str">
        <f>"R_RESULTADO_SETOR_N"</f>
        <v>R_RESULTADO_SETOR_N</v>
      </c>
      <c r="G1808" s="2" t="str">
        <f t="shared" si="164"/>
        <v xml:space="preserve"> ()</v>
      </c>
    </row>
    <row r="1809" spans="1:7" x14ac:dyDescent="0.3">
      <c r="A1809" s="1" t="s">
        <v>4</v>
      </c>
      <c r="B1809" s="2" t="str">
        <f t="shared" si="161"/>
        <v>SISTEMA DE CUSTOS HOSPITALARES</v>
      </c>
      <c r="C1809" s="2" t="str">
        <f t="shared" si="162"/>
        <v>CONTR</v>
      </c>
      <c r="D1809" s="2" t="str">
        <f t="shared" si="163"/>
        <v>FFCH</v>
      </c>
      <c r="E1809" s="2" t="str">
        <f>"R_MARGEM_CONT_CONVENIO"</f>
        <v>R_MARGEM_CONT_CONVENIO</v>
      </c>
      <c r="F1809" s="2" t="str">
        <f>"R_MARGEM_CONT_CONVENIO"</f>
        <v>R_MARGEM_CONT_CONVENIO</v>
      </c>
      <c r="G1809" s="2" t="str">
        <f t="shared" si="164"/>
        <v xml:space="preserve"> ()</v>
      </c>
    </row>
    <row r="1810" spans="1:7" x14ac:dyDescent="0.3">
      <c r="A1810" s="1" t="s">
        <v>4</v>
      </c>
      <c r="B1810" s="2" t="str">
        <f t="shared" si="161"/>
        <v>SISTEMA DE CUSTOS HOSPITALARES</v>
      </c>
      <c r="C1810" s="2" t="str">
        <f t="shared" si="162"/>
        <v>CONTR</v>
      </c>
      <c r="D1810" s="2" t="str">
        <f t="shared" si="163"/>
        <v>FFCH</v>
      </c>
      <c r="E1810" s="2" t="str">
        <f>"R_CUSTO_ACOMODACAO_RES"</f>
        <v>R_CUSTO_ACOMODACAO_RES</v>
      </c>
      <c r="F1810" s="2" t="str">
        <f>"R_CUSTO_ACOMODACAO_RES"</f>
        <v>R_CUSTO_ACOMODACAO_RES</v>
      </c>
      <c r="G1810" s="2" t="str">
        <f t="shared" si="164"/>
        <v xml:space="preserve"> ()</v>
      </c>
    </row>
    <row r="1811" spans="1:7" x14ac:dyDescent="0.3">
      <c r="A1811" s="1" t="s">
        <v>4</v>
      </c>
      <c r="B1811" s="2" t="str">
        <f t="shared" si="161"/>
        <v>SISTEMA DE CUSTOS HOSPITALARES</v>
      </c>
      <c r="C1811" s="2" t="str">
        <f t="shared" si="162"/>
        <v>CONTR</v>
      </c>
      <c r="D1811" s="2" t="str">
        <f t="shared" si="163"/>
        <v>FFCH</v>
      </c>
      <c r="E1811" s="2" t="str">
        <f>"R_CUSTO_ACOMODACAO_FATOR"</f>
        <v>R_CUSTO_ACOMODACAO_FATOR</v>
      </c>
      <c r="F1811" s="2" t="str">
        <f>"R_CUSTO_ACOMODACAO_FATOR"</f>
        <v>R_CUSTO_ACOMODACAO_FATOR</v>
      </c>
      <c r="G1811" s="2" t="str">
        <f t="shared" si="164"/>
        <v xml:space="preserve"> ()</v>
      </c>
    </row>
    <row r="1812" spans="1:7" x14ac:dyDescent="0.3">
      <c r="A1812" s="1" t="s">
        <v>4</v>
      </c>
      <c r="B1812" s="2" t="str">
        <f t="shared" si="161"/>
        <v>SISTEMA DE CUSTOS HOSPITALARES</v>
      </c>
      <c r="C1812" s="2" t="str">
        <f t="shared" si="162"/>
        <v>CONTR</v>
      </c>
      <c r="D1812" s="2" t="str">
        <f t="shared" si="163"/>
        <v>FFCH</v>
      </c>
      <c r="E1812" s="2" t="str">
        <f>"R_ANA_CUSTO_DIARIA"</f>
        <v>R_ANA_CUSTO_DIARIA</v>
      </c>
      <c r="F1812" s="2" t="str">
        <f>"R_ANA_CUSTO_DIARIA"</f>
        <v>R_ANA_CUSTO_DIARIA</v>
      </c>
      <c r="G1812" s="2" t="str">
        <f t="shared" si="164"/>
        <v xml:space="preserve"> ()</v>
      </c>
    </row>
    <row r="1813" spans="1:7" x14ac:dyDescent="0.3">
      <c r="A1813" s="1" t="s">
        <v>4</v>
      </c>
      <c r="B1813" s="2" t="str">
        <f t="shared" si="161"/>
        <v>SISTEMA DE CUSTOS HOSPITALARES</v>
      </c>
      <c r="C1813" s="2" t="str">
        <f t="shared" si="162"/>
        <v>CONTR</v>
      </c>
      <c r="D1813" s="2" t="str">
        <f t="shared" si="163"/>
        <v>FFCH</v>
      </c>
      <c r="E1813" s="2" t="str">
        <f>"FFCH_RECEITA_SETOR_GRAF"</f>
        <v>FFCH_RECEITA_SETOR_GRAF</v>
      </c>
      <c r="F1813" s="2" t="str">
        <f>"FFCH_RECEITA_SETOR_GRAF"</f>
        <v>FFCH_RECEITA_SETOR_GRAF</v>
      </c>
      <c r="G1813" s="2" t="str">
        <f t="shared" si="164"/>
        <v xml:space="preserve"> ()</v>
      </c>
    </row>
    <row r="1814" spans="1:7" x14ac:dyDescent="0.3">
      <c r="A1814" s="1" t="s">
        <v>4</v>
      </c>
      <c r="B1814" s="2" t="str">
        <f t="shared" si="161"/>
        <v>SISTEMA DE CUSTOS HOSPITALARES</v>
      </c>
      <c r="C1814" s="2" t="str">
        <f t="shared" si="162"/>
        <v>CONTR</v>
      </c>
      <c r="D1814" s="2" t="str">
        <f t="shared" si="163"/>
        <v>FFCH</v>
      </c>
      <c r="E1814" s="2" t="str">
        <f>"TRG_ITEM_PROD_MENSAL_UNID_MENS"</f>
        <v>TRG_ITEM_PROD_MENSAL_UNID_MENS</v>
      </c>
      <c r="F1814" s="2" t="str">
        <f>"TRG_ITEM_PROD_MENSAL_UNID_MENS"</f>
        <v>TRG_ITEM_PROD_MENSAL_UNID_MENS</v>
      </c>
      <c r="G1814" s="2" t="str">
        <f t="shared" si="164"/>
        <v xml:space="preserve"> ()</v>
      </c>
    </row>
    <row r="1815" spans="1:7" x14ac:dyDescent="0.3">
      <c r="A1815" s="1" t="s">
        <v>4</v>
      </c>
      <c r="B1815" s="2" t="str">
        <f t="shared" si="161"/>
        <v>SISTEMA DE CUSTOS HOSPITALARES</v>
      </c>
      <c r="C1815" s="2" t="str">
        <f t="shared" si="162"/>
        <v>CONTR</v>
      </c>
      <c r="D1815" s="2" t="str">
        <f t="shared" si="163"/>
        <v>FFCH</v>
      </c>
      <c r="E1815" s="2" t="str">
        <f>"FFCH_CUSTO"</f>
        <v>FFCH_CUSTO</v>
      </c>
      <c r="F1815" s="2" t="str">
        <f>"FFCH_CUSTO"</f>
        <v>FFCH_CUSTO</v>
      </c>
      <c r="G1815" s="2" t="str">
        <f t="shared" si="164"/>
        <v xml:space="preserve"> ()</v>
      </c>
    </row>
    <row r="1816" spans="1:7" x14ac:dyDescent="0.3">
      <c r="A1816" s="1" t="s">
        <v>4</v>
      </c>
      <c r="B1816" s="2" t="str">
        <f t="shared" si="161"/>
        <v>SISTEMA DE CUSTOS HOSPITALARES</v>
      </c>
      <c r="C1816" s="2" t="str">
        <f t="shared" si="162"/>
        <v>CONTR</v>
      </c>
      <c r="D1816" s="2" t="str">
        <f t="shared" si="163"/>
        <v>FFCH</v>
      </c>
      <c r="E1816" s="2" t="str">
        <f>"FFCH_PIZZA"</f>
        <v>FFCH_PIZZA</v>
      </c>
      <c r="F1816" s="2" t="str">
        <f>"FFCH_PIZZA"</f>
        <v>FFCH_PIZZA</v>
      </c>
      <c r="G1816" s="2" t="str">
        <f t="shared" si="164"/>
        <v xml:space="preserve"> ()</v>
      </c>
    </row>
    <row r="1817" spans="1:7" x14ac:dyDescent="0.3">
      <c r="A1817" s="1" t="s">
        <v>4</v>
      </c>
      <c r="B1817" s="2" t="str">
        <f t="shared" si="161"/>
        <v>SISTEMA DE CUSTOS HOSPITALARES</v>
      </c>
      <c r="C1817" s="2" t="str">
        <f t="shared" si="162"/>
        <v>CONTR</v>
      </c>
      <c r="D1817" s="2" t="str">
        <f t="shared" si="163"/>
        <v>FFCH</v>
      </c>
      <c r="E1817" s="2" t="str">
        <f>"V_COMPUTO_PACIENTE"</f>
        <v>V_COMPUTO_PACIENTE</v>
      </c>
      <c r="F1817" s="2" t="str">
        <f>"V_COMPUTO_PACIENTE"</f>
        <v>V_COMPUTO_PACIENTE</v>
      </c>
      <c r="G1817" s="2" t="str">
        <f t="shared" si="164"/>
        <v xml:space="preserve"> ()</v>
      </c>
    </row>
    <row r="1818" spans="1:7" x14ac:dyDescent="0.3">
      <c r="A1818" s="1" t="s">
        <v>4</v>
      </c>
      <c r="B1818" s="2" t="str">
        <f t="shared" si="161"/>
        <v>SISTEMA DE CUSTOS HOSPITALARES</v>
      </c>
      <c r="C1818" s="2" t="str">
        <f t="shared" si="162"/>
        <v>CONTR</v>
      </c>
      <c r="D1818" s="2" t="str">
        <f t="shared" si="163"/>
        <v>FFCH</v>
      </c>
      <c r="E1818" s="2" t="str">
        <f>"RC_OXIGENIO"</f>
        <v>RC_OXIGENIO</v>
      </c>
      <c r="F1818" s="2" t="str">
        <f>"RC_OXIGENIO"</f>
        <v>RC_OXIGENIO</v>
      </c>
      <c r="G1818" s="2" t="str">
        <f t="shared" si="164"/>
        <v xml:space="preserve"> ()</v>
      </c>
    </row>
    <row r="1819" spans="1:7" x14ac:dyDescent="0.3">
      <c r="A1819" s="1" t="s">
        <v>4</v>
      </c>
      <c r="B1819" s="2" t="str">
        <f t="shared" si="161"/>
        <v>SISTEMA DE CUSTOS HOSPITALARES</v>
      </c>
      <c r="C1819" s="2" t="str">
        <f t="shared" si="162"/>
        <v>CONTR</v>
      </c>
      <c r="D1819" s="2" t="str">
        <f t="shared" si="163"/>
        <v>FFCH</v>
      </c>
      <c r="E1819" s="2" t="str">
        <f>"RC_ITENS_FATURADOS"</f>
        <v>RC_ITENS_FATURADOS</v>
      </c>
      <c r="F1819" s="2" t="str">
        <f>"RC_ITENS_FATURADOS"</f>
        <v>RC_ITENS_FATURADOS</v>
      </c>
      <c r="G1819" s="2" t="str">
        <f t="shared" si="164"/>
        <v xml:space="preserve"> ()</v>
      </c>
    </row>
    <row r="1820" spans="1:7" x14ac:dyDescent="0.3">
      <c r="A1820" s="1" t="s">
        <v>4</v>
      </c>
      <c r="B1820" s="2" t="str">
        <f t="shared" si="161"/>
        <v>SISTEMA DE CUSTOS HOSPITALARES</v>
      </c>
      <c r="C1820" s="2" t="str">
        <f t="shared" si="162"/>
        <v>CONTR</v>
      </c>
      <c r="D1820" s="2" t="str">
        <f t="shared" si="163"/>
        <v>FFCH</v>
      </c>
      <c r="E1820" s="2" t="str">
        <f>"RC_DIARIAS_UTILIZADAS"</f>
        <v>RC_DIARIAS_UTILIZADAS</v>
      </c>
      <c r="F1820" s="2" t="str">
        <f>"RC_DIARIAS_UTILIZADAS"</f>
        <v>RC_DIARIAS_UTILIZADAS</v>
      </c>
      <c r="G1820" s="2" t="str">
        <f t="shared" si="164"/>
        <v xml:space="preserve"> ()</v>
      </c>
    </row>
    <row r="1821" spans="1:7" x14ac:dyDescent="0.3">
      <c r="A1821" s="1" t="s">
        <v>4</v>
      </c>
      <c r="B1821" s="2" t="str">
        <f t="shared" si="161"/>
        <v>SISTEMA DE CUSTOS HOSPITALARES</v>
      </c>
      <c r="C1821" s="2" t="str">
        <f t="shared" si="162"/>
        <v>CONTR</v>
      </c>
      <c r="D1821" s="2" t="str">
        <f t="shared" si="163"/>
        <v>FFCH</v>
      </c>
      <c r="E1821" s="2" t="str">
        <f>"CALC_CUSTO_DIARIA"</f>
        <v>CALC_CUSTO_DIARIA</v>
      </c>
      <c r="F1821" s="2" t="str">
        <f>"CALC_CUSTO_DIARIA"</f>
        <v>CALC_CUSTO_DIARIA</v>
      </c>
      <c r="G1821" s="2" t="str">
        <f t="shared" si="164"/>
        <v xml:space="preserve"> ()</v>
      </c>
    </row>
    <row r="1822" spans="1:7" x14ac:dyDescent="0.3">
      <c r="A1822" s="1" t="s">
        <v>4</v>
      </c>
      <c r="B1822" s="2" t="str">
        <f t="shared" si="161"/>
        <v>SISTEMA DE CUSTOS HOSPITALARES</v>
      </c>
      <c r="C1822" s="2" t="str">
        <f t="shared" si="162"/>
        <v>CONTR</v>
      </c>
      <c r="D1822" s="2" t="str">
        <f t="shared" si="163"/>
        <v>FFCH</v>
      </c>
      <c r="E1822" s="2" t="str">
        <f>"R_CUSTO_DIARIA_GRAF"</f>
        <v>R_CUSTO_DIARIA_GRAF</v>
      </c>
      <c r="F1822" s="2" t="str">
        <f>"R_CUSTO_DIARIA_GRAF"</f>
        <v>R_CUSTO_DIARIA_GRAF</v>
      </c>
      <c r="G1822" s="2" t="str">
        <f t="shared" si="164"/>
        <v xml:space="preserve"> ()</v>
      </c>
    </row>
    <row r="1823" spans="1:7" x14ac:dyDescent="0.3">
      <c r="A1823" s="1" t="s">
        <v>4</v>
      </c>
      <c r="B1823" s="2" t="str">
        <f t="shared" si="161"/>
        <v>SISTEMA DE CUSTOS HOSPITALARES</v>
      </c>
      <c r="C1823" s="2" t="str">
        <f t="shared" si="162"/>
        <v>CONTR</v>
      </c>
      <c r="D1823" s="2" t="str">
        <f t="shared" si="163"/>
        <v>FFCH</v>
      </c>
      <c r="E1823" s="2" t="str">
        <f>"R_CUSTEIO_ABSORCAO_1"</f>
        <v>R_CUSTEIO_ABSORCAO_1</v>
      </c>
      <c r="F1823" s="2" t="str">
        <f>"R_CUSTEIO_ABSORCAO_1"</f>
        <v>R_CUSTEIO_ABSORCAO_1</v>
      </c>
      <c r="G1823" s="2" t="str">
        <f t="shared" si="164"/>
        <v xml:space="preserve"> ()</v>
      </c>
    </row>
    <row r="1824" spans="1:7" x14ac:dyDescent="0.3">
      <c r="A1824" s="1" t="s">
        <v>4</v>
      </c>
      <c r="B1824" s="2" t="str">
        <f t="shared" si="161"/>
        <v>SISTEMA DE CUSTOS HOSPITALARES</v>
      </c>
      <c r="C1824" s="2" t="str">
        <f t="shared" si="162"/>
        <v>CONTR</v>
      </c>
      <c r="D1824" s="2" t="str">
        <f t="shared" si="163"/>
        <v>FFCH</v>
      </c>
      <c r="E1824" s="2" t="str">
        <f>"R_CUSTEIO_ABSORCAO"</f>
        <v>R_CUSTEIO_ABSORCAO</v>
      </c>
      <c r="F1824" s="2" t="str">
        <f>"R_CUSTEIO_ABSORCAO"</f>
        <v>R_CUSTEIO_ABSORCAO</v>
      </c>
      <c r="G1824" s="2" t="str">
        <f t="shared" si="164"/>
        <v xml:space="preserve"> ()</v>
      </c>
    </row>
    <row r="1825" spans="1:7" x14ac:dyDescent="0.3">
      <c r="A1825" s="1" t="s">
        <v>4</v>
      </c>
      <c r="B1825" s="2" t="str">
        <f t="shared" si="161"/>
        <v>SISTEMA DE CUSTOS HOSPITALARES</v>
      </c>
      <c r="C1825" s="2" t="str">
        <f t="shared" si="162"/>
        <v>CONTR</v>
      </c>
      <c r="D1825" s="2" t="str">
        <f t="shared" si="163"/>
        <v>FFCH</v>
      </c>
      <c r="E1825" s="2" t="str">
        <f>"R_CONTRIBUICAO_CONVENIO"</f>
        <v>R_CONTRIBUICAO_CONVENIO</v>
      </c>
      <c r="F1825" s="2" t="str">
        <f>"R_CONTRIBUICAO_CONVENIO"</f>
        <v>R_CONTRIBUICAO_CONVENIO</v>
      </c>
      <c r="G1825" s="2" t="str">
        <f t="shared" si="164"/>
        <v xml:space="preserve"> ()</v>
      </c>
    </row>
    <row r="1826" spans="1:7" x14ac:dyDescent="0.3">
      <c r="A1826" s="1" t="s">
        <v>4</v>
      </c>
      <c r="B1826" s="2" t="str">
        <f t="shared" si="161"/>
        <v>SISTEMA DE CUSTOS HOSPITALARES</v>
      </c>
      <c r="C1826" s="2" t="str">
        <f t="shared" si="162"/>
        <v>CONTR</v>
      </c>
      <c r="D1826" s="2" t="str">
        <f t="shared" si="163"/>
        <v>FFCH</v>
      </c>
      <c r="E1826" s="2" t="str">
        <f>"R_ANA_MRG_CONT_CONS"</f>
        <v>R_ANA_MRG_CONT_CONS</v>
      </c>
      <c r="F1826" s="2" t="str">
        <f>"R_ANA_MRG_CONT_CONS"</f>
        <v>R_ANA_MRG_CONT_CONS</v>
      </c>
      <c r="G1826" s="2" t="str">
        <f>"Controladoria / Custos / Relatórios / Análise da Margem de Contribuição dos Atendimentos / Consolidado (R_ANA_MRG_CONT_CONS)"</f>
        <v>Controladoria / Custos / Relatórios / Análise da Margem de Contribuição dos Atendimentos / Consolidado (R_ANA_MRG_CONT_CONS)</v>
      </c>
    </row>
    <row r="1827" spans="1:7" x14ac:dyDescent="0.3">
      <c r="A1827" s="1" t="s">
        <v>4</v>
      </c>
      <c r="B1827" s="2" t="str">
        <f t="shared" si="161"/>
        <v>SISTEMA DE CUSTOS HOSPITALARES</v>
      </c>
      <c r="C1827" s="2" t="str">
        <f t="shared" si="162"/>
        <v>CONTR</v>
      </c>
      <c r="D1827" s="2" t="str">
        <f t="shared" si="163"/>
        <v>FFCH</v>
      </c>
      <c r="E1827" s="2" t="str">
        <f>"R_ANA_RESULTADO_ATENDIME_MARG"</f>
        <v>R_ANA_RESULTADO_ATENDIME_MARG</v>
      </c>
      <c r="F1827" s="2" t="str">
        <f>"R_ANA_RESULTADO_ATENDIME_MARG"</f>
        <v>R_ANA_RESULTADO_ATENDIME_MARG</v>
      </c>
      <c r="G1827" s="2" t="str">
        <f>"Controladoria / Custos / Relatórios / Análise da Margem de Contribuição dos Atendimentos / On Line (R_ANA_RESULTADO_ATENDIME_MARG)"</f>
        <v>Controladoria / Custos / Relatórios / Análise da Margem de Contribuição dos Atendimentos / On Line (R_ANA_RESULTADO_ATENDIME_MARG)</v>
      </c>
    </row>
    <row r="1828" spans="1:7" x14ac:dyDescent="0.3">
      <c r="A1828" s="1" t="s">
        <v>4</v>
      </c>
      <c r="B1828" s="2" t="str">
        <f t="shared" si="161"/>
        <v>SISTEMA DE CUSTOS HOSPITALARES</v>
      </c>
      <c r="C1828" s="2" t="str">
        <f t="shared" si="162"/>
        <v>CONTR</v>
      </c>
      <c r="D1828" s="2" t="str">
        <f t="shared" si="163"/>
        <v>FFCH</v>
      </c>
      <c r="E1828" s="2" t="str">
        <f>"G_CUSTO_ONTIME"</f>
        <v>G_CUSTO_ONTIME</v>
      </c>
      <c r="F1828" s="2" t="str">
        <f>"G_CUSTO_ONTIME"</f>
        <v>G_CUSTO_ONTIME</v>
      </c>
      <c r="G1828" s="2" t="str">
        <f t="shared" ref="G1828:G1856" si="165">" ()"</f>
        <v xml:space="preserve"> ()</v>
      </c>
    </row>
    <row r="1829" spans="1:7" x14ac:dyDescent="0.3">
      <c r="A1829" s="1" t="s">
        <v>4</v>
      </c>
      <c r="B1829" s="2" t="str">
        <f t="shared" si="161"/>
        <v>SISTEMA DE CUSTOS HOSPITALARES</v>
      </c>
      <c r="C1829" s="2" t="str">
        <f t="shared" si="162"/>
        <v>CONTR</v>
      </c>
      <c r="D1829" s="2" t="str">
        <f t="shared" si="163"/>
        <v>FFCH</v>
      </c>
      <c r="E1829" s="2" t="str">
        <f>"R_GRUPO_PROCEDIMENTO"</f>
        <v>R_GRUPO_PROCEDIMENTO</v>
      </c>
      <c r="F1829" s="2" t="str">
        <f>"R_GRUPO_PROCEDIMENTO"</f>
        <v>R_GRUPO_PROCEDIMENTO</v>
      </c>
      <c r="G1829" s="2" t="str">
        <f t="shared" si="165"/>
        <v xml:space="preserve"> ()</v>
      </c>
    </row>
    <row r="1830" spans="1:7" x14ac:dyDescent="0.3">
      <c r="A1830" s="1" t="s">
        <v>4</v>
      </c>
      <c r="B1830" s="2" t="str">
        <f t="shared" si="161"/>
        <v>SISTEMA DE CUSTOS HOSPITALARES</v>
      </c>
      <c r="C1830" s="2" t="str">
        <f t="shared" si="162"/>
        <v>CONTR</v>
      </c>
      <c r="D1830" s="2" t="str">
        <f t="shared" si="163"/>
        <v>FFCH</v>
      </c>
      <c r="E1830" s="2" t="str">
        <f>"R_DIRECIONADOR"</f>
        <v>R_DIRECIONADOR</v>
      </c>
      <c r="F1830" s="2" t="str">
        <f>"R_DIRECIONADOR"</f>
        <v>R_DIRECIONADOR</v>
      </c>
      <c r="G1830" s="2" t="str">
        <f t="shared" si="165"/>
        <v xml:space="preserve"> ()</v>
      </c>
    </row>
    <row r="1831" spans="1:7" x14ac:dyDescent="0.3">
      <c r="A1831" s="1" t="s">
        <v>4</v>
      </c>
      <c r="B1831" s="2" t="str">
        <f t="shared" si="161"/>
        <v>SISTEMA DE CUSTOS HOSPITALARES</v>
      </c>
      <c r="C1831" s="2" t="str">
        <f t="shared" si="162"/>
        <v>CONTR</v>
      </c>
      <c r="D1831" s="2" t="str">
        <f t="shared" si="163"/>
        <v>FFCH</v>
      </c>
      <c r="E1831" s="2" t="str">
        <f>"REL PRODUÇÃO MENSAL GRUPO CUSTOS"</f>
        <v>REL PRODUÇÃO MENSAL GRUPO CUSTOS</v>
      </c>
      <c r="F1831" s="2" t="str">
        <f>"R_PROD_MENSAL_CUSTOS.RDF"</f>
        <v>R_PROD_MENSAL_CUSTOS.RDF</v>
      </c>
      <c r="G1831" s="2" t="str">
        <f t="shared" si="165"/>
        <v xml:space="preserve"> ()</v>
      </c>
    </row>
    <row r="1832" spans="1:7" x14ac:dyDescent="0.3">
      <c r="A1832" s="1" t="s">
        <v>4</v>
      </c>
      <c r="B1832" s="2" t="str">
        <f t="shared" si="161"/>
        <v>SISTEMA DE CUSTOS HOSPITALARES</v>
      </c>
      <c r="C1832" s="2" t="str">
        <f t="shared" si="162"/>
        <v>CONTR</v>
      </c>
      <c r="D1832" s="2" t="str">
        <f t="shared" si="163"/>
        <v>FFCH</v>
      </c>
      <c r="E1832" s="2" t="str">
        <f>"REL CUSTOS DOS ITENS DE PRDUÇÃO"</f>
        <v>REL CUSTOS DOS ITENS DE PRDUÇÃO</v>
      </c>
      <c r="F1832" s="2" t="str">
        <f>"R_PROD_MENSAL_CUSTO.RDF"</f>
        <v>R_PROD_MENSAL_CUSTO.RDF</v>
      </c>
      <c r="G1832" s="2" t="str">
        <f t="shared" si="165"/>
        <v xml:space="preserve"> ()</v>
      </c>
    </row>
    <row r="1833" spans="1:7" x14ac:dyDescent="0.3">
      <c r="A1833" s="1" t="s">
        <v>4</v>
      </c>
      <c r="B1833" s="2" t="str">
        <f t="shared" si="161"/>
        <v>SISTEMA DE CUSTOS HOSPITALARES</v>
      </c>
      <c r="C1833" s="2" t="str">
        <f t="shared" si="162"/>
        <v>CONTR</v>
      </c>
      <c r="D1833" s="2" t="str">
        <f t="shared" si="163"/>
        <v>FFCH</v>
      </c>
      <c r="E1833" s="2" t="str">
        <f>"R_ANALISE_DESEMPENHO_OLD"</f>
        <v>R_ANALISE_DESEMPENHO_OLD</v>
      </c>
      <c r="F1833" s="2" t="str">
        <f>"R_ANALISE_DESEMPENHO_OLD"</f>
        <v>R_ANALISE_DESEMPENHO_OLD</v>
      </c>
      <c r="G1833" s="2" t="str">
        <f t="shared" si="165"/>
        <v xml:space="preserve"> ()</v>
      </c>
    </row>
    <row r="1834" spans="1:7" x14ac:dyDescent="0.3">
      <c r="A1834" s="1" t="s">
        <v>4</v>
      </c>
      <c r="B1834" s="2" t="str">
        <f t="shared" si="161"/>
        <v>SISTEMA DE CUSTOS HOSPITALARES</v>
      </c>
      <c r="C1834" s="2" t="str">
        <f t="shared" si="162"/>
        <v>CONTR</v>
      </c>
      <c r="D1834" s="2" t="str">
        <f t="shared" si="163"/>
        <v>FFCH</v>
      </c>
      <c r="E1834" s="2" t="str">
        <f>"R_MAPA_CUS_PRI_GRUPO"</f>
        <v>R_MAPA_CUS_PRI_GRUPO</v>
      </c>
      <c r="F1834" s="2" t="str">
        <f>"R_MAPA_CUS_PRI_GRUPO"</f>
        <v>R_MAPA_CUS_PRI_GRUPO</v>
      </c>
      <c r="G1834" s="2" t="str">
        <f t="shared" si="165"/>
        <v xml:space="preserve"> ()</v>
      </c>
    </row>
    <row r="1835" spans="1:7" x14ac:dyDescent="0.3">
      <c r="A1835" s="1" t="s">
        <v>4</v>
      </c>
      <c r="B1835" s="2" t="str">
        <f t="shared" si="161"/>
        <v>SISTEMA DE CUSTOS HOSPITALARES</v>
      </c>
      <c r="C1835" s="2" t="str">
        <f t="shared" si="162"/>
        <v>CONTR</v>
      </c>
      <c r="D1835" s="2" t="str">
        <f t="shared" si="163"/>
        <v>FFCH</v>
      </c>
      <c r="E1835" s="2" t="str">
        <f>"REL ANÁLISE MARGEM CONTRIBUIÇÃO"</f>
        <v>REL ANÁLISE MARGEM CONTRIBUIÇÃO</v>
      </c>
      <c r="F1835" s="2" t="str">
        <f>"R_ANA_MRG_CONT_CONS.RDF"</f>
        <v>R_ANA_MRG_CONT_CONS.RDF</v>
      </c>
      <c r="G1835" s="2" t="str">
        <f t="shared" si="165"/>
        <v xml:space="preserve"> ()</v>
      </c>
    </row>
    <row r="1836" spans="1:7" x14ac:dyDescent="0.3">
      <c r="A1836" s="1" t="s">
        <v>4</v>
      </c>
      <c r="B1836" s="2" t="str">
        <f t="shared" si="161"/>
        <v>SISTEMA DE CUSTOS HOSPITALARES</v>
      </c>
      <c r="C1836" s="2" t="str">
        <f t="shared" si="162"/>
        <v>CONTR</v>
      </c>
      <c r="D1836" s="2" t="str">
        <f t="shared" si="163"/>
        <v>FFCH</v>
      </c>
      <c r="E1836" s="2" t="str">
        <f>"REL RESULTADO TRATAMENTO POR ATENDIMENTO"</f>
        <v>REL RESULTADO TRATAMENTO POR ATENDIMENTO</v>
      </c>
      <c r="F1836" s="2" t="str">
        <f>"R_RESULT_TRAT_ATEND.RDF"</f>
        <v>R_RESULT_TRAT_ATEND.RDF</v>
      </c>
      <c r="G1836" s="2" t="str">
        <f t="shared" si="165"/>
        <v xml:space="preserve"> ()</v>
      </c>
    </row>
    <row r="1837" spans="1:7" x14ac:dyDescent="0.3">
      <c r="A1837" s="1" t="s">
        <v>4</v>
      </c>
      <c r="B1837" s="2" t="str">
        <f t="shared" si="161"/>
        <v>SISTEMA DE CUSTOS HOSPITALARES</v>
      </c>
      <c r="C1837" s="2" t="str">
        <f t="shared" si="162"/>
        <v>CONTR</v>
      </c>
      <c r="D1837" s="2" t="str">
        <f t="shared" si="163"/>
        <v>FFCH</v>
      </c>
      <c r="E1837" s="2" t="str">
        <f>"REL RESULTADO POR ATENDIMENTO REAL TIME"</f>
        <v>REL RESULTADO POR ATENDIMENTO REAL TIME</v>
      </c>
      <c r="F1837" s="2" t="str">
        <f>"R_CUSTO_FINAL_PAC_OL.RDF"</f>
        <v>R_CUSTO_FINAL_PAC_OL.RDF</v>
      </c>
      <c r="G1837" s="2" t="str">
        <f t="shared" si="165"/>
        <v xml:space="preserve"> ()</v>
      </c>
    </row>
    <row r="1838" spans="1:7" x14ac:dyDescent="0.3">
      <c r="A1838" s="1" t="s">
        <v>4</v>
      </c>
      <c r="B1838" s="2" t="str">
        <f t="shared" si="161"/>
        <v>SISTEMA DE CUSTOS HOSPITALARES</v>
      </c>
      <c r="C1838" s="2" t="str">
        <f t="shared" si="162"/>
        <v>CONTR</v>
      </c>
      <c r="D1838" s="2" t="str">
        <f t="shared" si="163"/>
        <v>FFCH</v>
      </c>
      <c r="E1838" s="2" t="str">
        <f>"RELATÓRIO POR ATENDIMENTO ON-LINE"</f>
        <v>RELATÓRIO POR ATENDIMENTO ON-LINE</v>
      </c>
      <c r="F1838" s="2" t="str">
        <f>"R_CUSTO_FINAL_PACIENTE.RDF"</f>
        <v>R_CUSTO_FINAL_PACIENTE.RDF</v>
      </c>
      <c r="G1838" s="2" t="str">
        <f t="shared" si="165"/>
        <v xml:space="preserve"> ()</v>
      </c>
    </row>
    <row r="1839" spans="1:7" x14ac:dyDescent="0.3">
      <c r="A1839" s="1" t="s">
        <v>4</v>
      </c>
      <c r="B1839" s="2" t="str">
        <f t="shared" si="161"/>
        <v>SISTEMA DE CUSTOS HOSPITALARES</v>
      </c>
      <c r="C1839" s="2" t="str">
        <f t="shared" si="162"/>
        <v>CONTR</v>
      </c>
      <c r="D1839" s="2" t="str">
        <f t="shared" si="163"/>
        <v>FFCH</v>
      </c>
      <c r="E1839" s="2" t="str">
        <f>"REL ANA RESULTADOS ATEND/TRATAMENTO"</f>
        <v>REL ANA RESULTADOS ATEND/TRATAMENTO</v>
      </c>
      <c r="F1839" s="2" t="str">
        <f>"R_ANA_TRAT_ATEND.RDF"</f>
        <v>R_ANA_TRAT_ATEND.RDF</v>
      </c>
      <c r="G1839" s="2" t="str">
        <f t="shared" si="165"/>
        <v xml:space="preserve"> ()</v>
      </c>
    </row>
    <row r="1840" spans="1:7" x14ac:dyDescent="0.3">
      <c r="A1840" s="1" t="s">
        <v>4</v>
      </c>
      <c r="B1840" s="2" t="str">
        <f t="shared" si="161"/>
        <v>SISTEMA DE CUSTOS HOSPITALARES</v>
      </c>
      <c r="C1840" s="2" t="str">
        <f t="shared" si="162"/>
        <v>CONTR</v>
      </c>
      <c r="D1840" s="2" t="str">
        <f t="shared" si="163"/>
        <v>FFCH</v>
      </c>
      <c r="E1840" s="2" t="str">
        <f>"REL ANÁLISE RESUL ATENDIMENTO ON-LINE"</f>
        <v>REL ANÁLISE RESUL ATENDIMENTO ON-LINE</v>
      </c>
      <c r="F1840" s="2" t="str">
        <f>"R_ANA_RESULTADO_ATENDIME.RDF"</f>
        <v>R_ANA_RESULTADO_ATENDIME.RDF</v>
      </c>
      <c r="G1840" s="2" t="str">
        <f t="shared" si="165"/>
        <v xml:space="preserve"> ()</v>
      </c>
    </row>
    <row r="1841" spans="1:7" x14ac:dyDescent="0.3">
      <c r="A1841" s="1" t="s">
        <v>4</v>
      </c>
      <c r="B1841" s="2" t="str">
        <f t="shared" si="161"/>
        <v>SISTEMA DE CUSTOS HOSPITALARES</v>
      </c>
      <c r="C1841" s="2" t="str">
        <f t="shared" si="162"/>
        <v>CONTR</v>
      </c>
      <c r="D1841" s="2" t="str">
        <f t="shared" si="163"/>
        <v>FFCH</v>
      </c>
      <c r="E1841" s="2" t="str">
        <f>"REL ANÁLISE CONSOLIDADO ATENDIMENTOS"</f>
        <v>REL ANÁLISE CONSOLIDADO ATENDIMENTOS</v>
      </c>
      <c r="F1841" s="2" t="str">
        <f>"R_ANA_RES_TRAT.RDF"</f>
        <v>R_ANA_RES_TRAT.RDF</v>
      </c>
      <c r="G1841" s="2" t="str">
        <f t="shared" si="165"/>
        <v xml:space="preserve"> ()</v>
      </c>
    </row>
    <row r="1842" spans="1:7" x14ac:dyDescent="0.3">
      <c r="A1842" s="1" t="s">
        <v>4</v>
      </c>
      <c r="B1842" s="2" t="str">
        <f t="shared" si="161"/>
        <v>SISTEMA DE CUSTOS HOSPITALARES</v>
      </c>
      <c r="C1842" s="2" t="str">
        <f t="shared" si="162"/>
        <v>CONTR</v>
      </c>
      <c r="D1842" s="2" t="str">
        <f t="shared" si="163"/>
        <v>FFCH</v>
      </c>
      <c r="E1842" s="2" t="str">
        <f>"REL ANÁLISE MARGEM CONTIBUIÇÃO - ON LINE"</f>
        <v>REL ANÁLISE MARGEM CONTIBUIÇÃO - ON LINE</v>
      </c>
      <c r="F1842" s="2" t="str">
        <f>"R_ANA_RESULTADO_ATENDIME_MARG.RDF"</f>
        <v>R_ANA_RESULTADO_ATENDIME_MARG.RDF</v>
      </c>
      <c r="G1842" s="2" t="str">
        <f t="shared" si="165"/>
        <v xml:space="preserve"> ()</v>
      </c>
    </row>
    <row r="1843" spans="1:7" x14ac:dyDescent="0.3">
      <c r="A1843" s="1" t="s">
        <v>4</v>
      </c>
      <c r="B1843" s="2" t="str">
        <f t="shared" si="161"/>
        <v>SISTEMA DE CUSTOS HOSPITALARES</v>
      </c>
      <c r="C1843" s="2" t="str">
        <f t="shared" si="162"/>
        <v>CONTR</v>
      </c>
      <c r="D1843" s="2" t="str">
        <f t="shared" si="163"/>
        <v>FFCH</v>
      </c>
      <c r="E1843" s="2" t="str">
        <f>"M_REGRA_SUS"</f>
        <v>M_REGRA_SUS</v>
      </c>
      <c r="F1843" s="2" t="str">
        <f>"M_REGRA_SUS"</f>
        <v>M_REGRA_SUS</v>
      </c>
      <c r="G1843" s="2" t="str">
        <f t="shared" si="165"/>
        <v xml:space="preserve"> ()</v>
      </c>
    </row>
    <row r="1844" spans="1:7" x14ac:dyDescent="0.3">
      <c r="A1844" s="1" t="s">
        <v>4</v>
      </c>
      <c r="B1844" s="2" t="str">
        <f t="shared" si="161"/>
        <v>SISTEMA DE CUSTOS HOSPITALARES</v>
      </c>
      <c r="C1844" s="2" t="str">
        <f t="shared" si="162"/>
        <v>CONTR</v>
      </c>
      <c r="D1844" s="2" t="str">
        <f t="shared" si="163"/>
        <v>FFCH</v>
      </c>
      <c r="E1844" s="2" t="str">
        <f>"REL CUSTO TEMPO SALA"</f>
        <v>REL CUSTO TEMPO SALA</v>
      </c>
      <c r="F1844" s="2" t="str">
        <f>"R_SINTETICO_CENCIR.RDF"</f>
        <v>R_SINTETICO_CENCIR.RDF</v>
      </c>
      <c r="G1844" s="2" t="str">
        <f t="shared" si="165"/>
        <v xml:space="preserve"> ()</v>
      </c>
    </row>
    <row r="1845" spans="1:7" x14ac:dyDescent="0.3">
      <c r="A1845" s="1" t="s">
        <v>4</v>
      </c>
      <c r="B1845" s="2" t="str">
        <f t="shared" ref="B1845:B1861" si="166">"SISTEMA DE CUSTOS HOSPITALARES"</f>
        <v>SISTEMA DE CUSTOS HOSPITALARES</v>
      </c>
      <c r="C1845" s="2" t="str">
        <f t="shared" ref="C1845:C1861" si="167">"CONTR"</f>
        <v>CONTR</v>
      </c>
      <c r="D1845" s="2" t="str">
        <f t="shared" ref="D1845:D1861" si="168">"FFCH"</f>
        <v>FFCH</v>
      </c>
      <c r="E1845" s="2" t="str">
        <f>"RELATÓRIO CUSTO TEMPO CIRURGIA REALZIADA"</f>
        <v>RELATÓRIO CUSTO TEMPO CIRURGIA REALZIADA</v>
      </c>
      <c r="F1845" s="2" t="str">
        <f>"R_ANALISE_CUSTO_CENCIR.RDF"</f>
        <v>R_ANALISE_CUSTO_CENCIR.RDF</v>
      </c>
      <c r="G1845" s="2" t="str">
        <f t="shared" si="165"/>
        <v xml:space="preserve"> ()</v>
      </c>
    </row>
    <row r="1846" spans="1:7" x14ac:dyDescent="0.3">
      <c r="A1846" s="1" t="s">
        <v>4</v>
      </c>
      <c r="B1846" s="2" t="str">
        <f t="shared" si="166"/>
        <v>SISTEMA DE CUSTOS HOSPITALARES</v>
      </c>
      <c r="C1846" s="2" t="str">
        <f t="shared" si="167"/>
        <v>CONTR</v>
      </c>
      <c r="D1846" s="2" t="str">
        <f t="shared" si="168"/>
        <v>FFCH</v>
      </c>
      <c r="E1846" s="2" t="str">
        <f>"REL CUSTOS DAS ACOMODAÇÕES"</f>
        <v>REL CUSTOS DAS ACOMODAÇÕES</v>
      </c>
      <c r="F1846" s="2" t="str">
        <f>"R_CUSTO_ACOMODACAO_ESPEC.RDF"</f>
        <v>R_CUSTO_ACOMODACAO_ESPEC.RDF</v>
      </c>
      <c r="G1846" s="2" t="str">
        <f t="shared" si="165"/>
        <v xml:space="preserve"> ()</v>
      </c>
    </row>
    <row r="1847" spans="1:7" x14ac:dyDescent="0.3">
      <c r="A1847" s="1" t="s">
        <v>4</v>
      </c>
      <c r="B1847" s="2" t="str">
        <f t="shared" si="166"/>
        <v>SISTEMA DE CUSTOS HOSPITALARES</v>
      </c>
      <c r="C1847" s="2" t="str">
        <f t="shared" si="167"/>
        <v>CONTR</v>
      </c>
      <c r="D1847" s="2" t="str">
        <f t="shared" si="168"/>
        <v>FFCH</v>
      </c>
      <c r="E1847" s="2" t="str">
        <f>"REL APURAÇÃO CUSTOS DOS PROCEDIMENTOS"</f>
        <v>REL APURAÇÃO CUSTOS DOS PROCEDIMENTOS</v>
      </c>
      <c r="F1847" s="2" t="str">
        <f>"R_APURACAO_CUSTOS_PROCED.RDF"</f>
        <v>R_APURACAO_CUSTOS_PROCED.RDF</v>
      </c>
      <c r="G1847" s="2" t="str">
        <f t="shared" si="165"/>
        <v xml:space="preserve"> ()</v>
      </c>
    </row>
    <row r="1848" spans="1:7" x14ac:dyDescent="0.3">
      <c r="A1848" s="1" t="s">
        <v>4</v>
      </c>
      <c r="B1848" s="2" t="str">
        <f t="shared" si="166"/>
        <v>SISTEMA DE CUSTOS HOSPITALARES</v>
      </c>
      <c r="C1848" s="2" t="str">
        <f t="shared" si="167"/>
        <v>CONTR</v>
      </c>
      <c r="D1848" s="2" t="str">
        <f t="shared" si="168"/>
        <v>FFCH</v>
      </c>
      <c r="E1848" s="2" t="str">
        <f>"REL ANÁLISE DE OXIGÊNIO"</f>
        <v>REL ANÁLISE DE OXIGÊNIO</v>
      </c>
      <c r="F1848" s="2" t="str">
        <f>"R_ANALISE_OXIGENIO.RDF"</f>
        <v>R_ANALISE_OXIGENIO.RDF</v>
      </c>
      <c r="G1848" s="2" t="str">
        <f t="shared" si="165"/>
        <v xml:space="preserve"> ()</v>
      </c>
    </row>
    <row r="1849" spans="1:7" x14ac:dyDescent="0.3">
      <c r="A1849" s="1" t="s">
        <v>4</v>
      </c>
      <c r="B1849" s="2" t="str">
        <f t="shared" si="166"/>
        <v>SISTEMA DE CUSTOS HOSPITALARES</v>
      </c>
      <c r="C1849" s="2" t="str">
        <f t="shared" si="167"/>
        <v>CONTR</v>
      </c>
      <c r="D1849" s="2" t="str">
        <f t="shared" si="168"/>
        <v>FFCH</v>
      </c>
      <c r="E1849" s="2" t="str">
        <f>"REL MAPA DE ANÁLISE DE RATEIO"</f>
        <v>REL MAPA DE ANÁLISE DE RATEIO</v>
      </c>
      <c r="F1849" s="2" t="str">
        <f>"R_MAPA_ANA_RATEIO.RDF"</f>
        <v>R_MAPA_ANA_RATEIO.RDF</v>
      </c>
      <c r="G1849" s="2" t="str">
        <f t="shared" si="165"/>
        <v xml:space="preserve"> ()</v>
      </c>
    </row>
    <row r="1850" spans="1:7" x14ac:dyDescent="0.3">
      <c r="A1850" s="1" t="s">
        <v>4</v>
      </c>
      <c r="B1850" s="2" t="str">
        <f t="shared" si="166"/>
        <v>SISTEMA DE CUSTOS HOSPITALARES</v>
      </c>
      <c r="C1850" s="2" t="str">
        <f t="shared" si="167"/>
        <v>CONTR</v>
      </c>
      <c r="D1850" s="2" t="str">
        <f t="shared" si="168"/>
        <v>FFCH</v>
      </c>
      <c r="E1850" s="2" t="str">
        <f>"REL ANÁLISE CONSOLIDADA DE DESEMPENHO"</f>
        <v>REL ANÁLISE CONSOLIDADA DE DESEMPENHO</v>
      </c>
      <c r="F1850" s="2" t="str">
        <f>"R_ANALISE_DESEMPENHO.RDF"</f>
        <v>R_ANALISE_DESEMPENHO.RDF</v>
      </c>
      <c r="G1850" s="2" t="str">
        <f t="shared" si="165"/>
        <v xml:space="preserve"> ()</v>
      </c>
    </row>
    <row r="1851" spans="1:7" x14ac:dyDescent="0.3">
      <c r="A1851" s="1" t="s">
        <v>4</v>
      </c>
      <c r="B1851" s="2" t="str">
        <f t="shared" si="166"/>
        <v>SISTEMA DE CUSTOS HOSPITALARES</v>
      </c>
      <c r="C1851" s="2" t="str">
        <f t="shared" si="167"/>
        <v>CONTR</v>
      </c>
      <c r="D1851" s="2" t="str">
        <f t="shared" si="168"/>
        <v>FFCH</v>
      </c>
      <c r="E1851" s="2" t="str">
        <f>"REL RESULTADO DOS CENTROS DE CUSTO"</f>
        <v>REL RESULTADO DOS CENTROS DE CUSTO</v>
      </c>
      <c r="F1851" s="2" t="str">
        <f>"R_RESULTADO_SETOR.RDF"</f>
        <v>R_RESULTADO_SETOR.RDF</v>
      </c>
      <c r="G1851" s="2" t="str">
        <f t="shared" si="165"/>
        <v xml:space="preserve"> ()</v>
      </c>
    </row>
    <row r="1852" spans="1:7" x14ac:dyDescent="0.3">
      <c r="A1852" s="1" t="s">
        <v>4</v>
      </c>
      <c r="B1852" s="2" t="str">
        <f t="shared" si="166"/>
        <v>SISTEMA DE CUSTOS HOSPITALARES</v>
      </c>
      <c r="C1852" s="2" t="str">
        <f t="shared" si="167"/>
        <v>CONTR</v>
      </c>
      <c r="D1852" s="2" t="str">
        <f t="shared" si="168"/>
        <v>FFCH</v>
      </c>
      <c r="E1852" s="2" t="str">
        <f>"REL CONSUMO BSE FATURMENTO X CONSUMIDO"</f>
        <v>REL CONSUMO BSE FATURMENTO X CONSUMIDO</v>
      </c>
      <c r="F1852" s="2" t="str">
        <f>"R_COMP_FAT_X_CONS.RDF"</f>
        <v>R_COMP_FAT_X_CONS.RDF</v>
      </c>
      <c r="G1852" s="2" t="str">
        <f t="shared" si="165"/>
        <v xml:space="preserve"> ()</v>
      </c>
    </row>
    <row r="1853" spans="1:7" x14ac:dyDescent="0.3">
      <c r="A1853" s="1" t="s">
        <v>4</v>
      </c>
      <c r="B1853" s="2" t="str">
        <f t="shared" si="166"/>
        <v>SISTEMA DE CUSTOS HOSPITALARES</v>
      </c>
      <c r="C1853" s="2" t="str">
        <f t="shared" si="167"/>
        <v>CONTR</v>
      </c>
      <c r="D1853" s="2" t="str">
        <f t="shared" si="168"/>
        <v>FFCH</v>
      </c>
      <c r="E1853" s="2" t="str">
        <f>"RELATÓRIO DOS CUSTOS POR CENTRO DE CUSTO"</f>
        <v>RELATÓRIO DOS CUSTOS POR CENTRO DE CUSTO</v>
      </c>
      <c r="F1853" s="2" t="str">
        <f>"R_ANA_CUSTO_SETOR.RDF"</f>
        <v>R_ANA_CUSTO_SETOR.RDF</v>
      </c>
      <c r="G1853" s="2" t="str">
        <f t="shared" si="165"/>
        <v xml:space="preserve"> ()</v>
      </c>
    </row>
    <row r="1854" spans="1:7" x14ac:dyDescent="0.3">
      <c r="A1854" s="1" t="s">
        <v>4</v>
      </c>
      <c r="B1854" s="2" t="str">
        <f t="shared" si="166"/>
        <v>SISTEMA DE CUSTOS HOSPITALARES</v>
      </c>
      <c r="C1854" s="2" t="str">
        <f t="shared" si="167"/>
        <v>CONTR</v>
      </c>
      <c r="D1854" s="2" t="str">
        <f t="shared" si="168"/>
        <v>FFCH</v>
      </c>
      <c r="E1854" s="2" t="str">
        <f>"RELATÓRIO ANÁLISE DESEMPENHO POR SETOR"</f>
        <v>RELATÓRIO ANÁLISE DESEMPENHO POR SETOR</v>
      </c>
      <c r="F1854" s="2" t="str">
        <f>"R_ANA_DESEM_SETOR.RDF"</f>
        <v>R_ANA_DESEM_SETOR.RDF</v>
      </c>
      <c r="G1854" s="2" t="str">
        <f t="shared" si="165"/>
        <v xml:space="preserve"> ()</v>
      </c>
    </row>
    <row r="1855" spans="1:7" x14ac:dyDescent="0.3">
      <c r="A1855" s="1" t="s">
        <v>4</v>
      </c>
      <c r="B1855" s="2" t="str">
        <f t="shared" si="166"/>
        <v>SISTEMA DE CUSTOS HOSPITALARES</v>
      </c>
      <c r="C1855" s="2" t="str">
        <f t="shared" si="167"/>
        <v>CONTR</v>
      </c>
      <c r="D1855" s="2" t="str">
        <f t="shared" si="168"/>
        <v>FFCH</v>
      </c>
      <c r="E1855" s="2" t="str">
        <f>"RATEIO_SETOR_GRAF"</f>
        <v>RATEIO_SETOR_GRAF</v>
      </c>
      <c r="F1855" s="2" t="str">
        <f>"RATEIO_SETOR_GRAF"</f>
        <v>RATEIO_SETOR_GRAF</v>
      </c>
      <c r="G1855" s="2" t="str">
        <f t="shared" si="165"/>
        <v xml:space="preserve"> ()</v>
      </c>
    </row>
    <row r="1856" spans="1:7" x14ac:dyDescent="0.3">
      <c r="A1856" s="1" t="s">
        <v>4</v>
      </c>
      <c r="B1856" s="2" t="str">
        <f t="shared" si="166"/>
        <v>SISTEMA DE CUSTOS HOSPITALARES</v>
      </c>
      <c r="C1856" s="2" t="str">
        <f t="shared" si="167"/>
        <v>CONTR</v>
      </c>
      <c r="D1856" s="2" t="str">
        <f t="shared" si="168"/>
        <v>FFCH</v>
      </c>
      <c r="E1856" s="2" t="str">
        <f>"CADASTRO: RAMAIS POR SETOR"</f>
        <v>CADASTRO: RAMAIS POR SETOR</v>
      </c>
      <c r="F1856" s="2" t="str">
        <f>"M_SETOR_RAMAL"</f>
        <v>M_SETOR_RAMAL</v>
      </c>
      <c r="G1856" s="2" t="str">
        <f t="shared" si="165"/>
        <v xml:space="preserve"> ()</v>
      </c>
    </row>
    <row r="1857" spans="1:7" x14ac:dyDescent="0.3">
      <c r="A1857" s="1" t="s">
        <v>4</v>
      </c>
      <c r="B1857" s="2" t="str">
        <f t="shared" si="166"/>
        <v>SISTEMA DE CUSTOS HOSPITALARES</v>
      </c>
      <c r="C1857" s="2" t="str">
        <f t="shared" si="167"/>
        <v>CONTR</v>
      </c>
      <c r="D1857" s="2" t="str">
        <f t="shared" si="168"/>
        <v>FFCH</v>
      </c>
      <c r="E1857" s="2" t="str">
        <f>"LANÇAMENTO DOS CUSTOS PRIMÁRIOS"</f>
        <v>LANÇAMENTO DOS CUSTOS PRIMÁRIOS</v>
      </c>
      <c r="F1857" s="2" t="str">
        <f>"LANCA_DIRETOS_PRIMARIO"</f>
        <v>LANCA_DIRETOS_PRIMARIO</v>
      </c>
      <c r="G1857" s="2" t="str">
        <f>"Controladoria / Custos / Lançamentos / Custos Primários / Conta de Custo (LANCA_DIRETOS_PRIMARIO)"</f>
        <v>Controladoria / Custos / Lançamentos / Custos Primários / Conta de Custo (LANCA_DIRETOS_PRIMARIO)</v>
      </c>
    </row>
    <row r="1858" spans="1:7" x14ac:dyDescent="0.3">
      <c r="A1858" s="1" t="s">
        <v>4</v>
      </c>
      <c r="B1858" s="2" t="str">
        <f t="shared" si="166"/>
        <v>SISTEMA DE CUSTOS HOSPITALARES</v>
      </c>
      <c r="C1858" s="2" t="str">
        <f t="shared" si="167"/>
        <v>CONTR</v>
      </c>
      <c r="D1858" s="2" t="str">
        <f t="shared" si="168"/>
        <v>FFCH</v>
      </c>
      <c r="E1858" s="2" t="str">
        <f>"C_PROCEDIMENTOS_CUSTOS"</f>
        <v>C_PROCEDIMENTOS_CUSTOS</v>
      </c>
      <c r="F1858" s="2" t="str">
        <f>"C_PROCEDIMENTOS_CUSTOS"</f>
        <v>C_PROCEDIMENTOS_CUSTOS</v>
      </c>
      <c r="G1858" s="2" t="str">
        <f>" ()"</f>
        <v xml:space="preserve"> ()</v>
      </c>
    </row>
    <row r="1859" spans="1:7" x14ac:dyDescent="0.3">
      <c r="A1859" s="1" t="s">
        <v>4</v>
      </c>
      <c r="B1859" s="2" t="str">
        <f t="shared" si="166"/>
        <v>SISTEMA DE CUSTOS HOSPITALARES</v>
      </c>
      <c r="C1859" s="2" t="str">
        <f t="shared" si="167"/>
        <v>CONTR</v>
      </c>
      <c r="D1859" s="2" t="str">
        <f t="shared" si="168"/>
        <v>FFCH</v>
      </c>
      <c r="E1859" s="2" t="str">
        <f>"R_ANA_DESEM_SET_RAT_PAI"</f>
        <v>R_ANA_DESEM_SET_RAT_PAI</v>
      </c>
      <c r="F1859" s="2" t="str">
        <f>"R_ANA_DESEM_SET_RAT_PAI"</f>
        <v>R_ANA_DESEM_SET_RAT_PAI</v>
      </c>
      <c r="G1859" s="2" t="str">
        <f>" ()"</f>
        <v xml:space="preserve"> ()</v>
      </c>
    </row>
    <row r="1860" spans="1:7" x14ac:dyDescent="0.3">
      <c r="A1860" s="1" t="s">
        <v>4</v>
      </c>
      <c r="B1860" s="2" t="str">
        <f t="shared" si="166"/>
        <v>SISTEMA DE CUSTOS HOSPITALARES</v>
      </c>
      <c r="C1860" s="2" t="str">
        <f t="shared" si="167"/>
        <v>CONTR</v>
      </c>
      <c r="D1860" s="2" t="str">
        <f t="shared" si="168"/>
        <v>FFCH</v>
      </c>
      <c r="E1860" s="2" t="str">
        <f>"R_ANA_RESULTADO_ATENDIME"</f>
        <v>R_ANA_RESULTADO_ATENDIME</v>
      </c>
      <c r="F1860" s="2" t="str">
        <f>"R_ANA_RESULTADO_ATENDIME"</f>
        <v>R_ANA_RESULTADO_ATENDIME</v>
      </c>
      <c r="G1860" s="2" t="str">
        <f>"Controladoria / Custos / Relatórios / Análise de Resultado dos Atendimentos / On Line (R_ANA_RESULTADO_ATENDIME)"</f>
        <v>Controladoria / Custos / Relatórios / Análise de Resultado dos Atendimentos / On Line (R_ANA_RESULTADO_ATENDIME)</v>
      </c>
    </row>
    <row r="1861" spans="1:7" x14ac:dyDescent="0.3">
      <c r="A1861" s="1" t="s">
        <v>4</v>
      </c>
      <c r="B1861" s="2" t="str">
        <f t="shared" si="166"/>
        <v>SISTEMA DE CUSTOS HOSPITALARES</v>
      </c>
      <c r="C1861" s="2" t="str">
        <f t="shared" si="167"/>
        <v>CONTR</v>
      </c>
      <c r="D1861" s="2" t="str">
        <f t="shared" si="168"/>
        <v>FFCH</v>
      </c>
      <c r="E1861" s="2" t="str">
        <f>" REL ANÁLISE RESULTADO ATENDIMENTO"</f>
        <v xml:space="preserve"> REL ANÁLISE RESULTADO ATENDIMENTO</v>
      </c>
      <c r="F1861" s="2" t="str">
        <f>"R_ANA_RES_ATENDIME_CONS.RDF"</f>
        <v>R_ANA_RES_ATENDIME_CONS.RDF</v>
      </c>
      <c r="G1861" s="2" t="str">
        <f>" ()"</f>
        <v xml:space="preserve"> ()</v>
      </c>
    </row>
    <row r="1862" spans="1:7" x14ac:dyDescent="0.3">
      <c r="A1862" s="1" t="s">
        <v>4</v>
      </c>
      <c r="B1862" s="2" t="str">
        <f t="shared" ref="B1862:B1925" si="169">"SISTEMA FATURAMENTO CONTAS DE CONVENIO"</f>
        <v>SISTEMA FATURAMENTO CONTAS DE CONVENIO</v>
      </c>
      <c r="C1862" s="2" t="str">
        <f t="shared" ref="C1862:C1925" si="170">"FATUR-CONV"</f>
        <v>FATUR-CONV</v>
      </c>
      <c r="D1862" s="2" t="str">
        <f t="shared" ref="D1862:D1925" si="171">"FFCV"</f>
        <v>FFCV</v>
      </c>
      <c r="E1862" s="2" t="str">
        <f>"REL.SITUAÇÃO DAS NOTAS FISCAIS COM GLOSA"</f>
        <v>REL.SITUAÇÃO DAS NOTAS FISCAIS COM GLOSA</v>
      </c>
      <c r="F1862" s="2" t="str">
        <f>"R_RECURSO_REMESSA_GLOSA.RDF"</f>
        <v>R_RECURSO_REMESSA_GLOSA.RDF</v>
      </c>
      <c r="G1862" s="2" t="str">
        <f>" ()"</f>
        <v xml:space="preserve"> ()</v>
      </c>
    </row>
    <row r="1863" spans="1:7" x14ac:dyDescent="0.3">
      <c r="A1863" s="1" t="s">
        <v>4</v>
      </c>
      <c r="B1863" s="2" t="str">
        <f t="shared" si="169"/>
        <v>SISTEMA FATURAMENTO CONTAS DE CONVENIO</v>
      </c>
      <c r="C1863" s="2" t="str">
        <f t="shared" si="170"/>
        <v>FATUR-CONV</v>
      </c>
      <c r="D1863" s="2" t="str">
        <f t="shared" si="171"/>
        <v>FFCV</v>
      </c>
      <c r="E1863" s="2" t="str">
        <f>"Importação de valores FONASA"</f>
        <v>Importação de valores FONASA</v>
      </c>
      <c r="F1863" s="2" t="str">
        <f>"O_IMPVAL_FONASA"</f>
        <v>O_IMPVAL_FONASA</v>
      </c>
      <c r="G1863" s="2" t="str">
        <f>"Faturamento / Faturamento de Convênios e Particulares / Importações / Importação de valores FONASA (O_IMPVAL_FONASA)"</f>
        <v>Faturamento / Faturamento de Convênios e Particulares / Importações / Importação de valores FONASA (O_IMPVAL_FONASA)</v>
      </c>
    </row>
    <row r="1864" spans="1:7" x14ac:dyDescent="0.3">
      <c r="A1864" s="1" t="s">
        <v>4</v>
      </c>
      <c r="B1864" s="2" t="str">
        <f t="shared" si="169"/>
        <v>SISTEMA FATURAMENTO CONTAS DE CONVENIO</v>
      </c>
      <c r="C1864" s="2" t="str">
        <f t="shared" si="170"/>
        <v>FATUR-CONV</v>
      </c>
      <c r="D1864" s="2" t="str">
        <f t="shared" si="171"/>
        <v>FFCV</v>
      </c>
      <c r="E1864" s="2" t="str">
        <f>"Repasse sem Laudo"</f>
        <v>Repasse sem Laudo</v>
      </c>
      <c r="F1864" s="2" t="str">
        <f>"M_CONFERE_REPASSE_AUTO"</f>
        <v>M_CONFERE_REPASSE_AUTO</v>
      </c>
      <c r="G1864" s="2" t="str">
        <f>"Controladoria / Repasse Médico / Repasse / Alteração / Repasse sem Laudo (M_CONFERE_REPASSE_AUTO)"</f>
        <v>Controladoria / Repasse Médico / Repasse / Alteração / Repasse sem Laudo (M_CONFERE_REPASSE_AUTO)</v>
      </c>
    </row>
    <row r="1865" spans="1:7" x14ac:dyDescent="0.3">
      <c r="A1865" s="1" t="s">
        <v>4</v>
      </c>
      <c r="B1865" s="2" t="str">
        <f t="shared" si="169"/>
        <v>SISTEMA FATURAMENTO CONTAS DE CONVENIO</v>
      </c>
      <c r="C1865" s="2" t="str">
        <f t="shared" si="170"/>
        <v>FATUR-CONV</v>
      </c>
      <c r="D1865" s="2" t="str">
        <f t="shared" si="171"/>
        <v>FFCV</v>
      </c>
      <c r="E1865" s="2" t="str">
        <f>"Motivo de Cancelamento de Conta"</f>
        <v>Motivo de Cancelamento de Conta</v>
      </c>
      <c r="F1865" s="2" t="str">
        <f>"M_MOT_CANC_CONTA"</f>
        <v>M_MOT_CANC_CONTA</v>
      </c>
      <c r="G1865" s="2" t="str">
        <f>" ()"</f>
        <v xml:space="preserve"> ()</v>
      </c>
    </row>
    <row r="1866" spans="1:7" x14ac:dyDescent="0.3">
      <c r="A1866" s="1" t="s">
        <v>4</v>
      </c>
      <c r="B1866" s="2" t="str">
        <f t="shared" si="169"/>
        <v>SISTEMA FATURAMENTO CONTAS DE CONVENIO</v>
      </c>
      <c r="C1866" s="2" t="str">
        <f t="shared" si="170"/>
        <v>FATUR-CONV</v>
      </c>
      <c r="D1866" s="2" t="str">
        <f t="shared" si="171"/>
        <v>FFCV</v>
      </c>
      <c r="E1866" s="2" t="str">
        <f>"Programas Home Care por Convênio"</f>
        <v>Programas Home Care por Convênio</v>
      </c>
      <c r="F1866" s="2" t="str">
        <f>"M_CAD_PROGRAMAS_HOMECARE"</f>
        <v>M_CAD_PROGRAMAS_HOMECARE</v>
      </c>
      <c r="G1866" s="2" t="str">
        <f>" ()"</f>
        <v xml:space="preserve"> ()</v>
      </c>
    </row>
    <row r="1867" spans="1:7" x14ac:dyDescent="0.3">
      <c r="A1867" s="1" t="s">
        <v>4</v>
      </c>
      <c r="B1867" s="2" t="str">
        <f t="shared" si="169"/>
        <v>SISTEMA FATURAMENTO CONTAS DE CONVENIO</v>
      </c>
      <c r="C1867" s="2" t="str">
        <f t="shared" si="170"/>
        <v>FATUR-CONV</v>
      </c>
      <c r="D1867" s="2" t="str">
        <f t="shared" si="171"/>
        <v>FFCV</v>
      </c>
      <c r="E1867" s="2" t="str">
        <f>"Cadastro de URL biometrica para convenio"</f>
        <v>Cadastro de URL biometrica para convenio</v>
      </c>
      <c r="F1867" s="2" t="str">
        <f>"M_URL_BIOMETRIA"</f>
        <v>M_URL_BIOMETRIA</v>
      </c>
      <c r="G1867" s="2" t="str">
        <f>" ()"</f>
        <v xml:space="preserve"> ()</v>
      </c>
    </row>
    <row r="1868" spans="1:7" x14ac:dyDescent="0.3">
      <c r="A1868" s="1" t="s">
        <v>4</v>
      </c>
      <c r="B1868" s="2" t="str">
        <f t="shared" si="169"/>
        <v>SISTEMA FATURAMENTO CONTAS DE CONVENIO</v>
      </c>
      <c r="C1868" s="2" t="str">
        <f t="shared" si="170"/>
        <v>FATUR-CONV</v>
      </c>
      <c r="D1868" s="2" t="str">
        <f t="shared" si="171"/>
        <v>FFCV</v>
      </c>
      <c r="E1868" s="2" t="str">
        <f>"Vínculo RPS x NFSE"</f>
        <v>Vínculo RPS x NFSE</v>
      </c>
      <c r="F1868" s="2" t="str">
        <f>"M_SINCRO_RPS_NFSE_MAN"</f>
        <v>M_SINCRO_RPS_NFSE_MAN</v>
      </c>
      <c r="G1868" s="2" t="str">
        <f>"Faturamento / Faturamento de Convênios e Particulares / Lançamentos / Nota Fiscal Eletronica / Vínculo RPS x NFSE (M_SINCRO_RPS_NFSE_MAN)"</f>
        <v>Faturamento / Faturamento de Convênios e Particulares / Lançamentos / Nota Fiscal Eletronica / Vínculo RPS x NFSE (M_SINCRO_RPS_NFSE_MAN)</v>
      </c>
    </row>
    <row r="1869" spans="1:7" x14ac:dyDescent="0.3">
      <c r="A1869" s="1" t="s">
        <v>4</v>
      </c>
      <c r="B1869" s="2" t="str">
        <f t="shared" si="169"/>
        <v>SISTEMA FATURAMENTO CONTAS DE CONVENIO</v>
      </c>
      <c r="C1869" s="2" t="str">
        <f t="shared" si="170"/>
        <v>FATUR-CONV</v>
      </c>
      <c r="D1869" s="2" t="str">
        <f t="shared" si="171"/>
        <v>FFCV</v>
      </c>
      <c r="E1869" s="2" t="str">
        <f>" R_ATEND_REM_GRU_FAT"</f>
        <v xml:space="preserve"> R_ATEND_REM_GRU_FAT</v>
      </c>
      <c r="F1869" s="2" t="str">
        <f>" R_ATEND_REM_GRU_FAT"</f>
        <v xml:space="preserve"> R_ATEND_REM_GRU_FAT</v>
      </c>
      <c r="G1869" s="2" t="str">
        <f>" ()"</f>
        <v xml:space="preserve"> ()</v>
      </c>
    </row>
    <row r="1870" spans="1:7" x14ac:dyDescent="0.3">
      <c r="A1870" s="1" t="s">
        <v>4</v>
      </c>
      <c r="B1870" s="2" t="str">
        <f t="shared" si="169"/>
        <v>SISTEMA FATURAMENTO CONTAS DE CONVENIO</v>
      </c>
      <c r="C1870" s="2" t="str">
        <f t="shared" si="170"/>
        <v>FATUR-CONV</v>
      </c>
      <c r="D1870" s="2" t="str">
        <f t="shared" si="171"/>
        <v>FFCV</v>
      </c>
      <c r="E1870" s="2" t="str">
        <f>"R_NOTA_FISCAL_PART_340"</f>
        <v>R_NOTA_FISCAL_PART_340</v>
      </c>
      <c r="F1870" s="2" t="str">
        <f>"R_NOTA_FISCAL_PART_340"</f>
        <v>R_NOTA_FISCAL_PART_340</v>
      </c>
      <c r="G1870" s="2" t="str">
        <f>" ()"</f>
        <v xml:space="preserve"> ()</v>
      </c>
    </row>
    <row r="1871" spans="1:7" x14ac:dyDescent="0.3">
      <c r="A1871" s="1" t="s">
        <v>4</v>
      </c>
      <c r="B1871" s="2" t="str">
        <f t="shared" si="169"/>
        <v>SISTEMA FATURAMENTO CONTAS DE CONVENIO</v>
      </c>
      <c r="C1871" s="2" t="str">
        <f t="shared" si="170"/>
        <v>FATUR-CONV</v>
      </c>
      <c r="D1871" s="2" t="str">
        <f t="shared" si="171"/>
        <v>FFCV</v>
      </c>
      <c r="E1871" s="2" t="str">
        <f>"O_GERAARQMAG_UNIMED_GERACAO"</f>
        <v>O_GERAARQMAG_UNIMED_GERACAO</v>
      </c>
      <c r="F1871" s="2" t="str">
        <f>"O_GERAARQMAG_UNIMED_GERACAO"</f>
        <v>O_GERAARQMAG_UNIMED_GERACAO</v>
      </c>
      <c r="G1871" s="2" t="str">
        <f>"Faturamento / Faturamento de Convênios e Particulares / Lançamentos / Arquivo Magnético / Envio / UNIMEDs / Geração (O_GERAARQMAG_UNIMED_GERACAO)"</f>
        <v>Faturamento / Faturamento de Convênios e Particulares / Lançamentos / Arquivo Magnético / Envio / UNIMEDs / Geração (O_GERAARQMAG_UNIMED_GERACAO)</v>
      </c>
    </row>
    <row r="1872" spans="1:7" x14ac:dyDescent="0.3">
      <c r="A1872" s="1" t="s">
        <v>4</v>
      </c>
      <c r="B1872" s="2" t="str">
        <f t="shared" si="169"/>
        <v>SISTEMA FATURAMENTO CONTAS DE CONVENIO</v>
      </c>
      <c r="C1872" s="2" t="str">
        <f t="shared" si="170"/>
        <v>FATUR-CONV</v>
      </c>
      <c r="D1872" s="2" t="str">
        <f t="shared" si="171"/>
        <v>FFCV</v>
      </c>
      <c r="E1872" s="2" t="str">
        <f>"VALOR DE PLANOS E CONVENIOS"</f>
        <v>VALOR DE PLANOS E CONVENIOS</v>
      </c>
      <c r="F1872" s="2" t="str">
        <f>"M_VAL_PLACON"</f>
        <v>M_VAL_PLACON</v>
      </c>
      <c r="G1872" s="2" t="str">
        <f>"Faturamento / Faturamento de Convênios e Particulares / Tabelas / Valores dos Procedimentos / Exceções de Convênios e Planos (M_VAL_PLACON)"</f>
        <v>Faturamento / Faturamento de Convênios e Particulares / Tabelas / Valores dos Procedimentos / Exceções de Convênios e Planos (M_VAL_PLACON)</v>
      </c>
    </row>
    <row r="1873" spans="1:7" x14ac:dyDescent="0.3">
      <c r="A1873" s="1" t="s">
        <v>4</v>
      </c>
      <c r="B1873" s="2" t="str">
        <f t="shared" si="169"/>
        <v>SISTEMA FATURAMENTO CONTAS DE CONVENIO</v>
      </c>
      <c r="C1873" s="2" t="str">
        <f t="shared" si="170"/>
        <v>FATUR-CONV</v>
      </c>
      <c r="D1873" s="2" t="str">
        <f t="shared" si="171"/>
        <v>FFCV</v>
      </c>
      <c r="E1873" s="2" t="str">
        <f>"CALENDÁRIO"</f>
        <v>CALENDÁRIO</v>
      </c>
      <c r="F1873" s="2" t="str">
        <f>"R_NOTA_FISC_338"</f>
        <v>R_NOTA_FISC_338</v>
      </c>
      <c r="G1873" s="2" t="str">
        <f>" ()"</f>
        <v xml:space="preserve"> ()</v>
      </c>
    </row>
    <row r="1874" spans="1:7" x14ac:dyDescent="0.3">
      <c r="A1874" s="1" t="s">
        <v>4</v>
      </c>
      <c r="B1874" s="2" t="str">
        <f t="shared" si="169"/>
        <v>SISTEMA FATURAMENTO CONTAS DE CONVENIO</v>
      </c>
      <c r="C1874" s="2" t="str">
        <f t="shared" si="170"/>
        <v>FATUR-CONV</v>
      </c>
      <c r="D1874" s="2" t="str">
        <f t="shared" si="171"/>
        <v>FFCV</v>
      </c>
      <c r="E1874" s="2" t="str">
        <f>"RELATÓRIO DE FATURA INDIVIDUAL POR DATA"</f>
        <v>RELATÓRIO DE FATURA INDIVIDUAL POR DATA</v>
      </c>
      <c r="F1874" s="2" t="str">
        <f>"R_APRES_CONTAS"</f>
        <v>R_APRES_CONTAS</v>
      </c>
      <c r="G1874" s="2" t="str">
        <f>" ()"</f>
        <v xml:space="preserve"> ()</v>
      </c>
    </row>
    <row r="1875" spans="1:7" x14ac:dyDescent="0.3">
      <c r="A1875" s="1" t="s">
        <v>4</v>
      </c>
      <c r="B1875" s="2" t="str">
        <f t="shared" si="169"/>
        <v>SISTEMA FATURAMENTO CONTAS DE CONVENIO</v>
      </c>
      <c r="C1875" s="2" t="str">
        <f t="shared" si="170"/>
        <v>FATUR-CONV</v>
      </c>
      <c r="D1875" s="2" t="str">
        <f t="shared" si="171"/>
        <v>FFCV</v>
      </c>
      <c r="E1875" s="2" t="str">
        <f>"AUTORIZAÇÃO LOCAL DE GUIAS"</f>
        <v>AUTORIZAÇÃO LOCAL DE GUIAS</v>
      </c>
      <c r="F1875" s="2" t="str">
        <f>"M_AUDITORIA_GUIA_LOCAL"</f>
        <v>M_AUDITORIA_GUIA_LOCAL</v>
      </c>
      <c r="G1875" s="2" t="str">
        <f>" ()"</f>
        <v xml:space="preserve"> ()</v>
      </c>
    </row>
    <row r="1876" spans="1:7" x14ac:dyDescent="0.3">
      <c r="A1876" s="1" t="s">
        <v>4</v>
      </c>
      <c r="B1876" s="2" t="str">
        <f t="shared" si="169"/>
        <v>SISTEMA FATURAMENTO CONTAS DE CONVENIO</v>
      </c>
      <c r="C1876" s="2" t="str">
        <f t="shared" si="170"/>
        <v>FATUR-CONV</v>
      </c>
      <c r="D1876" s="2" t="str">
        <f t="shared" si="171"/>
        <v>FFCV</v>
      </c>
      <c r="E1876" s="2" t="str">
        <f>"PORTE ANESTÉSICO POR TAXA"</f>
        <v>PORTE ANESTÉSICO POR TAXA</v>
      </c>
      <c r="F1876" s="2" t="str">
        <f>"M_CONV_PORT_TAXA"</f>
        <v>M_CONV_PORT_TAXA</v>
      </c>
      <c r="G1876" s="2" t="str">
        <f>"Faturamento / Faturamento de Convênios e Particulares / Tabelas / Gerais / Taxa de Sala por Convênio (M_CONV_PORT_TAXA)"</f>
        <v>Faturamento / Faturamento de Convênios e Particulares / Tabelas / Gerais / Taxa de Sala por Convênio (M_CONV_PORT_TAXA)</v>
      </c>
    </row>
    <row r="1877" spans="1:7" x14ac:dyDescent="0.3">
      <c r="A1877" s="1" t="s">
        <v>4</v>
      </c>
      <c r="B1877" s="2" t="str">
        <f t="shared" si="169"/>
        <v>SISTEMA FATURAMENTO CONTAS DE CONVENIO</v>
      </c>
      <c r="C1877" s="2" t="str">
        <f t="shared" si="170"/>
        <v>FATUR-CONV</v>
      </c>
      <c r="D1877" s="2" t="str">
        <f t="shared" si="171"/>
        <v>FFCV</v>
      </c>
      <c r="E1877" s="2" t="str">
        <f>"TABELAS - CONVENIOS E PLANOS"</f>
        <v>TABELAS - CONVENIOS E PLANOS</v>
      </c>
      <c r="F1877" s="2" t="str">
        <f>"R_CON_PLA"</f>
        <v>R_CON_PLA</v>
      </c>
      <c r="G1877" s="2" t="str">
        <f>" ()"</f>
        <v xml:space="preserve"> ()</v>
      </c>
    </row>
    <row r="1878" spans="1:7" x14ac:dyDescent="0.3">
      <c r="A1878" s="1" t="s">
        <v>4</v>
      </c>
      <c r="B1878" s="2" t="str">
        <f t="shared" si="169"/>
        <v>SISTEMA FATURAMENTO CONTAS DE CONVENIO</v>
      </c>
      <c r="C1878" s="2" t="str">
        <f t="shared" si="170"/>
        <v>FATUR-CONV</v>
      </c>
      <c r="D1878" s="2" t="str">
        <f t="shared" si="171"/>
        <v>FFCV</v>
      </c>
      <c r="E1878" s="2" t="str">
        <f>"REL. DE DEMONSTRATIVO MÉDICO ANALÍTICO"</f>
        <v>REL. DE DEMONSTRATIVO MÉDICO ANALÍTICO</v>
      </c>
      <c r="F1878" s="2" t="str">
        <f>"R_DEMO_MED_ANA"</f>
        <v>R_DEMO_MED_ANA</v>
      </c>
      <c r="G1878" s="2" t="str">
        <f>" ()"</f>
        <v xml:space="preserve"> ()</v>
      </c>
    </row>
    <row r="1879" spans="1:7" x14ac:dyDescent="0.3">
      <c r="A1879" s="1" t="s">
        <v>4</v>
      </c>
      <c r="B1879" s="2" t="str">
        <f t="shared" si="169"/>
        <v>SISTEMA FATURAMENTO CONTAS DE CONVENIO</v>
      </c>
      <c r="C1879" s="2" t="str">
        <f t="shared" si="170"/>
        <v>FATUR-CONV</v>
      </c>
      <c r="D1879" s="2" t="str">
        <f t="shared" si="171"/>
        <v>FFCV</v>
      </c>
      <c r="E1879" s="2" t="str">
        <f>"ARQUIVO R_FOLHA_DE_ROSTO_AMB_REMESS"</f>
        <v>ARQUIVO R_FOLHA_DE_ROSTO_AMB_REMESS</v>
      </c>
      <c r="F1879" s="2" t="str">
        <f>"ARQUIVO R_FOLHA_DE_ROSTO_AMB_REMESS"</f>
        <v>ARQUIVO R_FOLHA_DE_ROSTO_AMB_REMESS</v>
      </c>
      <c r="G1879" s="2" t="str">
        <f>" ()"</f>
        <v xml:space="preserve"> ()</v>
      </c>
    </row>
    <row r="1880" spans="1:7" x14ac:dyDescent="0.3">
      <c r="A1880" s="1" t="s">
        <v>4</v>
      </c>
      <c r="B1880" s="2" t="str">
        <f t="shared" si="169"/>
        <v>SISTEMA FATURAMENTO CONTAS DE CONVENIO</v>
      </c>
      <c r="C1880" s="2" t="str">
        <f t="shared" si="170"/>
        <v>FATUR-CONV</v>
      </c>
      <c r="D1880" s="2" t="str">
        <f t="shared" si="171"/>
        <v>FFCV</v>
      </c>
      <c r="E1880" s="2" t="str">
        <f>"WIN_PRINCIPAL - HOSPITAL MV SISTEMAS"</f>
        <v>WIN_PRINCIPAL - HOSPITAL MV SISTEMAS</v>
      </c>
      <c r="F1880" s="2" t="str">
        <f>"M_CAD_REGRA_LANCAMENTO"</f>
        <v>M_CAD_REGRA_LANCAMENTO</v>
      </c>
      <c r="G1880" s="2" t="str">
        <f>"Faturamento / Faturamento de Convênios e Particulares / Tabelas / Cobranças e Tabelas / Regras de Lançamento (M_CAD_REGRA_LANCAMENTO)"</f>
        <v>Faturamento / Faturamento de Convênios e Particulares / Tabelas / Cobranças e Tabelas / Regras de Lançamento (M_CAD_REGRA_LANCAMENTO)</v>
      </c>
    </row>
    <row r="1881" spans="1:7" x14ac:dyDescent="0.3">
      <c r="A1881" s="1" t="s">
        <v>4</v>
      </c>
      <c r="B1881" s="2" t="str">
        <f t="shared" si="169"/>
        <v>SISTEMA FATURAMENTO CONTAS DE CONVENIO</v>
      </c>
      <c r="C1881" s="2" t="str">
        <f t="shared" si="170"/>
        <v>FATUR-CONV</v>
      </c>
      <c r="D1881" s="2" t="str">
        <f t="shared" si="171"/>
        <v>FFCV</v>
      </c>
      <c r="E1881" s="2" t="str">
        <f>"RELATÓRIO POR GRUPO DE PROCEDIMENTO"</f>
        <v>RELATÓRIO POR GRUPO DE PROCEDIMENTO</v>
      </c>
      <c r="F1881" s="2" t="str">
        <f>"R_FAT_CC_GRU_PRO.RDF"</f>
        <v>R_FAT_CC_GRU_PRO.RDF</v>
      </c>
      <c r="G1881" s="2" t="str">
        <f>" ()"</f>
        <v xml:space="preserve"> ()</v>
      </c>
    </row>
    <row r="1882" spans="1:7" x14ac:dyDescent="0.3">
      <c r="A1882" s="1" t="s">
        <v>4</v>
      </c>
      <c r="B1882" s="2" t="str">
        <f t="shared" si="169"/>
        <v>SISTEMA FATURAMENTO CONTAS DE CONVENIO</v>
      </c>
      <c r="C1882" s="2" t="str">
        <f t="shared" si="170"/>
        <v>FATUR-CONV</v>
      </c>
      <c r="D1882" s="2" t="str">
        <f t="shared" si="171"/>
        <v>FFCV</v>
      </c>
      <c r="E1882" s="2" t="str">
        <f>"PRODUTOS NÃO CONSTANTES NO BRASÍNDICE"</f>
        <v>PRODUTOS NÃO CONSTANTES NO BRASÍNDICE</v>
      </c>
      <c r="F1882" s="2" t="str">
        <f>"R_CONSTA_BRASINDICE.RDF"</f>
        <v>R_CONSTA_BRASINDICE.RDF</v>
      </c>
      <c r="G1882" s="2" t="str">
        <f>" ()"</f>
        <v xml:space="preserve"> ()</v>
      </c>
    </row>
    <row r="1883" spans="1:7" x14ac:dyDescent="0.3">
      <c r="A1883" s="1" t="s">
        <v>4</v>
      </c>
      <c r="B1883" s="2" t="str">
        <f t="shared" si="169"/>
        <v>SISTEMA FATURAMENTO CONTAS DE CONVENIO</v>
      </c>
      <c r="C1883" s="2" t="str">
        <f t="shared" si="170"/>
        <v>FATUR-CONV</v>
      </c>
      <c r="D1883" s="2" t="str">
        <f t="shared" si="171"/>
        <v>FFCV</v>
      </c>
      <c r="E1883" s="2" t="str">
        <f>"REL. DE AGENDA DE ENTREGA DE REMESSAS"</f>
        <v>REL. DE AGENDA DE ENTREGA DE REMESSAS</v>
      </c>
      <c r="F1883" s="2" t="str">
        <f>"R_AGENDA_REMESSA.RDF"</f>
        <v>R_AGENDA_REMESSA.RDF</v>
      </c>
      <c r="G1883" s="2" t="str">
        <f>" ()"</f>
        <v xml:space="preserve"> ()</v>
      </c>
    </row>
    <row r="1884" spans="1:7" x14ac:dyDescent="0.3">
      <c r="A1884" s="1" t="s">
        <v>4</v>
      </c>
      <c r="B1884" s="2" t="str">
        <f t="shared" si="169"/>
        <v>SISTEMA FATURAMENTO CONTAS DE CONVENIO</v>
      </c>
      <c r="C1884" s="2" t="str">
        <f t="shared" si="170"/>
        <v>FATUR-CONV</v>
      </c>
      <c r="D1884" s="2" t="str">
        <f t="shared" si="171"/>
        <v>FFCV</v>
      </c>
      <c r="E1884" s="2" t="str">
        <f>"Tela de Fechamento de Conta Ambulatorial"</f>
        <v>Tela de Fechamento de Conta Ambulatorial</v>
      </c>
      <c r="F1884" s="2" t="str">
        <f>"M_FECH_CTAS_AMB_REMESSA"</f>
        <v>M_FECH_CTAS_AMB_REMESSA</v>
      </c>
      <c r="G1884" s="2" t="str">
        <f>"Fechamento de Conta Ambulatorial (M_FECH_CTAS_AMB_REMESSA)"</f>
        <v>Fechamento de Conta Ambulatorial (M_FECH_CTAS_AMB_REMESSA)</v>
      </c>
    </row>
    <row r="1885" spans="1:7" x14ac:dyDescent="0.3">
      <c r="A1885" s="1" t="s">
        <v>4</v>
      </c>
      <c r="B1885" s="2" t="str">
        <f t="shared" si="169"/>
        <v>SISTEMA FATURAMENTO CONTAS DE CONVENIO</v>
      </c>
      <c r="C1885" s="2" t="str">
        <f t="shared" si="170"/>
        <v>FATUR-CONV</v>
      </c>
      <c r="D1885" s="2" t="str">
        <f t="shared" si="171"/>
        <v>FFCV</v>
      </c>
      <c r="E1885" s="2" t="str">
        <f>"Proibicao por Origem de Atendimento"</f>
        <v>Proibicao por Origem de Atendimento</v>
      </c>
      <c r="F1885" s="2" t="str">
        <f>"M_PROIB_ORIG_ATENDIME"</f>
        <v>M_PROIB_ORIG_ATENDIME</v>
      </c>
      <c r="G1885" s="2" t="str">
        <f>" ()"</f>
        <v xml:space="preserve"> ()</v>
      </c>
    </row>
    <row r="1886" spans="1:7" x14ac:dyDescent="0.3">
      <c r="A1886" s="1" t="s">
        <v>4</v>
      </c>
      <c r="B1886" s="2" t="str">
        <f t="shared" si="169"/>
        <v>SISTEMA FATURAMENTO CONTAS DE CONVENIO</v>
      </c>
      <c r="C1886" s="2" t="str">
        <f t="shared" si="170"/>
        <v>FATUR-CONV</v>
      </c>
      <c r="D1886" s="2" t="str">
        <f t="shared" si="171"/>
        <v>FFCV</v>
      </c>
      <c r="E1886" s="2" t="str">
        <f>"CADASTRO: PADRÕES DE COBRANÇA"</f>
        <v>CADASTRO: PADRÕES DE COBRANÇA</v>
      </c>
      <c r="F1886" s="2" t="str">
        <f>"M_PADRAO_MAO"</f>
        <v>M_PADRAO_MAO</v>
      </c>
      <c r="G1886" s="2" t="str">
        <f>"Faturamento / Faturamento de Convênios e Particulares / Tabelas / Cobranças e Tabelas / Padrão de Cobrança (M_PADRAO_MAO)"</f>
        <v>Faturamento / Faturamento de Convênios e Particulares / Tabelas / Cobranças e Tabelas / Padrão de Cobrança (M_PADRAO_MAO)</v>
      </c>
    </row>
    <row r="1887" spans="1:7" x14ac:dyDescent="0.3">
      <c r="A1887" s="1" t="s">
        <v>4</v>
      </c>
      <c r="B1887" s="2" t="str">
        <f t="shared" si="169"/>
        <v>SISTEMA FATURAMENTO CONTAS DE CONVENIO</v>
      </c>
      <c r="C1887" s="2" t="str">
        <f t="shared" si="170"/>
        <v>FATUR-CONV</v>
      </c>
      <c r="D1887" s="2" t="str">
        <f t="shared" si="171"/>
        <v>FFCV</v>
      </c>
      <c r="E1887" s="2" t="str">
        <f>"Ajuste de Preço"</f>
        <v>Ajuste de Preço</v>
      </c>
      <c r="F1887" s="2" t="str">
        <f>"M_AJUSTA_PRECO"</f>
        <v>M_AJUSTA_PRECO</v>
      </c>
      <c r="G1887" s="2" t="str">
        <f>"Faturamento / Faturamento de Convênios e Particulares / Tabelas / Valores dos Procedimentos / Ajuste de Preço (M_AJUSTA_PRECO)"</f>
        <v>Faturamento / Faturamento de Convênios e Particulares / Tabelas / Valores dos Procedimentos / Ajuste de Preço (M_AJUSTA_PRECO)</v>
      </c>
    </row>
    <row r="1888" spans="1:7" x14ac:dyDescent="0.3">
      <c r="A1888" s="1" t="s">
        <v>4</v>
      </c>
      <c r="B1888" s="2" t="str">
        <f t="shared" si="169"/>
        <v>SISTEMA FATURAMENTO CONTAS DE CONVENIO</v>
      </c>
      <c r="C1888" s="2" t="str">
        <f t="shared" si="170"/>
        <v>FATUR-CONV</v>
      </c>
      <c r="D1888" s="2" t="str">
        <f t="shared" si="171"/>
        <v>FFCV</v>
      </c>
      <c r="E1888" s="2" t="str">
        <f>"Cadastro de Itens de Checagem"</f>
        <v>Cadastro de Itens de Checagem</v>
      </c>
      <c r="F1888" s="2" t="str">
        <f>"M_AUD_ITEM_PRESCRICAO"</f>
        <v>M_AUD_ITEM_PRESCRICAO</v>
      </c>
      <c r="G1888" s="2" t="str">
        <f>"Faturamento / Faturamento de Convênios e Particulares / Tabelas / Cobranças e Tabelas / Itens de Checagem (Auditoria) / Cadastro de Itens de Checagem (M_AUD_ITEM_PRESCRICAO)"</f>
        <v>Faturamento / Faturamento de Convênios e Particulares / Tabelas / Cobranças e Tabelas / Itens de Checagem (Auditoria) / Cadastro de Itens de Checagem (M_AUD_ITEM_PRESCRICAO)</v>
      </c>
    </row>
    <row r="1889" spans="1:7" x14ac:dyDescent="0.3">
      <c r="A1889" s="1" t="s">
        <v>4</v>
      </c>
      <c r="B1889" s="2" t="str">
        <f t="shared" si="169"/>
        <v>SISTEMA FATURAMENTO CONTAS DE CONVENIO</v>
      </c>
      <c r="C1889" s="2" t="str">
        <f t="shared" si="170"/>
        <v>FATUR-CONV</v>
      </c>
      <c r="D1889" s="2" t="str">
        <f t="shared" si="171"/>
        <v>FFCV</v>
      </c>
      <c r="E1889" s="2" t="str">
        <f>"Procedimentos na Fatura CPT"</f>
        <v>Procedimentos na Fatura CPT</v>
      </c>
      <c r="F1889" s="2" t="str">
        <f>"M_COD_PRO_CPT"</f>
        <v>M_COD_PRO_CPT</v>
      </c>
      <c r="G1889" s="2" t="str">
        <f>"Faturamento / Faturamento de Convênios e Particulares / Tabelas / Formas de Apresentação / Procedimentos na Fatura CPT (M_COD_PRO_CPT)"</f>
        <v>Faturamento / Faturamento de Convênios e Particulares / Tabelas / Formas de Apresentação / Procedimentos na Fatura CPT (M_COD_PRO_CPT)</v>
      </c>
    </row>
    <row r="1890" spans="1:7" x14ac:dyDescent="0.3">
      <c r="A1890" s="1" t="s">
        <v>4</v>
      </c>
      <c r="B1890" s="2" t="str">
        <f t="shared" si="169"/>
        <v>SISTEMA FATURAMENTO CONTAS DE CONVENIO</v>
      </c>
      <c r="C1890" s="2" t="str">
        <f t="shared" si="170"/>
        <v>FATUR-CONV</v>
      </c>
      <c r="D1890" s="2" t="str">
        <f t="shared" si="171"/>
        <v>FFCV</v>
      </c>
      <c r="E1890" s="2" t="str">
        <f>"Manutenção de Contratos"</f>
        <v>Manutenção de Contratos</v>
      </c>
      <c r="F1890" s="2" t="str">
        <f>"M_CONFIG_CONTRATO_FFCV"</f>
        <v>M_CONFIG_CONTRATO_FFCV</v>
      </c>
      <c r="G1890" s="2" t="str">
        <f>" ()"</f>
        <v xml:space="preserve"> ()</v>
      </c>
    </row>
    <row r="1891" spans="1:7" x14ac:dyDescent="0.3">
      <c r="A1891" s="1" t="s">
        <v>4</v>
      </c>
      <c r="B1891" s="2" t="str">
        <f t="shared" si="169"/>
        <v>SISTEMA FATURAMENTO CONTAS DE CONVENIO</v>
      </c>
      <c r="C1891" s="2" t="str">
        <f t="shared" si="170"/>
        <v>FATUR-CONV</v>
      </c>
      <c r="D1891" s="2" t="str">
        <f t="shared" si="171"/>
        <v>FFCV</v>
      </c>
      <c r="E1891" s="2" t="str">
        <f>"Tipos de Seguradoras"</f>
        <v>Tipos de Seguradoras</v>
      </c>
      <c r="F1891" s="2" t="str">
        <f>"M_TIPO_SEGURADORA_CONVENIO"</f>
        <v>M_TIPO_SEGURADORA_CONVENIO</v>
      </c>
      <c r="G1891" s="2" t="str">
        <f>"Faturamento / Faturamento de Convênios e Particulares / Tabelas / Gerais / Tipos de Seguradoras (M_TIPO_SEGURADORA_CONVENIO)"</f>
        <v>Faturamento / Faturamento de Convênios e Particulares / Tabelas / Gerais / Tipos de Seguradoras (M_TIPO_SEGURADORA_CONVENIO)</v>
      </c>
    </row>
    <row r="1892" spans="1:7" x14ac:dyDescent="0.3">
      <c r="A1892" s="1" t="s">
        <v>4</v>
      </c>
      <c r="B1892" s="2" t="str">
        <f t="shared" si="169"/>
        <v>SISTEMA FATURAMENTO CONTAS DE CONVENIO</v>
      </c>
      <c r="C1892" s="2" t="str">
        <f t="shared" si="170"/>
        <v>FATUR-CONV</v>
      </c>
      <c r="D1892" s="2" t="str">
        <f t="shared" si="171"/>
        <v>FFCV</v>
      </c>
      <c r="E1892" s="2" t="str">
        <f>"Consulta Nota de Crédito e Débito"</f>
        <v>Consulta Nota de Crédito e Débito</v>
      </c>
      <c r="F1892" s="2" t="str">
        <f>"M_CONSULTA_NOTA_FISC_CRED_DEB"</f>
        <v>M_CONSULTA_NOTA_FISC_CRED_DEB</v>
      </c>
      <c r="G1892" s="2" t="str">
        <f>" ()"</f>
        <v xml:space="preserve"> ()</v>
      </c>
    </row>
    <row r="1893" spans="1:7" x14ac:dyDescent="0.3">
      <c r="A1893" s="1" t="s">
        <v>4</v>
      </c>
      <c r="B1893" s="2" t="str">
        <f t="shared" si="169"/>
        <v>SISTEMA FATURAMENTO CONTAS DE CONVENIO</v>
      </c>
      <c r="C1893" s="2" t="str">
        <f t="shared" si="170"/>
        <v>FATUR-CONV</v>
      </c>
      <c r="D1893" s="2" t="str">
        <f t="shared" si="171"/>
        <v>FFCV</v>
      </c>
      <c r="E1893" s="2" t="str">
        <f>"Unificação"</f>
        <v>Unificação</v>
      </c>
      <c r="F1893" s="2" t="str">
        <f>"M_UNIFICACAO"</f>
        <v>M_UNIFICACAO</v>
      </c>
      <c r="G1893" s="2" t="str">
        <f>"Unificação (M_UNIFICACAO)"</f>
        <v>Unificação (M_UNIFICACAO)</v>
      </c>
    </row>
    <row r="1894" spans="1:7" x14ac:dyDescent="0.3">
      <c r="A1894" s="1" t="s">
        <v>4</v>
      </c>
      <c r="B1894" s="2" t="str">
        <f t="shared" si="169"/>
        <v>SISTEMA FATURAMENTO CONTAS DE CONVENIO</v>
      </c>
      <c r="C1894" s="2" t="str">
        <f t="shared" si="170"/>
        <v>FATUR-CONV</v>
      </c>
      <c r="D1894" s="2" t="str">
        <f t="shared" si="171"/>
        <v>FFCV</v>
      </c>
      <c r="E1894" s="2" t="str">
        <f>"Configuração"</f>
        <v>Configuração</v>
      </c>
      <c r="F1894" s="2" t="str">
        <f>"M_CONF_UNIFICACAO"</f>
        <v>M_CONF_UNIFICACAO</v>
      </c>
      <c r="G1894" s="2" t="str">
        <f>"Configuração (M_CONF_UNIFICACAO)"</f>
        <v>Configuração (M_CONF_UNIFICACAO)</v>
      </c>
    </row>
    <row r="1895" spans="1:7" x14ac:dyDescent="0.3">
      <c r="A1895" s="1" t="s">
        <v>4</v>
      </c>
      <c r="B1895" s="2" t="str">
        <f t="shared" si="169"/>
        <v>SISTEMA FATURAMENTO CONTAS DE CONVENIO</v>
      </c>
      <c r="C1895" s="2" t="str">
        <f t="shared" si="170"/>
        <v>FATUR-CONV</v>
      </c>
      <c r="D1895" s="2" t="str">
        <f t="shared" si="171"/>
        <v>FFCV</v>
      </c>
      <c r="E1895" s="2" t="str">
        <f>"Nota de Crédito e Débito"</f>
        <v>Nota de Crédito e Débito</v>
      </c>
      <c r="F1895" s="2" t="str">
        <f>"M_NOTA_CRED_DEB"</f>
        <v>M_NOTA_CRED_DEB</v>
      </c>
      <c r="G1895" s="2" t="str">
        <f>"Nota de Crédito e Débito (M_NOTA_CRED_DEB)"</f>
        <v>Nota de Crédito e Débito (M_NOTA_CRED_DEB)</v>
      </c>
    </row>
    <row r="1896" spans="1:7" x14ac:dyDescent="0.3">
      <c r="A1896" s="1" t="s">
        <v>4</v>
      </c>
      <c r="B1896" s="2" t="str">
        <f t="shared" si="169"/>
        <v>SISTEMA FATURAMENTO CONTAS DE CONVENIO</v>
      </c>
      <c r="C1896" s="2" t="str">
        <f t="shared" si="170"/>
        <v>FATUR-CONV</v>
      </c>
      <c r="D1896" s="2" t="str">
        <f t="shared" si="171"/>
        <v>FFCV</v>
      </c>
      <c r="E1896" s="2" t="str">
        <f>"Nota de Crédito e Débito"</f>
        <v>Nota de Crédito e Débito</v>
      </c>
      <c r="F1896" s="2" t="str">
        <f>"M_NOTA_CRED_DEB"</f>
        <v>M_NOTA_CRED_DEB</v>
      </c>
      <c r="G1896" s="2" t="str">
        <f>"Faturamento / Faturamento de Convênios e Particulares / Solicitações / Nota de Crédito e Débito (M_NOTA_CRED_DEB)"</f>
        <v>Faturamento / Faturamento de Convênios e Particulares / Solicitações / Nota de Crédito e Débito (M_NOTA_CRED_DEB)</v>
      </c>
    </row>
    <row r="1897" spans="1:7" x14ac:dyDescent="0.3">
      <c r="A1897" s="1" t="s">
        <v>4</v>
      </c>
      <c r="B1897" s="2" t="str">
        <f t="shared" si="169"/>
        <v>SISTEMA FATURAMENTO CONTAS DE CONVENIO</v>
      </c>
      <c r="C1897" s="2" t="str">
        <f t="shared" si="170"/>
        <v>FATUR-CONV</v>
      </c>
      <c r="D1897" s="2" t="str">
        <f t="shared" si="171"/>
        <v>FFCV</v>
      </c>
      <c r="E1897" s="2" t="str">
        <f>"Movimentação de Categorias"</f>
        <v>Movimentação de Categorias</v>
      </c>
      <c r="F1897" s="2" t="str">
        <f>"M_MOV_CATEGORIA_CLINICA_FFCV"</f>
        <v>M_MOV_CATEGORIA_CLINICA_FFCV</v>
      </c>
      <c r="G1897" s="2" t="str">
        <f>" ()"</f>
        <v xml:space="preserve"> ()</v>
      </c>
    </row>
    <row r="1898" spans="1:7" x14ac:dyDescent="0.3">
      <c r="A1898" s="1" t="s">
        <v>4</v>
      </c>
      <c r="B1898" s="2" t="str">
        <f t="shared" si="169"/>
        <v>SISTEMA FATURAMENTO CONTAS DE CONVENIO</v>
      </c>
      <c r="C1898" s="2" t="str">
        <f t="shared" si="170"/>
        <v>FATUR-CONV</v>
      </c>
      <c r="D1898" s="2" t="str">
        <f t="shared" si="171"/>
        <v>FFCV</v>
      </c>
      <c r="E1898" s="2" t="str">
        <f>"Valor por Categoria Clínica do Paciente"</f>
        <v>Valor por Categoria Clínica do Paciente</v>
      </c>
      <c r="F1898" s="2" t="str">
        <f>"M_VAL_CATEGORIA_CLINICA_FFCV"</f>
        <v>M_VAL_CATEGORIA_CLINICA_FFCV</v>
      </c>
      <c r="G1898" s="2" t="str">
        <f>"Faturamento / Faturamento de Convênios e Particulares / Tabelas / Valores dos Procedimentos / Valor por Categoria Clínica do Paciente (M_VAL_CATEGORIA_CLINICA_FFCV)"</f>
        <v>Faturamento / Faturamento de Convênios e Particulares / Tabelas / Valores dos Procedimentos / Valor por Categoria Clínica do Paciente (M_VAL_CATEGORIA_CLINICA_FFCV)</v>
      </c>
    </row>
    <row r="1899" spans="1:7" x14ac:dyDescent="0.3">
      <c r="A1899" s="1" t="s">
        <v>4</v>
      </c>
      <c r="B1899" s="2" t="str">
        <f t="shared" si="169"/>
        <v>SISTEMA FATURAMENTO CONTAS DE CONVENIO</v>
      </c>
      <c r="C1899" s="2" t="str">
        <f t="shared" si="170"/>
        <v>FATUR-CONV</v>
      </c>
      <c r="D1899" s="2" t="str">
        <f t="shared" si="171"/>
        <v>FFCV</v>
      </c>
      <c r="E1899" s="2" t="str">
        <f>"Categoria Clínica do Paciente"</f>
        <v>Categoria Clínica do Paciente</v>
      </c>
      <c r="F1899" s="2" t="str">
        <f>"M_CATEGORIA_CLINICA_FFCV"</f>
        <v>M_CATEGORIA_CLINICA_FFCV</v>
      </c>
      <c r="G1899" s="2" t="str">
        <f>"Faturamento / Faturamento de Convênios e Particulares / Tabelas / Valores dos Procedimentos / Categoria Clínica do Paciente (M_CATEGORIA_CLINICA_FFCV)"</f>
        <v>Faturamento / Faturamento de Convênios e Particulares / Tabelas / Valores dos Procedimentos / Categoria Clínica do Paciente (M_CATEGORIA_CLINICA_FFCV)</v>
      </c>
    </row>
    <row r="1900" spans="1:7" x14ac:dyDescent="0.3">
      <c r="A1900" s="1" t="s">
        <v>4</v>
      </c>
      <c r="B1900" s="2" t="str">
        <f t="shared" si="169"/>
        <v>SISTEMA FATURAMENTO CONTAS DE CONVENIO</v>
      </c>
      <c r="C1900" s="2" t="str">
        <f t="shared" si="170"/>
        <v>FATUR-CONV</v>
      </c>
      <c r="D1900" s="2" t="str">
        <f t="shared" si="171"/>
        <v>FFCV</v>
      </c>
      <c r="E1900" s="2" t="str">
        <f>"Consulta Guias de OPME por Fluxo"</f>
        <v>Consulta Guias de OPME por Fluxo</v>
      </c>
      <c r="F1900" s="2" t="str">
        <f>"C_FLUXO_GUIA_OPME"</f>
        <v>C_FLUXO_GUIA_OPME</v>
      </c>
      <c r="G1900" s="2" t="str">
        <f>"Faturamento / Faturamento de Convênios e Particulares / Guias / Consulta Guias de OPME por Fluxo (C_FLUXO_GUIA_OPME)"</f>
        <v>Faturamento / Faturamento de Convênios e Particulares / Guias / Consulta Guias de OPME por Fluxo (C_FLUXO_GUIA_OPME)</v>
      </c>
    </row>
    <row r="1901" spans="1:7" x14ac:dyDescent="0.3">
      <c r="A1901" s="1" t="s">
        <v>4</v>
      </c>
      <c r="B1901" s="2" t="str">
        <f t="shared" si="169"/>
        <v>SISTEMA FATURAMENTO CONTAS DE CONVENIO</v>
      </c>
      <c r="C1901" s="2" t="str">
        <f t="shared" si="170"/>
        <v>FATUR-CONV</v>
      </c>
      <c r="D1901" s="2" t="str">
        <f t="shared" si="171"/>
        <v>FFCV</v>
      </c>
      <c r="E1901" s="2" t="str">
        <f>"Consulta Guias de Alçada"</f>
        <v>Consulta Guias de Alçada</v>
      </c>
      <c r="F1901" s="2" t="str">
        <f>"C_GUIAS_ALCADA"</f>
        <v>C_GUIAS_ALCADA</v>
      </c>
      <c r="G1901" s="2" t="str">
        <f>"Faturamento / Faturamento de Convênios e Particulares / Lançamentos / Controle de Guias / Consulta Guias de Alçada (C_GUIAS_ALCADA)"</f>
        <v>Faturamento / Faturamento de Convênios e Particulares / Lançamentos / Controle de Guias / Consulta Guias de Alçada (C_GUIAS_ALCADA)</v>
      </c>
    </row>
    <row r="1902" spans="1:7" x14ac:dyDescent="0.3">
      <c r="A1902" s="1" t="s">
        <v>4</v>
      </c>
      <c r="B1902" s="2" t="str">
        <f t="shared" si="169"/>
        <v>SISTEMA FATURAMENTO CONTAS DE CONVENIO</v>
      </c>
      <c r="C1902" s="2" t="str">
        <f t="shared" si="170"/>
        <v>FATUR-CONV</v>
      </c>
      <c r="D1902" s="2" t="str">
        <f t="shared" si="171"/>
        <v>FFCV</v>
      </c>
      <c r="E1902" s="2" t="str">
        <f>"Projetos Cirurgicos"</f>
        <v>Projetos Cirurgicos</v>
      </c>
      <c r="F1902" s="2" t="str">
        <f>"M_PROJETO_CIRURGICO"</f>
        <v>M_PROJETO_CIRURGICO</v>
      </c>
      <c r="G1902" s="2" t="str">
        <f>"Faturamento / Faturamento de Convênios e Particulares / Tabelas / Cobranças e Tabelas / Projetos Cirurgicos (M_PROJETO_CIRURGICO)"</f>
        <v>Faturamento / Faturamento de Convênios e Particulares / Tabelas / Cobranças e Tabelas / Projetos Cirurgicos (M_PROJETO_CIRURGICO)</v>
      </c>
    </row>
    <row r="1903" spans="1:7" x14ac:dyDescent="0.3">
      <c r="A1903" s="1" t="s">
        <v>4</v>
      </c>
      <c r="B1903" s="2" t="str">
        <f t="shared" si="169"/>
        <v>SISTEMA FATURAMENTO CONTAS DE CONVENIO</v>
      </c>
      <c r="C1903" s="2" t="str">
        <f t="shared" si="170"/>
        <v>FATUR-CONV</v>
      </c>
      <c r="D1903" s="2" t="str">
        <f t="shared" si="171"/>
        <v>FFCV</v>
      </c>
      <c r="E1903" s="2" t="str">
        <f>"Guias - Log de Alterações"</f>
        <v>Guias - Log de Alterações</v>
      </c>
      <c r="F1903" s="2" t="str">
        <f>"M_GUIAS_LOG_BLOCOS"</f>
        <v>M_GUIAS_LOG_BLOCOS</v>
      </c>
      <c r="G1903" s="2" t="str">
        <f>"Faturamento / Faturamento de Convênios e Particulares / Consultas / Guias - Log de Alterações (M_GUIAS_LOG_BLOCOS)"</f>
        <v>Faturamento / Faturamento de Convênios e Particulares / Consultas / Guias - Log de Alterações (M_GUIAS_LOG_BLOCOS)</v>
      </c>
    </row>
    <row r="1904" spans="1:7" x14ac:dyDescent="0.3">
      <c r="A1904" s="1" t="s">
        <v>4</v>
      </c>
      <c r="B1904" s="2" t="str">
        <f t="shared" si="169"/>
        <v>SISTEMA FATURAMENTO CONTAS DE CONVENIO</v>
      </c>
      <c r="C1904" s="2" t="str">
        <f t="shared" si="170"/>
        <v>FATUR-CONV</v>
      </c>
      <c r="D1904" s="2" t="str">
        <f t="shared" si="171"/>
        <v>FFCV</v>
      </c>
      <c r="E1904" s="2" t="str">
        <f>"Limites de OPME por Cirúrgia"</f>
        <v>Limites de OPME por Cirúrgia</v>
      </c>
      <c r="F1904" s="2" t="str">
        <f>"M_CONF_LIMITE_OPME_OC"</f>
        <v>M_CONF_LIMITE_OPME_OC</v>
      </c>
      <c r="G1904" s="2" t="str">
        <f>"Faturamento / Faturamento de Convênios e Particulares / Configurações / Limites de OPME por Cirúrgia (M_CONF_LIMITE_OPME_OC)"</f>
        <v>Faturamento / Faturamento de Convênios e Particulares / Configurações / Limites de OPME por Cirúrgia (M_CONF_LIMITE_OPME_OC)</v>
      </c>
    </row>
    <row r="1905" spans="1:7" x14ac:dyDescent="0.3">
      <c r="A1905" s="1" t="s">
        <v>4</v>
      </c>
      <c r="B1905" s="2" t="str">
        <f t="shared" si="169"/>
        <v>SISTEMA FATURAMENTO CONTAS DE CONVENIO</v>
      </c>
      <c r="C1905" s="2" t="str">
        <f t="shared" si="170"/>
        <v>FATUR-CONV</v>
      </c>
      <c r="D1905" s="2" t="str">
        <f t="shared" si="171"/>
        <v>FFCV</v>
      </c>
      <c r="E1905" s="2" t="str">
        <f>"Associação Empresa Formulário"</f>
        <v>Associação Empresa Formulário</v>
      </c>
      <c r="F1905" s="2" t="str">
        <f>"M_EMPRESA_FORMULARIO"</f>
        <v>M_EMPRESA_FORMULARIO</v>
      </c>
      <c r="G1905" s="2" t="str">
        <f>"Faturamento / Faturamento de Convênios e Particulares / Configurações / Associação Empresa Formulário (M_EMPRESA_FORMULARIO)"</f>
        <v>Faturamento / Faturamento de Convênios e Particulares / Configurações / Associação Empresa Formulário (M_EMPRESA_FORMULARIO)</v>
      </c>
    </row>
    <row r="1906" spans="1:7" x14ac:dyDescent="0.3">
      <c r="A1906" s="1" t="s">
        <v>4</v>
      </c>
      <c r="B1906" s="2" t="str">
        <f t="shared" si="169"/>
        <v>SISTEMA FATURAMENTO CONTAS DE CONVENIO</v>
      </c>
      <c r="C1906" s="2" t="str">
        <f t="shared" si="170"/>
        <v>FATUR-CONV</v>
      </c>
      <c r="D1906" s="2" t="str">
        <f t="shared" si="171"/>
        <v>FFCV</v>
      </c>
      <c r="E1906" s="2" t="str">
        <f>"Valor Acordado Médico X Paciente"</f>
        <v>Valor Acordado Médico X Paciente</v>
      </c>
      <c r="F1906" s="2" t="str">
        <f>"M_VALOR_ACORDO_MEDICO_PACIENTE"</f>
        <v>M_VALOR_ACORDO_MEDICO_PACIENTE</v>
      </c>
      <c r="G1906" s="2" t="str">
        <f>"Faturamento / Faturamento de Convênios e Particulares / Tabelas / Valores dos Procedimentos / Valor Acordado Médico X Paciente (M_VALOR_ACORDO_MEDICO_PACIENTE)"</f>
        <v>Faturamento / Faturamento de Convênios e Particulares / Tabelas / Valores dos Procedimentos / Valor Acordado Médico X Paciente (M_VALOR_ACORDO_MEDICO_PACIENTE)</v>
      </c>
    </row>
    <row r="1907" spans="1:7" x14ac:dyDescent="0.3">
      <c r="A1907" s="1" t="s">
        <v>4</v>
      </c>
      <c r="B1907" s="2" t="str">
        <f t="shared" si="169"/>
        <v>SISTEMA FATURAMENTO CONTAS DE CONVENIO</v>
      </c>
      <c r="C1907" s="2" t="str">
        <f t="shared" si="170"/>
        <v>FATUR-CONV</v>
      </c>
      <c r="D1907" s="2" t="str">
        <f t="shared" si="171"/>
        <v>FFCV</v>
      </c>
      <c r="E1907" s="2" t="str">
        <f>"Fluxo de Guias de OPME"</f>
        <v>Fluxo de Guias de OPME</v>
      </c>
      <c r="F1907" s="2" t="str">
        <f>"M_CONF_FLUXO_GUIA_OPME"</f>
        <v>M_CONF_FLUXO_GUIA_OPME</v>
      </c>
      <c r="G1907" s="2" t="str">
        <f>"Faturamento / Faturamento de Convênios e Particulares / Configurações / Fluxo de Guias de OPME (M_CONF_FLUXO_GUIA_OPME)"</f>
        <v>Faturamento / Faturamento de Convênios e Particulares / Configurações / Fluxo de Guias de OPME (M_CONF_FLUXO_GUIA_OPME)</v>
      </c>
    </row>
    <row r="1908" spans="1:7" x14ac:dyDescent="0.3">
      <c r="A1908" s="1" t="s">
        <v>4</v>
      </c>
      <c r="B1908" s="2" t="str">
        <f t="shared" si="169"/>
        <v>SISTEMA FATURAMENTO CONTAS DE CONVENIO</v>
      </c>
      <c r="C1908" s="2" t="str">
        <f t="shared" si="170"/>
        <v>FATUR-CONV</v>
      </c>
      <c r="D1908" s="2" t="str">
        <f t="shared" si="171"/>
        <v>FFCV</v>
      </c>
      <c r="E1908" s="2" t="str">
        <f>"Taxa RPA e Sala de Observação"</f>
        <v>Taxa RPA e Sala de Observação</v>
      </c>
      <c r="F1908" s="2" t="str">
        <f>"M_TAXA_RPA_OBS_FFCV"</f>
        <v>M_TAXA_RPA_OBS_FFCV</v>
      </c>
      <c r="G1908" s="2" t="str">
        <f>"Faturamento / Faturamento de Convênios e Particulares / Tabelas / Cobranças e Tabelas / Taxa RPA e Sala de Observação (M_TAXA_RPA_OBS_FFCV)"</f>
        <v>Faturamento / Faturamento de Convênios e Particulares / Tabelas / Cobranças e Tabelas / Taxa RPA e Sala de Observação (M_TAXA_RPA_OBS_FFCV)</v>
      </c>
    </row>
    <row r="1909" spans="1:7" x14ac:dyDescent="0.3">
      <c r="A1909" s="1" t="s">
        <v>4</v>
      </c>
      <c r="B1909" s="2" t="str">
        <f t="shared" si="169"/>
        <v>SISTEMA FATURAMENTO CONTAS DE CONVENIO</v>
      </c>
      <c r="C1909" s="2" t="str">
        <f t="shared" si="170"/>
        <v>FATUR-CONV</v>
      </c>
      <c r="D1909" s="2" t="str">
        <f t="shared" si="171"/>
        <v>FFCV</v>
      </c>
      <c r="E1909" s="2" t="str">
        <f>"Lançamentos de Reembolso"</f>
        <v>Lançamentos de Reembolso</v>
      </c>
      <c r="F1909" s="2" t="str">
        <f>"R_FAT_REEMBOLSO"</f>
        <v>R_FAT_REEMBOLSO</v>
      </c>
      <c r="G1909" s="2" t="str">
        <f>"Faturamento / Faturamento de Convênios e Particulares / Relatórios / Operacionais / Lançamentos de Reembolso (R_FAT_REEMBOLSO)"</f>
        <v>Faturamento / Faturamento de Convênios e Particulares / Relatórios / Operacionais / Lançamentos de Reembolso (R_FAT_REEMBOLSO)</v>
      </c>
    </row>
    <row r="1910" spans="1:7" x14ac:dyDescent="0.3">
      <c r="A1910" s="1" t="s">
        <v>4</v>
      </c>
      <c r="B1910" s="2" t="str">
        <f t="shared" si="169"/>
        <v>SISTEMA FATURAMENTO CONTAS DE CONVENIO</v>
      </c>
      <c r="C1910" s="2" t="str">
        <f t="shared" si="170"/>
        <v>FATUR-CONV</v>
      </c>
      <c r="D1910" s="2" t="str">
        <f t="shared" si="171"/>
        <v>FFCV</v>
      </c>
      <c r="E1910" s="2" t="str">
        <f>"Procedimentos na Fatura"</f>
        <v>Procedimentos na Fatura</v>
      </c>
      <c r="F1910" s="2" t="str">
        <f>"M_COD_PRO_IPE"</f>
        <v>M_COD_PRO_IPE</v>
      </c>
      <c r="G1910" s="2" t="str">
        <f>" ()"</f>
        <v xml:space="preserve"> ()</v>
      </c>
    </row>
    <row r="1911" spans="1:7" x14ac:dyDescent="0.3">
      <c r="A1911" s="1" t="s">
        <v>4</v>
      </c>
      <c r="B1911" s="2" t="str">
        <f t="shared" si="169"/>
        <v>SISTEMA FATURAMENTO CONTAS DE CONVENIO</v>
      </c>
      <c r="C1911" s="2" t="str">
        <f t="shared" si="170"/>
        <v>FATUR-CONV</v>
      </c>
      <c r="D1911" s="2" t="str">
        <f t="shared" si="171"/>
        <v>FFCV</v>
      </c>
      <c r="E1911" s="2" t="str">
        <f>"Notas Fiscais por Formulário"</f>
        <v>Notas Fiscais por Formulário</v>
      </c>
      <c r="F1911" s="2" t="str">
        <f>"R_NOTAS_FORMULARIO"</f>
        <v>R_NOTAS_FORMULARIO</v>
      </c>
      <c r="G1911" s="2" t="str">
        <f>"Faturamento / Faturamento de Convênios e Particulares / Relatórios / Operacionais / Notas Fiscais por Formulário (R_NOTAS_FORMULARIO)"</f>
        <v>Faturamento / Faturamento de Convênios e Particulares / Relatórios / Operacionais / Notas Fiscais por Formulário (R_NOTAS_FORMULARIO)</v>
      </c>
    </row>
    <row r="1912" spans="1:7" x14ac:dyDescent="0.3">
      <c r="A1912" s="1" t="s">
        <v>4</v>
      </c>
      <c r="B1912" s="2" t="str">
        <f t="shared" si="169"/>
        <v>SISTEMA FATURAMENTO CONTAS DE CONVENIO</v>
      </c>
      <c r="C1912" s="2" t="str">
        <f t="shared" si="170"/>
        <v>FATUR-CONV</v>
      </c>
      <c r="D1912" s="2" t="str">
        <f t="shared" si="171"/>
        <v>FFCV</v>
      </c>
      <c r="E1912" s="2" t="str">
        <f>"Relatório Guia TISS Consulta"</f>
        <v>Relatório Guia TISS Consulta</v>
      </c>
      <c r="F1912" s="2" t="str">
        <f>"R_CAPA_LOTE_TISS"</f>
        <v>R_CAPA_LOTE_TISS</v>
      </c>
      <c r="G1912" s="2" t="str">
        <f>" ()"</f>
        <v xml:space="preserve"> ()</v>
      </c>
    </row>
    <row r="1913" spans="1:7" x14ac:dyDescent="0.3">
      <c r="A1913" s="1" t="s">
        <v>4</v>
      </c>
      <c r="B1913" s="2" t="str">
        <f t="shared" si="169"/>
        <v>SISTEMA FATURAMENTO CONTAS DE CONVENIO</v>
      </c>
      <c r="C1913" s="2" t="str">
        <f t="shared" si="170"/>
        <v>FATUR-CONV</v>
      </c>
      <c r="D1913" s="2" t="str">
        <f t="shared" si="171"/>
        <v>FFCV</v>
      </c>
      <c r="E1913" s="2" t="str">
        <f>"TUSS (RN-305) - Simplificada"</f>
        <v>TUSS (RN-305) - Simplificada</v>
      </c>
      <c r="F1913" s="2" t="str">
        <f>"M_PRO_FAT_TUSS"</f>
        <v>M_PRO_FAT_TUSS</v>
      </c>
      <c r="G1913" s="2" t="str">
        <f>"Faturamento / Faturamento de Convênios e Particulares / Tabelas / Formas de Apresentação / TUSS (RN-305) - Simplificada (M_PRO_FAT_TUSS)"</f>
        <v>Faturamento / Faturamento de Convênios e Particulares / Tabelas / Formas de Apresentação / TUSS (RN-305) - Simplificada (M_PRO_FAT_TUSS)</v>
      </c>
    </row>
    <row r="1914" spans="1:7" x14ac:dyDescent="0.3">
      <c r="A1914" s="1" t="s">
        <v>4</v>
      </c>
      <c r="B1914" s="2" t="str">
        <f t="shared" si="169"/>
        <v>SISTEMA FATURAMENTO CONTAS DE CONVENIO</v>
      </c>
      <c r="C1914" s="2" t="str">
        <f t="shared" si="170"/>
        <v>FATUR-CONV</v>
      </c>
      <c r="D1914" s="2" t="str">
        <f t="shared" si="171"/>
        <v>FFCV</v>
      </c>
      <c r="E1914" s="2" t="str">
        <f>"Detalhamento por Regra de Faturamento"</f>
        <v>Detalhamento por Regra de Faturamento</v>
      </c>
      <c r="F1914" s="2" t="str">
        <f>"M_FATURAMENTO_DETALHAMENTO"</f>
        <v>M_FATURAMENTO_DETALHAMENTO</v>
      </c>
      <c r="G1914" s="2" t="str">
        <f>"Faturamento / Faturamento de Convênios e Particulares / Tabelas / Gerais / Detalhamento por Regra de Faturamento (M_FATURAMENTO_DETALHAMENTO)"</f>
        <v>Faturamento / Faturamento de Convênios e Particulares / Tabelas / Gerais / Detalhamento por Regra de Faturamento (M_FATURAMENTO_DETALHAMENTO)</v>
      </c>
    </row>
    <row r="1915" spans="1:7" x14ac:dyDescent="0.3">
      <c r="A1915" s="1" t="s">
        <v>4</v>
      </c>
      <c r="B1915" s="2" t="str">
        <f t="shared" si="169"/>
        <v>SISTEMA FATURAMENTO CONTAS DE CONVENIO</v>
      </c>
      <c r="C1915" s="2" t="str">
        <f t="shared" si="170"/>
        <v>FATUR-CONV</v>
      </c>
      <c r="D1915" s="2" t="str">
        <f t="shared" si="171"/>
        <v>FFCV</v>
      </c>
      <c r="E1915" s="2" t="str">
        <f>"Observações de Desconto para Franquia"</f>
        <v>Observações de Desconto para Franquia</v>
      </c>
      <c r="F1915" s="2" t="str">
        <f>"M_FRANQUIA_DESCONTO_OBS"</f>
        <v>M_FRANQUIA_DESCONTO_OBS</v>
      </c>
      <c r="G1915" s="2" t="str">
        <f>"Faturamento / Faturamento de Convênios e Particulares / Tabelas / Gerais / Observações de Desconto para Franquia (M_FRANQUIA_DESCONTO_OBS)"</f>
        <v>Faturamento / Faturamento de Convênios e Particulares / Tabelas / Gerais / Observações de Desconto para Franquia (M_FRANQUIA_DESCONTO_OBS)</v>
      </c>
    </row>
    <row r="1916" spans="1:7" x14ac:dyDescent="0.3">
      <c r="A1916" s="1" t="s">
        <v>4</v>
      </c>
      <c r="B1916" s="2" t="str">
        <f t="shared" si="169"/>
        <v>SISTEMA FATURAMENTO CONTAS DE CONVENIO</v>
      </c>
      <c r="C1916" s="2" t="str">
        <f t="shared" si="170"/>
        <v>FATUR-CONV</v>
      </c>
      <c r="D1916" s="2" t="str">
        <f t="shared" si="171"/>
        <v>FFCV</v>
      </c>
      <c r="E1916" s="2" t="str">
        <f>"Faixa de Fatores p/ Tabela Faturamento"</f>
        <v>Faixa de Fatores p/ Tabela Faturamento</v>
      </c>
      <c r="F1916" s="2" t="str">
        <f>"M_FAIXA_FATORES_TABFAT"</f>
        <v>M_FAIXA_FATORES_TABFAT</v>
      </c>
      <c r="G1916" s="2" t="str">
        <f>"Faturamento / Faturamento de Convênios e Particulares / Configurações / Faixa de Fatores para Tabela de Faturamento (M_FAIXA_FATORES_TABFAT)"</f>
        <v>Faturamento / Faturamento de Convênios e Particulares / Configurações / Faixa de Fatores para Tabela de Faturamento (M_FAIXA_FATORES_TABFAT)</v>
      </c>
    </row>
    <row r="1917" spans="1:7" x14ac:dyDescent="0.3">
      <c r="A1917" s="1" t="s">
        <v>4</v>
      </c>
      <c r="B1917" s="2" t="str">
        <f t="shared" si="169"/>
        <v>SISTEMA FATURAMENTO CONTAS DE CONVENIO</v>
      </c>
      <c r="C1917" s="2" t="str">
        <f t="shared" si="170"/>
        <v>FATUR-CONV</v>
      </c>
      <c r="D1917" s="2" t="str">
        <f t="shared" si="171"/>
        <v>FFCV</v>
      </c>
      <c r="E1917" s="2" t="str">
        <f>"Copia Tabelas de Faturamento"</f>
        <v>Copia Tabelas de Faturamento</v>
      </c>
      <c r="F1917" s="2" t="str">
        <f>"M_COPIA_TABFAT"</f>
        <v>M_COPIA_TABFAT</v>
      </c>
      <c r="G1917" s="2" t="str">
        <f>"Faturamento / Faturamento de Convênios e Particulares / Tabelas / Cobranças e Tabelas / Copia Tabelas de Faturamento (M_COPIA_TABFAT)"</f>
        <v>Faturamento / Faturamento de Convênios e Particulares / Tabelas / Cobranças e Tabelas / Copia Tabelas de Faturamento (M_COPIA_TABFAT)</v>
      </c>
    </row>
    <row r="1918" spans="1:7" x14ac:dyDescent="0.3">
      <c r="A1918" s="1" t="s">
        <v>4</v>
      </c>
      <c r="B1918" s="2" t="str">
        <f t="shared" si="169"/>
        <v>SISTEMA FATURAMENTO CONTAS DE CONVENIO</v>
      </c>
      <c r="C1918" s="2" t="str">
        <f t="shared" si="170"/>
        <v>FATUR-CONV</v>
      </c>
      <c r="D1918" s="2" t="str">
        <f t="shared" si="171"/>
        <v>FFCV</v>
      </c>
      <c r="E1918" s="2" t="str">
        <f>"Motivo Descaracterização de Pacotes"</f>
        <v>Motivo Descaracterização de Pacotes</v>
      </c>
      <c r="F1918" s="2" t="str">
        <f>"M_MOTIVO_DESCARACT_PAC"</f>
        <v>M_MOTIVO_DESCARACT_PAC</v>
      </c>
      <c r="G1918" s="2" t="str">
        <f>"Faturamento / Faturamento de Convênios e Particulares / Tabelas / Cobranças e Tabelas / Motivo Descaracterização de Pacotes (M_MOTIVO_DESCARACT_PAC)"</f>
        <v>Faturamento / Faturamento de Convênios e Particulares / Tabelas / Cobranças e Tabelas / Motivo Descaracterização de Pacotes (M_MOTIVO_DESCARACT_PAC)</v>
      </c>
    </row>
    <row r="1919" spans="1:7" x14ac:dyDescent="0.3">
      <c r="A1919" s="1" t="s">
        <v>4</v>
      </c>
      <c r="B1919" s="2" t="str">
        <f t="shared" si="169"/>
        <v>SISTEMA FATURAMENTO CONTAS DE CONVENIO</v>
      </c>
      <c r="C1919" s="2" t="str">
        <f t="shared" si="170"/>
        <v>FATUR-CONV</v>
      </c>
      <c r="D1919" s="2" t="str">
        <f t="shared" si="171"/>
        <v>FFCV</v>
      </c>
      <c r="E1919" s="2" t="str">
        <f>"Carteira paciente"</f>
        <v>Carteira paciente</v>
      </c>
      <c r="F1919" s="2" t="str">
        <f>"M_CARTEIRA_PACIENTE"</f>
        <v>M_CARTEIRA_PACIENTE</v>
      </c>
      <c r="G1919" s="2" t="str">
        <f>" ()"</f>
        <v xml:space="preserve"> ()</v>
      </c>
    </row>
    <row r="1920" spans="1:7" x14ac:dyDescent="0.3">
      <c r="A1920" s="1" t="s">
        <v>4</v>
      </c>
      <c r="B1920" s="2" t="str">
        <f t="shared" si="169"/>
        <v>SISTEMA FATURAMENTO CONTAS DE CONVENIO</v>
      </c>
      <c r="C1920" s="2" t="str">
        <f t="shared" si="170"/>
        <v>FATUR-CONV</v>
      </c>
      <c r="D1920" s="2" t="str">
        <f t="shared" si="171"/>
        <v>FFCV</v>
      </c>
      <c r="E1920" s="2" t="str">
        <f>"FUNÇÃO DE CÁLCULO DO FFCV"</f>
        <v>FUNÇÃO DE CÁLCULO DO FFCV</v>
      </c>
      <c r="F1920" s="2" t="str">
        <f>"VAL_PROC_FFCV"</f>
        <v>VAL_PROC_FFCV</v>
      </c>
      <c r="G1920" s="2" t="str">
        <f>" ()"</f>
        <v xml:space="preserve"> ()</v>
      </c>
    </row>
    <row r="1921" spans="1:7" x14ac:dyDescent="0.3">
      <c r="A1921" s="1" t="s">
        <v>4</v>
      </c>
      <c r="B1921" s="2" t="str">
        <f t="shared" si="169"/>
        <v>SISTEMA FATURAMENTO CONTAS DE CONVENIO</v>
      </c>
      <c r="C1921" s="2" t="str">
        <f t="shared" si="170"/>
        <v>FATUR-CONV</v>
      </c>
      <c r="D1921" s="2" t="str">
        <f t="shared" si="171"/>
        <v>FFCV</v>
      </c>
      <c r="E1921" s="2" t="str">
        <f>"LANÇAMENTO NUTRIÇÃO PARA FATURAMENTO"</f>
        <v>LANÇAMENTO NUTRIÇÃO PARA FATURAMENTO</v>
      </c>
      <c r="F1921" s="2" t="str">
        <f>"TRG_LANCA_PSND_FFCV"</f>
        <v>TRG_LANCA_PSND_FFCV</v>
      </c>
      <c r="G1921" s="2" t="str">
        <f>" ()"</f>
        <v xml:space="preserve"> ()</v>
      </c>
    </row>
    <row r="1922" spans="1:7" x14ac:dyDescent="0.3">
      <c r="A1922" s="1" t="s">
        <v>4</v>
      </c>
      <c r="B1922" s="2" t="str">
        <f t="shared" si="169"/>
        <v>SISTEMA FATURAMENTO CONTAS DE CONVENIO</v>
      </c>
      <c r="C1922" s="2" t="str">
        <f t="shared" si="170"/>
        <v>FATUR-CONV</v>
      </c>
      <c r="D1922" s="2" t="str">
        <f t="shared" si="171"/>
        <v>FFCV</v>
      </c>
      <c r="E1922" s="2" t="str">
        <f>"TRIGGER DE LANC. DE DIAG. IMAGEM-&gt; FFCV"</f>
        <v>TRIGGER DE LANC. DE DIAG. IMAGEM-&gt; FFCV</v>
      </c>
      <c r="F1922" s="2" t="str">
        <f>"TRG_LANCA_PSDI_FFCV"</f>
        <v>TRG_LANCA_PSDI_FFCV</v>
      </c>
      <c r="G1922" s="2" t="str">
        <f>" ()"</f>
        <v xml:space="preserve"> ()</v>
      </c>
    </row>
    <row r="1923" spans="1:7" x14ac:dyDescent="0.3">
      <c r="A1923" s="1" t="s">
        <v>4</v>
      </c>
      <c r="B1923" s="2" t="str">
        <f t="shared" si="169"/>
        <v>SISTEMA FATURAMENTO CONTAS DE CONVENIO</v>
      </c>
      <c r="C1923" s="2" t="str">
        <f t="shared" si="170"/>
        <v>FATUR-CONV</v>
      </c>
      <c r="D1923" s="2" t="str">
        <f t="shared" si="171"/>
        <v>FFCV</v>
      </c>
      <c r="E1923" s="2" t="str">
        <f>"R_VAL_PORTE_MEDICO"</f>
        <v>R_VAL_PORTE_MEDICO</v>
      </c>
      <c r="F1923" s="2" t="str">
        <f>"R_VAL_PORTE_MEDICO"</f>
        <v>R_VAL_PORTE_MEDICO</v>
      </c>
      <c r="G1923" s="2" t="str">
        <f>"Faturamento / Faturamento de Convênios e Particulares / Relatórios / Tabelas / Tabela de Valores / Portes de Ato Médico (R_VAL_PORTE_MEDICO)"</f>
        <v>Faturamento / Faturamento de Convênios e Particulares / Relatórios / Tabelas / Tabela de Valores / Portes de Ato Médico (R_VAL_PORTE_MEDICO)</v>
      </c>
    </row>
    <row r="1924" spans="1:7" x14ac:dyDescent="0.3">
      <c r="A1924" s="1" t="s">
        <v>4</v>
      </c>
      <c r="B1924" s="2" t="str">
        <f t="shared" si="169"/>
        <v>SISTEMA FATURAMENTO CONTAS DE CONVENIO</v>
      </c>
      <c r="C1924" s="2" t="str">
        <f t="shared" si="170"/>
        <v>FATUR-CONV</v>
      </c>
      <c r="D1924" s="2" t="str">
        <f t="shared" si="171"/>
        <v>FFCV</v>
      </c>
      <c r="E1924" s="2" t="str">
        <f>"Diária Faixa Etária"</f>
        <v>Diária Faixa Etária</v>
      </c>
      <c r="F1924" s="2" t="str">
        <f>"M_DIARIA_FAIXA_ETARIA"</f>
        <v>M_DIARIA_FAIXA_ETARIA</v>
      </c>
      <c r="G1924" s="2" t="str">
        <f>" ()"</f>
        <v xml:space="preserve"> ()</v>
      </c>
    </row>
    <row r="1925" spans="1:7" x14ac:dyDescent="0.3">
      <c r="A1925" s="1" t="s">
        <v>4</v>
      </c>
      <c r="B1925" s="2" t="str">
        <f t="shared" si="169"/>
        <v>SISTEMA FATURAMENTO CONTAS DE CONVENIO</v>
      </c>
      <c r="C1925" s="2" t="str">
        <f t="shared" si="170"/>
        <v>FATUR-CONV</v>
      </c>
      <c r="D1925" s="2" t="str">
        <f t="shared" si="171"/>
        <v>FFCV</v>
      </c>
      <c r="E1925" s="2" t="str">
        <f>"Cadastro de Empresas de Auditoria"</f>
        <v>Cadastro de Empresas de Auditoria</v>
      </c>
      <c r="F1925" s="2" t="str">
        <f>"M_EMPRESA_AUDITORIA_FFCV"</f>
        <v>M_EMPRESA_AUDITORIA_FFCV</v>
      </c>
      <c r="G1925" s="2" t="str">
        <f>" ()"</f>
        <v xml:space="preserve"> ()</v>
      </c>
    </row>
    <row r="1926" spans="1:7" x14ac:dyDescent="0.3">
      <c r="A1926" s="1" t="s">
        <v>4</v>
      </c>
      <c r="B1926" s="2" t="str">
        <f t="shared" ref="B1926:B1989" si="172">"SISTEMA FATURAMENTO CONTAS DE CONVENIO"</f>
        <v>SISTEMA FATURAMENTO CONTAS DE CONVENIO</v>
      </c>
      <c r="C1926" s="2" t="str">
        <f t="shared" ref="C1926:C1989" si="173">"FATUR-CONV"</f>
        <v>FATUR-CONV</v>
      </c>
      <c r="D1926" s="2" t="str">
        <f t="shared" ref="D1926:D1989" si="174">"FFCV"</f>
        <v>FFCV</v>
      </c>
      <c r="E1926" s="2" t="str">
        <f>"Importação Retorno de Glosa"</f>
        <v>Importação Retorno de Glosa</v>
      </c>
      <c r="F1926" s="2" t="str">
        <f>"O_RETORNO_ARQMAG_GERAL"</f>
        <v>O_RETORNO_ARQMAG_GERAL</v>
      </c>
      <c r="G1926" s="2" t="str">
        <f>"Importação Retorno de Glosa (O_RETORNO_ARQMAG_GERAL)"</f>
        <v>Importação Retorno de Glosa (O_RETORNO_ARQMAG_GERAL)</v>
      </c>
    </row>
    <row r="1927" spans="1:7" x14ac:dyDescent="0.3">
      <c r="A1927" s="1" t="s">
        <v>4</v>
      </c>
      <c r="B1927" s="2" t="str">
        <f t="shared" si="172"/>
        <v>SISTEMA FATURAMENTO CONTAS DE CONVENIO</v>
      </c>
      <c r="C1927" s="2" t="str">
        <f t="shared" si="173"/>
        <v>FATUR-CONV</v>
      </c>
      <c r="D1927" s="2" t="str">
        <f t="shared" si="174"/>
        <v>FFCV</v>
      </c>
      <c r="E1927" s="2" t="str">
        <f>"O_DEDUCAO_NF"</f>
        <v>O_DEDUCAO_NF</v>
      </c>
      <c r="F1927" s="2" t="str">
        <f>"O_DEDUCAO_NF"</f>
        <v>O_DEDUCAO_NF</v>
      </c>
      <c r="G1927" s="2" t="str">
        <f>"Faturamento / Faturamento de Convênios e Particulares / Tabelas / Gerais / Deduções da nota fiscal por convênio (O_DEDUCAO_NF)"</f>
        <v>Faturamento / Faturamento de Convênios e Particulares / Tabelas / Gerais / Deduções da nota fiscal por convênio (O_DEDUCAO_NF)</v>
      </c>
    </row>
    <row r="1928" spans="1:7" x14ac:dyDescent="0.3">
      <c r="A1928" s="1" t="s">
        <v>4</v>
      </c>
      <c r="B1928" s="2" t="str">
        <f t="shared" si="172"/>
        <v>SISTEMA FATURAMENTO CONTAS DE CONVENIO</v>
      </c>
      <c r="C1928" s="2" t="str">
        <f t="shared" si="173"/>
        <v>FATUR-CONV</v>
      </c>
      <c r="D1928" s="2" t="str">
        <f t="shared" si="174"/>
        <v>FFCV</v>
      </c>
      <c r="E1928" s="2" t="str">
        <f>"Taxas de Manuseio"</f>
        <v>Taxas de Manuseio</v>
      </c>
      <c r="F1928" s="2" t="str">
        <f>"M_TAXAS_MANUSEIO_OPME"</f>
        <v>M_TAXAS_MANUSEIO_OPME</v>
      </c>
      <c r="G1928" s="2" t="str">
        <f>" ()"</f>
        <v xml:space="preserve"> ()</v>
      </c>
    </row>
    <row r="1929" spans="1:7" x14ac:dyDescent="0.3">
      <c r="A1929" s="1" t="s">
        <v>4</v>
      </c>
      <c r="B1929" s="2" t="str">
        <f t="shared" si="172"/>
        <v>SISTEMA FATURAMENTO CONTAS DE CONVENIO</v>
      </c>
      <c r="C1929" s="2" t="str">
        <f t="shared" si="173"/>
        <v>FATUR-CONV</v>
      </c>
      <c r="D1929" s="2" t="str">
        <f t="shared" si="174"/>
        <v>FFCV</v>
      </c>
      <c r="E1929" s="2" t="str">
        <f>"Status Central de Documentos"</f>
        <v>Status Central de Documentos</v>
      </c>
      <c r="F1929" s="2" t="str">
        <f>"R_STATUS_CENTRAL_DOCUMENTOS"</f>
        <v>R_STATUS_CENTRAL_DOCUMENTOS</v>
      </c>
      <c r="G1929" s="2" t="str">
        <f>" ()"</f>
        <v xml:space="preserve"> ()</v>
      </c>
    </row>
    <row r="1930" spans="1:7" x14ac:dyDescent="0.3">
      <c r="A1930" s="1" t="s">
        <v>4</v>
      </c>
      <c r="B1930" s="2" t="str">
        <f t="shared" si="172"/>
        <v>SISTEMA FATURAMENTO CONTAS DE CONVENIO</v>
      </c>
      <c r="C1930" s="2" t="str">
        <f t="shared" si="173"/>
        <v>FATUR-CONV</v>
      </c>
      <c r="D1930" s="2" t="str">
        <f t="shared" si="174"/>
        <v>FFCV</v>
      </c>
      <c r="E1930" s="2" t="str">
        <f>"TAXAS EXTRAS IPERGS"</f>
        <v>TAXAS EXTRAS IPERGS</v>
      </c>
      <c r="F1930" s="2" t="str">
        <f>"M_TAXAS_EXTRAS_IPERGS"</f>
        <v>M_TAXAS_EXTRAS_IPERGS</v>
      </c>
      <c r="G1930" s="2" t="str">
        <f>" ()"</f>
        <v xml:space="preserve"> ()</v>
      </c>
    </row>
    <row r="1931" spans="1:7" x14ac:dyDescent="0.3">
      <c r="A1931" s="1" t="s">
        <v>4</v>
      </c>
      <c r="B1931" s="2" t="str">
        <f t="shared" si="172"/>
        <v>SISTEMA FATURAMENTO CONTAS DE CONVENIO</v>
      </c>
      <c r="C1931" s="2" t="str">
        <f t="shared" si="173"/>
        <v>FATUR-CONV</v>
      </c>
      <c r="D1931" s="2" t="str">
        <f t="shared" si="174"/>
        <v>FFCV</v>
      </c>
      <c r="E1931" s="2" t="str">
        <f>"M_MOTIVO_CANCELAMENTO_NFE"</f>
        <v>M_MOTIVO_CANCELAMENTO_NFE</v>
      </c>
      <c r="F1931" s="2" t="str">
        <f>"M_MOTIVO_CANCELAMENTO_NFE"</f>
        <v>M_MOTIVO_CANCELAMENTO_NFE</v>
      </c>
      <c r="G1931" s="2" t="str">
        <f>" ()"</f>
        <v xml:space="preserve"> ()</v>
      </c>
    </row>
    <row r="1932" spans="1:7" x14ac:dyDescent="0.3">
      <c r="A1932" s="1" t="s">
        <v>4</v>
      </c>
      <c r="B1932" s="2" t="str">
        <f t="shared" si="172"/>
        <v>SISTEMA FATURAMENTO CONTAS DE CONVENIO</v>
      </c>
      <c r="C1932" s="2" t="str">
        <f t="shared" si="173"/>
        <v>FATUR-CONV</v>
      </c>
      <c r="D1932" s="2" t="str">
        <f t="shared" si="174"/>
        <v>FFCV</v>
      </c>
      <c r="E1932" s="2" t="str">
        <f>"M_CANCELA_NOTA_FISCAL"</f>
        <v>M_CANCELA_NOTA_FISCAL</v>
      </c>
      <c r="F1932" s="2" t="str">
        <f>"M_CANCELA_NOTA_FISCAL"</f>
        <v>M_CANCELA_NOTA_FISCAL</v>
      </c>
      <c r="G1932" s="2" t="str">
        <f>" ()"</f>
        <v xml:space="preserve"> ()</v>
      </c>
    </row>
    <row r="1933" spans="1:7" x14ac:dyDescent="0.3">
      <c r="A1933" s="1" t="s">
        <v>4</v>
      </c>
      <c r="B1933" s="2" t="str">
        <f t="shared" si="172"/>
        <v>SISTEMA FATURAMENTO CONTAS DE CONVENIO</v>
      </c>
      <c r="C1933" s="2" t="str">
        <f t="shared" si="173"/>
        <v>FATUR-CONV</v>
      </c>
      <c r="D1933" s="2" t="str">
        <f t="shared" si="174"/>
        <v>FFCV</v>
      </c>
      <c r="E1933" s="2" t="str">
        <f>"M_CONFIG_NF"</f>
        <v>M_CONFIG_NF</v>
      </c>
      <c r="F1933" s="2" t="str">
        <f>"M_CONFIG_NF"</f>
        <v>M_CONFIG_NF</v>
      </c>
      <c r="G1933" s="2" t="str">
        <f>"Faturamento / Faturamento de Convênios e Particulares / Configurações / Configurações da Nota Fiscal (M_CONFIG_NF)"</f>
        <v>Faturamento / Faturamento de Convênios e Particulares / Configurações / Configurações da Nota Fiscal (M_CONFIG_NF)</v>
      </c>
    </row>
    <row r="1934" spans="1:7" x14ac:dyDescent="0.3">
      <c r="A1934" s="1" t="s">
        <v>4</v>
      </c>
      <c r="B1934" s="2" t="str">
        <f t="shared" si="172"/>
        <v>SISTEMA FATURAMENTO CONTAS DE CONVENIO</v>
      </c>
      <c r="C1934" s="2" t="str">
        <f t="shared" si="173"/>
        <v>FATUR-CONV</v>
      </c>
      <c r="D1934" s="2" t="str">
        <f t="shared" si="174"/>
        <v>FFCV</v>
      </c>
      <c r="E1934" s="2" t="str">
        <f>"M_PAINEL_NF"</f>
        <v>M_PAINEL_NF</v>
      </c>
      <c r="F1934" s="2" t="str">
        <f>"M_PAINEL_NF"</f>
        <v>M_PAINEL_NF</v>
      </c>
      <c r="G1934" s="2" t="str">
        <f>" ()"</f>
        <v xml:space="preserve"> ()</v>
      </c>
    </row>
    <row r="1935" spans="1:7" x14ac:dyDescent="0.3">
      <c r="A1935" s="1" t="s">
        <v>4</v>
      </c>
      <c r="B1935" s="2" t="str">
        <f t="shared" si="172"/>
        <v>SISTEMA FATURAMENTO CONTAS DE CONVENIO</v>
      </c>
      <c r="C1935" s="2" t="str">
        <f t="shared" si="173"/>
        <v>FATUR-CONV</v>
      </c>
      <c r="D1935" s="2" t="str">
        <f t="shared" si="174"/>
        <v>FFCV</v>
      </c>
      <c r="E1935" s="2" t="str">
        <f>"M_CONVERTE_RPS"</f>
        <v>M_CONVERTE_RPS</v>
      </c>
      <c r="F1935" s="2" t="str">
        <f>"M_CONVERTE_RPS"</f>
        <v>M_CONVERTE_RPS</v>
      </c>
      <c r="G1935" s="2" t="str">
        <f>" ()"</f>
        <v xml:space="preserve"> ()</v>
      </c>
    </row>
    <row r="1936" spans="1:7" x14ac:dyDescent="0.3">
      <c r="A1936" s="1" t="s">
        <v>4</v>
      </c>
      <c r="B1936" s="2" t="str">
        <f t="shared" si="172"/>
        <v>SISTEMA FATURAMENTO CONTAS DE CONVENIO</v>
      </c>
      <c r="C1936" s="2" t="str">
        <f t="shared" si="173"/>
        <v>FATUR-CONV</v>
      </c>
      <c r="D1936" s="2" t="str">
        <f t="shared" si="174"/>
        <v>FFCV</v>
      </c>
      <c r="E1936" s="2" t="str">
        <f>"M_GRUPO_VAL_CONVENIO"</f>
        <v>M_GRUPO_VAL_CONVENIO</v>
      </c>
      <c r="F1936" s="2" t="str">
        <f>"M_GRUPO_VAL_CONVENIO"</f>
        <v>M_GRUPO_VAL_CONVENIO</v>
      </c>
      <c r="G1936" s="2" t="str">
        <f>" ()"</f>
        <v xml:space="preserve"> ()</v>
      </c>
    </row>
    <row r="1937" spans="1:7" x14ac:dyDescent="0.3">
      <c r="A1937" s="1" t="s">
        <v>4</v>
      </c>
      <c r="B1937" s="2" t="str">
        <f t="shared" si="172"/>
        <v>SISTEMA FATURAMENTO CONTAS DE CONVENIO</v>
      </c>
      <c r="C1937" s="2" t="str">
        <f t="shared" si="173"/>
        <v>FATUR-CONV</v>
      </c>
      <c r="D1937" s="2" t="str">
        <f t="shared" si="174"/>
        <v>FFCV</v>
      </c>
      <c r="E1937" s="2" t="str">
        <f>"Serviços de Nota-Fiscal por Tributos"</f>
        <v>Serviços de Nota-Fiscal por Tributos</v>
      </c>
      <c r="F1937" s="2" t="str">
        <f>"M_TRIBUTO_SRV_GRUFAT_NF"</f>
        <v>M_TRIBUTO_SRV_GRUFAT_NF</v>
      </c>
      <c r="G1937" s="2" t="str">
        <f>"Faturamento / Faturamento de Convênios e Particulares / Tabelas / Gerais / Serviços de Nota-Fiscal por Tributos (M_TRIBUTO_SRV_GRUFAT_NF)"</f>
        <v>Faturamento / Faturamento de Convênios e Particulares / Tabelas / Gerais / Serviços de Nota-Fiscal por Tributos (M_TRIBUTO_SRV_GRUFAT_NF)</v>
      </c>
    </row>
    <row r="1938" spans="1:7" x14ac:dyDescent="0.3">
      <c r="A1938" s="1" t="s">
        <v>4</v>
      </c>
      <c r="B1938" s="2" t="str">
        <f t="shared" si="172"/>
        <v>SISTEMA FATURAMENTO CONTAS DE CONVENIO</v>
      </c>
      <c r="C1938" s="2" t="str">
        <f t="shared" si="173"/>
        <v>FATUR-CONV</v>
      </c>
      <c r="D1938" s="2" t="str">
        <f t="shared" si="174"/>
        <v>FFCV</v>
      </c>
      <c r="E1938" s="2" t="str">
        <f>"CONFIGURACAO DE RELACIONAMENTOS TUSS"</f>
        <v>CONFIGURACAO DE RELACIONAMENTOS TUSS</v>
      </c>
      <c r="F1938" s="2" t="str">
        <f>"M_CONF_TIP_TUSS"</f>
        <v>M_CONF_TIP_TUSS</v>
      </c>
      <c r="G1938" s="2" t="str">
        <f>" ()"</f>
        <v xml:space="preserve"> ()</v>
      </c>
    </row>
    <row r="1939" spans="1:7" x14ac:dyDescent="0.3">
      <c r="A1939" s="1" t="s">
        <v>4</v>
      </c>
      <c r="B1939" s="2" t="str">
        <f t="shared" si="172"/>
        <v>SISTEMA FATURAMENTO CONTAS DE CONVENIO</v>
      </c>
      <c r="C1939" s="2" t="str">
        <f t="shared" si="173"/>
        <v>FATUR-CONV</v>
      </c>
      <c r="D1939" s="2" t="str">
        <f t="shared" si="174"/>
        <v>FFCV</v>
      </c>
      <c r="E1939" s="2" t="str">
        <f>"Empresas por Convênios"</f>
        <v>Empresas por Convênios</v>
      </c>
      <c r="F1939" s="2" t="str">
        <f>"M_EMPRESA_CONV_FAT_CRUZADO"</f>
        <v>M_EMPRESA_CONV_FAT_CRUZADO</v>
      </c>
      <c r="G1939" s="2" t="str">
        <f>"Empresas por Convênios (M_EMPRESA_CONV_FAT_CRUZADO)"</f>
        <v>Empresas por Convênios (M_EMPRESA_CONV_FAT_CRUZADO)</v>
      </c>
    </row>
    <row r="1940" spans="1:7" x14ac:dyDescent="0.3">
      <c r="A1940" s="1" t="s">
        <v>4</v>
      </c>
      <c r="B1940" s="2" t="str">
        <f t="shared" si="172"/>
        <v>SISTEMA FATURAMENTO CONTAS DE CONVENIO</v>
      </c>
      <c r="C1940" s="2" t="str">
        <f t="shared" si="173"/>
        <v>FATUR-CONV</v>
      </c>
      <c r="D1940" s="2" t="str">
        <f t="shared" si="174"/>
        <v>FFCV</v>
      </c>
      <c r="E1940" s="2" t="str">
        <f>"Importação Convênio / Estado"</f>
        <v>Importação Convênio / Estado</v>
      </c>
      <c r="F1940" s="2" t="str">
        <f>"O_IMPVAL_CONV_EST"</f>
        <v>O_IMPVAL_CONV_EST</v>
      </c>
      <c r="G1940" s="2" t="str">
        <f>"Faturamento / Faturamento de Convênios e Particulares / Importações / Importação Convênio / Estado (O_IMPVAL_CONV_EST)"</f>
        <v>Faturamento / Faturamento de Convênios e Particulares / Importações / Importação Convênio / Estado (O_IMPVAL_CONV_EST)</v>
      </c>
    </row>
    <row r="1941" spans="1:7" x14ac:dyDescent="0.3">
      <c r="A1941" s="1" t="s">
        <v>4</v>
      </c>
      <c r="B1941" s="2" t="str">
        <f t="shared" si="172"/>
        <v>SISTEMA FATURAMENTO CONTAS DE CONVENIO</v>
      </c>
      <c r="C1941" s="2" t="str">
        <f t="shared" si="173"/>
        <v>FATUR-CONV</v>
      </c>
      <c r="D1941" s="2" t="str">
        <f t="shared" si="174"/>
        <v>FFCV</v>
      </c>
      <c r="E1941" s="2" t="str">
        <f>"Importação do CBHPM"</f>
        <v>Importação do CBHPM</v>
      </c>
      <c r="F1941" s="2" t="str">
        <f>"O_IMP_CBHPM"</f>
        <v>O_IMP_CBHPM</v>
      </c>
      <c r="G1941" s="2" t="str">
        <f>"Faturamento / Faturamento de Convênios e Particulares / Importações / Importação do CBHPM (O_IMP_CBHPM)"</f>
        <v>Faturamento / Faturamento de Convênios e Particulares / Importações / Importação do CBHPM (O_IMP_CBHPM)</v>
      </c>
    </row>
    <row r="1942" spans="1:7" x14ac:dyDescent="0.3">
      <c r="A1942" s="1" t="s">
        <v>4</v>
      </c>
      <c r="B1942" s="2" t="str">
        <f t="shared" si="172"/>
        <v>SISTEMA FATURAMENTO CONTAS DE CONVENIO</v>
      </c>
      <c r="C1942" s="2" t="str">
        <f t="shared" si="173"/>
        <v>FATUR-CONV</v>
      </c>
      <c r="D1942" s="2" t="str">
        <f t="shared" si="174"/>
        <v>FFCV</v>
      </c>
      <c r="E1942" s="2" t="str">
        <f>"R_RESUMO_CONTA_GO"</f>
        <v>R_RESUMO_CONTA_GO</v>
      </c>
      <c r="F1942" s="2" t="str">
        <f>"R_RESUMO_CONTA_GO"</f>
        <v>R_RESUMO_CONTA_GO</v>
      </c>
      <c r="G1942" s="2" t="str">
        <f>" ()"</f>
        <v xml:space="preserve"> ()</v>
      </c>
    </row>
    <row r="1943" spans="1:7" x14ac:dyDescent="0.3">
      <c r="A1943" s="1" t="s">
        <v>4</v>
      </c>
      <c r="B1943" s="2" t="str">
        <f t="shared" si="172"/>
        <v>SISTEMA FATURAMENTO CONTAS DE CONVENIO</v>
      </c>
      <c r="C1943" s="2" t="str">
        <f t="shared" si="173"/>
        <v>FATUR-CONV</v>
      </c>
      <c r="D1943" s="2" t="str">
        <f t="shared" si="174"/>
        <v>FFCV</v>
      </c>
      <c r="E1943" s="2" t="str">
        <f>"REL. REMESSAS ENVIADAS DA DIAGNO"</f>
        <v>REL. REMESSAS ENVIADAS DA DIAGNO</v>
      </c>
      <c r="F1943" s="2" t="str">
        <f>"R_REM_ENVIADA_DIAGNO"</f>
        <v>R_REM_ENVIADA_DIAGNO</v>
      </c>
      <c r="G1943" s="2" t="str">
        <f>" ()"</f>
        <v xml:space="preserve"> ()</v>
      </c>
    </row>
    <row r="1944" spans="1:7" x14ac:dyDescent="0.3">
      <c r="A1944" s="1" t="s">
        <v>4</v>
      </c>
      <c r="B1944" s="2" t="str">
        <f t="shared" si="172"/>
        <v>SISTEMA FATURAMENTO CONTAS DE CONVENIO</v>
      </c>
      <c r="C1944" s="2" t="str">
        <f t="shared" si="173"/>
        <v>FATUR-CONV</v>
      </c>
      <c r="D1944" s="2" t="str">
        <f t="shared" si="174"/>
        <v>FFCV</v>
      </c>
      <c r="E1944" s="2" t="str">
        <f>"RELATÓRIO DE REMESSAS ENVIADAS"</f>
        <v>RELATÓRIO DE REMESSAS ENVIADAS</v>
      </c>
      <c r="F1944" s="2" t="str">
        <f>"R_REM_ENVIADA"</f>
        <v>R_REM_ENVIADA</v>
      </c>
      <c r="G1944" s="2" t="str">
        <f>"Controladoria / Repasse Médico / Relatórios / Operacionais / Remessas Enviadas (R_REM_ENVIADA)"</f>
        <v>Controladoria / Repasse Médico / Relatórios / Operacionais / Remessas Enviadas (R_REM_ENVIADA)</v>
      </c>
    </row>
    <row r="1945" spans="1:7" x14ac:dyDescent="0.3">
      <c r="A1945" s="1" t="s">
        <v>4</v>
      </c>
      <c r="B1945" s="2" t="str">
        <f t="shared" si="172"/>
        <v>SISTEMA FATURAMENTO CONTAS DE CONVENIO</v>
      </c>
      <c r="C1945" s="2" t="str">
        <f t="shared" si="173"/>
        <v>FATUR-CONV</v>
      </c>
      <c r="D1945" s="2" t="str">
        <f t="shared" si="174"/>
        <v>FFCV</v>
      </c>
      <c r="E1945" s="2" t="str">
        <f>"RELATÓRIO DE REMESSAS ENVIADAS"</f>
        <v>RELATÓRIO DE REMESSAS ENVIADAS</v>
      </c>
      <c r="F1945" s="2" t="str">
        <f>"R_REM_ENVIADA"</f>
        <v>R_REM_ENVIADA</v>
      </c>
      <c r="G1945" s="2" t="str">
        <f>"Faturamento / Faturamento de Convênios e Particulares / Relatórios / Administrativos / Remessas Enviadas (R_REM_ENVIADA)"</f>
        <v>Faturamento / Faturamento de Convênios e Particulares / Relatórios / Administrativos / Remessas Enviadas (R_REM_ENVIADA)</v>
      </c>
    </row>
    <row r="1946" spans="1:7" x14ac:dyDescent="0.3">
      <c r="A1946" s="1" t="s">
        <v>4</v>
      </c>
      <c r="B1946" s="2" t="str">
        <f t="shared" si="172"/>
        <v>SISTEMA FATURAMENTO CONTAS DE CONVENIO</v>
      </c>
      <c r="C1946" s="2" t="str">
        <f t="shared" si="173"/>
        <v>FATUR-CONV</v>
      </c>
      <c r="D1946" s="2" t="str">
        <f t="shared" si="174"/>
        <v>FFCV</v>
      </c>
      <c r="E1946" s="2" t="str">
        <f>"RELATÓRIO DE REMESSAS ENVIADAS"</f>
        <v>RELATÓRIO DE REMESSAS ENVIADAS</v>
      </c>
      <c r="F1946" s="2" t="str">
        <f>"R_REM_ENVIADA"</f>
        <v>R_REM_ENVIADA</v>
      </c>
      <c r="G1946" s="2" t="str">
        <f>"Faturamento / Auditoria e Controle de Recursos de Glosas / Relatórios / Administrativos / Remessas Enviadas (R_REM_ENVIADA)"</f>
        <v>Faturamento / Auditoria e Controle de Recursos de Glosas / Relatórios / Administrativos / Remessas Enviadas (R_REM_ENVIADA)</v>
      </c>
    </row>
    <row r="1947" spans="1:7" x14ac:dyDescent="0.3">
      <c r="A1947" s="1" t="s">
        <v>4</v>
      </c>
      <c r="B1947" s="2" t="str">
        <f t="shared" si="172"/>
        <v>SISTEMA FATURAMENTO CONTAS DE CONVENIO</v>
      </c>
      <c r="C1947" s="2" t="str">
        <f t="shared" si="173"/>
        <v>FATUR-CONV</v>
      </c>
      <c r="D1947" s="2" t="str">
        <f t="shared" si="174"/>
        <v>FFCV</v>
      </c>
      <c r="E1947" s="2" t="str">
        <f>"REL DE REMESSAS POR CONVÊNIO"</f>
        <v>REL DE REMESSAS POR CONVÊNIO</v>
      </c>
      <c r="F1947" s="2" t="str">
        <f>"R_REMESSA_POR_CONVENIO"</f>
        <v>R_REMESSA_POR_CONVENIO</v>
      </c>
      <c r="G1947" s="2" t="str">
        <f>"Faturamento / Faturamento de Convênios e Particulares / Relatórios / Administrativos / Remessas por Convênio (R_REMESSA_POR_CONVENIO)"</f>
        <v>Faturamento / Faturamento de Convênios e Particulares / Relatórios / Administrativos / Remessas por Convênio (R_REMESSA_POR_CONVENIO)</v>
      </c>
    </row>
    <row r="1948" spans="1:7" x14ac:dyDescent="0.3">
      <c r="A1948" s="1" t="s">
        <v>4</v>
      </c>
      <c r="B1948" s="2" t="str">
        <f t="shared" si="172"/>
        <v>SISTEMA FATURAMENTO CONTAS DE CONVENIO</v>
      </c>
      <c r="C1948" s="2" t="str">
        <f t="shared" si="173"/>
        <v>FATUR-CONV</v>
      </c>
      <c r="D1948" s="2" t="str">
        <f t="shared" si="174"/>
        <v>FFCV</v>
      </c>
      <c r="E1948" s="2" t="str">
        <f>"REL DE REMESSAS POR CONVÊNIO"</f>
        <v>REL DE REMESSAS POR CONVÊNIO</v>
      </c>
      <c r="F1948" s="2" t="str">
        <f>"R_REMESSA_POR_CONVENIO"</f>
        <v>R_REMESSA_POR_CONVENIO</v>
      </c>
      <c r="G1948" s="2" t="str">
        <f>"Faturamento / Auditoria e Controle de Recursos de Glosas / Relatórios / Administrativos / Remessas por Convênio (R_REMESSA_POR_CONVENIO)"</f>
        <v>Faturamento / Auditoria e Controle de Recursos de Glosas / Relatórios / Administrativos / Remessas por Convênio (R_REMESSA_POR_CONVENIO)</v>
      </c>
    </row>
    <row r="1949" spans="1:7" x14ac:dyDescent="0.3">
      <c r="A1949" s="1" t="s">
        <v>4</v>
      </c>
      <c r="B1949" s="2" t="str">
        <f t="shared" si="172"/>
        <v>SISTEMA FATURAMENTO CONTAS DE CONVENIO</v>
      </c>
      <c r="C1949" s="2" t="str">
        <f t="shared" si="173"/>
        <v>FATUR-CONV</v>
      </c>
      <c r="D1949" s="2" t="str">
        <f t="shared" si="174"/>
        <v>FFCV</v>
      </c>
      <c r="E1949" s="2" t="str">
        <f>"RELATÓRIO DE REMESSAS / NOTAS FISCAIS"</f>
        <v>RELATÓRIO DE REMESSAS / NOTAS FISCAIS</v>
      </c>
      <c r="F1949" s="2" t="str">
        <f>"R_REMESSAS_NOTAS_755"</f>
        <v>R_REMESSAS_NOTAS_755</v>
      </c>
      <c r="G1949" s="2" t="str">
        <f>" ()"</f>
        <v xml:space="preserve"> ()</v>
      </c>
    </row>
    <row r="1950" spans="1:7" x14ac:dyDescent="0.3">
      <c r="A1950" s="1" t="s">
        <v>4</v>
      </c>
      <c r="B1950" s="2" t="str">
        <f t="shared" si="172"/>
        <v>SISTEMA FATURAMENTO CONTAS DE CONVENIO</v>
      </c>
      <c r="C1950" s="2" t="str">
        <f t="shared" si="173"/>
        <v>FATUR-CONV</v>
      </c>
      <c r="D1950" s="2" t="str">
        <f t="shared" si="174"/>
        <v>FFCV</v>
      </c>
      <c r="E1950" s="2" t="str">
        <f>"REL DE RECIBO PARA PACIENTE PADRÃO"</f>
        <v>REL DE RECIBO PARA PACIENTE PADRÃO</v>
      </c>
      <c r="F1950" s="2" t="str">
        <f>"R_RECIBO_PAC_PADRAO"</f>
        <v>R_RECIBO_PAC_PADRAO</v>
      </c>
      <c r="G1950" s="2" t="str">
        <f>" ()"</f>
        <v xml:space="preserve"> ()</v>
      </c>
    </row>
    <row r="1951" spans="1:7" x14ac:dyDescent="0.3">
      <c r="A1951" s="1" t="s">
        <v>4</v>
      </c>
      <c r="B1951" s="2" t="str">
        <f t="shared" si="172"/>
        <v>SISTEMA FATURAMENTO CONTAS DE CONVENIO</v>
      </c>
      <c r="C1951" s="2" t="str">
        <f t="shared" si="173"/>
        <v>FATUR-CONV</v>
      </c>
      <c r="D1951" s="2" t="str">
        <f t="shared" si="174"/>
        <v>FFCV</v>
      </c>
      <c r="E1951" s="2" t="str">
        <f>"R_RECIBO_CONSULTA_GO_1302"</f>
        <v>R_RECIBO_CONSULTA_GO_1302</v>
      </c>
      <c r="F1951" s="2" t="str">
        <f>"R_RECIBO_CONSULTA_GO_1302"</f>
        <v>R_RECIBO_CONSULTA_GO_1302</v>
      </c>
      <c r="G1951" s="2" t="str">
        <f>" ()"</f>
        <v xml:space="preserve"> ()</v>
      </c>
    </row>
    <row r="1952" spans="1:7" x14ac:dyDescent="0.3">
      <c r="A1952" s="1" t="s">
        <v>4</v>
      </c>
      <c r="B1952" s="2" t="str">
        <f t="shared" si="172"/>
        <v>SISTEMA FATURAMENTO CONTAS DE CONVENIO</v>
      </c>
      <c r="C1952" s="2" t="str">
        <f t="shared" si="173"/>
        <v>FATUR-CONV</v>
      </c>
      <c r="D1952" s="2" t="str">
        <f t="shared" si="174"/>
        <v>FFCV</v>
      </c>
      <c r="E1952" s="2" t="str">
        <f>"R_PROTOCOLO_GUIA"</f>
        <v>R_PROTOCOLO_GUIA</v>
      </c>
      <c r="F1952" s="2" t="str">
        <f>"R_PROTOCOLO_GUIA"</f>
        <v>R_PROTOCOLO_GUIA</v>
      </c>
      <c r="G1952" s="2" t="str">
        <f>"Faturamento / Faturamento de Convênios e Particulares / Relatórios / Operacionais / Guias / Protocolo de Entrega de Guias ao Médico (R_PROTOCOLO_GUIA)"</f>
        <v>Faturamento / Faturamento de Convênios e Particulares / Relatórios / Operacionais / Guias / Protocolo de Entrega de Guias ao Médico (R_PROTOCOLO_GUIA)</v>
      </c>
    </row>
    <row r="1953" spans="1:7" x14ac:dyDescent="0.3">
      <c r="A1953" s="1" t="s">
        <v>4</v>
      </c>
      <c r="B1953" s="2" t="str">
        <f t="shared" si="172"/>
        <v>SISTEMA FATURAMENTO CONTAS DE CONVENIO</v>
      </c>
      <c r="C1953" s="2" t="str">
        <f t="shared" si="173"/>
        <v>FATUR-CONV</v>
      </c>
      <c r="D1953" s="2" t="str">
        <f t="shared" si="174"/>
        <v>FFCV</v>
      </c>
      <c r="E1953" s="2" t="str">
        <f>"RELATÓRIO DE SOLICITAÇÃO DE GUIAS"</f>
        <v>RELATÓRIO DE SOLICITAÇÃO DE GUIAS</v>
      </c>
      <c r="F1953" s="2" t="str">
        <f>"R_PRORROGA_GUIA"</f>
        <v>R_PRORROGA_GUIA</v>
      </c>
      <c r="G1953" s="2" t="str">
        <f>"Faturamento / Faturamento de Convênios e Particulares / Relatórios / Operacionais / Guias / Prorrogação de Guias (R_PRORROGA_GUIA)"</f>
        <v>Faturamento / Faturamento de Convênios e Particulares / Relatórios / Operacionais / Guias / Prorrogação de Guias (R_PRORROGA_GUIA)</v>
      </c>
    </row>
    <row r="1954" spans="1:7" x14ac:dyDescent="0.3">
      <c r="A1954" s="1" t="s">
        <v>4</v>
      </c>
      <c r="B1954" s="2" t="str">
        <f t="shared" si="172"/>
        <v>SISTEMA FATURAMENTO CONTAS DE CONVENIO</v>
      </c>
      <c r="C1954" s="2" t="str">
        <f t="shared" si="173"/>
        <v>FATUR-CONV</v>
      </c>
      <c r="D1954" s="2" t="str">
        <f t="shared" si="174"/>
        <v>FFCV</v>
      </c>
      <c r="E1954" s="2" t="str">
        <f>"REC POR CENTRO DE C. X GRUPO DE PRO DT L"</f>
        <v>REC POR CENTRO DE C. X GRUPO DE PRO DT L</v>
      </c>
      <c r="F1954" s="2" t="str">
        <f>"R_FAT_CC_GRU_PRO_DT_LANC"</f>
        <v>R_FAT_CC_GRU_PRO_DT_LANC</v>
      </c>
      <c r="G1954" s="2" t="str">
        <f>" ()"</f>
        <v xml:space="preserve"> ()</v>
      </c>
    </row>
    <row r="1955" spans="1:7" x14ac:dyDescent="0.3">
      <c r="A1955" s="1" t="s">
        <v>4</v>
      </c>
      <c r="B1955" s="2" t="str">
        <f t="shared" si="172"/>
        <v>SISTEMA FATURAMENTO CONTAS DE CONVENIO</v>
      </c>
      <c r="C1955" s="2" t="str">
        <f t="shared" si="173"/>
        <v>FATUR-CONV</v>
      </c>
      <c r="D1955" s="2" t="str">
        <f t="shared" si="174"/>
        <v>FFCV</v>
      </c>
      <c r="E1955" s="2" t="str">
        <f>"GLOSAS POR MOTIVO POR DATA DE LANCAMENTO"</f>
        <v>GLOSAS POR MOTIVO POR DATA DE LANCAMENTO</v>
      </c>
      <c r="F1955" s="2" t="str">
        <f>"R_GLOSA_MOTIVO_DT_LANC"</f>
        <v>R_GLOSA_MOTIVO_DT_LANC</v>
      </c>
      <c r="G1955" s="2" t="str">
        <f>" ()"</f>
        <v xml:space="preserve"> ()</v>
      </c>
    </row>
    <row r="1956" spans="1:7" x14ac:dyDescent="0.3">
      <c r="A1956" s="1" t="s">
        <v>4</v>
      </c>
      <c r="B1956" s="2" t="str">
        <f t="shared" si="172"/>
        <v>SISTEMA FATURAMENTO CONTAS DE CONVENIO</v>
      </c>
      <c r="C1956" s="2" t="str">
        <f t="shared" si="173"/>
        <v>FATUR-CONV</v>
      </c>
      <c r="D1956" s="2" t="str">
        <f t="shared" si="174"/>
        <v>FFCV</v>
      </c>
      <c r="E1956" s="2" t="str">
        <f>"TABELAS - VALORES - REAJUSTE PERCENTUAL"</f>
        <v>TABELAS - VALORES - REAJUSTE PERCENTUAL</v>
      </c>
      <c r="F1956" s="2" t="str">
        <f>"O_REAJUSTE_PROC_PERCENTUAL"</f>
        <v>O_REAJUSTE_PROC_PERCENTUAL</v>
      </c>
      <c r="G1956" s="2" t="str">
        <f>"Faturamento / Faturamento de Convênios e Particulares / Tabelas / Valores dos Procedimentos / Reajuste Percentual (O_REAJUSTE_PROC_PERCENTUAL)"</f>
        <v>Faturamento / Faturamento de Convênios e Particulares / Tabelas / Valores dos Procedimentos / Reajuste Percentual (O_REAJUSTE_PROC_PERCENTUAL)</v>
      </c>
    </row>
    <row r="1957" spans="1:7" x14ac:dyDescent="0.3">
      <c r="A1957" s="1" t="s">
        <v>4</v>
      </c>
      <c r="B1957" s="2" t="str">
        <f t="shared" si="172"/>
        <v>SISTEMA FATURAMENTO CONTAS DE CONVENIO</v>
      </c>
      <c r="C1957" s="2" t="str">
        <f t="shared" si="173"/>
        <v>FATUR-CONV</v>
      </c>
      <c r="D1957" s="2" t="str">
        <f t="shared" si="174"/>
        <v>FFCV</v>
      </c>
      <c r="E1957" s="2" t="str">
        <f>"REL. ANÁLISE EVOLUTIVA DE RECEITAS"</f>
        <v>REL. ANÁLISE EVOLUTIVA DE RECEITAS</v>
      </c>
      <c r="F1957" s="2" t="str">
        <f>"R_13_RECEITAS_DT_LANC"</f>
        <v>R_13_RECEITAS_DT_LANC</v>
      </c>
      <c r="G1957" s="2" t="str">
        <f>" ()"</f>
        <v xml:space="preserve"> ()</v>
      </c>
    </row>
    <row r="1958" spans="1:7" x14ac:dyDescent="0.3">
      <c r="A1958" s="1" t="s">
        <v>4</v>
      </c>
      <c r="B1958" s="2" t="str">
        <f t="shared" si="172"/>
        <v>SISTEMA FATURAMENTO CONTAS DE CONVENIO</v>
      </c>
      <c r="C1958" s="2" t="str">
        <f t="shared" si="173"/>
        <v>FATUR-CONV</v>
      </c>
      <c r="D1958" s="2" t="str">
        <f t="shared" si="174"/>
        <v>FFCV</v>
      </c>
      <c r="E1958" s="2" t="str">
        <f>"REL. ANÁLISE EVOLUTIVA DE RECEITAS"</f>
        <v>REL. ANÁLISE EVOLUTIVA DE RECEITAS</v>
      </c>
      <c r="F1958" s="2" t="str">
        <f>"R_13_RECEITAS"</f>
        <v>R_13_RECEITAS</v>
      </c>
      <c r="G1958" s="2" t="str">
        <f>"Faturamento / Faturamento de Convênios e Particulares / Relatórios / Gerenciais / Análise Evolutiva de Receitas / Por Convênio (R_13_RECEITAS)"</f>
        <v>Faturamento / Faturamento de Convênios e Particulares / Relatórios / Gerenciais / Análise Evolutiva de Receitas / Por Convênio (R_13_RECEITAS)</v>
      </c>
    </row>
    <row r="1959" spans="1:7" x14ac:dyDescent="0.3">
      <c r="A1959" s="1" t="s">
        <v>4</v>
      </c>
      <c r="B1959" s="2" t="str">
        <f t="shared" si="172"/>
        <v>SISTEMA FATURAMENTO CONTAS DE CONVENIO</v>
      </c>
      <c r="C1959" s="2" t="str">
        <f t="shared" si="173"/>
        <v>FATUR-CONV</v>
      </c>
      <c r="D1959" s="2" t="str">
        <f t="shared" si="174"/>
        <v>FFCV</v>
      </c>
      <c r="E1959" s="2" t="str">
        <f>"REL. ANÁLISE EVOLUTIVA DE RECEITAS"</f>
        <v>REL. ANÁLISE EVOLUTIVA DE RECEITAS</v>
      </c>
      <c r="F1959" s="2" t="str">
        <f>"R_13_RECEITAS"</f>
        <v>R_13_RECEITAS</v>
      </c>
      <c r="G1959" s="2" t="str">
        <f>"Faturamento / Auditoria e Controle de Recursos de Glosas / Relatórios / Gerenciais / Análise Evolutiva de Receitas / Por Convênio (R_13_RECEITAS)"</f>
        <v>Faturamento / Auditoria e Controle de Recursos de Glosas / Relatórios / Gerenciais / Análise Evolutiva de Receitas / Por Convênio (R_13_RECEITAS)</v>
      </c>
    </row>
    <row r="1960" spans="1:7" x14ac:dyDescent="0.3">
      <c r="A1960" s="1" t="s">
        <v>4</v>
      </c>
      <c r="B1960" s="2" t="str">
        <f t="shared" si="172"/>
        <v>SISTEMA FATURAMENTO CONTAS DE CONVENIO</v>
      </c>
      <c r="C1960" s="2" t="str">
        <f t="shared" si="173"/>
        <v>FATUR-CONV</v>
      </c>
      <c r="D1960" s="2" t="str">
        <f t="shared" si="174"/>
        <v>FFCV</v>
      </c>
      <c r="E1960" s="2" t="str">
        <f>"REL. GERENCIAL RECEITA POR CONVÊNIO"</f>
        <v>REL. GERENCIAL RECEITA POR CONVÊNIO</v>
      </c>
      <c r="F1960" s="2" t="str">
        <f>"R_FAT_CONV_DT_LANC"</f>
        <v>R_FAT_CONV_DT_LANC</v>
      </c>
      <c r="G1960" s="2" t="str">
        <f>" ()"</f>
        <v xml:space="preserve"> ()</v>
      </c>
    </row>
    <row r="1961" spans="1:7" x14ac:dyDescent="0.3">
      <c r="A1961" s="1" t="s">
        <v>4</v>
      </c>
      <c r="B1961" s="2" t="str">
        <f t="shared" si="172"/>
        <v>SISTEMA FATURAMENTO CONTAS DE CONVENIO</v>
      </c>
      <c r="C1961" s="2" t="str">
        <f t="shared" si="173"/>
        <v>FATUR-CONV</v>
      </c>
      <c r="D1961" s="2" t="str">
        <f t="shared" si="174"/>
        <v>FFCV</v>
      </c>
      <c r="E1961" s="2" t="str">
        <f>"REL. GERENCIAL RECEITA POR CONVÊNIO"</f>
        <v>REL. GERENCIAL RECEITA POR CONVÊNIO</v>
      </c>
      <c r="F1961" s="2" t="str">
        <f>"R_FAT_CONV"</f>
        <v>R_FAT_CONV</v>
      </c>
      <c r="G1961" s="2" t="str">
        <f>"Faturamento / Faturamento de Convênios e Particulares / Relatórios / Gerenciais / Receita por Convênio (R_FAT_CONV)"</f>
        <v>Faturamento / Faturamento de Convênios e Particulares / Relatórios / Gerenciais / Receita por Convênio (R_FAT_CONV)</v>
      </c>
    </row>
    <row r="1962" spans="1:7" x14ac:dyDescent="0.3">
      <c r="A1962" s="1" t="s">
        <v>4</v>
      </c>
      <c r="B1962" s="2" t="str">
        <f t="shared" si="172"/>
        <v>SISTEMA FATURAMENTO CONTAS DE CONVENIO</v>
      </c>
      <c r="C1962" s="2" t="str">
        <f t="shared" si="173"/>
        <v>FATUR-CONV</v>
      </c>
      <c r="D1962" s="2" t="str">
        <f t="shared" si="174"/>
        <v>FFCV</v>
      </c>
      <c r="E1962" s="2" t="str">
        <f>"REL. GERENCIAL RECEITA POR CONVÊNIO"</f>
        <v>REL. GERENCIAL RECEITA POR CONVÊNIO</v>
      </c>
      <c r="F1962" s="2" t="str">
        <f>"R_FAT_CONV"</f>
        <v>R_FAT_CONV</v>
      </c>
      <c r="G1962" s="2" t="str">
        <f>"Faturamento / Auditoria e Controle de Recursos de Glosas / Relatórios / Gerenciais / Receita por Convênio (R_FAT_CONV)"</f>
        <v>Faturamento / Auditoria e Controle de Recursos de Glosas / Relatórios / Gerenciais / Receita por Convênio (R_FAT_CONV)</v>
      </c>
    </row>
    <row r="1963" spans="1:7" x14ac:dyDescent="0.3">
      <c r="A1963" s="1" t="s">
        <v>4</v>
      </c>
      <c r="B1963" s="2" t="str">
        <f t="shared" si="172"/>
        <v>SISTEMA FATURAMENTO CONTAS DE CONVENIO</v>
      </c>
      <c r="C1963" s="2" t="str">
        <f t="shared" si="173"/>
        <v>FATUR-CONV</v>
      </c>
      <c r="D1963" s="2" t="str">
        <f t="shared" si="174"/>
        <v>FFCV</v>
      </c>
      <c r="E1963" s="2" t="str">
        <f>"REL DE GRUPOS DE PROCEDIMENTO"</f>
        <v>REL DE GRUPOS DE PROCEDIMENTO</v>
      </c>
      <c r="F1963" s="2" t="str">
        <f>"R_GRU_PROC"</f>
        <v>R_GRU_PROC</v>
      </c>
      <c r="G1963" s="2" t="str">
        <f>"Faturamento / Faturamento de Convênios e Particulares / Relatórios / Tabelas / Gerais / Grupos de Procedimentos (R_GRU_PROC)"</f>
        <v>Faturamento / Faturamento de Convênios e Particulares / Relatórios / Tabelas / Gerais / Grupos de Procedimentos (R_GRU_PROC)</v>
      </c>
    </row>
    <row r="1964" spans="1:7" x14ac:dyDescent="0.3">
      <c r="A1964" s="1" t="s">
        <v>4</v>
      </c>
      <c r="B1964" s="2" t="str">
        <f t="shared" si="172"/>
        <v>SISTEMA FATURAMENTO CONTAS DE CONVENIO</v>
      </c>
      <c r="C1964" s="2" t="str">
        <f t="shared" si="173"/>
        <v>FATUR-CONV</v>
      </c>
      <c r="D1964" s="2" t="str">
        <f t="shared" si="174"/>
        <v>FFCV</v>
      </c>
      <c r="E1964" s="2" t="str">
        <f>"REL DE GRUPOS DE PROCEDIMENTO"</f>
        <v>REL DE GRUPOS DE PROCEDIMENTO</v>
      </c>
      <c r="F1964" s="2" t="str">
        <f>"R_GRU_PROC"</f>
        <v>R_GRU_PROC</v>
      </c>
      <c r="G1964" s="2" t="str">
        <f>"Faturamento / Auditoria e Controle de Recursos de Glosas / Relatórios / Tabelas / Gerais / Grupos de Procedimentos (R_GRU_PROC)"</f>
        <v>Faturamento / Auditoria e Controle de Recursos de Glosas / Relatórios / Tabelas / Gerais / Grupos de Procedimentos (R_GRU_PROC)</v>
      </c>
    </row>
    <row r="1965" spans="1:7" x14ac:dyDescent="0.3">
      <c r="A1965" s="1" t="s">
        <v>4</v>
      </c>
      <c r="B1965" s="2" t="str">
        <f t="shared" si="172"/>
        <v>SISTEMA FATURAMENTO CONTAS DE CONVENIO</v>
      </c>
      <c r="C1965" s="2" t="str">
        <f t="shared" si="173"/>
        <v>FATUR-CONV</v>
      </c>
      <c r="D1965" s="2" t="str">
        <f t="shared" si="174"/>
        <v>FFCV</v>
      </c>
      <c r="E1965" s="2" t="str">
        <f>"PACKAGE DO MÓDULO FFCV"</f>
        <v>PACKAGE DO MÓDULO FFCV</v>
      </c>
      <c r="F1965" s="2" t="str">
        <f>"PACK_FFCV"</f>
        <v>PACK_FFCV</v>
      </c>
      <c r="G1965" s="2" t="str">
        <f>" ()"</f>
        <v xml:space="preserve"> ()</v>
      </c>
    </row>
    <row r="1966" spans="1:7" x14ac:dyDescent="0.3">
      <c r="A1966" s="1" t="s">
        <v>4</v>
      </c>
      <c r="B1966" s="2" t="str">
        <f t="shared" si="172"/>
        <v>SISTEMA FATURAMENTO CONTAS DE CONVENIO</v>
      </c>
      <c r="C1966" s="2" t="str">
        <f t="shared" si="173"/>
        <v>FATUR-CONV</v>
      </c>
      <c r="D1966" s="2" t="str">
        <f t="shared" si="174"/>
        <v>FFCV</v>
      </c>
      <c r="E1966" s="2" t="str">
        <f>"TRIGGER DE LANÇAMENTO DE SADT PARA FFCV"</f>
        <v>TRIGGER DE LANÇAMENTO DE SADT PARA FFCV</v>
      </c>
      <c r="F1966" s="2" t="str">
        <f>"TRG_LANCA_PSSD_FFCV"</f>
        <v>TRG_LANCA_PSSD_FFCV</v>
      </c>
      <c r="G1966" s="2" t="str">
        <f>" ()"</f>
        <v xml:space="preserve"> ()</v>
      </c>
    </row>
    <row r="1967" spans="1:7" x14ac:dyDescent="0.3">
      <c r="A1967" s="1" t="s">
        <v>4</v>
      </c>
      <c r="B1967" s="2" t="str">
        <f t="shared" si="172"/>
        <v>SISTEMA FATURAMENTO CONTAS DE CONVENIO</v>
      </c>
      <c r="C1967" s="2" t="str">
        <f t="shared" si="173"/>
        <v>FATUR-CONV</v>
      </c>
      <c r="D1967" s="2" t="str">
        <f t="shared" si="174"/>
        <v>FFCV</v>
      </c>
      <c r="E1967" s="2" t="str">
        <f>"TRIGGER DE LANÇAMENTO DOS COMP. DA PRESC"</f>
        <v>TRIGGER DE LANÇAMENTO DOS COMP. DA PRESC</v>
      </c>
      <c r="F1967" s="2" t="str">
        <f>"TRG_LANCA_ITPRESC_FFCV"</f>
        <v>TRG_LANCA_ITPRESC_FFCV</v>
      </c>
      <c r="G1967" s="2" t="str">
        <f>" ()"</f>
        <v xml:space="preserve"> ()</v>
      </c>
    </row>
    <row r="1968" spans="1:7" x14ac:dyDescent="0.3">
      <c r="A1968" s="1" t="s">
        <v>4</v>
      </c>
      <c r="B1968" s="2" t="str">
        <f t="shared" si="172"/>
        <v>SISTEMA FATURAMENTO CONTAS DE CONVENIO</v>
      </c>
      <c r="C1968" s="2" t="str">
        <f t="shared" si="173"/>
        <v>FATUR-CONV</v>
      </c>
      <c r="D1968" s="2" t="str">
        <f t="shared" si="174"/>
        <v>FFCV</v>
      </c>
      <c r="E1968" s="2" t="str">
        <f>"TRG_ITREG_AMB_ALT_SETOR"</f>
        <v>TRG_ITREG_AMB_ALT_SETOR</v>
      </c>
      <c r="F1968" s="2" t="str">
        <f>"TRG_ITREG_AMB_ALT_SETOR"</f>
        <v>TRG_ITREG_AMB_ALT_SETOR</v>
      </c>
      <c r="G1968" s="2" t="str">
        <f>" ()"</f>
        <v xml:space="preserve"> ()</v>
      </c>
    </row>
    <row r="1969" spans="1:7" x14ac:dyDescent="0.3">
      <c r="A1969" s="1" t="s">
        <v>4</v>
      </c>
      <c r="B1969" s="2" t="str">
        <f t="shared" si="172"/>
        <v>SISTEMA FATURAMENTO CONTAS DE CONVENIO</v>
      </c>
      <c r="C1969" s="2" t="str">
        <f t="shared" si="173"/>
        <v>FATUR-CONV</v>
      </c>
      <c r="D1969" s="2" t="str">
        <f t="shared" si="174"/>
        <v>FFCV</v>
      </c>
      <c r="E1969" s="2" t="str">
        <f>"LANCA_FFCV_EQUIPE_PAGU"</f>
        <v>LANCA_FFCV_EQUIPE_PAGU</v>
      </c>
      <c r="F1969" s="2" t="str">
        <f>"LANCA_FFCV_EQUIPE_PAGU"</f>
        <v>LANCA_FFCV_EQUIPE_PAGU</v>
      </c>
      <c r="G1969" s="2" t="str">
        <f>" ()"</f>
        <v xml:space="preserve"> ()</v>
      </c>
    </row>
    <row r="1970" spans="1:7" x14ac:dyDescent="0.3">
      <c r="A1970" s="1" t="s">
        <v>4</v>
      </c>
      <c r="B1970" s="2" t="str">
        <f t="shared" si="172"/>
        <v>SISTEMA FATURAMENTO CONTAS DE CONVENIO</v>
      </c>
      <c r="C1970" s="2" t="str">
        <f t="shared" si="173"/>
        <v>FATUR-CONV</v>
      </c>
      <c r="D1970" s="2" t="str">
        <f t="shared" si="174"/>
        <v>FFCV</v>
      </c>
      <c r="E1970" s="2" t="str">
        <f>"GERAÇÃO DE REMESSA COMPLEMENTAR"</f>
        <v>GERAÇÃO DE REMESSA COMPLEMENTAR</v>
      </c>
      <c r="F1970" s="2" t="str">
        <f>"M_GRAVA_INT_AMB"</f>
        <v>M_GRAVA_INT_AMB</v>
      </c>
      <c r="G1970" s="2" t="str">
        <f>"Faturamento / Faturamento de Convênios e Particulares / Lançamentos / Conta Hospitalar / Transfere Atendimento para Ambulatorial (M_GRAVA_INT_AMB)"</f>
        <v>Faturamento / Faturamento de Convênios e Particulares / Lançamentos / Conta Hospitalar / Transfere Atendimento para Ambulatorial (M_GRAVA_INT_AMB)</v>
      </c>
    </row>
    <row r="1971" spans="1:7" x14ac:dyDescent="0.3">
      <c r="A1971" s="1" t="s">
        <v>4</v>
      </c>
      <c r="B1971" s="2" t="str">
        <f t="shared" si="172"/>
        <v>SISTEMA FATURAMENTO CONTAS DE CONVENIO</v>
      </c>
      <c r="C1971" s="2" t="str">
        <f t="shared" si="173"/>
        <v>FATUR-CONV</v>
      </c>
      <c r="D1971" s="2" t="str">
        <f t="shared" si="174"/>
        <v>FFCV</v>
      </c>
      <c r="E1971" s="2" t="str">
        <f>"TIPO DE SETOR MEIO MAGNÉTICO"</f>
        <v>TIPO DE SETOR MEIO MAGNÉTICO</v>
      </c>
      <c r="F1971" s="2" t="str">
        <f>"M_TIP_SETOR_MEIO_MAG"</f>
        <v>M_TIP_SETOR_MEIO_MAG</v>
      </c>
      <c r="G1971" s="2" t="str">
        <f>"Faturamento / Faturamento de Convênios e Particulares / Configurações / Geração de Fatura em Meio Magnético / Envio / Tipos de Setor (M_TIP_SETOR_MEIO_MAG)"</f>
        <v>Faturamento / Faturamento de Convênios e Particulares / Configurações / Geração de Fatura em Meio Magnético / Envio / Tipos de Setor (M_TIP_SETOR_MEIO_MAG)</v>
      </c>
    </row>
    <row r="1972" spans="1:7" x14ac:dyDescent="0.3">
      <c r="A1972" s="1" t="s">
        <v>4</v>
      </c>
      <c r="B1972" s="2" t="str">
        <f t="shared" si="172"/>
        <v>SISTEMA FATURAMENTO CONTAS DE CONVENIO</v>
      </c>
      <c r="C1972" s="2" t="str">
        <f t="shared" si="173"/>
        <v>FATUR-CONV</v>
      </c>
      <c r="D1972" s="2" t="str">
        <f t="shared" si="174"/>
        <v>FFCV</v>
      </c>
      <c r="E1972" s="2" t="str">
        <f>"R_ATEND_SEM_CONTA"</f>
        <v>R_ATEND_SEM_CONTA</v>
      </c>
      <c r="F1972" s="2" t="str">
        <f>"R_ATEND_SEM_CONTA"</f>
        <v>R_ATEND_SEM_CONTA</v>
      </c>
      <c r="G1972" s="2" t="str">
        <f>" ()"</f>
        <v xml:space="preserve"> ()</v>
      </c>
    </row>
    <row r="1973" spans="1:7" x14ac:dyDescent="0.3">
      <c r="A1973" s="1" t="s">
        <v>4</v>
      </c>
      <c r="B1973" s="2" t="str">
        <f t="shared" si="172"/>
        <v>SISTEMA FATURAMENTO CONTAS DE CONVENIO</v>
      </c>
      <c r="C1973" s="2" t="str">
        <f t="shared" si="173"/>
        <v>FATUR-CONV</v>
      </c>
      <c r="D1973" s="2" t="str">
        <f t="shared" si="174"/>
        <v>FFCV</v>
      </c>
      <c r="E1973" s="2" t="str">
        <f>"M_TIPO_CATEG_CONV_734"</f>
        <v>M_TIPO_CATEG_CONV_734</v>
      </c>
      <c r="F1973" s="2" t="str">
        <f>"M_TIPO_CATEG_CONV_734"</f>
        <v>M_TIPO_CATEG_CONV_734</v>
      </c>
      <c r="G1973" s="2" t="str">
        <f>" ()"</f>
        <v xml:space="preserve"> ()</v>
      </c>
    </row>
    <row r="1974" spans="1:7" x14ac:dyDescent="0.3">
      <c r="A1974" s="1" t="s">
        <v>4</v>
      </c>
      <c r="B1974" s="2" t="str">
        <f t="shared" si="172"/>
        <v>SISTEMA FATURAMENTO CONTAS DE CONVENIO</v>
      </c>
      <c r="C1974" s="2" t="str">
        <f t="shared" si="173"/>
        <v>FATUR-CONV</v>
      </c>
      <c r="D1974" s="2" t="str">
        <f t="shared" si="174"/>
        <v>FFCV</v>
      </c>
      <c r="E1974" s="2" t="str">
        <f>"TIPO DE PROCEDIMENTO"</f>
        <v>TIPO DE PROCEDIMENTO</v>
      </c>
      <c r="F1974" s="2" t="str">
        <f>"M_FICHA_OBSTETRICA_MEIO_MAG"</f>
        <v>M_FICHA_OBSTETRICA_MEIO_MAG</v>
      </c>
      <c r="G1974" s="2" t="str">
        <f>"Faturamento / Faturamento de Convênios e Particulares / Configurações / Geração de Fatura em Meio Magnético / Envio / Ficha Obstétrica (M_FICHA_OBSTETRICA_MEIO_MAG)"</f>
        <v>Faturamento / Faturamento de Convênios e Particulares / Configurações / Geração de Fatura em Meio Magnético / Envio / Ficha Obstétrica (M_FICHA_OBSTETRICA_MEIO_MAG)</v>
      </c>
    </row>
    <row r="1975" spans="1:7" x14ac:dyDescent="0.3">
      <c r="A1975" s="1" t="s">
        <v>4</v>
      </c>
      <c r="B1975" s="2" t="str">
        <f t="shared" si="172"/>
        <v>SISTEMA FATURAMENTO CONTAS DE CONVENIO</v>
      </c>
      <c r="C1975" s="2" t="str">
        <f t="shared" si="173"/>
        <v>FATUR-CONV</v>
      </c>
      <c r="D1975" s="2" t="str">
        <f t="shared" si="174"/>
        <v>FFCV</v>
      </c>
      <c r="E1975" s="2" t="str">
        <f>"RESERVA DE NOTA FISCAL"</f>
        <v>RESERVA DE NOTA FISCAL</v>
      </c>
      <c r="F1975" s="2" t="str">
        <f>"M_RESERVA_NOTA_FISCAL"</f>
        <v>M_RESERVA_NOTA_FISCAL</v>
      </c>
      <c r="G1975" s="2" t="str">
        <f>"Faturamento / Faturamento de Convênios e Particulares / Solicitações / Reserva de Nota Fiscal (M_RESERVA_NOTA_FISCAL)"</f>
        <v>Faturamento / Faturamento de Convênios e Particulares / Solicitações / Reserva de Nota Fiscal (M_RESERVA_NOTA_FISCAL)</v>
      </c>
    </row>
    <row r="1976" spans="1:7" x14ac:dyDescent="0.3">
      <c r="A1976" s="1" t="s">
        <v>4</v>
      </c>
      <c r="B1976" s="2" t="str">
        <f t="shared" si="172"/>
        <v>SISTEMA FATURAMENTO CONTAS DE CONVENIO</v>
      </c>
      <c r="C1976" s="2" t="str">
        <f t="shared" si="173"/>
        <v>FATUR-CONV</v>
      </c>
      <c r="D1976" s="2" t="str">
        <f t="shared" si="174"/>
        <v>FFCV</v>
      </c>
      <c r="E1976" s="2" t="str">
        <f>" R_FATURA_COD_GRU_PRO"</f>
        <v xml:space="preserve"> R_FATURA_COD_GRU_PRO</v>
      </c>
      <c r="F1976" s="2" t="str">
        <f>" R_FATURA_COD_GRU_PRO"</f>
        <v xml:space="preserve"> R_FATURA_COD_GRU_PRO</v>
      </c>
      <c r="G1976" s="2" t="str">
        <f>" ()"</f>
        <v xml:space="preserve"> ()</v>
      </c>
    </row>
    <row r="1977" spans="1:7" x14ac:dyDescent="0.3">
      <c r="A1977" s="1" t="s">
        <v>4</v>
      </c>
      <c r="B1977" s="2" t="str">
        <f t="shared" si="172"/>
        <v>SISTEMA FATURAMENTO CONTAS DE CONVENIO</v>
      </c>
      <c r="C1977" s="2" t="str">
        <f t="shared" si="173"/>
        <v>FATUR-CONV</v>
      </c>
      <c r="D1977" s="2" t="str">
        <f t="shared" si="174"/>
        <v>FFCV</v>
      </c>
      <c r="E1977" s="2" t="str">
        <f>"R_NOTA_HOSP_1302"</f>
        <v>R_NOTA_HOSP_1302</v>
      </c>
      <c r="F1977" s="2" t="str">
        <f>"R_NOTA_HOSP_1302"</f>
        <v>R_NOTA_HOSP_1302</v>
      </c>
      <c r="G1977" s="2" t="str">
        <f>" ()"</f>
        <v xml:space="preserve"> ()</v>
      </c>
    </row>
    <row r="1978" spans="1:7" x14ac:dyDescent="0.3">
      <c r="A1978" s="1" t="s">
        <v>4</v>
      </c>
      <c r="B1978" s="2" t="str">
        <f t="shared" si="172"/>
        <v>SISTEMA FATURAMENTO CONTAS DE CONVENIO</v>
      </c>
      <c r="C1978" s="2" t="str">
        <f t="shared" si="173"/>
        <v>FATUR-CONV</v>
      </c>
      <c r="D1978" s="2" t="str">
        <f t="shared" si="174"/>
        <v>FFCV</v>
      </c>
      <c r="E1978" s="2" t="str">
        <f>"NOTA FISCAL"</f>
        <v>NOTA FISCAL</v>
      </c>
      <c r="F1978" s="2" t="str">
        <f>"C_NOTA_FISCAL"</f>
        <v>C_NOTA_FISCAL</v>
      </c>
      <c r="G1978" s="2" t="str">
        <f>"Faturamento / Faturamento de Convênios e Particulares / Consultas / Notas Fiscais (C_NOTA_FISCAL)"</f>
        <v>Faturamento / Faturamento de Convênios e Particulares / Consultas / Notas Fiscais (C_NOTA_FISCAL)</v>
      </c>
    </row>
    <row r="1979" spans="1:7" x14ac:dyDescent="0.3">
      <c r="A1979" s="1" t="s">
        <v>4</v>
      </c>
      <c r="B1979" s="2" t="str">
        <f t="shared" si="172"/>
        <v>SISTEMA FATURAMENTO CONTAS DE CONVENIO</v>
      </c>
      <c r="C1979" s="2" t="str">
        <f t="shared" si="173"/>
        <v>FATUR-CONV</v>
      </c>
      <c r="D1979" s="2" t="str">
        <f t="shared" si="174"/>
        <v>FFCV</v>
      </c>
      <c r="E1979" s="2" t="str">
        <f>"ENTRADA DE PRODUTOS SINTÉTICO"</f>
        <v>ENTRADA DE PRODUTOS SINTÉTICO</v>
      </c>
      <c r="F1979" s="2" t="str">
        <f>"PDA68941"</f>
        <v>PDA68941</v>
      </c>
      <c r="G1979" s="2" t="str">
        <f>" ()"</f>
        <v xml:space="preserve"> ()</v>
      </c>
    </row>
    <row r="1980" spans="1:7" x14ac:dyDescent="0.3">
      <c r="A1980" s="1" t="s">
        <v>4</v>
      </c>
      <c r="B1980" s="2" t="str">
        <f t="shared" si="172"/>
        <v>SISTEMA FATURAMENTO CONTAS DE CONVENIO</v>
      </c>
      <c r="C1980" s="2" t="str">
        <f t="shared" si="173"/>
        <v>FATUR-CONV</v>
      </c>
      <c r="D1980" s="2" t="str">
        <f t="shared" si="174"/>
        <v>FFCV</v>
      </c>
      <c r="E1980" s="2" t="str">
        <f>"RELATÓRIO DE DIÁRIAS DE ACOMPANHANTE"</f>
        <v>RELATÓRIO DE DIÁRIAS DE ACOMPANHANTE</v>
      </c>
      <c r="F1980" s="2" t="str">
        <f>"R_DIARIA_ACOMPANHANTE"</f>
        <v>R_DIARIA_ACOMPANHANTE</v>
      </c>
      <c r="G1980" s="2" t="str">
        <f>"Faturamento / Faturamento de Convênios e Particulares / Relatórios / Operacionais / Diárias de Acompanhante (R_DIARIA_ACOMPANHANTE)"</f>
        <v>Faturamento / Faturamento de Convênios e Particulares / Relatórios / Operacionais / Diárias de Acompanhante (R_DIARIA_ACOMPANHANTE)</v>
      </c>
    </row>
    <row r="1981" spans="1:7" x14ac:dyDescent="0.3">
      <c r="A1981" s="1" t="s">
        <v>4</v>
      </c>
      <c r="B1981" s="2" t="str">
        <f t="shared" si="172"/>
        <v>SISTEMA FATURAMENTO CONTAS DE CONVENIO</v>
      </c>
      <c r="C1981" s="2" t="str">
        <f t="shared" si="173"/>
        <v>FATUR-CONV</v>
      </c>
      <c r="D1981" s="2" t="str">
        <f t="shared" si="174"/>
        <v>FFCV</v>
      </c>
      <c r="E1981" s="2" t="str">
        <f>"GERAÇÃO DOS ARQUIVOS EM MEIO MAGNÉTICO"</f>
        <v>GERAÇÃO DOS ARQUIVOS EM MEIO MAGNÉTICO</v>
      </c>
      <c r="F1981" s="2" t="str">
        <f>"O_GERAARQMAG_SOLUS"</f>
        <v>O_GERAARQMAG_SOLUS</v>
      </c>
      <c r="G1981" s="2" t="str">
        <f>" ()"</f>
        <v xml:space="preserve"> ()</v>
      </c>
    </row>
    <row r="1982" spans="1:7" x14ac:dyDescent="0.3">
      <c r="A1982" s="1" t="s">
        <v>4</v>
      </c>
      <c r="B1982" s="2" t="str">
        <f t="shared" si="172"/>
        <v>SISTEMA FATURAMENTO CONTAS DE CONVENIO</v>
      </c>
      <c r="C1982" s="2" t="str">
        <f t="shared" si="173"/>
        <v>FATUR-CONV</v>
      </c>
      <c r="D1982" s="2" t="str">
        <f t="shared" si="174"/>
        <v>FFCV</v>
      </c>
      <c r="E1982" s="2" t="str">
        <f>"RELATÓRIO DE CONTAS DO IPASGO"</f>
        <v>RELATÓRIO DE CONTAS DO IPASGO</v>
      </c>
      <c r="F1982" s="2" t="str">
        <f>"R_LOTE_IPASGO_335"</f>
        <v>R_LOTE_IPASGO_335</v>
      </c>
      <c r="G1982" s="2" t="str">
        <f>" ()"</f>
        <v xml:space="preserve"> ()</v>
      </c>
    </row>
    <row r="1983" spans="1:7" x14ac:dyDescent="0.3">
      <c r="A1983" s="1" t="s">
        <v>4</v>
      </c>
      <c r="B1983" s="2" t="str">
        <f t="shared" si="172"/>
        <v>SISTEMA FATURAMENTO CONTAS DE CONVENIO</v>
      </c>
      <c r="C1983" s="2" t="str">
        <f t="shared" si="173"/>
        <v>FATUR-CONV</v>
      </c>
      <c r="D1983" s="2" t="str">
        <f t="shared" si="174"/>
        <v>FFCV</v>
      </c>
      <c r="E1983" s="2" t="str">
        <f>"CONSULTA AGENDA DA ENTREGA DE REMESSAS"</f>
        <v>CONSULTA AGENDA DA ENTREGA DE REMESSAS</v>
      </c>
      <c r="F1983" s="2" t="str">
        <f>"C_AGENDA_REMESSA"</f>
        <v>C_AGENDA_REMESSA</v>
      </c>
      <c r="G1983" s="2" t="str">
        <f>"Faturamento / Faturamento de Convênios e Particulares / Consultas / Agenda de Entrega de Remessas (C_AGENDA_REMESSA)"</f>
        <v>Faturamento / Faturamento de Convênios e Particulares / Consultas / Agenda de Entrega de Remessas (C_AGENDA_REMESSA)</v>
      </c>
    </row>
    <row r="1984" spans="1:7" x14ac:dyDescent="0.3">
      <c r="A1984" s="1" t="s">
        <v>4</v>
      </c>
      <c r="B1984" s="2" t="str">
        <f t="shared" si="172"/>
        <v>SISTEMA FATURAMENTO CONTAS DE CONVENIO</v>
      </c>
      <c r="C1984" s="2" t="str">
        <f t="shared" si="173"/>
        <v>FATUR-CONV</v>
      </c>
      <c r="D1984" s="2" t="str">
        <f t="shared" si="174"/>
        <v>FFCV</v>
      </c>
      <c r="E1984" s="2" t="str">
        <f>"R_RELFAT_1302"</f>
        <v>R_RELFAT_1302</v>
      </c>
      <c r="F1984" s="2" t="str">
        <f>"R_RELFAT_1302"</f>
        <v>R_RELFAT_1302</v>
      </c>
      <c r="G1984" s="2" t="str">
        <f>" ()"</f>
        <v xml:space="preserve"> ()</v>
      </c>
    </row>
    <row r="1985" spans="1:7" x14ac:dyDescent="0.3">
      <c r="A1985" s="1" t="s">
        <v>4</v>
      </c>
      <c r="B1985" s="2" t="str">
        <f t="shared" si="172"/>
        <v>SISTEMA FATURAMENTO CONTAS DE CONVENIO</v>
      </c>
      <c r="C1985" s="2" t="str">
        <f t="shared" si="173"/>
        <v>FATUR-CONV</v>
      </c>
      <c r="D1985" s="2" t="str">
        <f t="shared" si="174"/>
        <v>FFCV</v>
      </c>
      <c r="E1985" s="2" t="str">
        <f>"RELATÓRIO DE FATURAMENTO GLOBAL"</f>
        <v>RELATÓRIO DE FATURAMENTO GLOBAL</v>
      </c>
      <c r="F1985" s="2" t="str">
        <f>"R_EST_CONV_AMB"</f>
        <v>R_EST_CONV_AMB</v>
      </c>
      <c r="G1985" s="2" t="str">
        <f>"Faturamento / Faturamento de Convênios e Particulares / Relatórios / Gerenciais / Estatístico dos Ambulatoriais por convênio (R_EST_CONV_AMB)"</f>
        <v>Faturamento / Faturamento de Convênios e Particulares / Relatórios / Gerenciais / Estatístico dos Ambulatoriais por convênio (R_EST_CONV_AMB)</v>
      </c>
    </row>
    <row r="1986" spans="1:7" x14ac:dyDescent="0.3">
      <c r="A1986" s="1" t="s">
        <v>4</v>
      </c>
      <c r="B1986" s="2" t="str">
        <f t="shared" si="172"/>
        <v>SISTEMA FATURAMENTO CONTAS DE CONVENIO</v>
      </c>
      <c r="C1986" s="2" t="str">
        <f t="shared" si="173"/>
        <v>FATUR-CONV</v>
      </c>
      <c r="D1986" s="2" t="str">
        <f t="shared" si="174"/>
        <v>FFCV</v>
      </c>
      <c r="E1986" s="2" t="str">
        <f>"AUDITORIA DE CONTA HOSPITALAR"</f>
        <v>AUDITORIA DE CONTA HOSPITALAR</v>
      </c>
      <c r="F1986" s="2" t="str">
        <f>"M_AUDITORIA_CONTA_HOSP"</f>
        <v>M_AUDITORIA_CONTA_HOSP</v>
      </c>
      <c r="G1986" s="2" t="str">
        <f>"Faturamento / Auditoria e Controle de Recursos de Glosas / Lançamentos  / Auditoria Conta Hospitalar (M_AUDITORIA_CONTA_HOSP)"</f>
        <v>Faturamento / Auditoria e Controle de Recursos de Glosas / Lançamentos  / Auditoria Conta Hospitalar (M_AUDITORIA_CONTA_HOSP)</v>
      </c>
    </row>
    <row r="1987" spans="1:7" x14ac:dyDescent="0.3">
      <c r="A1987" s="1" t="s">
        <v>4</v>
      </c>
      <c r="B1987" s="2" t="str">
        <f t="shared" si="172"/>
        <v>SISTEMA FATURAMENTO CONTAS DE CONVENIO</v>
      </c>
      <c r="C1987" s="2" t="str">
        <f t="shared" si="173"/>
        <v>FATUR-CONV</v>
      </c>
      <c r="D1987" s="2" t="str">
        <f t="shared" si="174"/>
        <v>FFCV</v>
      </c>
      <c r="E1987" s="2" t="str">
        <f>"R_CONF_LANC_DT_LANC"</f>
        <v>R_CONF_LANC_DT_LANC</v>
      </c>
      <c r="F1987" s="2" t="str">
        <f>"R_CONF_LANC_DT_LANC"</f>
        <v>R_CONF_LANC_DT_LANC</v>
      </c>
      <c r="G1987" s="2" t="str">
        <f t="shared" ref="G1987:G1996" si="175">" ()"</f>
        <v xml:space="preserve"> ()</v>
      </c>
    </row>
    <row r="1988" spans="1:7" x14ac:dyDescent="0.3">
      <c r="A1988" s="1" t="s">
        <v>4</v>
      </c>
      <c r="B1988" s="2" t="str">
        <f t="shared" si="172"/>
        <v>SISTEMA FATURAMENTO CONTAS DE CONVENIO</v>
      </c>
      <c r="C1988" s="2" t="str">
        <f t="shared" si="173"/>
        <v>FATUR-CONV</v>
      </c>
      <c r="D1988" s="2" t="str">
        <f t="shared" si="174"/>
        <v>FFCV</v>
      </c>
      <c r="E1988" s="2" t="str">
        <f>"R_CONF_LANC_DT_ATEND"</f>
        <v>R_CONF_LANC_DT_ATEND</v>
      </c>
      <c r="F1988" s="2" t="str">
        <f>"R_CONF_LANC_DT_ATEND"</f>
        <v>R_CONF_LANC_DT_ATEND</v>
      </c>
      <c r="G1988" s="2" t="str">
        <f t="shared" si="175"/>
        <v xml:space="preserve"> ()</v>
      </c>
    </row>
    <row r="1989" spans="1:7" x14ac:dyDescent="0.3">
      <c r="A1989" s="1" t="s">
        <v>4</v>
      </c>
      <c r="B1989" s="2" t="str">
        <f t="shared" si="172"/>
        <v>SISTEMA FATURAMENTO CONTAS DE CONVENIO</v>
      </c>
      <c r="C1989" s="2" t="str">
        <f t="shared" si="173"/>
        <v>FATUR-CONV</v>
      </c>
      <c r="D1989" s="2" t="str">
        <f t="shared" si="174"/>
        <v>FFCV</v>
      </c>
      <c r="E1989" s="2" t="str">
        <f>"R_NOTA_FISCALR_NOTA_FISCAL_CONV_340"</f>
        <v>R_NOTA_FISCALR_NOTA_FISCAL_CONV_340</v>
      </c>
      <c r="F1989" s="2" t="str">
        <f>"R_NOTA_FISCALR_NOTA_FISCAL_CONV_340"</f>
        <v>R_NOTA_FISCALR_NOTA_FISCAL_CONV_340</v>
      </c>
      <c r="G1989" s="2" t="str">
        <f t="shared" si="175"/>
        <v xml:space="preserve"> ()</v>
      </c>
    </row>
    <row r="1990" spans="1:7" x14ac:dyDescent="0.3">
      <c r="A1990" s="1" t="s">
        <v>4</v>
      </c>
      <c r="B1990" s="2" t="str">
        <f t="shared" ref="B1990:B2053" si="176">"SISTEMA FATURAMENTO CONTAS DE CONVENIO"</f>
        <v>SISTEMA FATURAMENTO CONTAS DE CONVENIO</v>
      </c>
      <c r="C1990" s="2" t="str">
        <f t="shared" ref="C1990:C2053" si="177">"FATUR-CONV"</f>
        <v>FATUR-CONV</v>
      </c>
      <c r="D1990" s="2" t="str">
        <f t="shared" ref="D1990:D2053" si="178">"FFCV"</f>
        <v>FFCV</v>
      </c>
      <c r="E1990" s="2" t="str">
        <f>"R_NOTA_FISCAL_338"</f>
        <v>R_NOTA_FISCAL_338</v>
      </c>
      <c r="F1990" s="2" t="str">
        <f>"R_NOTA_FISCAL_338"</f>
        <v>R_NOTA_FISCAL_338</v>
      </c>
      <c r="G1990" s="2" t="str">
        <f t="shared" si="175"/>
        <v xml:space="preserve"> ()</v>
      </c>
    </row>
    <row r="1991" spans="1:7" x14ac:dyDescent="0.3">
      <c r="A1991" s="1" t="s">
        <v>4</v>
      </c>
      <c r="B1991" s="2" t="str">
        <f t="shared" si="176"/>
        <v>SISTEMA FATURAMENTO CONTAS DE CONVENIO</v>
      </c>
      <c r="C1991" s="2" t="str">
        <f t="shared" si="177"/>
        <v>FATUR-CONV</v>
      </c>
      <c r="D1991" s="2" t="str">
        <f t="shared" si="178"/>
        <v>FFCV</v>
      </c>
      <c r="E1991" s="2" t="str">
        <f>"R_NOTA_FISCAL_406"</f>
        <v>R_NOTA_FISCAL_406</v>
      </c>
      <c r="F1991" s="2" t="str">
        <f>"R_NOTA_FISCAL_406"</f>
        <v>R_NOTA_FISCAL_406</v>
      </c>
      <c r="G1991" s="2" t="str">
        <f t="shared" si="175"/>
        <v xml:space="preserve"> ()</v>
      </c>
    </row>
    <row r="1992" spans="1:7" x14ac:dyDescent="0.3">
      <c r="A1992" s="1" t="s">
        <v>4</v>
      </c>
      <c r="B1992" s="2" t="str">
        <f t="shared" si="176"/>
        <v>SISTEMA FATURAMENTO CONTAS DE CONVENIO</v>
      </c>
      <c r="C1992" s="2" t="str">
        <f t="shared" si="177"/>
        <v>FATUR-CONV</v>
      </c>
      <c r="D1992" s="2" t="str">
        <f t="shared" si="178"/>
        <v>FFCV</v>
      </c>
      <c r="E1992" s="2" t="str">
        <f>"R_NOTA_FISCAL_1302"</f>
        <v>R_NOTA_FISCAL_1302</v>
      </c>
      <c r="F1992" s="2" t="str">
        <f>"R_NOTA_FISCAL_1302"</f>
        <v>R_NOTA_FISCAL_1302</v>
      </c>
      <c r="G1992" s="2" t="str">
        <f t="shared" si="175"/>
        <v xml:space="preserve"> ()</v>
      </c>
    </row>
    <row r="1993" spans="1:7" x14ac:dyDescent="0.3">
      <c r="A1993" s="1" t="s">
        <v>4</v>
      </c>
      <c r="B1993" s="2" t="str">
        <f t="shared" si="176"/>
        <v>SISTEMA FATURAMENTO CONTAS DE CONVENIO</v>
      </c>
      <c r="C1993" s="2" t="str">
        <f t="shared" si="177"/>
        <v>FATUR-CONV</v>
      </c>
      <c r="D1993" s="2" t="str">
        <f t="shared" si="178"/>
        <v>FFCV</v>
      </c>
      <c r="E1993" s="2" t="str">
        <f>"WIN_PRINCIPAL"</f>
        <v>WIN_PRINCIPAL</v>
      </c>
      <c r="F1993" s="2" t="str">
        <f>"R_GUIA_IPE_460"</f>
        <v>R_GUIA_IPE_460</v>
      </c>
      <c r="G1993" s="2" t="str">
        <f t="shared" si="175"/>
        <v xml:space="preserve"> ()</v>
      </c>
    </row>
    <row r="1994" spans="1:7" x14ac:dyDescent="0.3">
      <c r="A1994" s="1" t="s">
        <v>4</v>
      </c>
      <c r="B1994" s="2" t="str">
        <f t="shared" si="176"/>
        <v>SISTEMA FATURAMENTO CONTAS DE CONVENIO</v>
      </c>
      <c r="C1994" s="2" t="str">
        <f t="shared" si="177"/>
        <v>FATUR-CONV</v>
      </c>
      <c r="D1994" s="2" t="str">
        <f t="shared" si="178"/>
        <v>FFCV</v>
      </c>
      <c r="E1994" s="2" t="str">
        <f>"R_NOTA_FISCAL_CONV"</f>
        <v>R_NOTA_FISCAL_CONV</v>
      </c>
      <c r="F1994" s="2" t="str">
        <f>"R_NOTA_FISCAL_CONV"</f>
        <v>R_NOTA_FISCAL_CONV</v>
      </c>
      <c r="G1994" s="2" t="str">
        <f t="shared" si="175"/>
        <v xml:space="preserve"> ()</v>
      </c>
    </row>
    <row r="1995" spans="1:7" x14ac:dyDescent="0.3">
      <c r="A1995" s="1" t="s">
        <v>4</v>
      </c>
      <c r="B1995" s="2" t="str">
        <f t="shared" si="176"/>
        <v>SISTEMA FATURAMENTO CONTAS DE CONVENIO</v>
      </c>
      <c r="C1995" s="2" t="str">
        <f t="shared" si="177"/>
        <v>FATUR-CONV</v>
      </c>
      <c r="D1995" s="2" t="str">
        <f t="shared" si="178"/>
        <v>FFCV</v>
      </c>
      <c r="E1995" s="2" t="str">
        <f>"E_NOTA_FISCAL_CONV"</f>
        <v>E_NOTA_FISCAL_CONV</v>
      </c>
      <c r="F1995" s="2" t="str">
        <f>"E_NOTA_FISCAL_CONV"</f>
        <v>E_NOTA_FISCAL_CONV</v>
      </c>
      <c r="G1995" s="2" t="str">
        <f t="shared" si="175"/>
        <v xml:space="preserve"> ()</v>
      </c>
    </row>
    <row r="1996" spans="1:7" x14ac:dyDescent="0.3">
      <c r="A1996" s="1" t="s">
        <v>4</v>
      </c>
      <c r="B1996" s="2" t="str">
        <f t="shared" si="176"/>
        <v>SISTEMA FATURAMENTO CONTAS DE CONVENIO</v>
      </c>
      <c r="C1996" s="2" t="str">
        <f t="shared" si="177"/>
        <v>FATUR-CONV</v>
      </c>
      <c r="D1996" s="2" t="str">
        <f t="shared" si="178"/>
        <v>FFCV</v>
      </c>
      <c r="E1996" s="2" t="str">
        <f>"REL. ADMINISTRATIVO DE GLOSAS POR CONVEN"</f>
        <v>REL. ADMINISTRATIVO DE GLOSAS POR CONVEN</v>
      </c>
      <c r="F1996" s="2" t="str">
        <f>"R_GLOSA_CONV_DT_LANC"</f>
        <v>R_GLOSA_CONV_DT_LANC</v>
      </c>
      <c r="G1996" s="2" t="str">
        <f t="shared" si="175"/>
        <v xml:space="preserve"> ()</v>
      </c>
    </row>
    <row r="1997" spans="1:7" x14ac:dyDescent="0.3">
      <c r="A1997" s="1" t="s">
        <v>4</v>
      </c>
      <c r="B1997" s="2" t="str">
        <f t="shared" si="176"/>
        <v>SISTEMA FATURAMENTO CONTAS DE CONVENIO</v>
      </c>
      <c r="C1997" s="2" t="str">
        <f t="shared" si="177"/>
        <v>FATUR-CONV</v>
      </c>
      <c r="D1997" s="2" t="str">
        <f t="shared" si="178"/>
        <v>FFCV</v>
      </c>
      <c r="E1997" s="2" t="str">
        <f>"CADASTRO DE M²  FILME POR TABELA DE FAT"</f>
        <v>CADASTRO DE M²  FILME POR TABELA DE FAT</v>
      </c>
      <c r="F1997" s="2" t="str">
        <f>"M_FILME_TAB"</f>
        <v>M_FILME_TAB</v>
      </c>
      <c r="G1997" s="2" t="str">
        <f>"Faturamento / Faturamento de Convênios e Particulares / Tabelas / Cobranças e Tabelas / Metragem de Filme (M_FILME_TAB)"</f>
        <v>Faturamento / Faturamento de Convênios e Particulares / Tabelas / Cobranças e Tabelas / Metragem de Filme (M_FILME_TAB)</v>
      </c>
    </row>
    <row r="1998" spans="1:7" x14ac:dyDescent="0.3">
      <c r="A1998" s="1" t="s">
        <v>4</v>
      </c>
      <c r="B1998" s="2" t="str">
        <f t="shared" si="176"/>
        <v>SISTEMA FATURAMENTO CONTAS DE CONVENIO</v>
      </c>
      <c r="C1998" s="2" t="str">
        <f t="shared" si="177"/>
        <v>FATUR-CONV</v>
      </c>
      <c r="D1998" s="2" t="str">
        <f t="shared" si="178"/>
        <v>FFCV</v>
      </c>
      <c r="E1998" s="2" t="str">
        <f>"REL ATENDIMENTOS POR REMESSA COM PROCED."</f>
        <v>REL ATENDIMENTOS POR REMESSA COM PROCED.</v>
      </c>
      <c r="F1998" s="2" t="str">
        <f>"R_LOTE_POR_ATEND2"</f>
        <v>R_LOTE_POR_ATEND2</v>
      </c>
      <c r="G1998" s="2" t="str">
        <f>" ()"</f>
        <v xml:space="preserve"> ()</v>
      </c>
    </row>
    <row r="1999" spans="1:7" x14ac:dyDescent="0.3">
      <c r="A1999" s="1" t="s">
        <v>4</v>
      </c>
      <c r="B1999" s="2" t="str">
        <f t="shared" si="176"/>
        <v>SISTEMA FATURAMENTO CONTAS DE CONVENIO</v>
      </c>
      <c r="C1999" s="2" t="str">
        <f t="shared" si="177"/>
        <v>FATUR-CONV</v>
      </c>
      <c r="D1999" s="2" t="str">
        <f t="shared" si="178"/>
        <v>FFCV</v>
      </c>
      <c r="E1999" s="2" t="str">
        <f>"CONFIGURAÇÃO DA IMPORTAÇÃO SIMPRO"</f>
        <v>CONFIGURAÇÃO DA IMPORTAÇÃO SIMPRO</v>
      </c>
      <c r="F1999" s="2" t="str">
        <f>"M_SIMPRO"</f>
        <v>M_SIMPRO</v>
      </c>
      <c r="G1999" s="2" t="str">
        <f>"Faturamento / Faturamento de Convênios e Particulares / Configurações / Preços do SIMPRO (M_SIMPRO)"</f>
        <v>Faturamento / Faturamento de Convênios e Particulares / Configurações / Preços do SIMPRO (M_SIMPRO)</v>
      </c>
    </row>
    <row r="2000" spans="1:7" x14ac:dyDescent="0.3">
      <c r="A2000" s="1" t="s">
        <v>4</v>
      </c>
      <c r="B2000" s="2" t="str">
        <f t="shared" si="176"/>
        <v>SISTEMA FATURAMENTO CONTAS DE CONVENIO</v>
      </c>
      <c r="C2000" s="2" t="str">
        <f t="shared" si="177"/>
        <v>FATUR-CONV</v>
      </c>
      <c r="D2000" s="2" t="str">
        <f t="shared" si="178"/>
        <v>FFCV</v>
      </c>
      <c r="E2000" s="2" t="str">
        <f>"IMPORTAÇÃO DOS VALORES DO SIMPRO"</f>
        <v>IMPORTAÇÃO DOS VALORES DO SIMPRO</v>
      </c>
      <c r="F2000" s="2" t="str">
        <f>"O_IMPVALSIMPRO"</f>
        <v>O_IMPVALSIMPRO</v>
      </c>
      <c r="G2000" s="2" t="str">
        <f>"Faturamento / Faturamento de Convênios e Particulares / Importações / Importação do SIMPRO / Valores (O_IMPVALSIMPRO)"</f>
        <v>Faturamento / Faturamento de Convênios e Particulares / Importações / Importação do SIMPRO / Valores (O_IMPVALSIMPRO)</v>
      </c>
    </row>
    <row r="2001" spans="1:7" x14ac:dyDescent="0.3">
      <c r="A2001" s="1" t="s">
        <v>4</v>
      </c>
      <c r="B2001" s="2" t="str">
        <f t="shared" si="176"/>
        <v>SISTEMA FATURAMENTO CONTAS DE CONVENIO</v>
      </c>
      <c r="C2001" s="2" t="str">
        <f t="shared" si="177"/>
        <v>FATUR-CONV</v>
      </c>
      <c r="D2001" s="2" t="str">
        <f t="shared" si="178"/>
        <v>FFCV</v>
      </c>
      <c r="E2001" s="2" t="str">
        <f>"IMPORTAÇÃO DE DADOS DO SIMPRO"</f>
        <v>IMPORTAÇÃO DE DADOS DO SIMPRO</v>
      </c>
      <c r="F2001" s="2" t="str">
        <f>"O_IMPSIMPRO"</f>
        <v>O_IMPSIMPRO</v>
      </c>
      <c r="G2001" s="2" t="str">
        <f>"Faturamento / Faturamento de Convênios e Particulares / Importações / Importação do SIMPRO / Dados (O_IMPSIMPRO)"</f>
        <v>Faturamento / Faturamento de Convênios e Particulares / Importações / Importação do SIMPRO / Dados (O_IMPSIMPRO)</v>
      </c>
    </row>
    <row r="2002" spans="1:7" x14ac:dyDescent="0.3">
      <c r="A2002" s="1" t="s">
        <v>4</v>
      </c>
      <c r="B2002" s="2" t="str">
        <f t="shared" si="176"/>
        <v>SISTEMA FATURAMENTO CONTAS DE CONVENIO</v>
      </c>
      <c r="C2002" s="2" t="str">
        <f t="shared" si="177"/>
        <v>FATUR-CONV</v>
      </c>
      <c r="D2002" s="2" t="str">
        <f t="shared" si="178"/>
        <v>FFCV</v>
      </c>
      <c r="E2002" s="2" t="str">
        <f>"R_FAT_CC_RATEIO_PACOTE"</f>
        <v>R_FAT_CC_RATEIO_PACOTE</v>
      </c>
      <c r="F2002" s="2" t="str">
        <f>"R_FAT_CC_RATEIO_PACOTE"</f>
        <v>R_FAT_CC_RATEIO_PACOTE</v>
      </c>
      <c r="G2002" s="2" t="str">
        <f>"Faturamento / Faturamento de Convênios e Particulares / Relatórios / Gerenciais / Receita por Centro de Custo / Rateio do Faturado pelo Consumido (R_FAT_CC_RATEIO_PACOTE)"</f>
        <v>Faturamento / Faturamento de Convênios e Particulares / Relatórios / Gerenciais / Receita por Centro de Custo / Rateio do Faturado pelo Consumido (R_FAT_CC_RATEIO_PACOTE)</v>
      </c>
    </row>
    <row r="2003" spans="1:7" x14ac:dyDescent="0.3">
      <c r="A2003" s="1" t="s">
        <v>4</v>
      </c>
      <c r="B2003" s="2" t="str">
        <f t="shared" si="176"/>
        <v>SISTEMA FATURAMENTO CONTAS DE CONVENIO</v>
      </c>
      <c r="C2003" s="2" t="str">
        <f t="shared" si="177"/>
        <v>FATUR-CONV</v>
      </c>
      <c r="D2003" s="2" t="str">
        <f t="shared" si="178"/>
        <v>FFCV</v>
      </c>
      <c r="E2003" s="2" t="str">
        <f>"RESUMO SEMESTRAL DE FATURAMENTO"</f>
        <v>RESUMO SEMESTRAL DE FATURAMENTO</v>
      </c>
      <c r="F2003" s="2" t="str">
        <f>"C_EST_FAT_SEMESTRAL"</f>
        <v>C_EST_FAT_SEMESTRAL</v>
      </c>
      <c r="G2003" s="2" t="str">
        <f>"Faturamento / Faturamento de Convênios e Particulares / Consultas / Resumos / Resumo Semestral de Faturamento (C_EST_FAT_SEMESTRAL)"</f>
        <v>Faturamento / Faturamento de Convênios e Particulares / Consultas / Resumos / Resumo Semestral de Faturamento (C_EST_FAT_SEMESTRAL)</v>
      </c>
    </row>
    <row r="2004" spans="1:7" x14ac:dyDescent="0.3">
      <c r="A2004" s="1" t="s">
        <v>4</v>
      </c>
      <c r="B2004" s="2" t="str">
        <f t="shared" si="176"/>
        <v>SISTEMA FATURAMENTO CONTAS DE CONVENIO</v>
      </c>
      <c r="C2004" s="2" t="str">
        <f t="shared" si="177"/>
        <v>FATUR-CONV</v>
      </c>
      <c r="D2004" s="2" t="str">
        <f t="shared" si="178"/>
        <v>FFCV</v>
      </c>
      <c r="E2004" s="2" t="str">
        <f>"CALENDÁRIO"</f>
        <v>CALENDÁRIO</v>
      </c>
      <c r="F2004" s="2" t="str">
        <f>"R_AGENDA_REMESSA"</f>
        <v>R_AGENDA_REMESSA</v>
      </c>
      <c r="G2004" s="2" t="str">
        <f>"Faturamento / Faturamento de Convênios e Particulares / Relatórios / Operacionais / Agenda de Entrega de Remessas (R_AGENDA_REMESSA)"</f>
        <v>Faturamento / Faturamento de Convênios e Particulares / Relatórios / Operacionais / Agenda de Entrega de Remessas (R_AGENDA_REMESSA)</v>
      </c>
    </row>
    <row r="2005" spans="1:7" x14ac:dyDescent="0.3">
      <c r="A2005" s="1" t="s">
        <v>4</v>
      </c>
      <c r="B2005" s="2" t="str">
        <f t="shared" si="176"/>
        <v>SISTEMA FATURAMENTO CONTAS DE CONVENIO</v>
      </c>
      <c r="C2005" s="2" t="str">
        <f t="shared" si="177"/>
        <v>FATUR-CONV</v>
      </c>
      <c r="D2005" s="2" t="str">
        <f t="shared" si="178"/>
        <v>FFCV</v>
      </c>
      <c r="E2005" s="2" t="str">
        <f>"INFORME DE FACTURACIÓN POR NIVEL DE EDAD"</f>
        <v>INFORME DE FACTURACIÓN POR NIVEL DE EDAD</v>
      </c>
      <c r="F2005" s="2" t="str">
        <f>"R_FAT_BAIRRO"</f>
        <v>R_FAT_BAIRRO</v>
      </c>
      <c r="G2005" s="2" t="str">
        <f>"Faturamento / Faturamento de Convênios e Particulares / Relatórios / Gerenciais / Receita por Faixa Etária (R_FAT_BAIRRO)"</f>
        <v>Faturamento / Faturamento de Convênios e Particulares / Relatórios / Gerenciais / Receita por Faixa Etária (R_FAT_BAIRRO)</v>
      </c>
    </row>
    <row r="2006" spans="1:7" x14ac:dyDescent="0.3">
      <c r="A2006" s="1" t="s">
        <v>4</v>
      </c>
      <c r="B2006" s="2" t="str">
        <f t="shared" si="176"/>
        <v>SISTEMA FATURAMENTO CONTAS DE CONVENIO</v>
      </c>
      <c r="C2006" s="2" t="str">
        <f t="shared" si="177"/>
        <v>FATUR-CONV</v>
      </c>
      <c r="D2006" s="2" t="str">
        <f t="shared" si="178"/>
        <v>FFCV</v>
      </c>
      <c r="E2006" s="2" t="str">
        <f>"VALOR DO PONTO DE FRANQUIA"</f>
        <v>VALOR DO PONTO DE FRANQUIA</v>
      </c>
      <c r="F2006" s="2" t="str">
        <f>"M_VAL_PONTO_FRANQUIA"</f>
        <v>M_VAL_PONTO_FRANQUIA</v>
      </c>
      <c r="G2006" s="2" t="str">
        <f>"Faturamento / Faturamento de Convênios e Particulares / Tabelas / Cobranças e Tabelas / Franquias / Valor do Ponto de Franquia (M_VAL_PONTO_FRANQUIA)"</f>
        <v>Faturamento / Faturamento de Convênios e Particulares / Tabelas / Cobranças e Tabelas / Franquias / Valor do Ponto de Franquia (M_VAL_PONTO_FRANQUIA)</v>
      </c>
    </row>
    <row r="2007" spans="1:7" x14ac:dyDescent="0.3">
      <c r="A2007" s="1" t="s">
        <v>4</v>
      </c>
      <c r="B2007" s="2" t="str">
        <f t="shared" si="176"/>
        <v>SISTEMA FATURAMENTO CONTAS DE CONVENIO</v>
      </c>
      <c r="C2007" s="2" t="str">
        <f t="shared" si="177"/>
        <v>FATUR-CONV</v>
      </c>
      <c r="D2007" s="2" t="str">
        <f t="shared" si="178"/>
        <v>FFCV</v>
      </c>
      <c r="E2007" s="2" t="str">
        <f>"C_RESUMO_FAT"</f>
        <v>C_RESUMO_FAT</v>
      </c>
      <c r="F2007" s="2" t="str">
        <f>"C_RESUMO_FAT"</f>
        <v>C_RESUMO_FAT</v>
      </c>
      <c r="G2007" s="2" t="str">
        <f>"Faturamento / Faturamento de Convênios e Particulares / Consultas / Resumos / Resumo do Faturamento - Diário (C_RESUMO_FAT)"</f>
        <v>Faturamento / Faturamento de Convênios e Particulares / Consultas / Resumos / Resumo do Faturamento - Diário (C_RESUMO_FAT)</v>
      </c>
    </row>
    <row r="2008" spans="1:7" x14ac:dyDescent="0.3">
      <c r="A2008" s="1" t="s">
        <v>4</v>
      </c>
      <c r="B2008" s="2" t="str">
        <f t="shared" si="176"/>
        <v>SISTEMA FATURAMENTO CONTAS DE CONVENIO</v>
      </c>
      <c r="C2008" s="2" t="str">
        <f t="shared" si="177"/>
        <v>FATUR-CONV</v>
      </c>
      <c r="D2008" s="2" t="str">
        <f t="shared" si="178"/>
        <v>FFCV</v>
      </c>
      <c r="E2008" s="2" t="str">
        <f>"R_ATEND_REM_GRU_FAT"</f>
        <v>R_ATEND_REM_GRU_FAT</v>
      </c>
      <c r="F2008" s="2" t="str">
        <f>"R_ATEND_REM_GRU_FAT"</f>
        <v>R_ATEND_REM_GRU_FAT</v>
      </c>
      <c r="G2008" s="2" t="str">
        <f>"Faturamento / Faturamento de Convênios e Particulares / Relatórios / Fatura / Atendimentos da Remessa por Grupo / Procedimento (R_ATEND_REM_GRU_FAT)"</f>
        <v>Faturamento / Faturamento de Convênios e Particulares / Relatórios / Fatura / Atendimentos da Remessa por Grupo / Procedimento (R_ATEND_REM_GRU_FAT)</v>
      </c>
    </row>
    <row r="2009" spans="1:7" x14ac:dyDescent="0.3">
      <c r="A2009" s="1" t="s">
        <v>4</v>
      </c>
      <c r="B2009" s="2" t="str">
        <f t="shared" si="176"/>
        <v>SISTEMA FATURAMENTO CONTAS DE CONVENIO</v>
      </c>
      <c r="C2009" s="2" t="str">
        <f t="shared" si="177"/>
        <v>FATUR-CONV</v>
      </c>
      <c r="D2009" s="2" t="str">
        <f t="shared" si="178"/>
        <v>FFCV</v>
      </c>
      <c r="E2009" s="2" t="str">
        <f>"R_ATEND_REM_GRU_FAT"</f>
        <v>R_ATEND_REM_GRU_FAT</v>
      </c>
      <c r="F2009" s="2" t="str">
        <f>"R_ATEND_REM_GRU_FAT"</f>
        <v>R_ATEND_REM_GRU_FAT</v>
      </c>
      <c r="G2009" s="2" t="str">
        <f>"Faturamento / Auditoria e Controle de Recursos de Glosas / Relatórios / Fatura / Atendimentos da Remessa por Grupo / Procedimento (R_ATEND_REM_GRU_FAT)"</f>
        <v>Faturamento / Auditoria e Controle de Recursos de Glosas / Relatórios / Fatura / Atendimentos da Remessa por Grupo / Procedimento (R_ATEND_REM_GRU_FAT)</v>
      </c>
    </row>
    <row r="2010" spans="1:7" x14ac:dyDescent="0.3">
      <c r="A2010" s="1" t="s">
        <v>4</v>
      </c>
      <c r="B2010" s="2" t="str">
        <f t="shared" si="176"/>
        <v>SISTEMA FATURAMENTO CONTAS DE CONVENIO</v>
      </c>
      <c r="C2010" s="2" t="str">
        <f t="shared" si="177"/>
        <v>FATUR-CONV</v>
      </c>
      <c r="D2010" s="2" t="str">
        <f t="shared" si="178"/>
        <v>FFCV</v>
      </c>
      <c r="E2010" s="2" t="str">
        <f>"M_TRANSF_AMB"</f>
        <v>M_TRANSF_AMB</v>
      </c>
      <c r="F2010" s="2" t="str">
        <f>"M_TRANSF_AMB"</f>
        <v>M_TRANSF_AMB</v>
      </c>
      <c r="G2010" s="2" t="str">
        <f>"Faturamento / Faturamento de Convênios e Particulares / Lançamentos / Conta Ambulatorial / Transferência entre Remessas (M_TRANSF_AMB)"</f>
        <v>Faturamento / Faturamento de Convênios e Particulares / Lançamentos / Conta Ambulatorial / Transferência entre Remessas (M_TRANSF_AMB)</v>
      </c>
    </row>
    <row r="2011" spans="1:7" x14ac:dyDescent="0.3">
      <c r="A2011" s="1" t="s">
        <v>4</v>
      </c>
      <c r="B2011" s="2" t="str">
        <f t="shared" si="176"/>
        <v>SISTEMA FATURAMENTO CONTAS DE CONVENIO</v>
      </c>
      <c r="C2011" s="2" t="str">
        <f t="shared" si="177"/>
        <v>FATUR-CONV</v>
      </c>
      <c r="D2011" s="2" t="str">
        <f t="shared" si="178"/>
        <v>FFCV</v>
      </c>
      <c r="E2011" s="2" t="str">
        <f>"C_RESUMO_FAT_CONVENIO"</f>
        <v>C_RESUMO_FAT_CONVENIO</v>
      </c>
      <c r="F2011" s="2" t="str">
        <f>"C_RESUMO_FAT_CONVENIO"</f>
        <v>C_RESUMO_FAT_CONVENIO</v>
      </c>
      <c r="G2011" s="2" t="str">
        <f>"Faturamento / Faturamento de Convênios e Particulares / Consultas / Resumos / Resumo de Faturamento Convênios (C_RESUMO_FAT_CONVENIO)"</f>
        <v>Faturamento / Faturamento de Convênios e Particulares / Consultas / Resumos / Resumo de Faturamento Convênios (C_RESUMO_FAT_CONVENIO)</v>
      </c>
    </row>
    <row r="2012" spans="1:7" x14ac:dyDescent="0.3">
      <c r="A2012" s="1" t="s">
        <v>4</v>
      </c>
      <c r="B2012" s="2" t="str">
        <f t="shared" si="176"/>
        <v>SISTEMA FATURAMENTO CONTAS DE CONVENIO</v>
      </c>
      <c r="C2012" s="2" t="str">
        <f t="shared" si="177"/>
        <v>FATUR-CONV</v>
      </c>
      <c r="D2012" s="2" t="str">
        <f t="shared" si="178"/>
        <v>FFCV</v>
      </c>
      <c r="E2012" s="2" t="str">
        <f>"EXCEÇÃO DE PORTE ANESTÉSICO"</f>
        <v>EXCEÇÃO DE PORTE ANESTÉSICO</v>
      </c>
      <c r="F2012" s="2" t="str">
        <f>"M_POR_ANE_TAB"</f>
        <v>M_POR_ANE_TAB</v>
      </c>
      <c r="G2012" s="2" t="str">
        <f>"Faturamento / Faturamento de Convênios e Particulares / Tabelas / Cobranças e Tabelas / Exceção de Porte Anestésico (M_POR_ANE_TAB)"</f>
        <v>Faturamento / Faturamento de Convênios e Particulares / Tabelas / Cobranças e Tabelas / Exceção de Porte Anestésico (M_POR_ANE_TAB)</v>
      </c>
    </row>
    <row r="2013" spans="1:7" x14ac:dyDescent="0.3">
      <c r="A2013" s="1" t="s">
        <v>4</v>
      </c>
      <c r="B2013" s="2" t="str">
        <f t="shared" si="176"/>
        <v>SISTEMA FATURAMENTO CONTAS DE CONVENIO</v>
      </c>
      <c r="C2013" s="2" t="str">
        <f t="shared" si="177"/>
        <v>FATUR-CONV</v>
      </c>
      <c r="D2013" s="2" t="str">
        <f t="shared" si="178"/>
        <v>FFCV</v>
      </c>
      <c r="E2013" s="2" t="str">
        <f>"R_CONVREGRA"</f>
        <v>R_CONVREGRA</v>
      </c>
      <c r="F2013" s="2" t="str">
        <f>"R_CONVREGRA"</f>
        <v>R_CONVREGRA</v>
      </c>
      <c r="G2013" s="2" t="str">
        <f>"Faturamento / Faturamento de Convênios e Particulares / Relatórios / Tabelas / Gerais / Convênios e Planos / Convênios e Planos x Regras de Cobrança (R_CONVREGRA)"</f>
        <v>Faturamento / Faturamento de Convênios e Particulares / Relatórios / Tabelas / Gerais / Convênios e Planos / Convênios e Planos x Regras de Cobrança (R_CONVREGRA)</v>
      </c>
    </row>
    <row r="2014" spans="1:7" x14ac:dyDescent="0.3">
      <c r="A2014" s="1" t="s">
        <v>4</v>
      </c>
      <c r="B2014" s="2" t="str">
        <f t="shared" si="176"/>
        <v>SISTEMA FATURAMENTO CONTAS DE CONVENIO</v>
      </c>
      <c r="C2014" s="2" t="str">
        <f t="shared" si="177"/>
        <v>FATUR-CONV</v>
      </c>
      <c r="D2014" s="2" t="str">
        <f t="shared" si="178"/>
        <v>FFCV</v>
      </c>
      <c r="E2014" s="2" t="str">
        <f>"R_CONVREGRA"</f>
        <v>R_CONVREGRA</v>
      </c>
      <c r="F2014" s="2" t="str">
        <f>"R_CONVREGRA"</f>
        <v>R_CONVREGRA</v>
      </c>
      <c r="G2014" s="2" t="str">
        <f>"Faturamento / Auditoria e Controle de Recursos de Glosas / Relatórios / Tabelas / Gerais / Convênios e Planos / Convênios e Planos x Regras de Cobrança (R_CONVREGRA)"</f>
        <v>Faturamento / Auditoria e Controle de Recursos de Glosas / Relatórios / Tabelas / Gerais / Convênios e Planos / Convênios e Planos x Regras de Cobrança (R_CONVREGRA)</v>
      </c>
    </row>
    <row r="2015" spans="1:7" x14ac:dyDescent="0.3">
      <c r="A2015" s="1" t="s">
        <v>4</v>
      </c>
      <c r="B2015" s="2" t="str">
        <f t="shared" si="176"/>
        <v>SISTEMA FATURAMENTO CONTAS DE CONVENIO</v>
      </c>
      <c r="C2015" s="2" t="str">
        <f t="shared" si="177"/>
        <v>FATUR-CONV</v>
      </c>
      <c r="D2015" s="2" t="str">
        <f t="shared" si="178"/>
        <v>FFCV</v>
      </c>
      <c r="E2015" s="2" t="str">
        <f>"REL. ANÁLISE  EV. MOV. FINANC."</f>
        <v>REL. ANÁLISE  EV. MOV. FINANC.</v>
      </c>
      <c r="F2015" s="2" t="str">
        <f>"R_13_MOV_FIN"</f>
        <v>R_13_MOV_FIN</v>
      </c>
      <c r="G2015" s="2" t="str">
        <f>"Faturamento / Faturamento de Convênios e Particulares / Relatórios / Gerenciais / Movimento Financeiro (R_13_MOV_FIN)"</f>
        <v>Faturamento / Faturamento de Convênios e Particulares / Relatórios / Gerenciais / Movimento Financeiro (R_13_MOV_FIN)</v>
      </c>
    </row>
    <row r="2016" spans="1:7" x14ac:dyDescent="0.3">
      <c r="A2016" s="1" t="s">
        <v>4</v>
      </c>
      <c r="B2016" s="2" t="str">
        <f t="shared" si="176"/>
        <v>SISTEMA FATURAMENTO CONTAS DE CONVENIO</v>
      </c>
      <c r="C2016" s="2" t="str">
        <f t="shared" si="177"/>
        <v>FATUR-CONV</v>
      </c>
      <c r="D2016" s="2" t="str">
        <f t="shared" si="178"/>
        <v>FFCV</v>
      </c>
      <c r="E2016" s="2" t="str">
        <f>"REL. ANÁLISE  EV. MOV. FINANC."</f>
        <v>REL. ANÁLISE  EV. MOV. FINANC.</v>
      </c>
      <c r="F2016" s="2" t="str">
        <f>"R_13_MOV_FIN"</f>
        <v>R_13_MOV_FIN</v>
      </c>
      <c r="G2016" s="2" t="str">
        <f>"Faturamento / Auditoria e Controle de Recursos de Glosas / Relatórios / Gerenciais / Movimento Financeiro (R_13_MOV_FIN)"</f>
        <v>Faturamento / Auditoria e Controle de Recursos de Glosas / Relatórios / Gerenciais / Movimento Financeiro (R_13_MOV_FIN)</v>
      </c>
    </row>
    <row r="2017" spans="1:7" x14ac:dyDescent="0.3">
      <c r="A2017" s="1" t="s">
        <v>4</v>
      </c>
      <c r="B2017" s="2" t="str">
        <f t="shared" si="176"/>
        <v>SISTEMA FATURAMENTO CONTAS DE CONVENIO</v>
      </c>
      <c r="C2017" s="2" t="str">
        <f t="shared" si="177"/>
        <v>FATUR-CONV</v>
      </c>
      <c r="D2017" s="2" t="str">
        <f t="shared" si="178"/>
        <v>FFCV</v>
      </c>
      <c r="E2017" s="2" t="str">
        <f>"REL. ANÁ EV REC GRUPO DE PROC DT LANC"</f>
        <v>REL. ANÁ EV REC GRUPO DE PROC DT LANC</v>
      </c>
      <c r="F2017" s="2" t="str">
        <f>"R_13_RECEITAS_GRU_PRO_DT_LANC"</f>
        <v>R_13_RECEITAS_GRU_PRO_DT_LANC</v>
      </c>
      <c r="G2017" s="2" t="str">
        <f>" ()"</f>
        <v xml:space="preserve"> ()</v>
      </c>
    </row>
    <row r="2018" spans="1:7" x14ac:dyDescent="0.3">
      <c r="A2018" s="1" t="s">
        <v>4</v>
      </c>
      <c r="B2018" s="2" t="str">
        <f t="shared" si="176"/>
        <v>SISTEMA FATURAMENTO CONTAS DE CONVENIO</v>
      </c>
      <c r="C2018" s="2" t="str">
        <f t="shared" si="177"/>
        <v>FATUR-CONV</v>
      </c>
      <c r="D2018" s="2" t="str">
        <f t="shared" si="178"/>
        <v>FFCV</v>
      </c>
      <c r="E2018" s="2" t="str">
        <f>"EXCEÇÕES DE FRANQUIAS"</f>
        <v>EXCEÇÕES DE FRANQUIAS</v>
      </c>
      <c r="F2018" s="2" t="str">
        <f>"M_FRANQUIAS_EXCECAO"</f>
        <v>M_FRANQUIAS_EXCECAO</v>
      </c>
      <c r="G2018" s="2" t="str">
        <f>"Faturamento / Faturamento de Convênios e Particulares / Tabelas / Cobranças e Tabelas / Franquias / Exceção de Franquias (M_FRANQUIAS_EXCECAO)"</f>
        <v>Faturamento / Faturamento de Convênios e Particulares / Tabelas / Cobranças e Tabelas / Franquias / Exceção de Franquias (M_FRANQUIAS_EXCECAO)</v>
      </c>
    </row>
    <row r="2019" spans="1:7" x14ac:dyDescent="0.3">
      <c r="A2019" s="1" t="s">
        <v>4</v>
      </c>
      <c r="B2019" s="2" t="str">
        <f t="shared" si="176"/>
        <v>SISTEMA FATURAMENTO CONTAS DE CONVENIO</v>
      </c>
      <c r="C2019" s="2" t="str">
        <f t="shared" si="177"/>
        <v>FATUR-CONV</v>
      </c>
      <c r="D2019" s="2" t="str">
        <f t="shared" si="178"/>
        <v>FFCV</v>
      </c>
      <c r="E2019" s="2" t="str">
        <f>"O_GERAARQMAG_UNIMED_VALIDACAO"</f>
        <v>O_GERAARQMAG_UNIMED_VALIDACAO</v>
      </c>
      <c r="F2019" s="2" t="str">
        <f>"O_GERAARQMAG_UNIMED_VALIDACAO"</f>
        <v>O_GERAARQMAG_UNIMED_VALIDACAO</v>
      </c>
      <c r="G2019" s="2" t="str">
        <f>"Faturamento / Faturamento de Convênios e Particulares / Lançamentos / Arquivo Magnético / Envio / UNIMEDs / Validação (O_GERAARQMAG_UNIMED_VALIDACAO)"</f>
        <v>Faturamento / Faturamento de Convênios e Particulares / Lançamentos / Arquivo Magnético / Envio / UNIMEDs / Validação (O_GERAARQMAG_UNIMED_VALIDACAO)</v>
      </c>
    </row>
    <row r="2020" spans="1:7" x14ac:dyDescent="0.3">
      <c r="A2020" s="1" t="s">
        <v>4</v>
      </c>
      <c r="B2020" s="2" t="str">
        <f t="shared" si="176"/>
        <v>SISTEMA FATURAMENTO CONTAS DE CONVENIO</v>
      </c>
      <c r="C2020" s="2" t="str">
        <f t="shared" si="177"/>
        <v>FATUR-CONV</v>
      </c>
      <c r="D2020" s="2" t="str">
        <f t="shared" si="178"/>
        <v>FFCV</v>
      </c>
      <c r="E2020" s="2" t="str">
        <f>"O_GERAARQMAG_ABRAMGE_VALIDACAO"</f>
        <v>O_GERAARQMAG_ABRAMGE_VALIDACAO</v>
      </c>
      <c r="F2020" s="2" t="str">
        <f>"O_GERAARQMAG_ABRAMGE_VALIDACAO"</f>
        <v>O_GERAARQMAG_ABRAMGE_VALIDACAO</v>
      </c>
      <c r="G2020" s="2" t="str">
        <f>"Faturamento / Faturamento de Convênios e Particulares / Lançamentos / Arquivo Magnético / Envio / Padrão ABRAMGE / Validação (O_GERAARQMAG_ABRAMGE_VALIDACAO)"</f>
        <v>Faturamento / Faturamento de Convênios e Particulares / Lançamentos / Arquivo Magnético / Envio / Padrão ABRAMGE / Validação (O_GERAARQMAG_ABRAMGE_VALIDACAO)</v>
      </c>
    </row>
    <row r="2021" spans="1:7" x14ac:dyDescent="0.3">
      <c r="A2021" s="1" t="s">
        <v>4</v>
      </c>
      <c r="B2021" s="2" t="str">
        <f t="shared" si="176"/>
        <v>SISTEMA FATURAMENTO CONTAS DE CONVENIO</v>
      </c>
      <c r="C2021" s="2" t="str">
        <f t="shared" si="177"/>
        <v>FATUR-CONV</v>
      </c>
      <c r="D2021" s="2" t="str">
        <f t="shared" si="178"/>
        <v>FFCV</v>
      </c>
      <c r="E2021" s="2" t="str">
        <f>"O_GERAARQMAG_ABRAMGE_GERACAO"</f>
        <v>O_GERAARQMAG_ABRAMGE_GERACAO</v>
      </c>
      <c r="F2021" s="2" t="str">
        <f>"O_GERAARQMAG_ABRAMGE_GERACAO"</f>
        <v>O_GERAARQMAG_ABRAMGE_GERACAO</v>
      </c>
      <c r="G2021" s="2" t="str">
        <f>"Faturamento / Faturamento de Convênios e Particulares / Lançamentos / Arquivo Magnético / Envio / Padrão ABRAMGE / Geração (O_GERAARQMAG_ABRAMGE_GERACAO)"</f>
        <v>Faturamento / Faturamento de Convênios e Particulares / Lançamentos / Arquivo Magnético / Envio / Padrão ABRAMGE / Geração (O_GERAARQMAG_ABRAMGE_GERACAO)</v>
      </c>
    </row>
    <row r="2022" spans="1:7" x14ac:dyDescent="0.3">
      <c r="A2022" s="1" t="s">
        <v>4</v>
      </c>
      <c r="B2022" s="2" t="str">
        <f t="shared" si="176"/>
        <v>SISTEMA FATURAMENTO CONTAS DE CONVENIO</v>
      </c>
      <c r="C2022" s="2" t="str">
        <f t="shared" si="177"/>
        <v>FATUR-CONV</v>
      </c>
      <c r="D2022" s="2" t="str">
        <f t="shared" si="178"/>
        <v>FFCV</v>
      </c>
      <c r="E2022" s="2" t="str">
        <f>"O_GERAARQMAG_GERAL_VALIDACAO"</f>
        <v>O_GERAARQMAG_GERAL_VALIDACAO</v>
      </c>
      <c r="F2022" s="2" t="str">
        <f>"O_GERAARQMAG_GERAL_VALIDACAO"</f>
        <v>O_GERAARQMAG_GERAL_VALIDACAO</v>
      </c>
      <c r="G2022" s="2" t="str">
        <f>"Faturamento / Faturamento de Convênios e Particulares / Lançamentos / Arquivo Magnético / Envio / Geral / Validação (O_GERAARQMAG_GERAL_VALIDACAO)"</f>
        <v>Faturamento / Faturamento de Convênios e Particulares / Lançamentos / Arquivo Magnético / Envio / Geral / Validação (O_GERAARQMAG_GERAL_VALIDACAO)</v>
      </c>
    </row>
    <row r="2023" spans="1:7" x14ac:dyDescent="0.3">
      <c r="A2023" s="1" t="s">
        <v>4</v>
      </c>
      <c r="B2023" s="2" t="str">
        <f t="shared" si="176"/>
        <v>SISTEMA FATURAMENTO CONTAS DE CONVENIO</v>
      </c>
      <c r="C2023" s="2" t="str">
        <f t="shared" si="177"/>
        <v>FATUR-CONV</v>
      </c>
      <c r="D2023" s="2" t="str">
        <f t="shared" si="178"/>
        <v>FFCV</v>
      </c>
      <c r="E2023" s="2" t="str">
        <f>"O_GERAARQMAG_GERAL_GERACAO"</f>
        <v>O_GERAARQMAG_GERAL_GERACAO</v>
      </c>
      <c r="F2023" s="2" t="str">
        <f>"O_GERAARQMAG_GERAL_GERACAO"</f>
        <v>O_GERAARQMAG_GERAL_GERACAO</v>
      </c>
      <c r="G2023" s="2" t="str">
        <f>"Faturamento / Faturamento de Convênios e Particulares / Lançamentos / Arquivo Magnético / Envio / Geral / Geração (O_GERAARQMAG_GERAL_GERACAO)"</f>
        <v>Faturamento / Faturamento de Convênios e Particulares / Lançamentos / Arquivo Magnético / Envio / Geral / Geração (O_GERAARQMAG_GERAL_GERACAO)</v>
      </c>
    </row>
    <row r="2024" spans="1:7" x14ac:dyDescent="0.3">
      <c r="A2024" s="1" t="s">
        <v>4</v>
      </c>
      <c r="B2024" s="2" t="str">
        <f t="shared" si="176"/>
        <v>SISTEMA FATURAMENTO CONTAS DE CONVENIO</v>
      </c>
      <c r="C2024" s="2" t="str">
        <f t="shared" si="177"/>
        <v>FATUR-CONV</v>
      </c>
      <c r="D2024" s="2" t="str">
        <f t="shared" si="178"/>
        <v>FFCV</v>
      </c>
      <c r="E2024" s="2" t="str">
        <f>"CONTA DO ATENDIMENTO AMBULATORIAL"</f>
        <v>CONTA DO ATENDIMENTO AMBULATORIAL</v>
      </c>
      <c r="F2024" s="2" t="str">
        <f>"M_LAN_AMB_PART_FFCV_INDIV"</f>
        <v>M_LAN_AMB_PART_FFCV_INDIV</v>
      </c>
      <c r="G2024" s="2" t="str">
        <f>"Faturamento / Faturamento de Convênios e Particulares / Lançamentos / Conta Ambulatorial / Conta do Atendimento (M_LAN_AMB_PART_FFCV_INDIV)"</f>
        <v>Faturamento / Faturamento de Convênios e Particulares / Lançamentos / Conta Ambulatorial / Conta do Atendimento (M_LAN_AMB_PART_FFCV_INDIV)</v>
      </c>
    </row>
    <row r="2025" spans="1:7" x14ac:dyDescent="0.3">
      <c r="A2025" s="1" t="s">
        <v>4</v>
      </c>
      <c r="B2025" s="2" t="str">
        <f t="shared" si="176"/>
        <v>SISTEMA FATURAMENTO CONTAS DE CONVENIO</v>
      </c>
      <c r="C2025" s="2" t="str">
        <f t="shared" si="177"/>
        <v>FATUR-CONV</v>
      </c>
      <c r="D2025" s="2" t="str">
        <f t="shared" si="178"/>
        <v>FFCV</v>
      </c>
      <c r="E2025" s="2" t="str">
        <f>"TRIGGER DE LANÇAMENTO NO FFCV DO PAGU"</f>
        <v>TRIGGER DE LANÇAMENTO NO FFCV DO PAGU</v>
      </c>
      <c r="F2025" s="2" t="str">
        <f>"TRG_LANCA_PRESC_FFCV"</f>
        <v>TRG_LANCA_PRESC_FFCV</v>
      </c>
      <c r="G2025" s="2" t="str">
        <f>" ()"</f>
        <v xml:space="preserve"> ()</v>
      </c>
    </row>
    <row r="2026" spans="1:7" x14ac:dyDescent="0.3">
      <c r="A2026" s="1" t="s">
        <v>4</v>
      </c>
      <c r="B2026" s="2" t="str">
        <f t="shared" si="176"/>
        <v>SISTEMA FATURAMENTO CONTAS DE CONVENIO</v>
      </c>
      <c r="C2026" s="2" t="str">
        <f t="shared" si="177"/>
        <v>FATUR-CONV</v>
      </c>
      <c r="D2026" s="2" t="str">
        <f t="shared" si="178"/>
        <v>FFCV</v>
      </c>
      <c r="E2026" s="2" t="str">
        <f>"TRIGGER DE LANÇAMENTO NO FFCV DO MGES"</f>
        <v>TRIGGER DE LANÇAMENTO NO FFCV DO MGES</v>
      </c>
      <c r="F2026" s="2" t="str">
        <f>"TRG_LANCA_FFCV"</f>
        <v>TRG_LANCA_FFCV</v>
      </c>
      <c r="G2026" s="2" t="str">
        <f>" ()"</f>
        <v xml:space="preserve"> ()</v>
      </c>
    </row>
    <row r="2027" spans="1:7" x14ac:dyDescent="0.3">
      <c r="A2027" s="1" t="s">
        <v>4</v>
      </c>
      <c r="B2027" s="2" t="str">
        <f t="shared" si="176"/>
        <v>SISTEMA FATURAMENTO CONTAS DE CONVENIO</v>
      </c>
      <c r="C2027" s="2" t="str">
        <f t="shared" si="177"/>
        <v>FATUR-CONV</v>
      </c>
      <c r="D2027" s="2" t="str">
        <f t="shared" si="178"/>
        <v>FFCV</v>
      </c>
      <c r="E2027" s="2" t="str">
        <f>"REL DE RESUMO DO CONSUMIDO X FATURADO"</f>
        <v>REL DE RESUMO DO CONSUMIDO X FATURADO</v>
      </c>
      <c r="F2027" s="2" t="str">
        <f>"R_PERFIL_CONS_FAT"</f>
        <v>R_PERFIL_CONS_FAT</v>
      </c>
      <c r="G2027" s="2" t="str">
        <f>"Faturamento / Faturamento de Convênios e Particulares / Relatórios / Gerenciais / Resumo do Consumido X Faturado (R_PERFIL_CONS_FAT)"</f>
        <v>Faturamento / Faturamento de Convênios e Particulares / Relatórios / Gerenciais / Resumo do Consumido X Faturado (R_PERFIL_CONS_FAT)</v>
      </c>
    </row>
    <row r="2028" spans="1:7" x14ac:dyDescent="0.3">
      <c r="A2028" s="1" t="s">
        <v>4</v>
      </c>
      <c r="B2028" s="2" t="str">
        <f t="shared" si="176"/>
        <v>SISTEMA FATURAMENTO CONTAS DE CONVENIO</v>
      </c>
      <c r="C2028" s="2" t="str">
        <f t="shared" si="177"/>
        <v>FATUR-CONV</v>
      </c>
      <c r="D2028" s="2" t="str">
        <f t="shared" si="178"/>
        <v>FFCV</v>
      </c>
      <c r="E2028" s="2" t="str">
        <f>"NOTA FISCAL DO FEMINA"</f>
        <v>NOTA FISCAL DO FEMINA</v>
      </c>
      <c r="F2028" s="2" t="str">
        <f>"R_NOTA_FISCAL_272"</f>
        <v>R_NOTA_FISCAL_272</v>
      </c>
      <c r="G2028" s="2" t="str">
        <f>" ()"</f>
        <v xml:space="preserve"> ()</v>
      </c>
    </row>
    <row r="2029" spans="1:7" x14ac:dyDescent="0.3">
      <c r="A2029" s="1" t="s">
        <v>4</v>
      </c>
      <c r="B2029" s="2" t="str">
        <f t="shared" si="176"/>
        <v>SISTEMA FATURAMENTO CONTAS DE CONVENIO</v>
      </c>
      <c r="C2029" s="2" t="str">
        <f t="shared" si="177"/>
        <v>FATUR-CONV</v>
      </c>
      <c r="D2029" s="2" t="str">
        <f t="shared" si="178"/>
        <v>FFCV</v>
      </c>
      <c r="E2029" s="2" t="str">
        <f>"REL NOTA FISCAL DO CHSM"</f>
        <v>REL NOTA FISCAL DO CHSM</v>
      </c>
      <c r="F2029" s="2" t="str">
        <f>"R_NOTA_FISCAL_200"</f>
        <v>R_NOTA_FISCAL_200</v>
      </c>
      <c r="G2029" s="2" t="str">
        <f>" ()"</f>
        <v xml:space="preserve"> ()</v>
      </c>
    </row>
    <row r="2030" spans="1:7" x14ac:dyDescent="0.3">
      <c r="A2030" s="1" t="s">
        <v>4</v>
      </c>
      <c r="B2030" s="2" t="str">
        <f t="shared" si="176"/>
        <v>SISTEMA FATURAMENTO CONTAS DE CONVENIO</v>
      </c>
      <c r="C2030" s="2" t="str">
        <f t="shared" si="177"/>
        <v>FATUR-CONV</v>
      </c>
      <c r="D2030" s="2" t="str">
        <f t="shared" si="178"/>
        <v>FFCV</v>
      </c>
      <c r="E2030" s="2" t="str">
        <f>"REL RECEITA POR CENTRO DE CUSTO X ORIGEM"</f>
        <v>REL RECEITA POR CENTRO DE CUSTO X ORIGEM</v>
      </c>
      <c r="F2030" s="2" t="str">
        <f>"R_FAT_CC_ORIGEM_DT_LANC"</f>
        <v>R_FAT_CC_ORIGEM_DT_LANC</v>
      </c>
      <c r="G2030" s="2" t="str">
        <f>" ()"</f>
        <v xml:space="preserve"> ()</v>
      </c>
    </row>
    <row r="2031" spans="1:7" x14ac:dyDescent="0.3">
      <c r="A2031" s="1" t="s">
        <v>4</v>
      </c>
      <c r="B2031" s="2" t="str">
        <f t="shared" si="176"/>
        <v>SISTEMA FATURAMENTO CONTAS DE CONVENIO</v>
      </c>
      <c r="C2031" s="2" t="str">
        <f t="shared" si="177"/>
        <v>FATUR-CONV</v>
      </c>
      <c r="D2031" s="2" t="str">
        <f t="shared" si="178"/>
        <v>FFCV</v>
      </c>
      <c r="E2031" s="2" t="str">
        <f>"REL. DE RECEITAS POR CENTRO DE CUSTO X O"</f>
        <v>REL. DE RECEITAS POR CENTRO DE CUSTO X O</v>
      </c>
      <c r="F2031" s="2" t="str">
        <f>"R_FAT_CC_ORIGEM"</f>
        <v>R_FAT_CC_ORIGEM</v>
      </c>
      <c r="G2031" s="2" t="str">
        <f>" ()"</f>
        <v xml:space="preserve"> ()</v>
      </c>
    </row>
    <row r="2032" spans="1:7" x14ac:dyDescent="0.3">
      <c r="A2032" s="1" t="s">
        <v>4</v>
      </c>
      <c r="B2032" s="2" t="str">
        <f t="shared" si="176"/>
        <v>SISTEMA FATURAMENTO CONTAS DE CONVENIO</v>
      </c>
      <c r="C2032" s="2" t="str">
        <f t="shared" si="177"/>
        <v>FATUR-CONV</v>
      </c>
      <c r="D2032" s="2" t="str">
        <f t="shared" si="178"/>
        <v>FFCV</v>
      </c>
      <c r="E2032" s="2" t="str">
        <f>"REL. ATENDIMENTOS MÉDICOS ASSISTENTES"</f>
        <v>REL. ATENDIMENTOS MÉDICOS ASSISTENTES</v>
      </c>
      <c r="F2032" s="2" t="str">
        <f>"R_ATEND_MED_ASSISTENTE"</f>
        <v>R_ATEND_MED_ASSISTENTE</v>
      </c>
      <c r="G2032" s="2" t="str">
        <f>"Faturamento / Faturamento de Convênios e Particulares / Relatórios / Gerenciais / Produção dos Médicos Assistentes (R_ATEND_MED_ASSISTENTE)"</f>
        <v>Faturamento / Faturamento de Convênios e Particulares / Relatórios / Gerenciais / Produção dos Médicos Assistentes (R_ATEND_MED_ASSISTENTE)</v>
      </c>
    </row>
    <row r="2033" spans="1:7" x14ac:dyDescent="0.3">
      <c r="A2033" s="1" t="s">
        <v>4</v>
      </c>
      <c r="B2033" s="2" t="str">
        <f t="shared" si="176"/>
        <v>SISTEMA FATURAMENTO CONTAS DE CONVENIO</v>
      </c>
      <c r="C2033" s="2" t="str">
        <f t="shared" si="177"/>
        <v>FATUR-CONV</v>
      </c>
      <c r="D2033" s="2" t="str">
        <f t="shared" si="178"/>
        <v>FFCV</v>
      </c>
      <c r="E2033" s="2" t="str">
        <f>"NOTA FISCAL DO HOSPITAL 756"</f>
        <v>NOTA FISCAL DO HOSPITAL 756</v>
      </c>
      <c r="F2033" s="2" t="str">
        <f>"R_NOTA_FISCAL_756"</f>
        <v>R_NOTA_FISCAL_756</v>
      </c>
      <c r="G2033" s="2" t="str">
        <f>" ()"</f>
        <v xml:space="preserve"> ()</v>
      </c>
    </row>
    <row r="2034" spans="1:7" x14ac:dyDescent="0.3">
      <c r="A2034" s="1" t="s">
        <v>4</v>
      </c>
      <c r="B2034" s="2" t="str">
        <f t="shared" si="176"/>
        <v>SISTEMA FATURAMENTO CONTAS DE CONVENIO</v>
      </c>
      <c r="C2034" s="2" t="str">
        <f t="shared" si="177"/>
        <v>FATUR-CONV</v>
      </c>
      <c r="D2034" s="2" t="str">
        <f t="shared" si="178"/>
        <v>FFCV</v>
      </c>
      <c r="E2034" s="2" t="str">
        <f>"GERAÇÃO DE ENTREGA MEIO MAGNÉT. HAPVIDA"</f>
        <v>GERAÇÃO DE ENTREGA MEIO MAGNÉT. HAPVIDA</v>
      </c>
      <c r="F2034" s="2" t="str">
        <f>"GERA_ARQMAG_HAPVIDA"</f>
        <v>GERA_ARQMAG_HAPVIDA</v>
      </c>
      <c r="G2034" s="2" t="str">
        <f>" ()"</f>
        <v xml:space="preserve"> ()</v>
      </c>
    </row>
    <row r="2035" spans="1:7" x14ac:dyDescent="0.3">
      <c r="A2035" s="1" t="s">
        <v>4</v>
      </c>
      <c r="B2035" s="2" t="str">
        <f t="shared" si="176"/>
        <v>SISTEMA FATURAMENTO CONTAS DE CONVENIO</v>
      </c>
      <c r="C2035" s="2" t="str">
        <f t="shared" si="177"/>
        <v>FATUR-CONV</v>
      </c>
      <c r="D2035" s="2" t="str">
        <f t="shared" si="178"/>
        <v>FFCV</v>
      </c>
      <c r="E2035" s="2" t="str">
        <f>"GERAÇÃO DE ENTREGA MEIO MAGNÉT. ABRAMGE"</f>
        <v>GERAÇÃO DE ENTREGA MEIO MAGNÉT. ABRAMGE</v>
      </c>
      <c r="F2035" s="2" t="str">
        <f>"GERA_ARQMAG_ABRAMGE"</f>
        <v>GERA_ARQMAG_ABRAMGE</v>
      </c>
      <c r="G2035" s="2" t="str">
        <f>" ()"</f>
        <v xml:space="preserve"> ()</v>
      </c>
    </row>
    <row r="2036" spans="1:7" x14ac:dyDescent="0.3">
      <c r="A2036" s="1" t="s">
        <v>4</v>
      </c>
      <c r="B2036" s="2" t="str">
        <f t="shared" si="176"/>
        <v>SISTEMA FATURAMENTO CONTAS DE CONVENIO</v>
      </c>
      <c r="C2036" s="2" t="str">
        <f t="shared" si="177"/>
        <v>FATUR-CONV</v>
      </c>
      <c r="D2036" s="2" t="str">
        <f t="shared" si="178"/>
        <v>FFCV</v>
      </c>
      <c r="E2036" s="2" t="str">
        <f>"REL OPERACIONAL CONF. DE LANÇAMENTOS"</f>
        <v>REL OPERACIONAL CONF. DE LANÇAMENTOS</v>
      </c>
      <c r="F2036" s="2" t="str">
        <f>"R_CONF_LANC"</f>
        <v>R_CONF_LANC</v>
      </c>
      <c r="G2036" s="2" t="str">
        <f>"Faturamento / Faturamento de Convênios e Particulares / Relatórios / Operacionais / Conferência de Lançamentos (R_CONF_LANC)"</f>
        <v>Faturamento / Faturamento de Convênios e Particulares / Relatórios / Operacionais / Conferência de Lançamentos (R_CONF_LANC)</v>
      </c>
    </row>
    <row r="2037" spans="1:7" x14ac:dyDescent="0.3">
      <c r="A2037" s="1" t="s">
        <v>4</v>
      </c>
      <c r="B2037" s="2" t="str">
        <f t="shared" si="176"/>
        <v>SISTEMA FATURAMENTO CONTAS DE CONVENIO</v>
      </c>
      <c r="C2037" s="2" t="str">
        <f t="shared" si="177"/>
        <v>FATUR-CONV</v>
      </c>
      <c r="D2037" s="2" t="str">
        <f t="shared" si="178"/>
        <v>FFCV</v>
      </c>
      <c r="E2037" s="2" t="str">
        <f>"REL OPERACIONAL CONF. DE LANÇAMENTOS"</f>
        <v>REL OPERACIONAL CONF. DE LANÇAMENTOS</v>
      </c>
      <c r="F2037" s="2" t="str">
        <f>"R_CONF_LANC"</f>
        <v>R_CONF_LANC</v>
      </c>
      <c r="G2037" s="2" t="str">
        <f>"Faturamento / Auditoria e Controle de Recursos de Glosas / Relatórios / Operacionais / Conferência de Lançamentos (R_CONF_LANC)"</f>
        <v>Faturamento / Auditoria e Controle de Recursos de Glosas / Relatórios / Operacionais / Conferência de Lançamentos (R_CONF_LANC)</v>
      </c>
    </row>
    <row r="2038" spans="1:7" x14ac:dyDescent="0.3">
      <c r="A2038" s="1" t="s">
        <v>4</v>
      </c>
      <c r="B2038" s="2" t="str">
        <f t="shared" si="176"/>
        <v>SISTEMA FATURAMENTO CONTAS DE CONVENIO</v>
      </c>
      <c r="C2038" s="2" t="str">
        <f t="shared" si="177"/>
        <v>FATUR-CONV</v>
      </c>
      <c r="D2038" s="2" t="str">
        <f t="shared" si="178"/>
        <v>FFCV</v>
      </c>
      <c r="E2038" s="2" t="str">
        <f>"FUNÇÃO DE GERAÇÃO DE DIARIAS AUTOM."</f>
        <v>FUNÇÃO DE GERAÇÃO DE DIARIAS AUTOM.</v>
      </c>
      <c r="F2038" s="2" t="str">
        <f>"DIARIA_AUTOMATICA"</f>
        <v>DIARIA_AUTOMATICA</v>
      </c>
      <c r="G2038" s="2" t="str">
        <f>" ()"</f>
        <v xml:space="preserve"> ()</v>
      </c>
    </row>
    <row r="2039" spans="1:7" x14ac:dyDescent="0.3">
      <c r="A2039" s="1" t="s">
        <v>4</v>
      </c>
      <c r="B2039" s="2" t="str">
        <f t="shared" si="176"/>
        <v>SISTEMA FATURAMENTO CONTAS DE CONVENIO</v>
      </c>
      <c r="C2039" s="2" t="str">
        <f t="shared" si="177"/>
        <v>FATUR-CONV</v>
      </c>
      <c r="D2039" s="2" t="str">
        <f t="shared" si="178"/>
        <v>FFCV</v>
      </c>
      <c r="E2039" s="2" t="str">
        <f>"PACKAGE LCTO CIRURGIAS PARA O FFCV"</f>
        <v>PACKAGE LCTO CIRURGIAS PARA O FFCV</v>
      </c>
      <c r="F2039" s="2" t="str">
        <f>"PACK_LANCA_FFCV"</f>
        <v>PACK_LANCA_FFCV</v>
      </c>
      <c r="G2039" s="2" t="str">
        <f>" ()"</f>
        <v xml:space="preserve"> ()</v>
      </c>
    </row>
    <row r="2040" spans="1:7" x14ac:dyDescent="0.3">
      <c r="A2040" s="1" t="s">
        <v>4</v>
      </c>
      <c r="B2040" s="2" t="str">
        <f t="shared" si="176"/>
        <v>SISTEMA FATURAMENTO CONTAS DE CONVENIO</v>
      </c>
      <c r="C2040" s="2" t="str">
        <f t="shared" si="177"/>
        <v>FATUR-CONV</v>
      </c>
      <c r="D2040" s="2" t="str">
        <f t="shared" si="178"/>
        <v>FFCV</v>
      </c>
      <c r="E2040" s="2" t="str">
        <f>"REL GERENCIAIS  FAT X  PROCE POR DT LANC"</f>
        <v>REL GERENCIAIS  FAT X  PROCE POR DT LANC</v>
      </c>
      <c r="F2040" s="2" t="str">
        <f>"R_GRU_FAT_X_GRU_PRO_DT_LANC"</f>
        <v>R_GRU_FAT_X_GRU_PRO_DT_LANC</v>
      </c>
      <c r="G2040" s="2" t="str">
        <f>" ()"</f>
        <v xml:space="preserve"> ()</v>
      </c>
    </row>
    <row r="2041" spans="1:7" x14ac:dyDescent="0.3">
      <c r="A2041" s="1" t="s">
        <v>4</v>
      </c>
      <c r="B2041" s="2" t="str">
        <f t="shared" si="176"/>
        <v>SISTEMA FATURAMENTO CONTAS DE CONVENIO</v>
      </c>
      <c r="C2041" s="2" t="str">
        <f t="shared" si="177"/>
        <v>FATUR-CONV</v>
      </c>
      <c r="D2041" s="2" t="str">
        <f t="shared" si="178"/>
        <v>FFCV</v>
      </c>
      <c r="E2041" s="2" t="str">
        <f>"REL GERENCIAIS GRP FATURA X GRP PROCEDIM"</f>
        <v>REL GERENCIAIS GRP FATURA X GRP PROCEDIM</v>
      </c>
      <c r="F2041" s="2" t="str">
        <f>"R_FAT_GRU_FAT_X_GRU_PRO"</f>
        <v>R_FAT_GRU_FAT_X_GRU_PRO</v>
      </c>
      <c r="G2041" s="2" t="str">
        <f>" ()"</f>
        <v xml:space="preserve"> ()</v>
      </c>
    </row>
    <row r="2042" spans="1:7" x14ac:dyDescent="0.3">
      <c r="A2042" s="1" t="s">
        <v>4</v>
      </c>
      <c r="B2042" s="2" t="str">
        <f t="shared" si="176"/>
        <v>SISTEMA FATURAMENTO CONTAS DE CONVENIO</v>
      </c>
      <c r="C2042" s="2" t="str">
        <f t="shared" si="177"/>
        <v>FATUR-CONV</v>
      </c>
      <c r="D2042" s="2" t="str">
        <f t="shared" si="178"/>
        <v>FFCV</v>
      </c>
      <c r="E2042" s="2" t="str">
        <f>"REL DE CONVENIOS E PLANOS"</f>
        <v>REL DE CONVENIOS E PLANOS</v>
      </c>
      <c r="F2042" s="2" t="str">
        <f>"R_CONPLA_CAD"</f>
        <v>R_CONPLA_CAD</v>
      </c>
      <c r="G2042" s="2" t="str">
        <f>" ()"</f>
        <v xml:space="preserve"> ()</v>
      </c>
    </row>
    <row r="2043" spans="1:7" x14ac:dyDescent="0.3">
      <c r="A2043" s="1" t="s">
        <v>4</v>
      </c>
      <c r="B2043" s="2" t="str">
        <f t="shared" si="176"/>
        <v>SISTEMA FATURAMENTO CONTAS DE CONVENIO</v>
      </c>
      <c r="C2043" s="2" t="str">
        <f t="shared" si="177"/>
        <v>FATUR-CONV</v>
      </c>
      <c r="D2043" s="2" t="str">
        <f t="shared" si="178"/>
        <v>FFCV</v>
      </c>
      <c r="E2043" s="2" t="str">
        <f>"REL DE FATURAMENTO DE FORNECEDORES"</f>
        <v>REL DE FATURAMENTO DE FORNECEDORES</v>
      </c>
      <c r="F2043" s="2" t="str">
        <f>"R_FAT_FORN"</f>
        <v>R_FAT_FORN</v>
      </c>
      <c r="G2043" s="2" t="str">
        <f>"Faturamento / Faturamento de Convênios e Particulares / Relatórios / Administrativos / Faturamento de Fornecedores (R_FAT_FORN)"</f>
        <v>Faturamento / Faturamento de Convênios e Particulares / Relatórios / Administrativos / Faturamento de Fornecedores (R_FAT_FORN)</v>
      </c>
    </row>
    <row r="2044" spans="1:7" x14ac:dyDescent="0.3">
      <c r="A2044" s="1" t="s">
        <v>4</v>
      </c>
      <c r="B2044" s="2" t="str">
        <f t="shared" si="176"/>
        <v>SISTEMA FATURAMENTO CONTAS DE CONVENIO</v>
      </c>
      <c r="C2044" s="2" t="str">
        <f t="shared" si="177"/>
        <v>FATUR-CONV</v>
      </c>
      <c r="D2044" s="2" t="str">
        <f t="shared" si="178"/>
        <v>FFCV</v>
      </c>
      <c r="E2044" s="2" t="str">
        <f>"REL DE SERVIÇOS PROFISSIONAIS"</f>
        <v>REL DE SERVIÇOS PROFISSIONAIS</v>
      </c>
      <c r="F2044" s="2" t="str">
        <f>"R_EST_PREST"</f>
        <v>R_EST_PREST</v>
      </c>
      <c r="G2044" s="2" t="str">
        <f>"Faturamento / Faturamento de Convênios e Particulares / Relatórios / Administrativos / Serviços Profissionais (R_EST_PREST)"</f>
        <v>Faturamento / Faturamento de Convênios e Particulares / Relatórios / Administrativos / Serviços Profissionais (R_EST_PREST)</v>
      </c>
    </row>
    <row r="2045" spans="1:7" x14ac:dyDescent="0.3">
      <c r="A2045" s="1" t="s">
        <v>4</v>
      </c>
      <c r="B2045" s="2" t="str">
        <f t="shared" si="176"/>
        <v>SISTEMA FATURAMENTO CONTAS DE CONVENIO</v>
      </c>
      <c r="C2045" s="2" t="str">
        <f t="shared" si="177"/>
        <v>FATUR-CONV</v>
      </c>
      <c r="D2045" s="2" t="str">
        <f t="shared" si="178"/>
        <v>FFCV</v>
      </c>
      <c r="E2045" s="2" t="str">
        <f>"REL. GER.  RESUMO DO CONSUMO X FATURADO"</f>
        <v>REL. GER.  RESUMO DO CONSUMO X FATURADO</v>
      </c>
      <c r="F2045" s="2" t="str">
        <f>"R_RESUMO_CONS_FAT"</f>
        <v>R_RESUMO_CONS_FAT</v>
      </c>
      <c r="G2045" s="2" t="str">
        <f>" ()"</f>
        <v xml:space="preserve"> ()</v>
      </c>
    </row>
    <row r="2046" spans="1:7" x14ac:dyDescent="0.3">
      <c r="A2046" s="1" t="s">
        <v>4</v>
      </c>
      <c r="B2046" s="2" t="str">
        <f t="shared" si="176"/>
        <v>SISTEMA FATURAMENTO CONTAS DE CONVENIO</v>
      </c>
      <c r="C2046" s="2" t="str">
        <f t="shared" si="177"/>
        <v>FATUR-CONV</v>
      </c>
      <c r="D2046" s="2" t="str">
        <f t="shared" si="178"/>
        <v>FFCV</v>
      </c>
      <c r="E2046" s="2" t="str">
        <f>"RELATORIO DE CONSUMO POR PROCEDIMENTO"</f>
        <v>RELATORIO DE CONSUMO POR PROCEDIMENTO</v>
      </c>
      <c r="F2046" s="2" t="str">
        <f>"R_CONSUMO_PROCED"</f>
        <v>R_CONSUMO_PROCED</v>
      </c>
      <c r="G2046" s="2" t="str">
        <f>" ()"</f>
        <v xml:space="preserve"> ()</v>
      </c>
    </row>
    <row r="2047" spans="1:7" x14ac:dyDescent="0.3">
      <c r="A2047" s="1" t="s">
        <v>4</v>
      </c>
      <c r="B2047" s="2" t="str">
        <f t="shared" si="176"/>
        <v>SISTEMA FATURAMENTO CONTAS DE CONVENIO</v>
      </c>
      <c r="C2047" s="2" t="str">
        <f t="shared" si="177"/>
        <v>FATUR-CONV</v>
      </c>
      <c r="D2047" s="2" t="str">
        <f t="shared" si="178"/>
        <v>FFCV</v>
      </c>
      <c r="E2047" s="2" t="str">
        <f>"LANCAMENTO AMBULATORIAL DE DIAGNÓSTICO"</f>
        <v>LANCAMENTO AMBULATORIAL DE DIAGNÓSTICO</v>
      </c>
      <c r="F2047" s="2" t="str">
        <f>"M_DIAGNO_AMB"</f>
        <v>M_DIAGNO_AMB</v>
      </c>
      <c r="G2047" s="2" t="str">
        <f>" ()"</f>
        <v xml:space="preserve"> ()</v>
      </c>
    </row>
    <row r="2048" spans="1:7" x14ac:dyDescent="0.3">
      <c r="A2048" s="1" t="s">
        <v>4</v>
      </c>
      <c r="B2048" s="2" t="str">
        <f t="shared" si="176"/>
        <v>SISTEMA FATURAMENTO CONTAS DE CONVENIO</v>
      </c>
      <c r="C2048" s="2" t="str">
        <f t="shared" si="177"/>
        <v>FATUR-CONV</v>
      </c>
      <c r="D2048" s="2" t="str">
        <f t="shared" si="178"/>
        <v>FFCV</v>
      </c>
      <c r="E2048" s="2" t="str">
        <f>"LANCAMENTO HOSPITALAR DE DIAGNÓSTICO"</f>
        <v>LANCAMENTO HOSPITALAR DE DIAGNÓSTICO</v>
      </c>
      <c r="F2048" s="2" t="str">
        <f>"M_DIAGNO_HOS"</f>
        <v>M_DIAGNO_HOS</v>
      </c>
      <c r="G2048" s="2" t="str">
        <f>" ()"</f>
        <v xml:space="preserve"> ()</v>
      </c>
    </row>
    <row r="2049" spans="1:7" x14ac:dyDescent="0.3">
      <c r="A2049" s="1" t="s">
        <v>4</v>
      </c>
      <c r="B2049" s="2" t="str">
        <f t="shared" si="176"/>
        <v>SISTEMA FATURAMENTO CONTAS DE CONVENIO</v>
      </c>
      <c r="C2049" s="2" t="str">
        <f t="shared" si="177"/>
        <v>FATUR-CONV</v>
      </c>
      <c r="D2049" s="2" t="str">
        <f t="shared" si="178"/>
        <v>FFCV</v>
      </c>
      <c r="E2049" s="2" t="str">
        <f>"REL DE PORTES ANESTÉSICOS"</f>
        <v>REL DE PORTES ANESTÉSICOS</v>
      </c>
      <c r="F2049" s="2" t="str">
        <f>"R_PORTE_ANEST"</f>
        <v>R_PORTE_ANEST</v>
      </c>
      <c r="G2049" s="2" t="str">
        <f>" ()"</f>
        <v xml:space="preserve"> ()</v>
      </c>
    </row>
    <row r="2050" spans="1:7" x14ac:dyDescent="0.3">
      <c r="A2050" s="1" t="s">
        <v>4</v>
      </c>
      <c r="B2050" s="2" t="str">
        <f t="shared" si="176"/>
        <v>SISTEMA FATURAMENTO CONTAS DE CONVENIO</v>
      </c>
      <c r="C2050" s="2" t="str">
        <f t="shared" si="177"/>
        <v>FATUR-CONV</v>
      </c>
      <c r="D2050" s="2" t="str">
        <f t="shared" si="178"/>
        <v>FFCV</v>
      </c>
      <c r="E2050" s="2" t="str">
        <f>"REL - FATURA -  APRESENTACAO POR REMESSA"</f>
        <v>REL - FATURA -  APRESENTACAO POR REMESSA</v>
      </c>
      <c r="F2050" s="2" t="str">
        <f>"R_APRE_LOTE"</f>
        <v>R_APRE_LOTE</v>
      </c>
      <c r="G2050" s="2" t="str">
        <f>"Faturamento / Faturamento de Convênios e Particulares / Relatórios / Fatura / Apresentação por Remessa (R_APRE_LOTE)"</f>
        <v>Faturamento / Faturamento de Convênios e Particulares / Relatórios / Fatura / Apresentação por Remessa (R_APRE_LOTE)</v>
      </c>
    </row>
    <row r="2051" spans="1:7" x14ac:dyDescent="0.3">
      <c r="A2051" s="1" t="s">
        <v>4</v>
      </c>
      <c r="B2051" s="2" t="str">
        <f t="shared" si="176"/>
        <v>SISTEMA FATURAMENTO CONTAS DE CONVENIO</v>
      </c>
      <c r="C2051" s="2" t="str">
        <f t="shared" si="177"/>
        <v>FATUR-CONV</v>
      </c>
      <c r="D2051" s="2" t="str">
        <f t="shared" si="178"/>
        <v>FFCV</v>
      </c>
      <c r="E2051" s="2" t="str">
        <f>"REL - FATURA -  APRESENTACAO POR REMESSA"</f>
        <v>REL - FATURA -  APRESENTACAO POR REMESSA</v>
      </c>
      <c r="F2051" s="2" t="str">
        <f>"R_APRE_LOTE"</f>
        <v>R_APRE_LOTE</v>
      </c>
      <c r="G2051" s="2" t="str">
        <f>"Faturamento / Auditoria e Controle de Recursos de Glosas / Relatórios / Fatura / Apresentação por Remessa (R_APRE_LOTE)"</f>
        <v>Faturamento / Auditoria e Controle de Recursos de Glosas / Relatórios / Fatura / Apresentação por Remessa (R_APRE_LOTE)</v>
      </c>
    </row>
    <row r="2052" spans="1:7" x14ac:dyDescent="0.3">
      <c r="A2052" s="1" t="s">
        <v>4</v>
      </c>
      <c r="B2052" s="2" t="str">
        <f t="shared" si="176"/>
        <v>SISTEMA FATURAMENTO CONTAS DE CONVENIO</v>
      </c>
      <c r="C2052" s="2" t="str">
        <f t="shared" si="177"/>
        <v>FATUR-CONV</v>
      </c>
      <c r="D2052" s="2" t="str">
        <f t="shared" si="178"/>
        <v>FFCV</v>
      </c>
      <c r="E2052" s="2" t="str">
        <f t="shared" ref="E2052:E2059" si="179">"REL DE NOTAS FISCAIS EMITIDAS"</f>
        <v>REL DE NOTAS FISCAIS EMITIDAS</v>
      </c>
      <c r="F2052" s="2" t="str">
        <f t="shared" ref="F2052:F2059" si="180">"R_NOTAS_EMITE"</f>
        <v>R_NOTAS_EMITE</v>
      </c>
      <c r="G2052" s="2" t="str">
        <f>"Faturamento / Faturamento de Convênios e Particulares / Relatórios / Operacionais / Notas Fiscais Emitidas / Canceladas (R_NOTAS_EMITE)"</f>
        <v>Faturamento / Faturamento de Convênios e Particulares / Relatórios / Operacionais / Notas Fiscais Emitidas / Canceladas (R_NOTAS_EMITE)</v>
      </c>
    </row>
    <row r="2053" spans="1:7" x14ac:dyDescent="0.3">
      <c r="A2053" s="1" t="s">
        <v>4</v>
      </c>
      <c r="B2053" s="2" t="str">
        <f t="shared" si="176"/>
        <v>SISTEMA FATURAMENTO CONTAS DE CONVENIO</v>
      </c>
      <c r="C2053" s="2" t="str">
        <f t="shared" si="177"/>
        <v>FATUR-CONV</v>
      </c>
      <c r="D2053" s="2" t="str">
        <f t="shared" si="178"/>
        <v>FFCV</v>
      </c>
      <c r="E2053" s="2" t="str">
        <f t="shared" si="179"/>
        <v>REL DE NOTAS FISCAIS EMITIDAS</v>
      </c>
      <c r="F2053" s="2" t="str">
        <f t="shared" si="180"/>
        <v>R_NOTAS_EMITE</v>
      </c>
      <c r="G2053" s="2" t="str">
        <f>"Controladoria / Repasse Médico / Relatórios / Operacionais / Notas Fiscais Emitidas (R_NOTAS_EMITE)"</f>
        <v>Controladoria / Repasse Médico / Relatórios / Operacionais / Notas Fiscais Emitidas (R_NOTAS_EMITE)</v>
      </c>
    </row>
    <row r="2054" spans="1:7" x14ac:dyDescent="0.3">
      <c r="A2054" s="1" t="s">
        <v>4</v>
      </c>
      <c r="B2054" s="2" t="str">
        <f t="shared" ref="B2054:B2117" si="181">"SISTEMA FATURAMENTO CONTAS DE CONVENIO"</f>
        <v>SISTEMA FATURAMENTO CONTAS DE CONVENIO</v>
      </c>
      <c r="C2054" s="2" t="str">
        <f t="shared" ref="C2054:C2117" si="182">"FATUR-CONV"</f>
        <v>FATUR-CONV</v>
      </c>
      <c r="D2054" s="2" t="str">
        <f t="shared" ref="D2054:D2117" si="183">"FFCV"</f>
        <v>FFCV</v>
      </c>
      <c r="E2054" s="2" t="str">
        <f t="shared" si="179"/>
        <v>REL DE NOTAS FISCAIS EMITIDAS</v>
      </c>
      <c r="F2054" s="2" t="str">
        <f t="shared" si="180"/>
        <v>R_NOTAS_EMITE</v>
      </c>
      <c r="G2054" s="2" t="str">
        <f>"Atendimento / Urgência e Emergência / Relatórios / Faturamento / Notas Ficais Emitidas (R_NOTAS_EMITE)"</f>
        <v>Atendimento / Urgência e Emergência / Relatórios / Faturamento / Notas Ficais Emitidas (R_NOTAS_EMITE)</v>
      </c>
    </row>
    <row r="2055" spans="1:7" x14ac:dyDescent="0.3">
      <c r="A2055" s="1" t="s">
        <v>4</v>
      </c>
      <c r="B2055" s="2" t="str">
        <f t="shared" si="181"/>
        <v>SISTEMA FATURAMENTO CONTAS DE CONVENIO</v>
      </c>
      <c r="C2055" s="2" t="str">
        <f t="shared" si="182"/>
        <v>FATUR-CONV</v>
      </c>
      <c r="D2055" s="2" t="str">
        <f t="shared" si="183"/>
        <v>FFCV</v>
      </c>
      <c r="E2055" s="2" t="str">
        <f t="shared" si="179"/>
        <v>REL DE NOTAS FISCAIS EMITIDAS</v>
      </c>
      <c r="F2055" s="2" t="str">
        <f t="shared" si="180"/>
        <v>R_NOTAS_EMITE</v>
      </c>
      <c r="G2055" s="2" t="s">
        <v>10</v>
      </c>
    </row>
    <row r="2056" spans="1:7" x14ac:dyDescent="0.3">
      <c r="A2056" s="1" t="s">
        <v>4</v>
      </c>
      <c r="B2056" s="2" t="str">
        <f t="shared" si="181"/>
        <v>SISTEMA FATURAMENTO CONTAS DE CONVENIO</v>
      </c>
      <c r="C2056" s="2" t="str">
        <f t="shared" si="182"/>
        <v>FATUR-CONV</v>
      </c>
      <c r="D2056" s="2" t="str">
        <f t="shared" si="183"/>
        <v>FFCV</v>
      </c>
      <c r="E2056" s="2" t="str">
        <f t="shared" si="179"/>
        <v>REL DE NOTAS FISCAIS EMITIDAS</v>
      </c>
      <c r="F2056" s="2" t="str">
        <f t="shared" si="180"/>
        <v>R_NOTAS_EMITE</v>
      </c>
      <c r="G2056" s="2" t="str">
        <f>"Atendimento / Ambulatório / Relatórios / Faturamento / Notas Fiscais Emitidas (R_NOTAS_EMITE)"</f>
        <v>Atendimento / Ambulatório / Relatórios / Faturamento / Notas Fiscais Emitidas (R_NOTAS_EMITE)</v>
      </c>
    </row>
    <row r="2057" spans="1:7" x14ac:dyDescent="0.3">
      <c r="A2057" s="1" t="s">
        <v>4</v>
      </c>
      <c r="B2057" s="2" t="str">
        <f t="shared" si="181"/>
        <v>SISTEMA FATURAMENTO CONTAS DE CONVENIO</v>
      </c>
      <c r="C2057" s="2" t="str">
        <f t="shared" si="182"/>
        <v>FATUR-CONV</v>
      </c>
      <c r="D2057" s="2" t="str">
        <f t="shared" si="183"/>
        <v>FFCV</v>
      </c>
      <c r="E2057" s="2" t="str">
        <f t="shared" si="179"/>
        <v>REL DE NOTAS FISCAIS EMITIDAS</v>
      </c>
      <c r="F2057" s="2" t="str">
        <f t="shared" si="180"/>
        <v>R_NOTAS_EMITE</v>
      </c>
      <c r="G2057" s="2" t="str">
        <f>"Controladoria / Tesouraria / Relatórios / Faturamento / Notas Fiscais Emitidas / Canceladas (R_NOTAS_EMITE)"</f>
        <v>Controladoria / Tesouraria / Relatórios / Faturamento / Notas Fiscais Emitidas / Canceladas (R_NOTAS_EMITE)</v>
      </c>
    </row>
    <row r="2058" spans="1:7" x14ac:dyDescent="0.3">
      <c r="A2058" s="1" t="s">
        <v>4</v>
      </c>
      <c r="B2058" s="2" t="str">
        <f t="shared" si="181"/>
        <v>SISTEMA FATURAMENTO CONTAS DE CONVENIO</v>
      </c>
      <c r="C2058" s="2" t="str">
        <f t="shared" si="182"/>
        <v>FATUR-CONV</v>
      </c>
      <c r="D2058" s="2" t="str">
        <f t="shared" si="183"/>
        <v>FFCV</v>
      </c>
      <c r="E2058" s="2" t="str">
        <f t="shared" si="179"/>
        <v>REL DE NOTAS FISCAIS EMITIDAS</v>
      </c>
      <c r="F2058" s="2" t="str">
        <f t="shared" si="180"/>
        <v>R_NOTAS_EMITE</v>
      </c>
      <c r="G2058" s="2" t="str">
        <f>"Controladoria / Fiscal / Relatórios / Nota Fiscal (R_NOTAS_EMITE)"</f>
        <v>Controladoria / Fiscal / Relatórios / Nota Fiscal (R_NOTAS_EMITE)</v>
      </c>
    </row>
    <row r="2059" spans="1:7" x14ac:dyDescent="0.3">
      <c r="A2059" s="1" t="s">
        <v>4</v>
      </c>
      <c r="B2059" s="2" t="str">
        <f t="shared" si="181"/>
        <v>SISTEMA FATURAMENTO CONTAS DE CONVENIO</v>
      </c>
      <c r="C2059" s="2" t="str">
        <f t="shared" si="182"/>
        <v>FATUR-CONV</v>
      </c>
      <c r="D2059" s="2" t="str">
        <f t="shared" si="183"/>
        <v>FFCV</v>
      </c>
      <c r="E2059" s="2" t="str">
        <f t="shared" si="179"/>
        <v>REL DE NOTAS FISCAIS EMITIDAS</v>
      </c>
      <c r="F2059" s="2" t="str">
        <f t="shared" si="180"/>
        <v>R_NOTAS_EMITE</v>
      </c>
      <c r="G2059" s="2" t="str">
        <f>"Faturamento / Auditoria e Controle de Recursos de Glosas / Relatórios / Operacionais / Notas Fiscais Emitidas / Canceladas (R_NOTAS_EMITE)"</f>
        <v>Faturamento / Auditoria e Controle de Recursos de Glosas / Relatórios / Operacionais / Notas Fiscais Emitidas / Canceladas (R_NOTAS_EMITE)</v>
      </c>
    </row>
    <row r="2060" spans="1:7" x14ac:dyDescent="0.3">
      <c r="A2060" s="1" t="s">
        <v>4</v>
      </c>
      <c r="B2060" s="2" t="str">
        <f t="shared" si="181"/>
        <v>SISTEMA FATURAMENTO CONTAS DE CONVENIO</v>
      </c>
      <c r="C2060" s="2" t="str">
        <f t="shared" si="182"/>
        <v>FATUR-CONV</v>
      </c>
      <c r="D2060" s="2" t="str">
        <f t="shared" si="183"/>
        <v>FFCV</v>
      </c>
      <c r="E2060" s="2" t="str">
        <f>"REL - TAB. CREDENCIAMENTO DE PRESTADORES"</f>
        <v>REL - TAB. CREDENCIAMENTO DE PRESTADORES</v>
      </c>
      <c r="F2060" s="2" t="str">
        <f>"R_CRED_PREST"</f>
        <v>R_CRED_PREST</v>
      </c>
      <c r="G2060" s="2" t="str">
        <f>"Faturamento / Faturamento de Convênios e Particulares / Relatórios / Tabelas / Gerais / Credenciamento de Prestadores (R_CRED_PREST)"</f>
        <v>Faturamento / Faturamento de Convênios e Particulares / Relatórios / Tabelas / Gerais / Credenciamento de Prestadores (R_CRED_PREST)</v>
      </c>
    </row>
    <row r="2061" spans="1:7" x14ac:dyDescent="0.3">
      <c r="A2061" s="1" t="s">
        <v>4</v>
      </c>
      <c r="B2061" s="2" t="str">
        <f t="shared" si="181"/>
        <v>SISTEMA FATURAMENTO CONTAS DE CONVENIO</v>
      </c>
      <c r="C2061" s="2" t="str">
        <f t="shared" si="182"/>
        <v>FATUR-CONV</v>
      </c>
      <c r="D2061" s="2" t="str">
        <f t="shared" si="183"/>
        <v>FFCV</v>
      </c>
      <c r="E2061" s="2" t="str">
        <f>"REL - TAB. CREDENCIAMENTO DE PRESTADORES"</f>
        <v>REL - TAB. CREDENCIAMENTO DE PRESTADORES</v>
      </c>
      <c r="F2061" s="2" t="str">
        <f>"R_CRED_PREST"</f>
        <v>R_CRED_PREST</v>
      </c>
      <c r="G2061" s="2" t="str">
        <f>"Controladoria / Repasse Médico / Relatórios / Tabelas / Credenciamento de Prestadores (R_CRED_PREST)"</f>
        <v>Controladoria / Repasse Médico / Relatórios / Tabelas / Credenciamento de Prestadores (R_CRED_PREST)</v>
      </c>
    </row>
    <row r="2062" spans="1:7" x14ac:dyDescent="0.3">
      <c r="A2062" s="1" t="s">
        <v>4</v>
      </c>
      <c r="B2062" s="2" t="str">
        <f t="shared" si="181"/>
        <v>SISTEMA FATURAMENTO CONTAS DE CONVENIO</v>
      </c>
      <c r="C2062" s="2" t="str">
        <f t="shared" si="182"/>
        <v>FATUR-CONV</v>
      </c>
      <c r="D2062" s="2" t="str">
        <f t="shared" si="183"/>
        <v>FFCV</v>
      </c>
      <c r="E2062" s="2" t="str">
        <f>"REL - TAB. CREDENCIAMENTO DE PRESTADORES"</f>
        <v>REL - TAB. CREDENCIAMENTO DE PRESTADORES</v>
      </c>
      <c r="F2062" s="2" t="str">
        <f>"R_CRED_PREST"</f>
        <v>R_CRED_PREST</v>
      </c>
      <c r="G2062" s="2" t="str">
        <f>"Faturamento / Auditoria e Controle de Recursos de Glosas / Relatórios / Tabelas / Gerais / Credenciamento de Prestadores (R_CRED_PREST)"</f>
        <v>Faturamento / Auditoria e Controle de Recursos de Glosas / Relatórios / Tabelas / Gerais / Credenciamento de Prestadores (R_CRED_PREST)</v>
      </c>
    </row>
    <row r="2063" spans="1:7" x14ac:dyDescent="0.3">
      <c r="A2063" s="1" t="s">
        <v>4</v>
      </c>
      <c r="B2063" s="2" t="str">
        <f t="shared" si="181"/>
        <v>SISTEMA FATURAMENTO CONTAS DE CONVENIO</v>
      </c>
      <c r="C2063" s="2" t="str">
        <f t="shared" si="182"/>
        <v>FATUR-CONV</v>
      </c>
      <c r="D2063" s="2" t="str">
        <f t="shared" si="183"/>
        <v>FFCV</v>
      </c>
      <c r="E2063" s="2" t="str">
        <f>"REL DE GRUPOS DE PROCEDIMENTO"</f>
        <v>REL DE GRUPOS DE PROCEDIMENTO</v>
      </c>
      <c r="F2063" s="2" t="str">
        <f>"R_GRU_PRO"</f>
        <v>R_GRU_PRO</v>
      </c>
      <c r="G2063" s="2" t="str">
        <f>" ()"</f>
        <v xml:space="preserve"> ()</v>
      </c>
    </row>
    <row r="2064" spans="1:7" x14ac:dyDescent="0.3">
      <c r="A2064" s="1" t="s">
        <v>4</v>
      </c>
      <c r="B2064" s="2" t="str">
        <f t="shared" si="181"/>
        <v>SISTEMA FATURAMENTO CONTAS DE CONVENIO</v>
      </c>
      <c r="C2064" s="2" t="str">
        <f t="shared" si="182"/>
        <v>FATUR-CONV</v>
      </c>
      <c r="D2064" s="2" t="str">
        <f t="shared" si="183"/>
        <v>FFCV</v>
      </c>
      <c r="E2064" s="2" t="str">
        <f>"REL DE PORTES ANESTÉSICOS"</f>
        <v>REL DE PORTES ANESTÉSICOS</v>
      </c>
      <c r="F2064" s="2" t="str">
        <f>"R_PORTE_ANES"</f>
        <v>R_PORTE_ANES</v>
      </c>
      <c r="G2064" s="2" t="str">
        <f>"Faturamento / Faturamento de Convênios e Particulares / Relatórios / Tabelas / Gerais / Portes Anestésicos (R_PORTE_ANES)"</f>
        <v>Faturamento / Faturamento de Convênios e Particulares / Relatórios / Tabelas / Gerais / Portes Anestésicos (R_PORTE_ANES)</v>
      </c>
    </row>
    <row r="2065" spans="1:7" x14ac:dyDescent="0.3">
      <c r="A2065" s="1" t="s">
        <v>4</v>
      </c>
      <c r="B2065" s="2" t="str">
        <f t="shared" si="181"/>
        <v>SISTEMA FATURAMENTO CONTAS DE CONVENIO</v>
      </c>
      <c r="C2065" s="2" t="str">
        <f t="shared" si="182"/>
        <v>FATUR-CONV</v>
      </c>
      <c r="D2065" s="2" t="str">
        <f t="shared" si="183"/>
        <v>FFCV</v>
      </c>
      <c r="E2065" s="2" t="str">
        <f>"REL DE PORTES ANESTÉSICOS"</f>
        <v>REL DE PORTES ANESTÉSICOS</v>
      </c>
      <c r="F2065" s="2" t="str">
        <f>"R_PORTE_ANES"</f>
        <v>R_PORTE_ANES</v>
      </c>
      <c r="G2065" s="2" t="str">
        <f>"Faturamento / Auditoria e Controle de Recursos de Glosas / Relatórios / Tabelas / Gerais / Portes Anestésicos (R_PORTE_ANES)"</f>
        <v>Faturamento / Auditoria e Controle de Recursos de Glosas / Relatórios / Tabelas / Gerais / Portes Anestésicos (R_PORTE_ANES)</v>
      </c>
    </row>
    <row r="2066" spans="1:7" x14ac:dyDescent="0.3">
      <c r="A2066" s="1" t="s">
        <v>4</v>
      </c>
      <c r="B2066" s="2" t="str">
        <f t="shared" si="181"/>
        <v>SISTEMA FATURAMENTO CONTAS DE CONVENIO</v>
      </c>
      <c r="C2066" s="2" t="str">
        <f t="shared" si="182"/>
        <v>FATUR-CONV</v>
      </c>
      <c r="D2066" s="2" t="str">
        <f t="shared" si="183"/>
        <v>FFCV</v>
      </c>
      <c r="E2066" s="2" t="str">
        <f>"REL DE CONVENIOS E PLANOS X PROIBICOES"</f>
        <v>REL DE CONVENIOS E PLANOS X PROIBICOES</v>
      </c>
      <c r="F2066" s="2" t="str">
        <f>"R_CONPLA_PROIB"</f>
        <v>R_CONPLA_PROIB</v>
      </c>
      <c r="G2066" s="2" t="str">
        <f>"Faturamento / Faturamento de Convênios e Particulares / Relatórios / Tabelas / Gerais / Convênios e Planos / Convênios e Planos x Proíbições (R_CONPLA_PROIB)"</f>
        <v>Faturamento / Faturamento de Convênios e Particulares / Relatórios / Tabelas / Gerais / Convênios e Planos / Convênios e Planos x Proíbições (R_CONPLA_PROIB)</v>
      </c>
    </row>
    <row r="2067" spans="1:7" x14ac:dyDescent="0.3">
      <c r="A2067" s="1" t="s">
        <v>4</v>
      </c>
      <c r="B2067" s="2" t="str">
        <f t="shared" si="181"/>
        <v>SISTEMA FATURAMENTO CONTAS DE CONVENIO</v>
      </c>
      <c r="C2067" s="2" t="str">
        <f t="shared" si="182"/>
        <v>FATUR-CONV</v>
      </c>
      <c r="D2067" s="2" t="str">
        <f t="shared" si="183"/>
        <v>FFCV</v>
      </c>
      <c r="E2067" s="2" t="str">
        <f>"REL DE CONVENIOS E PLANOS X PROIBICOES"</f>
        <v>REL DE CONVENIOS E PLANOS X PROIBICOES</v>
      </c>
      <c r="F2067" s="2" t="str">
        <f>"R_CONPLA_PROIB"</f>
        <v>R_CONPLA_PROIB</v>
      </c>
      <c r="G2067" s="2" t="str">
        <f>"Atendimento / Internação / Relatórios / Internados / Convênios e Planos x Proíbições (R_CONPLA_PROIB)"</f>
        <v>Atendimento / Internação / Relatórios / Internados / Convênios e Planos x Proíbições (R_CONPLA_PROIB)</v>
      </c>
    </row>
    <row r="2068" spans="1:7" x14ac:dyDescent="0.3">
      <c r="A2068" s="1" t="s">
        <v>4</v>
      </c>
      <c r="B2068" s="2" t="str">
        <f t="shared" si="181"/>
        <v>SISTEMA FATURAMENTO CONTAS DE CONVENIO</v>
      </c>
      <c r="C2068" s="2" t="str">
        <f t="shared" si="182"/>
        <v>FATUR-CONV</v>
      </c>
      <c r="D2068" s="2" t="str">
        <f t="shared" si="183"/>
        <v>FFCV</v>
      </c>
      <c r="E2068" s="2" t="str">
        <f>"REL DE CONVENIOS E PLANOS X PROIBICOES"</f>
        <v>REL DE CONVENIOS E PLANOS X PROIBICOES</v>
      </c>
      <c r="F2068" s="2" t="str">
        <f>"R_CONPLA_PROIB"</f>
        <v>R_CONPLA_PROIB</v>
      </c>
      <c r="G2068" s="2" t="str">
        <f>"MVSaude / Atendimento / Autorizações de Guias / Internação / Relatórios / Internados / Convênios e Planos x Proíbições (R_CONPLA_PROIB)"</f>
        <v>MVSaude / Atendimento / Autorizações de Guias / Internação / Relatórios / Internados / Convênios e Planos x Proíbições (R_CONPLA_PROIB)</v>
      </c>
    </row>
    <row r="2069" spans="1:7" x14ac:dyDescent="0.3">
      <c r="A2069" s="1" t="s">
        <v>4</v>
      </c>
      <c r="B2069" s="2" t="str">
        <f t="shared" si="181"/>
        <v>SISTEMA FATURAMENTO CONTAS DE CONVENIO</v>
      </c>
      <c r="C2069" s="2" t="str">
        <f t="shared" si="182"/>
        <v>FATUR-CONV</v>
      </c>
      <c r="D2069" s="2" t="str">
        <f t="shared" si="183"/>
        <v>FFCV</v>
      </c>
      <c r="E2069" s="2" t="str">
        <f>"REL DE CONVENIOS E PLANOS X PROIBICOES"</f>
        <v>REL DE CONVENIOS E PLANOS X PROIBICOES</v>
      </c>
      <c r="F2069" s="2" t="str">
        <f>"R_CONPLA_PROIB"</f>
        <v>R_CONPLA_PROIB</v>
      </c>
      <c r="G2069" s="2" t="str">
        <f>"Faturamento / Auditoria e Controle de Recursos de Glosas / Relatórios / Tabelas / Gerais / Convênios e Planos / Convênios e Planos x Proíbições (R_CONPLA_PROIB)"</f>
        <v>Faturamento / Auditoria e Controle de Recursos de Glosas / Relatórios / Tabelas / Gerais / Convênios e Planos / Convênios e Planos x Proíbições (R_CONPLA_PROIB)</v>
      </c>
    </row>
    <row r="2070" spans="1:7" x14ac:dyDescent="0.3">
      <c r="A2070" s="1" t="s">
        <v>4</v>
      </c>
      <c r="B2070" s="2" t="str">
        <f t="shared" si="181"/>
        <v>SISTEMA FATURAMENTO CONTAS DE CONVENIO</v>
      </c>
      <c r="C2070" s="2" t="str">
        <f t="shared" si="182"/>
        <v>FATUR-CONV</v>
      </c>
      <c r="D2070" s="2" t="str">
        <f t="shared" si="183"/>
        <v>FFCV</v>
      </c>
      <c r="E2070" s="2" t="str">
        <f>"REL DE CONVENIOS E PLANOS X PROIBICOES"</f>
        <v>REL DE CONVENIOS E PLANOS X PROIBICOES</v>
      </c>
      <c r="F2070" s="2" t="str">
        <f>"R_CONPLA_PROIB"</f>
        <v>R_CONPLA_PROIB</v>
      </c>
      <c r="G2070" s="2" t="str">
        <f>"MVSaude / Vendas / Internação / Relatórios / Internados / Convênios e Planos x Proíbições (R_CONPLA_PROIB)"</f>
        <v>MVSaude / Vendas / Internação / Relatórios / Internados / Convênios e Planos x Proíbições (R_CONPLA_PROIB)</v>
      </c>
    </row>
    <row r="2071" spans="1:7" x14ac:dyDescent="0.3">
      <c r="A2071" s="1" t="s">
        <v>4</v>
      </c>
      <c r="B2071" s="2" t="str">
        <f t="shared" si="181"/>
        <v>SISTEMA FATURAMENTO CONTAS DE CONVENIO</v>
      </c>
      <c r="C2071" s="2" t="str">
        <f t="shared" si="182"/>
        <v>FATUR-CONV</v>
      </c>
      <c r="D2071" s="2" t="str">
        <f t="shared" si="183"/>
        <v>FFCV</v>
      </c>
      <c r="E2071" s="2" t="str">
        <f>"REL DE CONVÊNIOS E PLANOS"</f>
        <v>REL DE CONVÊNIOS E PLANOS</v>
      </c>
      <c r="F2071" s="2" t="str">
        <f>"R_CONPLA"</f>
        <v>R_CONPLA</v>
      </c>
      <c r="G2071" s="2" t="str">
        <f>"Faturamento / Faturamento de Convênios e Particulares / Relatórios / Tabelas / Gerais / Convênios e Planos / Convênios e Planos (R_CONPLA)"</f>
        <v>Faturamento / Faturamento de Convênios e Particulares / Relatórios / Tabelas / Gerais / Convênios e Planos / Convênios e Planos (R_CONPLA)</v>
      </c>
    </row>
    <row r="2072" spans="1:7" x14ac:dyDescent="0.3">
      <c r="A2072" s="1" t="s">
        <v>4</v>
      </c>
      <c r="B2072" s="2" t="str">
        <f t="shared" si="181"/>
        <v>SISTEMA FATURAMENTO CONTAS DE CONVENIO</v>
      </c>
      <c r="C2072" s="2" t="str">
        <f t="shared" si="182"/>
        <v>FATUR-CONV</v>
      </c>
      <c r="D2072" s="2" t="str">
        <f t="shared" si="183"/>
        <v>FFCV</v>
      </c>
      <c r="E2072" s="2" t="str">
        <f>"REL DE CONVÊNIOS E PLANOS"</f>
        <v>REL DE CONVÊNIOS E PLANOS</v>
      </c>
      <c r="F2072" s="2" t="str">
        <f>"R_CONPLA"</f>
        <v>R_CONPLA</v>
      </c>
      <c r="G2072" s="2" t="str">
        <f>"Controladoria / Repasse Médico / Relatórios / Tabelas / Convênio e Planos (R_CONPLA)"</f>
        <v>Controladoria / Repasse Médico / Relatórios / Tabelas / Convênio e Planos (R_CONPLA)</v>
      </c>
    </row>
    <row r="2073" spans="1:7" x14ac:dyDescent="0.3">
      <c r="A2073" s="1" t="s">
        <v>4</v>
      </c>
      <c r="B2073" s="2" t="str">
        <f t="shared" si="181"/>
        <v>SISTEMA FATURAMENTO CONTAS DE CONVENIO</v>
      </c>
      <c r="C2073" s="2" t="str">
        <f t="shared" si="182"/>
        <v>FATUR-CONV</v>
      </c>
      <c r="D2073" s="2" t="str">
        <f t="shared" si="183"/>
        <v>FFCV</v>
      </c>
      <c r="E2073" s="2" t="str">
        <f>"REL DE CONVÊNIOS E PLANOS"</f>
        <v>REL DE CONVÊNIOS E PLANOS</v>
      </c>
      <c r="F2073" s="2" t="str">
        <f>"R_CONPLA"</f>
        <v>R_CONPLA</v>
      </c>
      <c r="G2073" s="2" t="str">
        <f>"Faturamento / Auditoria e Controle de Recursos de Glosas / Relatórios / Tabelas / Gerais / Convênios e Planos / Convênios e Planos (R_CONPLA)"</f>
        <v>Faturamento / Auditoria e Controle de Recursos de Glosas / Relatórios / Tabelas / Gerais / Convênios e Planos / Convênios e Planos (R_CONPLA)</v>
      </c>
    </row>
    <row r="2074" spans="1:7" x14ac:dyDescent="0.3">
      <c r="A2074" s="1" t="s">
        <v>4</v>
      </c>
      <c r="B2074" s="2" t="str">
        <f t="shared" si="181"/>
        <v>SISTEMA FATURAMENTO CONTAS DE CONVENIO</v>
      </c>
      <c r="C2074" s="2" t="str">
        <f t="shared" si="182"/>
        <v>FATUR-CONV</v>
      </c>
      <c r="D2074" s="2" t="str">
        <f t="shared" si="183"/>
        <v>FFCV</v>
      </c>
      <c r="E2074" s="2" t="str">
        <f>"REL DE CONVÊNIOS E PLANOS"</f>
        <v>REL DE CONVÊNIOS E PLANOS</v>
      </c>
      <c r="F2074" s="2" t="str">
        <f>"R_CONPLA"</f>
        <v>R_CONPLA</v>
      </c>
      <c r="G2074" s="2" t="str">
        <f>"Atendimento / Urgência e Emergência / Relatórios / Tabelas / Planos de Convênio (R_CONPLA)"</f>
        <v>Atendimento / Urgência e Emergência / Relatórios / Tabelas / Planos de Convênio (R_CONPLA)</v>
      </c>
    </row>
    <row r="2075" spans="1:7" x14ac:dyDescent="0.3">
      <c r="A2075" s="1" t="s">
        <v>4</v>
      </c>
      <c r="B2075" s="2" t="str">
        <f t="shared" si="181"/>
        <v>SISTEMA FATURAMENTO CONTAS DE CONVENIO</v>
      </c>
      <c r="C2075" s="2" t="str">
        <f t="shared" si="182"/>
        <v>FATUR-CONV</v>
      </c>
      <c r="D2075" s="2" t="str">
        <f t="shared" si="183"/>
        <v>FFCV</v>
      </c>
      <c r="E2075" s="2" t="str">
        <f>"REL DE NOTA FISCAL DO CONVÊNIO"</f>
        <v>REL DE NOTA FISCAL DO CONVÊNIO</v>
      </c>
      <c r="F2075" s="2" t="str">
        <f>"R_NOTA_FISC_UNIMED"</f>
        <v>R_NOTA_FISC_UNIMED</v>
      </c>
      <c r="G2075" s="2" t="str">
        <f>" ()"</f>
        <v xml:space="preserve"> ()</v>
      </c>
    </row>
    <row r="2076" spans="1:7" x14ac:dyDescent="0.3">
      <c r="A2076" s="1" t="s">
        <v>4</v>
      </c>
      <c r="B2076" s="2" t="str">
        <f t="shared" si="181"/>
        <v>SISTEMA FATURAMENTO CONTAS DE CONVENIO</v>
      </c>
      <c r="C2076" s="2" t="str">
        <f t="shared" si="182"/>
        <v>FATUR-CONV</v>
      </c>
      <c r="D2076" s="2" t="str">
        <f t="shared" si="183"/>
        <v>FFCV</v>
      </c>
      <c r="E2076" s="2" t="str">
        <f>"REL DE NOTA FISCAL DO CONVÊNIO"</f>
        <v>REL DE NOTA FISCAL DO CONVÊNIO</v>
      </c>
      <c r="F2076" s="2" t="str">
        <f>"R_NOTA_FISC_HOSP_CENTRAL"</f>
        <v>R_NOTA_FISC_HOSP_CENTRAL</v>
      </c>
      <c r="G2076" s="2" t="str">
        <f>" ()"</f>
        <v xml:space="preserve"> ()</v>
      </c>
    </row>
    <row r="2077" spans="1:7" x14ac:dyDescent="0.3">
      <c r="A2077" s="1" t="s">
        <v>4</v>
      </c>
      <c r="B2077" s="2" t="str">
        <f t="shared" si="181"/>
        <v>SISTEMA FATURAMENTO CONTAS DE CONVENIO</v>
      </c>
      <c r="C2077" s="2" t="str">
        <f t="shared" si="182"/>
        <v>FATUR-CONV</v>
      </c>
      <c r="D2077" s="2" t="str">
        <f t="shared" si="183"/>
        <v>FFCV</v>
      </c>
      <c r="E2077" s="2" t="str">
        <f>"FRANQUIAS POR VALOR TOTAL DA CONTA"</f>
        <v>FRANQUIAS POR VALOR TOTAL DA CONTA</v>
      </c>
      <c r="F2077" s="2" t="str">
        <f>"M_FRANQUIA_VALOR"</f>
        <v>M_FRANQUIA_VALOR</v>
      </c>
      <c r="G2077" s="2" t="str">
        <f>"Faturamento / Faturamento de Convênios e Particulares / Tabelas / Cobranças e Tabelas / Franquias / Por Conta (M_FRANQUIA_VALOR)"</f>
        <v>Faturamento / Faturamento de Convênios e Particulares / Tabelas / Cobranças e Tabelas / Franquias / Por Conta (M_FRANQUIA_VALOR)</v>
      </c>
    </row>
    <row r="2078" spans="1:7" x14ac:dyDescent="0.3">
      <c r="A2078" s="1" t="s">
        <v>4</v>
      </c>
      <c r="B2078" s="2" t="str">
        <f t="shared" si="181"/>
        <v>SISTEMA FATURAMENTO CONTAS DE CONVENIO</v>
      </c>
      <c r="C2078" s="2" t="str">
        <f t="shared" si="182"/>
        <v>FATUR-CONV</v>
      </c>
      <c r="D2078" s="2" t="str">
        <f t="shared" si="183"/>
        <v>FFCV</v>
      </c>
      <c r="E2078" s="2" t="str">
        <f>"IMPRESSÃO DA FATURA"</f>
        <v>IMPRESSÃO DA FATURA</v>
      </c>
      <c r="F2078" s="2" t="str">
        <f>"M_FOR_APRE_GRU_PRO"</f>
        <v>M_FOR_APRE_GRU_PRO</v>
      </c>
      <c r="G2078" s="2" t="str">
        <f>"Faturamento / Faturamento de Convênios e Particulares / Tabelas / Formas de Apresentação / Impressão da Fatura (M_FOR_APRE_GRU_PRO)"</f>
        <v>Faturamento / Faturamento de Convênios e Particulares / Tabelas / Formas de Apresentação / Impressão da Fatura (M_FOR_APRE_GRU_PRO)</v>
      </c>
    </row>
    <row r="2079" spans="1:7" x14ac:dyDescent="0.3">
      <c r="A2079" s="1" t="s">
        <v>4</v>
      </c>
      <c r="B2079" s="2" t="str">
        <f t="shared" si="181"/>
        <v>SISTEMA FATURAMENTO CONTAS DE CONVENIO</v>
      </c>
      <c r="C2079" s="2" t="str">
        <f t="shared" si="182"/>
        <v>FATUR-CONV</v>
      </c>
      <c r="D2079" s="2" t="str">
        <f t="shared" si="183"/>
        <v>FFCV</v>
      </c>
      <c r="E2079" s="2" t="str">
        <f>"AGENDA DA ENTREGA DE REMESSAS"</f>
        <v>AGENDA DA ENTREGA DE REMESSAS</v>
      </c>
      <c r="F2079" s="2" t="str">
        <f>"M_AGENDA_REMESSA"</f>
        <v>M_AGENDA_REMESSA</v>
      </c>
      <c r="G2079" s="2" t="str">
        <f>"Faturamento / Faturamento de Convênios e Particulares / Tabelas / Gerais / Agenda de Entrega de Remessas (M_AGENDA_REMESSA)"</f>
        <v>Faturamento / Faturamento de Convênios e Particulares / Tabelas / Gerais / Agenda de Entrega de Remessas (M_AGENDA_REMESSA)</v>
      </c>
    </row>
    <row r="2080" spans="1:7" x14ac:dyDescent="0.3">
      <c r="A2080" s="1" t="s">
        <v>4</v>
      </c>
      <c r="B2080" s="2" t="str">
        <f t="shared" si="181"/>
        <v>SISTEMA FATURAMENTO CONTAS DE CONVENIO</v>
      </c>
      <c r="C2080" s="2" t="str">
        <f t="shared" si="182"/>
        <v>FATUR-CONV</v>
      </c>
      <c r="D2080" s="2" t="str">
        <f t="shared" si="183"/>
        <v>FFCV</v>
      </c>
      <c r="E2080" s="2" t="str">
        <f>"REGRA DE GASES"</f>
        <v>REGRA DE GASES</v>
      </c>
      <c r="F2080" s="2" t="str">
        <f>"M_REGRA_GASES"</f>
        <v>M_REGRA_GASES</v>
      </c>
      <c r="G2080" s="2" t="str">
        <f>"Faturamento / Faturamento de Convênios e Particulares / Tabelas / Cobranças e Tabelas / Regras de Aparelhos / Gases (M_REGRA_GASES)"</f>
        <v>Faturamento / Faturamento de Convênios e Particulares / Tabelas / Cobranças e Tabelas / Regras de Aparelhos / Gases (M_REGRA_GASES)</v>
      </c>
    </row>
    <row r="2081" spans="1:7" x14ac:dyDescent="0.3">
      <c r="A2081" s="1" t="s">
        <v>4</v>
      </c>
      <c r="B2081" s="2" t="str">
        <f t="shared" si="181"/>
        <v>SISTEMA FATURAMENTO CONTAS DE CONVENIO</v>
      </c>
      <c r="C2081" s="2" t="str">
        <f t="shared" si="182"/>
        <v>FATUR-CONV</v>
      </c>
      <c r="D2081" s="2" t="str">
        <f t="shared" si="183"/>
        <v>FFCV</v>
      </c>
      <c r="E2081" s="2" t="str">
        <f>"CADASTRO DO FORMULÁRIO DE NOTA FISCAL"</f>
        <v>CADASTRO DO FORMULÁRIO DE NOTA FISCAL</v>
      </c>
      <c r="F2081" s="2" t="str">
        <f>"M_FORMULARIO_NF"</f>
        <v>M_FORMULARIO_NF</v>
      </c>
      <c r="G2081" s="2" t="str">
        <f>"Faturamento / Faturamento de Convênios e Particulares / Configurações / Formulário da Nota Fiscal (M_FORMULARIO_NF)"</f>
        <v>Faturamento / Faturamento de Convênios e Particulares / Configurações / Formulário da Nota Fiscal (M_FORMULARIO_NF)</v>
      </c>
    </row>
    <row r="2082" spans="1:7" x14ac:dyDescent="0.3">
      <c r="A2082" s="1" t="s">
        <v>4</v>
      </c>
      <c r="B2082" s="2" t="str">
        <f t="shared" si="181"/>
        <v>SISTEMA FATURAMENTO CONTAS DE CONVENIO</v>
      </c>
      <c r="C2082" s="2" t="str">
        <f t="shared" si="182"/>
        <v>FATUR-CONV</v>
      </c>
      <c r="D2082" s="2" t="str">
        <f t="shared" si="183"/>
        <v>FFCV</v>
      </c>
      <c r="E2082" s="2" t="str">
        <f>"GERAÇÃO DE ARQ. MAG. PARA A NATSAM"</f>
        <v>GERAÇÃO DE ARQ. MAG. PARA A NATSAM</v>
      </c>
      <c r="F2082" s="2" t="str">
        <f>"GERAÇÃO DE ARQ. MAG. PARA A NATSAM"</f>
        <v>GERAÇÃO DE ARQ. MAG. PARA A NATSAM</v>
      </c>
      <c r="G2082" s="2" t="str">
        <f>" ()"</f>
        <v xml:space="preserve"> ()</v>
      </c>
    </row>
    <row r="2083" spans="1:7" x14ac:dyDescent="0.3">
      <c r="A2083" s="1" t="s">
        <v>4</v>
      </c>
      <c r="B2083" s="2" t="str">
        <f t="shared" si="181"/>
        <v>SISTEMA FATURAMENTO CONTAS DE CONVENIO</v>
      </c>
      <c r="C2083" s="2" t="str">
        <f t="shared" si="182"/>
        <v>FATUR-CONV</v>
      </c>
      <c r="D2083" s="2" t="str">
        <f t="shared" si="183"/>
        <v>FFCV</v>
      </c>
      <c r="E2083" s="2" t="str">
        <f>"R_ETIQUETA_CONVENIO"</f>
        <v>R_ETIQUETA_CONVENIO</v>
      </c>
      <c r="F2083" s="2" t="str">
        <f>"R_ETIQUETA_CONVENIO"</f>
        <v>R_ETIQUETA_CONVENIO</v>
      </c>
      <c r="G2083" s="2" t="str">
        <f>" ()"</f>
        <v xml:space="preserve"> ()</v>
      </c>
    </row>
    <row r="2084" spans="1:7" x14ac:dyDescent="0.3">
      <c r="A2084" s="1" t="s">
        <v>4</v>
      </c>
      <c r="B2084" s="2" t="str">
        <f t="shared" si="181"/>
        <v>SISTEMA FATURAMENTO CONTAS DE CONVENIO</v>
      </c>
      <c r="C2084" s="2" t="str">
        <f t="shared" si="182"/>
        <v>FATUR-CONV</v>
      </c>
      <c r="D2084" s="2" t="str">
        <f t="shared" si="183"/>
        <v>FFCV</v>
      </c>
      <c r="E2084" s="2" t="str">
        <f>"REL- GER-  ANÁLISE DE PACTE SINTÉTICO"</f>
        <v>REL- GER-  ANÁLISE DE PACTE SINTÉTICO</v>
      </c>
      <c r="F2084" s="2" t="str">
        <f>"R_ANALISE_PACOTE_SINT_DT_LANC"</f>
        <v>R_ANALISE_PACOTE_SINT_DT_LANC</v>
      </c>
      <c r="G2084" s="2" t="str">
        <f>" ()"</f>
        <v xml:space="preserve"> ()</v>
      </c>
    </row>
    <row r="2085" spans="1:7" x14ac:dyDescent="0.3">
      <c r="A2085" s="1" t="s">
        <v>4</v>
      </c>
      <c r="B2085" s="2" t="str">
        <f t="shared" si="181"/>
        <v>SISTEMA FATURAMENTO CONTAS DE CONVENIO</v>
      </c>
      <c r="C2085" s="2" t="str">
        <f t="shared" si="182"/>
        <v>FATUR-CONV</v>
      </c>
      <c r="D2085" s="2" t="str">
        <f t="shared" si="183"/>
        <v>FFCV</v>
      </c>
      <c r="E2085" s="2" t="str">
        <f>"CONF. MEIO-MAGNETICO - TIPOS DE PROCEDIM"</f>
        <v>CONF. MEIO-MAGNETICO - TIPOS DE PROCEDIM</v>
      </c>
      <c r="F2085" s="2" t="str">
        <f>"M_TP_PRO_FAT_MEIO_MAG"</f>
        <v>M_TP_PRO_FAT_MEIO_MAG</v>
      </c>
      <c r="G2085" s="2" t="str">
        <f>"Faturamento / Faturamento de Convênios e Particulares / Configurações / Geração de Fatura em Meio Magnético / Envio / Tipos de Procedimento (M_TP_PRO_FAT_MEIO_MAG)"</f>
        <v>Faturamento / Faturamento de Convênios e Particulares / Configurações / Geração de Fatura em Meio Magnético / Envio / Tipos de Procedimento (M_TP_PRO_FAT_MEIO_MAG)</v>
      </c>
    </row>
    <row r="2086" spans="1:7" x14ac:dyDescent="0.3">
      <c r="A2086" s="1" t="s">
        <v>4</v>
      </c>
      <c r="B2086" s="2" t="str">
        <f t="shared" si="181"/>
        <v>SISTEMA FATURAMENTO CONTAS DE CONVENIO</v>
      </c>
      <c r="C2086" s="2" t="str">
        <f t="shared" si="182"/>
        <v>FATUR-CONV</v>
      </c>
      <c r="D2086" s="2" t="str">
        <f t="shared" si="183"/>
        <v>FFCV</v>
      </c>
      <c r="E2086" s="2" t="str">
        <f>"REL. DE REAPRESENTACAO DE GLOSAS EM ABER"</f>
        <v>REL. DE REAPRESENTACAO DE GLOSAS EM ABER</v>
      </c>
      <c r="F2086" s="2" t="str">
        <f>"R_ENTREGA_GLOSA_ABERTA"</f>
        <v>R_ENTREGA_GLOSA_ABERTA</v>
      </c>
      <c r="G2086" s="2" t="str">
        <f>" ()"</f>
        <v xml:space="preserve"> ()</v>
      </c>
    </row>
    <row r="2087" spans="1:7" x14ac:dyDescent="0.3">
      <c r="A2087" s="1" t="s">
        <v>4</v>
      </c>
      <c r="B2087" s="2" t="str">
        <f t="shared" si="181"/>
        <v>SISTEMA FATURAMENTO CONTAS DE CONVENIO</v>
      </c>
      <c r="C2087" s="2" t="str">
        <f t="shared" si="182"/>
        <v>FATUR-CONV</v>
      </c>
      <c r="D2087" s="2" t="str">
        <f t="shared" si="183"/>
        <v>FFCV</v>
      </c>
      <c r="E2087" s="2" t="str">
        <f>"REL REC  CENTRO  CUSTO X GRUPO FATURAM"</f>
        <v>REL REC  CENTRO  CUSTO X GRUPO FATURAM</v>
      </c>
      <c r="F2087" s="2" t="str">
        <f>"R_FAT_CC_GRU_FAT"</f>
        <v>R_FAT_CC_GRU_FAT</v>
      </c>
      <c r="G2087" s="2" t="str">
        <f>"Faturamento / Faturamento de Convênios e Particulares / Relatórios / Gerenciais / Receita por Centro de Custo / Por Grupo de Faturamento (R_FAT_CC_GRU_FAT)"</f>
        <v>Faturamento / Faturamento de Convênios e Particulares / Relatórios / Gerenciais / Receita por Centro de Custo / Por Grupo de Faturamento (R_FAT_CC_GRU_FAT)</v>
      </c>
    </row>
    <row r="2088" spans="1:7" x14ac:dyDescent="0.3">
      <c r="A2088" s="1" t="s">
        <v>4</v>
      </c>
      <c r="B2088" s="2" t="str">
        <f t="shared" si="181"/>
        <v>SISTEMA FATURAMENTO CONTAS DE CONVENIO</v>
      </c>
      <c r="C2088" s="2" t="str">
        <f t="shared" si="182"/>
        <v>FATUR-CONV</v>
      </c>
      <c r="D2088" s="2" t="str">
        <f t="shared" si="183"/>
        <v>FFCV</v>
      </c>
      <c r="E2088" s="2" t="str">
        <f>"REL REC  CENTRO  CUSTO X GRUPO F DT LANC"</f>
        <v>REL REC  CENTRO  CUSTO X GRUPO F DT LANC</v>
      </c>
      <c r="F2088" s="2" t="str">
        <f>"R_FAT_CC_GRU_FAT_DT_LANC"</f>
        <v>R_FAT_CC_GRU_FAT_DT_LANC</v>
      </c>
      <c r="G2088" s="2" t="str">
        <f>" ()"</f>
        <v xml:space="preserve"> ()</v>
      </c>
    </row>
    <row r="2089" spans="1:7" x14ac:dyDescent="0.3">
      <c r="A2089" s="1" t="s">
        <v>4</v>
      </c>
      <c r="B2089" s="2" t="str">
        <f t="shared" si="181"/>
        <v>SISTEMA FATURAMENTO CONTAS DE CONVENIO</v>
      </c>
      <c r="C2089" s="2" t="str">
        <f t="shared" si="182"/>
        <v>FATUR-CONV</v>
      </c>
      <c r="D2089" s="2" t="str">
        <f t="shared" si="183"/>
        <v>FFCV</v>
      </c>
      <c r="E2089" s="2" t="str">
        <f>"REL. REC  CENTRO DE CUSTO X SERV DT LANC"</f>
        <v>REL. REC  CENTRO DE CUSTO X SERV DT LANC</v>
      </c>
      <c r="F2089" s="2" t="str">
        <f>"R_FAT_CC_SERVICO_DT_LANC"</f>
        <v>R_FAT_CC_SERVICO_DT_LANC</v>
      </c>
      <c r="G2089" s="2" t="str">
        <f>" ()"</f>
        <v xml:space="preserve"> ()</v>
      </c>
    </row>
    <row r="2090" spans="1:7" x14ac:dyDescent="0.3">
      <c r="A2090" s="1" t="s">
        <v>4</v>
      </c>
      <c r="B2090" s="2" t="str">
        <f t="shared" si="181"/>
        <v>SISTEMA FATURAMENTO CONTAS DE CONVENIO</v>
      </c>
      <c r="C2090" s="2" t="str">
        <f t="shared" si="182"/>
        <v>FATUR-CONV</v>
      </c>
      <c r="D2090" s="2" t="str">
        <f t="shared" si="183"/>
        <v>FFCV</v>
      </c>
      <c r="E2090" s="2" t="str">
        <f>"REL. REC POR CENTRO DE CUSTO X SERV"</f>
        <v>REL. REC POR CENTRO DE CUSTO X SERV</v>
      </c>
      <c r="F2090" s="2" t="str">
        <f>"R_FAT_CC_SERVICO"</f>
        <v>R_FAT_CC_SERVICO</v>
      </c>
      <c r="G2090" s="2" t="str">
        <f>"Faturamento / Faturamento de Convênios e Particulares / Relatórios / Gerenciais / Receita por Centro de Custo / Por Serviço (R_FAT_CC_SERVICO)"</f>
        <v>Faturamento / Faturamento de Convênios e Particulares / Relatórios / Gerenciais / Receita por Centro de Custo / Por Serviço (R_FAT_CC_SERVICO)</v>
      </c>
    </row>
    <row r="2091" spans="1:7" x14ac:dyDescent="0.3">
      <c r="A2091" s="1" t="s">
        <v>4</v>
      </c>
      <c r="B2091" s="2" t="str">
        <f t="shared" si="181"/>
        <v>SISTEMA FATURAMENTO CONTAS DE CONVENIO</v>
      </c>
      <c r="C2091" s="2" t="str">
        <f t="shared" si="182"/>
        <v>FATUR-CONV</v>
      </c>
      <c r="D2091" s="2" t="str">
        <f t="shared" si="183"/>
        <v>FFCV</v>
      </c>
      <c r="E2091" s="2" t="str">
        <f>"RECEITAS POR CENTRO DE C. X GRUPO DE PRO"</f>
        <v>RECEITAS POR CENTRO DE C. X GRUPO DE PRO</v>
      </c>
      <c r="F2091" s="2" t="str">
        <f>"R_FAT_CC_GRU_PRO"</f>
        <v>R_FAT_CC_GRU_PRO</v>
      </c>
      <c r="G2091" s="2" t="str">
        <f>"Faturamento / Faturamento de Convênios e Particulares / Relatórios / Gerenciais / Receita por Centro de Custo / Por Grupo de Procedimento (R_FAT_CC_GRU_PRO)"</f>
        <v>Faturamento / Faturamento de Convênios e Particulares / Relatórios / Gerenciais / Receita por Centro de Custo / Por Grupo de Procedimento (R_FAT_CC_GRU_PRO)</v>
      </c>
    </row>
    <row r="2092" spans="1:7" x14ac:dyDescent="0.3">
      <c r="A2092" s="1" t="s">
        <v>4</v>
      </c>
      <c r="B2092" s="2" t="str">
        <f t="shared" si="181"/>
        <v>SISTEMA FATURAMENTO CONTAS DE CONVENIO</v>
      </c>
      <c r="C2092" s="2" t="str">
        <f t="shared" si="182"/>
        <v>FATUR-CONV</v>
      </c>
      <c r="D2092" s="2" t="str">
        <f t="shared" si="183"/>
        <v>FFCV</v>
      </c>
      <c r="E2092" s="2" t="str">
        <f>"CADASTRO MOT. ALTA MEIO MAGNETICO"</f>
        <v>CADASTRO MOT. ALTA MEIO MAGNETICO</v>
      </c>
      <c r="F2092" s="2" t="str">
        <f>"M_MOT_ALT_MEIO_MAG"</f>
        <v>M_MOT_ALT_MEIO_MAG</v>
      </c>
      <c r="G2092" s="2" t="str">
        <f>"Faturamento / Faturamento de Convênios e Particulares / Configurações / Geração de Fatura em Meio Magnético / Envio / Motivos de Alta (M_MOT_ALT_MEIO_MAG)"</f>
        <v>Faturamento / Faturamento de Convênios e Particulares / Configurações / Geração de Fatura em Meio Magnético / Envio / Motivos de Alta (M_MOT_ALT_MEIO_MAG)</v>
      </c>
    </row>
    <row r="2093" spans="1:7" x14ac:dyDescent="0.3">
      <c r="A2093" s="1" t="s">
        <v>4</v>
      </c>
      <c r="B2093" s="2" t="str">
        <f t="shared" si="181"/>
        <v>SISTEMA FATURAMENTO CONTAS DE CONVENIO</v>
      </c>
      <c r="C2093" s="2" t="str">
        <f t="shared" si="182"/>
        <v>FATUR-CONV</v>
      </c>
      <c r="D2093" s="2" t="str">
        <f t="shared" si="183"/>
        <v>FFCV</v>
      </c>
      <c r="E2093" s="2" t="str">
        <f>" ENTREGA MEIO MAGNÉT. UNIMED SOBRAL"</f>
        <v xml:space="preserve"> ENTREGA MEIO MAGNÉT. UNIMED SOBRAL</v>
      </c>
      <c r="F2093" s="2" t="str">
        <f>"GERA_ARQMAG_UNIMED_SOB"</f>
        <v>GERA_ARQMAG_UNIMED_SOB</v>
      </c>
      <c r="G2093" s="2" t="str">
        <f>" ()"</f>
        <v xml:space="preserve"> ()</v>
      </c>
    </row>
    <row r="2094" spans="1:7" x14ac:dyDescent="0.3">
      <c r="A2094" s="1" t="s">
        <v>4</v>
      </c>
      <c r="B2094" s="2" t="str">
        <f t="shared" si="181"/>
        <v>SISTEMA FATURAMENTO CONTAS DE CONVENIO</v>
      </c>
      <c r="C2094" s="2" t="str">
        <f t="shared" si="182"/>
        <v>FATUR-CONV</v>
      </c>
      <c r="D2094" s="2" t="str">
        <f t="shared" si="183"/>
        <v>FFCV</v>
      </c>
      <c r="E2094" s="2" t="str">
        <f>" ENTREGA MEIO MAGNÉT. CAMED"</f>
        <v xml:space="preserve"> ENTREGA MEIO MAGNÉT. CAMED</v>
      </c>
      <c r="F2094" s="2" t="str">
        <f>"GERA_ARQMAG_CAMED"</f>
        <v>GERA_ARQMAG_CAMED</v>
      </c>
      <c r="G2094" s="2" t="str">
        <f>" ()"</f>
        <v xml:space="preserve"> ()</v>
      </c>
    </row>
    <row r="2095" spans="1:7" x14ac:dyDescent="0.3">
      <c r="A2095" s="1" t="s">
        <v>4</v>
      </c>
      <c r="B2095" s="2" t="str">
        <f t="shared" si="181"/>
        <v>SISTEMA FATURAMENTO CONTAS DE CONVENIO</v>
      </c>
      <c r="C2095" s="2" t="str">
        <f t="shared" si="182"/>
        <v>FATUR-CONV</v>
      </c>
      <c r="D2095" s="2" t="str">
        <f t="shared" si="183"/>
        <v>FFCV</v>
      </c>
      <c r="E2095" s="2" t="str">
        <f>" ENTREGA MEIO MAGNÉT. CAPESAUDE"</f>
        <v xml:space="preserve"> ENTREGA MEIO MAGNÉT. CAPESAUDE</v>
      </c>
      <c r="F2095" s="2" t="str">
        <f>"GERA_ARQMAG_CAPESAUDE"</f>
        <v>GERA_ARQMAG_CAPESAUDE</v>
      </c>
      <c r="G2095" s="2" t="str">
        <f>" ()"</f>
        <v xml:space="preserve"> ()</v>
      </c>
    </row>
    <row r="2096" spans="1:7" x14ac:dyDescent="0.3">
      <c r="A2096" s="1" t="s">
        <v>4</v>
      </c>
      <c r="B2096" s="2" t="str">
        <f t="shared" si="181"/>
        <v>SISTEMA FATURAMENTO CONTAS DE CONVENIO</v>
      </c>
      <c r="C2096" s="2" t="str">
        <f t="shared" si="182"/>
        <v>FATUR-CONV</v>
      </c>
      <c r="D2096" s="2" t="str">
        <f t="shared" si="183"/>
        <v>FFCV</v>
      </c>
      <c r="E2096" s="2" t="str">
        <f>" ENTREGA MEIO MAGNÉT. IPASGO"</f>
        <v xml:space="preserve"> ENTREGA MEIO MAGNÉT. IPASGO</v>
      </c>
      <c r="F2096" s="2" t="str">
        <f>"GERA_ARQMAG_IPASGO"</f>
        <v>GERA_ARQMAG_IPASGO</v>
      </c>
      <c r="G2096" s="2" t="str">
        <f>" ()"</f>
        <v xml:space="preserve"> ()</v>
      </c>
    </row>
    <row r="2097" spans="1:7" x14ac:dyDescent="0.3">
      <c r="A2097" s="1" t="s">
        <v>4</v>
      </c>
      <c r="B2097" s="2" t="str">
        <f t="shared" si="181"/>
        <v>SISTEMA FATURAMENTO CONTAS DE CONVENIO</v>
      </c>
      <c r="C2097" s="2" t="str">
        <f t="shared" si="182"/>
        <v>FATUR-CONV</v>
      </c>
      <c r="D2097" s="2" t="str">
        <f t="shared" si="183"/>
        <v>FFCV</v>
      </c>
      <c r="E2097" s="2" t="str">
        <f>"REL. ANÁLISE EV RECEITAS GRUPO DE PROC."</f>
        <v>REL. ANÁLISE EV RECEITAS GRUPO DE PROC.</v>
      </c>
      <c r="F2097" s="2" t="str">
        <f>"R_13_RECEITAS_GRU_PRO"</f>
        <v>R_13_RECEITAS_GRU_PRO</v>
      </c>
      <c r="G2097" s="2" t="str">
        <f>"Faturamento / Faturamento de Convênios e Particulares / Relatórios / Gerenciais / Análise Evolutiva de Receitas / Por Grupo de Procedimento (R_13_RECEITAS_GRU_PRO)"</f>
        <v>Faturamento / Faturamento de Convênios e Particulares / Relatórios / Gerenciais / Análise Evolutiva de Receitas / Por Grupo de Procedimento (R_13_RECEITAS_GRU_PRO)</v>
      </c>
    </row>
    <row r="2098" spans="1:7" x14ac:dyDescent="0.3">
      <c r="A2098" s="1" t="s">
        <v>4</v>
      </c>
      <c r="B2098" s="2" t="str">
        <f t="shared" si="181"/>
        <v>SISTEMA FATURAMENTO CONTAS DE CONVENIO</v>
      </c>
      <c r="C2098" s="2" t="str">
        <f t="shared" si="182"/>
        <v>FATUR-CONV</v>
      </c>
      <c r="D2098" s="2" t="str">
        <f t="shared" si="183"/>
        <v>FFCV</v>
      </c>
      <c r="E2098" s="2" t="str">
        <f>"REL. ANÁLISE EV RECEITAS GRUPO DE PROC."</f>
        <v>REL. ANÁLISE EV RECEITAS GRUPO DE PROC.</v>
      </c>
      <c r="F2098" s="2" t="str">
        <f>"R_13_RECEITAS_GRU_PRO"</f>
        <v>R_13_RECEITAS_GRU_PRO</v>
      </c>
      <c r="G2098" s="2" t="str">
        <f>"Faturamento / Auditoria e Controle de Recursos de Glosas / Relatórios / Gerenciais / Análise Evolutiva de Receitas / Por Grupo de Procedimento (R_13_RECEITAS_GRU_PRO)"</f>
        <v>Faturamento / Auditoria e Controle de Recursos de Glosas / Relatórios / Gerenciais / Análise Evolutiva de Receitas / Por Grupo de Procedimento (R_13_RECEITAS_GRU_PRO)</v>
      </c>
    </row>
    <row r="2099" spans="1:7" x14ac:dyDescent="0.3">
      <c r="A2099" s="1" t="s">
        <v>4</v>
      </c>
      <c r="B2099" s="2" t="str">
        <f t="shared" si="181"/>
        <v>SISTEMA FATURAMENTO CONTAS DE CONVENIO</v>
      </c>
      <c r="C2099" s="2" t="str">
        <f t="shared" si="182"/>
        <v>FATUR-CONV</v>
      </c>
      <c r="D2099" s="2" t="str">
        <f t="shared" si="183"/>
        <v>FFCV</v>
      </c>
      <c r="E2099" s="2" t="str">
        <f>"VIEW DE CONTAS DO FFCV"</f>
        <v>VIEW DE CONTAS DO FFCV</v>
      </c>
      <c r="F2099" s="2" t="str">
        <f>"V_CONTAS_FFCV"</f>
        <v>V_CONTAS_FFCV</v>
      </c>
      <c r="G2099" s="2" t="str">
        <f>" ()"</f>
        <v xml:space="preserve"> ()</v>
      </c>
    </row>
    <row r="2100" spans="1:7" x14ac:dyDescent="0.3">
      <c r="A2100" s="1" t="s">
        <v>4</v>
      </c>
      <c r="B2100" s="2" t="str">
        <f t="shared" si="181"/>
        <v>SISTEMA FATURAMENTO CONTAS DE CONVENIO</v>
      </c>
      <c r="C2100" s="2" t="str">
        <f t="shared" si="182"/>
        <v>FATUR-CONV</v>
      </c>
      <c r="D2100" s="2" t="str">
        <f t="shared" si="183"/>
        <v>FFCV</v>
      </c>
      <c r="E2100" s="2" t="str">
        <f>"REL. NOTA FISCAL HOSPITAL 759"</f>
        <v>REL. NOTA FISCAL HOSPITAL 759</v>
      </c>
      <c r="F2100" s="2" t="str">
        <f>"R_NOTA_FISCAL_759"</f>
        <v>R_NOTA_FISCAL_759</v>
      </c>
      <c r="G2100" s="2" t="str">
        <f>" ()"</f>
        <v xml:space="preserve"> ()</v>
      </c>
    </row>
    <row r="2101" spans="1:7" x14ac:dyDescent="0.3">
      <c r="A2101" s="1" t="s">
        <v>4</v>
      </c>
      <c r="B2101" s="2" t="str">
        <f t="shared" si="181"/>
        <v>SISTEMA FATURAMENTO CONTAS DE CONVENIO</v>
      </c>
      <c r="C2101" s="2" t="str">
        <f t="shared" si="182"/>
        <v>FATUR-CONV</v>
      </c>
      <c r="D2101" s="2" t="str">
        <f t="shared" si="183"/>
        <v>FFCV</v>
      </c>
      <c r="E2101" s="2" t="str">
        <f>"GERAÇÃO DE ARQ. MAG. PARA A NATSAM"</f>
        <v>GERAÇÃO DE ARQ. MAG. PARA A NATSAM</v>
      </c>
      <c r="F2101" s="2" t="str">
        <f>"O_GERAARQNATSAM"</f>
        <v>O_GERAARQNATSAM</v>
      </c>
      <c r="G2101" s="2" t="str">
        <f>" ()"</f>
        <v xml:space="preserve"> ()</v>
      </c>
    </row>
    <row r="2102" spans="1:7" x14ac:dyDescent="0.3">
      <c r="A2102" s="1" t="s">
        <v>4</v>
      </c>
      <c r="B2102" s="2" t="str">
        <f t="shared" si="181"/>
        <v>SISTEMA FATURAMENTO CONTAS DE CONVENIO</v>
      </c>
      <c r="C2102" s="2" t="str">
        <f t="shared" si="182"/>
        <v>FATUR-CONV</v>
      </c>
      <c r="D2102" s="2" t="str">
        <f t="shared" si="183"/>
        <v>FFCV</v>
      </c>
      <c r="E2102" s="2" t="str">
        <f>"REL. DE FATURADO X CONSUMIDO"</f>
        <v>REL. DE FATURADO X CONSUMIDO</v>
      </c>
      <c r="F2102" s="2" t="str">
        <f>"R_FATXCONS"</f>
        <v>R_FATXCONS</v>
      </c>
      <c r="G2102" s="2" t="str">
        <f>"Faturamento / Faturamento de Convênios e Particulares / Relatórios / Operacionais / Faturado X Consumido (R_FATXCONS)"</f>
        <v>Faturamento / Faturamento de Convênios e Particulares / Relatórios / Operacionais / Faturado X Consumido (R_FATXCONS)</v>
      </c>
    </row>
    <row r="2103" spans="1:7" x14ac:dyDescent="0.3">
      <c r="A2103" s="1" t="s">
        <v>4</v>
      </c>
      <c r="B2103" s="2" t="str">
        <f t="shared" si="181"/>
        <v>SISTEMA FATURAMENTO CONTAS DE CONVENIO</v>
      </c>
      <c r="C2103" s="2" t="str">
        <f t="shared" si="182"/>
        <v>FATUR-CONV</v>
      </c>
      <c r="D2103" s="2" t="str">
        <f t="shared" si="183"/>
        <v>FFCV</v>
      </c>
      <c r="E2103" s="2" t="str">
        <f>"REL. ANÁLISE DE EVOLUTIVA DE GLOSAS"</f>
        <v>REL. ANÁLISE DE EVOLUTIVA DE GLOSAS</v>
      </c>
      <c r="F2103" s="2" t="str">
        <f>"R_13_GLOSAS_DT_LANC"</f>
        <v>R_13_GLOSAS_DT_LANC</v>
      </c>
      <c r="G2103" s="2" t="str">
        <f>" ()"</f>
        <v xml:space="preserve"> ()</v>
      </c>
    </row>
    <row r="2104" spans="1:7" x14ac:dyDescent="0.3">
      <c r="A2104" s="1" t="s">
        <v>4</v>
      </c>
      <c r="B2104" s="2" t="str">
        <f t="shared" si="181"/>
        <v>SISTEMA FATURAMENTO CONTAS DE CONVENIO</v>
      </c>
      <c r="C2104" s="2" t="str">
        <f t="shared" si="182"/>
        <v>FATUR-CONV</v>
      </c>
      <c r="D2104" s="2" t="str">
        <f t="shared" si="183"/>
        <v>FFCV</v>
      </c>
      <c r="E2104" s="2" t="str">
        <f>"RELATORIO DE ORCAMENTO DE CONTA"</f>
        <v>RELATORIO DE ORCAMENTO DE CONTA</v>
      </c>
      <c r="F2104" s="2" t="str">
        <f>"R_ORCAMENTO_CONTA"</f>
        <v>R_ORCAMENTO_CONTA</v>
      </c>
      <c r="G2104" s="2" t="str">
        <f>" ()"</f>
        <v xml:space="preserve"> ()</v>
      </c>
    </row>
    <row r="2105" spans="1:7" x14ac:dyDescent="0.3">
      <c r="A2105" s="1" t="s">
        <v>4</v>
      </c>
      <c r="B2105" s="2" t="str">
        <f t="shared" si="181"/>
        <v>SISTEMA FATURAMENTO CONTAS DE CONVENIO</v>
      </c>
      <c r="C2105" s="2" t="str">
        <f t="shared" si="182"/>
        <v>FATUR-CONV</v>
      </c>
      <c r="D2105" s="2" t="str">
        <f t="shared" si="183"/>
        <v>FFCV</v>
      </c>
      <c r="E2105" s="2" t="str">
        <f>"R_NOTA_FISCAL_CONV_340"</f>
        <v>R_NOTA_FISCAL_CONV_340</v>
      </c>
      <c r="F2105" s="2" t="str">
        <f>"R_NOTA_FISCAL_CONV_340"</f>
        <v>R_NOTA_FISCAL_CONV_340</v>
      </c>
      <c r="G2105" s="2" t="str">
        <f>" ()"</f>
        <v xml:space="preserve"> ()</v>
      </c>
    </row>
    <row r="2106" spans="1:7" x14ac:dyDescent="0.3">
      <c r="A2106" s="1" t="s">
        <v>4</v>
      </c>
      <c r="B2106" s="2" t="str">
        <f t="shared" si="181"/>
        <v>SISTEMA FATURAMENTO CONTAS DE CONVENIO</v>
      </c>
      <c r="C2106" s="2" t="str">
        <f t="shared" si="182"/>
        <v>FATUR-CONV</v>
      </c>
      <c r="D2106" s="2" t="str">
        <f t="shared" si="183"/>
        <v>FFCV</v>
      </c>
      <c r="E2106" s="2" t="str">
        <f>"R_NOTA_FISCAL_755"</f>
        <v>R_NOTA_FISCAL_755</v>
      </c>
      <c r="F2106" s="2" t="str">
        <f>"R_NOTA_FISCAL_755"</f>
        <v>R_NOTA_FISCAL_755</v>
      </c>
      <c r="G2106" s="2" t="str">
        <f>" ()"</f>
        <v xml:space="preserve"> ()</v>
      </c>
    </row>
    <row r="2107" spans="1:7" x14ac:dyDescent="0.3">
      <c r="A2107" s="1" t="s">
        <v>4</v>
      </c>
      <c r="B2107" s="2" t="str">
        <f t="shared" si="181"/>
        <v>SISTEMA FATURAMENTO CONTAS DE CONVENIO</v>
      </c>
      <c r="C2107" s="2" t="str">
        <f t="shared" si="182"/>
        <v>FATUR-CONV</v>
      </c>
      <c r="D2107" s="2" t="str">
        <f t="shared" si="183"/>
        <v>FFCV</v>
      </c>
      <c r="E2107" s="2" t="str">
        <f>"NOTA FISCAL DO  HOSPITAL SAMARITANO"</f>
        <v>NOTA FISCAL DO  HOSPITAL SAMARITANO</v>
      </c>
      <c r="F2107" s="2" t="str">
        <f>"R_NOTA_FISCAL_749"</f>
        <v>R_NOTA_FISCAL_749</v>
      </c>
      <c r="G2107" s="2" t="str">
        <f>" ()"</f>
        <v xml:space="preserve"> ()</v>
      </c>
    </row>
    <row r="2108" spans="1:7" x14ac:dyDescent="0.3">
      <c r="A2108" s="1" t="s">
        <v>4</v>
      </c>
      <c r="B2108" s="2" t="str">
        <f t="shared" si="181"/>
        <v>SISTEMA FATURAMENTO CONTAS DE CONVENIO</v>
      </c>
      <c r="C2108" s="2" t="str">
        <f t="shared" si="182"/>
        <v>FATUR-CONV</v>
      </c>
      <c r="D2108" s="2" t="str">
        <f t="shared" si="183"/>
        <v>FFCV</v>
      </c>
      <c r="E2108" s="2" t="str">
        <f>"PROCEDIMENTOS NA FATURA"</f>
        <v>PROCEDIMENTOS NA FATURA</v>
      </c>
      <c r="F2108" s="2" t="str">
        <f>"M_COD_PRO_CALL"</f>
        <v>M_COD_PRO_CALL</v>
      </c>
      <c r="G2108" s="2" t="str">
        <f>"Faturamento / Faturamento de Convênios e Particulares / Tabelas / Formas de Apresentação / Procedimentos na Fatura (M_COD_PRO_CALL)"</f>
        <v>Faturamento / Faturamento de Convênios e Particulares / Tabelas / Formas de Apresentação / Procedimentos na Fatura (M_COD_PRO_CALL)</v>
      </c>
    </row>
    <row r="2109" spans="1:7" x14ac:dyDescent="0.3">
      <c r="A2109" s="1" t="s">
        <v>4</v>
      </c>
      <c r="B2109" s="2" t="str">
        <f t="shared" si="181"/>
        <v>SISTEMA FATURAMENTO CONTAS DE CONVENIO</v>
      </c>
      <c r="C2109" s="2" t="str">
        <f t="shared" si="182"/>
        <v>FATUR-CONV</v>
      </c>
      <c r="D2109" s="2" t="str">
        <f t="shared" si="183"/>
        <v>FFCV</v>
      </c>
      <c r="E2109" s="2" t="str">
        <f>"M_LAN_AMB_PART_FFCV_EXTRA - FFCV"</f>
        <v>M_LAN_AMB_PART_FFCV_EXTRA - FFCV</v>
      </c>
      <c r="F2109" s="2" t="str">
        <f>"M_LAN_AMB_PART_FFCV_EXTRA"</f>
        <v>M_LAN_AMB_PART_FFCV_EXTRA</v>
      </c>
      <c r="G2109" s="2" t="str">
        <f>"Faturamento / Faturamento de Convênios e Particulares / Lançamentos / Conta Ambulatorial / Conta Extra (M_LAN_AMB_PART_FFCV_EXTRA)"</f>
        <v>Faturamento / Faturamento de Convênios e Particulares / Lançamentos / Conta Ambulatorial / Conta Extra (M_LAN_AMB_PART_FFCV_EXTRA)</v>
      </c>
    </row>
    <row r="2110" spans="1:7" x14ac:dyDescent="0.3">
      <c r="A2110" s="1" t="s">
        <v>4</v>
      </c>
      <c r="B2110" s="2" t="str">
        <f t="shared" si="181"/>
        <v>SISTEMA FATURAMENTO CONTAS DE CONVENIO</v>
      </c>
      <c r="C2110" s="2" t="str">
        <f t="shared" si="182"/>
        <v>FATUR-CONV</v>
      </c>
      <c r="D2110" s="2" t="str">
        <f t="shared" si="183"/>
        <v>FFCV</v>
      </c>
      <c r="E2110" s="2" t="str">
        <f>"PERSONALIZADOS DO FFCV"</f>
        <v>PERSONALIZADOS DO FFCV</v>
      </c>
      <c r="F2110" s="2" t="str">
        <f>"R_PERSON_FFCV"</f>
        <v>R_PERSON_FFCV</v>
      </c>
      <c r="G2110" s="2" t="str">
        <f>"Faturamento / Faturamento de Convênios e Particulares / Relatórios / Personalizados (R_PERSON_FFCV)"</f>
        <v>Faturamento / Faturamento de Convênios e Particulares / Relatórios / Personalizados (R_PERSON_FFCV)</v>
      </c>
    </row>
    <row r="2111" spans="1:7" x14ac:dyDescent="0.3">
      <c r="A2111" s="1" t="s">
        <v>4</v>
      </c>
      <c r="B2111" s="2" t="str">
        <f t="shared" si="181"/>
        <v>SISTEMA FATURAMENTO CONTAS DE CONVENIO</v>
      </c>
      <c r="C2111" s="2" t="str">
        <f t="shared" si="182"/>
        <v>FATUR-CONV</v>
      </c>
      <c r="D2111" s="2" t="str">
        <f t="shared" si="183"/>
        <v>FFCV</v>
      </c>
      <c r="E2111" s="2" t="str">
        <f>"TABELA DE FATURAMENTO"</f>
        <v>TABELA DE FATURAMENTO</v>
      </c>
      <c r="F2111" s="2" t="str">
        <f>"M_TABFAT"</f>
        <v>M_TABFAT</v>
      </c>
      <c r="G2111" s="2" t="str">
        <f>"Faturamento / Faturamento de Convênios e Particulares / Tabelas / Cobranças e Tabelas / Tabelas de Faturamento (M_TABFAT)"</f>
        <v>Faturamento / Faturamento de Convênios e Particulares / Tabelas / Cobranças e Tabelas / Tabelas de Faturamento (M_TABFAT)</v>
      </c>
    </row>
    <row r="2112" spans="1:7" x14ac:dyDescent="0.3">
      <c r="A2112" s="1" t="s">
        <v>4</v>
      </c>
      <c r="B2112" s="2" t="str">
        <f t="shared" si="181"/>
        <v>SISTEMA FATURAMENTO CONTAS DE CONVENIO</v>
      </c>
      <c r="C2112" s="2" t="str">
        <f t="shared" si="182"/>
        <v>FATUR-CONV</v>
      </c>
      <c r="D2112" s="2" t="str">
        <f t="shared" si="183"/>
        <v>FFCV</v>
      </c>
      <c r="E2112" s="2" t="str">
        <f>"LANÇAMENTOS - CONTA AMBULATORIAL"</f>
        <v>LANÇAMENTOS - CONTA AMBULATORIAL</v>
      </c>
      <c r="F2112" s="2" t="str">
        <f>"M_LAN_AMB"</f>
        <v>M_LAN_AMB</v>
      </c>
      <c r="G2112" s="2" t="str">
        <f>"Faturamento / Faturamento de Convênios e Particulares / Lançamentos / Conta Ambulatorial / Por Lote (M_LAN_AMB)"</f>
        <v>Faturamento / Faturamento de Convênios e Particulares / Lançamentos / Conta Ambulatorial / Por Lote (M_LAN_AMB)</v>
      </c>
    </row>
    <row r="2113" spans="1:7" x14ac:dyDescent="0.3">
      <c r="A2113" s="1" t="s">
        <v>4</v>
      </c>
      <c r="B2113" s="2" t="str">
        <f t="shared" si="181"/>
        <v>SISTEMA FATURAMENTO CONTAS DE CONVENIO</v>
      </c>
      <c r="C2113" s="2" t="str">
        <f t="shared" si="182"/>
        <v>FATUR-CONV</v>
      </c>
      <c r="D2113" s="2" t="str">
        <f t="shared" si="183"/>
        <v>FFCV</v>
      </c>
      <c r="E2113" s="2" t="str">
        <f>"AGRUPAMENTO DE CONTAS"</f>
        <v>AGRUPAMENTO DE CONTAS</v>
      </c>
      <c r="F2113" s="2" t="str">
        <f>"M_AGRUPAMENTO"</f>
        <v>M_AGRUPAMENTO</v>
      </c>
      <c r="G2113" s="2" t="str">
        <f>"Faturamento / Faturamento de Convênios e Particulares / Tabelas / Gerais / Agrupamento (M_AGRUPAMENTO)"</f>
        <v>Faturamento / Faturamento de Convênios e Particulares / Tabelas / Gerais / Agrupamento (M_AGRUPAMENTO)</v>
      </c>
    </row>
    <row r="2114" spans="1:7" x14ac:dyDescent="0.3">
      <c r="A2114" s="1" t="s">
        <v>4</v>
      </c>
      <c r="B2114" s="2" t="str">
        <f t="shared" si="181"/>
        <v>SISTEMA FATURAMENTO CONTAS DE CONVENIO</v>
      </c>
      <c r="C2114" s="2" t="str">
        <f t="shared" si="182"/>
        <v>FATUR-CONV</v>
      </c>
      <c r="D2114" s="2" t="str">
        <f t="shared" si="183"/>
        <v>FFCV</v>
      </c>
      <c r="E2114" s="2" t="str">
        <f>"CONF. - LCTO DO ESTOQUE  POR GRUPO DE FA"</f>
        <v>CONF. - LCTO DO ESTOQUE  POR GRUPO DE FA</v>
      </c>
      <c r="F2114" s="2" t="str">
        <f>"M_CONFIG_G_F"</f>
        <v>M_CONFIG_G_F</v>
      </c>
      <c r="G2114" s="2" t="str">
        <f>"Faturamento / Faturamento de Convênios e Particulares / Configurações / Lançamento do Estoque por Grupo de Faturamento (M_CONFIG_G_F)"</f>
        <v>Faturamento / Faturamento de Convênios e Particulares / Configurações / Lançamento do Estoque por Grupo de Faturamento (M_CONFIG_G_F)</v>
      </c>
    </row>
    <row r="2115" spans="1:7" x14ac:dyDescent="0.3">
      <c r="A2115" s="1" t="s">
        <v>4</v>
      </c>
      <c r="B2115" s="2" t="str">
        <f t="shared" si="181"/>
        <v>SISTEMA FATURAMENTO CONTAS DE CONVENIO</v>
      </c>
      <c r="C2115" s="2" t="str">
        <f t="shared" si="182"/>
        <v>FATUR-CONV</v>
      </c>
      <c r="D2115" s="2" t="str">
        <f t="shared" si="183"/>
        <v>FFCV</v>
      </c>
      <c r="E2115" s="2" t="str">
        <f t="shared" ref="E2115:E2121" si="184">"RELATÓRIO DE GUIAS VENCIDAS"</f>
        <v>RELATÓRIO DE GUIAS VENCIDAS</v>
      </c>
      <c r="F2115" s="2" t="str">
        <f t="shared" ref="F2115:F2121" si="185">"R_GUIAS_VENCI"</f>
        <v>R_GUIAS_VENCI</v>
      </c>
      <c r="G2115" s="2" t="str">
        <f>"MVSaude / Vendas / Internação / Relatórios / Operacionais / Guias / Situação de Guias (R_GUIAS_VENCI)"</f>
        <v>MVSaude / Vendas / Internação / Relatórios / Operacionais / Guias / Situação de Guias (R_GUIAS_VENCI)</v>
      </c>
    </row>
    <row r="2116" spans="1:7" x14ac:dyDescent="0.3">
      <c r="A2116" s="1" t="s">
        <v>4</v>
      </c>
      <c r="B2116" s="2" t="str">
        <f t="shared" si="181"/>
        <v>SISTEMA FATURAMENTO CONTAS DE CONVENIO</v>
      </c>
      <c r="C2116" s="2" t="str">
        <f t="shared" si="182"/>
        <v>FATUR-CONV</v>
      </c>
      <c r="D2116" s="2" t="str">
        <f t="shared" si="183"/>
        <v>FFCV</v>
      </c>
      <c r="E2116" s="2" t="str">
        <f t="shared" si="184"/>
        <v>RELATÓRIO DE GUIAS VENCIDAS</v>
      </c>
      <c r="F2116" s="2" t="str">
        <f t="shared" si="185"/>
        <v>R_GUIAS_VENCI</v>
      </c>
      <c r="G2116" s="2" t="str">
        <f>"Serviços de Apoio / Serviço Arquivo Médico / Relatórios / Operacionais / Situação de Guias (R_GUIAS_VENCI)"</f>
        <v>Serviços de Apoio / Serviço Arquivo Médico / Relatórios / Operacionais / Situação de Guias (R_GUIAS_VENCI)</v>
      </c>
    </row>
    <row r="2117" spans="1:7" x14ac:dyDescent="0.3">
      <c r="A2117" s="1" t="s">
        <v>4</v>
      </c>
      <c r="B2117" s="2" t="str">
        <f t="shared" si="181"/>
        <v>SISTEMA FATURAMENTO CONTAS DE CONVENIO</v>
      </c>
      <c r="C2117" s="2" t="str">
        <f t="shared" si="182"/>
        <v>FATUR-CONV</v>
      </c>
      <c r="D2117" s="2" t="str">
        <f t="shared" si="183"/>
        <v>FFCV</v>
      </c>
      <c r="E2117" s="2" t="str">
        <f t="shared" si="184"/>
        <v>RELATÓRIO DE GUIAS VENCIDAS</v>
      </c>
      <c r="F2117" s="2" t="str">
        <f t="shared" si="185"/>
        <v>R_GUIAS_VENCI</v>
      </c>
      <c r="G2117" s="2" t="str">
        <f>"Faturamento / Faturamento de Convênios e Particulares / Relatórios / Operacionais / Guias / Situação de Guias (R_GUIAS_VENCI)"</f>
        <v>Faturamento / Faturamento de Convênios e Particulares / Relatórios / Operacionais / Guias / Situação de Guias (R_GUIAS_VENCI)</v>
      </c>
    </row>
    <row r="2118" spans="1:7" x14ac:dyDescent="0.3">
      <c r="A2118" s="1" t="s">
        <v>4</v>
      </c>
      <c r="B2118" s="2" t="str">
        <f t="shared" ref="B2118:B2181" si="186">"SISTEMA FATURAMENTO CONTAS DE CONVENIO"</f>
        <v>SISTEMA FATURAMENTO CONTAS DE CONVENIO</v>
      </c>
      <c r="C2118" s="2" t="str">
        <f t="shared" ref="C2118:C2181" si="187">"FATUR-CONV"</f>
        <v>FATUR-CONV</v>
      </c>
      <c r="D2118" s="2" t="str">
        <f t="shared" ref="D2118:D2181" si="188">"FFCV"</f>
        <v>FFCV</v>
      </c>
      <c r="E2118" s="2" t="str">
        <f t="shared" si="184"/>
        <v>RELATÓRIO DE GUIAS VENCIDAS</v>
      </c>
      <c r="F2118" s="2" t="str">
        <f t="shared" si="185"/>
        <v>R_GUIAS_VENCI</v>
      </c>
      <c r="G2118" s="2" t="str">
        <f>"Atendimento / Internação / Relatórios / Operacionais / Guias / Situação de Guias (R_GUIAS_VENCI)"</f>
        <v>Atendimento / Internação / Relatórios / Operacionais / Guias / Situação de Guias (R_GUIAS_VENCI)</v>
      </c>
    </row>
    <row r="2119" spans="1:7" x14ac:dyDescent="0.3">
      <c r="A2119" s="1" t="s">
        <v>4</v>
      </c>
      <c r="B2119" s="2" t="str">
        <f t="shared" si="186"/>
        <v>SISTEMA FATURAMENTO CONTAS DE CONVENIO</v>
      </c>
      <c r="C2119" s="2" t="str">
        <f t="shared" si="187"/>
        <v>FATUR-CONV</v>
      </c>
      <c r="D2119" s="2" t="str">
        <f t="shared" si="188"/>
        <v>FFCV</v>
      </c>
      <c r="E2119" s="2" t="str">
        <f t="shared" si="184"/>
        <v>RELATÓRIO DE GUIAS VENCIDAS</v>
      </c>
      <c r="F2119" s="2" t="str">
        <f t="shared" si="185"/>
        <v>R_GUIAS_VENCI</v>
      </c>
      <c r="G2119" s="2" t="str">
        <f>"Faturamento / Auditoria e Controle de Recursos de Glosas / Relatórios / Operacionais / Situação de Guias (R_GUIAS_VENCI)"</f>
        <v>Faturamento / Auditoria e Controle de Recursos de Glosas / Relatórios / Operacionais / Situação de Guias (R_GUIAS_VENCI)</v>
      </c>
    </row>
    <row r="2120" spans="1:7" x14ac:dyDescent="0.3">
      <c r="A2120" s="1" t="s">
        <v>4</v>
      </c>
      <c r="B2120" s="2" t="str">
        <f t="shared" si="186"/>
        <v>SISTEMA FATURAMENTO CONTAS DE CONVENIO</v>
      </c>
      <c r="C2120" s="2" t="str">
        <f t="shared" si="187"/>
        <v>FATUR-CONV</v>
      </c>
      <c r="D2120" s="2" t="str">
        <f t="shared" si="188"/>
        <v>FFCV</v>
      </c>
      <c r="E2120" s="2" t="str">
        <f t="shared" si="184"/>
        <v>RELATÓRIO DE GUIAS VENCIDAS</v>
      </c>
      <c r="F2120" s="2" t="str">
        <f t="shared" si="185"/>
        <v>R_GUIAS_VENCI</v>
      </c>
      <c r="G2120" s="2" t="str">
        <f>"Atendimento / Internação Domiciliar (Home Care) / Relatórios / Operacionais / Guias Vencidas (R_GUIAS_VENCI)"</f>
        <v>Atendimento / Internação Domiciliar (Home Care) / Relatórios / Operacionais / Guias Vencidas (R_GUIAS_VENCI)</v>
      </c>
    </row>
    <row r="2121" spans="1:7" x14ac:dyDescent="0.3">
      <c r="A2121" s="1" t="s">
        <v>4</v>
      </c>
      <c r="B2121" s="2" t="str">
        <f t="shared" si="186"/>
        <v>SISTEMA FATURAMENTO CONTAS DE CONVENIO</v>
      </c>
      <c r="C2121" s="2" t="str">
        <f t="shared" si="187"/>
        <v>FATUR-CONV</v>
      </c>
      <c r="D2121" s="2" t="str">
        <f t="shared" si="188"/>
        <v>FFCV</v>
      </c>
      <c r="E2121" s="2" t="str">
        <f t="shared" si="184"/>
        <v>RELATÓRIO DE GUIAS VENCIDAS</v>
      </c>
      <c r="F2121" s="2" t="str">
        <f t="shared" si="185"/>
        <v>R_GUIAS_VENCI</v>
      </c>
      <c r="G2121" s="2" t="str">
        <f>"MVSaude / Atendimento / Autorizações de Guias / Internação / Relatórios / Operacionais / Guias / Situação de Guias (R_GUIAS_VENCI)"</f>
        <v>MVSaude / Atendimento / Autorizações de Guias / Internação / Relatórios / Operacionais / Guias / Situação de Guias (R_GUIAS_VENCI)</v>
      </c>
    </row>
    <row r="2122" spans="1:7" x14ac:dyDescent="0.3">
      <c r="A2122" s="1" t="s">
        <v>4</v>
      </c>
      <c r="B2122" s="2" t="str">
        <f t="shared" si="186"/>
        <v>SISTEMA FATURAMENTO CONTAS DE CONVENIO</v>
      </c>
      <c r="C2122" s="2" t="str">
        <f t="shared" si="187"/>
        <v>FATUR-CONV</v>
      </c>
      <c r="D2122" s="2" t="str">
        <f t="shared" si="188"/>
        <v>FFCV</v>
      </c>
      <c r="E2122" s="2" t="str">
        <f>"RELATORIO TABELAS DE PROCEDIMENTOS"</f>
        <v>RELATORIO TABELAS DE PROCEDIMENTOS</v>
      </c>
      <c r="F2122" s="2" t="str">
        <f>"R_TAB_PROCED"</f>
        <v>R_TAB_PROCED</v>
      </c>
      <c r="G2122" s="2" t="str">
        <f>"Faturamento / Faturamento de Convênios e Particulares / Relatórios / Tabelas / Tabela de Valores / Tabelas de Faturamento (R_TAB_PROCED)"</f>
        <v>Faturamento / Faturamento de Convênios e Particulares / Relatórios / Tabelas / Tabela de Valores / Tabelas de Faturamento (R_TAB_PROCED)</v>
      </c>
    </row>
    <row r="2123" spans="1:7" x14ac:dyDescent="0.3">
      <c r="A2123" s="1" t="s">
        <v>4</v>
      </c>
      <c r="B2123" s="2" t="str">
        <f t="shared" si="186"/>
        <v>SISTEMA FATURAMENTO CONTAS DE CONVENIO</v>
      </c>
      <c r="C2123" s="2" t="str">
        <f t="shared" si="187"/>
        <v>FATUR-CONV</v>
      </c>
      <c r="D2123" s="2" t="str">
        <f t="shared" si="188"/>
        <v>FFCV</v>
      </c>
      <c r="E2123" s="2" t="str">
        <f>"RELATORIO TABELAS DE PROCEDIMENTOS"</f>
        <v>RELATORIO TABELAS DE PROCEDIMENTOS</v>
      </c>
      <c r="F2123" s="2" t="str">
        <f>"R_TAB_PROCED"</f>
        <v>R_TAB_PROCED</v>
      </c>
      <c r="G2123" s="2" t="str">
        <f>"Faturamento / Auditoria e Controle de Recursos de Glosas / Relatórios / Tabelas / Tabela de Valores / Tabelas de Faturamento (R_TAB_PROCED)"</f>
        <v>Faturamento / Auditoria e Controle de Recursos de Glosas / Relatórios / Tabelas / Tabela de Valores / Tabelas de Faturamento (R_TAB_PROCED)</v>
      </c>
    </row>
    <row r="2124" spans="1:7" x14ac:dyDescent="0.3">
      <c r="A2124" s="1" t="s">
        <v>4</v>
      </c>
      <c r="B2124" s="2" t="str">
        <f t="shared" si="186"/>
        <v>SISTEMA FATURAMENTO CONTAS DE CONVENIO</v>
      </c>
      <c r="C2124" s="2" t="str">
        <f t="shared" si="187"/>
        <v>FATUR-CONV</v>
      </c>
      <c r="D2124" s="2" t="str">
        <f t="shared" si="188"/>
        <v>FFCV</v>
      </c>
      <c r="E2124" s="2" t="s">
        <v>15</v>
      </c>
      <c r="F2124" s="2"/>
      <c r="G2124" s="2"/>
    </row>
    <row r="2125" spans="1:7" x14ac:dyDescent="0.3">
      <c r="A2125" s="1" t="s">
        <v>4</v>
      </c>
      <c r="B2125" s="2" t="str">
        <f t="shared" si="186"/>
        <v>SISTEMA FATURAMENTO CONTAS DE CONVENIO</v>
      </c>
      <c r="C2125" s="2" t="str">
        <f t="shared" si="187"/>
        <v>FATUR-CONV</v>
      </c>
      <c r="D2125" s="2" t="str">
        <f t="shared" si="188"/>
        <v>FFCV</v>
      </c>
      <c r="E2125" s="2" t="str">
        <f>"HORARIOS ESPECIAIS"</f>
        <v>HORARIOS ESPECIAIS</v>
      </c>
      <c r="F2125" s="2" t="str">
        <f>"R_HORARIO"</f>
        <v>R_HORARIO</v>
      </c>
      <c r="G2125" s="2" t="str">
        <f>"Faturamento / Faturamento de Convênios e Particulares / Relatórios / Tabelas / Gerais / Horários Especiais (R_HORARIO)"</f>
        <v>Faturamento / Faturamento de Convênios e Particulares / Relatórios / Tabelas / Gerais / Horários Especiais (R_HORARIO)</v>
      </c>
    </row>
    <row r="2126" spans="1:7" x14ac:dyDescent="0.3">
      <c r="A2126" s="1" t="s">
        <v>4</v>
      </c>
      <c r="B2126" s="2" t="str">
        <f t="shared" si="186"/>
        <v>SISTEMA FATURAMENTO CONTAS DE CONVENIO</v>
      </c>
      <c r="C2126" s="2" t="str">
        <f t="shared" si="187"/>
        <v>FATUR-CONV</v>
      </c>
      <c r="D2126" s="2" t="str">
        <f t="shared" si="188"/>
        <v>FFCV</v>
      </c>
      <c r="E2126" s="2" t="str">
        <f>"HORARIOS ESPECIAIS"</f>
        <v>HORARIOS ESPECIAIS</v>
      </c>
      <c r="F2126" s="2" t="str">
        <f>"R_HORARIO"</f>
        <v>R_HORARIO</v>
      </c>
      <c r="G2126" s="2" t="str">
        <f>"Faturamento / Auditoria e Controle de Recursos de Glosas / Relatórios / Tabelas / Gerais / Horários Especiais (R_HORARIO)"</f>
        <v>Faturamento / Auditoria e Controle de Recursos de Glosas / Relatórios / Tabelas / Gerais / Horários Especiais (R_HORARIO)</v>
      </c>
    </row>
    <row r="2127" spans="1:7" x14ac:dyDescent="0.3">
      <c r="A2127" s="1" t="s">
        <v>4</v>
      </c>
      <c r="B2127" s="2" t="str">
        <f t="shared" si="186"/>
        <v>SISTEMA FATURAMENTO CONTAS DE CONVENIO</v>
      </c>
      <c r="C2127" s="2" t="str">
        <f t="shared" si="187"/>
        <v>FATUR-CONV</v>
      </c>
      <c r="D2127" s="2" t="str">
        <f t="shared" si="188"/>
        <v>FFCV</v>
      </c>
      <c r="E2127" s="2" t="str">
        <f>"LOTE DE FATURAMENTO"</f>
        <v>LOTE DE FATURAMENTO</v>
      </c>
      <c r="F2127" s="2" t="str">
        <f>"M_LOTE_FAT"</f>
        <v>M_LOTE_FAT</v>
      </c>
      <c r="G2127" s="2" t="str">
        <f>"Faturamento / Faturamento de Convênios e Particulares / Lançamentos / Faturas e Remessas (M_LOTE_FAT)"</f>
        <v>Faturamento / Faturamento de Convênios e Particulares / Lançamentos / Faturas e Remessas (M_LOTE_FAT)</v>
      </c>
    </row>
    <row r="2128" spans="1:7" x14ac:dyDescent="0.3">
      <c r="A2128" s="1" t="s">
        <v>4</v>
      </c>
      <c r="B2128" s="2" t="str">
        <f t="shared" si="186"/>
        <v>SISTEMA FATURAMENTO CONTAS DE CONVENIO</v>
      </c>
      <c r="C2128" s="2" t="str">
        <f t="shared" si="187"/>
        <v>FATUR-CONV</v>
      </c>
      <c r="D2128" s="2" t="str">
        <f t="shared" si="188"/>
        <v>FFCV</v>
      </c>
      <c r="E2128" s="2" t="str">
        <f>"INDICE"</f>
        <v>INDICE</v>
      </c>
      <c r="F2128" s="2" t="str">
        <f>"M_INDICE"</f>
        <v>M_INDICE</v>
      </c>
      <c r="G2128" s="2" t="str">
        <f>"Faturamento / Faturamento de Convênios e Particulares / Tabelas / Cobranças e Tabelas / Índices (M_INDICE)"</f>
        <v>Faturamento / Faturamento de Convênios e Particulares / Tabelas / Cobranças e Tabelas / Índices (M_INDICE)</v>
      </c>
    </row>
    <row r="2129" spans="1:7" x14ac:dyDescent="0.3">
      <c r="A2129" s="1" t="s">
        <v>4</v>
      </c>
      <c r="B2129" s="2" t="str">
        <f t="shared" si="186"/>
        <v>SISTEMA FATURAMENTO CONTAS DE CONVENIO</v>
      </c>
      <c r="C2129" s="2" t="str">
        <f t="shared" si="187"/>
        <v>FATUR-CONV</v>
      </c>
      <c r="D2129" s="2" t="str">
        <f t="shared" si="188"/>
        <v>FFCV</v>
      </c>
      <c r="E2129" s="2" t="str">
        <f>"HORARIOS ESPECIAIS"</f>
        <v>HORARIOS ESPECIAIS</v>
      </c>
      <c r="F2129" s="2" t="str">
        <f>"M_HORARIO"</f>
        <v>M_HORARIO</v>
      </c>
      <c r="G2129" s="2" t="str">
        <f>"Faturamento / Faturamento de Convênios e Particulares / Tabelas / Gerais / Horários Especiais (M_HORARIO)"</f>
        <v>Faturamento / Faturamento de Convênios e Particulares / Tabelas / Gerais / Horários Especiais (M_HORARIO)</v>
      </c>
    </row>
    <row r="2130" spans="1:7" x14ac:dyDescent="0.3">
      <c r="A2130" s="1" t="s">
        <v>4</v>
      </c>
      <c r="B2130" s="2" t="str">
        <f t="shared" si="186"/>
        <v>SISTEMA FATURAMENTO CONTAS DE CONVENIO</v>
      </c>
      <c r="C2130" s="2" t="str">
        <f t="shared" si="187"/>
        <v>FATUR-CONV</v>
      </c>
      <c r="D2130" s="2" t="str">
        <f t="shared" si="188"/>
        <v>FFCV</v>
      </c>
      <c r="E2130" s="2" t="str">
        <f>"GRUPO DE PROCEDIMENTO"</f>
        <v>GRUPO DE PROCEDIMENTO</v>
      </c>
      <c r="F2130" s="2" t="str">
        <f>"M_GRUPRO"</f>
        <v>M_GRUPRO</v>
      </c>
      <c r="G2130" s="2" t="str">
        <f>"Faturamento / Faturamento de Convênios e Particulares / Tabelas / Gerais / Grupos de Procedimentos (M_GRUPRO)"</f>
        <v>Faturamento / Faturamento de Convênios e Particulares / Tabelas / Gerais / Grupos de Procedimentos (M_GRUPRO)</v>
      </c>
    </row>
    <row r="2131" spans="1:7" x14ac:dyDescent="0.3">
      <c r="A2131" s="1" t="s">
        <v>4</v>
      </c>
      <c r="B2131" s="2" t="str">
        <f t="shared" si="186"/>
        <v>SISTEMA FATURAMENTO CONTAS DE CONVENIO</v>
      </c>
      <c r="C2131" s="2" t="str">
        <f t="shared" si="187"/>
        <v>FATUR-CONV</v>
      </c>
      <c r="D2131" s="2" t="str">
        <f t="shared" si="188"/>
        <v>FFCV</v>
      </c>
      <c r="E2131" s="2" t="str">
        <f>"GRUPO DE PROCEDIMENTO"</f>
        <v>GRUPO DE PROCEDIMENTO</v>
      </c>
      <c r="F2131" s="2" t="str">
        <f>"M_GRUPRO"</f>
        <v>M_GRUPRO</v>
      </c>
      <c r="G2131" s="2" t="str">
        <f>"MVSaude / Contas Médicas / Tabelas / Grupos de Procedimentos (M_GRUPRO)"</f>
        <v>MVSaude / Contas Médicas / Tabelas / Grupos de Procedimentos (M_GRUPRO)</v>
      </c>
    </row>
    <row r="2132" spans="1:7" x14ac:dyDescent="0.3">
      <c r="A2132" s="1" t="s">
        <v>4</v>
      </c>
      <c r="B2132" s="2" t="str">
        <f t="shared" si="186"/>
        <v>SISTEMA FATURAMENTO CONTAS DE CONVENIO</v>
      </c>
      <c r="C2132" s="2" t="str">
        <f t="shared" si="187"/>
        <v>FATUR-CONV</v>
      </c>
      <c r="D2132" s="2" t="str">
        <f t="shared" si="188"/>
        <v>FFCV</v>
      </c>
      <c r="E2132" s="2" t="str">
        <f>"PROCEDIMENTOS NA FATURA"</f>
        <v>PROCEDIMENTOS NA FATURA</v>
      </c>
      <c r="F2132" s="2" t="str">
        <f>"M_COD_PRO"</f>
        <v>M_COD_PRO</v>
      </c>
      <c r="G2132" s="2" t="str">
        <f>" ()"</f>
        <v xml:space="preserve"> ()</v>
      </c>
    </row>
    <row r="2133" spans="1:7" x14ac:dyDescent="0.3">
      <c r="A2133" s="1" t="s">
        <v>4</v>
      </c>
      <c r="B2133" s="2" t="str">
        <f t="shared" si="186"/>
        <v>SISTEMA FATURAMENTO CONTAS DE CONVENIO</v>
      </c>
      <c r="C2133" s="2" t="str">
        <f t="shared" si="187"/>
        <v>FATUR-CONV</v>
      </c>
      <c r="D2133" s="2" t="str">
        <f t="shared" si="188"/>
        <v>FFCV</v>
      </c>
      <c r="E2133" s="2" t="str">
        <f>"CONFIGURACAO -  PARAMETROS"</f>
        <v>CONFIGURACAO -  PARAMETROS</v>
      </c>
      <c r="F2133" s="2" t="str">
        <f>"M_CONFIGURA"</f>
        <v>M_CONFIGURA</v>
      </c>
      <c r="G2133" s="2" t="str">
        <f>"Faturamento / Faturamento de Convênios e Particulares / Configurações / Parâmetros (M_CONFIGURA)"</f>
        <v>Faturamento / Faturamento de Convênios e Particulares / Configurações / Parâmetros (M_CONFIGURA)</v>
      </c>
    </row>
    <row r="2134" spans="1:7" x14ac:dyDescent="0.3">
      <c r="A2134" s="1" t="s">
        <v>4</v>
      </c>
      <c r="B2134" s="2" t="str">
        <f t="shared" si="186"/>
        <v>SISTEMA FATURAMENTO CONTAS DE CONVENIO</v>
      </c>
      <c r="C2134" s="2" t="str">
        <f t="shared" si="187"/>
        <v>FATUR-CONV</v>
      </c>
      <c r="D2134" s="2" t="str">
        <f t="shared" si="188"/>
        <v>FFCV</v>
      </c>
      <c r="E2134" s="2" t="str">
        <f>"PRECOS DO ESTOQUE"</f>
        <v>PRECOS DO ESTOQUE</v>
      </c>
      <c r="F2134" s="2" t="str">
        <f>"M_MEDPRO"</f>
        <v>M_MEDPRO</v>
      </c>
      <c r="G2134" s="2" t="str">
        <f>"Faturamento / Faturamento de Convênios e Particulares / Configurações / Preços do Estoque (M_MEDPRO)"</f>
        <v>Faturamento / Faturamento de Convênios e Particulares / Configurações / Preços do Estoque (M_MEDPRO)</v>
      </c>
    </row>
    <row r="2135" spans="1:7" x14ac:dyDescent="0.3">
      <c r="A2135" s="1" t="s">
        <v>4</v>
      </c>
      <c r="B2135" s="2" t="str">
        <f t="shared" si="186"/>
        <v>SISTEMA FATURAMENTO CONTAS DE CONVENIO</v>
      </c>
      <c r="C2135" s="2" t="str">
        <f t="shared" si="187"/>
        <v>FATUR-CONV</v>
      </c>
      <c r="D2135" s="2" t="str">
        <f t="shared" si="188"/>
        <v>FFCV</v>
      </c>
      <c r="E2135" s="2" t="str">
        <f>"PROCEDIMENTO NA FATURA"</f>
        <v>PROCEDIMENTO NA FATURA</v>
      </c>
      <c r="F2135" s="2" t="str">
        <f>"M_PRO_FAT"</f>
        <v>M_PRO_FAT</v>
      </c>
      <c r="G2135" s="2" t="str">
        <f>"MVSaude / Vendas / Internação / Tabelas / Procedimentos / Procedimentos de Convênios (M_PRO_FAT)"</f>
        <v>MVSaude / Vendas / Internação / Tabelas / Procedimentos / Procedimentos de Convênios (M_PRO_FAT)</v>
      </c>
    </row>
    <row r="2136" spans="1:7" x14ac:dyDescent="0.3">
      <c r="A2136" s="1" t="s">
        <v>4</v>
      </c>
      <c r="B2136" s="2" t="str">
        <f t="shared" si="186"/>
        <v>SISTEMA FATURAMENTO CONTAS DE CONVENIO</v>
      </c>
      <c r="C2136" s="2" t="str">
        <f t="shared" si="187"/>
        <v>FATUR-CONV</v>
      </c>
      <c r="D2136" s="2" t="str">
        <f t="shared" si="188"/>
        <v>FFCV</v>
      </c>
      <c r="E2136" s="2" t="str">
        <f>"PROCEDIMENTO NA FATURA"</f>
        <v>PROCEDIMENTO NA FATURA</v>
      </c>
      <c r="F2136" s="2" t="str">
        <f>"M_PRO_FAT"</f>
        <v>M_PRO_FAT</v>
      </c>
      <c r="G2136" s="2" t="str">
        <f>"Faturamento / Faturamento de Convênios e Particulares / Tabelas / Gerais / Procedimentos (M_PRO_FAT)"</f>
        <v>Faturamento / Faturamento de Convênios e Particulares / Tabelas / Gerais / Procedimentos (M_PRO_FAT)</v>
      </c>
    </row>
    <row r="2137" spans="1:7" x14ac:dyDescent="0.3">
      <c r="A2137" s="1" t="s">
        <v>4</v>
      </c>
      <c r="B2137" s="2" t="str">
        <f t="shared" si="186"/>
        <v>SISTEMA FATURAMENTO CONTAS DE CONVENIO</v>
      </c>
      <c r="C2137" s="2" t="str">
        <f t="shared" si="187"/>
        <v>FATUR-CONV</v>
      </c>
      <c r="D2137" s="2" t="str">
        <f t="shared" si="188"/>
        <v>FFCV</v>
      </c>
      <c r="E2137" s="2" t="str">
        <f>"PROCEDIMENTO NA FATURA"</f>
        <v>PROCEDIMENTO NA FATURA</v>
      </c>
      <c r="F2137" s="2" t="str">
        <f>"M_PRO_FAT"</f>
        <v>M_PRO_FAT</v>
      </c>
      <c r="G2137" s="2" t="str">
        <f>"MVSaude / Atendimento / Autorizações de Guias / Internação / Tabelas / Procedimentos / Procedimentos de Convênios (M_PRO_FAT)"</f>
        <v>MVSaude / Atendimento / Autorizações de Guias / Internação / Tabelas / Procedimentos / Procedimentos de Convênios (M_PRO_FAT)</v>
      </c>
    </row>
    <row r="2138" spans="1:7" x14ac:dyDescent="0.3">
      <c r="A2138" s="1" t="s">
        <v>4</v>
      </c>
      <c r="B2138" s="2" t="str">
        <f t="shared" si="186"/>
        <v>SISTEMA FATURAMENTO CONTAS DE CONVENIO</v>
      </c>
      <c r="C2138" s="2" t="str">
        <f t="shared" si="187"/>
        <v>FATUR-CONV</v>
      </c>
      <c r="D2138" s="2" t="str">
        <f t="shared" si="188"/>
        <v>FFCV</v>
      </c>
      <c r="E2138" s="2" t="str">
        <f>"PROCEDIMENTO NA FATURA"</f>
        <v>PROCEDIMENTO NA FATURA</v>
      </c>
      <c r="F2138" s="2" t="str">
        <f>"M_PRO_FAT"</f>
        <v>M_PRO_FAT</v>
      </c>
      <c r="G2138" s="2" t="str">
        <f>"Atendimento / Internação Domiciliar (Home Care) / Tabelas / Procedimentos de Faturamento (M_PRO_FAT)"</f>
        <v>Atendimento / Internação Domiciliar (Home Care) / Tabelas / Procedimentos de Faturamento (M_PRO_FAT)</v>
      </c>
    </row>
    <row r="2139" spans="1:7" x14ac:dyDescent="0.3">
      <c r="A2139" s="1" t="s">
        <v>4</v>
      </c>
      <c r="B2139" s="2" t="str">
        <f t="shared" si="186"/>
        <v>SISTEMA FATURAMENTO CONTAS DE CONVENIO</v>
      </c>
      <c r="C2139" s="2" t="str">
        <f t="shared" si="187"/>
        <v>FATUR-CONV</v>
      </c>
      <c r="D2139" s="2" t="str">
        <f t="shared" si="188"/>
        <v>FFCV</v>
      </c>
      <c r="E2139" s="2" t="str">
        <f>"CADASTRO: CONVÊNIOS E PLANOS"</f>
        <v>CADASTRO: CONVÊNIOS E PLANOS</v>
      </c>
      <c r="F2139" s="2" t="str">
        <f>"M_CONVENIO_PADRAO"</f>
        <v>M_CONVENIO_PADRAO</v>
      </c>
      <c r="G2139" s="2" t="str">
        <f>" ()"</f>
        <v xml:space="preserve"> ()</v>
      </c>
    </row>
    <row r="2140" spans="1:7" x14ac:dyDescent="0.3">
      <c r="A2140" s="1" t="s">
        <v>4</v>
      </c>
      <c r="B2140" s="2" t="str">
        <f t="shared" si="186"/>
        <v>SISTEMA FATURAMENTO CONTAS DE CONVENIO</v>
      </c>
      <c r="C2140" s="2" t="str">
        <f t="shared" si="187"/>
        <v>FATUR-CONV</v>
      </c>
      <c r="D2140" s="2" t="str">
        <f t="shared" si="188"/>
        <v>FFCV</v>
      </c>
      <c r="E2140" s="2" t="str">
        <f>"IMPORTAÇÃO DE PREÇOS DO BRADESCO"</f>
        <v>IMPORTAÇÃO DE PREÇOS DO BRADESCO</v>
      </c>
      <c r="F2140" s="2" t="str">
        <f>"O_IMPVALPROCED"</f>
        <v>O_IMPVALPROCED</v>
      </c>
      <c r="G2140" s="2" t="str">
        <f>"Faturamento / Faturamento de Convênios e Particulares / Importações / Importacao de Tabelas Específicas (O_IMPVALPROCED)"</f>
        <v>Faturamento / Faturamento de Convênios e Particulares / Importações / Importacao de Tabelas Específicas (O_IMPVALPROCED)</v>
      </c>
    </row>
    <row r="2141" spans="1:7" x14ac:dyDescent="0.3">
      <c r="A2141" s="1" t="s">
        <v>4</v>
      </c>
      <c r="B2141" s="2" t="str">
        <f t="shared" si="186"/>
        <v>SISTEMA FATURAMENTO CONTAS DE CONVENIO</v>
      </c>
      <c r="C2141" s="2" t="str">
        <f t="shared" si="187"/>
        <v>FATUR-CONV</v>
      </c>
      <c r="D2141" s="2" t="str">
        <f t="shared" si="188"/>
        <v>FFCV</v>
      </c>
      <c r="E2141" s="2" t="str">
        <f>"LANÇAMENTOS DE CONTAS DO FATURAMENTO"</f>
        <v>LANÇAMENTOS DE CONTAS DO FATURAMENTO</v>
      </c>
      <c r="F2141" s="2" t="str">
        <f>"HOSPANB"</f>
        <v>HOSPANB</v>
      </c>
      <c r="G2141" s="2" t="str">
        <f>" ()"</f>
        <v xml:space="preserve"> ()</v>
      </c>
    </row>
    <row r="2142" spans="1:7" x14ac:dyDescent="0.3">
      <c r="A2142" s="1" t="s">
        <v>4</v>
      </c>
      <c r="B2142" s="2" t="str">
        <f t="shared" si="186"/>
        <v>SISTEMA FATURAMENTO CONTAS DE CONVENIO</v>
      </c>
      <c r="C2142" s="2" t="str">
        <f t="shared" si="187"/>
        <v>FATUR-CONV</v>
      </c>
      <c r="D2142" s="2" t="str">
        <f t="shared" si="188"/>
        <v>FFCV</v>
      </c>
      <c r="E2142" s="2" t="str">
        <f>"R_RECEITA_CONV_PREST"</f>
        <v>R_RECEITA_CONV_PREST</v>
      </c>
      <c r="F2142" s="2" t="str">
        <f>"R_RECEITA_CONV_PREST"</f>
        <v>R_RECEITA_CONV_PREST</v>
      </c>
      <c r="G2142" s="2" t="str">
        <f>" ()"</f>
        <v xml:space="preserve"> ()</v>
      </c>
    </row>
    <row r="2143" spans="1:7" x14ac:dyDescent="0.3">
      <c r="A2143" s="1" t="s">
        <v>4</v>
      </c>
      <c r="B2143" s="2" t="str">
        <f t="shared" si="186"/>
        <v>SISTEMA FATURAMENTO CONTAS DE CONVENIO</v>
      </c>
      <c r="C2143" s="2" t="str">
        <f t="shared" si="187"/>
        <v>FATUR-CONV</v>
      </c>
      <c r="D2143" s="2" t="str">
        <f t="shared" si="188"/>
        <v>FFCV</v>
      </c>
      <c r="E2143" s="2" t="str">
        <f>"R_LOTE_POR_ATENDE_750"</f>
        <v>R_LOTE_POR_ATENDE_750</v>
      </c>
      <c r="F2143" s="2" t="str">
        <f>"R_LOTE_POR_ATENDE_750"</f>
        <v>R_LOTE_POR_ATENDE_750</v>
      </c>
      <c r="G2143" s="2" t="str">
        <f>" ()"</f>
        <v xml:space="preserve"> ()</v>
      </c>
    </row>
    <row r="2144" spans="1:7" x14ac:dyDescent="0.3">
      <c r="A2144" s="1" t="s">
        <v>4</v>
      </c>
      <c r="B2144" s="2" t="str">
        <f t="shared" si="186"/>
        <v>SISTEMA FATURAMENTO CONTAS DE CONVENIO</v>
      </c>
      <c r="C2144" s="2" t="str">
        <f t="shared" si="187"/>
        <v>FATUR-CONV</v>
      </c>
      <c r="D2144" s="2" t="str">
        <f t="shared" si="188"/>
        <v>FFCV</v>
      </c>
      <c r="E2144" s="2" t="str">
        <f>"RECIBO PROVISÓRIO DE SERVIÇO"</f>
        <v>RECIBO PROVISÓRIO DE SERVIÇO</v>
      </c>
      <c r="F2144" s="2" t="str">
        <f>"R_RECIBO_PROVISORIO_SERVICO"</f>
        <v>R_RECIBO_PROVISORIO_SERVICO</v>
      </c>
      <c r="G2144" s="2" t="str">
        <f>"Faturamento / Faturamento de Convênios e Particulares / Relatórios / Operacionais / Recibo Provisório de Serviço (R_RECIBO_PROVISORIO_SERVICO)"</f>
        <v>Faturamento / Faturamento de Convênios e Particulares / Relatórios / Operacionais / Recibo Provisório de Serviço (R_RECIBO_PROVISORIO_SERVICO)</v>
      </c>
    </row>
    <row r="2145" spans="1:7" x14ac:dyDescent="0.3">
      <c r="A2145" s="1" t="s">
        <v>4</v>
      </c>
      <c r="B2145" s="2" t="str">
        <f t="shared" si="186"/>
        <v>SISTEMA FATURAMENTO CONTAS DE CONVENIO</v>
      </c>
      <c r="C2145" s="2" t="str">
        <f t="shared" si="187"/>
        <v>FATUR-CONV</v>
      </c>
      <c r="D2145" s="2" t="str">
        <f t="shared" si="188"/>
        <v>FFCV</v>
      </c>
      <c r="E2145" s="2" t="str">
        <f>"GERAÇÃO DE DIÁRIAS AUTOMÁTICAS"</f>
        <v>GERAÇÃO DE DIÁRIAS AUTOMÁTICAS</v>
      </c>
      <c r="F2145" s="2" t="str">
        <f>"M_CONF_DIARIA_AUTOM"</f>
        <v>M_CONF_DIARIA_AUTOM</v>
      </c>
      <c r="G2145" s="2" t="str">
        <f>" ()"</f>
        <v xml:space="preserve"> ()</v>
      </c>
    </row>
    <row r="2146" spans="1:7" x14ac:dyDescent="0.3">
      <c r="A2146" s="1" t="s">
        <v>4</v>
      </c>
      <c r="B2146" s="2" t="str">
        <f t="shared" si="186"/>
        <v>SISTEMA FATURAMENTO CONTAS DE CONVENIO</v>
      </c>
      <c r="C2146" s="2" t="str">
        <f t="shared" si="187"/>
        <v>FATUR-CONV</v>
      </c>
      <c r="D2146" s="2" t="str">
        <f t="shared" si="188"/>
        <v>FFCV</v>
      </c>
      <c r="E2146" s="2" t="str">
        <f>"M_CONV_PRO_FAT_ISENTO"</f>
        <v>M_CONV_PRO_FAT_ISENTO</v>
      </c>
      <c r="F2146" s="2" t="str">
        <f>"M_CONV_PRO_FAT_ISENTO"</f>
        <v>M_CONV_PRO_FAT_ISENTO</v>
      </c>
      <c r="G2146" s="2" t="str">
        <f>"Faturamento / Faturamento de Convênios e Particulares / Configurações / Procedimentos Isentos de Cobrança (M_CONV_PRO_FAT_ISENTO)"</f>
        <v>Faturamento / Faturamento de Convênios e Particulares / Configurações / Procedimentos Isentos de Cobrança (M_CONV_PRO_FAT_ISENTO)</v>
      </c>
    </row>
    <row r="2147" spans="1:7" x14ac:dyDescent="0.3">
      <c r="A2147" s="1" t="s">
        <v>4</v>
      </c>
      <c r="B2147" s="2" t="str">
        <f t="shared" si="186"/>
        <v>SISTEMA FATURAMENTO CONTAS DE CONVENIO</v>
      </c>
      <c r="C2147" s="2" t="str">
        <f t="shared" si="187"/>
        <v>FATUR-CONV</v>
      </c>
      <c r="D2147" s="2" t="str">
        <f t="shared" si="188"/>
        <v>FFCV</v>
      </c>
      <c r="E2147" s="2" t="str">
        <f>"RELATÓRIO DE REMESSAS ENVIADAS"</f>
        <v>RELATÓRIO DE REMESSAS ENVIADAS</v>
      </c>
      <c r="F2147" s="2" t="str">
        <f>"R_ALT_ITREP_MED_CD"</f>
        <v>R_ALT_ITREP_MED_CD</v>
      </c>
      <c r="G2147" s="2" t="str">
        <f>" ()"</f>
        <v xml:space="preserve"> ()</v>
      </c>
    </row>
    <row r="2148" spans="1:7" x14ac:dyDescent="0.3">
      <c r="A2148" s="1" t="s">
        <v>4</v>
      </c>
      <c r="B2148" s="2" t="str">
        <f t="shared" si="186"/>
        <v>SISTEMA FATURAMENTO CONTAS DE CONVENIO</v>
      </c>
      <c r="C2148" s="2" t="str">
        <f t="shared" si="187"/>
        <v>FATUR-CONV</v>
      </c>
      <c r="D2148" s="2" t="str">
        <f t="shared" si="188"/>
        <v>FFCV</v>
      </c>
      <c r="E2148" s="2" t="str">
        <f>"RELATÓRIO DE FATURAMENTO DE MÉDICOS"</f>
        <v>RELATÓRIO DE FATURAMENTO DE MÉDICOS</v>
      </c>
      <c r="F2148" s="2" t="str">
        <f>"R_ITREPASSE_MEDICO_CD"</f>
        <v>R_ITREPASSE_MEDICO_CD</v>
      </c>
      <c r="G2148" s="2" t="str">
        <f>" ()"</f>
        <v xml:space="preserve"> ()</v>
      </c>
    </row>
    <row r="2149" spans="1:7" x14ac:dyDescent="0.3">
      <c r="A2149" s="1" t="s">
        <v>4</v>
      </c>
      <c r="B2149" s="2" t="str">
        <f t="shared" si="186"/>
        <v>SISTEMA FATURAMENTO CONTAS DE CONVENIO</v>
      </c>
      <c r="C2149" s="2" t="str">
        <f t="shared" si="187"/>
        <v>FATUR-CONV</v>
      </c>
      <c r="D2149" s="2" t="str">
        <f t="shared" si="188"/>
        <v>FFCV</v>
      </c>
      <c r="E2149" s="2" t="str">
        <f>"IMPORTACAO DADOS CBHPM"</f>
        <v>IMPORTACAO DADOS CBHPM</v>
      </c>
      <c r="F2149" s="2" t="str">
        <f>"O_IMPCBHPM"</f>
        <v>O_IMPCBHPM</v>
      </c>
      <c r="G2149" s="2" t="str">
        <f>"Faturamento / Faturamento de Convênios e Particulares / Importações / Importação CBHPM / Importação de CBHPM (O_IMPCBHPM)"</f>
        <v>Faturamento / Faturamento de Convênios e Particulares / Importações / Importação CBHPM / Importação de CBHPM (O_IMPCBHPM)</v>
      </c>
    </row>
    <row r="2150" spans="1:7" x14ac:dyDescent="0.3">
      <c r="A2150" s="1" t="s">
        <v>4</v>
      </c>
      <c r="B2150" s="2" t="str">
        <f t="shared" si="186"/>
        <v>SISTEMA FATURAMENTO CONTAS DE CONVENIO</v>
      </c>
      <c r="C2150" s="2" t="str">
        <f t="shared" si="187"/>
        <v>FATUR-CONV</v>
      </c>
      <c r="D2150" s="2" t="str">
        <f t="shared" si="188"/>
        <v>FFCV</v>
      </c>
      <c r="E2150" s="2" t="str">
        <f>"RELATÓRIO DE FATURAMENTO DE MÉDICOS"</f>
        <v>RELATÓRIO DE FATURAMENTO DE MÉDICOS</v>
      </c>
      <c r="F2150" s="2" t="str">
        <f>"R_FAT_MEDICOS_CD"</f>
        <v>R_FAT_MEDICOS_CD</v>
      </c>
      <c r="G2150" s="2" t="str">
        <f>" ()"</f>
        <v xml:space="preserve"> ()</v>
      </c>
    </row>
    <row r="2151" spans="1:7" x14ac:dyDescent="0.3">
      <c r="A2151" s="1" t="s">
        <v>4</v>
      </c>
      <c r="B2151" s="2" t="str">
        <f t="shared" si="186"/>
        <v>SISTEMA FATURAMENTO CONTAS DE CONVENIO</v>
      </c>
      <c r="C2151" s="2" t="str">
        <f t="shared" si="187"/>
        <v>FATUR-CONV</v>
      </c>
      <c r="D2151" s="2" t="str">
        <f t="shared" si="188"/>
        <v>FFCV</v>
      </c>
      <c r="E2151" s="2" t="str">
        <f>"WIN_PRINCIPAL"</f>
        <v>WIN_PRINCIPAL</v>
      </c>
      <c r="F2151" s="2" t="str">
        <f>"M_NOTA_FISCAL_REC"</f>
        <v>M_NOTA_FISCAL_REC</v>
      </c>
      <c r="G2151" s="2" t="str">
        <f>"Faturamento / Faturamento de Convênios e Particulares / Solicitações / Nota fiscal de Recebimento (M_NOTA_FISCAL_REC)"</f>
        <v>Faturamento / Faturamento de Convênios e Particulares / Solicitações / Nota fiscal de Recebimento (M_NOTA_FISCAL_REC)</v>
      </c>
    </row>
    <row r="2152" spans="1:7" x14ac:dyDescent="0.3">
      <c r="A2152" s="1" t="s">
        <v>4</v>
      </c>
      <c r="B2152" s="2" t="str">
        <f t="shared" si="186"/>
        <v>SISTEMA FATURAMENTO CONTAS DE CONVENIO</v>
      </c>
      <c r="C2152" s="2" t="str">
        <f t="shared" si="187"/>
        <v>FATUR-CONV</v>
      </c>
      <c r="D2152" s="2" t="str">
        <f t="shared" si="188"/>
        <v>FFCV</v>
      </c>
      <c r="E2152" s="2" t="str">
        <f>"R_FAT_CC"</f>
        <v>R_FAT_CC</v>
      </c>
      <c r="F2152" s="2" t="str">
        <f>"R_FAT_CC"</f>
        <v>R_FAT_CC</v>
      </c>
      <c r="G2152" s="2" t="str">
        <f t="shared" ref="G2152:G2164" si="189">" ()"</f>
        <v xml:space="preserve"> ()</v>
      </c>
    </row>
    <row r="2153" spans="1:7" x14ac:dyDescent="0.3">
      <c r="A2153" s="1" t="s">
        <v>4</v>
      </c>
      <c r="B2153" s="2" t="str">
        <f t="shared" si="186"/>
        <v>SISTEMA FATURAMENTO CONTAS DE CONVENIO</v>
      </c>
      <c r="C2153" s="2" t="str">
        <f t="shared" si="187"/>
        <v>FATUR-CONV</v>
      </c>
      <c r="D2153" s="2" t="str">
        <f t="shared" si="188"/>
        <v>FFCV</v>
      </c>
      <c r="E2153" s="2" t="str">
        <f>"O_GERAARQMAG_PLAMTEL"</f>
        <v>O_GERAARQMAG_PLAMTEL</v>
      </c>
      <c r="F2153" s="2" t="str">
        <f>"O_GERAARQMAG_PLAMTEL"</f>
        <v>O_GERAARQMAG_PLAMTEL</v>
      </c>
      <c r="G2153" s="2" t="str">
        <f t="shared" si="189"/>
        <v xml:space="preserve"> ()</v>
      </c>
    </row>
    <row r="2154" spans="1:7" x14ac:dyDescent="0.3">
      <c r="A2154" s="1" t="s">
        <v>4</v>
      </c>
      <c r="B2154" s="2" t="str">
        <f t="shared" si="186"/>
        <v>SISTEMA FATURAMENTO CONTAS DE CONVENIO</v>
      </c>
      <c r="C2154" s="2" t="str">
        <f t="shared" si="187"/>
        <v>FATUR-CONV</v>
      </c>
      <c r="D2154" s="2" t="str">
        <f t="shared" si="188"/>
        <v>FFCV</v>
      </c>
      <c r="E2154" s="2" t="str">
        <f>"R_RECEITA_CONV_PREST_734"</f>
        <v>R_RECEITA_CONV_PREST_734</v>
      </c>
      <c r="F2154" s="2" t="str">
        <f>"R_RECEITA_CONV_PREST_734"</f>
        <v>R_RECEITA_CONV_PREST_734</v>
      </c>
      <c r="G2154" s="2" t="str">
        <f t="shared" si="189"/>
        <v xml:space="preserve"> ()</v>
      </c>
    </row>
    <row r="2155" spans="1:7" x14ac:dyDescent="0.3">
      <c r="A2155" s="1" t="s">
        <v>4</v>
      </c>
      <c r="B2155" s="2" t="str">
        <f t="shared" si="186"/>
        <v>SISTEMA FATURAMENTO CONTAS DE CONVENIO</v>
      </c>
      <c r="C2155" s="2" t="str">
        <f t="shared" si="187"/>
        <v>FATUR-CONV</v>
      </c>
      <c r="D2155" s="2" t="str">
        <f t="shared" si="188"/>
        <v>FFCV</v>
      </c>
      <c r="E2155" s="2" t="str">
        <f>"O_ITREPASSE_MEDICO_CD"</f>
        <v>O_ITREPASSE_MEDICO_CD</v>
      </c>
      <c r="F2155" s="2" t="str">
        <f>"O_ITREPASSE_MEDICO_CD"</f>
        <v>O_ITREPASSE_MEDICO_CD</v>
      </c>
      <c r="G2155" s="2" t="str">
        <f t="shared" si="189"/>
        <v xml:space="preserve"> ()</v>
      </c>
    </row>
    <row r="2156" spans="1:7" x14ac:dyDescent="0.3">
      <c r="A2156" s="1" t="s">
        <v>4</v>
      </c>
      <c r="B2156" s="2" t="str">
        <f t="shared" si="186"/>
        <v>SISTEMA FATURAMENTO CONTAS DE CONVENIO</v>
      </c>
      <c r="C2156" s="2" t="str">
        <f t="shared" si="187"/>
        <v>FATUR-CONV</v>
      </c>
      <c r="D2156" s="2" t="str">
        <f t="shared" si="188"/>
        <v>FFCV</v>
      </c>
      <c r="E2156" s="2" t="str">
        <f>"M_ALT_ITREP_MEDICO_CD"</f>
        <v>M_ALT_ITREP_MEDICO_CD</v>
      </c>
      <c r="F2156" s="2" t="str">
        <f>"M_ALT_ITREP_MEDICO_CD"</f>
        <v>M_ALT_ITREP_MEDICO_CD</v>
      </c>
      <c r="G2156" s="2" t="str">
        <f t="shared" si="189"/>
        <v xml:space="preserve"> ()</v>
      </c>
    </row>
    <row r="2157" spans="1:7" x14ac:dyDescent="0.3">
      <c r="A2157" s="1" t="s">
        <v>4</v>
      </c>
      <c r="B2157" s="2" t="str">
        <f t="shared" si="186"/>
        <v>SISTEMA FATURAMENTO CONTAS DE CONVENIO</v>
      </c>
      <c r="C2157" s="2" t="str">
        <f t="shared" si="187"/>
        <v>FATUR-CONV</v>
      </c>
      <c r="D2157" s="2" t="str">
        <f t="shared" si="188"/>
        <v>FFCV</v>
      </c>
      <c r="E2157" s="2" t="str">
        <f>"ITREPASSE_MEDICO_CD"</f>
        <v>ITREPASSE_MEDICO_CD</v>
      </c>
      <c r="F2157" s="2" t="str">
        <f>"ITREPASSE_MEDICO_CD"</f>
        <v>ITREPASSE_MEDICO_CD</v>
      </c>
      <c r="G2157" s="2" t="str">
        <f t="shared" si="189"/>
        <v xml:space="preserve"> ()</v>
      </c>
    </row>
    <row r="2158" spans="1:7" x14ac:dyDescent="0.3">
      <c r="A2158" s="1" t="s">
        <v>4</v>
      </c>
      <c r="B2158" s="2" t="str">
        <f t="shared" si="186"/>
        <v>SISTEMA FATURAMENTO CONTAS DE CONVENIO</v>
      </c>
      <c r="C2158" s="2" t="str">
        <f t="shared" si="187"/>
        <v>FATUR-CONV</v>
      </c>
      <c r="D2158" s="2" t="str">
        <f t="shared" si="188"/>
        <v>FFCV</v>
      </c>
      <c r="E2158" s="2" t="str">
        <f>"C_LOG_ITREPASSE_MEDICO_CD"</f>
        <v>C_LOG_ITREPASSE_MEDICO_CD</v>
      </c>
      <c r="F2158" s="2" t="str">
        <f>"C_LOG_ITREPASSE_MEDICO_CD"</f>
        <v>C_LOG_ITREPASSE_MEDICO_CD</v>
      </c>
      <c r="G2158" s="2" t="str">
        <f t="shared" si="189"/>
        <v xml:space="preserve"> ()</v>
      </c>
    </row>
    <row r="2159" spans="1:7" x14ac:dyDescent="0.3">
      <c r="A2159" s="1" t="s">
        <v>4</v>
      </c>
      <c r="B2159" s="2" t="str">
        <f t="shared" si="186"/>
        <v>SISTEMA FATURAMENTO CONTAS DE CONVENIO</v>
      </c>
      <c r="C2159" s="2" t="str">
        <f t="shared" si="187"/>
        <v>FATUR-CONV</v>
      </c>
      <c r="D2159" s="2" t="str">
        <f t="shared" si="188"/>
        <v>FFCV</v>
      </c>
      <c r="E2159" s="2" t="str">
        <f>"R_FAT_INDIVIDUAL_445"</f>
        <v>R_FAT_INDIVIDUAL_445</v>
      </c>
      <c r="F2159" s="2" t="str">
        <f>"R_FAT_INDIVIDUAL_445"</f>
        <v>R_FAT_INDIVIDUAL_445</v>
      </c>
      <c r="G2159" s="2" t="str">
        <f t="shared" si="189"/>
        <v xml:space="preserve"> ()</v>
      </c>
    </row>
    <row r="2160" spans="1:7" x14ac:dyDescent="0.3">
      <c r="A2160" s="1" t="s">
        <v>4</v>
      </c>
      <c r="B2160" s="2" t="str">
        <f t="shared" si="186"/>
        <v>SISTEMA FATURAMENTO CONTAS DE CONVENIO</v>
      </c>
      <c r="C2160" s="2" t="str">
        <f t="shared" si="187"/>
        <v>FATUR-CONV</v>
      </c>
      <c r="D2160" s="2" t="str">
        <f t="shared" si="188"/>
        <v>FFCV</v>
      </c>
      <c r="E2160" s="2" t="str">
        <f>"R_EXAME_SEM_COLETA_420"</f>
        <v>R_EXAME_SEM_COLETA_420</v>
      </c>
      <c r="F2160" s="2" t="str">
        <f>"R_EXAME_SEM_COLETA_420"</f>
        <v>R_EXAME_SEM_COLETA_420</v>
      </c>
      <c r="G2160" s="2" t="str">
        <f t="shared" si="189"/>
        <v xml:space="preserve"> ()</v>
      </c>
    </row>
    <row r="2161" spans="1:7" x14ac:dyDescent="0.3">
      <c r="A2161" s="1" t="s">
        <v>4</v>
      </c>
      <c r="B2161" s="2" t="str">
        <f t="shared" si="186"/>
        <v>SISTEMA FATURAMENTO CONTAS DE CONVENIO</v>
      </c>
      <c r="C2161" s="2" t="str">
        <f t="shared" si="187"/>
        <v>FATUR-CONV</v>
      </c>
      <c r="D2161" s="2" t="str">
        <f t="shared" si="188"/>
        <v>FFCV</v>
      </c>
      <c r="E2161" s="2" t="str">
        <f>"M_FICHA_OBSTETRICA_MEIO_MAG_263"</f>
        <v>M_FICHA_OBSTETRICA_MEIO_MAG_263</v>
      </c>
      <c r="F2161" s="2" t="str">
        <f>"M_FICHA_OBSTETRICA_MEIO_MAG_263"</f>
        <v>M_FICHA_OBSTETRICA_MEIO_MAG_263</v>
      </c>
      <c r="G2161" s="2" t="str">
        <f t="shared" si="189"/>
        <v xml:space="preserve"> ()</v>
      </c>
    </row>
    <row r="2162" spans="1:7" x14ac:dyDescent="0.3">
      <c r="A2162" s="1" t="s">
        <v>4</v>
      </c>
      <c r="B2162" s="2" t="str">
        <f t="shared" si="186"/>
        <v>SISTEMA FATURAMENTO CONTAS DE CONVENIO</v>
      </c>
      <c r="C2162" s="2" t="str">
        <f t="shared" si="187"/>
        <v>FATUR-CONV</v>
      </c>
      <c r="D2162" s="2" t="str">
        <f t="shared" si="188"/>
        <v>FFCV</v>
      </c>
      <c r="E2162" s="2" t="str">
        <f>"R_FATURA_ESPEC_1302"</f>
        <v>R_FATURA_ESPEC_1302</v>
      </c>
      <c r="F2162" s="2" t="str">
        <f>"R_FATURA_ESPEC_1302"</f>
        <v>R_FATURA_ESPEC_1302</v>
      </c>
      <c r="G2162" s="2" t="str">
        <f t="shared" si="189"/>
        <v xml:space="preserve"> ()</v>
      </c>
    </row>
    <row r="2163" spans="1:7" x14ac:dyDescent="0.3">
      <c r="A2163" s="1" t="s">
        <v>4</v>
      </c>
      <c r="B2163" s="2" t="str">
        <f t="shared" si="186"/>
        <v>SISTEMA FATURAMENTO CONTAS DE CONVENIO</v>
      </c>
      <c r="C2163" s="2" t="str">
        <f t="shared" si="187"/>
        <v>FATUR-CONV</v>
      </c>
      <c r="D2163" s="2" t="str">
        <f t="shared" si="188"/>
        <v>FFCV</v>
      </c>
      <c r="E2163" s="2" t="str">
        <f>"R_REMESSA_UNIMED_BELEM"</f>
        <v>R_REMESSA_UNIMED_BELEM</v>
      </c>
      <c r="F2163" s="2" t="str">
        <f>"R_REMESSA_UNIMED_BELEM"</f>
        <v>R_REMESSA_UNIMED_BELEM</v>
      </c>
      <c r="G2163" s="2" t="str">
        <f t="shared" si="189"/>
        <v xml:space="preserve"> ()</v>
      </c>
    </row>
    <row r="2164" spans="1:7" x14ac:dyDescent="0.3">
      <c r="A2164" s="1" t="s">
        <v>4</v>
      </c>
      <c r="B2164" s="2" t="str">
        <f t="shared" si="186"/>
        <v>SISTEMA FATURAMENTO CONTAS DE CONVENIO</v>
      </c>
      <c r="C2164" s="2" t="str">
        <f t="shared" si="187"/>
        <v>FATUR-CONV</v>
      </c>
      <c r="D2164" s="2" t="str">
        <f t="shared" si="188"/>
        <v>FFCV</v>
      </c>
      <c r="E2164" s="2" t="str">
        <f>"R_LAN_HOS"</f>
        <v>R_LAN_HOS</v>
      </c>
      <c r="F2164" s="2" t="str">
        <f>"R_LAN_HOS"</f>
        <v>R_LAN_HOS</v>
      </c>
      <c r="G2164" s="2" t="str">
        <f t="shared" si="189"/>
        <v xml:space="preserve"> ()</v>
      </c>
    </row>
    <row r="2165" spans="1:7" x14ac:dyDescent="0.3">
      <c r="A2165" s="1" t="s">
        <v>4</v>
      </c>
      <c r="B2165" s="2" t="str">
        <f t="shared" si="186"/>
        <v>SISTEMA FATURAMENTO CONTAS DE CONVENIO</v>
      </c>
      <c r="C2165" s="2" t="str">
        <f t="shared" si="187"/>
        <v>FATUR-CONV</v>
      </c>
      <c r="D2165" s="2" t="str">
        <f t="shared" si="188"/>
        <v>FFCV</v>
      </c>
      <c r="E2165" s="2" t="str">
        <f>"R_HISTORICO_COMPETENCIA"</f>
        <v>R_HISTORICO_COMPETENCIA</v>
      </c>
      <c r="F2165" s="2" t="str">
        <f>"R_HISTORICO_COMPETENCIA"</f>
        <v>R_HISTORICO_COMPETENCIA</v>
      </c>
      <c r="G2165" s="2" t="str">
        <f>"Faturamento / Faturamento de Convênios e Particulares / Relatórios / Operacionais / Histórico Competências do Faturamento (R_HISTORICO_COMPETENCIA)"</f>
        <v>Faturamento / Faturamento de Convênios e Particulares / Relatórios / Operacionais / Histórico Competências do Faturamento (R_HISTORICO_COMPETENCIA)</v>
      </c>
    </row>
    <row r="2166" spans="1:7" x14ac:dyDescent="0.3">
      <c r="A2166" s="1" t="s">
        <v>4</v>
      </c>
      <c r="B2166" s="2" t="str">
        <f t="shared" si="186"/>
        <v>SISTEMA FATURAMENTO CONTAS DE CONVENIO</v>
      </c>
      <c r="C2166" s="2" t="str">
        <f t="shared" si="187"/>
        <v>FATUR-CONV</v>
      </c>
      <c r="D2166" s="2" t="str">
        <f t="shared" si="188"/>
        <v>FFCV</v>
      </c>
      <c r="E2166" s="2" t="str">
        <f>"R_GUIAS_VENCI_RESUMIDO"</f>
        <v>R_GUIAS_VENCI_RESUMIDO</v>
      </c>
      <c r="F2166" s="2" t="str">
        <f>"R_GUIAS_VENCI_RESUMIDO"</f>
        <v>R_GUIAS_VENCI_RESUMIDO</v>
      </c>
      <c r="G2166" s="2" t="str">
        <f t="shared" ref="G2166:G2171" si="190">" ()"</f>
        <v xml:space="preserve"> ()</v>
      </c>
    </row>
    <row r="2167" spans="1:7" x14ac:dyDescent="0.3">
      <c r="A2167" s="1" t="s">
        <v>4</v>
      </c>
      <c r="B2167" s="2" t="str">
        <f t="shared" si="186"/>
        <v>SISTEMA FATURAMENTO CONTAS DE CONVENIO</v>
      </c>
      <c r="C2167" s="2" t="str">
        <f t="shared" si="187"/>
        <v>FATUR-CONV</v>
      </c>
      <c r="D2167" s="2" t="str">
        <f t="shared" si="188"/>
        <v>FFCV</v>
      </c>
      <c r="E2167" s="2" t="str">
        <f>"R_FORNECEDOR"</f>
        <v>R_FORNECEDOR</v>
      </c>
      <c r="F2167" s="2" t="str">
        <f>"R_FORNECEDOR"</f>
        <v>R_FORNECEDOR</v>
      </c>
      <c r="G2167" s="2" t="str">
        <f t="shared" si="190"/>
        <v xml:space="preserve"> ()</v>
      </c>
    </row>
    <row r="2168" spans="1:7" x14ac:dyDescent="0.3">
      <c r="A2168" s="1" t="s">
        <v>4</v>
      </c>
      <c r="B2168" s="2" t="str">
        <f t="shared" si="186"/>
        <v>SISTEMA FATURAMENTO CONTAS DE CONVENIO</v>
      </c>
      <c r="C2168" s="2" t="str">
        <f t="shared" si="187"/>
        <v>FATUR-CONV</v>
      </c>
      <c r="D2168" s="2" t="str">
        <f t="shared" si="188"/>
        <v>FFCV</v>
      </c>
      <c r="E2168" s="2" t="str">
        <f>"R_CONTA_NOTA"</f>
        <v>R_CONTA_NOTA</v>
      </c>
      <c r="F2168" s="2" t="str">
        <f>"R_CONTA_NOTA"</f>
        <v>R_CONTA_NOTA</v>
      </c>
      <c r="G2168" s="2" t="str">
        <f t="shared" si="190"/>
        <v xml:space="preserve"> ()</v>
      </c>
    </row>
    <row r="2169" spans="1:7" x14ac:dyDescent="0.3">
      <c r="A2169" s="1" t="s">
        <v>4</v>
      </c>
      <c r="B2169" s="2" t="str">
        <f t="shared" si="186"/>
        <v>SISTEMA FATURAMENTO CONTAS DE CONVENIO</v>
      </c>
      <c r="C2169" s="2" t="str">
        <f t="shared" si="187"/>
        <v>FATUR-CONV</v>
      </c>
      <c r="D2169" s="2" t="str">
        <f t="shared" si="188"/>
        <v>FFCV</v>
      </c>
      <c r="E2169" s="2" t="str">
        <f>"R_AUDITORIA_DE_CONTAS_SINTETICO"</f>
        <v>R_AUDITORIA_DE_CONTAS_SINTETICO</v>
      </c>
      <c r="F2169" s="2" t="str">
        <f>"R_AUDITORIA_DE_CONTAS_SINTETICO"</f>
        <v>R_AUDITORIA_DE_CONTAS_SINTETICO</v>
      </c>
      <c r="G2169" s="2" t="str">
        <f t="shared" si="190"/>
        <v xml:space="preserve"> ()</v>
      </c>
    </row>
    <row r="2170" spans="1:7" x14ac:dyDescent="0.3">
      <c r="A2170" s="1" t="s">
        <v>4</v>
      </c>
      <c r="B2170" s="2" t="str">
        <f t="shared" si="186"/>
        <v>SISTEMA FATURAMENTO CONTAS DE CONVENIO</v>
      </c>
      <c r="C2170" s="2" t="str">
        <f t="shared" si="187"/>
        <v>FATUR-CONV</v>
      </c>
      <c r="D2170" s="2" t="str">
        <f t="shared" si="188"/>
        <v>FFCV</v>
      </c>
      <c r="E2170" s="2" t="str">
        <f>"R_ATENDE_SEM_CONTAI"</f>
        <v>R_ATENDE_SEM_CONTAI</v>
      </c>
      <c r="F2170" s="2" t="str">
        <f>"R_ATENDE_SEM_CONTAI"</f>
        <v>R_ATENDE_SEM_CONTAI</v>
      </c>
      <c r="G2170" s="2" t="str">
        <f t="shared" si="190"/>
        <v xml:space="preserve"> ()</v>
      </c>
    </row>
    <row r="2171" spans="1:7" x14ac:dyDescent="0.3">
      <c r="A2171" s="1" t="s">
        <v>4</v>
      </c>
      <c r="B2171" s="2" t="str">
        <f t="shared" si="186"/>
        <v>SISTEMA FATURAMENTO CONTAS DE CONVENIO</v>
      </c>
      <c r="C2171" s="2" t="str">
        <f t="shared" si="187"/>
        <v>FATUR-CONV</v>
      </c>
      <c r="D2171" s="2" t="str">
        <f t="shared" si="188"/>
        <v>FFCV</v>
      </c>
      <c r="E2171" s="2" t="str">
        <f>"O_LERARQMAG_RPS"</f>
        <v>O_LERARQMAG_RPS</v>
      </c>
      <c r="F2171" s="2" t="str">
        <f>"O_LERARQMAG_RPS"</f>
        <v>O_LERARQMAG_RPS</v>
      </c>
      <c r="G2171" s="2" t="str">
        <f t="shared" si="190"/>
        <v xml:space="preserve"> ()</v>
      </c>
    </row>
    <row r="2172" spans="1:7" x14ac:dyDescent="0.3">
      <c r="A2172" s="1" t="s">
        <v>4</v>
      </c>
      <c r="B2172" s="2" t="str">
        <f t="shared" si="186"/>
        <v>SISTEMA FATURAMENTO CONTAS DE CONVENIO</v>
      </c>
      <c r="C2172" s="2" t="str">
        <f t="shared" si="187"/>
        <v>FATUR-CONV</v>
      </c>
      <c r="D2172" s="2" t="str">
        <f t="shared" si="188"/>
        <v>FFCV</v>
      </c>
      <c r="E2172" s="2" t="str">
        <f>"IMPORTACAO VALORES CBHPM"</f>
        <v>IMPORTACAO VALORES CBHPM</v>
      </c>
      <c r="F2172" s="2" t="str">
        <f>"O_IMPVALCBHPM"</f>
        <v>O_IMPVALCBHPM</v>
      </c>
      <c r="G2172" s="2" t="str">
        <f>"Faturamento / Faturamento de Convênios e Particulares / Importações / Importação CBHPM / Importaçao de Valor do CBHPM (O_IMPVALCBHPM)"</f>
        <v>Faturamento / Faturamento de Convênios e Particulares / Importações / Importação CBHPM / Importaçao de Valor do CBHPM (O_IMPVALCBHPM)</v>
      </c>
    </row>
    <row r="2173" spans="1:7" x14ac:dyDescent="0.3">
      <c r="A2173" s="1" t="s">
        <v>4</v>
      </c>
      <c r="B2173" s="2" t="str">
        <f t="shared" si="186"/>
        <v>SISTEMA FATURAMENTO CONTAS DE CONVENIO</v>
      </c>
      <c r="C2173" s="2" t="str">
        <f t="shared" si="187"/>
        <v>FATUR-CONV</v>
      </c>
      <c r="D2173" s="2" t="str">
        <f t="shared" si="188"/>
        <v>FFCV</v>
      </c>
      <c r="E2173" s="2" t="str">
        <f>"O_IMPCBHPM_TXT"</f>
        <v>O_IMPCBHPM_TXT</v>
      </c>
      <c r="F2173" s="2" t="str">
        <f>"O_IMPCBHPM_TXT"</f>
        <v>O_IMPCBHPM_TXT</v>
      </c>
      <c r="G2173" s="2" t="str">
        <f t="shared" ref="G2173:G2180" si="191">" ()"</f>
        <v xml:space="preserve"> ()</v>
      </c>
    </row>
    <row r="2174" spans="1:7" x14ac:dyDescent="0.3">
      <c r="A2174" s="1" t="s">
        <v>4</v>
      </c>
      <c r="B2174" s="2" t="str">
        <f t="shared" si="186"/>
        <v>SISTEMA FATURAMENTO CONTAS DE CONVENIO</v>
      </c>
      <c r="C2174" s="2" t="str">
        <f t="shared" si="187"/>
        <v>FATUR-CONV</v>
      </c>
      <c r="D2174" s="2" t="str">
        <f t="shared" si="188"/>
        <v>FFCV</v>
      </c>
      <c r="E2174" s="2" t="str">
        <f>"O_IMPCBHPM_2004"</f>
        <v>O_IMPCBHPM_2004</v>
      </c>
      <c r="F2174" s="2" t="str">
        <f>"O_IMPCBHPM_2004"</f>
        <v>O_IMPCBHPM_2004</v>
      </c>
      <c r="G2174" s="2" t="str">
        <f t="shared" si="191"/>
        <v xml:space="preserve"> ()</v>
      </c>
    </row>
    <row r="2175" spans="1:7" x14ac:dyDescent="0.3">
      <c r="A2175" s="1" t="s">
        <v>4</v>
      </c>
      <c r="B2175" s="2" t="str">
        <f t="shared" si="186"/>
        <v>SISTEMA FATURAMENTO CONTAS DE CONVENIO</v>
      </c>
      <c r="C2175" s="2" t="str">
        <f t="shared" si="187"/>
        <v>FATUR-CONV</v>
      </c>
      <c r="D2175" s="2" t="str">
        <f t="shared" si="188"/>
        <v>FFCV</v>
      </c>
      <c r="E2175" s="2" t="str">
        <f>"O_GERAPROCAMBU"</f>
        <v>O_GERAPROCAMBU</v>
      </c>
      <c r="F2175" s="2" t="str">
        <f>"O_GERAPROCAMBU"</f>
        <v>O_GERAPROCAMBU</v>
      </c>
      <c r="G2175" s="2" t="str">
        <f t="shared" si="191"/>
        <v xml:space="preserve"> ()</v>
      </c>
    </row>
    <row r="2176" spans="1:7" x14ac:dyDescent="0.3">
      <c r="A2176" s="1" t="s">
        <v>4</v>
      </c>
      <c r="B2176" s="2" t="str">
        <f t="shared" si="186"/>
        <v>SISTEMA FATURAMENTO CONTAS DE CONVENIO</v>
      </c>
      <c r="C2176" s="2" t="str">
        <f t="shared" si="187"/>
        <v>FATUR-CONV</v>
      </c>
      <c r="D2176" s="2" t="str">
        <f t="shared" si="188"/>
        <v>FFCV</v>
      </c>
      <c r="E2176" s="2" t="str">
        <f>"M_TP_GRU_PRO_MEIO_MAG"</f>
        <v>M_TP_GRU_PRO_MEIO_MAG</v>
      </c>
      <c r="F2176" s="2" t="str">
        <f>"M_TP_GRU_PRO_MEIO_MAG"</f>
        <v>M_TP_GRU_PRO_MEIO_MAG</v>
      </c>
      <c r="G2176" s="2" t="str">
        <f t="shared" si="191"/>
        <v xml:space="preserve"> ()</v>
      </c>
    </row>
    <row r="2177" spans="1:7" x14ac:dyDescent="0.3">
      <c r="A2177" s="1" t="s">
        <v>4</v>
      </c>
      <c r="B2177" s="2" t="str">
        <f t="shared" si="186"/>
        <v>SISTEMA FATURAMENTO CONTAS DE CONVENIO</v>
      </c>
      <c r="C2177" s="2" t="str">
        <f t="shared" si="187"/>
        <v>FATUR-CONV</v>
      </c>
      <c r="D2177" s="2" t="str">
        <f t="shared" si="188"/>
        <v>FFCV</v>
      </c>
      <c r="E2177" s="2" t="str">
        <f>"GERA_ARQMAG_UNIBH"</f>
        <v>GERA_ARQMAG_UNIBH</v>
      </c>
      <c r="F2177" s="2" t="str">
        <f>"GERA_ARQMAG_UNIBH"</f>
        <v>GERA_ARQMAG_UNIBH</v>
      </c>
      <c r="G2177" s="2" t="str">
        <f t="shared" si="191"/>
        <v xml:space="preserve"> ()</v>
      </c>
    </row>
    <row r="2178" spans="1:7" x14ac:dyDescent="0.3">
      <c r="A2178" s="1" t="s">
        <v>4</v>
      </c>
      <c r="B2178" s="2" t="str">
        <f t="shared" si="186"/>
        <v>SISTEMA FATURAMENTO CONTAS DE CONVENIO</v>
      </c>
      <c r="C2178" s="2" t="str">
        <f t="shared" si="187"/>
        <v>FATUR-CONV</v>
      </c>
      <c r="D2178" s="2" t="str">
        <f t="shared" si="188"/>
        <v>FFCV</v>
      </c>
      <c r="E2178" s="2" t="str">
        <f>"R_FOLHA_ROSTO_AMBU"</f>
        <v>R_FOLHA_ROSTO_AMBU</v>
      </c>
      <c r="F2178" s="2" t="str">
        <f>"R_FOLHA_ROSTO_AMBU"</f>
        <v>R_FOLHA_ROSTO_AMBU</v>
      </c>
      <c r="G2178" s="2" t="str">
        <f t="shared" si="191"/>
        <v xml:space="preserve"> ()</v>
      </c>
    </row>
    <row r="2179" spans="1:7" x14ac:dyDescent="0.3">
      <c r="A2179" s="1" t="s">
        <v>4</v>
      </c>
      <c r="B2179" s="2" t="str">
        <f t="shared" si="186"/>
        <v>SISTEMA FATURAMENTO CONTAS DE CONVENIO</v>
      </c>
      <c r="C2179" s="2" t="str">
        <f t="shared" si="187"/>
        <v>FATUR-CONV</v>
      </c>
      <c r="D2179" s="2" t="str">
        <f t="shared" si="188"/>
        <v>FFCV</v>
      </c>
      <c r="E2179" s="2" t="str">
        <f>"R_FOLHA_ROSTO_HOSP"</f>
        <v>R_FOLHA_ROSTO_HOSP</v>
      </c>
      <c r="F2179" s="2" t="str">
        <f>"R_FOLHA_ROSTO_HOSP"</f>
        <v>R_FOLHA_ROSTO_HOSP</v>
      </c>
      <c r="G2179" s="2" t="str">
        <f t="shared" si="191"/>
        <v xml:space="preserve"> ()</v>
      </c>
    </row>
    <row r="2180" spans="1:7" x14ac:dyDescent="0.3">
      <c r="A2180" s="1" t="s">
        <v>4</v>
      </c>
      <c r="B2180" s="2" t="str">
        <f t="shared" si="186"/>
        <v>SISTEMA FATURAMENTO CONTAS DE CONVENIO</v>
      </c>
      <c r="C2180" s="2" t="str">
        <f t="shared" si="187"/>
        <v>FATUR-CONV</v>
      </c>
      <c r="D2180" s="2" t="str">
        <f t="shared" si="188"/>
        <v>FFCV</v>
      </c>
      <c r="E2180" s="2" t="str">
        <f>"WIN_PRINCIPAL"</f>
        <v>WIN_PRINCIPAL</v>
      </c>
      <c r="F2180" s="2" t="str">
        <f>"M_NOTA_FISCAL_CONV"</f>
        <v>M_NOTA_FISCAL_CONV</v>
      </c>
      <c r="G2180" s="2" t="str">
        <f t="shared" si="191"/>
        <v xml:space="preserve"> ()</v>
      </c>
    </row>
    <row r="2181" spans="1:7" x14ac:dyDescent="0.3">
      <c r="A2181" s="1" t="s">
        <v>4</v>
      </c>
      <c r="B2181" s="2" t="str">
        <f t="shared" si="186"/>
        <v>SISTEMA FATURAMENTO CONTAS DE CONVENIO</v>
      </c>
      <c r="C2181" s="2" t="str">
        <f t="shared" si="187"/>
        <v>FATUR-CONV</v>
      </c>
      <c r="D2181" s="2" t="str">
        <f t="shared" si="188"/>
        <v>FFCV</v>
      </c>
      <c r="E2181" s="2" t="str">
        <f>"CRIAÇÃO DE REMESSA"</f>
        <v>CRIAÇÃO DE REMESSA</v>
      </c>
      <c r="F2181" s="2" t="str">
        <f>"M_GERA_REMESSA_AMB"</f>
        <v>M_GERA_REMESSA_AMB</v>
      </c>
      <c r="G2181" s="2" t="str">
        <f>"Faturamento / Faturamento de Convênios e Particulares / Lançamentos / Criação de Remessa  (M_GERA_REMESSA_AMB)"</f>
        <v>Faturamento / Faturamento de Convênios e Particulares / Lançamentos / Criação de Remessa  (M_GERA_REMESSA_AMB)</v>
      </c>
    </row>
    <row r="2182" spans="1:7" x14ac:dyDescent="0.3">
      <c r="A2182" s="1" t="s">
        <v>4</v>
      </c>
      <c r="B2182" s="2" t="str">
        <f t="shared" ref="B2182:B2245" si="192">"SISTEMA FATURAMENTO CONTAS DE CONVENIO"</f>
        <v>SISTEMA FATURAMENTO CONTAS DE CONVENIO</v>
      </c>
      <c r="C2182" s="2" t="str">
        <f t="shared" ref="C2182:C2245" si="193">"FATUR-CONV"</f>
        <v>FATUR-CONV</v>
      </c>
      <c r="D2182" s="2" t="str">
        <f t="shared" ref="D2182:D2245" si="194">"FFCV"</f>
        <v>FFCV</v>
      </c>
      <c r="E2182" s="2" t="str">
        <f>"REL DE RESUMO DO CONSUMIDO X FATURADO"</f>
        <v>REL DE RESUMO DO CONSUMIDO X FATURADO</v>
      </c>
      <c r="F2182" s="2" t="str">
        <f>"R_PERFIL_CONS_FAT_DT_LANC_CAR"</f>
        <v>R_PERFIL_CONS_FAT_DT_LANC_CAR</v>
      </c>
      <c r="G2182" s="2" t="str">
        <f>" ()"</f>
        <v xml:space="preserve"> ()</v>
      </c>
    </row>
    <row r="2183" spans="1:7" x14ac:dyDescent="0.3">
      <c r="A2183" s="1" t="s">
        <v>4</v>
      </c>
      <c r="B2183" s="2" t="str">
        <f t="shared" si="192"/>
        <v>SISTEMA FATURAMENTO CONTAS DE CONVENIO</v>
      </c>
      <c r="C2183" s="2" t="str">
        <f t="shared" si="193"/>
        <v>FATUR-CONV</v>
      </c>
      <c r="D2183" s="2" t="str">
        <f t="shared" si="194"/>
        <v>FFCV</v>
      </c>
      <c r="E2183" s="2" t="str">
        <f>"REL DE RESUMO DO CONSUMIDO X FATURADO"</f>
        <v>REL DE RESUMO DO CONSUMIDO X FATURADO</v>
      </c>
      <c r="F2183" s="2" t="str">
        <f>"R_PERFIL_CONS_FAT_CARACT"</f>
        <v>R_PERFIL_CONS_FAT_CARACT</v>
      </c>
      <c r="G2183" s="2" t="str">
        <f>" ()"</f>
        <v xml:space="preserve"> ()</v>
      </c>
    </row>
    <row r="2184" spans="1:7" x14ac:dyDescent="0.3">
      <c r="A2184" s="1" t="s">
        <v>4</v>
      </c>
      <c r="B2184" s="2" t="str">
        <f t="shared" si="192"/>
        <v>SISTEMA FATURAMENTO CONTAS DE CONVENIO</v>
      </c>
      <c r="C2184" s="2" t="str">
        <f t="shared" si="193"/>
        <v>FATUR-CONV</v>
      </c>
      <c r="D2184" s="2" t="str">
        <f t="shared" si="194"/>
        <v>FFCV</v>
      </c>
      <c r="E2184" s="2" t="str">
        <f>"FRANQUIAS"</f>
        <v>FRANQUIAS</v>
      </c>
      <c r="F2184" s="2" t="str">
        <f>"M_FRANQUIAS"</f>
        <v>M_FRANQUIAS</v>
      </c>
      <c r="G2184" s="2" t="str">
        <f>"Faturamento / Faturamento de Convênios e Particulares / Tabelas / Cobranças e Tabelas / Franquias / Por Item (M_FRANQUIAS)"</f>
        <v>Faturamento / Faturamento de Convênios e Particulares / Tabelas / Cobranças e Tabelas / Franquias / Por Item (M_FRANQUIAS)</v>
      </c>
    </row>
    <row r="2185" spans="1:7" x14ac:dyDescent="0.3">
      <c r="A2185" s="1" t="s">
        <v>4</v>
      </c>
      <c r="B2185" s="2" t="str">
        <f t="shared" si="192"/>
        <v>SISTEMA FATURAMENTO CONTAS DE CONVENIO</v>
      </c>
      <c r="C2185" s="2" t="str">
        <f t="shared" si="193"/>
        <v>FATUR-CONV</v>
      </c>
      <c r="D2185" s="2" t="str">
        <f t="shared" si="194"/>
        <v>FFCV</v>
      </c>
      <c r="E2185" s="2" t="str">
        <f>"R_FATURA_IPASGO"</f>
        <v>R_FATURA_IPASGO</v>
      </c>
      <c r="F2185" s="2" t="str">
        <f>"R_FATURA_IPASGO"</f>
        <v>R_FATURA_IPASGO</v>
      </c>
      <c r="G2185" s="2" t="str">
        <f>" ()"</f>
        <v xml:space="preserve"> ()</v>
      </c>
    </row>
    <row r="2186" spans="1:7" x14ac:dyDescent="0.3">
      <c r="A2186" s="1" t="s">
        <v>4</v>
      </c>
      <c r="B2186" s="2" t="str">
        <f t="shared" si="192"/>
        <v>SISTEMA FATURAMENTO CONTAS DE CONVENIO</v>
      </c>
      <c r="C2186" s="2" t="str">
        <f t="shared" si="193"/>
        <v>FATUR-CONV</v>
      </c>
      <c r="D2186" s="2" t="str">
        <f t="shared" si="194"/>
        <v>FFCV</v>
      </c>
      <c r="E2186" s="2" t="str">
        <f>"FATURA INDIVIDUAL UNIMED GOIAS"</f>
        <v>FATURA INDIVIDUAL UNIMED GOIAS</v>
      </c>
      <c r="F2186" s="2" t="str">
        <f>"R_FATURA_UNIMED_GO"</f>
        <v>R_FATURA_UNIMED_GO</v>
      </c>
      <c r="G2186" s="2" t="str">
        <f>" ()"</f>
        <v xml:space="preserve"> ()</v>
      </c>
    </row>
    <row r="2187" spans="1:7" x14ac:dyDescent="0.3">
      <c r="A2187" s="1" t="s">
        <v>4</v>
      </c>
      <c r="B2187" s="2" t="str">
        <f t="shared" si="192"/>
        <v>SISTEMA FATURAMENTO CONTAS DE CONVENIO</v>
      </c>
      <c r="C2187" s="2" t="str">
        <f t="shared" si="193"/>
        <v>FATUR-CONV</v>
      </c>
      <c r="D2187" s="2" t="str">
        <f t="shared" si="194"/>
        <v>FFCV</v>
      </c>
      <c r="E2187" s="2" t="str">
        <f>"FATURA INDIVIDUAL DO INST. SEGURID. MUNI"</f>
        <v>FATURA INDIVIDUAL DO INST. SEGURID. MUNI</v>
      </c>
      <c r="F2187" s="2" t="str">
        <f>"R_FATURA_ISM"</f>
        <v>R_FATURA_ISM</v>
      </c>
      <c r="G2187" s="2" t="str">
        <f>" ()"</f>
        <v xml:space="preserve"> ()</v>
      </c>
    </row>
    <row r="2188" spans="1:7" x14ac:dyDescent="0.3">
      <c r="A2188" s="1" t="s">
        <v>4</v>
      </c>
      <c r="B2188" s="2" t="str">
        <f t="shared" si="192"/>
        <v>SISTEMA FATURAMENTO CONTAS DE CONVENIO</v>
      </c>
      <c r="C2188" s="2" t="str">
        <f t="shared" si="193"/>
        <v>FATUR-CONV</v>
      </c>
      <c r="D2188" s="2" t="str">
        <f t="shared" si="194"/>
        <v>FFCV</v>
      </c>
      <c r="E2188" s="2" t="str">
        <f>"GERA_ARQMAG_HAPVIDSA"</f>
        <v>GERA_ARQMAG_HAPVIDSA</v>
      </c>
      <c r="F2188" s="2" t="str">
        <f>"GERA_ARQMAG_HAPVIDSA"</f>
        <v>GERA_ARQMAG_HAPVIDSA</v>
      </c>
      <c r="G2188" s="2" t="str">
        <f>" ()"</f>
        <v xml:space="preserve"> ()</v>
      </c>
    </row>
    <row r="2189" spans="1:7" x14ac:dyDescent="0.3">
      <c r="A2189" s="1" t="s">
        <v>4</v>
      </c>
      <c r="B2189" s="2" t="str">
        <f t="shared" si="192"/>
        <v>SISTEMA FATURAMENTO CONTAS DE CONVENIO</v>
      </c>
      <c r="C2189" s="2" t="str">
        <f t="shared" si="193"/>
        <v>FATUR-CONV</v>
      </c>
      <c r="D2189" s="2" t="str">
        <f t="shared" si="194"/>
        <v>FFCV</v>
      </c>
      <c r="E2189" s="2" t="str">
        <f>"GERA_ARQMAG_UNICAMP"</f>
        <v>GERA_ARQMAG_UNICAMP</v>
      </c>
      <c r="F2189" s="2" t="str">
        <f>"GERA_ARQMAG_UNICAMP"</f>
        <v>GERA_ARQMAG_UNICAMP</v>
      </c>
      <c r="G2189" s="2" t="str">
        <f>" ()"</f>
        <v xml:space="preserve"> ()</v>
      </c>
    </row>
    <row r="2190" spans="1:7" x14ac:dyDescent="0.3">
      <c r="A2190" s="1" t="s">
        <v>4</v>
      </c>
      <c r="B2190" s="2" t="str">
        <f t="shared" si="192"/>
        <v>SISTEMA FATURAMENTO CONTAS DE CONVENIO</v>
      </c>
      <c r="C2190" s="2" t="str">
        <f t="shared" si="193"/>
        <v>FATUR-CONV</v>
      </c>
      <c r="D2190" s="2" t="str">
        <f t="shared" si="194"/>
        <v>FFCV</v>
      </c>
      <c r="E2190" s="2" t="str">
        <f>"RELATÓRIO DE RECEITA POR CONVÊNIO"</f>
        <v>RELATÓRIO DE RECEITA POR CONVÊNIO</v>
      </c>
      <c r="F2190" s="2" t="str">
        <f>"R_RESU_CONV"</f>
        <v>R_RESU_CONV</v>
      </c>
      <c r="G2190" s="2" t="str">
        <f>"Faturamento / Faturamento de Convênios e Particulares / Relatórios / Tabelas / Gerais / Convênios e Planos / Resumo do Contrato do Convênio (R_RESU_CONV)"</f>
        <v>Faturamento / Faturamento de Convênios e Particulares / Relatórios / Tabelas / Gerais / Convênios e Planos / Resumo do Contrato do Convênio (R_RESU_CONV)</v>
      </c>
    </row>
    <row r="2191" spans="1:7" x14ac:dyDescent="0.3">
      <c r="A2191" s="1" t="s">
        <v>4</v>
      </c>
      <c r="B2191" s="2" t="str">
        <f t="shared" si="192"/>
        <v>SISTEMA FATURAMENTO CONTAS DE CONVENIO</v>
      </c>
      <c r="C2191" s="2" t="str">
        <f t="shared" si="193"/>
        <v>FATUR-CONV</v>
      </c>
      <c r="D2191" s="2" t="str">
        <f t="shared" si="194"/>
        <v>FFCV</v>
      </c>
      <c r="E2191" s="2" t="str">
        <f>"RELATÓRIO DE RECEITA POR CONVÊNIO"</f>
        <v>RELATÓRIO DE RECEITA POR CONVÊNIO</v>
      </c>
      <c r="F2191" s="2" t="str">
        <f>"R_RESU_CONV"</f>
        <v>R_RESU_CONV</v>
      </c>
      <c r="G2191" s="2" t="str">
        <f>"Faturamento / Auditoria e Controle de Recursos de Glosas / Relatórios / Tabelas / Gerais / Convênios e Planos / Resumo do Contrato do Convênio (R_RESU_CONV)"</f>
        <v>Faturamento / Auditoria e Controle de Recursos de Glosas / Relatórios / Tabelas / Gerais / Convênios e Planos / Resumo do Contrato do Convênio (R_RESU_CONV)</v>
      </c>
    </row>
    <row r="2192" spans="1:7" x14ac:dyDescent="0.3">
      <c r="A2192" s="1" t="s">
        <v>4</v>
      </c>
      <c r="B2192" s="2" t="str">
        <f t="shared" si="192"/>
        <v>SISTEMA FATURAMENTO CONTAS DE CONVENIO</v>
      </c>
      <c r="C2192" s="2" t="str">
        <f t="shared" si="193"/>
        <v>FATUR-CONV</v>
      </c>
      <c r="D2192" s="2" t="str">
        <f t="shared" si="194"/>
        <v>FFCV</v>
      </c>
      <c r="E2192" s="2" t="str">
        <f>"REGRAS POR ATENDIMENTO"</f>
        <v>REGRAS POR ATENDIMENTO</v>
      </c>
      <c r="F2192" s="2" t="str">
        <f>"M_REGRA_ATENDIMENTO"</f>
        <v>M_REGRA_ATENDIMENTO</v>
      </c>
      <c r="G2192" s="2" t="str">
        <f>"Faturamento / Faturamento de Convênios e Particulares / Tabelas / Cobranças e Tabelas / Regras por Atendimento (M_REGRA_ATENDIMENTO)"</f>
        <v>Faturamento / Faturamento de Convênios e Particulares / Tabelas / Cobranças e Tabelas / Regras por Atendimento (M_REGRA_ATENDIMENTO)</v>
      </c>
    </row>
    <row r="2193" spans="1:7" x14ac:dyDescent="0.3">
      <c r="A2193" s="1" t="s">
        <v>4</v>
      </c>
      <c r="B2193" s="2" t="str">
        <f t="shared" si="192"/>
        <v>SISTEMA FATURAMENTO CONTAS DE CONVENIO</v>
      </c>
      <c r="C2193" s="2" t="str">
        <f t="shared" si="193"/>
        <v>FATUR-CONV</v>
      </c>
      <c r="D2193" s="2" t="str">
        <f t="shared" si="194"/>
        <v>FFCV</v>
      </c>
      <c r="E2193" s="2" t="str">
        <f>"REGRAS DE ACOPLAMENTO"</f>
        <v>REGRAS DE ACOPLAMENTO</v>
      </c>
      <c r="F2193" s="2" t="str">
        <f>"M_REGRA_ACOPLAMENTO"</f>
        <v>M_REGRA_ACOPLAMENTO</v>
      </c>
      <c r="G2193" s="2" t="str">
        <f>"Faturamento / Faturamento de Convênios e Particulares / Tabelas / Cobranças e Tabelas / Regras de Acoplamentos (M_REGRA_ACOPLAMENTO)"</f>
        <v>Faturamento / Faturamento de Convênios e Particulares / Tabelas / Cobranças e Tabelas / Regras de Acoplamentos (M_REGRA_ACOPLAMENTO)</v>
      </c>
    </row>
    <row r="2194" spans="1:7" x14ac:dyDescent="0.3">
      <c r="A2194" s="1" t="s">
        <v>4</v>
      </c>
      <c r="B2194" s="2" t="str">
        <f t="shared" si="192"/>
        <v>SISTEMA FATURAMENTO CONTAS DE CONVENIO</v>
      </c>
      <c r="C2194" s="2" t="str">
        <f t="shared" si="193"/>
        <v>FATUR-CONV</v>
      </c>
      <c r="D2194" s="2" t="str">
        <f t="shared" si="194"/>
        <v>FFCV</v>
      </c>
      <c r="E2194" s="2" t="str">
        <f>"RELATÓRIO DE FATURAMENTO POR BAIRRO"</f>
        <v>RELATÓRIO DE FATURAMENTO POR BAIRRO</v>
      </c>
      <c r="F2194" s="2" t="str">
        <f>"R_FAT_BAIRRO_MEDICO"</f>
        <v>R_FAT_BAIRRO_MEDICO</v>
      </c>
      <c r="G2194" s="2" t="str">
        <f>"Faturamento / Faturamento de Convênios e Particulares / Relatórios / Gerenciais / Receita por Bairro (R_FAT_BAIRRO_MEDICO)"</f>
        <v>Faturamento / Faturamento de Convênios e Particulares / Relatórios / Gerenciais / Receita por Bairro (R_FAT_BAIRRO_MEDICO)</v>
      </c>
    </row>
    <row r="2195" spans="1:7" x14ac:dyDescent="0.3">
      <c r="A2195" s="1" t="s">
        <v>4</v>
      </c>
      <c r="B2195" s="2" t="str">
        <f t="shared" si="192"/>
        <v>SISTEMA FATURAMENTO CONTAS DE CONVENIO</v>
      </c>
      <c r="C2195" s="2" t="str">
        <f t="shared" si="193"/>
        <v>FATUR-CONV</v>
      </c>
      <c r="D2195" s="2" t="str">
        <f t="shared" si="194"/>
        <v>FFCV</v>
      </c>
      <c r="E2195" s="2" t="str">
        <f>"CONFIGURAÇÃO DO IPASGO"</f>
        <v>CONFIGURAÇÃO DO IPASGO</v>
      </c>
      <c r="F2195" s="2" t="str">
        <f>"M_IPASGO"</f>
        <v>M_IPASGO</v>
      </c>
      <c r="G2195" s="2" t="str">
        <f>"Faturamento / Faturamento de Convênios e Particulares / Configurações / Preços do IPASGO (M_IPASGO)"</f>
        <v>Faturamento / Faturamento de Convênios e Particulares / Configurações / Preços do IPASGO (M_IPASGO)</v>
      </c>
    </row>
    <row r="2196" spans="1:7" x14ac:dyDescent="0.3">
      <c r="A2196" s="1" t="s">
        <v>4</v>
      </c>
      <c r="B2196" s="2" t="str">
        <f t="shared" si="192"/>
        <v>SISTEMA FATURAMENTO CONTAS DE CONVENIO</v>
      </c>
      <c r="C2196" s="2" t="str">
        <f t="shared" si="193"/>
        <v>FATUR-CONV</v>
      </c>
      <c r="D2196" s="2" t="str">
        <f t="shared" si="194"/>
        <v>FFCV</v>
      </c>
      <c r="E2196" s="2" t="str">
        <f>"IMPORTAÇÃO DE PREÇOS DO IPASGO"</f>
        <v>IMPORTAÇÃO DE PREÇOS DO IPASGO</v>
      </c>
      <c r="F2196" s="2" t="str">
        <f>"O_IMPIPASGO"</f>
        <v>O_IMPIPASGO</v>
      </c>
      <c r="G2196" s="2" t="str">
        <f>"Faturamento / Faturamento de Convênios e Particulares / Importações / Importação do IPASGO / Dados (O_IMPIPASGO)"</f>
        <v>Faturamento / Faturamento de Convênios e Particulares / Importações / Importação do IPASGO / Dados (O_IMPIPASGO)</v>
      </c>
    </row>
    <row r="2197" spans="1:7" x14ac:dyDescent="0.3">
      <c r="A2197" s="1" t="s">
        <v>4</v>
      </c>
      <c r="B2197" s="2" t="str">
        <f t="shared" si="192"/>
        <v>SISTEMA FATURAMENTO CONTAS DE CONVENIO</v>
      </c>
      <c r="C2197" s="2" t="str">
        <f t="shared" si="193"/>
        <v>FATUR-CONV</v>
      </c>
      <c r="D2197" s="2" t="str">
        <f t="shared" si="194"/>
        <v>FFCV</v>
      </c>
      <c r="E2197" s="2" t="str">
        <f>"R_"</f>
        <v>R_</v>
      </c>
      <c r="F2197" s="2" t="str">
        <f>"R_"</f>
        <v>R_</v>
      </c>
      <c r="G2197" s="2" t="str">
        <f>" ()"</f>
        <v xml:space="preserve"> ()</v>
      </c>
    </row>
    <row r="2198" spans="1:7" x14ac:dyDescent="0.3">
      <c r="A2198" s="1" t="s">
        <v>4</v>
      </c>
      <c r="B2198" s="2" t="str">
        <f t="shared" si="192"/>
        <v>SISTEMA FATURAMENTO CONTAS DE CONVENIO</v>
      </c>
      <c r="C2198" s="2" t="str">
        <f t="shared" si="193"/>
        <v>FATUR-CONV</v>
      </c>
      <c r="D2198" s="2" t="str">
        <f t="shared" si="194"/>
        <v>FFCV</v>
      </c>
      <c r="E2198" s="2" t="str">
        <f>"PROCEDIMENTOS DO ATENDIMENTO"</f>
        <v>PROCEDIMENTOS DO ATENDIMENTO</v>
      </c>
      <c r="F2198" s="2" t="str">
        <f>"M_IMPORT_ATEND"</f>
        <v>M_IMPORT_ATEND</v>
      </c>
      <c r="G2198" s="2" t="str">
        <f>"Faturamento / Faturamento de Convênios e Particulares / Configurações / Procedimentos do Atendimento (M_IMPORT_ATEND)"</f>
        <v>Faturamento / Faturamento de Convênios e Particulares / Configurações / Procedimentos do Atendimento (M_IMPORT_ATEND)</v>
      </c>
    </row>
    <row r="2199" spans="1:7" x14ac:dyDescent="0.3">
      <c r="A2199" s="1" t="s">
        <v>4</v>
      </c>
      <c r="B2199" s="2" t="str">
        <f t="shared" si="192"/>
        <v>SISTEMA FATURAMENTO CONTAS DE CONVENIO</v>
      </c>
      <c r="C2199" s="2" t="str">
        <f t="shared" si="193"/>
        <v>FATUR-CONV</v>
      </c>
      <c r="D2199" s="2" t="str">
        <f t="shared" si="194"/>
        <v>FFCV</v>
      </c>
      <c r="E2199" s="2" t="str">
        <f>"GERAÇÃO DE ENTREGA MEIO MAGNÉT. IPE"</f>
        <v>GERAÇÃO DE ENTREGA MEIO MAGNÉT. IPE</v>
      </c>
      <c r="F2199" s="2" t="str">
        <f>"GERA_ARQMAG_IPE"</f>
        <v>GERA_ARQMAG_IPE</v>
      </c>
      <c r="G2199" s="2" t="str">
        <f t="shared" ref="G2199:G2225" si="195">" ()"</f>
        <v xml:space="preserve"> ()</v>
      </c>
    </row>
    <row r="2200" spans="1:7" x14ac:dyDescent="0.3">
      <c r="A2200" s="1" t="s">
        <v>4</v>
      </c>
      <c r="B2200" s="2" t="str">
        <f t="shared" si="192"/>
        <v>SISTEMA FATURAMENTO CONTAS DE CONVENIO</v>
      </c>
      <c r="C2200" s="2" t="str">
        <f t="shared" si="193"/>
        <v>FATUR-CONV</v>
      </c>
      <c r="D2200" s="2" t="str">
        <f t="shared" si="194"/>
        <v>FFCV</v>
      </c>
      <c r="E2200" s="2" t="str">
        <f>"TRIGGER LCTO DO PARA PARA O FFCV"</f>
        <v>TRIGGER LCTO DO PARA PARA O FFCV</v>
      </c>
      <c r="F2200" s="2" t="str">
        <f>"TRG_LANCA_PROC_FFCV"</f>
        <v>TRG_LANCA_PROC_FFCV</v>
      </c>
      <c r="G2200" s="2" t="str">
        <f t="shared" si="195"/>
        <v xml:space="preserve"> ()</v>
      </c>
    </row>
    <row r="2201" spans="1:7" x14ac:dyDescent="0.3">
      <c r="A2201" s="1" t="s">
        <v>4</v>
      </c>
      <c r="B2201" s="2" t="str">
        <f t="shared" si="192"/>
        <v>SISTEMA FATURAMENTO CONTAS DE CONVENIO</v>
      </c>
      <c r="C2201" s="2" t="str">
        <f t="shared" si="193"/>
        <v>FATUR-CONV</v>
      </c>
      <c r="D2201" s="2" t="str">
        <f t="shared" si="194"/>
        <v>FFCV</v>
      </c>
      <c r="E2201" s="2" t="str">
        <f>"REL. GERENCIAL RECEITA POR CONVÊNIO"</f>
        <v>REL. GERENCIAL RECEITA POR CONVÊNIO</v>
      </c>
      <c r="F2201" s="2" t="str">
        <f>"R_FAT_CONV_DT_LANC_CAR"</f>
        <v>R_FAT_CONV_DT_LANC_CAR</v>
      </c>
      <c r="G2201" s="2" t="str">
        <f t="shared" si="195"/>
        <v xml:space="preserve"> ()</v>
      </c>
    </row>
    <row r="2202" spans="1:7" x14ac:dyDescent="0.3">
      <c r="A2202" s="1" t="s">
        <v>4</v>
      </c>
      <c r="B2202" s="2" t="str">
        <f t="shared" si="192"/>
        <v>SISTEMA FATURAMENTO CONTAS DE CONVENIO</v>
      </c>
      <c r="C2202" s="2" t="str">
        <f t="shared" si="193"/>
        <v>FATUR-CONV</v>
      </c>
      <c r="D2202" s="2" t="str">
        <f t="shared" si="194"/>
        <v>FFCV</v>
      </c>
      <c r="E2202" s="2" t="str">
        <f>"REL. GERENCIAL RECEITA POR CONVÊNIO CAR"</f>
        <v>REL. GERENCIAL RECEITA POR CONVÊNIO CAR</v>
      </c>
      <c r="F2202" s="2" t="str">
        <f>"R_FAT_CONV_CAR"</f>
        <v>R_FAT_CONV_CAR</v>
      </c>
      <c r="G2202" s="2" t="str">
        <f t="shared" si="195"/>
        <v xml:space="preserve"> ()</v>
      </c>
    </row>
    <row r="2203" spans="1:7" x14ac:dyDescent="0.3">
      <c r="A2203" s="1" t="s">
        <v>4</v>
      </c>
      <c r="B2203" s="2" t="str">
        <f t="shared" si="192"/>
        <v>SISTEMA FATURAMENTO CONTAS DE CONVENIO</v>
      </c>
      <c r="C2203" s="2" t="str">
        <f t="shared" si="193"/>
        <v>FATUR-CONV</v>
      </c>
      <c r="D2203" s="2" t="str">
        <f t="shared" si="194"/>
        <v>FFCV</v>
      </c>
      <c r="E2203" s="2" t="str">
        <f>"ETIQUETAS DE CONVÊNIOS"</f>
        <v>ETIQUETAS DE CONVÊNIOS</v>
      </c>
      <c r="F2203" s="2" t="str">
        <f>"R_ETIQ_MALA_CONVENIOS"</f>
        <v>R_ETIQ_MALA_CONVENIOS</v>
      </c>
      <c r="G2203" s="2" t="str">
        <f t="shared" si="195"/>
        <v xml:space="preserve"> ()</v>
      </c>
    </row>
    <row r="2204" spans="1:7" x14ac:dyDescent="0.3">
      <c r="A2204" s="1" t="s">
        <v>4</v>
      </c>
      <c r="B2204" s="2" t="str">
        <f t="shared" si="192"/>
        <v>SISTEMA FATURAMENTO CONTAS DE CONVENIO</v>
      </c>
      <c r="C2204" s="2" t="str">
        <f t="shared" si="193"/>
        <v>FATUR-CONV</v>
      </c>
      <c r="D2204" s="2" t="str">
        <f t="shared" si="194"/>
        <v>FFCV</v>
      </c>
      <c r="E2204" s="2" t="str">
        <f>"GERAÇÃO DE REMESSA COMPLEMENTAR"</f>
        <v>GERAÇÃO DE REMESSA COMPLEMENTAR</v>
      </c>
      <c r="F2204" s="2" t="str">
        <f>"M_REMESSA_COMPLEMENTAR"</f>
        <v>M_REMESSA_COMPLEMENTAR</v>
      </c>
      <c r="G2204" s="2" t="str">
        <f t="shared" si="195"/>
        <v xml:space="preserve"> ()</v>
      </c>
    </row>
    <row r="2205" spans="1:7" x14ac:dyDescent="0.3">
      <c r="A2205" s="1" t="s">
        <v>4</v>
      </c>
      <c r="B2205" s="2" t="str">
        <f t="shared" si="192"/>
        <v>SISTEMA FATURAMENTO CONTAS DE CONVENIO</v>
      </c>
      <c r="C2205" s="2" t="str">
        <f t="shared" si="193"/>
        <v>FATUR-CONV</v>
      </c>
      <c r="D2205" s="2" t="str">
        <f t="shared" si="194"/>
        <v>FFCV</v>
      </c>
      <c r="E2205" s="2" t="str">
        <f>"R_AUDITORIA_CONTA"</f>
        <v>R_AUDITORIA_CONTA</v>
      </c>
      <c r="F2205" s="2" t="str">
        <f>"R_AUDITORIA_CONTA"</f>
        <v>R_AUDITORIA_CONTA</v>
      </c>
      <c r="G2205" s="2" t="str">
        <f t="shared" si="195"/>
        <v xml:space="preserve"> ()</v>
      </c>
    </row>
    <row r="2206" spans="1:7" x14ac:dyDescent="0.3">
      <c r="A2206" s="1" t="s">
        <v>4</v>
      </c>
      <c r="B2206" s="2" t="str">
        <f t="shared" si="192"/>
        <v>SISTEMA FATURAMENTO CONTAS DE CONVENIO</v>
      </c>
      <c r="C2206" s="2" t="str">
        <f t="shared" si="193"/>
        <v>FATUR-CONV</v>
      </c>
      <c r="D2206" s="2" t="str">
        <f t="shared" si="194"/>
        <v>FFCV</v>
      </c>
      <c r="E2206" s="2" t="str">
        <f>"REL. GER. ANAL. PACOTE E PROCEDIMENTOS"</f>
        <v>REL. GER. ANAL. PACOTE E PROCEDIMENTOS</v>
      </c>
      <c r="F2206" s="2" t="str">
        <f>"R_ANALISE_PACOTE_PROCED"</f>
        <v>R_ANALISE_PACOTE_PROCED</v>
      </c>
      <c r="G2206" s="2" t="str">
        <f t="shared" si="195"/>
        <v xml:space="preserve"> ()</v>
      </c>
    </row>
    <row r="2207" spans="1:7" x14ac:dyDescent="0.3">
      <c r="A2207" s="1" t="s">
        <v>4</v>
      </c>
      <c r="B2207" s="2" t="str">
        <f t="shared" si="192"/>
        <v>SISTEMA FATURAMENTO CONTAS DE CONVENIO</v>
      </c>
      <c r="C2207" s="2" t="str">
        <f t="shared" si="193"/>
        <v>FATUR-CONV</v>
      </c>
      <c r="D2207" s="2" t="str">
        <f t="shared" si="194"/>
        <v>FFCV</v>
      </c>
      <c r="E2207" s="2" t="str">
        <f>"REL. GER. ANAL. PACOTE E PROCED.  DT LAN"</f>
        <v>REL. GER. ANAL. PACOTE E PROCED.  DT LAN</v>
      </c>
      <c r="F2207" s="2" t="str">
        <f>"R_ANALISE_PACOTE_DT_LANC_PROCED"</f>
        <v>R_ANALISE_PACOTE_DT_LANC_PROCED</v>
      </c>
      <c r="G2207" s="2" t="str">
        <f t="shared" si="195"/>
        <v xml:space="preserve"> ()</v>
      </c>
    </row>
    <row r="2208" spans="1:7" x14ac:dyDescent="0.3">
      <c r="A2208" s="1" t="s">
        <v>4</v>
      </c>
      <c r="B2208" s="2" t="str">
        <f t="shared" si="192"/>
        <v>SISTEMA FATURAMENTO CONTAS DE CONVENIO</v>
      </c>
      <c r="C2208" s="2" t="str">
        <f t="shared" si="193"/>
        <v>FATUR-CONV</v>
      </c>
      <c r="D2208" s="2" t="str">
        <f t="shared" si="194"/>
        <v>FFCV</v>
      </c>
      <c r="E2208" s="2" t="str">
        <f>"R_ETQ_PRESTADOR_301"</f>
        <v>R_ETQ_PRESTADOR_301</v>
      </c>
      <c r="F2208" s="2" t="str">
        <f>"R_ETQ_PRESTADOR_301"</f>
        <v>R_ETQ_PRESTADOR_301</v>
      </c>
      <c r="G2208" s="2" t="str">
        <f t="shared" si="195"/>
        <v xml:space="preserve"> ()</v>
      </c>
    </row>
    <row r="2209" spans="1:7" x14ac:dyDescent="0.3">
      <c r="A2209" s="1" t="s">
        <v>4</v>
      </c>
      <c r="B2209" s="2" t="str">
        <f t="shared" si="192"/>
        <v>SISTEMA FATURAMENTO CONTAS DE CONVENIO</v>
      </c>
      <c r="C2209" s="2" t="str">
        <f t="shared" si="193"/>
        <v>FATUR-CONV</v>
      </c>
      <c r="D2209" s="2" t="str">
        <f t="shared" si="194"/>
        <v>FFCV</v>
      </c>
      <c r="E2209" s="2" t="str">
        <f>"TRG_ITREG_AMB"</f>
        <v>TRG_ITREG_AMB</v>
      </c>
      <c r="F2209" s="2" t="str">
        <f>"TRG_ITREG_AMB"</f>
        <v>TRG_ITREG_AMB</v>
      </c>
      <c r="G2209" s="2" t="str">
        <f t="shared" si="195"/>
        <v xml:space="preserve"> ()</v>
      </c>
    </row>
    <row r="2210" spans="1:7" x14ac:dyDescent="0.3">
      <c r="A2210" s="1" t="s">
        <v>4</v>
      </c>
      <c r="B2210" s="2" t="str">
        <f t="shared" si="192"/>
        <v>SISTEMA FATURAMENTO CONTAS DE CONVENIO</v>
      </c>
      <c r="C2210" s="2" t="str">
        <f t="shared" si="193"/>
        <v>FATUR-CONV</v>
      </c>
      <c r="D2210" s="2" t="str">
        <f t="shared" si="194"/>
        <v>FFCV</v>
      </c>
      <c r="E2210" s="2" t="str">
        <f>"R_NOTA_FISCAL_297"</f>
        <v>R_NOTA_FISCAL_297</v>
      </c>
      <c r="F2210" s="2" t="str">
        <f>"R_NOTA_FISCAL_297"</f>
        <v>R_NOTA_FISCAL_297</v>
      </c>
      <c r="G2210" s="2" t="str">
        <f t="shared" si="195"/>
        <v xml:space="preserve"> ()</v>
      </c>
    </row>
    <row r="2211" spans="1:7" x14ac:dyDescent="0.3">
      <c r="A2211" s="1" t="s">
        <v>4</v>
      </c>
      <c r="B2211" s="2" t="str">
        <f t="shared" si="192"/>
        <v>SISTEMA FATURAMENTO CONTAS DE CONVENIO</v>
      </c>
      <c r="C2211" s="2" t="str">
        <f t="shared" si="193"/>
        <v>FATUR-CONV</v>
      </c>
      <c r="D2211" s="2" t="str">
        <f t="shared" si="194"/>
        <v>FFCV</v>
      </c>
      <c r="E2211" s="2" t="str">
        <f>"R_NOTA_FISCAL_900"</f>
        <v>R_NOTA_FISCAL_900</v>
      </c>
      <c r="F2211" s="2" t="str">
        <f>"R_NOTA_FISCAL_900"</f>
        <v>R_NOTA_FISCAL_900</v>
      </c>
      <c r="G2211" s="2" t="str">
        <f t="shared" si="195"/>
        <v xml:space="preserve"> ()</v>
      </c>
    </row>
    <row r="2212" spans="1:7" x14ac:dyDescent="0.3">
      <c r="A2212" s="1" t="s">
        <v>4</v>
      </c>
      <c r="B2212" s="2" t="str">
        <f t="shared" si="192"/>
        <v>SISTEMA FATURAMENTO CONTAS DE CONVENIO</v>
      </c>
      <c r="C2212" s="2" t="str">
        <f t="shared" si="193"/>
        <v>FATUR-CONV</v>
      </c>
      <c r="D2212" s="2" t="str">
        <f t="shared" si="194"/>
        <v>FFCV</v>
      </c>
      <c r="E2212" s="2" t="str">
        <f>"R_NOTA_FISCAL_UNIMED"</f>
        <v>R_NOTA_FISCAL_UNIMED</v>
      </c>
      <c r="F2212" s="2" t="str">
        <f>"R_NOTA_FISCAL_UNIMED"</f>
        <v>R_NOTA_FISCAL_UNIMED</v>
      </c>
      <c r="G2212" s="2" t="str">
        <f t="shared" si="195"/>
        <v xml:space="preserve"> ()</v>
      </c>
    </row>
    <row r="2213" spans="1:7" x14ac:dyDescent="0.3">
      <c r="A2213" s="1" t="s">
        <v>4</v>
      </c>
      <c r="B2213" s="2" t="str">
        <f t="shared" si="192"/>
        <v>SISTEMA FATURAMENTO CONTAS DE CONVENIO</v>
      </c>
      <c r="C2213" s="2" t="str">
        <f t="shared" si="193"/>
        <v>FATUR-CONV</v>
      </c>
      <c r="D2213" s="2" t="str">
        <f t="shared" si="194"/>
        <v>FFCV</v>
      </c>
      <c r="E2213" s="2" t="str">
        <f>"R_FATURA_GRUPO"</f>
        <v>R_FATURA_GRUPO</v>
      </c>
      <c r="F2213" s="2" t="str">
        <f>"R_FATURA_GRUPO"</f>
        <v>R_FATURA_GRUPO</v>
      </c>
      <c r="G2213" s="2" t="str">
        <f t="shared" si="195"/>
        <v xml:space="preserve"> ()</v>
      </c>
    </row>
    <row r="2214" spans="1:7" x14ac:dyDescent="0.3">
      <c r="A2214" s="1" t="s">
        <v>4</v>
      </c>
      <c r="B2214" s="2" t="str">
        <f t="shared" si="192"/>
        <v>SISTEMA FATURAMENTO CONTAS DE CONVENIO</v>
      </c>
      <c r="C2214" s="2" t="str">
        <f t="shared" si="193"/>
        <v>FATUR-CONV</v>
      </c>
      <c r="D2214" s="2" t="str">
        <f t="shared" si="194"/>
        <v>FFCV</v>
      </c>
      <c r="E2214" s="2" t="str">
        <f>"R_FATURA_SETOR"</f>
        <v>R_FATURA_SETOR</v>
      </c>
      <c r="F2214" s="2" t="str">
        <f>"R_FATURA_SETOR"</f>
        <v>R_FATURA_SETOR</v>
      </c>
      <c r="G2214" s="2" t="str">
        <f t="shared" si="195"/>
        <v xml:space="preserve"> ()</v>
      </c>
    </row>
    <row r="2215" spans="1:7" x14ac:dyDescent="0.3">
      <c r="A2215" s="1" t="s">
        <v>4</v>
      </c>
      <c r="B2215" s="2" t="str">
        <f t="shared" si="192"/>
        <v>SISTEMA FATURAMENTO CONTAS DE CONVENIO</v>
      </c>
      <c r="C2215" s="2" t="str">
        <f t="shared" si="193"/>
        <v>FATUR-CONV</v>
      </c>
      <c r="D2215" s="2" t="str">
        <f t="shared" si="194"/>
        <v>FFCV</v>
      </c>
      <c r="E2215" s="2" t="str">
        <f>"R_FATURA_SEM_QUEBRA"</f>
        <v>R_FATURA_SEM_QUEBRA</v>
      </c>
      <c r="F2215" s="2" t="str">
        <f>"R_FATURA_SEM_QUEBRA"</f>
        <v>R_FATURA_SEM_QUEBRA</v>
      </c>
      <c r="G2215" s="2" t="str">
        <f t="shared" si="195"/>
        <v xml:space="preserve"> ()</v>
      </c>
    </row>
    <row r="2216" spans="1:7" x14ac:dyDescent="0.3">
      <c r="A2216" s="1" t="s">
        <v>4</v>
      </c>
      <c r="B2216" s="2" t="str">
        <f t="shared" si="192"/>
        <v>SISTEMA FATURAMENTO CONTAS DE CONVENIO</v>
      </c>
      <c r="C2216" s="2" t="str">
        <f t="shared" si="193"/>
        <v>FATUR-CONV</v>
      </c>
      <c r="D2216" s="2" t="str">
        <f t="shared" si="194"/>
        <v>FFCV</v>
      </c>
      <c r="E2216" s="2" t="str">
        <f>"NOTA FISCAL"</f>
        <v>NOTA FISCAL</v>
      </c>
      <c r="F2216" s="2" t="str">
        <f>"M_NOTA_FISCAL_338"</f>
        <v>M_NOTA_FISCAL_338</v>
      </c>
      <c r="G2216" s="2" t="str">
        <f t="shared" si="195"/>
        <v xml:space="preserve"> ()</v>
      </c>
    </row>
    <row r="2217" spans="1:7" x14ac:dyDescent="0.3">
      <c r="A2217" s="1" t="s">
        <v>4</v>
      </c>
      <c r="B2217" s="2" t="str">
        <f t="shared" si="192"/>
        <v>SISTEMA FATURAMENTO CONTAS DE CONVENIO</v>
      </c>
      <c r="C2217" s="2" t="str">
        <f t="shared" si="193"/>
        <v>FATUR-CONV</v>
      </c>
      <c r="D2217" s="2" t="str">
        <f t="shared" si="194"/>
        <v>FFCV</v>
      </c>
      <c r="E2217" s="2" t="str">
        <f>"R_FAT_ATEND_VLR_200"</f>
        <v>R_FAT_ATEND_VLR_200</v>
      </c>
      <c r="F2217" s="2" t="str">
        <f>"R_FAT_ATEND_VLR_200"</f>
        <v>R_FAT_ATEND_VLR_200</v>
      </c>
      <c r="G2217" s="2" t="str">
        <f t="shared" si="195"/>
        <v xml:space="preserve"> ()</v>
      </c>
    </row>
    <row r="2218" spans="1:7" x14ac:dyDescent="0.3">
      <c r="A2218" s="1" t="s">
        <v>4</v>
      </c>
      <c r="B2218" s="2" t="str">
        <f t="shared" si="192"/>
        <v>SISTEMA FATURAMENTO CONTAS DE CONVENIO</v>
      </c>
      <c r="C2218" s="2" t="str">
        <f t="shared" si="193"/>
        <v>FATUR-CONV</v>
      </c>
      <c r="D2218" s="2" t="str">
        <f t="shared" si="194"/>
        <v>FFCV</v>
      </c>
      <c r="E2218" s="2" t="str">
        <f>"R_FAT_ATEND_VLR"</f>
        <v>R_FAT_ATEND_VLR</v>
      </c>
      <c r="F2218" s="2" t="str">
        <f>"R_FAT_ATEND_VLR"</f>
        <v>R_FAT_ATEND_VLR</v>
      </c>
      <c r="G2218" s="2" t="str">
        <f t="shared" si="195"/>
        <v xml:space="preserve"> ()</v>
      </c>
    </row>
    <row r="2219" spans="1:7" x14ac:dyDescent="0.3">
      <c r="A2219" s="1" t="s">
        <v>4</v>
      </c>
      <c r="B2219" s="2" t="str">
        <f t="shared" si="192"/>
        <v>SISTEMA FATURAMENTO CONTAS DE CONVENIO</v>
      </c>
      <c r="C2219" s="2" t="str">
        <f t="shared" si="193"/>
        <v>FATUR-CONV</v>
      </c>
      <c r="D2219" s="2" t="str">
        <f t="shared" si="194"/>
        <v>FFCV</v>
      </c>
      <c r="E2219" s="2" t="str">
        <f>"M_REMUNERA_NOTAS_IPE"</f>
        <v>M_REMUNERA_NOTAS_IPE</v>
      </c>
      <c r="F2219" s="2" t="str">
        <f>"M_REMUNERA_NOTAS_IPE"</f>
        <v>M_REMUNERA_NOTAS_IPE</v>
      </c>
      <c r="G2219" s="2" t="str">
        <f t="shared" si="195"/>
        <v xml:space="preserve"> ()</v>
      </c>
    </row>
    <row r="2220" spans="1:7" x14ac:dyDescent="0.3">
      <c r="A2220" s="1" t="s">
        <v>4</v>
      </c>
      <c r="B2220" s="2" t="str">
        <f t="shared" si="192"/>
        <v>SISTEMA FATURAMENTO CONTAS DE CONVENIO</v>
      </c>
      <c r="C2220" s="2" t="str">
        <f t="shared" si="193"/>
        <v>FATUR-CONV</v>
      </c>
      <c r="D2220" s="2" t="str">
        <f t="shared" si="194"/>
        <v>FFCV</v>
      </c>
      <c r="E2220" s="2" t="str">
        <f>"M_RENUMERA_NOTAS_IPE"</f>
        <v>M_RENUMERA_NOTAS_IPE</v>
      </c>
      <c r="F2220" s="2" t="str">
        <f>"M_RENUMERA_NOTAS_IPE"</f>
        <v>M_RENUMERA_NOTAS_IPE</v>
      </c>
      <c r="G2220" s="2" t="str">
        <f t="shared" si="195"/>
        <v xml:space="preserve"> ()</v>
      </c>
    </row>
    <row r="2221" spans="1:7" x14ac:dyDescent="0.3">
      <c r="A2221" s="1" t="s">
        <v>4</v>
      </c>
      <c r="B2221" s="2" t="str">
        <f t="shared" si="192"/>
        <v>SISTEMA FATURAMENTO CONTAS DE CONVENIO</v>
      </c>
      <c r="C2221" s="2" t="str">
        <f t="shared" si="193"/>
        <v>FATUR-CONV</v>
      </c>
      <c r="D2221" s="2" t="str">
        <f t="shared" si="194"/>
        <v>FFCV</v>
      </c>
      <c r="E2221" s="2" t="str">
        <f>"TIPO DE ACOMODAÇÃO MEIO MAGNÉTICO"</f>
        <v>TIPO DE ACOMODAÇÃO MEIO MAGNÉTICO</v>
      </c>
      <c r="F2221" s="2" t="str">
        <f>"CAD_SEQ"</f>
        <v>CAD_SEQ</v>
      </c>
      <c r="G2221" s="2" t="str">
        <f t="shared" si="195"/>
        <v xml:space="preserve"> ()</v>
      </c>
    </row>
    <row r="2222" spans="1:7" x14ac:dyDescent="0.3">
      <c r="A2222" s="1" t="s">
        <v>4</v>
      </c>
      <c r="B2222" s="2" t="str">
        <f t="shared" si="192"/>
        <v>SISTEMA FATURAMENTO CONTAS DE CONVENIO</v>
      </c>
      <c r="C2222" s="2" t="str">
        <f t="shared" si="193"/>
        <v>FATUR-CONV</v>
      </c>
      <c r="D2222" s="2" t="str">
        <f t="shared" si="194"/>
        <v>FFCV</v>
      </c>
      <c r="E2222" s="2" t="str">
        <f>"CAD_SEQ_IPE"</f>
        <v>CAD_SEQ_IPE</v>
      </c>
      <c r="F2222" s="2" t="str">
        <f>"CAD_SEQ_IPE"</f>
        <v>CAD_SEQ_IPE</v>
      </c>
      <c r="G2222" s="2" t="str">
        <f t="shared" si="195"/>
        <v xml:space="preserve"> ()</v>
      </c>
    </row>
    <row r="2223" spans="1:7" x14ac:dyDescent="0.3">
      <c r="A2223" s="1" t="s">
        <v>4</v>
      </c>
      <c r="B2223" s="2" t="str">
        <f t="shared" si="192"/>
        <v>SISTEMA FATURAMENTO CONTAS DE CONVENIO</v>
      </c>
      <c r="C2223" s="2" t="str">
        <f t="shared" si="193"/>
        <v>FATUR-CONV</v>
      </c>
      <c r="D2223" s="2" t="str">
        <f t="shared" si="194"/>
        <v>FFCV</v>
      </c>
      <c r="E2223" s="2" t="str">
        <f>"R_REPASSE_ULBRA_DT_LANC"</f>
        <v>R_REPASSE_ULBRA_DT_LANC</v>
      </c>
      <c r="F2223" s="2" t="str">
        <f>"R_REPASSE_ULBRA_DT_LANC"</f>
        <v>R_REPASSE_ULBRA_DT_LANC</v>
      </c>
      <c r="G2223" s="2" t="str">
        <f t="shared" si="195"/>
        <v xml:space="preserve"> ()</v>
      </c>
    </row>
    <row r="2224" spans="1:7" x14ac:dyDescent="0.3">
      <c r="A2224" s="1" t="s">
        <v>4</v>
      </c>
      <c r="B2224" s="2" t="str">
        <f t="shared" si="192"/>
        <v>SISTEMA FATURAMENTO CONTAS DE CONVENIO</v>
      </c>
      <c r="C2224" s="2" t="str">
        <f t="shared" si="193"/>
        <v>FATUR-CONV</v>
      </c>
      <c r="D2224" s="2" t="str">
        <f t="shared" si="194"/>
        <v>FFCV</v>
      </c>
      <c r="E2224" s="2" t="str">
        <f>"GERA_ARQMAG_NETSAUDE"</f>
        <v>GERA_ARQMAG_NETSAUDE</v>
      </c>
      <c r="F2224" s="2" t="str">
        <f>"GERA_ARQMAG_NETSAUDE"</f>
        <v>GERA_ARQMAG_NETSAUDE</v>
      </c>
      <c r="G2224" s="2" t="str">
        <f t="shared" si="195"/>
        <v xml:space="preserve"> ()</v>
      </c>
    </row>
    <row r="2225" spans="1:7" x14ac:dyDescent="0.3">
      <c r="A2225" s="1" t="s">
        <v>4</v>
      </c>
      <c r="B2225" s="2" t="str">
        <f t="shared" si="192"/>
        <v>SISTEMA FATURAMENTO CONTAS DE CONVENIO</v>
      </c>
      <c r="C2225" s="2" t="str">
        <f t="shared" si="193"/>
        <v>FATUR-CONV</v>
      </c>
      <c r="D2225" s="2" t="str">
        <f t="shared" si="194"/>
        <v>FFCV</v>
      </c>
      <c r="E2225" s="2" t="str">
        <f>"GERA_ARQMAG_ABRAMGE_NEW"</f>
        <v>GERA_ARQMAG_ABRAMGE_NEW</v>
      </c>
      <c r="F2225" s="2" t="str">
        <f>"GERA_ARQMAG_ABRAMGE_NEW"</f>
        <v>GERA_ARQMAG_ABRAMGE_NEW</v>
      </c>
      <c r="G2225" s="2" t="str">
        <f t="shared" si="195"/>
        <v xml:space="preserve"> ()</v>
      </c>
    </row>
    <row r="2226" spans="1:7" x14ac:dyDescent="0.3">
      <c r="A2226" s="1" t="s">
        <v>4</v>
      </c>
      <c r="B2226" s="2" t="str">
        <f t="shared" si="192"/>
        <v>SISTEMA FATURAMENTO CONTAS DE CONVENIO</v>
      </c>
      <c r="C2226" s="2" t="str">
        <f t="shared" si="193"/>
        <v>FATUR-CONV</v>
      </c>
      <c r="D2226" s="2" t="str">
        <f t="shared" si="194"/>
        <v>FFCV</v>
      </c>
      <c r="E2226" s="2" t="str">
        <f>"IMPORTAÇÃO DE PREÇOS DO BRASINDICE"</f>
        <v>IMPORTAÇÃO DE PREÇOS DO BRASINDICE</v>
      </c>
      <c r="F2226" s="2" t="str">
        <f>"O_IMPVALIPASGO"</f>
        <v>O_IMPVALIPASGO</v>
      </c>
      <c r="G2226" s="2" t="str">
        <f>"Faturamento / Faturamento de Convênios e Particulares / Importações / Importação do IPASGO / Valores (O_IMPVALIPASGO)"</f>
        <v>Faturamento / Faturamento de Convênios e Particulares / Importações / Importação do IPASGO / Valores (O_IMPVALIPASGO)</v>
      </c>
    </row>
    <row r="2227" spans="1:7" x14ac:dyDescent="0.3">
      <c r="A2227" s="1" t="s">
        <v>4</v>
      </c>
      <c r="B2227" s="2" t="str">
        <f t="shared" si="192"/>
        <v>SISTEMA FATURAMENTO CONTAS DE CONVENIO</v>
      </c>
      <c r="C2227" s="2" t="str">
        <f t="shared" si="193"/>
        <v>FATUR-CONV</v>
      </c>
      <c r="D2227" s="2" t="str">
        <f t="shared" si="194"/>
        <v>FFCV</v>
      </c>
      <c r="E2227" s="2" t="str">
        <f>"M_FOR_APRE_SETOR"</f>
        <v>M_FOR_APRE_SETOR</v>
      </c>
      <c r="F2227" s="2" t="str">
        <f>"M_FOR_APRE_SETOR"</f>
        <v>M_FOR_APRE_SETOR</v>
      </c>
      <c r="G2227" s="2" t="str">
        <f>"Faturamento / Faturamento de Convênios e Particulares / Tabelas / Formas de Apresentação / Setor (M_FOR_APRE_SETOR)"</f>
        <v>Faturamento / Faturamento de Convênios e Particulares / Tabelas / Formas de Apresentação / Setor (M_FOR_APRE_SETOR)</v>
      </c>
    </row>
    <row r="2228" spans="1:7" x14ac:dyDescent="0.3">
      <c r="A2228" s="1" t="s">
        <v>4</v>
      </c>
      <c r="B2228" s="2" t="str">
        <f t="shared" si="192"/>
        <v>SISTEMA FATURAMENTO CONTAS DE CONVENIO</v>
      </c>
      <c r="C2228" s="2" t="str">
        <f t="shared" si="193"/>
        <v>FATUR-CONV</v>
      </c>
      <c r="D2228" s="2" t="str">
        <f t="shared" si="194"/>
        <v>FFCV</v>
      </c>
      <c r="E2228" s="2" t="str">
        <f>"R_FAT_GLOB_DT_LANC_445"</f>
        <v>R_FAT_GLOB_DT_LANC_445</v>
      </c>
      <c r="F2228" s="2" t="str">
        <f>"R_FAT_GLOB_DT_LANC_445"</f>
        <v>R_FAT_GLOB_DT_LANC_445</v>
      </c>
      <c r="G2228" s="2" t="str">
        <f>" ()"</f>
        <v xml:space="preserve"> ()</v>
      </c>
    </row>
    <row r="2229" spans="1:7" x14ac:dyDescent="0.3">
      <c r="A2229" s="1" t="s">
        <v>4</v>
      </c>
      <c r="B2229" s="2" t="str">
        <f t="shared" si="192"/>
        <v>SISTEMA FATURAMENTO CONTAS DE CONVENIO</v>
      </c>
      <c r="C2229" s="2" t="str">
        <f t="shared" si="193"/>
        <v>FATUR-CONV</v>
      </c>
      <c r="D2229" s="2" t="str">
        <f t="shared" si="194"/>
        <v>FFCV</v>
      </c>
      <c r="E2229" s="2" t="str">
        <f>"R_FAT_GLOB_445"</f>
        <v>R_FAT_GLOB_445</v>
      </c>
      <c r="F2229" s="2" t="str">
        <f>"R_FAT_GLOB_445"</f>
        <v>R_FAT_GLOB_445</v>
      </c>
      <c r="G2229" s="2" t="str">
        <f>" ()"</f>
        <v xml:space="preserve"> ()</v>
      </c>
    </row>
    <row r="2230" spans="1:7" x14ac:dyDescent="0.3">
      <c r="A2230" s="1" t="s">
        <v>4</v>
      </c>
      <c r="B2230" s="2" t="str">
        <f t="shared" si="192"/>
        <v>SISTEMA FATURAMENTO CONTAS DE CONVENIO</v>
      </c>
      <c r="C2230" s="2" t="str">
        <f t="shared" si="193"/>
        <v>FATUR-CONV</v>
      </c>
      <c r="D2230" s="2" t="str">
        <f t="shared" si="194"/>
        <v>FFCV</v>
      </c>
      <c r="E2230" s="2" t="str">
        <f>"CONFIGURAÇÕES - KIT POR CONVENIO E PLANO"</f>
        <v>CONFIGURAÇÕES - KIT POR CONVENIO E PLANO</v>
      </c>
      <c r="F2230" s="2" t="str">
        <f>"M_CONF_CON_PLA_KIT"</f>
        <v>M_CONF_CON_PLA_KIT</v>
      </c>
      <c r="G2230" s="2" t="str">
        <f>"Faturamento / Faturamento de Convênios e Particulares / Configurações / Kit por Convênio e Plano (M_CONF_CON_PLA_KIT)"</f>
        <v>Faturamento / Faturamento de Convênios e Particulares / Configurações / Kit por Convênio e Plano (M_CONF_CON_PLA_KIT)</v>
      </c>
    </row>
    <row r="2231" spans="1:7" x14ac:dyDescent="0.3">
      <c r="A2231" s="1" t="s">
        <v>4</v>
      </c>
      <c r="B2231" s="2" t="str">
        <f t="shared" si="192"/>
        <v>SISTEMA FATURAMENTO CONTAS DE CONVENIO</v>
      </c>
      <c r="C2231" s="2" t="str">
        <f t="shared" si="193"/>
        <v>FATUR-CONV</v>
      </c>
      <c r="D2231" s="2" t="str">
        <f t="shared" si="194"/>
        <v>FFCV</v>
      </c>
      <c r="E2231" s="2" t="str">
        <f>"R_FAT_MEDICO_BAIRRO"</f>
        <v>R_FAT_MEDICO_BAIRRO</v>
      </c>
      <c r="F2231" s="2" t="str">
        <f>"R_FAT_MEDICO_BAIRRO"</f>
        <v>R_FAT_MEDICO_BAIRRO</v>
      </c>
      <c r="G2231" s="2" t="str">
        <f>" ()"</f>
        <v xml:space="preserve"> ()</v>
      </c>
    </row>
    <row r="2232" spans="1:7" x14ac:dyDescent="0.3">
      <c r="A2232" s="1" t="s">
        <v>4</v>
      </c>
      <c r="B2232" s="2" t="str">
        <f t="shared" si="192"/>
        <v>SISTEMA FATURAMENTO CONTAS DE CONVENIO</v>
      </c>
      <c r="C2232" s="2" t="str">
        <f t="shared" si="193"/>
        <v>FATUR-CONV</v>
      </c>
      <c r="D2232" s="2" t="str">
        <f t="shared" si="194"/>
        <v>FFCV</v>
      </c>
      <c r="E2232" s="2" t="str">
        <f>"O_GERAARQCC"</f>
        <v>O_GERAARQCC</v>
      </c>
      <c r="F2232" s="2" t="str">
        <f>"O_GERAARQCC"</f>
        <v>O_GERAARQCC</v>
      </c>
      <c r="G2232" s="2" t="str">
        <f>" ()"</f>
        <v xml:space="preserve"> ()</v>
      </c>
    </row>
    <row r="2233" spans="1:7" x14ac:dyDescent="0.3">
      <c r="A2233" s="1" t="s">
        <v>4</v>
      </c>
      <c r="B2233" s="2" t="str">
        <f t="shared" si="192"/>
        <v>SISTEMA FATURAMENTO CONTAS DE CONVENIO</v>
      </c>
      <c r="C2233" s="2" t="str">
        <f t="shared" si="193"/>
        <v>FATUR-CONV</v>
      </c>
      <c r="D2233" s="2" t="str">
        <f t="shared" si="194"/>
        <v>FFCV</v>
      </c>
      <c r="E2233" s="2" t="str">
        <f>"WIN_PRINCIPAL"</f>
        <v>WIN_PRINCIPAL</v>
      </c>
      <c r="F2233" s="2" t="str">
        <f>"M_COD_GRU_PRO"</f>
        <v>M_COD_GRU_PRO</v>
      </c>
      <c r="G2233" s="2" t="str">
        <f>"Faturamento / Faturamento de Convênios e Particulares / Tabelas / Formas de Apresentação / Grupo de Procedimentos na Fatura (M_COD_GRU_PRO)"</f>
        <v>Faturamento / Faturamento de Convênios e Particulares / Tabelas / Formas de Apresentação / Grupo de Procedimentos na Fatura (M_COD_GRU_PRO)</v>
      </c>
    </row>
    <row r="2234" spans="1:7" x14ac:dyDescent="0.3">
      <c r="A2234" s="1" t="s">
        <v>4</v>
      </c>
      <c r="B2234" s="2" t="str">
        <f t="shared" si="192"/>
        <v>SISTEMA FATURAMENTO CONTAS DE CONVENIO</v>
      </c>
      <c r="C2234" s="2" t="str">
        <f t="shared" si="193"/>
        <v>FATUR-CONV</v>
      </c>
      <c r="D2234" s="2" t="str">
        <f t="shared" si="194"/>
        <v>FFCV</v>
      </c>
      <c r="E2234" s="2" t="str">
        <f>"RELATÓRIO DE RECEITA POR CONVÊNIO"</f>
        <v>RELATÓRIO DE RECEITA POR CONVÊNIO</v>
      </c>
      <c r="F2234" s="2" t="str">
        <f>"R_FAT_CONTA_COMPET"</f>
        <v>R_FAT_CONTA_COMPET</v>
      </c>
      <c r="G2234" s="2" t="str">
        <f>"Faturamento / Faturamento de Convênios e Particulares / Relatórios / Administrativos / Contas Apresentadas por Convênio (R_FAT_CONTA_COMPET)"</f>
        <v>Faturamento / Faturamento de Convênios e Particulares / Relatórios / Administrativos / Contas Apresentadas por Convênio (R_FAT_CONTA_COMPET)</v>
      </c>
    </row>
    <row r="2235" spans="1:7" x14ac:dyDescent="0.3">
      <c r="A2235" s="1" t="s">
        <v>4</v>
      </c>
      <c r="B2235" s="2" t="str">
        <f t="shared" si="192"/>
        <v>SISTEMA FATURAMENTO CONTAS DE CONVENIO</v>
      </c>
      <c r="C2235" s="2" t="str">
        <f t="shared" si="193"/>
        <v>FATUR-CONV</v>
      </c>
      <c r="D2235" s="2" t="str">
        <f t="shared" si="194"/>
        <v>FFCV</v>
      </c>
      <c r="E2235" s="2" t="str">
        <f>"RELATÓRIO DE RECEITA POR CONVÊNIO"</f>
        <v>RELATÓRIO DE RECEITA POR CONVÊNIO</v>
      </c>
      <c r="F2235" s="2" t="str">
        <f>"R_FAT_CONTA_COMPET"</f>
        <v>R_FAT_CONTA_COMPET</v>
      </c>
      <c r="G2235" s="2" t="str">
        <f>"Faturamento / Auditoria e Controle de Recursos de Glosas / Relatórios / Gerenciais / Contas Hospitalares Entregues por convênio (R_FAT_CONTA_COMPET)"</f>
        <v>Faturamento / Auditoria e Controle de Recursos de Glosas / Relatórios / Gerenciais / Contas Hospitalares Entregues por convênio (R_FAT_CONTA_COMPET)</v>
      </c>
    </row>
    <row r="2236" spans="1:7" x14ac:dyDescent="0.3">
      <c r="A2236" s="1" t="s">
        <v>4</v>
      </c>
      <c r="B2236" s="2" t="str">
        <f t="shared" si="192"/>
        <v>SISTEMA FATURAMENTO CONTAS DE CONVENIO</v>
      </c>
      <c r="C2236" s="2" t="str">
        <f t="shared" si="193"/>
        <v>FATUR-CONV</v>
      </c>
      <c r="D2236" s="2" t="str">
        <f t="shared" si="194"/>
        <v>FFCV</v>
      </c>
      <c r="E2236" s="2" t="str">
        <f>"RELATÓRIO DE PROTOCOLO DE ENTREGA"</f>
        <v>RELATÓRIO DE PROTOCOLO DE ENTREGA</v>
      </c>
      <c r="F2236" s="2" t="str">
        <f>"R_PROTOCOLO"</f>
        <v>R_PROTOCOLO</v>
      </c>
      <c r="G2236" s="2" t="str">
        <f>"Faturamento / Faturamento de Convênios e Particulares / Relatórios / Operacionais / Entrega de Geração em Meio Magnético / IPERGS  / Protocolos de Entrega (R_PROTOCOLO)"</f>
        <v>Faturamento / Faturamento de Convênios e Particulares / Relatórios / Operacionais / Entrega de Geração em Meio Magnético / IPERGS  / Protocolos de Entrega (R_PROTOCOLO)</v>
      </c>
    </row>
    <row r="2237" spans="1:7" x14ac:dyDescent="0.3">
      <c r="A2237" s="1" t="s">
        <v>4</v>
      </c>
      <c r="B2237" s="2" t="str">
        <f t="shared" si="192"/>
        <v>SISTEMA FATURAMENTO CONTAS DE CONVENIO</v>
      </c>
      <c r="C2237" s="2" t="str">
        <f t="shared" si="193"/>
        <v>FATUR-CONV</v>
      </c>
      <c r="D2237" s="2" t="str">
        <f t="shared" si="194"/>
        <v>FFCV</v>
      </c>
      <c r="E2237" s="2" t="str">
        <f>"RELATÓRIO DE CONVÊNIO X PORTE ANESTÉSICO"</f>
        <v>RELATÓRIO DE CONVÊNIO X PORTE ANESTÉSICO</v>
      </c>
      <c r="F2237" s="2" t="str">
        <f>"R_CONFAT_PORT"</f>
        <v>R_CONFAT_PORT</v>
      </c>
      <c r="G2237" s="2" t="str">
        <f>"Faturamento / Faturamento de Convênios e Particulares / Relatórios / Tabelas / Tabela de Valores / Convênio x Porte Anestésico (R_CONFAT_PORT)"</f>
        <v>Faturamento / Faturamento de Convênios e Particulares / Relatórios / Tabelas / Tabela de Valores / Convênio x Porte Anestésico (R_CONFAT_PORT)</v>
      </c>
    </row>
    <row r="2238" spans="1:7" x14ac:dyDescent="0.3">
      <c r="A2238" s="1" t="s">
        <v>4</v>
      </c>
      <c r="B2238" s="2" t="str">
        <f t="shared" si="192"/>
        <v>SISTEMA FATURAMENTO CONTAS DE CONVENIO</v>
      </c>
      <c r="C2238" s="2" t="str">
        <f t="shared" si="193"/>
        <v>FATUR-CONV</v>
      </c>
      <c r="D2238" s="2" t="str">
        <f t="shared" si="194"/>
        <v>FFCV</v>
      </c>
      <c r="E2238" s="2" t="str">
        <f>"RELATÓRIO DE CONVÊNIO X PORTE ANESTÉSICO"</f>
        <v>RELATÓRIO DE CONVÊNIO X PORTE ANESTÉSICO</v>
      </c>
      <c r="F2238" s="2" t="str">
        <f>"R_CONFAT_PORT"</f>
        <v>R_CONFAT_PORT</v>
      </c>
      <c r="G2238" s="2" t="str">
        <f>"Faturamento / Auditoria e Controle de Recursos de Glosas / Relatórios / Tabelas / Tabela de Valores / Convênio x Porte Anestésico (R_CONFAT_PORT)"</f>
        <v>Faturamento / Auditoria e Controle de Recursos de Glosas / Relatórios / Tabelas / Tabela de Valores / Convênio x Porte Anestésico (R_CONFAT_PORT)</v>
      </c>
    </row>
    <row r="2239" spans="1:7" x14ac:dyDescent="0.3">
      <c r="A2239" s="1" t="s">
        <v>4</v>
      </c>
      <c r="B2239" s="2" t="str">
        <f t="shared" si="192"/>
        <v>SISTEMA FATURAMENTO CONTAS DE CONVENIO</v>
      </c>
      <c r="C2239" s="2" t="str">
        <f t="shared" si="193"/>
        <v>FATUR-CONV</v>
      </c>
      <c r="D2239" s="2" t="str">
        <f t="shared" si="194"/>
        <v>FFCV</v>
      </c>
      <c r="E2239" s="2" t="str">
        <f>"R_TABFAT_PORTE_CONV"</f>
        <v>R_TABFAT_PORTE_CONV</v>
      </c>
      <c r="F2239" s="2" t="str">
        <f>"R_TABFAT_PORTE_CONV"</f>
        <v>R_TABFAT_PORTE_CONV</v>
      </c>
      <c r="G2239" s="2" t="str">
        <f>" ()"</f>
        <v xml:space="preserve"> ()</v>
      </c>
    </row>
    <row r="2240" spans="1:7" x14ac:dyDescent="0.3">
      <c r="A2240" s="1" t="s">
        <v>4</v>
      </c>
      <c r="B2240" s="2" t="str">
        <f t="shared" si="192"/>
        <v>SISTEMA FATURAMENTO CONTAS DE CONVENIO</v>
      </c>
      <c r="C2240" s="2" t="str">
        <f t="shared" si="193"/>
        <v>FATUR-CONV</v>
      </c>
      <c r="D2240" s="2" t="str">
        <f t="shared" si="194"/>
        <v>FFCV</v>
      </c>
      <c r="E2240" s="2" t="str">
        <f>"R_LOTE_POR_ATEND_448"</f>
        <v>R_LOTE_POR_ATEND_448</v>
      </c>
      <c r="F2240" s="2" t="str">
        <f>"R_LOTE_POR_ATEND_448"</f>
        <v>R_LOTE_POR_ATEND_448</v>
      </c>
      <c r="G2240" s="2" t="str">
        <f>" ()"</f>
        <v xml:space="preserve"> ()</v>
      </c>
    </row>
    <row r="2241" spans="1:7" x14ac:dyDescent="0.3">
      <c r="A2241" s="1" t="s">
        <v>4</v>
      </c>
      <c r="B2241" s="2" t="str">
        <f t="shared" si="192"/>
        <v>SISTEMA FATURAMENTO CONTAS DE CONVENIO</v>
      </c>
      <c r="C2241" s="2" t="str">
        <f t="shared" si="193"/>
        <v>FATUR-CONV</v>
      </c>
      <c r="D2241" s="2" t="str">
        <f t="shared" si="194"/>
        <v>FFCV</v>
      </c>
      <c r="E2241" s="2" t="str">
        <f>"PRODUÇÃO E SERVIÇO PARA REPASSE DE EXAME"</f>
        <v>PRODUÇÃO E SERVIÇO PARA REPASSE DE EXAME</v>
      </c>
      <c r="F2241" s="2" t="str">
        <f>"R_REPASSE_ULBRA"</f>
        <v>R_REPASSE_ULBRA</v>
      </c>
      <c r="G2241" s="2" t="str">
        <f>" ()"</f>
        <v xml:space="preserve"> ()</v>
      </c>
    </row>
    <row r="2242" spans="1:7" x14ac:dyDescent="0.3">
      <c r="A2242" s="1" t="s">
        <v>4</v>
      </c>
      <c r="B2242" s="2" t="str">
        <f t="shared" si="192"/>
        <v>SISTEMA FATURAMENTO CONTAS DE CONVENIO</v>
      </c>
      <c r="C2242" s="2" t="str">
        <f t="shared" si="193"/>
        <v>FATUR-CONV</v>
      </c>
      <c r="D2242" s="2" t="str">
        <f t="shared" si="194"/>
        <v>FFCV</v>
      </c>
      <c r="E2242" s="2" t="str">
        <f>"R_CONF_LANC_SERV2"</f>
        <v>R_CONF_LANC_SERV2</v>
      </c>
      <c r="F2242" s="2" t="str">
        <f>"R_CONF_LANC_SERV2"</f>
        <v>R_CONF_LANC_SERV2</v>
      </c>
      <c r="G2242" s="2" t="str">
        <f>" ()"</f>
        <v xml:space="preserve"> ()</v>
      </c>
    </row>
    <row r="2243" spans="1:7" x14ac:dyDescent="0.3">
      <c r="A2243" s="1" t="s">
        <v>4</v>
      </c>
      <c r="B2243" s="2" t="str">
        <f t="shared" si="192"/>
        <v>SISTEMA FATURAMENTO CONTAS DE CONVENIO</v>
      </c>
      <c r="C2243" s="2" t="str">
        <f t="shared" si="193"/>
        <v>FATUR-CONV</v>
      </c>
      <c r="D2243" s="2" t="str">
        <f t="shared" si="194"/>
        <v>FFCV</v>
      </c>
      <c r="E2243" s="2" t="str">
        <f>"GERAÇÃO DOS ARQUIVOS EM MEIO MANÉTICO"</f>
        <v>GERAÇÃO DOS ARQUIVOS EM MEIO MANÉTICO</v>
      </c>
      <c r="F2243" s="2" t="str">
        <f>"O_CONSULTA_LOG_MEIO_MAG"</f>
        <v>O_CONSULTA_LOG_MEIO_MAG</v>
      </c>
      <c r="G2243" s="2" t="str">
        <f>"Faturamento / Faturamento de Convênios e Particulares / Consultas / Notas Geração IPERGS (O_CONSULTA_LOG_MEIO_MAG)"</f>
        <v>Faturamento / Faturamento de Convênios e Particulares / Consultas / Notas Geração IPERGS (O_CONSULTA_LOG_MEIO_MAG)</v>
      </c>
    </row>
    <row r="2244" spans="1:7" x14ac:dyDescent="0.3">
      <c r="A2244" s="1" t="s">
        <v>4</v>
      </c>
      <c r="B2244" s="2" t="str">
        <f t="shared" si="192"/>
        <v>SISTEMA FATURAMENTO CONTAS DE CONVENIO</v>
      </c>
      <c r="C2244" s="2" t="str">
        <f t="shared" si="193"/>
        <v>FATUR-CONV</v>
      </c>
      <c r="D2244" s="2" t="str">
        <f t="shared" si="194"/>
        <v>FFCV</v>
      </c>
      <c r="E2244" s="2" t="str">
        <f>"R_MED_NAO_CONSTANTES_BRAS_IPE"</f>
        <v>R_MED_NAO_CONSTANTES_BRAS_IPE</v>
      </c>
      <c r="F2244" s="2" t="str">
        <f>"R_MED_NAO_CONSTANTES_BRAS_IPE"</f>
        <v>R_MED_NAO_CONSTANTES_BRAS_IPE</v>
      </c>
      <c r="G2244" s="2" t="str">
        <f>"Faturamento / Faturamento de Convênios e Particulares / Relatórios / Operacionais / Entrega de Geração em Meio Magnético / IPERGS  / Não Constantes no Brasíndice (R_MED_NAO_CONSTANTES_BRAS_IPE)"</f>
        <v>Faturamento / Faturamento de Convênios e Particulares / Relatórios / Operacionais / Entrega de Geração em Meio Magnético / IPERGS  / Não Constantes no Brasíndice (R_MED_NAO_CONSTANTES_BRAS_IPE)</v>
      </c>
    </row>
    <row r="2245" spans="1:7" x14ac:dyDescent="0.3">
      <c r="A2245" s="1" t="s">
        <v>4</v>
      </c>
      <c r="B2245" s="2" t="str">
        <f t="shared" si="192"/>
        <v>SISTEMA FATURAMENTO CONTAS DE CONVENIO</v>
      </c>
      <c r="C2245" s="2" t="str">
        <f t="shared" si="193"/>
        <v>FATUR-CONV</v>
      </c>
      <c r="D2245" s="2" t="str">
        <f t="shared" si="194"/>
        <v>FFCV</v>
      </c>
      <c r="E2245" s="2" t="str">
        <f>"O_GERAARQMAG_GERAL"</f>
        <v>O_GERAARQMAG_GERAL</v>
      </c>
      <c r="F2245" s="2" t="str">
        <f>"O_GERAARQMAG_GERAL"</f>
        <v>O_GERAARQMAG_GERAL</v>
      </c>
      <c r="G2245" s="2" t="str">
        <f t="shared" ref="G2245:G2254" si="196">" ()"</f>
        <v xml:space="preserve"> ()</v>
      </c>
    </row>
    <row r="2246" spans="1:7" x14ac:dyDescent="0.3">
      <c r="A2246" s="1" t="s">
        <v>4</v>
      </c>
      <c r="B2246" s="2" t="str">
        <f t="shared" ref="B2246:B2309" si="197">"SISTEMA FATURAMENTO CONTAS DE CONVENIO"</f>
        <v>SISTEMA FATURAMENTO CONTAS DE CONVENIO</v>
      </c>
      <c r="C2246" s="2" t="str">
        <f t="shared" ref="C2246:C2309" si="198">"FATUR-CONV"</f>
        <v>FATUR-CONV</v>
      </c>
      <c r="D2246" s="2" t="str">
        <f t="shared" ref="D2246:D2309" si="199">"FFCV"</f>
        <v>FFCV</v>
      </c>
      <c r="E2246" s="2" t="str">
        <f>"R_LOTE_POR-ATEND_448"</f>
        <v>R_LOTE_POR-ATEND_448</v>
      </c>
      <c r="F2246" s="2" t="str">
        <f>"R_LOTE_POR-ATEND_448"</f>
        <v>R_LOTE_POR-ATEND_448</v>
      </c>
      <c r="G2246" s="2" t="str">
        <f t="shared" si="196"/>
        <v xml:space="preserve"> ()</v>
      </c>
    </row>
    <row r="2247" spans="1:7" x14ac:dyDescent="0.3">
      <c r="A2247" s="1" t="s">
        <v>4</v>
      </c>
      <c r="B2247" s="2" t="str">
        <f t="shared" si="197"/>
        <v>SISTEMA FATURAMENTO CONTAS DE CONVENIO</v>
      </c>
      <c r="C2247" s="2" t="str">
        <f t="shared" si="198"/>
        <v>FATUR-CONV</v>
      </c>
      <c r="D2247" s="2" t="str">
        <f t="shared" si="199"/>
        <v>FFCV</v>
      </c>
      <c r="E2247" s="2" t="str">
        <f>"FRANQUIA_CONTA_FFCV"</f>
        <v>FRANQUIA_CONTA_FFCV</v>
      </c>
      <c r="F2247" s="2" t="str">
        <f>"FRANQUIA_CONTA_FFCV"</f>
        <v>FRANQUIA_CONTA_FFCV</v>
      </c>
      <c r="G2247" s="2" t="str">
        <f t="shared" si="196"/>
        <v xml:space="preserve"> ()</v>
      </c>
    </row>
    <row r="2248" spans="1:7" x14ac:dyDescent="0.3">
      <c r="A2248" s="1" t="s">
        <v>4</v>
      </c>
      <c r="B2248" s="2" t="str">
        <f t="shared" si="197"/>
        <v>SISTEMA FATURAMENTO CONTAS DE CONVENIO</v>
      </c>
      <c r="C2248" s="2" t="str">
        <f t="shared" si="198"/>
        <v>FATUR-CONV</v>
      </c>
      <c r="D2248" s="2" t="str">
        <f t="shared" si="199"/>
        <v>FFCV</v>
      </c>
      <c r="E2248" s="2" t="str">
        <f>"FRANQUIA_FFCV"</f>
        <v>FRANQUIA_FFCV</v>
      </c>
      <c r="F2248" s="2" t="str">
        <f>"FRANQUIA_FFCV"</f>
        <v>FRANQUIA_FFCV</v>
      </c>
      <c r="G2248" s="2" t="str">
        <f t="shared" si="196"/>
        <v xml:space="preserve"> ()</v>
      </c>
    </row>
    <row r="2249" spans="1:7" x14ac:dyDescent="0.3">
      <c r="A2249" s="1" t="s">
        <v>4</v>
      </c>
      <c r="B2249" s="2" t="str">
        <f t="shared" si="197"/>
        <v>SISTEMA FATURAMENTO CONTAS DE CONVENIO</v>
      </c>
      <c r="C2249" s="2" t="str">
        <f t="shared" si="198"/>
        <v>FATUR-CONV</v>
      </c>
      <c r="D2249" s="2" t="str">
        <f t="shared" si="199"/>
        <v>FFCV</v>
      </c>
      <c r="E2249" s="2" t="str">
        <f>"PACK_AUX_FFCV"</f>
        <v>PACK_AUX_FFCV</v>
      </c>
      <c r="F2249" s="2" t="str">
        <f>"PACK_AUX_FFCV"</f>
        <v>PACK_AUX_FFCV</v>
      </c>
      <c r="G2249" s="2" t="str">
        <f t="shared" si="196"/>
        <v xml:space="preserve"> ()</v>
      </c>
    </row>
    <row r="2250" spans="1:7" x14ac:dyDescent="0.3">
      <c r="A2250" s="1" t="s">
        <v>4</v>
      </c>
      <c r="B2250" s="2" t="str">
        <f t="shared" si="197"/>
        <v>SISTEMA FATURAMENTO CONTAS DE CONVENIO</v>
      </c>
      <c r="C2250" s="2" t="str">
        <f t="shared" si="198"/>
        <v>FATUR-CONV</v>
      </c>
      <c r="D2250" s="2" t="str">
        <f t="shared" si="199"/>
        <v>FFCV</v>
      </c>
      <c r="E2250" s="2" t="str">
        <f>"R_FAT_CC_RAT_GRU_PRO_DT_LANC"</f>
        <v>R_FAT_CC_RAT_GRU_PRO_DT_LANC</v>
      </c>
      <c r="F2250" s="2" t="str">
        <f>"R_FAT_CC_RAT_GRU_PRO_DT_LANC"</f>
        <v>R_FAT_CC_RAT_GRU_PRO_DT_LANC</v>
      </c>
      <c r="G2250" s="2" t="str">
        <f t="shared" si="196"/>
        <v xml:space="preserve"> ()</v>
      </c>
    </row>
    <row r="2251" spans="1:7" x14ac:dyDescent="0.3">
      <c r="A2251" s="1" t="s">
        <v>4</v>
      </c>
      <c r="B2251" s="2" t="str">
        <f t="shared" si="197"/>
        <v>SISTEMA FATURAMENTO CONTAS DE CONVENIO</v>
      </c>
      <c r="C2251" s="2" t="str">
        <f t="shared" si="198"/>
        <v>FATUR-CONV</v>
      </c>
      <c r="D2251" s="2" t="str">
        <f t="shared" si="199"/>
        <v>FFCV</v>
      </c>
      <c r="E2251" s="2" t="str">
        <f>"R_FAT_CC_RAT_GRU_PRO"</f>
        <v>R_FAT_CC_RAT_GRU_PRO</v>
      </c>
      <c r="F2251" s="2" t="str">
        <f>"R_FAT_CC_RAT_GRU_PRO"</f>
        <v>R_FAT_CC_RAT_GRU_PRO</v>
      </c>
      <c r="G2251" s="2" t="str">
        <f t="shared" si="196"/>
        <v xml:space="preserve"> ()</v>
      </c>
    </row>
    <row r="2252" spans="1:7" x14ac:dyDescent="0.3">
      <c r="A2252" s="1" t="s">
        <v>4</v>
      </c>
      <c r="B2252" s="2" t="str">
        <f t="shared" si="197"/>
        <v>SISTEMA FATURAMENTO CONTAS DE CONVENIO</v>
      </c>
      <c r="C2252" s="2" t="str">
        <f t="shared" si="198"/>
        <v>FATUR-CONV</v>
      </c>
      <c r="D2252" s="2" t="str">
        <f t="shared" si="199"/>
        <v>FFCV</v>
      </c>
      <c r="E2252" s="2" t="str">
        <f>"GERA_ARQMAG_ABRAMGE_CONNECTMED"</f>
        <v>GERA_ARQMAG_ABRAMGE_CONNECTMED</v>
      </c>
      <c r="F2252" s="2" t="str">
        <f>"GERA_ARQMAG_ABRAMGE_CONNECTMED"</f>
        <v>GERA_ARQMAG_ABRAMGE_CONNECTMED</v>
      </c>
      <c r="G2252" s="2" t="str">
        <f t="shared" si="196"/>
        <v xml:space="preserve"> ()</v>
      </c>
    </row>
    <row r="2253" spans="1:7" x14ac:dyDescent="0.3">
      <c r="A2253" s="1" t="s">
        <v>4</v>
      </c>
      <c r="B2253" s="2" t="str">
        <f t="shared" si="197"/>
        <v>SISTEMA FATURAMENTO CONTAS DE CONVENIO</v>
      </c>
      <c r="C2253" s="2" t="str">
        <f t="shared" si="198"/>
        <v>FATUR-CONV</v>
      </c>
      <c r="D2253" s="2" t="str">
        <f t="shared" si="199"/>
        <v>FFCV</v>
      </c>
      <c r="E2253" s="2" t="str">
        <f>"R_FAT_CONV_BAIRRO"</f>
        <v>R_FAT_CONV_BAIRRO</v>
      </c>
      <c r="F2253" s="2" t="str">
        <f>"R_FAT_CONV_BAIRRO"</f>
        <v>R_FAT_CONV_BAIRRO</v>
      </c>
      <c r="G2253" s="2" t="str">
        <f t="shared" si="196"/>
        <v xml:space="preserve"> ()</v>
      </c>
    </row>
    <row r="2254" spans="1:7" x14ac:dyDescent="0.3">
      <c r="A2254" s="1" t="s">
        <v>4</v>
      </c>
      <c r="B2254" s="2" t="str">
        <f t="shared" si="197"/>
        <v>SISTEMA FATURAMENTO CONTAS DE CONVENIO</v>
      </c>
      <c r="C2254" s="2" t="str">
        <f t="shared" si="198"/>
        <v>FATUR-CONV</v>
      </c>
      <c r="D2254" s="2" t="str">
        <f t="shared" si="199"/>
        <v>FFCV</v>
      </c>
      <c r="E2254" s="2" t="str">
        <f>"R_NOTA_FISCAL_754_146"</f>
        <v>R_NOTA_FISCAL_754_146</v>
      </c>
      <c r="F2254" s="2" t="str">
        <f>"R_NOTA_FISCAL_754_146"</f>
        <v>R_NOTA_FISCAL_754_146</v>
      </c>
      <c r="G2254" s="2" t="str">
        <f t="shared" si="196"/>
        <v xml:space="preserve"> ()</v>
      </c>
    </row>
    <row r="2255" spans="1:7" x14ac:dyDescent="0.3">
      <c r="A2255" s="1" t="s">
        <v>4</v>
      </c>
      <c r="B2255" s="2" t="str">
        <f t="shared" si="197"/>
        <v>SISTEMA FATURAMENTO CONTAS DE CONVENIO</v>
      </c>
      <c r="C2255" s="2" t="str">
        <f t="shared" si="198"/>
        <v>FATUR-CONV</v>
      </c>
      <c r="D2255" s="2" t="str">
        <f t="shared" si="199"/>
        <v>FFCV</v>
      </c>
      <c r="E2255" s="2" t="str">
        <f>"RELATÓRIO DE REMESSAS POR EMISSÃO"</f>
        <v>RELATÓRIO DE REMESSAS POR EMISSÃO</v>
      </c>
      <c r="F2255" s="2" t="str">
        <f>"R_RECURSO_REMESSA_GLOSA"</f>
        <v>R_RECURSO_REMESSA_GLOSA</v>
      </c>
      <c r="G2255" s="2" t="str">
        <f>"Faturamento / Faturamento de Convênios e Particulares / Relatórios / Operacionais / Situação das Notas Fiscais com Glosa (R_RECURSO_REMESSA_GLOSA)"</f>
        <v>Faturamento / Faturamento de Convênios e Particulares / Relatórios / Operacionais / Situação das Notas Fiscais com Glosa (R_RECURSO_REMESSA_GLOSA)</v>
      </c>
    </row>
    <row r="2256" spans="1:7" x14ac:dyDescent="0.3">
      <c r="A2256" s="1" t="s">
        <v>4</v>
      </c>
      <c r="B2256" s="2" t="str">
        <f t="shared" si="197"/>
        <v>SISTEMA FATURAMENTO CONTAS DE CONVENIO</v>
      </c>
      <c r="C2256" s="2" t="str">
        <f t="shared" si="198"/>
        <v>FATUR-CONV</v>
      </c>
      <c r="D2256" s="2" t="str">
        <f t="shared" si="199"/>
        <v>FFCV</v>
      </c>
      <c r="E2256" s="2" t="str">
        <f>"WIN_PRINCIPAL"</f>
        <v>WIN_PRINCIPAL</v>
      </c>
      <c r="F2256" s="2" t="str">
        <f>"M_VAL_HONO"</f>
        <v>M_VAL_HONO</v>
      </c>
      <c r="G2256" s="2" t="str">
        <f>" ()"</f>
        <v xml:space="preserve"> ()</v>
      </c>
    </row>
    <row r="2257" spans="1:7" x14ac:dyDescent="0.3">
      <c r="A2257" s="1" t="s">
        <v>4</v>
      </c>
      <c r="B2257" s="2" t="str">
        <f t="shared" si="197"/>
        <v>SISTEMA FATURAMENTO CONTAS DE CONVENIO</v>
      </c>
      <c r="C2257" s="2" t="str">
        <f t="shared" si="198"/>
        <v>FATUR-CONV</v>
      </c>
      <c r="D2257" s="2" t="str">
        <f t="shared" si="199"/>
        <v>FFCV</v>
      </c>
      <c r="E2257" s="2" t="str">
        <f>"RECIBO DO PACIENTE"</f>
        <v>RECIBO DO PACIENTE</v>
      </c>
      <c r="F2257" s="2" t="str">
        <f>"R_AUDITORIA_297"</f>
        <v>R_AUDITORIA_297</v>
      </c>
      <c r="G2257" s="2" t="str">
        <f>"Faturamento / Auditoria e Controle de Recursos de Glosas / Relatórios / Operacionais / Auditoria / Relatório de Auditoria Sintético (R_AUDITORIA_297)"</f>
        <v>Faturamento / Auditoria e Controle de Recursos de Glosas / Relatórios / Operacionais / Auditoria / Relatório de Auditoria Sintético (R_AUDITORIA_297)</v>
      </c>
    </row>
    <row r="2258" spans="1:7" x14ac:dyDescent="0.3">
      <c r="A2258" s="1" t="s">
        <v>4</v>
      </c>
      <c r="B2258" s="2" t="str">
        <f t="shared" si="197"/>
        <v>SISTEMA FATURAMENTO CONTAS DE CONVENIO</v>
      </c>
      <c r="C2258" s="2" t="str">
        <f t="shared" si="198"/>
        <v>FATUR-CONV</v>
      </c>
      <c r="D2258" s="2" t="str">
        <f t="shared" si="199"/>
        <v>FFCV</v>
      </c>
      <c r="E2258" s="2" t="str">
        <f>"M_GASES"</f>
        <v>M_GASES</v>
      </c>
      <c r="F2258" s="2" t="str">
        <f>"M_GASES"</f>
        <v>M_GASES</v>
      </c>
      <c r="G2258" s="2" t="str">
        <f>" ()"</f>
        <v xml:space="preserve"> ()</v>
      </c>
    </row>
    <row r="2259" spans="1:7" x14ac:dyDescent="0.3">
      <c r="A2259" s="1" t="s">
        <v>4</v>
      </c>
      <c r="B2259" s="2" t="str">
        <f t="shared" si="197"/>
        <v>SISTEMA FATURAMENTO CONTAS DE CONVENIO</v>
      </c>
      <c r="C2259" s="2" t="str">
        <f t="shared" si="198"/>
        <v>FATUR-CONV</v>
      </c>
      <c r="D2259" s="2" t="str">
        <f t="shared" si="199"/>
        <v>FFCV</v>
      </c>
      <c r="E2259" s="2" t="str">
        <f>"REL. ATEND. MÉDICOS ASSISTENTES P/ PROC"</f>
        <v>REL. ATEND. MÉDICOS ASSISTENTES P/ PROC</v>
      </c>
      <c r="F2259" s="2" t="str">
        <f>"R_ATEND_MED_ASSIST_PROCED"</f>
        <v>R_ATEND_MED_ASSIST_PROCED</v>
      </c>
      <c r="G2259" s="2" t="str">
        <f>" ()"</f>
        <v xml:space="preserve"> ()</v>
      </c>
    </row>
    <row r="2260" spans="1:7" x14ac:dyDescent="0.3">
      <c r="A2260" s="1" t="s">
        <v>4</v>
      </c>
      <c r="B2260" s="2" t="str">
        <f t="shared" si="197"/>
        <v>SISTEMA FATURAMENTO CONTAS DE CONVENIO</v>
      </c>
      <c r="C2260" s="2" t="str">
        <f t="shared" si="198"/>
        <v>FATUR-CONV</v>
      </c>
      <c r="D2260" s="2" t="str">
        <f t="shared" si="199"/>
        <v>FFCV</v>
      </c>
      <c r="E2260" s="2" t="str">
        <f>"REL. ATEND. MÉDICOS ASSISTENTES P/ GP"</f>
        <v>REL. ATEND. MÉDICOS ASSISTENTES P/ GP</v>
      </c>
      <c r="F2260" s="2" t="str">
        <f>"R_ATEND_MED_ASSIST_GRUPO"</f>
        <v>R_ATEND_MED_ASSIST_GRUPO</v>
      </c>
      <c r="G2260" s="2" t="str">
        <f>" ()"</f>
        <v xml:space="preserve"> ()</v>
      </c>
    </row>
    <row r="2261" spans="1:7" x14ac:dyDescent="0.3">
      <c r="A2261" s="1" t="s">
        <v>4</v>
      </c>
      <c r="B2261" s="2" t="str">
        <f t="shared" si="197"/>
        <v>SISTEMA FATURAMENTO CONTAS DE CONVENIO</v>
      </c>
      <c r="C2261" s="2" t="str">
        <f t="shared" si="198"/>
        <v>FATUR-CONV</v>
      </c>
      <c r="D2261" s="2" t="str">
        <f t="shared" si="199"/>
        <v>FFCV</v>
      </c>
      <c r="E2261" s="2" t="str">
        <f>"O_GERAARQMAG_ABRAMGE"</f>
        <v>O_GERAARQMAG_ABRAMGE</v>
      </c>
      <c r="F2261" s="2" t="str">
        <f>"O_GERAARQMAG_ABRAMGE"</f>
        <v>O_GERAARQMAG_ABRAMGE</v>
      </c>
      <c r="G2261" s="2" t="str">
        <f>" ()"</f>
        <v xml:space="preserve"> ()</v>
      </c>
    </row>
    <row r="2262" spans="1:7" x14ac:dyDescent="0.3">
      <c r="A2262" s="1" t="s">
        <v>4</v>
      </c>
      <c r="B2262" s="2" t="str">
        <f t="shared" si="197"/>
        <v>SISTEMA FATURAMENTO CONTAS DE CONVENIO</v>
      </c>
      <c r="C2262" s="2" t="str">
        <f t="shared" si="198"/>
        <v>FATUR-CONV</v>
      </c>
      <c r="D2262" s="2" t="str">
        <f t="shared" si="199"/>
        <v>FFCV</v>
      </c>
      <c r="E2262" s="2" t="str">
        <f>"TIPO DE ACOMODAÇÃO MEIO MAGNÉTICO"</f>
        <v>TIPO DE ACOMODAÇÃO MEIO MAGNÉTICO</v>
      </c>
      <c r="F2262" s="2" t="str">
        <f>"M_FAIXA_NOTA_IPE"</f>
        <v>M_FAIXA_NOTA_IPE</v>
      </c>
      <c r="G2262" s="2" t="str">
        <f>"Faturamento / Faturamento de Convênios e Particulares / Configurações / Geração de Fatura em Meio Magnético / Envio / Faixa de Notas (M_FAIXA_NOTA_IPE)"</f>
        <v>Faturamento / Faturamento de Convênios e Particulares / Configurações / Geração de Fatura em Meio Magnético / Envio / Faixa de Notas (M_FAIXA_NOTA_IPE)</v>
      </c>
    </row>
    <row r="2263" spans="1:7" x14ac:dyDescent="0.3">
      <c r="A2263" s="1" t="s">
        <v>4</v>
      </c>
      <c r="B2263" s="2" t="str">
        <f t="shared" si="197"/>
        <v>SISTEMA FATURAMENTO CONTAS DE CONVENIO</v>
      </c>
      <c r="C2263" s="2" t="str">
        <f t="shared" si="198"/>
        <v>FATUR-CONV</v>
      </c>
      <c r="D2263" s="2" t="str">
        <f t="shared" si="199"/>
        <v>FFCV</v>
      </c>
      <c r="E2263" s="2" t="str">
        <f>"LANCA_GASES_FFCV"</f>
        <v>LANCA_GASES_FFCV</v>
      </c>
      <c r="F2263" s="2" t="str">
        <f>"LANCA_GASES_FFCV"</f>
        <v>LANCA_GASES_FFCV</v>
      </c>
      <c r="G2263" s="2" t="str">
        <f t="shared" ref="G2263:G2276" si="200">" ()"</f>
        <v xml:space="preserve"> ()</v>
      </c>
    </row>
    <row r="2264" spans="1:7" x14ac:dyDescent="0.3">
      <c r="A2264" s="1" t="s">
        <v>4</v>
      </c>
      <c r="B2264" s="2" t="str">
        <f t="shared" si="197"/>
        <v>SISTEMA FATURAMENTO CONTAS DE CONVENIO</v>
      </c>
      <c r="C2264" s="2" t="str">
        <f t="shared" si="198"/>
        <v>FATUR-CONV</v>
      </c>
      <c r="D2264" s="2" t="str">
        <f t="shared" si="199"/>
        <v>FFCV</v>
      </c>
      <c r="E2264" s="2" t="str">
        <f>"R_TAB_VAL_CONV_900"</f>
        <v>R_TAB_VAL_CONV_900</v>
      </c>
      <c r="F2264" s="2" t="str">
        <f>"R_TAB_VAL_CONV_900"</f>
        <v>R_TAB_VAL_CONV_900</v>
      </c>
      <c r="G2264" s="2" t="str">
        <f t="shared" si="200"/>
        <v xml:space="preserve"> ()</v>
      </c>
    </row>
    <row r="2265" spans="1:7" x14ac:dyDescent="0.3">
      <c r="A2265" s="1" t="s">
        <v>4</v>
      </c>
      <c r="B2265" s="2" t="str">
        <f t="shared" si="197"/>
        <v>SISTEMA FATURAMENTO CONTAS DE CONVENIO</v>
      </c>
      <c r="C2265" s="2" t="str">
        <f t="shared" si="198"/>
        <v>FATUR-CONV</v>
      </c>
      <c r="D2265" s="2" t="str">
        <f t="shared" si="199"/>
        <v>FFCV</v>
      </c>
      <c r="E2265" s="2" t="str">
        <f>"O_AJUSTA_CONS_NAO_LANCADO"</f>
        <v>O_AJUSTA_CONS_NAO_LANCADO</v>
      </c>
      <c r="F2265" s="2" t="str">
        <f>"O_AJUSTA_CONS_NAO_LANCADO"</f>
        <v>O_AJUSTA_CONS_NAO_LANCADO</v>
      </c>
      <c r="G2265" s="2" t="str">
        <f t="shared" si="200"/>
        <v xml:space="preserve"> ()</v>
      </c>
    </row>
    <row r="2266" spans="1:7" x14ac:dyDescent="0.3">
      <c r="A2266" s="1" t="s">
        <v>4</v>
      </c>
      <c r="B2266" s="2" t="str">
        <f t="shared" si="197"/>
        <v>SISTEMA FATURAMENTO CONTAS DE CONVENIO</v>
      </c>
      <c r="C2266" s="2" t="str">
        <f t="shared" si="198"/>
        <v>FATUR-CONV</v>
      </c>
      <c r="D2266" s="2" t="str">
        <f t="shared" si="199"/>
        <v>FFCV</v>
      </c>
      <c r="E2266" s="2" t="str">
        <f>"R_FATURA_GRU_FAT_AMB"</f>
        <v>R_FATURA_GRU_FAT_AMB</v>
      </c>
      <c r="F2266" s="2" t="str">
        <f>"R_FATURA_GRU_FAT_AMB"</f>
        <v>R_FATURA_GRU_FAT_AMB</v>
      </c>
      <c r="G2266" s="2" t="str">
        <f t="shared" si="200"/>
        <v xml:space="preserve"> ()</v>
      </c>
    </row>
    <row r="2267" spans="1:7" x14ac:dyDescent="0.3">
      <c r="A2267" s="1" t="s">
        <v>4</v>
      </c>
      <c r="B2267" s="2" t="str">
        <f t="shared" si="197"/>
        <v>SISTEMA FATURAMENTO CONTAS DE CONVENIO</v>
      </c>
      <c r="C2267" s="2" t="str">
        <f t="shared" si="198"/>
        <v>FATUR-CONV</v>
      </c>
      <c r="D2267" s="2" t="str">
        <f t="shared" si="199"/>
        <v>FFCV</v>
      </c>
      <c r="E2267" s="2" t="str">
        <f>"R_FATURA_GRU_FAT"</f>
        <v>R_FATURA_GRU_FAT</v>
      </c>
      <c r="F2267" s="2" t="str">
        <f>"R_FATURA_GRU_FAT"</f>
        <v>R_FATURA_GRU_FAT</v>
      </c>
      <c r="G2267" s="2" t="str">
        <f t="shared" si="200"/>
        <v xml:space="preserve"> ()</v>
      </c>
    </row>
    <row r="2268" spans="1:7" x14ac:dyDescent="0.3">
      <c r="A2268" s="1" t="s">
        <v>4</v>
      </c>
      <c r="B2268" s="2" t="str">
        <f t="shared" si="197"/>
        <v>SISTEMA FATURAMENTO CONTAS DE CONVENIO</v>
      </c>
      <c r="C2268" s="2" t="str">
        <f t="shared" si="198"/>
        <v>FATUR-CONV</v>
      </c>
      <c r="D2268" s="2" t="str">
        <f t="shared" si="199"/>
        <v>FFCV</v>
      </c>
      <c r="E2268" s="2" t="str">
        <f>"NOTA FISCAL"</f>
        <v>NOTA FISCAL</v>
      </c>
      <c r="F2268" s="2" t="str">
        <f>"M_NOTA_FISCAL_340"</f>
        <v>M_NOTA_FISCAL_340</v>
      </c>
      <c r="G2268" s="2" t="str">
        <f t="shared" si="200"/>
        <v xml:space="preserve"> ()</v>
      </c>
    </row>
    <row r="2269" spans="1:7" x14ac:dyDescent="0.3">
      <c r="A2269" s="1" t="s">
        <v>4</v>
      </c>
      <c r="B2269" s="2" t="str">
        <f t="shared" si="197"/>
        <v>SISTEMA FATURAMENTO CONTAS DE CONVENIO</v>
      </c>
      <c r="C2269" s="2" t="str">
        <f t="shared" si="198"/>
        <v>FATUR-CONV</v>
      </c>
      <c r="D2269" s="2" t="str">
        <f t="shared" si="199"/>
        <v>FFCV</v>
      </c>
      <c r="E2269" s="2" t="str">
        <f>"WIN_PRINCIPAL - HOSPITAL MV SISTEMAS"</f>
        <v>WIN_PRINCIPAL - HOSPITAL MV SISTEMAS</v>
      </c>
      <c r="F2269" s="2" t="str">
        <f>"R_CONF_LANC_SERV"</f>
        <v>R_CONF_LANC_SERV</v>
      </c>
      <c r="G2269" s="2" t="str">
        <f t="shared" si="200"/>
        <v xml:space="preserve"> ()</v>
      </c>
    </row>
    <row r="2270" spans="1:7" x14ac:dyDescent="0.3">
      <c r="A2270" s="1" t="s">
        <v>4</v>
      </c>
      <c r="B2270" s="2" t="str">
        <f t="shared" si="197"/>
        <v>SISTEMA FATURAMENTO CONTAS DE CONVENIO</v>
      </c>
      <c r="C2270" s="2" t="str">
        <f t="shared" si="198"/>
        <v>FATUR-CONV</v>
      </c>
      <c r="D2270" s="2" t="str">
        <f t="shared" si="199"/>
        <v>FFCV</v>
      </c>
      <c r="E2270" s="2" t="str">
        <f>"REL DE RESUMO DO FAT. SEMESTRAL POR CONV"</f>
        <v>REL DE RESUMO DO FAT. SEMESTRAL POR CONV</v>
      </c>
      <c r="F2270" s="2" t="str">
        <f>"R_EST_FAT_SEMESTRAL_900"</f>
        <v>R_EST_FAT_SEMESTRAL_900</v>
      </c>
      <c r="G2270" s="2" t="str">
        <f t="shared" si="200"/>
        <v xml:space="preserve"> ()</v>
      </c>
    </row>
    <row r="2271" spans="1:7" x14ac:dyDescent="0.3">
      <c r="A2271" s="1" t="s">
        <v>4</v>
      </c>
      <c r="B2271" s="2" t="str">
        <f t="shared" si="197"/>
        <v>SISTEMA FATURAMENTO CONTAS DE CONVENIO</v>
      </c>
      <c r="C2271" s="2" t="str">
        <f t="shared" si="198"/>
        <v>FATUR-CONV</v>
      </c>
      <c r="D2271" s="2" t="str">
        <f t="shared" si="199"/>
        <v>FFCV</v>
      </c>
      <c r="E2271" s="2" t="str">
        <f>"LANCA_PAGU_AMB_FFC"</f>
        <v>LANCA_PAGU_AMB_FFC</v>
      </c>
      <c r="F2271" s="2" t="str">
        <f>"LANCA_PAGU_AMB_FFC"</f>
        <v>LANCA_PAGU_AMB_FFC</v>
      </c>
      <c r="G2271" s="2" t="str">
        <f t="shared" si="200"/>
        <v xml:space="preserve"> ()</v>
      </c>
    </row>
    <row r="2272" spans="1:7" x14ac:dyDescent="0.3">
      <c r="A2272" s="1" t="s">
        <v>4</v>
      </c>
      <c r="B2272" s="2" t="str">
        <f t="shared" si="197"/>
        <v>SISTEMA FATURAMENTO CONTAS DE CONVENIO</v>
      </c>
      <c r="C2272" s="2" t="str">
        <f t="shared" si="198"/>
        <v>FATUR-CONV</v>
      </c>
      <c r="D2272" s="2" t="str">
        <f t="shared" si="199"/>
        <v>FFCV</v>
      </c>
      <c r="E2272" s="2" t="str">
        <f>"O_GERAARQMAG_IPE"</f>
        <v>O_GERAARQMAG_IPE</v>
      </c>
      <c r="F2272" s="2" t="str">
        <f>"O_GERAARQMAG_IPE"</f>
        <v>O_GERAARQMAG_IPE</v>
      </c>
      <c r="G2272" s="2" t="str">
        <f t="shared" si="200"/>
        <v xml:space="preserve"> ()</v>
      </c>
    </row>
    <row r="2273" spans="1:7" x14ac:dyDescent="0.3">
      <c r="A2273" s="1" t="s">
        <v>4</v>
      </c>
      <c r="B2273" s="2" t="str">
        <f t="shared" si="197"/>
        <v>SISTEMA FATURAMENTO CONTAS DE CONVENIO</v>
      </c>
      <c r="C2273" s="2" t="str">
        <f t="shared" si="198"/>
        <v>FATUR-CONV</v>
      </c>
      <c r="D2273" s="2" t="str">
        <f t="shared" si="199"/>
        <v>FFCV</v>
      </c>
      <c r="E2273" s="2" t="str">
        <f>"R_GUIA_VENC"</f>
        <v>R_GUIA_VENC</v>
      </c>
      <c r="F2273" s="2" t="str">
        <f>"R_GUIA_VENC"</f>
        <v>R_GUIA_VENC</v>
      </c>
      <c r="G2273" s="2" t="str">
        <f t="shared" si="200"/>
        <v xml:space="preserve"> ()</v>
      </c>
    </row>
    <row r="2274" spans="1:7" x14ac:dyDescent="0.3">
      <c r="A2274" s="1" t="s">
        <v>4</v>
      </c>
      <c r="B2274" s="2" t="str">
        <f t="shared" si="197"/>
        <v>SISTEMA FATURAMENTO CONTAS DE CONVENIO</v>
      </c>
      <c r="C2274" s="2" t="str">
        <f t="shared" si="198"/>
        <v>FATUR-CONV</v>
      </c>
      <c r="D2274" s="2" t="str">
        <f t="shared" si="199"/>
        <v>FFCV</v>
      </c>
      <c r="E2274" s="2" t="str">
        <f>"TRG_REMESSA_FATURA_DT_ENTREGA"</f>
        <v>TRG_REMESSA_FATURA_DT_ENTREGA</v>
      </c>
      <c r="F2274" s="2" t="str">
        <f>"TRG_REMESSA_FATURA_DT_ENTREGA"</f>
        <v>TRG_REMESSA_FATURA_DT_ENTREGA</v>
      </c>
      <c r="G2274" s="2" t="str">
        <f t="shared" si="200"/>
        <v xml:space="preserve"> ()</v>
      </c>
    </row>
    <row r="2275" spans="1:7" x14ac:dyDescent="0.3">
      <c r="A2275" s="1" t="s">
        <v>4</v>
      </c>
      <c r="B2275" s="2" t="str">
        <f t="shared" si="197"/>
        <v>SISTEMA FATURAMENTO CONTAS DE CONVENIO</v>
      </c>
      <c r="C2275" s="2" t="str">
        <f t="shared" si="198"/>
        <v>FATUR-CONV</v>
      </c>
      <c r="D2275" s="2" t="str">
        <f t="shared" si="199"/>
        <v>FFCV</v>
      </c>
      <c r="E2275" s="2" t="str">
        <f>"R_AUDITORIA_388"</f>
        <v>R_AUDITORIA_388</v>
      </c>
      <c r="F2275" s="2" t="str">
        <f>"R_AUDITORIA_388"</f>
        <v>R_AUDITORIA_388</v>
      </c>
      <c r="G2275" s="2" t="str">
        <f t="shared" si="200"/>
        <v xml:space="preserve"> ()</v>
      </c>
    </row>
    <row r="2276" spans="1:7" x14ac:dyDescent="0.3">
      <c r="A2276" s="1" t="s">
        <v>4</v>
      </c>
      <c r="B2276" s="2" t="str">
        <f t="shared" si="197"/>
        <v>SISTEMA FATURAMENTO CONTAS DE CONVENIO</v>
      </c>
      <c r="C2276" s="2" t="str">
        <f t="shared" si="198"/>
        <v>FATUR-CONV</v>
      </c>
      <c r="D2276" s="2" t="str">
        <f t="shared" si="199"/>
        <v>FFCV</v>
      </c>
      <c r="E2276" s="2" t="str">
        <f>"CALCULA_STOP_LOSS"</f>
        <v>CALCULA_STOP_LOSS</v>
      </c>
      <c r="F2276" s="2" t="str">
        <f>"CALCULA_STOP_LOSS"</f>
        <v>CALCULA_STOP_LOSS</v>
      </c>
      <c r="G2276" s="2" t="str">
        <f t="shared" si="200"/>
        <v xml:space="preserve"> ()</v>
      </c>
    </row>
    <row r="2277" spans="1:7" x14ac:dyDescent="0.3">
      <c r="A2277" s="1" t="s">
        <v>4</v>
      </c>
      <c r="B2277" s="2" t="str">
        <f t="shared" si="197"/>
        <v>SISTEMA FATURAMENTO CONTAS DE CONVENIO</v>
      </c>
      <c r="C2277" s="2" t="str">
        <f t="shared" si="198"/>
        <v>FATUR-CONV</v>
      </c>
      <c r="D2277" s="2" t="str">
        <f t="shared" si="199"/>
        <v>FFCV</v>
      </c>
      <c r="E2277" s="2" t="str">
        <f>"WIN_PRINCIPAL"</f>
        <v>WIN_PRINCIPAL</v>
      </c>
      <c r="F2277" s="2" t="str">
        <f>"C_GUIAS_VENC"</f>
        <v>C_GUIAS_VENC</v>
      </c>
      <c r="G2277" s="2" t="str">
        <f>"MVSaude / Vendas / Internação / Consultas / Guias / Vencidas (C_GUIAS_VENC)"</f>
        <v>MVSaude / Vendas / Internação / Consultas / Guias / Vencidas (C_GUIAS_VENC)</v>
      </c>
    </row>
    <row r="2278" spans="1:7" x14ac:dyDescent="0.3">
      <c r="A2278" s="1" t="s">
        <v>4</v>
      </c>
      <c r="B2278" s="2" t="str">
        <f t="shared" si="197"/>
        <v>SISTEMA FATURAMENTO CONTAS DE CONVENIO</v>
      </c>
      <c r="C2278" s="2" t="str">
        <f t="shared" si="198"/>
        <v>FATUR-CONV</v>
      </c>
      <c r="D2278" s="2" t="str">
        <f t="shared" si="199"/>
        <v>FFCV</v>
      </c>
      <c r="E2278" s="2" t="str">
        <f>"WIN_PRINCIPAL"</f>
        <v>WIN_PRINCIPAL</v>
      </c>
      <c r="F2278" s="2" t="str">
        <f>"C_GUIAS_VENC"</f>
        <v>C_GUIAS_VENC</v>
      </c>
      <c r="G2278" s="2" t="str">
        <f>"Faturamento / Faturamento de Convênios e Particulares / Consultas / Guias Vencidas (C_GUIAS_VENC)"</f>
        <v>Faturamento / Faturamento de Convênios e Particulares / Consultas / Guias Vencidas (C_GUIAS_VENC)</v>
      </c>
    </row>
    <row r="2279" spans="1:7" x14ac:dyDescent="0.3">
      <c r="A2279" s="1" t="s">
        <v>4</v>
      </c>
      <c r="B2279" s="2" t="str">
        <f t="shared" si="197"/>
        <v>SISTEMA FATURAMENTO CONTAS DE CONVENIO</v>
      </c>
      <c r="C2279" s="2" t="str">
        <f t="shared" si="198"/>
        <v>FATUR-CONV</v>
      </c>
      <c r="D2279" s="2" t="str">
        <f t="shared" si="199"/>
        <v>FFCV</v>
      </c>
      <c r="E2279" s="2" t="str">
        <f>"WIN_PRINCIPAL"</f>
        <v>WIN_PRINCIPAL</v>
      </c>
      <c r="F2279" s="2" t="str">
        <f>"C_GUIAS_VENC"</f>
        <v>C_GUIAS_VENC</v>
      </c>
      <c r="G2279" s="2" t="str">
        <f>"MVSaude / Atendimento / Autorizações de Guias / Internação / Consultas / Guias / Vencidas (C_GUIAS_VENC)"</f>
        <v>MVSaude / Atendimento / Autorizações de Guias / Internação / Consultas / Guias / Vencidas (C_GUIAS_VENC)</v>
      </c>
    </row>
    <row r="2280" spans="1:7" x14ac:dyDescent="0.3">
      <c r="A2280" s="1" t="s">
        <v>4</v>
      </c>
      <c r="B2280" s="2" t="str">
        <f t="shared" si="197"/>
        <v>SISTEMA FATURAMENTO CONTAS DE CONVENIO</v>
      </c>
      <c r="C2280" s="2" t="str">
        <f t="shared" si="198"/>
        <v>FATUR-CONV</v>
      </c>
      <c r="D2280" s="2" t="str">
        <f t="shared" si="199"/>
        <v>FFCV</v>
      </c>
      <c r="E2280" s="2" t="str">
        <f>"CATEGORIAS DE PLANOS"</f>
        <v>CATEGORIAS DE PLANOS</v>
      </c>
      <c r="F2280" s="2" t="str">
        <f>"M_CATEGORIA_PLANO"</f>
        <v>M_CATEGORIA_PLANO</v>
      </c>
      <c r="G2280" s="2" t="str">
        <f>"Faturamento / Faturamento de Convênios e Particulares / Tabelas / Cobranças e Tabelas / Categoria de Planos (M_CATEGORIA_PLANO)"</f>
        <v>Faturamento / Faturamento de Convênios e Particulares / Tabelas / Cobranças e Tabelas / Categoria de Planos (M_CATEGORIA_PLANO)</v>
      </c>
    </row>
    <row r="2281" spans="1:7" x14ac:dyDescent="0.3">
      <c r="A2281" s="1" t="s">
        <v>4</v>
      </c>
      <c r="B2281" s="2" t="str">
        <f t="shared" si="197"/>
        <v>SISTEMA FATURAMENTO CONTAS DE CONVENIO</v>
      </c>
      <c r="C2281" s="2" t="str">
        <f t="shared" si="198"/>
        <v>FATUR-CONV</v>
      </c>
      <c r="D2281" s="2" t="str">
        <f t="shared" si="199"/>
        <v>FFCV</v>
      </c>
      <c r="E2281" s="2" t="str">
        <f>"REL. REC POR CENTRO DE C. X PREST DT LAN"</f>
        <v>REL. REC POR CENTRO DE C. X PREST DT LAN</v>
      </c>
      <c r="F2281" s="2" t="str">
        <f>"R_FAT_CC_PRESTADOR_DT_LANC"</f>
        <v>R_FAT_CC_PRESTADOR_DT_LANC</v>
      </c>
      <c r="G2281" s="2" t="str">
        <f>" ()"</f>
        <v xml:space="preserve"> ()</v>
      </c>
    </row>
    <row r="2282" spans="1:7" x14ac:dyDescent="0.3">
      <c r="A2282" s="1" t="s">
        <v>4</v>
      </c>
      <c r="B2282" s="2" t="str">
        <f t="shared" si="197"/>
        <v>SISTEMA FATURAMENTO CONTAS DE CONVENIO</v>
      </c>
      <c r="C2282" s="2" t="str">
        <f t="shared" si="198"/>
        <v>FATUR-CONV</v>
      </c>
      <c r="D2282" s="2" t="str">
        <f t="shared" si="199"/>
        <v>FFCV</v>
      </c>
      <c r="E2282" s="2" t="str">
        <f>"REL. REC POR CENTRO DE CUSTO X PRESTADOR"</f>
        <v>REL. REC POR CENTRO DE CUSTO X PRESTADOR</v>
      </c>
      <c r="F2282" s="2" t="str">
        <f>"R_FAT_CC_PRESTADOR"</f>
        <v>R_FAT_CC_PRESTADOR</v>
      </c>
      <c r="G2282" s="2" t="str">
        <f>"Faturamento / Faturamento de Convênios e Particulares / Relatórios / Gerenciais / Receita por Centro de Custo / Por Prestador (R_FAT_CC_PRESTADOR)"</f>
        <v>Faturamento / Faturamento de Convênios e Particulares / Relatórios / Gerenciais / Receita por Centro de Custo / Por Prestador (R_FAT_CC_PRESTADOR)</v>
      </c>
    </row>
    <row r="2283" spans="1:7" x14ac:dyDescent="0.3">
      <c r="A2283" s="1" t="s">
        <v>4</v>
      </c>
      <c r="B2283" s="2" t="str">
        <f t="shared" si="197"/>
        <v>SISTEMA FATURAMENTO CONTAS DE CONVENIO</v>
      </c>
      <c r="C2283" s="2" t="str">
        <f t="shared" si="198"/>
        <v>FATUR-CONV</v>
      </c>
      <c r="D2283" s="2" t="str">
        <f t="shared" si="199"/>
        <v>FFCV</v>
      </c>
      <c r="E2283" s="2" t="str">
        <f>"RELATÓRIO DE APRESENTAÇÃO POR REMESSA"</f>
        <v>RELATÓRIO DE APRESENTAÇÃO POR REMESSA</v>
      </c>
      <c r="F2283" s="2" t="str">
        <f>"R_CAPA_REMESSA"</f>
        <v>R_CAPA_REMESSA</v>
      </c>
      <c r="G2283" s="2" t="str">
        <f>"Faturamento / Faturamento de Convênios e Particulares / Relatórios / Operacionais / Entrega de Geração em Meio Magnético / IPERGS  / Capa de Entrega  (R_CAPA_REMESSA)"</f>
        <v>Faturamento / Faturamento de Convênios e Particulares / Relatórios / Operacionais / Entrega de Geração em Meio Magnético / IPERGS  / Capa de Entrega  (R_CAPA_REMESSA)</v>
      </c>
    </row>
    <row r="2284" spans="1:7" x14ac:dyDescent="0.3">
      <c r="A2284" s="1" t="s">
        <v>4</v>
      </c>
      <c r="B2284" s="2" t="str">
        <f t="shared" si="197"/>
        <v>SISTEMA FATURAMENTO CONTAS DE CONVENIO</v>
      </c>
      <c r="C2284" s="2" t="str">
        <f t="shared" si="198"/>
        <v>FATUR-CONV</v>
      </c>
      <c r="D2284" s="2" t="str">
        <f t="shared" si="199"/>
        <v>FFCV</v>
      </c>
      <c r="E2284" s="2" t="str">
        <f>"GERA_ARQMAG_UNI_NATAL"</f>
        <v>GERA_ARQMAG_UNI_NATAL</v>
      </c>
      <c r="F2284" s="2" t="str">
        <f>"GERA_ARQMAG_UNI_NATAL"</f>
        <v>GERA_ARQMAG_UNI_NATAL</v>
      </c>
      <c r="G2284" s="2" t="str">
        <f>" ()"</f>
        <v xml:space="preserve"> ()</v>
      </c>
    </row>
    <row r="2285" spans="1:7" x14ac:dyDescent="0.3">
      <c r="A2285" s="1" t="s">
        <v>4</v>
      </c>
      <c r="B2285" s="2" t="str">
        <f t="shared" si="197"/>
        <v>SISTEMA FATURAMENTO CONTAS DE CONVENIO</v>
      </c>
      <c r="C2285" s="2" t="str">
        <f t="shared" si="198"/>
        <v>FATUR-CONV</v>
      </c>
      <c r="D2285" s="2" t="str">
        <f t="shared" si="199"/>
        <v>FFCV</v>
      </c>
      <c r="E2285" s="2" t="str">
        <f>" DEM  MEDICO ANAL P/ DT LANC FILME SEPAR"</f>
        <v xml:space="preserve"> DEM  MEDICO ANAL P/ DT LANC FILME SEPAR</v>
      </c>
      <c r="F2285" s="2" t="str">
        <f>"R_DEMO_MED_ANA_DT_LANC_FILME"</f>
        <v>R_DEMO_MED_ANA_DT_LANC_FILME</v>
      </c>
      <c r="G2285" s="2" t="str">
        <f>" ()"</f>
        <v xml:space="preserve"> ()</v>
      </c>
    </row>
    <row r="2286" spans="1:7" x14ac:dyDescent="0.3">
      <c r="A2286" s="1" t="s">
        <v>4</v>
      </c>
      <c r="B2286" s="2" t="str">
        <f t="shared" si="197"/>
        <v>SISTEMA FATURAMENTO CONTAS DE CONVENIO</v>
      </c>
      <c r="C2286" s="2" t="str">
        <f t="shared" si="198"/>
        <v>FATUR-CONV</v>
      </c>
      <c r="D2286" s="2" t="str">
        <f t="shared" si="199"/>
        <v>FFCV</v>
      </c>
      <c r="E2286" s="2" t="str">
        <f>"REL. DEM. MÉDICO ANAL. C/ FILME SEPARADO"</f>
        <v>REL. DEM. MÉDICO ANAL. C/ FILME SEPARADO</v>
      </c>
      <c r="F2286" s="2" t="str">
        <f>"R_DEMO_MED_ANA_FILME"</f>
        <v>R_DEMO_MED_ANA_FILME</v>
      </c>
      <c r="G2286" s="2" t="str">
        <f>" ()"</f>
        <v xml:space="preserve"> ()</v>
      </c>
    </row>
    <row r="2287" spans="1:7" x14ac:dyDescent="0.3">
      <c r="A2287" s="1" t="s">
        <v>4</v>
      </c>
      <c r="B2287" s="2" t="str">
        <f t="shared" si="197"/>
        <v>SISTEMA FATURAMENTO CONTAS DE CONVENIO</v>
      </c>
      <c r="C2287" s="2" t="str">
        <f t="shared" si="198"/>
        <v>FATUR-CONV</v>
      </c>
      <c r="D2287" s="2" t="str">
        <f t="shared" si="199"/>
        <v>FFCV</v>
      </c>
      <c r="E2287" s="2" t="str">
        <f>"RESUMO DE SITUAÇÃO DAS CONTAS"</f>
        <v>RESUMO DE SITUAÇÃO DAS CONTAS</v>
      </c>
      <c r="F2287" s="2" t="str">
        <f>"C_RESUMO_SIT_CONTAS"</f>
        <v>C_RESUMO_SIT_CONTAS</v>
      </c>
      <c r="G2287" s="2" t="str">
        <f>"Faturamento / Faturamento de Convênios e Particulares / Consultas / Resumos / Resumo de Situação das Contas (C_RESUMO_SIT_CONTAS)"</f>
        <v>Faturamento / Faturamento de Convênios e Particulares / Consultas / Resumos / Resumo de Situação das Contas (C_RESUMO_SIT_CONTAS)</v>
      </c>
    </row>
    <row r="2288" spans="1:7" x14ac:dyDescent="0.3">
      <c r="A2288" s="1" t="s">
        <v>4</v>
      </c>
      <c r="B2288" s="2" t="str">
        <f t="shared" si="197"/>
        <v>SISTEMA FATURAMENTO CONTAS DE CONVENIO</v>
      </c>
      <c r="C2288" s="2" t="str">
        <f t="shared" si="198"/>
        <v>FATUR-CONV</v>
      </c>
      <c r="D2288" s="2" t="str">
        <f t="shared" si="199"/>
        <v>FFCV</v>
      </c>
      <c r="E2288" s="2" t="str">
        <f>"CADASTRO: PERCENTUAL DE CONSIGNAÇÃO"</f>
        <v>CADASTRO: PERCENTUAL DE CONSIGNAÇÃO</v>
      </c>
      <c r="F2288" s="2" t="str">
        <f>"M_PERCENTUAL_CONSIGNADO"</f>
        <v>M_PERCENTUAL_CONSIGNADO</v>
      </c>
      <c r="G2288" s="2" t="str">
        <f>"Faturamento / Faturamento de Convênios e Particulares / Tabelas / Cobranças e Tabelas / Percentual de Consignação (M_PERCENTUAL_CONSIGNADO)"</f>
        <v>Faturamento / Faturamento de Convênios e Particulares / Tabelas / Cobranças e Tabelas / Percentual de Consignação (M_PERCENTUAL_CONSIGNADO)</v>
      </c>
    </row>
    <row r="2289" spans="1:7" x14ac:dyDescent="0.3">
      <c r="A2289" s="1" t="s">
        <v>4</v>
      </c>
      <c r="B2289" s="2" t="str">
        <f t="shared" si="197"/>
        <v>SISTEMA FATURAMENTO CONTAS DE CONVENIO</v>
      </c>
      <c r="C2289" s="2" t="str">
        <f t="shared" si="198"/>
        <v>FATUR-CONV</v>
      </c>
      <c r="D2289" s="2" t="str">
        <f t="shared" si="199"/>
        <v>FFCV</v>
      </c>
      <c r="E2289" s="2" t="str">
        <f>"R_FAT_ESPEC_IDADE"</f>
        <v>R_FAT_ESPEC_IDADE</v>
      </c>
      <c r="F2289" s="2" t="str">
        <f>"R_FAT_ESPEC_IDADE"</f>
        <v>R_FAT_ESPEC_IDADE</v>
      </c>
      <c r="G2289" s="2" t="str">
        <f>" ()"</f>
        <v xml:space="preserve"> ()</v>
      </c>
    </row>
    <row r="2290" spans="1:7" x14ac:dyDescent="0.3">
      <c r="A2290" s="1" t="s">
        <v>4</v>
      </c>
      <c r="B2290" s="2" t="str">
        <f t="shared" si="197"/>
        <v>SISTEMA FATURAMENTO CONTAS DE CONVENIO</v>
      </c>
      <c r="C2290" s="2" t="str">
        <f t="shared" si="198"/>
        <v>FATUR-CONV</v>
      </c>
      <c r="D2290" s="2" t="str">
        <f t="shared" si="199"/>
        <v>FFCV</v>
      </c>
      <c r="E2290" s="2" t="str">
        <f>"R_FAT_PREST_IDADE"</f>
        <v>R_FAT_PREST_IDADE</v>
      </c>
      <c r="F2290" s="2" t="str">
        <f>"R_FAT_PREST_IDADE"</f>
        <v>R_FAT_PREST_IDADE</v>
      </c>
      <c r="G2290" s="2" t="str">
        <f>" ()"</f>
        <v xml:space="preserve"> ()</v>
      </c>
    </row>
    <row r="2291" spans="1:7" x14ac:dyDescent="0.3">
      <c r="A2291" s="1" t="s">
        <v>4</v>
      </c>
      <c r="B2291" s="2" t="str">
        <f t="shared" si="197"/>
        <v>SISTEMA FATURAMENTO CONTAS DE CONVENIO</v>
      </c>
      <c r="C2291" s="2" t="str">
        <f t="shared" si="198"/>
        <v>FATUR-CONV</v>
      </c>
      <c r="D2291" s="2" t="str">
        <f t="shared" si="199"/>
        <v>FFCV</v>
      </c>
      <c r="E2291" s="2" t="str">
        <f>"GERENCIAL - REC POR CONVENIO X FAIX DT L"</f>
        <v>GERENCIAL - REC POR CONVENIO X FAIX DT L</v>
      </c>
      <c r="F2291" s="2" t="str">
        <f>"R_FAT_CONV_IDADE_DT_LANC"</f>
        <v>R_FAT_CONV_IDADE_DT_LANC</v>
      </c>
      <c r="G2291" s="2" t="str">
        <f>" ()"</f>
        <v xml:space="preserve"> ()</v>
      </c>
    </row>
    <row r="2292" spans="1:7" x14ac:dyDescent="0.3">
      <c r="A2292" s="1" t="s">
        <v>4</v>
      </c>
      <c r="B2292" s="2" t="str">
        <f t="shared" si="197"/>
        <v>SISTEMA FATURAMENTO CONTAS DE CONVENIO</v>
      </c>
      <c r="C2292" s="2" t="str">
        <f t="shared" si="198"/>
        <v>FATUR-CONV</v>
      </c>
      <c r="D2292" s="2" t="str">
        <f t="shared" si="199"/>
        <v>FFCV</v>
      </c>
      <c r="E2292" s="2" t="str">
        <f>"GERA_ARQMAG_UNIARARAQUARA"</f>
        <v>GERA_ARQMAG_UNIARARAQUARA</v>
      </c>
      <c r="F2292" s="2" t="str">
        <f>"GERA_ARQMAG_UNIARARAQUARA"</f>
        <v>GERA_ARQMAG_UNIARARAQUARA</v>
      </c>
      <c r="G2292" s="2" t="str">
        <f>" ()"</f>
        <v xml:space="preserve"> ()</v>
      </c>
    </row>
    <row r="2293" spans="1:7" x14ac:dyDescent="0.3">
      <c r="A2293" s="1" t="s">
        <v>4</v>
      </c>
      <c r="B2293" s="2" t="str">
        <f t="shared" si="197"/>
        <v>SISTEMA FATURAMENTO CONTAS DE CONVENIO</v>
      </c>
      <c r="C2293" s="2" t="str">
        <f t="shared" si="198"/>
        <v>FATUR-CONV</v>
      </c>
      <c r="D2293" s="2" t="str">
        <f t="shared" si="199"/>
        <v>FFCV</v>
      </c>
      <c r="E2293" s="2" t="str">
        <f>"R_FAT_CC_RECEITA_DT_LANC"</f>
        <v>R_FAT_CC_RECEITA_DT_LANC</v>
      </c>
      <c r="F2293" s="2" t="str">
        <f>"R_FAT_CC_RECEITA_DT_LANC"</f>
        <v>R_FAT_CC_RECEITA_DT_LANC</v>
      </c>
      <c r="G2293" s="2" t="str">
        <f>" ()"</f>
        <v xml:space="preserve"> ()</v>
      </c>
    </row>
    <row r="2294" spans="1:7" x14ac:dyDescent="0.3">
      <c r="A2294" s="1" t="s">
        <v>4</v>
      </c>
      <c r="B2294" s="2" t="str">
        <f t="shared" si="197"/>
        <v>SISTEMA FATURAMENTO CONTAS DE CONVENIO</v>
      </c>
      <c r="C2294" s="2" t="str">
        <f t="shared" si="198"/>
        <v>FATUR-CONV</v>
      </c>
      <c r="D2294" s="2" t="str">
        <f t="shared" si="199"/>
        <v>FFCV</v>
      </c>
      <c r="E2294" s="2" t="str">
        <f>"RELATÓRIO DE RECEITA POR COD. CONTABIL"</f>
        <v>RELATÓRIO DE RECEITA POR COD. CONTABIL</v>
      </c>
      <c r="F2294" s="2" t="str">
        <f>"R_FAT_CC_RECEITA"</f>
        <v>R_FAT_CC_RECEITA</v>
      </c>
      <c r="G2294" s="2" t="str">
        <f>"Faturamento / Faturamento de Convênios e Particulares / Relatórios / Gerenciais / Receita por Conta Contábil (R_FAT_CC_RECEITA)"</f>
        <v>Faturamento / Faturamento de Convênios e Particulares / Relatórios / Gerenciais / Receita por Conta Contábil (R_FAT_CC_RECEITA)</v>
      </c>
    </row>
    <row r="2295" spans="1:7" x14ac:dyDescent="0.3">
      <c r="A2295" s="1" t="s">
        <v>4</v>
      </c>
      <c r="B2295" s="2" t="str">
        <f t="shared" si="197"/>
        <v>SISTEMA FATURAMENTO CONTAS DE CONVENIO</v>
      </c>
      <c r="C2295" s="2" t="str">
        <f t="shared" si="198"/>
        <v>FATUR-CONV</v>
      </c>
      <c r="D2295" s="2" t="str">
        <f t="shared" si="199"/>
        <v>FFCV</v>
      </c>
      <c r="E2295" s="2" t="str">
        <f>"R_FAT_BAIRRO_DT_LANC"</f>
        <v>R_FAT_BAIRRO_DT_LANC</v>
      </c>
      <c r="F2295" s="2" t="str">
        <f>"R_FAT_BAIRRO_DT_LANC"</f>
        <v>R_FAT_BAIRRO_DT_LANC</v>
      </c>
      <c r="G2295" s="2" t="str">
        <f>" ()"</f>
        <v xml:space="preserve"> ()</v>
      </c>
    </row>
    <row r="2296" spans="1:7" x14ac:dyDescent="0.3">
      <c r="A2296" s="1" t="s">
        <v>4</v>
      </c>
      <c r="B2296" s="2" t="str">
        <f t="shared" si="197"/>
        <v>SISTEMA FATURAMENTO CONTAS DE CONVENIO</v>
      </c>
      <c r="C2296" s="2" t="str">
        <f t="shared" si="198"/>
        <v>FATUR-CONV</v>
      </c>
      <c r="D2296" s="2" t="str">
        <f t="shared" si="199"/>
        <v>FFCV</v>
      </c>
      <c r="E2296" s="2" t="str">
        <f>"REL.GERENCIAL FATURA POR BAIRRO"</f>
        <v>REL.GERENCIAL FATURA POR BAIRRO</v>
      </c>
      <c r="F2296" s="2" t="str">
        <f>"R_FAT_BAIRRO_LANC"</f>
        <v>R_FAT_BAIRRO_LANC</v>
      </c>
      <c r="G2296" s="2" t="str">
        <f>" ()"</f>
        <v xml:space="preserve"> ()</v>
      </c>
    </row>
    <row r="2297" spans="1:7" x14ac:dyDescent="0.3">
      <c r="A2297" s="1" t="s">
        <v>4</v>
      </c>
      <c r="B2297" s="2" t="str">
        <f t="shared" si="197"/>
        <v>SISTEMA FATURAMENTO CONTAS DE CONVENIO</v>
      </c>
      <c r="C2297" s="2" t="str">
        <f t="shared" si="198"/>
        <v>FATUR-CONV</v>
      </c>
      <c r="D2297" s="2" t="str">
        <f t="shared" si="199"/>
        <v>FFCV</v>
      </c>
      <c r="E2297" s="2" t="str">
        <f>"RELATORIO FATURAMENTO BAIRRO"</f>
        <v>RELATORIO FATURAMENTO BAIRRO</v>
      </c>
      <c r="F2297" s="2" t="str">
        <f>"REL.FAT.BAIRRO"</f>
        <v>REL.FAT.BAIRRO</v>
      </c>
      <c r="G2297" s="2" t="str">
        <f>" ()"</f>
        <v xml:space="preserve"> ()</v>
      </c>
    </row>
    <row r="2298" spans="1:7" x14ac:dyDescent="0.3">
      <c r="A2298" s="1" t="s">
        <v>4</v>
      </c>
      <c r="B2298" s="2" t="str">
        <f t="shared" si="197"/>
        <v>SISTEMA FATURAMENTO CONTAS DE CONVENIO</v>
      </c>
      <c r="C2298" s="2" t="str">
        <f t="shared" si="198"/>
        <v>FATUR-CONV</v>
      </c>
      <c r="D2298" s="2" t="str">
        <f t="shared" si="199"/>
        <v>FFCV</v>
      </c>
      <c r="E2298" s="2" t="str">
        <f>"M_AUDITORIA_AMB"</f>
        <v>M_AUDITORIA_AMB</v>
      </c>
      <c r="F2298" s="2" t="str">
        <f>"M_AUDITORIA_AMB"</f>
        <v>M_AUDITORIA_AMB</v>
      </c>
      <c r="G2298" s="2" t="str">
        <f>"Faturamento / Auditoria e Controle de Recursos de Glosas / Lançamentos  / Auditoria Conta Ambulatorial (M_AUDITORIA_AMB)"</f>
        <v>Faturamento / Auditoria e Controle de Recursos de Glosas / Lançamentos  / Auditoria Conta Ambulatorial (M_AUDITORIA_AMB)</v>
      </c>
    </row>
    <row r="2299" spans="1:7" x14ac:dyDescent="0.3">
      <c r="A2299" s="1" t="s">
        <v>4</v>
      </c>
      <c r="B2299" s="2" t="str">
        <f t="shared" si="197"/>
        <v>SISTEMA FATURAMENTO CONTAS DE CONVENIO</v>
      </c>
      <c r="C2299" s="2" t="str">
        <f t="shared" si="198"/>
        <v>FATUR-CONV</v>
      </c>
      <c r="D2299" s="2" t="str">
        <f t="shared" si="199"/>
        <v>FFCV</v>
      </c>
      <c r="E2299" s="2" t="str">
        <f>"AUDITORIA DE CONTA HOSPITALAR"</f>
        <v>AUDITORIA DE CONTA HOSPITALAR</v>
      </c>
      <c r="F2299" s="2" t="str">
        <f>"M_AUDITORIA_CONTA"</f>
        <v>M_AUDITORIA_CONTA</v>
      </c>
      <c r="G2299" s="2" t="str">
        <f>" ()"</f>
        <v xml:space="preserve"> ()</v>
      </c>
    </row>
    <row r="2300" spans="1:7" x14ac:dyDescent="0.3">
      <c r="A2300" s="1" t="s">
        <v>4</v>
      </c>
      <c r="B2300" s="2" t="str">
        <f t="shared" si="197"/>
        <v>SISTEMA FATURAMENTO CONTAS DE CONVENIO</v>
      </c>
      <c r="C2300" s="2" t="str">
        <f t="shared" si="198"/>
        <v>FATUR-CONV</v>
      </c>
      <c r="D2300" s="2" t="str">
        <f t="shared" si="199"/>
        <v>FFCV</v>
      </c>
      <c r="E2300" s="2" t="str">
        <f>"CONFIGURAÇÃO DO STOP LOSS"</f>
        <v>CONFIGURAÇÃO DO STOP LOSS</v>
      </c>
      <c r="F2300" s="2" t="str">
        <f>"M_REGRA_SL"</f>
        <v>M_REGRA_SL</v>
      </c>
      <c r="G2300" s="2" t="str">
        <f>"Faturamento / Faturamento de Convênios e Particulares / Tabelas / Cobranças e Tabelas / Stop Loss (M_REGRA_SL)"</f>
        <v>Faturamento / Faturamento de Convênios e Particulares / Tabelas / Cobranças e Tabelas / Stop Loss (M_REGRA_SL)</v>
      </c>
    </row>
    <row r="2301" spans="1:7" x14ac:dyDescent="0.3">
      <c r="A2301" s="1" t="s">
        <v>4</v>
      </c>
      <c r="B2301" s="2" t="str">
        <f t="shared" si="197"/>
        <v>SISTEMA FATURAMENTO CONTAS DE CONVENIO</v>
      </c>
      <c r="C2301" s="2" t="str">
        <f t="shared" si="198"/>
        <v>FATUR-CONV</v>
      </c>
      <c r="D2301" s="2" t="str">
        <f t="shared" si="199"/>
        <v>FFCV</v>
      </c>
      <c r="E2301" s="2" t="str">
        <f>"GERAÇÃO DE REMESSA COMPLEMENTAR"</f>
        <v>GERAÇÃO DE REMESSA COMPLEMENTAR</v>
      </c>
      <c r="F2301" s="2" t="str">
        <f>"M_GRAVA_AMB_INT"</f>
        <v>M_GRAVA_AMB_INT</v>
      </c>
      <c r="G2301" s="2" t="str">
        <f>"Faturamento / Faturamento de Convênios e Particulares / Lançamentos / Conta Ambulatorial / Transfere Conta para Hospitalar (M_GRAVA_AMB_INT)"</f>
        <v>Faturamento / Faturamento de Convênios e Particulares / Lançamentos / Conta Ambulatorial / Transfere Conta para Hospitalar (M_GRAVA_AMB_INT)</v>
      </c>
    </row>
    <row r="2302" spans="1:7" x14ac:dyDescent="0.3">
      <c r="A2302" s="1" t="s">
        <v>4</v>
      </c>
      <c r="B2302" s="2" t="str">
        <f t="shared" si="197"/>
        <v>SISTEMA FATURAMENTO CONTAS DE CONVENIO</v>
      </c>
      <c r="C2302" s="2" t="str">
        <f t="shared" si="198"/>
        <v>FATUR-CONV</v>
      </c>
      <c r="D2302" s="2" t="str">
        <f t="shared" si="199"/>
        <v>FFCV</v>
      </c>
      <c r="E2302" s="2" t="str">
        <f>"R_LOTE_ATEND_UNICAMP"</f>
        <v>R_LOTE_ATEND_UNICAMP</v>
      </c>
      <c r="F2302" s="2" t="str">
        <f>"R_LOTE_ATEND_UNICAMP"</f>
        <v>R_LOTE_ATEND_UNICAMP</v>
      </c>
      <c r="G2302" s="2" t="str">
        <f t="shared" ref="G2302:G2318" si="201">" ()"</f>
        <v xml:space="preserve"> ()</v>
      </c>
    </row>
    <row r="2303" spans="1:7" x14ac:dyDescent="0.3">
      <c r="A2303" s="1" t="s">
        <v>4</v>
      </c>
      <c r="B2303" s="2" t="str">
        <f t="shared" si="197"/>
        <v>SISTEMA FATURAMENTO CONTAS DE CONVENIO</v>
      </c>
      <c r="C2303" s="2" t="str">
        <f t="shared" si="198"/>
        <v>FATUR-CONV</v>
      </c>
      <c r="D2303" s="2" t="str">
        <f t="shared" si="199"/>
        <v>FFCV</v>
      </c>
      <c r="E2303" s="2" t="str">
        <f>"RELATÓRIO DE NOTAS FISCAIS EMITIDAS"</f>
        <v>RELATÓRIO DE NOTAS FISCAIS EMITIDAS</v>
      </c>
      <c r="F2303" s="2" t="str">
        <f>"R_ATEND_REMESSA_445"</f>
        <v>R_ATEND_REMESSA_445</v>
      </c>
      <c r="G2303" s="2" t="str">
        <f t="shared" si="201"/>
        <v xml:space="preserve"> ()</v>
      </c>
    </row>
    <row r="2304" spans="1:7" x14ac:dyDescent="0.3">
      <c r="A2304" s="1" t="s">
        <v>4</v>
      </c>
      <c r="B2304" s="2" t="str">
        <f t="shared" si="197"/>
        <v>SISTEMA FATURAMENTO CONTAS DE CONVENIO</v>
      </c>
      <c r="C2304" s="2" t="str">
        <f t="shared" si="198"/>
        <v>FATUR-CONV</v>
      </c>
      <c r="D2304" s="2" t="str">
        <f t="shared" si="199"/>
        <v>FFCV</v>
      </c>
      <c r="E2304" s="2" t="str">
        <f>"RELATÓRIO DE DEMONSTRATIVO MÉDICO"</f>
        <v>RELATÓRIO DE DEMONSTRATIVO MÉDICO</v>
      </c>
      <c r="F2304" s="2" t="str">
        <f>"R_DEMO_MED_SINT_448"</f>
        <v>R_DEMO_MED_SINT_448</v>
      </c>
      <c r="G2304" s="2" t="str">
        <f t="shared" si="201"/>
        <v xml:space="preserve"> ()</v>
      </c>
    </row>
    <row r="2305" spans="1:7" x14ac:dyDescent="0.3">
      <c r="A2305" s="1" t="s">
        <v>4</v>
      </c>
      <c r="B2305" s="2" t="str">
        <f t="shared" si="197"/>
        <v>SISTEMA FATURAMENTO CONTAS DE CONVENIO</v>
      </c>
      <c r="C2305" s="2" t="str">
        <f t="shared" si="198"/>
        <v>FATUR-CONV</v>
      </c>
      <c r="D2305" s="2" t="str">
        <f t="shared" si="199"/>
        <v>FFCV</v>
      </c>
      <c r="E2305" s="2" t="str">
        <f>"O_GERAARQMAG_GERAL_KESIA"</f>
        <v>O_GERAARQMAG_GERAL_KESIA</v>
      </c>
      <c r="F2305" s="2" t="str">
        <f>"O_GERAARQMAG_GERAL_KESIA"</f>
        <v>O_GERAARQMAG_GERAL_KESIA</v>
      </c>
      <c r="G2305" s="2" t="str">
        <f t="shared" si="201"/>
        <v xml:space="preserve"> ()</v>
      </c>
    </row>
    <row r="2306" spans="1:7" x14ac:dyDescent="0.3">
      <c r="A2306" s="1" t="s">
        <v>4</v>
      </c>
      <c r="B2306" s="2" t="str">
        <f t="shared" si="197"/>
        <v>SISTEMA FATURAMENTO CONTAS DE CONVENIO</v>
      </c>
      <c r="C2306" s="2" t="str">
        <f t="shared" si="198"/>
        <v>FATUR-CONV</v>
      </c>
      <c r="D2306" s="2" t="str">
        <f t="shared" si="199"/>
        <v>FFCV</v>
      </c>
      <c r="E2306" s="2" t="str">
        <f>"O_GERAARQMAG_GERAL_KESIA.FMB"</f>
        <v>O_GERAARQMAG_GERAL_KESIA.FMB</v>
      </c>
      <c r="F2306" s="2" t="str">
        <f>"O_GERAARQMAG_GERAL_KESIA.FMB"</f>
        <v>O_GERAARQMAG_GERAL_KESIA.FMB</v>
      </c>
      <c r="G2306" s="2" t="str">
        <f t="shared" si="201"/>
        <v xml:space="preserve"> ()</v>
      </c>
    </row>
    <row r="2307" spans="1:7" x14ac:dyDescent="0.3">
      <c r="A2307" s="1" t="s">
        <v>4</v>
      </c>
      <c r="B2307" s="2" t="str">
        <f t="shared" si="197"/>
        <v>SISTEMA FATURAMENTO CONTAS DE CONVENIO</v>
      </c>
      <c r="C2307" s="2" t="str">
        <f t="shared" si="198"/>
        <v>FATUR-CONV</v>
      </c>
      <c r="D2307" s="2" t="str">
        <f t="shared" si="199"/>
        <v>FFCV</v>
      </c>
      <c r="E2307" s="2" t="str">
        <f>"GERENCIAL - RECEITAS POR CONVENIO X FAIX"</f>
        <v>GERENCIAL - RECEITAS POR CONVENIO X FAIX</v>
      </c>
      <c r="F2307" s="2" t="str">
        <f>"R_FAT_CONV_IDADE"</f>
        <v>R_FAT_CONV_IDADE</v>
      </c>
      <c r="G2307" s="2" t="str">
        <f t="shared" si="201"/>
        <v xml:space="preserve"> ()</v>
      </c>
    </row>
    <row r="2308" spans="1:7" x14ac:dyDescent="0.3">
      <c r="A2308" s="1" t="s">
        <v>4</v>
      </c>
      <c r="B2308" s="2" t="str">
        <f t="shared" si="197"/>
        <v>SISTEMA FATURAMENTO CONTAS DE CONVENIO</v>
      </c>
      <c r="C2308" s="2" t="str">
        <f t="shared" si="198"/>
        <v>FATUR-CONV</v>
      </c>
      <c r="D2308" s="2" t="str">
        <f t="shared" si="199"/>
        <v>FFCV</v>
      </c>
      <c r="E2308" s="2" t="str">
        <f>"R_FAT_CC_RAT_SERVICO_DT_LANC"</f>
        <v>R_FAT_CC_RAT_SERVICO_DT_LANC</v>
      </c>
      <c r="F2308" s="2" t="str">
        <f>"R_FAT_CC_RAT_SERVICO_DT_LANC"</f>
        <v>R_FAT_CC_RAT_SERVICO_DT_LANC</v>
      </c>
      <c r="G2308" s="2" t="str">
        <f t="shared" si="201"/>
        <v xml:space="preserve"> ()</v>
      </c>
    </row>
    <row r="2309" spans="1:7" x14ac:dyDescent="0.3">
      <c r="A2309" s="1" t="s">
        <v>4</v>
      </c>
      <c r="B2309" s="2" t="str">
        <f t="shared" si="197"/>
        <v>SISTEMA FATURAMENTO CONTAS DE CONVENIO</v>
      </c>
      <c r="C2309" s="2" t="str">
        <f t="shared" si="198"/>
        <v>FATUR-CONV</v>
      </c>
      <c r="D2309" s="2" t="str">
        <f t="shared" si="199"/>
        <v>FFCV</v>
      </c>
      <c r="E2309" s="2" t="str">
        <f>"R_FAT_CC_RAT_SERVICO"</f>
        <v>R_FAT_CC_RAT_SERVICO</v>
      </c>
      <c r="F2309" s="2" t="str">
        <f>"R_FAT_CC_RAT_SERVICO"</f>
        <v>R_FAT_CC_RAT_SERVICO</v>
      </c>
      <c r="G2309" s="2" t="str">
        <f t="shared" si="201"/>
        <v xml:space="preserve"> ()</v>
      </c>
    </row>
    <row r="2310" spans="1:7" x14ac:dyDescent="0.3">
      <c r="A2310" s="1" t="s">
        <v>4</v>
      </c>
      <c r="B2310" s="2" t="str">
        <f t="shared" ref="B2310:B2373" si="202">"SISTEMA FATURAMENTO CONTAS DE CONVENIO"</f>
        <v>SISTEMA FATURAMENTO CONTAS DE CONVENIO</v>
      </c>
      <c r="C2310" s="2" t="str">
        <f t="shared" ref="C2310:C2373" si="203">"FATUR-CONV"</f>
        <v>FATUR-CONV</v>
      </c>
      <c r="D2310" s="2" t="str">
        <f t="shared" ref="D2310:D2373" si="204">"FFCV"</f>
        <v>FFCV</v>
      </c>
      <c r="E2310" s="2" t="str">
        <f>"GERA_ARQMAG_ABRAMGE_ULBRA"</f>
        <v>GERA_ARQMAG_ABRAMGE_ULBRA</v>
      </c>
      <c r="F2310" s="2" t="str">
        <f>"GERA_ARQMAG_ABRAMGE_ULBRA"</f>
        <v>GERA_ARQMAG_ABRAMGE_ULBRA</v>
      </c>
      <c r="G2310" s="2" t="str">
        <f t="shared" si="201"/>
        <v xml:space="preserve"> ()</v>
      </c>
    </row>
    <row r="2311" spans="1:7" x14ac:dyDescent="0.3">
      <c r="A2311" s="1" t="s">
        <v>4</v>
      </c>
      <c r="B2311" s="2" t="str">
        <f t="shared" si="202"/>
        <v>SISTEMA FATURAMENTO CONTAS DE CONVENIO</v>
      </c>
      <c r="C2311" s="2" t="str">
        <f t="shared" si="203"/>
        <v>FATUR-CONV</v>
      </c>
      <c r="D2311" s="2" t="str">
        <f t="shared" si="204"/>
        <v>FFCV</v>
      </c>
      <c r="E2311" s="2" t="str">
        <f>"R_FAT_CC_RAT_PRESTADOR_DT_LANC"</f>
        <v>R_FAT_CC_RAT_PRESTADOR_DT_LANC</v>
      </c>
      <c r="F2311" s="2" t="str">
        <f>"R_FAT_CC_RAT_PRESTADOR_DT_LANC"</f>
        <v>R_FAT_CC_RAT_PRESTADOR_DT_LANC</v>
      </c>
      <c r="G2311" s="2" t="str">
        <f t="shared" si="201"/>
        <v xml:space="preserve"> ()</v>
      </c>
    </row>
    <row r="2312" spans="1:7" x14ac:dyDescent="0.3">
      <c r="A2312" s="1" t="s">
        <v>4</v>
      </c>
      <c r="B2312" s="2" t="str">
        <f t="shared" si="202"/>
        <v>SISTEMA FATURAMENTO CONTAS DE CONVENIO</v>
      </c>
      <c r="C2312" s="2" t="str">
        <f t="shared" si="203"/>
        <v>FATUR-CONV</v>
      </c>
      <c r="D2312" s="2" t="str">
        <f t="shared" si="204"/>
        <v>FFCV</v>
      </c>
      <c r="E2312" s="2" t="str">
        <f>"R_FAT_CC_RAT_PRESTADOR"</f>
        <v>R_FAT_CC_RAT_PRESTADOR</v>
      </c>
      <c r="F2312" s="2" t="str">
        <f>"R_FAT_CC_RAT_PRESTADOR"</f>
        <v>R_FAT_CC_RAT_PRESTADOR</v>
      </c>
      <c r="G2312" s="2" t="str">
        <f t="shared" si="201"/>
        <v xml:space="preserve"> ()</v>
      </c>
    </row>
    <row r="2313" spans="1:7" x14ac:dyDescent="0.3">
      <c r="A2313" s="1" t="s">
        <v>4</v>
      </c>
      <c r="B2313" s="2" t="str">
        <f t="shared" si="202"/>
        <v>SISTEMA FATURAMENTO CONTAS DE CONVENIO</v>
      </c>
      <c r="C2313" s="2" t="str">
        <f t="shared" si="203"/>
        <v>FATUR-CONV</v>
      </c>
      <c r="D2313" s="2" t="str">
        <f t="shared" si="204"/>
        <v>FFCV</v>
      </c>
      <c r="E2313" s="2" t="str">
        <f>"R_FAT_CC_RAT_GRU_FAT_DT_LANC"</f>
        <v>R_FAT_CC_RAT_GRU_FAT_DT_LANC</v>
      </c>
      <c r="F2313" s="2" t="str">
        <f>"R_FAT_CC_RAT_GRU_FAT_DT_LANC"</f>
        <v>R_FAT_CC_RAT_GRU_FAT_DT_LANC</v>
      </c>
      <c r="G2313" s="2" t="str">
        <f t="shared" si="201"/>
        <v xml:space="preserve"> ()</v>
      </c>
    </row>
    <row r="2314" spans="1:7" x14ac:dyDescent="0.3">
      <c r="A2314" s="1" t="s">
        <v>4</v>
      </c>
      <c r="B2314" s="2" t="str">
        <f t="shared" si="202"/>
        <v>SISTEMA FATURAMENTO CONTAS DE CONVENIO</v>
      </c>
      <c r="C2314" s="2" t="str">
        <f t="shared" si="203"/>
        <v>FATUR-CONV</v>
      </c>
      <c r="D2314" s="2" t="str">
        <f t="shared" si="204"/>
        <v>FFCV</v>
      </c>
      <c r="E2314" s="2" t="str">
        <f>"R_FAT_CC_RAT_GRU_FAT"</f>
        <v>R_FAT_CC_RAT_GRU_FAT</v>
      </c>
      <c r="F2314" s="2" t="str">
        <f>"R_FAT_CC_RAT_GRU_FAT"</f>
        <v>R_FAT_CC_RAT_GRU_FAT</v>
      </c>
      <c r="G2314" s="2" t="str">
        <f t="shared" si="201"/>
        <v xml:space="preserve"> ()</v>
      </c>
    </row>
    <row r="2315" spans="1:7" x14ac:dyDescent="0.3">
      <c r="A2315" s="1" t="s">
        <v>4</v>
      </c>
      <c r="B2315" s="2" t="str">
        <f t="shared" si="202"/>
        <v>SISTEMA FATURAMENTO CONTAS DE CONVENIO</v>
      </c>
      <c r="C2315" s="2" t="str">
        <f t="shared" si="203"/>
        <v>FATUR-CONV</v>
      </c>
      <c r="D2315" s="2" t="str">
        <f t="shared" si="204"/>
        <v>FFCV</v>
      </c>
      <c r="E2315" s="2" t="str">
        <f>"R_NOTA_FISCAL_754"</f>
        <v>R_NOTA_FISCAL_754</v>
      </c>
      <c r="F2315" s="2" t="str">
        <f>"R_NOTA_FISCAL_754"</f>
        <v>R_NOTA_FISCAL_754</v>
      </c>
      <c r="G2315" s="2" t="str">
        <f t="shared" si="201"/>
        <v xml:space="preserve"> ()</v>
      </c>
    </row>
    <row r="2316" spans="1:7" x14ac:dyDescent="0.3">
      <c r="A2316" s="1" t="s">
        <v>4</v>
      </c>
      <c r="B2316" s="2" t="str">
        <f t="shared" si="202"/>
        <v>SISTEMA FATURAMENTO CONTAS DE CONVENIO</v>
      </c>
      <c r="C2316" s="2" t="str">
        <f t="shared" si="203"/>
        <v>FATUR-CONV</v>
      </c>
      <c r="D2316" s="2" t="str">
        <f t="shared" si="204"/>
        <v>FFCV</v>
      </c>
      <c r="E2316" s="2" t="str">
        <f>"RELATÓRIO DE DEMONSTRATIVO MÉDICO"</f>
        <v>RELATÓRIO DE DEMONSTRATIVO MÉDICO</v>
      </c>
      <c r="F2316" s="2" t="str">
        <f>"R_DEMO_MED_ANA_760"</f>
        <v>R_DEMO_MED_ANA_760</v>
      </c>
      <c r="G2316" s="2" t="str">
        <f t="shared" si="201"/>
        <v xml:space="preserve"> ()</v>
      </c>
    </row>
    <row r="2317" spans="1:7" x14ac:dyDescent="0.3">
      <c r="A2317" s="1" t="s">
        <v>4</v>
      </c>
      <c r="B2317" s="2" t="str">
        <f t="shared" si="202"/>
        <v>SISTEMA FATURAMENTO CONTAS DE CONVENIO</v>
      </c>
      <c r="C2317" s="2" t="str">
        <f t="shared" si="203"/>
        <v>FATUR-CONV</v>
      </c>
      <c r="D2317" s="2" t="str">
        <f t="shared" si="204"/>
        <v>FFCV</v>
      </c>
      <c r="E2317" s="2" t="str">
        <f>"CONSULTA REGRAS DE FATURAMENTO"</f>
        <v>CONSULTA REGRAS DE FATURAMENTO</v>
      </c>
      <c r="F2317" s="2" t="str">
        <f>"C_REGRA_FFCV"</f>
        <v>C_REGRA_FFCV</v>
      </c>
      <c r="G2317" s="2" t="str">
        <f t="shared" si="201"/>
        <v xml:space="preserve"> ()</v>
      </c>
    </row>
    <row r="2318" spans="1:7" x14ac:dyDescent="0.3">
      <c r="A2318" s="1" t="s">
        <v>4</v>
      </c>
      <c r="B2318" s="2" t="str">
        <f t="shared" si="202"/>
        <v>SISTEMA FATURAMENTO CONTAS DE CONVENIO</v>
      </c>
      <c r="C2318" s="2" t="str">
        <f t="shared" si="203"/>
        <v>FATUR-CONV</v>
      </c>
      <c r="D2318" s="2" t="str">
        <f t="shared" si="204"/>
        <v>FFCV</v>
      </c>
      <c r="E2318" s="2" t="str">
        <f>"M_REGRA_FFCV"</f>
        <v>M_REGRA_FFCV</v>
      </c>
      <c r="F2318" s="2" t="str">
        <f>"M_REGRA_FFCV"</f>
        <v>M_REGRA_FFCV</v>
      </c>
      <c r="G2318" s="2" t="str">
        <f t="shared" si="201"/>
        <v xml:space="preserve"> ()</v>
      </c>
    </row>
    <row r="2319" spans="1:7" x14ac:dyDescent="0.3">
      <c r="A2319" s="1" t="s">
        <v>4</v>
      </c>
      <c r="B2319" s="2" t="str">
        <f t="shared" si="202"/>
        <v>SISTEMA FATURAMENTO CONTAS DE CONVENIO</v>
      </c>
      <c r="C2319" s="2" t="str">
        <f t="shared" si="203"/>
        <v>FATUR-CONV</v>
      </c>
      <c r="D2319" s="2" t="str">
        <f t="shared" si="204"/>
        <v>FFCV</v>
      </c>
      <c r="E2319" s="2" t="str">
        <f>"LIBERACAO DE PRECOS"</f>
        <v>LIBERACAO DE PRECOS</v>
      </c>
      <c r="F2319" s="2" t="str">
        <f>"O_LIBERA_PRECOS"</f>
        <v>O_LIBERA_PRECOS</v>
      </c>
      <c r="G2319" s="2" t="str">
        <f>"Faturamento / Faturamento de Convênios e Particulares / Tabelas / Valores dos Procedimentos / Ativação e Desativação de Valores (O_LIBERA_PRECOS)"</f>
        <v>Faturamento / Faturamento de Convênios e Particulares / Tabelas / Valores dos Procedimentos / Ativação e Desativação de Valores (O_LIBERA_PRECOS)</v>
      </c>
    </row>
    <row r="2320" spans="1:7" x14ac:dyDescent="0.3">
      <c r="A2320" s="1" t="s">
        <v>4</v>
      </c>
      <c r="B2320" s="2" t="str">
        <f t="shared" si="202"/>
        <v>SISTEMA FATURAMENTO CONTAS DE CONVENIO</v>
      </c>
      <c r="C2320" s="2" t="str">
        <f t="shared" si="203"/>
        <v>FATUR-CONV</v>
      </c>
      <c r="D2320" s="2" t="str">
        <f t="shared" si="204"/>
        <v>FFCV</v>
      </c>
      <c r="E2320" s="2" t="str">
        <f>"RELATÓRIO DE DIÁRIA CONSUMIDA X FATURADA"</f>
        <v>RELATÓRIO DE DIÁRIA CONSUMIDA X FATURADA</v>
      </c>
      <c r="F2320" s="2" t="str">
        <f>"R_DIARIAS_CONS_X_FAT"</f>
        <v>R_DIARIAS_CONS_X_FAT</v>
      </c>
      <c r="G2320" s="2" t="str">
        <f>"Faturamento / Faturamento de Convênios e Particulares / Relatórios / Gerenciais / Análise de Diárias Consumidas X Faturadas (R_DIARIAS_CONS_X_FAT)"</f>
        <v>Faturamento / Faturamento de Convênios e Particulares / Relatórios / Gerenciais / Análise de Diárias Consumidas X Faturadas (R_DIARIAS_CONS_X_FAT)</v>
      </c>
    </row>
    <row r="2321" spans="1:7" x14ac:dyDescent="0.3">
      <c r="A2321" s="1" t="s">
        <v>4</v>
      </c>
      <c r="B2321" s="2" t="str">
        <f t="shared" si="202"/>
        <v>SISTEMA FATURAMENTO CONTAS DE CONVENIO</v>
      </c>
      <c r="C2321" s="2" t="str">
        <f t="shared" si="203"/>
        <v>FATUR-CONV</v>
      </c>
      <c r="D2321" s="2" t="str">
        <f t="shared" si="204"/>
        <v>FFCV</v>
      </c>
      <c r="E2321" s="2" t="str">
        <f>"RELATORIO DE FATURAMENTO GLOBAL"</f>
        <v>RELATORIO DE FATURAMENTO GLOBAL</v>
      </c>
      <c r="F2321" s="2" t="str">
        <f>"R_FAT_GLOB_CONTA_ATENDIME"</f>
        <v>R_FAT_GLOB_CONTA_ATENDIME</v>
      </c>
      <c r="G2321" s="2" t="str">
        <f>"Faturamento / Faturamento de Convênios e Particulares / Relatórios / Gerenciais / Receita Global Por Conta (R_FAT_GLOB_CONTA_ATENDIME)"</f>
        <v>Faturamento / Faturamento de Convênios e Particulares / Relatórios / Gerenciais / Receita Global Por Conta (R_FAT_GLOB_CONTA_ATENDIME)</v>
      </c>
    </row>
    <row r="2322" spans="1:7" x14ac:dyDescent="0.3">
      <c r="A2322" s="1" t="s">
        <v>4</v>
      </c>
      <c r="B2322" s="2" t="str">
        <f t="shared" si="202"/>
        <v>SISTEMA FATURAMENTO CONTAS DE CONVENIO</v>
      </c>
      <c r="C2322" s="2" t="str">
        <f t="shared" si="203"/>
        <v>FATUR-CONV</v>
      </c>
      <c r="D2322" s="2" t="str">
        <f t="shared" si="204"/>
        <v>FFCV</v>
      </c>
      <c r="E2322" s="2" t="str">
        <f>"RELATORIO DE PADRAO"</f>
        <v>RELATORIO DE PADRAO</v>
      </c>
      <c r="F2322" s="2" t="str">
        <f>"R_PADRAO_FFCV"</f>
        <v>R_PADRAO_FFCV</v>
      </c>
      <c r="G2322" s="2" t="str">
        <f>"Faturamento / Faturamento de Convênios e Particulares / Relatórios / Tabelas / Cobranças e Tabelas / Padrão de Faturamento (R_PADRAO_FFCV)"</f>
        <v>Faturamento / Faturamento de Convênios e Particulares / Relatórios / Tabelas / Cobranças e Tabelas / Padrão de Faturamento (R_PADRAO_FFCV)</v>
      </c>
    </row>
    <row r="2323" spans="1:7" x14ac:dyDescent="0.3">
      <c r="A2323" s="1" t="s">
        <v>4</v>
      </c>
      <c r="B2323" s="2" t="str">
        <f t="shared" si="202"/>
        <v>SISTEMA FATURAMENTO CONTAS DE CONVENIO</v>
      </c>
      <c r="C2323" s="2" t="str">
        <f t="shared" si="203"/>
        <v>FATUR-CONV</v>
      </c>
      <c r="D2323" s="2" t="str">
        <f t="shared" si="204"/>
        <v>FFCV</v>
      </c>
      <c r="E2323" s="2" t="str">
        <f>"RELATORIO DE PADRAO"</f>
        <v>RELATORIO DE PADRAO</v>
      </c>
      <c r="F2323" s="2" t="str">
        <f>"R_PADRAO_FFCV"</f>
        <v>R_PADRAO_FFCV</v>
      </c>
      <c r="G2323" s="2" t="str">
        <f>"Faturamento / Auditoria e Controle de Recursos de Glosas / Relatórios / Tabelas / Cobranças e Tabelas / Padrão de Faturamento (R_PADRAO_FFCV)"</f>
        <v>Faturamento / Auditoria e Controle de Recursos de Glosas / Relatórios / Tabelas / Cobranças e Tabelas / Padrão de Faturamento (R_PADRAO_FFCV)</v>
      </c>
    </row>
    <row r="2324" spans="1:7" x14ac:dyDescent="0.3">
      <c r="A2324" s="1" t="s">
        <v>4</v>
      </c>
      <c r="B2324" s="2" t="str">
        <f t="shared" si="202"/>
        <v>SISTEMA FATURAMENTO CONTAS DE CONVENIO</v>
      </c>
      <c r="C2324" s="2" t="str">
        <f t="shared" si="203"/>
        <v>FATUR-CONV</v>
      </c>
      <c r="D2324" s="2" t="str">
        <f t="shared" si="204"/>
        <v>FFCV</v>
      </c>
      <c r="E2324" s="2" t="str">
        <f>"PROCEDIMENTOS DISPENSADOS DE AUDITORIA"</f>
        <v>PROCEDIMENTOS DISPENSADOS DE AUDITORIA</v>
      </c>
      <c r="F2324" s="2" t="str">
        <f>"M_CON_PRO_DSP_AUDITORIA"</f>
        <v>M_CON_PRO_DSP_AUDITORIA</v>
      </c>
      <c r="G2324" s="2" t="str">
        <f>"Faturamento / Faturamento de Convênios e Particulares / Tabelas / Gerais / Procedimentos Dispensados de Auditoria (M_CON_PRO_DSP_AUDITORIA)"</f>
        <v>Faturamento / Faturamento de Convênios e Particulares / Tabelas / Gerais / Procedimentos Dispensados de Auditoria (M_CON_PRO_DSP_AUDITORIA)</v>
      </c>
    </row>
    <row r="2325" spans="1:7" x14ac:dyDescent="0.3">
      <c r="A2325" s="1" t="s">
        <v>4</v>
      </c>
      <c r="B2325" s="2" t="str">
        <f t="shared" si="202"/>
        <v>SISTEMA FATURAMENTO CONTAS DE CONVENIO</v>
      </c>
      <c r="C2325" s="2" t="str">
        <f t="shared" si="203"/>
        <v>FATUR-CONV</v>
      </c>
      <c r="D2325" s="2" t="str">
        <f t="shared" si="204"/>
        <v>FFCV</v>
      </c>
      <c r="E2325" s="2" t="str">
        <f>"REGRAS DE LIGAÇÃO"</f>
        <v>REGRAS DE LIGAÇÃO</v>
      </c>
      <c r="F2325" s="2" t="str">
        <f>"M_REGRAS_FFCV"</f>
        <v>M_REGRAS_FFCV</v>
      </c>
      <c r="G2325" s="2" t="str">
        <f>"Faturamento / Faturamento de Convênios e Particulares / Tabelas / Cobranças e Tabelas / Regras de Faixa de Desconto (M_REGRAS_FFCV)"</f>
        <v>Faturamento / Faturamento de Convênios e Particulares / Tabelas / Cobranças e Tabelas / Regras de Faixa de Desconto (M_REGRAS_FFCV)</v>
      </c>
    </row>
    <row r="2326" spans="1:7" x14ac:dyDescent="0.3">
      <c r="A2326" s="1" t="s">
        <v>4</v>
      </c>
      <c r="B2326" s="2" t="str">
        <f t="shared" si="202"/>
        <v>SISTEMA FATURAMENTO CONTAS DE CONVENIO</v>
      </c>
      <c r="C2326" s="2" t="str">
        <f t="shared" si="203"/>
        <v>FATUR-CONV</v>
      </c>
      <c r="D2326" s="2" t="str">
        <f t="shared" si="204"/>
        <v>FFCV</v>
      </c>
      <c r="E2326" s="2" t="str">
        <f>"AVISO DE ALTA ADMINISTRATIVA"</f>
        <v>AVISO DE ALTA ADMINISTRATIVA</v>
      </c>
      <c r="F2326" s="2" t="str">
        <f>"M_LIB_ALTA_FFCV"</f>
        <v>M_LIB_ALTA_FFCV</v>
      </c>
      <c r="G2326" s="2" t="str">
        <f>"Faturamento / Faturamento de Convênios e Particulares / Solicitações / Liberação - Avisos de Alta Administrativa (M_LIB_ALTA_FFCV)"</f>
        <v>Faturamento / Faturamento de Convênios e Particulares / Solicitações / Liberação - Avisos de Alta Administrativa (M_LIB_ALTA_FFCV)</v>
      </c>
    </row>
    <row r="2327" spans="1:7" x14ac:dyDescent="0.3">
      <c r="A2327" s="1" t="s">
        <v>4</v>
      </c>
      <c r="B2327" s="2" t="str">
        <f t="shared" si="202"/>
        <v>SISTEMA FATURAMENTO CONTAS DE CONVENIO</v>
      </c>
      <c r="C2327" s="2" t="str">
        <f t="shared" si="203"/>
        <v>FATUR-CONV</v>
      </c>
      <c r="D2327" s="2" t="str">
        <f t="shared" si="204"/>
        <v>FFCV</v>
      </c>
      <c r="E2327" s="2" t="str">
        <f>"GERA ARQUIVO MAG UNIMED"</f>
        <v>GERA ARQUIVO MAG UNIMED</v>
      </c>
      <c r="F2327" s="2" t="str">
        <f>"O_GERAARQMAG_UNIMED"</f>
        <v>O_GERAARQMAG_UNIMED</v>
      </c>
      <c r="G2327" s="2" t="str">
        <f>" ()"</f>
        <v xml:space="preserve"> ()</v>
      </c>
    </row>
    <row r="2328" spans="1:7" x14ac:dyDescent="0.3">
      <c r="A2328" s="1" t="s">
        <v>4</v>
      </c>
      <c r="B2328" s="2" t="str">
        <f t="shared" si="202"/>
        <v>SISTEMA FATURAMENTO CONTAS DE CONVENIO</v>
      </c>
      <c r="C2328" s="2" t="str">
        <f t="shared" si="203"/>
        <v>FATUR-CONV</v>
      </c>
      <c r="D2328" s="2" t="str">
        <f t="shared" si="204"/>
        <v>FFCV</v>
      </c>
      <c r="E2328" s="2" t="str">
        <f>"MANUTENÇÃO DE REMESSA"</f>
        <v>MANUTENÇÃO DE REMESSA</v>
      </c>
      <c r="F2328" s="2" t="str">
        <f>"M_REMESSA_FFCV"</f>
        <v>M_REMESSA_FFCV</v>
      </c>
      <c r="G2328" s="2" t="str">
        <f>"Faturamento / Faturamento de Convênios e Particulares / Lançamentos / Manutenção de Remessa (M_REMESSA_FFCV)"</f>
        <v>Faturamento / Faturamento de Convênios e Particulares / Lançamentos / Manutenção de Remessa (M_REMESSA_FFCV)</v>
      </c>
    </row>
    <row r="2329" spans="1:7" x14ac:dyDescent="0.3">
      <c r="A2329" s="1" t="s">
        <v>4</v>
      </c>
      <c r="B2329" s="2" t="str">
        <f t="shared" si="202"/>
        <v>SISTEMA FATURAMENTO CONTAS DE CONVENIO</v>
      </c>
      <c r="C2329" s="2" t="str">
        <f t="shared" si="203"/>
        <v>FATUR-CONV</v>
      </c>
      <c r="D2329" s="2" t="str">
        <f t="shared" si="204"/>
        <v>FFCV</v>
      </c>
      <c r="E2329" s="2" t="str">
        <f>"GERAÇÃO DE ARQUIVO MAG"</f>
        <v>GERAÇÃO DE ARQUIVO MAG</v>
      </c>
      <c r="F2329" s="2" t="str">
        <f>"O_GERAARQMAG_RPS"</f>
        <v>O_GERAARQMAG_RPS</v>
      </c>
      <c r="G2329" s="2" t="str">
        <f>" ()"</f>
        <v xml:space="preserve"> ()</v>
      </c>
    </row>
    <row r="2330" spans="1:7" x14ac:dyDescent="0.3">
      <c r="A2330" s="1" t="s">
        <v>4</v>
      </c>
      <c r="B2330" s="2" t="str">
        <f t="shared" si="202"/>
        <v>SISTEMA FATURAMENTO CONTAS DE CONVENIO</v>
      </c>
      <c r="C2330" s="2" t="str">
        <f t="shared" si="203"/>
        <v>FATUR-CONV</v>
      </c>
      <c r="D2330" s="2" t="str">
        <f t="shared" si="204"/>
        <v>FFCV</v>
      </c>
      <c r="E2330" s="2" t="str">
        <f>"R_AUDITORIA_DE_CONTAS"</f>
        <v>R_AUDITORIA_DE_CONTAS</v>
      </c>
      <c r="F2330" s="2" t="str">
        <f>"R_AUDITORIA_DE_CONTAS"</f>
        <v>R_AUDITORIA_DE_CONTAS</v>
      </c>
      <c r="G2330" s="2" t="str">
        <f>"Faturamento / Faturamento de Convênios e Particulares / Relatórios / Administrativos / Auditoria de Contas (R_AUDITORIA_DE_CONTAS)"</f>
        <v>Faturamento / Faturamento de Convênios e Particulares / Relatórios / Administrativos / Auditoria de Contas (R_AUDITORIA_DE_CONTAS)</v>
      </c>
    </row>
    <row r="2331" spans="1:7" x14ac:dyDescent="0.3">
      <c r="A2331" s="1" t="s">
        <v>4</v>
      </c>
      <c r="B2331" s="2" t="str">
        <f t="shared" si="202"/>
        <v>SISTEMA FATURAMENTO CONTAS DE CONVENIO</v>
      </c>
      <c r="C2331" s="2" t="str">
        <f t="shared" si="203"/>
        <v>FATUR-CONV</v>
      </c>
      <c r="D2331" s="2" t="str">
        <f t="shared" si="204"/>
        <v>FFCV</v>
      </c>
      <c r="E2331" s="2" t="str">
        <f>"R_AUDITORIA_DE_CONTAS"</f>
        <v>R_AUDITORIA_DE_CONTAS</v>
      </c>
      <c r="F2331" s="2" t="str">
        <f>"R_AUDITORIA_DE_CONTAS"</f>
        <v>R_AUDITORIA_DE_CONTAS</v>
      </c>
      <c r="G2331" s="2" t="str">
        <f>"Auditoria de Contas (R_AUDITORIA_DE_CONTAS)"</f>
        <v>Auditoria de Contas (R_AUDITORIA_DE_CONTAS)</v>
      </c>
    </row>
    <row r="2332" spans="1:7" x14ac:dyDescent="0.3">
      <c r="A2332" s="1" t="s">
        <v>4</v>
      </c>
      <c r="B2332" s="2" t="str">
        <f t="shared" si="202"/>
        <v>SISTEMA FATURAMENTO CONTAS DE CONVENIO</v>
      </c>
      <c r="C2332" s="2" t="str">
        <f t="shared" si="203"/>
        <v>FATUR-CONV</v>
      </c>
      <c r="D2332" s="2" t="str">
        <f t="shared" si="204"/>
        <v>FFCV</v>
      </c>
      <c r="E2332" s="2" t="str">
        <f>"WIN_PRINCIPAL"</f>
        <v>WIN_PRINCIPAL</v>
      </c>
      <c r="F2332" s="2" t="str">
        <f>"O_GERAARQMAG_RT_XML"</f>
        <v>O_GERAARQMAG_RT_XML</v>
      </c>
      <c r="G2332" s="2" t="str">
        <f>"Faturamento / Faturamento de Convênios e Particulares / Lançamentos / Nota Fiscal Eletronica / Layout em XML (O_GERAARQMAG_RT_XML)"</f>
        <v>Faturamento / Faturamento de Convênios e Particulares / Lançamentos / Nota Fiscal Eletronica / Layout em XML (O_GERAARQMAG_RT_XML)</v>
      </c>
    </row>
    <row r="2333" spans="1:7" x14ac:dyDescent="0.3">
      <c r="A2333" s="1" t="s">
        <v>4</v>
      </c>
      <c r="B2333" s="2" t="str">
        <f t="shared" si="202"/>
        <v>SISTEMA FATURAMENTO CONTAS DE CONVENIO</v>
      </c>
      <c r="C2333" s="2" t="str">
        <f t="shared" si="203"/>
        <v>FATUR-CONV</v>
      </c>
      <c r="D2333" s="2" t="str">
        <f t="shared" si="204"/>
        <v>FFCV</v>
      </c>
      <c r="E2333" s="2" t="str">
        <f>"M_NOTA_FISCAL_AVULSA_360"</f>
        <v>M_NOTA_FISCAL_AVULSA_360</v>
      </c>
      <c r="F2333" s="2" t="str">
        <f>"M_NOTA_FISCAL_AVULSA_360"</f>
        <v>M_NOTA_FISCAL_AVULSA_360</v>
      </c>
      <c r="G2333" s="2" t="str">
        <f>" ()"</f>
        <v xml:space="preserve"> ()</v>
      </c>
    </row>
    <row r="2334" spans="1:7" x14ac:dyDescent="0.3">
      <c r="A2334" s="1" t="s">
        <v>4</v>
      </c>
      <c r="B2334" s="2" t="str">
        <f t="shared" si="202"/>
        <v>SISTEMA FATURAMENTO CONTAS DE CONVENIO</v>
      </c>
      <c r="C2334" s="2" t="str">
        <f t="shared" si="203"/>
        <v>FATUR-CONV</v>
      </c>
      <c r="D2334" s="2" t="str">
        <f t="shared" si="204"/>
        <v>FFCV</v>
      </c>
      <c r="E2334" s="2" t="str">
        <f>"M_PROFAT_TAXA_MEIO_MAG"</f>
        <v>M_PROFAT_TAXA_MEIO_MAG</v>
      </c>
      <c r="F2334" s="2" t="str">
        <f>"M_PROFAT_TAXA_MEIO_MAG"</f>
        <v>M_PROFAT_TAXA_MEIO_MAG</v>
      </c>
      <c r="G2334" s="2" t="str">
        <f>" ()"</f>
        <v xml:space="preserve"> ()</v>
      </c>
    </row>
    <row r="2335" spans="1:7" x14ac:dyDescent="0.3">
      <c r="A2335" s="1" t="s">
        <v>4</v>
      </c>
      <c r="B2335" s="2" t="str">
        <f t="shared" si="202"/>
        <v>SISTEMA FATURAMENTO CONTAS DE CONVENIO</v>
      </c>
      <c r="C2335" s="2" t="str">
        <f t="shared" si="203"/>
        <v>FATUR-CONV</v>
      </c>
      <c r="D2335" s="2" t="str">
        <f t="shared" si="204"/>
        <v>FFCV</v>
      </c>
      <c r="E2335" s="2" t="str">
        <f>"IMPORTAÇÃO - HOSPITAL MV SISTEMAS"</f>
        <v>IMPORTAÇÃO - HOSPITAL MV SISTEMAS</v>
      </c>
      <c r="F2335" s="2" t="str">
        <f>"O_BRASINDICE_TISS"</f>
        <v>O_BRASINDICE_TISS</v>
      </c>
      <c r="G2335" s="2" t="str">
        <f>" ()"</f>
        <v xml:space="preserve"> ()</v>
      </c>
    </row>
    <row r="2336" spans="1:7" x14ac:dyDescent="0.3">
      <c r="A2336" s="1" t="s">
        <v>4</v>
      </c>
      <c r="B2336" s="2" t="str">
        <f t="shared" si="202"/>
        <v>SISTEMA FATURAMENTO CONTAS DE CONVENIO</v>
      </c>
      <c r="C2336" s="2" t="str">
        <f t="shared" si="203"/>
        <v>FATUR-CONV</v>
      </c>
      <c r="D2336" s="2" t="str">
        <f t="shared" si="204"/>
        <v>FFCV</v>
      </c>
      <c r="E2336" s="2" t="str">
        <f>"COPIA TABELA - HOSPITAL MV SISTEMAS"</f>
        <v>COPIA TABELA - HOSPITAL MV SISTEMAS</v>
      </c>
      <c r="F2336" s="2" t="str">
        <f>"M_COPIA_TABELA"</f>
        <v>M_COPIA_TABELA</v>
      </c>
      <c r="G2336" s="2" t="str">
        <f>" ()"</f>
        <v xml:space="preserve"> ()</v>
      </c>
    </row>
    <row r="2337" spans="1:7" x14ac:dyDescent="0.3">
      <c r="A2337" s="1" t="s">
        <v>4</v>
      </c>
      <c r="B2337" s="2" t="str">
        <f t="shared" si="202"/>
        <v>SISTEMA FATURAMENTO CONTAS DE CONVENIO</v>
      </c>
      <c r="C2337" s="2" t="str">
        <f t="shared" si="203"/>
        <v>FATUR-CONV</v>
      </c>
      <c r="D2337" s="2" t="str">
        <f t="shared" si="204"/>
        <v>FFCV</v>
      </c>
      <c r="E2337" s="2" t="str">
        <f>"M_IMPORTA_REG_FAT"</f>
        <v>M_IMPORTA_REG_FAT</v>
      </c>
      <c r="F2337" s="2" t="str">
        <f>"M_IMPORTA_REG_FAT"</f>
        <v>M_IMPORTA_REG_FAT</v>
      </c>
      <c r="G2337" s="2" t="str">
        <f>" ()"</f>
        <v xml:space="preserve"> ()</v>
      </c>
    </row>
    <row r="2338" spans="1:7" x14ac:dyDescent="0.3">
      <c r="A2338" s="1" t="s">
        <v>4</v>
      </c>
      <c r="B2338" s="2" t="str">
        <f t="shared" si="202"/>
        <v>SISTEMA FATURAMENTO CONTAS DE CONVENIO</v>
      </c>
      <c r="C2338" s="2" t="str">
        <f t="shared" si="203"/>
        <v>FATUR-CONV</v>
      </c>
      <c r="D2338" s="2" t="str">
        <f t="shared" si="204"/>
        <v>FFCV</v>
      </c>
      <c r="E2338" s="2" t="str">
        <f>"CONSULTA LOG DE ALTERAÇÕES DE GUIAS"</f>
        <v>CONSULTA LOG DE ALTERAÇÕES DE GUIAS</v>
      </c>
      <c r="F2338" s="2" t="str">
        <f>"C_LOG_IT_AV_PRODUTOS"</f>
        <v>C_LOG_IT_AV_PRODUTOS</v>
      </c>
      <c r="G2338" s="2" t="str">
        <f>"Faturamento / Faturamento de Convênios e Particulares / Consultas / Consulta Log de Produtos da Cirurgia (C_LOG_IT_AV_PRODUTOS)"</f>
        <v>Faturamento / Faturamento de Convênios e Particulares / Consultas / Consulta Log de Produtos da Cirurgia (C_LOG_IT_AV_PRODUTOS)</v>
      </c>
    </row>
    <row r="2339" spans="1:7" x14ac:dyDescent="0.3">
      <c r="A2339" s="1" t="s">
        <v>4</v>
      </c>
      <c r="B2339" s="2" t="str">
        <f t="shared" si="202"/>
        <v>SISTEMA FATURAMENTO CONTAS DE CONVENIO</v>
      </c>
      <c r="C2339" s="2" t="str">
        <f t="shared" si="203"/>
        <v>FATUR-CONV</v>
      </c>
      <c r="D2339" s="2" t="str">
        <f t="shared" si="204"/>
        <v>FFCV</v>
      </c>
      <c r="E2339" s="2" t="str">
        <f>"TIPO DE ACOMODAÇÃO MEIO MAGNÉTICO"</f>
        <v>TIPO DE ACOMODAÇÃO MEIO MAGNÉTICO</v>
      </c>
      <c r="F2339" s="2" t="str">
        <f>"M_PREST_CART_MEIO_MAG"</f>
        <v>M_PREST_CART_MEIO_MAG</v>
      </c>
      <c r="G2339" s="2" t="str">
        <f>"Faturamento / Faturamento de Convênios e Particulares / Configurações / Geração de Fatura em Meio Magnético / Envio / Prestador (M_PREST_CART_MEIO_MAG)"</f>
        <v>Faturamento / Faturamento de Convênios e Particulares / Configurações / Geração de Fatura em Meio Magnético / Envio / Prestador (M_PREST_CART_MEIO_MAG)</v>
      </c>
    </row>
    <row r="2340" spans="1:7" x14ac:dyDescent="0.3">
      <c r="A2340" s="1" t="s">
        <v>4</v>
      </c>
      <c r="B2340" s="2" t="str">
        <f t="shared" si="202"/>
        <v>SISTEMA FATURAMENTO CONTAS DE CONVENIO</v>
      </c>
      <c r="C2340" s="2" t="str">
        <f t="shared" si="203"/>
        <v>FATUR-CONV</v>
      </c>
      <c r="D2340" s="2" t="str">
        <f t="shared" si="204"/>
        <v>FFCV</v>
      </c>
      <c r="E2340" s="2" t="str">
        <f>"PORTE ANESTÉSICO POR TAXA"</f>
        <v>PORTE ANESTÉSICO POR TAXA</v>
      </c>
      <c r="F2340" s="2" t="str">
        <f>"M_CONV_PORTE_POR_TAXA"</f>
        <v>M_CONV_PORTE_POR_TAXA</v>
      </c>
      <c r="G2340" s="2" t="str">
        <f>" ()"</f>
        <v xml:space="preserve"> ()</v>
      </c>
    </row>
    <row r="2341" spans="1:7" x14ac:dyDescent="0.3">
      <c r="A2341" s="1" t="s">
        <v>4</v>
      </c>
      <c r="B2341" s="2" t="str">
        <f t="shared" si="202"/>
        <v>SISTEMA FATURAMENTO CONTAS DE CONVENIO</v>
      </c>
      <c r="C2341" s="2" t="str">
        <f t="shared" si="203"/>
        <v>FATUR-CONV</v>
      </c>
      <c r="D2341" s="2" t="str">
        <f t="shared" si="204"/>
        <v>FFCV</v>
      </c>
      <c r="E2341" s="2" t="str">
        <f>"WIN_PRINCIPAL"</f>
        <v>WIN_PRINCIPAL</v>
      </c>
      <c r="F2341" s="2" t="str">
        <f>"R_DESPESAS_HOSPITALARES"</f>
        <v>R_DESPESAS_HOSPITALARES</v>
      </c>
      <c r="G2341" s="2" t="str">
        <f>" ()"</f>
        <v xml:space="preserve"> ()</v>
      </c>
    </row>
    <row r="2342" spans="1:7" x14ac:dyDescent="0.3">
      <c r="A2342" s="1" t="s">
        <v>4</v>
      </c>
      <c r="B2342" s="2" t="str">
        <f t="shared" si="202"/>
        <v>SISTEMA FATURAMENTO CONTAS DE CONVENIO</v>
      </c>
      <c r="C2342" s="2" t="str">
        <f t="shared" si="203"/>
        <v>FATUR-CONV</v>
      </c>
      <c r="D2342" s="2" t="str">
        <f t="shared" si="204"/>
        <v>FFCV</v>
      </c>
      <c r="E2342" s="2" t="str">
        <f>"RELATÓRIO AUDITORIA DE COMPRAS"</f>
        <v>RELATÓRIO AUDITORIA DE COMPRAS</v>
      </c>
      <c r="F2342" s="2" t="str">
        <f>"M_AUDITORIA_DE_CONTAS"</f>
        <v>M_AUDITORIA_DE_CONTAS</v>
      </c>
      <c r="G2342" s="2" t="str">
        <f>" ()"</f>
        <v xml:space="preserve"> ()</v>
      </c>
    </row>
    <row r="2343" spans="1:7" x14ac:dyDescent="0.3">
      <c r="A2343" s="1" t="s">
        <v>4</v>
      </c>
      <c r="B2343" s="2" t="str">
        <f t="shared" si="202"/>
        <v>SISTEMA FATURAMENTO CONTAS DE CONVENIO</v>
      </c>
      <c r="C2343" s="2" t="str">
        <f t="shared" si="203"/>
        <v>FATUR-CONV</v>
      </c>
      <c r="D2343" s="2" t="str">
        <f t="shared" si="204"/>
        <v>FFCV</v>
      </c>
      <c r="E2343" s="2" t="str">
        <f>"WIN_PRINCIPAL"</f>
        <v>WIN_PRINCIPAL</v>
      </c>
      <c r="F2343" s="2" t="str">
        <f>"M_FAIXA_GUIA_CONVENIO"</f>
        <v>M_FAIXA_GUIA_CONVENIO</v>
      </c>
      <c r="G2343" s="2" t="str">
        <f>"Faturamento / Faturamento de Convênios e Particulares / Tabelas / Gerais / Faixa de guias por Convênio/Empresa (M_FAIXA_GUIA_CONVENIO)"</f>
        <v>Faturamento / Faturamento de Convênios e Particulares / Tabelas / Gerais / Faixa de guias por Convênio/Empresa (M_FAIXA_GUIA_CONVENIO)</v>
      </c>
    </row>
    <row r="2344" spans="1:7" x14ac:dyDescent="0.3">
      <c r="A2344" s="1" t="s">
        <v>4</v>
      </c>
      <c r="B2344" s="2" t="str">
        <f t="shared" si="202"/>
        <v>SISTEMA FATURAMENTO CONTAS DE CONVENIO</v>
      </c>
      <c r="C2344" s="2" t="str">
        <f t="shared" si="203"/>
        <v>FATUR-CONV</v>
      </c>
      <c r="D2344" s="2" t="str">
        <f t="shared" si="204"/>
        <v>FFCV</v>
      </c>
      <c r="E2344" s="2" t="str">
        <f>"LANÇAMENTOS DE CONTAS DO FATURAMENTO"</f>
        <v>LANÇAMENTOS DE CONTAS DO FATURAMENTO</v>
      </c>
      <c r="F2344" s="2" t="str">
        <f>"M_LANC_FFCV"</f>
        <v>M_LANC_FFCV</v>
      </c>
      <c r="G2344" s="2" t="str">
        <f>"Faturamento Distribuído de Convênios e Particulares / Lançamentos / Contas (M_LANC_FFCV)"</f>
        <v>Faturamento Distribuído de Convênios e Particulares / Lançamentos / Contas (M_LANC_FFCV)</v>
      </c>
    </row>
    <row r="2345" spans="1:7" x14ac:dyDescent="0.3">
      <c r="A2345" s="1" t="s">
        <v>4</v>
      </c>
      <c r="B2345" s="2" t="str">
        <f t="shared" si="202"/>
        <v>SISTEMA FATURAMENTO CONTAS DE CONVENIO</v>
      </c>
      <c r="C2345" s="2" t="str">
        <f t="shared" si="203"/>
        <v>FATUR-CONV</v>
      </c>
      <c r="D2345" s="2" t="str">
        <f t="shared" si="204"/>
        <v>FFCV</v>
      </c>
      <c r="E2345" s="2" t="str">
        <f>"LANÇAMENTOS DE CONTAS DO FATURAMENTO"</f>
        <v>LANÇAMENTOS DE CONTAS DO FATURAMENTO</v>
      </c>
      <c r="F2345" s="2" t="str">
        <f>"M_LANC_FFCV"</f>
        <v>M_LANC_FFCV</v>
      </c>
      <c r="G2345" s="2" t="str">
        <f>"Faturamento / Faturamento de Convênios e Particulares / Lançamentos / Distribuído / Contas (M_LANC_FFCV)"</f>
        <v>Faturamento / Faturamento de Convênios e Particulares / Lançamentos / Distribuído / Contas (M_LANC_FFCV)</v>
      </c>
    </row>
    <row r="2346" spans="1:7" x14ac:dyDescent="0.3">
      <c r="A2346" s="1" t="s">
        <v>4</v>
      </c>
      <c r="B2346" s="2" t="str">
        <f t="shared" si="202"/>
        <v>SISTEMA FATURAMENTO CONTAS DE CONVENIO</v>
      </c>
      <c r="C2346" s="2" t="str">
        <f t="shared" si="203"/>
        <v>FATUR-CONV</v>
      </c>
      <c r="D2346" s="2" t="str">
        <f t="shared" si="204"/>
        <v>FFCV</v>
      </c>
      <c r="E2346" s="2" t="str">
        <f>"CONTROLE DE ACESSO POR USUÁRIO"</f>
        <v>CONTROLE DE ACESSO POR USUÁRIO</v>
      </c>
      <c r="F2346" s="2" t="str">
        <f>"M_CONTROLE_USU_FFCV"</f>
        <v>M_CONTROLE_USU_FFCV</v>
      </c>
      <c r="G2346" s="2" t="str">
        <f>"Apoio a TI / Gestão de Usuários / Configurações de Acesso / Acessos Faturamento / Controle Acesso por Usuário-Faturamento Distribuído (M_CONTROLE_USU_FFCV)"</f>
        <v>Apoio a TI / Gestão de Usuários / Configurações de Acesso / Acessos Faturamento / Controle Acesso por Usuário-Faturamento Distribuído (M_CONTROLE_USU_FFCV)</v>
      </c>
    </row>
    <row r="2347" spans="1:7" x14ac:dyDescent="0.3">
      <c r="A2347" s="1" t="s">
        <v>4</v>
      </c>
      <c r="B2347" s="2" t="str">
        <f t="shared" si="202"/>
        <v>SISTEMA FATURAMENTO CONTAS DE CONVENIO</v>
      </c>
      <c r="C2347" s="2" t="str">
        <f t="shared" si="203"/>
        <v>FATUR-CONV</v>
      </c>
      <c r="D2347" s="2" t="str">
        <f t="shared" si="204"/>
        <v>FFCV</v>
      </c>
      <c r="E2347" s="2" t="str">
        <f>"M_EXCECAO_ATEND_RETORNO"</f>
        <v>M_EXCECAO_ATEND_RETORNO</v>
      </c>
      <c r="F2347" s="2" t="str">
        <f>"M_EXCECAO_ATEND_RETORNO"</f>
        <v>M_EXCECAO_ATEND_RETORNO</v>
      </c>
      <c r="G2347" s="2" t="str">
        <f>"Faturamento / Faturamento de Convênios e Particulares / Personalizados / Cadastro de exceções para regras de atendimento de retorno (M_EXCECAO_ATEND_RETORNO)"</f>
        <v>Faturamento / Faturamento de Convênios e Particulares / Personalizados / Cadastro de exceções para regras de atendimento de retorno (M_EXCECAO_ATEND_RETORNO)</v>
      </c>
    </row>
    <row r="2348" spans="1:7" x14ac:dyDescent="0.3">
      <c r="A2348" s="1" t="s">
        <v>4</v>
      </c>
      <c r="B2348" s="2" t="str">
        <f t="shared" si="202"/>
        <v>SISTEMA FATURAMENTO CONTAS DE CONVENIO</v>
      </c>
      <c r="C2348" s="2" t="str">
        <f t="shared" si="203"/>
        <v>FATUR-CONV</v>
      </c>
      <c r="D2348" s="2" t="str">
        <f t="shared" si="204"/>
        <v>FFCV</v>
      </c>
      <c r="E2348" s="2" t="str">
        <f>"M_PREST_CONVENIO"</f>
        <v>M_PREST_CONVENIO</v>
      </c>
      <c r="F2348" s="2" t="str">
        <f>"M_PREST_CONVENIO"</f>
        <v>M_PREST_CONVENIO</v>
      </c>
      <c r="G2348" s="2" t="str">
        <f>" ()"</f>
        <v xml:space="preserve"> ()</v>
      </c>
    </row>
    <row r="2349" spans="1:7" x14ac:dyDescent="0.3">
      <c r="A2349" s="1" t="s">
        <v>4</v>
      </c>
      <c r="B2349" s="2" t="str">
        <f t="shared" si="202"/>
        <v>SISTEMA FATURAMENTO CONTAS DE CONVENIO</v>
      </c>
      <c r="C2349" s="2" t="str">
        <f t="shared" si="203"/>
        <v>FATUR-CONV</v>
      </c>
      <c r="D2349" s="2" t="str">
        <f t="shared" si="204"/>
        <v>FFCV</v>
      </c>
      <c r="E2349" s="2" t="str">
        <f>"CADASTRO: PORTES DE ATO MÉDICO"</f>
        <v>CADASTRO: PORTES DE ATO MÉDICO</v>
      </c>
      <c r="F2349" s="2" t="str">
        <f>"M_PORTE_MEDICO"</f>
        <v>M_PORTE_MEDICO</v>
      </c>
      <c r="G2349" s="2" t="str">
        <f>"Faturamento / Faturamento de Convênios e Particulares / Tabelas / Gerais / Portes de Ato Médico (M_PORTE_MEDICO)"</f>
        <v>Faturamento / Faturamento de Convênios e Particulares / Tabelas / Gerais / Portes de Ato Médico (M_PORTE_MEDICO)</v>
      </c>
    </row>
    <row r="2350" spans="1:7" x14ac:dyDescent="0.3">
      <c r="A2350" s="1" t="s">
        <v>4</v>
      </c>
      <c r="B2350" s="2" t="str">
        <f t="shared" si="202"/>
        <v>SISTEMA FATURAMENTO CONTAS DE CONVENIO</v>
      </c>
      <c r="C2350" s="2" t="str">
        <f t="shared" si="203"/>
        <v>FATUR-CONV</v>
      </c>
      <c r="D2350" s="2" t="str">
        <f t="shared" si="204"/>
        <v>FFCV</v>
      </c>
      <c r="E2350" s="2" t="str">
        <f>"M_SUB_GRU_PRO_HIERARQUIZADO"</f>
        <v>M_SUB_GRU_PRO_HIERARQUIZADO</v>
      </c>
      <c r="F2350" s="2" t="str">
        <f>"M_SUB_GRU_PRO_HIERARQUIZADO"</f>
        <v>M_SUB_GRU_PRO_HIERARQUIZADO</v>
      </c>
      <c r="G2350" s="2" t="str">
        <f>"Faturamento / Faturamento de Convênios e Particulares / Tabelas / Gerais / Classificação Hierarquizada - CBHPM / Sub-Grupos (M_SUB_GRU_PRO_HIERARQUIZADO)"</f>
        <v>Faturamento / Faturamento de Convênios e Particulares / Tabelas / Gerais / Classificação Hierarquizada - CBHPM / Sub-Grupos (M_SUB_GRU_PRO_HIERARQUIZADO)</v>
      </c>
    </row>
    <row r="2351" spans="1:7" x14ac:dyDescent="0.3">
      <c r="A2351" s="1" t="s">
        <v>4</v>
      </c>
      <c r="B2351" s="2" t="str">
        <f t="shared" si="202"/>
        <v>SISTEMA FATURAMENTO CONTAS DE CONVENIO</v>
      </c>
      <c r="C2351" s="2" t="str">
        <f t="shared" si="203"/>
        <v>FATUR-CONV</v>
      </c>
      <c r="D2351" s="2" t="str">
        <f t="shared" si="204"/>
        <v>FFCV</v>
      </c>
      <c r="E2351" s="2" t="str">
        <f>"M_GRU_PRO_HIERARQUIZADO"</f>
        <v>M_GRU_PRO_HIERARQUIZADO</v>
      </c>
      <c r="F2351" s="2" t="str">
        <f>"M_GRU_PRO_HIERARQUIZADO"</f>
        <v>M_GRU_PRO_HIERARQUIZADO</v>
      </c>
      <c r="G2351" s="2" t="str">
        <f>"Faturamento / Faturamento de Convênios e Particulares / Tabelas / Gerais / Classificação Hierarquizada - CBHPM / Grupos (M_GRU_PRO_HIERARQUIZADO)"</f>
        <v>Faturamento / Faturamento de Convênios e Particulares / Tabelas / Gerais / Classificação Hierarquizada - CBHPM / Grupos (M_GRU_PRO_HIERARQUIZADO)</v>
      </c>
    </row>
    <row r="2352" spans="1:7" x14ac:dyDescent="0.3">
      <c r="A2352" s="1" t="s">
        <v>4</v>
      </c>
      <c r="B2352" s="2" t="str">
        <f t="shared" si="202"/>
        <v>SISTEMA FATURAMENTO CONTAS DE CONVENIO</v>
      </c>
      <c r="C2352" s="2" t="str">
        <f t="shared" si="203"/>
        <v>FATUR-CONV</v>
      </c>
      <c r="D2352" s="2" t="str">
        <f t="shared" si="204"/>
        <v>FFCV</v>
      </c>
      <c r="E2352" s="2" t="str">
        <f>"CADASTRO DE GABARITOS"</f>
        <v>CADASTRO DE GABARITOS</v>
      </c>
      <c r="F2352" s="2" t="str">
        <f>"M_GABARITO"</f>
        <v>M_GABARITO</v>
      </c>
      <c r="G2352" s="2" t="str">
        <f>"Faturamento / Faturamento de Convênios e Particulares / Tabelas / Cobranças e Tabelas / Gabaritos (M_GABARITO)"</f>
        <v>Faturamento / Faturamento de Convênios e Particulares / Tabelas / Cobranças e Tabelas / Gabaritos (M_GABARITO)</v>
      </c>
    </row>
    <row r="2353" spans="1:7" x14ac:dyDescent="0.3">
      <c r="A2353" s="1" t="s">
        <v>4</v>
      </c>
      <c r="B2353" s="2" t="str">
        <f t="shared" si="202"/>
        <v>SISTEMA FATURAMENTO CONTAS DE CONVENIO</v>
      </c>
      <c r="C2353" s="2" t="str">
        <f t="shared" si="203"/>
        <v>FATUR-CONV</v>
      </c>
      <c r="D2353" s="2" t="str">
        <f t="shared" si="204"/>
        <v>FFCV</v>
      </c>
      <c r="E2353" s="2" t="str">
        <f t="shared" ref="E2353:E2362" si="205">"PROCEDIMENTOS CBHPM"</f>
        <v>PROCEDIMENTOS CBHPM</v>
      </c>
      <c r="F2353" s="2" t="str">
        <f t="shared" ref="F2353:F2362" si="206">"C_PRO_FAT_HIERARQUIZADO"</f>
        <v>C_PRO_FAT_HIERARQUIZADO</v>
      </c>
      <c r="G2353" s="2" t="str">
        <f>"Clínica e Assistencial / Controle de Infecção Hospitalar / Consultas / Procedimentos CBHPM (C_PRO_FAT_HIERARQUIZADO)"</f>
        <v>Clínica e Assistencial / Controle de Infecção Hospitalar / Consultas / Procedimentos CBHPM (C_PRO_FAT_HIERARQUIZADO)</v>
      </c>
    </row>
    <row r="2354" spans="1:7" x14ac:dyDescent="0.3">
      <c r="A2354" s="1" t="s">
        <v>4</v>
      </c>
      <c r="B2354" s="2" t="str">
        <f t="shared" si="202"/>
        <v>SISTEMA FATURAMENTO CONTAS DE CONVENIO</v>
      </c>
      <c r="C2354" s="2" t="str">
        <f t="shared" si="203"/>
        <v>FATUR-CONV</v>
      </c>
      <c r="D2354" s="2" t="str">
        <f t="shared" si="204"/>
        <v>FFCV</v>
      </c>
      <c r="E2354" s="2" t="str">
        <f t="shared" si="205"/>
        <v>PROCEDIMENTOS CBHPM</v>
      </c>
      <c r="F2354" s="2" t="str">
        <f t="shared" si="206"/>
        <v>C_PRO_FAT_HIERARQUIZADO</v>
      </c>
      <c r="G2354" s="2" t="str">
        <f>"MVSaude / Vendas / Internação / Consultas / Procedimentos CBHPM (C_PRO_FAT_HIERARQUIZADO)"</f>
        <v>MVSaude / Vendas / Internação / Consultas / Procedimentos CBHPM (C_PRO_FAT_HIERARQUIZADO)</v>
      </c>
    </row>
    <row r="2355" spans="1:7" x14ac:dyDescent="0.3">
      <c r="A2355" s="1" t="s">
        <v>4</v>
      </c>
      <c r="B2355" s="2" t="str">
        <f t="shared" si="202"/>
        <v>SISTEMA FATURAMENTO CONTAS DE CONVENIO</v>
      </c>
      <c r="C2355" s="2" t="str">
        <f t="shared" si="203"/>
        <v>FATUR-CONV</v>
      </c>
      <c r="D2355" s="2" t="str">
        <f t="shared" si="204"/>
        <v>FFCV</v>
      </c>
      <c r="E2355" s="2" t="str">
        <f t="shared" si="205"/>
        <v>PROCEDIMENTOS CBHPM</v>
      </c>
      <c r="F2355" s="2" t="str">
        <f t="shared" si="206"/>
        <v>C_PRO_FAT_HIERARQUIZADO</v>
      </c>
      <c r="G2355" s="2" t="str">
        <f>"Faturamento / Faturamento de Convênios e Particulares / Consultas / Procedimentos CBHPM (C_PRO_FAT_HIERARQUIZADO)"</f>
        <v>Faturamento / Faturamento de Convênios e Particulares / Consultas / Procedimentos CBHPM (C_PRO_FAT_HIERARQUIZADO)</v>
      </c>
    </row>
    <row r="2356" spans="1:7" x14ac:dyDescent="0.3">
      <c r="A2356" s="1" t="s">
        <v>4</v>
      </c>
      <c r="B2356" s="2" t="str">
        <f t="shared" si="202"/>
        <v>SISTEMA FATURAMENTO CONTAS DE CONVENIO</v>
      </c>
      <c r="C2356" s="2" t="str">
        <f t="shared" si="203"/>
        <v>FATUR-CONV</v>
      </c>
      <c r="D2356" s="2" t="str">
        <f t="shared" si="204"/>
        <v>FFCV</v>
      </c>
      <c r="E2356" s="2" t="str">
        <f t="shared" si="205"/>
        <v>PROCEDIMENTOS CBHPM</v>
      </c>
      <c r="F2356" s="2" t="str">
        <f t="shared" si="206"/>
        <v>C_PRO_FAT_HIERARQUIZADO</v>
      </c>
      <c r="G2356" s="2" t="str">
        <f>"MVSaude / Atendimento / Autorizações de Guias / Internação / Consultas / Procedimentos CBHPM (C_PRO_FAT_HIERARQUIZADO)"</f>
        <v>MVSaude / Atendimento / Autorizações de Guias / Internação / Consultas / Procedimentos CBHPM (C_PRO_FAT_HIERARQUIZADO)</v>
      </c>
    </row>
    <row r="2357" spans="1:7" x14ac:dyDescent="0.3">
      <c r="A2357" s="1" t="s">
        <v>4</v>
      </c>
      <c r="B2357" s="2" t="str">
        <f t="shared" si="202"/>
        <v>SISTEMA FATURAMENTO CONTAS DE CONVENIO</v>
      </c>
      <c r="C2357" s="2" t="str">
        <f t="shared" si="203"/>
        <v>FATUR-CONV</v>
      </c>
      <c r="D2357" s="2" t="str">
        <f t="shared" si="204"/>
        <v>FFCV</v>
      </c>
      <c r="E2357" s="2" t="str">
        <f t="shared" si="205"/>
        <v>PROCEDIMENTOS CBHPM</v>
      </c>
      <c r="F2357" s="2" t="str">
        <f t="shared" si="206"/>
        <v>C_PRO_FAT_HIERARQUIZADO</v>
      </c>
      <c r="G2357" s="2" t="str">
        <f>"Materiais e Logística / Patrimônio / Consultas / Procedimentos CBHPM (C_PRO_FAT_HIERARQUIZADO)"</f>
        <v>Materiais e Logística / Patrimônio / Consultas / Procedimentos CBHPM (C_PRO_FAT_HIERARQUIZADO)</v>
      </c>
    </row>
    <row r="2358" spans="1:7" x14ac:dyDescent="0.3">
      <c r="A2358" s="1" t="s">
        <v>4</v>
      </c>
      <c r="B2358" s="2" t="str">
        <f t="shared" si="202"/>
        <v>SISTEMA FATURAMENTO CONTAS DE CONVENIO</v>
      </c>
      <c r="C2358" s="2" t="str">
        <f t="shared" si="203"/>
        <v>FATUR-CONV</v>
      </c>
      <c r="D2358" s="2" t="str">
        <f t="shared" si="204"/>
        <v>FFCV</v>
      </c>
      <c r="E2358" s="2" t="str">
        <f t="shared" si="205"/>
        <v>PROCEDIMENTOS CBHPM</v>
      </c>
      <c r="F2358" s="2" t="str">
        <f t="shared" si="206"/>
        <v>C_PRO_FAT_HIERARQUIZADO</v>
      </c>
      <c r="G2358" s="2" t="str">
        <f>"Serviços de Apoio / Manutenção / Consultas / Procedimentos CBHPM (C_PRO_FAT_HIERARQUIZADO)"</f>
        <v>Serviços de Apoio / Manutenção / Consultas / Procedimentos CBHPM (C_PRO_FAT_HIERARQUIZADO)</v>
      </c>
    </row>
    <row r="2359" spans="1:7" x14ac:dyDescent="0.3">
      <c r="A2359" s="1" t="s">
        <v>4</v>
      </c>
      <c r="B2359" s="2" t="str">
        <f t="shared" si="202"/>
        <v>SISTEMA FATURAMENTO CONTAS DE CONVENIO</v>
      </c>
      <c r="C2359" s="2" t="str">
        <f t="shared" si="203"/>
        <v>FATUR-CONV</v>
      </c>
      <c r="D2359" s="2" t="str">
        <f t="shared" si="204"/>
        <v>FFCV</v>
      </c>
      <c r="E2359" s="2" t="str">
        <f t="shared" si="205"/>
        <v>PROCEDIMENTOS CBHPM</v>
      </c>
      <c r="F2359" s="2" t="str">
        <f t="shared" si="206"/>
        <v>C_PRO_FAT_HIERARQUIZADO</v>
      </c>
      <c r="G2359" s="2" t="str">
        <f>"Materiais e Logística / Farmácia / Consulta / Procedimentos CBHPM (C_PRO_FAT_HIERARQUIZADO)"</f>
        <v>Materiais e Logística / Farmácia / Consulta / Procedimentos CBHPM (C_PRO_FAT_HIERARQUIZADO)</v>
      </c>
    </row>
    <row r="2360" spans="1:7" x14ac:dyDescent="0.3">
      <c r="A2360" s="1" t="s">
        <v>4</v>
      </c>
      <c r="B2360" s="2" t="str">
        <f t="shared" si="202"/>
        <v>SISTEMA FATURAMENTO CONTAS DE CONVENIO</v>
      </c>
      <c r="C2360" s="2" t="str">
        <f t="shared" si="203"/>
        <v>FATUR-CONV</v>
      </c>
      <c r="D2360" s="2" t="str">
        <f t="shared" si="204"/>
        <v>FFCV</v>
      </c>
      <c r="E2360" s="2" t="str">
        <f t="shared" si="205"/>
        <v>PROCEDIMENTOS CBHPM</v>
      </c>
      <c r="F2360" s="2" t="str">
        <f t="shared" si="206"/>
        <v>C_PRO_FAT_HIERARQUIZADO</v>
      </c>
      <c r="G2360" s="2" t="str">
        <f>"Serviços de Apoio / Nutrição e Dietética / Consultas / Procedimentos CBHPM (C_PRO_FAT_HIERARQUIZADO)"</f>
        <v>Serviços de Apoio / Nutrição e Dietética / Consultas / Procedimentos CBHPM (C_PRO_FAT_HIERARQUIZADO)</v>
      </c>
    </row>
    <row r="2361" spans="1:7" x14ac:dyDescent="0.3">
      <c r="A2361" s="1" t="s">
        <v>4</v>
      </c>
      <c r="B2361" s="2" t="str">
        <f t="shared" si="202"/>
        <v>SISTEMA FATURAMENTO CONTAS DE CONVENIO</v>
      </c>
      <c r="C2361" s="2" t="str">
        <f t="shared" si="203"/>
        <v>FATUR-CONV</v>
      </c>
      <c r="D2361" s="2" t="str">
        <f t="shared" si="204"/>
        <v>FFCV</v>
      </c>
      <c r="E2361" s="2" t="str">
        <f t="shared" si="205"/>
        <v>PROCEDIMENTOS CBHPM</v>
      </c>
      <c r="F2361" s="2" t="str">
        <f t="shared" si="206"/>
        <v>C_PRO_FAT_HIERARQUIZADO</v>
      </c>
      <c r="G2361" s="2" t="str">
        <f>"Atendimento / Internação Domiciliar (Home Care) / Consultas / Procedimentos CBHPM (C_PRO_FAT_HIERARQUIZADO)"</f>
        <v>Atendimento / Internação Domiciliar (Home Care) / Consultas / Procedimentos CBHPM (C_PRO_FAT_HIERARQUIZADO)</v>
      </c>
    </row>
    <row r="2362" spans="1:7" x14ac:dyDescent="0.3">
      <c r="A2362" s="1" t="s">
        <v>4</v>
      </c>
      <c r="B2362" s="2" t="str">
        <f t="shared" si="202"/>
        <v>SISTEMA FATURAMENTO CONTAS DE CONVENIO</v>
      </c>
      <c r="C2362" s="2" t="str">
        <f t="shared" si="203"/>
        <v>FATUR-CONV</v>
      </c>
      <c r="D2362" s="2" t="str">
        <f t="shared" si="204"/>
        <v>FFCV</v>
      </c>
      <c r="E2362" s="2" t="str">
        <f t="shared" si="205"/>
        <v>PROCEDIMENTOS CBHPM</v>
      </c>
      <c r="F2362" s="2" t="str">
        <f t="shared" si="206"/>
        <v>C_PRO_FAT_HIERARQUIZADO</v>
      </c>
      <c r="G2362" s="2" t="str">
        <f>"Serviços de Apoio / Central de Materiais Esterilizados / Consultas / Procedimentos CBHPM (C_PRO_FAT_HIERARQUIZADO)"</f>
        <v>Serviços de Apoio / Central de Materiais Esterilizados / Consultas / Procedimentos CBHPM (C_PRO_FAT_HIERARQUIZADO)</v>
      </c>
    </row>
    <row r="2363" spans="1:7" x14ac:dyDescent="0.3">
      <c r="A2363" s="1" t="s">
        <v>4</v>
      </c>
      <c r="B2363" s="2" t="str">
        <f t="shared" si="202"/>
        <v>SISTEMA FATURAMENTO CONTAS DE CONVENIO</v>
      </c>
      <c r="C2363" s="2" t="str">
        <f t="shared" si="203"/>
        <v>FATUR-CONV</v>
      </c>
      <c r="D2363" s="2" t="str">
        <f t="shared" si="204"/>
        <v>FFCV</v>
      </c>
      <c r="E2363" s="2" t="str">
        <f>"M_PRO_FAT_HIERARQUIZADO"</f>
        <v>M_PRO_FAT_HIERARQUIZADO</v>
      </c>
      <c r="F2363" s="2" t="str">
        <f>"M_PRO_FAT_HIERARQUIZADO"</f>
        <v>M_PRO_FAT_HIERARQUIZADO</v>
      </c>
      <c r="G2363" s="2" t="str">
        <f>"Faturamento / Faturamento de Convênios e Particulares / Tabelas / Gerais / Classificação Hierarquizada - CBHPM / Procedimentos (M_PRO_FAT_HIERARQUIZADO)"</f>
        <v>Faturamento / Faturamento de Convênios e Particulares / Tabelas / Gerais / Classificação Hierarquizada - CBHPM / Procedimentos (M_PRO_FAT_HIERARQUIZADO)</v>
      </c>
    </row>
    <row r="2364" spans="1:7" x14ac:dyDescent="0.3">
      <c r="A2364" s="1" t="s">
        <v>4</v>
      </c>
      <c r="B2364" s="2" t="str">
        <f t="shared" si="202"/>
        <v>SISTEMA FATURAMENTO CONTAS DE CONVENIO</v>
      </c>
      <c r="C2364" s="2" t="str">
        <f t="shared" si="203"/>
        <v>FATUR-CONV</v>
      </c>
      <c r="D2364" s="2" t="str">
        <f t="shared" si="204"/>
        <v>FFCV</v>
      </c>
      <c r="E2364" s="2" t="str">
        <f>"WIN_PRINCIPAL"</f>
        <v>WIN_PRINCIPAL</v>
      </c>
      <c r="F2364" s="2" t="str">
        <f>"M_NOTA_FISCAL_AVULSA"</f>
        <v>M_NOTA_FISCAL_AVULSA</v>
      </c>
      <c r="G2364" s="2" t="str">
        <f>"Faturamento / Faturamento de Convênios e Particulares / Solicitações / Nota Fiscal Avulsa (M_NOTA_FISCAL_AVULSA)"</f>
        <v>Faturamento / Faturamento de Convênios e Particulares / Solicitações / Nota Fiscal Avulsa (M_NOTA_FISCAL_AVULSA)</v>
      </c>
    </row>
    <row r="2365" spans="1:7" x14ac:dyDescent="0.3">
      <c r="A2365" s="1" t="s">
        <v>4</v>
      </c>
      <c r="B2365" s="2" t="str">
        <f t="shared" si="202"/>
        <v>SISTEMA FATURAMENTO CONTAS DE CONVENIO</v>
      </c>
      <c r="C2365" s="2" t="str">
        <f t="shared" si="203"/>
        <v>FATUR-CONV</v>
      </c>
      <c r="D2365" s="2" t="str">
        <f t="shared" si="204"/>
        <v>FFCV</v>
      </c>
      <c r="E2365" s="2" t="str">
        <f>"WIN_PRINCIPAL"</f>
        <v>WIN_PRINCIPAL</v>
      </c>
      <c r="F2365" s="2" t="str">
        <f>"M_TP_CREDENCIADO_MEIOMAG"</f>
        <v>M_TP_CREDENCIADO_MEIOMAG</v>
      </c>
      <c r="G2365" s="2" t="str">
        <f>"Faturamento / Faturamento de Convênios e Particulares / Configurações / Geração de Fatura em Meio Magnético / Envio / Credenciamento (M_TP_CREDENCIADO_MEIOMAG)"</f>
        <v>Faturamento / Faturamento de Convênios e Particulares / Configurações / Geração de Fatura em Meio Magnético / Envio / Credenciamento (M_TP_CREDENCIADO_MEIOMAG)</v>
      </c>
    </row>
    <row r="2366" spans="1:7" x14ac:dyDescent="0.3">
      <c r="A2366" s="1" t="s">
        <v>4</v>
      </c>
      <c r="B2366" s="2" t="str">
        <f t="shared" si="202"/>
        <v>SISTEMA FATURAMENTO CONTAS DE CONVENIO</v>
      </c>
      <c r="C2366" s="2" t="str">
        <f t="shared" si="203"/>
        <v>FATUR-CONV</v>
      </c>
      <c r="D2366" s="2" t="str">
        <f t="shared" si="204"/>
        <v>FFCV</v>
      </c>
      <c r="E2366" s="2" t="str">
        <f>"IMPORTAÇÃO DE PREÇOS DO BRADESCO"</f>
        <v>IMPORTAÇÃO DE PREÇOS DO BRADESCO</v>
      </c>
      <c r="F2366" s="2" t="str">
        <f>"O_EXP_FAT_SOFTLINE"</f>
        <v>O_EXP_FAT_SOFTLINE</v>
      </c>
      <c r="G2366" s="2" t="str">
        <f t="shared" ref="G2366:G2374" si="207">" ()"</f>
        <v xml:space="preserve"> ()</v>
      </c>
    </row>
    <row r="2367" spans="1:7" x14ac:dyDescent="0.3">
      <c r="A2367" s="1" t="s">
        <v>4</v>
      </c>
      <c r="B2367" s="2" t="str">
        <f t="shared" si="202"/>
        <v>SISTEMA FATURAMENTO CONTAS DE CONVENIO</v>
      </c>
      <c r="C2367" s="2" t="str">
        <f t="shared" si="203"/>
        <v>FATUR-CONV</v>
      </c>
      <c r="D2367" s="2" t="str">
        <f t="shared" si="204"/>
        <v>FFCV</v>
      </c>
      <c r="E2367" s="2" t="str">
        <f>"M_NOTA_FISCAL_338_ANTIGO"</f>
        <v>M_NOTA_FISCAL_338_ANTIGO</v>
      </c>
      <c r="F2367" s="2" t="str">
        <f>"M_NOTA_FISCAL_338_ANTIGO"</f>
        <v>M_NOTA_FISCAL_338_ANTIGO</v>
      </c>
      <c r="G2367" s="2" t="str">
        <f t="shared" si="207"/>
        <v xml:space="preserve"> ()</v>
      </c>
    </row>
    <row r="2368" spans="1:7" x14ac:dyDescent="0.3">
      <c r="A2368" s="1" t="s">
        <v>4</v>
      </c>
      <c r="B2368" s="2" t="str">
        <f t="shared" si="202"/>
        <v>SISTEMA FATURAMENTO CONTAS DE CONVENIO</v>
      </c>
      <c r="C2368" s="2" t="str">
        <f t="shared" si="203"/>
        <v>FATUR-CONV</v>
      </c>
      <c r="D2368" s="2" t="str">
        <f t="shared" si="204"/>
        <v>FFCV</v>
      </c>
      <c r="E2368" s="2" t="str">
        <f>"M_GUIAS_ANTES"</f>
        <v>M_GUIAS_ANTES</v>
      </c>
      <c r="F2368" s="2" t="str">
        <f>"M_GUIAS_ANTES"</f>
        <v>M_GUIAS_ANTES</v>
      </c>
      <c r="G2368" s="2" t="str">
        <f t="shared" si="207"/>
        <v xml:space="preserve"> ()</v>
      </c>
    </row>
    <row r="2369" spans="1:7" x14ac:dyDescent="0.3">
      <c r="A2369" s="1" t="s">
        <v>4</v>
      </c>
      <c r="B2369" s="2" t="str">
        <f t="shared" si="202"/>
        <v>SISTEMA FATURAMENTO CONTAS DE CONVENIO</v>
      </c>
      <c r="C2369" s="2" t="str">
        <f t="shared" si="203"/>
        <v>FATUR-CONV</v>
      </c>
      <c r="D2369" s="2" t="str">
        <f t="shared" si="204"/>
        <v>FFCV</v>
      </c>
      <c r="E2369" s="2" t="str">
        <f>"M_FOR_APRE_UNIMED_NATAL"</f>
        <v>M_FOR_APRE_UNIMED_NATAL</v>
      </c>
      <c r="F2369" s="2" t="str">
        <f>"M_FOR_APRE_UNIMED_NATAL"</f>
        <v>M_FOR_APRE_UNIMED_NATAL</v>
      </c>
      <c r="G2369" s="2" t="str">
        <f t="shared" si="207"/>
        <v xml:space="preserve"> ()</v>
      </c>
    </row>
    <row r="2370" spans="1:7" x14ac:dyDescent="0.3">
      <c r="A2370" s="1" t="s">
        <v>4</v>
      </c>
      <c r="B2370" s="2" t="str">
        <f t="shared" si="202"/>
        <v>SISTEMA FATURAMENTO CONTAS DE CONVENIO</v>
      </c>
      <c r="C2370" s="2" t="str">
        <f t="shared" si="203"/>
        <v>FATUR-CONV</v>
      </c>
      <c r="D2370" s="2" t="str">
        <f t="shared" si="204"/>
        <v>FFCV</v>
      </c>
      <c r="E2370" s="2" t="str">
        <f>"M_CRIA_REMESSA_AMB"</f>
        <v>M_CRIA_REMESSA_AMB</v>
      </c>
      <c r="F2370" s="2" t="str">
        <f>"M_CRIA_REMESSA_AMB"</f>
        <v>M_CRIA_REMESSA_AMB</v>
      </c>
      <c r="G2370" s="2" t="str">
        <f t="shared" si="207"/>
        <v xml:space="preserve"> ()</v>
      </c>
    </row>
    <row r="2371" spans="1:7" x14ac:dyDescent="0.3">
      <c r="A2371" s="1" t="s">
        <v>4</v>
      </c>
      <c r="B2371" s="2" t="str">
        <f t="shared" si="202"/>
        <v>SISTEMA FATURAMENTO CONTAS DE CONVENIO</v>
      </c>
      <c r="C2371" s="2" t="str">
        <f t="shared" si="203"/>
        <v>FATUR-CONV</v>
      </c>
      <c r="D2371" s="2" t="str">
        <f t="shared" si="204"/>
        <v>FFCV</v>
      </c>
      <c r="E2371" s="2" t="str">
        <f>"M_CONTROLE_GASES2"</f>
        <v>M_CONTROLE_GASES2</v>
      </c>
      <c r="F2371" s="2" t="str">
        <f>"M_CONTROLE_GASES2"</f>
        <v>M_CONTROLE_GASES2</v>
      </c>
      <c r="G2371" s="2" t="str">
        <f t="shared" si="207"/>
        <v xml:space="preserve"> ()</v>
      </c>
    </row>
    <row r="2372" spans="1:7" x14ac:dyDescent="0.3">
      <c r="A2372" s="1" t="s">
        <v>4</v>
      </c>
      <c r="B2372" s="2" t="str">
        <f t="shared" si="202"/>
        <v>SISTEMA FATURAMENTO CONTAS DE CONVENIO</v>
      </c>
      <c r="C2372" s="2" t="str">
        <f t="shared" si="203"/>
        <v>FATUR-CONV</v>
      </c>
      <c r="D2372" s="2" t="str">
        <f t="shared" si="204"/>
        <v>FFCV</v>
      </c>
      <c r="E2372" s="2" t="str">
        <f>"M_CONFIGURA_TESTE"</f>
        <v>M_CONFIGURA_TESTE</v>
      </c>
      <c r="F2372" s="2" t="str">
        <f>"M_CONFIGURA_TESTE"</f>
        <v>M_CONFIGURA_TESTE</v>
      </c>
      <c r="G2372" s="2" t="str">
        <f t="shared" si="207"/>
        <v xml:space="preserve"> ()</v>
      </c>
    </row>
    <row r="2373" spans="1:7" x14ac:dyDescent="0.3">
      <c r="A2373" s="1" t="s">
        <v>4</v>
      </c>
      <c r="B2373" s="2" t="str">
        <f t="shared" si="202"/>
        <v>SISTEMA FATURAMENTO CONTAS DE CONVENIO</v>
      </c>
      <c r="C2373" s="2" t="str">
        <f t="shared" si="203"/>
        <v>FATUR-CONV</v>
      </c>
      <c r="D2373" s="2" t="str">
        <f t="shared" si="204"/>
        <v>FFCV</v>
      </c>
      <c r="E2373" s="2" t="str">
        <f>"FFCV_DISTRIBUIDO"</f>
        <v>FFCV_DISTRIBUIDO</v>
      </c>
      <c r="F2373" s="2" t="str">
        <f>"FFCV_DISTRIBUIDO"</f>
        <v>FFCV_DISTRIBUIDO</v>
      </c>
      <c r="G2373" s="2" t="str">
        <f t="shared" si="207"/>
        <v xml:space="preserve"> ()</v>
      </c>
    </row>
    <row r="2374" spans="1:7" x14ac:dyDescent="0.3">
      <c r="A2374" s="1" t="s">
        <v>4</v>
      </c>
      <c r="B2374" s="2" t="str">
        <f t="shared" ref="B2374:B2437" si="208">"SISTEMA FATURAMENTO CONTAS DE CONVENIO"</f>
        <v>SISTEMA FATURAMENTO CONTAS DE CONVENIO</v>
      </c>
      <c r="C2374" s="2" t="str">
        <f t="shared" ref="C2374:C2437" si="209">"FATUR-CONV"</f>
        <v>FATUR-CONV</v>
      </c>
      <c r="D2374" s="2" t="str">
        <f t="shared" ref="D2374:D2437" si="210">"FFCV"</f>
        <v>FFCV</v>
      </c>
      <c r="E2374" s="2" t="str">
        <f>"AVISO DE ALTA ADMINISTRATIVA"</f>
        <v>AVISO DE ALTA ADMINISTRATIVA</v>
      </c>
      <c r="F2374" s="2" t="str">
        <f>"M_LIB_ALTA_FFCV_FNCT"</f>
        <v>M_LIB_ALTA_FFCV_FNCT</v>
      </c>
      <c r="G2374" s="2" t="str">
        <f t="shared" si="207"/>
        <v xml:space="preserve"> ()</v>
      </c>
    </row>
    <row r="2375" spans="1:7" x14ac:dyDescent="0.3">
      <c r="A2375" s="1" t="s">
        <v>4</v>
      </c>
      <c r="B2375" s="2" t="str">
        <f t="shared" si="208"/>
        <v>SISTEMA FATURAMENTO CONTAS DE CONVENIO</v>
      </c>
      <c r="C2375" s="2" t="str">
        <f t="shared" si="209"/>
        <v>FATUR-CONV</v>
      </c>
      <c r="D2375" s="2" t="str">
        <f t="shared" si="210"/>
        <v>FFCV</v>
      </c>
      <c r="E2375" s="2" t="str">
        <f>"AVISO DE ALTA ADMINISTRATIVA"</f>
        <v>AVISO DE ALTA ADMINISTRATIVA</v>
      </c>
      <c r="F2375" s="2" t="str">
        <f>"M_LIB_ALTA_FFCV_PARI"</f>
        <v>M_LIB_ALTA_FFCV_PARI</v>
      </c>
      <c r="G2375" s="2" t="str">
        <f>"MVSaude / Atendimento / Autorizações de Guias / Internação / Atendimento / Alta / Liberadas pelo Faturamento (M_LIB_ALTA_FFCV_PARI)"</f>
        <v>MVSaude / Atendimento / Autorizações de Guias / Internação / Atendimento / Alta / Liberadas pelo Faturamento (M_LIB_ALTA_FFCV_PARI)</v>
      </c>
    </row>
    <row r="2376" spans="1:7" x14ac:dyDescent="0.3">
      <c r="A2376" s="1" t="s">
        <v>4</v>
      </c>
      <c r="B2376" s="2" t="str">
        <f t="shared" si="208"/>
        <v>SISTEMA FATURAMENTO CONTAS DE CONVENIO</v>
      </c>
      <c r="C2376" s="2" t="str">
        <f t="shared" si="209"/>
        <v>FATUR-CONV</v>
      </c>
      <c r="D2376" s="2" t="str">
        <f t="shared" si="210"/>
        <v>FFCV</v>
      </c>
      <c r="E2376" s="2" t="str">
        <f>"AVISO DE ALTA ADMINISTRATIVA"</f>
        <v>AVISO DE ALTA ADMINISTRATIVA</v>
      </c>
      <c r="F2376" s="2" t="str">
        <f>"M_LIB_ALTA_FFCV_PARI"</f>
        <v>M_LIB_ALTA_FFCV_PARI</v>
      </c>
      <c r="G2376" s="2" t="str">
        <f>"Atendimento / Internação / Atendimento / Alta / Alta Administrativa Liberadas pelo Faturamento (M_LIB_ALTA_FFCV_PARI)"</f>
        <v>Atendimento / Internação / Atendimento / Alta / Alta Administrativa Liberadas pelo Faturamento (M_LIB_ALTA_FFCV_PARI)</v>
      </c>
    </row>
    <row r="2377" spans="1:7" x14ac:dyDescent="0.3">
      <c r="A2377" s="1" t="s">
        <v>4</v>
      </c>
      <c r="B2377" s="2" t="str">
        <f t="shared" si="208"/>
        <v>SISTEMA FATURAMENTO CONTAS DE CONVENIO</v>
      </c>
      <c r="C2377" s="2" t="str">
        <f t="shared" si="209"/>
        <v>FATUR-CONV</v>
      </c>
      <c r="D2377" s="2" t="str">
        <f t="shared" si="210"/>
        <v>FFCV</v>
      </c>
      <c r="E2377" s="2" t="str">
        <f>"AVISO DE ALTA ADMINISTRATIVA"</f>
        <v>AVISO DE ALTA ADMINISTRATIVA</v>
      </c>
      <c r="F2377" s="2" t="str">
        <f>"M_LIB_ALTA_FFCV_PARI"</f>
        <v>M_LIB_ALTA_FFCV_PARI</v>
      </c>
      <c r="G2377" s="2" t="str">
        <f>"MVSaude / Vendas / Internação / Atendimento / Alta / Liberadas pelo Faturamento (M_LIB_ALTA_FFCV_PARI)"</f>
        <v>MVSaude / Vendas / Internação / Atendimento / Alta / Liberadas pelo Faturamento (M_LIB_ALTA_FFCV_PARI)</v>
      </c>
    </row>
    <row r="2378" spans="1:7" x14ac:dyDescent="0.3">
      <c r="A2378" s="1" t="s">
        <v>4</v>
      </c>
      <c r="B2378" s="2" t="str">
        <f t="shared" si="208"/>
        <v>SISTEMA FATURAMENTO CONTAS DE CONVENIO</v>
      </c>
      <c r="C2378" s="2" t="str">
        <f t="shared" si="209"/>
        <v>FATUR-CONV</v>
      </c>
      <c r="D2378" s="2" t="str">
        <f t="shared" si="210"/>
        <v>FFCV</v>
      </c>
      <c r="E2378" s="2" t="str">
        <f>"PROCEDIMENTOS PARA FATURAMENTO DIRETO"</f>
        <v>PROCEDIMENTOS PARA FATURAMENTO DIRETO</v>
      </c>
      <c r="F2378" s="2" t="str">
        <f>"M_PROC_FAT_DIRETA"</f>
        <v>M_PROC_FAT_DIRETA</v>
      </c>
      <c r="G2378" s="2" t="str">
        <f>"Faturamento / Faturamento de Convênios e Particulares / Configurações / Procedimentos de Fatura direta com o convênio (M_PROC_FAT_DIRETA)"</f>
        <v>Faturamento / Faturamento de Convênios e Particulares / Configurações / Procedimentos de Fatura direta com o convênio (M_PROC_FAT_DIRETA)</v>
      </c>
    </row>
    <row r="2379" spans="1:7" x14ac:dyDescent="0.3">
      <c r="A2379" s="1" t="s">
        <v>4</v>
      </c>
      <c r="B2379" s="2" t="str">
        <f t="shared" si="208"/>
        <v>SISTEMA FATURAMENTO CONTAS DE CONVENIO</v>
      </c>
      <c r="C2379" s="2" t="str">
        <f t="shared" si="209"/>
        <v>FATUR-CONV</v>
      </c>
      <c r="D2379" s="2" t="str">
        <f t="shared" si="210"/>
        <v>FFCV</v>
      </c>
      <c r="E2379" s="2" t="str">
        <f>"M_CONCILIACAO"</f>
        <v>M_CONCILIACAO</v>
      </c>
      <c r="F2379" s="2" t="str">
        <f>"M_CONCILIACAO"</f>
        <v>M_CONCILIACAO</v>
      </c>
      <c r="G2379" s="2" t="str">
        <f>"Faturamento / Faturamento de Convênios e Particulares / Personalizados / Conciliação OPME (M_CONCILIACAO)"</f>
        <v>Faturamento / Faturamento de Convênios e Particulares / Personalizados / Conciliação OPME (M_CONCILIACAO)</v>
      </c>
    </row>
    <row r="2380" spans="1:7" x14ac:dyDescent="0.3">
      <c r="A2380" s="1" t="s">
        <v>4</v>
      </c>
      <c r="B2380" s="2" t="str">
        <f t="shared" si="208"/>
        <v>SISTEMA FATURAMENTO CONTAS DE CONVENIO</v>
      </c>
      <c r="C2380" s="2" t="str">
        <f t="shared" si="209"/>
        <v>FATUR-CONV</v>
      </c>
      <c r="D2380" s="2" t="str">
        <f t="shared" si="210"/>
        <v>FFCV</v>
      </c>
      <c r="E2380" s="2" t="str">
        <f>"M_TRANSFERE_CONTA_EMPRESA"</f>
        <v>M_TRANSFERE_CONTA_EMPRESA</v>
      </c>
      <c r="F2380" s="2" t="str">
        <f>"M_TRANSFERE_CONTA_EMPRESA"</f>
        <v>M_TRANSFERE_CONTA_EMPRESA</v>
      </c>
      <c r="G2380" s="2" t="str">
        <f>"Faturamento / Faturamento de Convênios e Particulares / Personalizados / Transferencia de contas entre empresas (M_TRANSFERE_CONTA_EMPRESA)"</f>
        <v>Faturamento / Faturamento de Convênios e Particulares / Personalizados / Transferencia de contas entre empresas (M_TRANSFERE_CONTA_EMPRESA)</v>
      </c>
    </row>
    <row r="2381" spans="1:7" x14ac:dyDescent="0.3">
      <c r="A2381" s="1" t="s">
        <v>4</v>
      </c>
      <c r="B2381" s="2" t="str">
        <f t="shared" si="208"/>
        <v>SISTEMA FATURAMENTO CONTAS DE CONVENIO</v>
      </c>
      <c r="C2381" s="2" t="str">
        <f t="shared" si="209"/>
        <v>FATUR-CONV</v>
      </c>
      <c r="D2381" s="2" t="str">
        <f t="shared" si="210"/>
        <v>FFCV</v>
      </c>
      <c r="E2381" s="2" t="str">
        <f>"CONSULTA PROTOCOLO DE PACOTES"</f>
        <v>CONSULTA PROTOCOLO DE PACOTES</v>
      </c>
      <c r="F2381" s="2" t="str">
        <f>"C_PROTOCOLO_PACOTE"</f>
        <v>C_PROTOCOLO_PACOTE</v>
      </c>
      <c r="G2381" s="2" t="str">
        <f>"MVSaude / Vendas / Internação / Consultas / Protocolos de Pacote (C_PROTOCOLO_PACOTE)"</f>
        <v>MVSaude / Vendas / Internação / Consultas / Protocolos de Pacote (C_PROTOCOLO_PACOTE)</v>
      </c>
    </row>
    <row r="2382" spans="1:7" x14ac:dyDescent="0.3">
      <c r="A2382" s="1" t="s">
        <v>4</v>
      </c>
      <c r="B2382" s="2" t="str">
        <f t="shared" si="208"/>
        <v>SISTEMA FATURAMENTO CONTAS DE CONVENIO</v>
      </c>
      <c r="C2382" s="2" t="str">
        <f t="shared" si="209"/>
        <v>FATUR-CONV</v>
      </c>
      <c r="D2382" s="2" t="str">
        <f t="shared" si="210"/>
        <v>FFCV</v>
      </c>
      <c r="E2382" s="2" t="str">
        <f>"CONSULTA PROTOCOLO DE PACOTES"</f>
        <v>CONSULTA PROTOCOLO DE PACOTES</v>
      </c>
      <c r="F2382" s="2" t="str">
        <f>"C_PROTOCOLO_PACOTE"</f>
        <v>C_PROTOCOLO_PACOTE</v>
      </c>
      <c r="G2382" s="2" t="str">
        <f>"Atendimento / Internação / Consultas / Protocolos de Pacote (C_PROTOCOLO_PACOTE)"</f>
        <v>Atendimento / Internação / Consultas / Protocolos de Pacote (C_PROTOCOLO_PACOTE)</v>
      </c>
    </row>
    <row r="2383" spans="1:7" x14ac:dyDescent="0.3">
      <c r="A2383" s="1" t="s">
        <v>4</v>
      </c>
      <c r="B2383" s="2" t="str">
        <f t="shared" si="208"/>
        <v>SISTEMA FATURAMENTO CONTAS DE CONVENIO</v>
      </c>
      <c r="C2383" s="2" t="str">
        <f t="shared" si="209"/>
        <v>FATUR-CONV</v>
      </c>
      <c r="D2383" s="2" t="str">
        <f t="shared" si="210"/>
        <v>FFCV</v>
      </c>
      <c r="E2383" s="2" t="str">
        <f>"CONSULTA PROTOCOLO DE PACOTES"</f>
        <v>CONSULTA PROTOCOLO DE PACOTES</v>
      </c>
      <c r="F2383" s="2" t="str">
        <f>"C_PROTOCOLO_PACOTE"</f>
        <v>C_PROTOCOLO_PACOTE</v>
      </c>
      <c r="G2383" s="2" t="str">
        <f>"MVSaude / Atendimento / Autorizações de Guias / Internação / Consultas / Protocolos de Pacote (C_PROTOCOLO_PACOTE)"</f>
        <v>MVSaude / Atendimento / Autorizações de Guias / Internação / Consultas / Protocolos de Pacote (C_PROTOCOLO_PACOTE)</v>
      </c>
    </row>
    <row r="2384" spans="1:7" x14ac:dyDescent="0.3">
      <c r="A2384" s="1" t="s">
        <v>4</v>
      </c>
      <c r="B2384" s="2" t="str">
        <f t="shared" si="208"/>
        <v>SISTEMA FATURAMENTO CONTAS DE CONVENIO</v>
      </c>
      <c r="C2384" s="2" t="str">
        <f t="shared" si="209"/>
        <v>FATUR-CONV</v>
      </c>
      <c r="D2384" s="2" t="str">
        <f t="shared" si="210"/>
        <v>FFCV</v>
      </c>
      <c r="E2384" s="2" t="str">
        <f>"CONSULTA PROTOCOLO DE PACOTES"</f>
        <v>CONSULTA PROTOCOLO DE PACOTES</v>
      </c>
      <c r="F2384" s="2" t="str">
        <f>"C_PROTOCOLO_PACOTE"</f>
        <v>C_PROTOCOLO_PACOTE</v>
      </c>
      <c r="G2384" s="2" t="str">
        <f>"Faturamento / Faturamento de Convênios e Particulares / Consultas / Consulta protocolo de pacote (C_PROTOCOLO_PACOTE)"</f>
        <v>Faturamento / Faturamento de Convênios e Particulares / Consultas / Consulta protocolo de pacote (C_PROTOCOLO_PACOTE)</v>
      </c>
    </row>
    <row r="2385" spans="1:7" x14ac:dyDescent="0.3">
      <c r="A2385" s="1" t="s">
        <v>4</v>
      </c>
      <c r="B2385" s="2" t="str">
        <f t="shared" si="208"/>
        <v>SISTEMA FATURAMENTO CONTAS DE CONVENIO</v>
      </c>
      <c r="C2385" s="2" t="str">
        <f t="shared" si="209"/>
        <v>FATUR-CONV</v>
      </c>
      <c r="D2385" s="2" t="str">
        <f t="shared" si="210"/>
        <v>FFCV</v>
      </c>
      <c r="E2385" s="2" t="str">
        <f>"NOTA FISCAL CLIENTE 727"</f>
        <v>NOTA FISCAL CLIENTE 727</v>
      </c>
      <c r="F2385" s="2" t="str">
        <f>"R_NOTA_FISCAL_727"</f>
        <v>R_NOTA_FISCAL_727</v>
      </c>
      <c r="G2385" s="2" t="str">
        <f t="shared" ref="G2385:G2393" si="211">" ()"</f>
        <v xml:space="preserve"> ()</v>
      </c>
    </row>
    <row r="2386" spans="1:7" x14ac:dyDescent="0.3">
      <c r="A2386" s="1" t="s">
        <v>4</v>
      </c>
      <c r="B2386" s="2" t="str">
        <f t="shared" si="208"/>
        <v>SISTEMA FATURAMENTO CONTAS DE CONVENIO</v>
      </c>
      <c r="C2386" s="2" t="str">
        <f t="shared" si="209"/>
        <v>FATUR-CONV</v>
      </c>
      <c r="D2386" s="2" t="str">
        <f t="shared" si="210"/>
        <v>FFCV</v>
      </c>
      <c r="E2386" s="2" t="str">
        <f>"REL. DE CONVÊNIOS E PLANOS X REGRAS"</f>
        <v>REL. DE CONVÊNIOS E PLANOS X REGRAS</v>
      </c>
      <c r="F2386" s="2" t="str">
        <f>"R_CONVREGRA.RDF"</f>
        <v>R_CONVREGRA.RDF</v>
      </c>
      <c r="G2386" s="2" t="str">
        <f t="shared" si="211"/>
        <v xml:space="preserve"> ()</v>
      </c>
    </row>
    <row r="2387" spans="1:7" x14ac:dyDescent="0.3">
      <c r="A2387" s="1" t="s">
        <v>4</v>
      </c>
      <c r="B2387" s="2" t="str">
        <f t="shared" si="208"/>
        <v>SISTEMA FATURAMENTO CONTAS DE CONVENIO</v>
      </c>
      <c r="C2387" s="2" t="str">
        <f t="shared" si="209"/>
        <v>FATUR-CONV</v>
      </c>
      <c r="D2387" s="2" t="str">
        <f t="shared" si="210"/>
        <v>FFCV</v>
      </c>
      <c r="E2387" s="2" t="str">
        <f>"REL. DE ATENDIMENTO DA REMESSA POR PROC."</f>
        <v>REL. DE ATENDIMENTO DA REMESSA POR PROC.</v>
      </c>
      <c r="F2387" s="2" t="str">
        <f>"R_ATEND_REM_GRU_FAT.RDF"</f>
        <v>R_ATEND_REM_GRU_FAT.RDF</v>
      </c>
      <c r="G2387" s="2" t="str">
        <f t="shared" si="211"/>
        <v xml:space="preserve"> ()</v>
      </c>
    </row>
    <row r="2388" spans="1:7" x14ac:dyDescent="0.3">
      <c r="A2388" s="1" t="s">
        <v>4</v>
      </c>
      <c r="B2388" s="2" t="str">
        <f t="shared" si="208"/>
        <v>SISTEMA FATURAMENTO CONTAS DE CONVENIO</v>
      </c>
      <c r="C2388" s="2" t="str">
        <f t="shared" si="209"/>
        <v>FATUR-CONV</v>
      </c>
      <c r="D2388" s="2" t="str">
        <f t="shared" si="210"/>
        <v>FFCV</v>
      </c>
      <c r="E2388" s="2" t="str">
        <f>"RELATÓRIO DE RECIBO DO PACIENTE"</f>
        <v>RELATÓRIO DE RECIBO DO PACIENTE</v>
      </c>
      <c r="F2388" s="2" t="str">
        <f>"R_RECIBO_PAC.RDF"</f>
        <v>R_RECIBO_PAC.RDF</v>
      </c>
      <c r="G2388" s="2" t="str">
        <f t="shared" si="211"/>
        <v xml:space="preserve"> ()</v>
      </c>
    </row>
    <row r="2389" spans="1:7" x14ac:dyDescent="0.3">
      <c r="A2389" s="1" t="s">
        <v>4</v>
      </c>
      <c r="B2389" s="2" t="str">
        <f t="shared" si="208"/>
        <v>SISTEMA FATURAMENTO CONTAS DE CONVENIO</v>
      </c>
      <c r="C2389" s="2" t="str">
        <f t="shared" si="209"/>
        <v>FATUR-CONV</v>
      </c>
      <c r="D2389" s="2" t="str">
        <f t="shared" si="210"/>
        <v>FFCV</v>
      </c>
      <c r="E2389" s="2" t="str">
        <f>"REL. DE FATURA INDIVIDUAL POR DATA"</f>
        <v>REL. DE FATURA INDIVIDUAL POR DATA</v>
      </c>
      <c r="F2389" s="2" t="str">
        <f>"R_APRES_CONTAS.RDF"</f>
        <v>R_APRES_CONTAS.RDF</v>
      </c>
      <c r="G2389" s="2" t="str">
        <f t="shared" si="211"/>
        <v xml:space="preserve"> ()</v>
      </c>
    </row>
    <row r="2390" spans="1:7" x14ac:dyDescent="0.3">
      <c r="A2390" s="1" t="s">
        <v>4</v>
      </c>
      <c r="B2390" s="2" t="str">
        <f t="shared" si="208"/>
        <v>SISTEMA FATURAMENTO CONTAS DE CONVENIO</v>
      </c>
      <c r="C2390" s="2" t="str">
        <f t="shared" si="209"/>
        <v>FATUR-CONV</v>
      </c>
      <c r="D2390" s="2" t="str">
        <f t="shared" si="210"/>
        <v>FFCV</v>
      </c>
      <c r="E2390" s="2" t="str">
        <f>"RELATÓRIO DE FATURA INDIVIDUAL"</f>
        <v>RELATÓRIO DE FATURA INDIVIDUAL</v>
      </c>
      <c r="F2390" s="2" t="str">
        <f>"R_FAT_INDIVIDUAL.RDF"</f>
        <v>R_FAT_INDIVIDUAL.RDF</v>
      </c>
      <c r="G2390" s="2" t="str">
        <f t="shared" si="211"/>
        <v xml:space="preserve"> ()</v>
      </c>
    </row>
    <row r="2391" spans="1:7" x14ac:dyDescent="0.3">
      <c r="A2391" s="1" t="s">
        <v>4</v>
      </c>
      <c r="B2391" s="2" t="str">
        <f t="shared" si="208"/>
        <v>SISTEMA FATURAMENTO CONTAS DE CONVENIO</v>
      </c>
      <c r="C2391" s="2" t="str">
        <f t="shared" si="209"/>
        <v>FATUR-CONV</v>
      </c>
      <c r="D2391" s="2" t="str">
        <f t="shared" si="210"/>
        <v>FFCV</v>
      </c>
      <c r="E2391" s="2" t="str">
        <f>"RELATÓRIO DE AUDITORIA ANALÍTICO"</f>
        <v>RELATÓRIO DE AUDITORIA ANALÍTICO</v>
      </c>
      <c r="F2391" s="2" t="str">
        <f>"R_AUDITORIA_PROC_297.RDF"</f>
        <v>R_AUDITORIA_PROC_297.RDF</v>
      </c>
      <c r="G2391" s="2" t="str">
        <f t="shared" si="211"/>
        <v xml:space="preserve"> ()</v>
      </c>
    </row>
    <row r="2392" spans="1:7" x14ac:dyDescent="0.3">
      <c r="A2392" s="1" t="s">
        <v>4</v>
      </c>
      <c r="B2392" s="2" t="str">
        <f t="shared" si="208"/>
        <v>SISTEMA FATURAMENTO CONTAS DE CONVENIO</v>
      </c>
      <c r="C2392" s="2" t="str">
        <f t="shared" si="209"/>
        <v>FATUR-CONV</v>
      </c>
      <c r="D2392" s="2" t="str">
        <f t="shared" si="210"/>
        <v>FFCV</v>
      </c>
      <c r="E2392" s="2" t="str">
        <f>"RELATÓRIO DE AUDITORIA SINTÉTICO"</f>
        <v>RELATÓRIO DE AUDITORIA SINTÉTICO</v>
      </c>
      <c r="F2392" s="2" t="str">
        <f>"R_AUDITORIA_297.RDF"</f>
        <v>R_AUDITORIA_297.RDF</v>
      </c>
      <c r="G2392" s="2" t="str">
        <f t="shared" si="211"/>
        <v xml:space="preserve"> ()</v>
      </c>
    </row>
    <row r="2393" spans="1:7" x14ac:dyDescent="0.3">
      <c r="A2393" s="1" t="s">
        <v>4</v>
      </c>
      <c r="B2393" s="2" t="str">
        <f t="shared" si="208"/>
        <v>SISTEMA FATURAMENTO CONTAS DE CONVENIO</v>
      </c>
      <c r="C2393" s="2" t="str">
        <f t="shared" si="209"/>
        <v>FATUR-CONV</v>
      </c>
      <c r="D2393" s="2" t="str">
        <f t="shared" si="210"/>
        <v>FFCV</v>
      </c>
      <c r="E2393" s="2" t="str">
        <f>"REL. DE CONVÊNIO X PORTE ANESTÉSICO"</f>
        <v>REL. DE CONVÊNIO X PORTE ANESTÉSICO</v>
      </c>
      <c r="F2393" s="2" t="str">
        <f>"R_CONFAT_PORT.RDF"</f>
        <v>R_CONFAT_PORT.RDF</v>
      </c>
      <c r="G2393" s="2" t="str">
        <f t="shared" si="211"/>
        <v xml:space="preserve"> ()</v>
      </c>
    </row>
    <row r="2394" spans="1:7" x14ac:dyDescent="0.3">
      <c r="A2394" s="1" t="s">
        <v>4</v>
      </c>
      <c r="B2394" s="2" t="str">
        <f t="shared" si="208"/>
        <v>SISTEMA FATURAMENTO CONTAS DE CONVENIO</v>
      </c>
      <c r="C2394" s="2" t="str">
        <f t="shared" si="209"/>
        <v>FATUR-CONV</v>
      </c>
      <c r="D2394" s="2" t="str">
        <f t="shared" si="210"/>
        <v>FFCV</v>
      </c>
      <c r="E2394" s="2" t="str">
        <f>"WIN_PRINCIPAL - HOSPITAL MV SISTEMAS"</f>
        <v>WIN_PRINCIPAL - HOSPITAL MV SISTEMAS</v>
      </c>
      <c r="F2394" s="2" t="str">
        <f>"M_LOTE_TRABALHO"</f>
        <v>M_LOTE_TRABALHO</v>
      </c>
      <c r="G2394" s="2" t="str">
        <f>"Faturamento / Faturamento de Convênios e Particulares / Lançamentos / Lote de Trabalho (M_LOTE_TRABALHO)"</f>
        <v>Faturamento / Faturamento de Convênios e Particulares / Lançamentos / Lote de Trabalho (M_LOTE_TRABALHO)</v>
      </c>
    </row>
    <row r="2395" spans="1:7" x14ac:dyDescent="0.3">
      <c r="A2395" s="1" t="s">
        <v>4</v>
      </c>
      <c r="B2395" s="2" t="str">
        <f t="shared" si="208"/>
        <v>SISTEMA FATURAMENTO CONTAS DE CONVENIO</v>
      </c>
      <c r="C2395" s="2" t="str">
        <f t="shared" si="209"/>
        <v>FATUR-CONV</v>
      </c>
      <c r="D2395" s="2" t="str">
        <f t="shared" si="210"/>
        <v>FFCV</v>
      </c>
      <c r="E2395" s="2" t="str">
        <f>"RELATORIO DE LOTE POR ATENDIMENTO"</f>
        <v>RELATORIO DE LOTE POR ATENDIMENTO</v>
      </c>
      <c r="F2395" s="2" t="str">
        <f>"R_LOTE_POR_ATEND"</f>
        <v>R_LOTE_POR_ATEND</v>
      </c>
      <c r="G2395" s="2" t="str">
        <f>" ()"</f>
        <v xml:space="preserve"> ()</v>
      </c>
    </row>
    <row r="2396" spans="1:7" x14ac:dyDescent="0.3">
      <c r="A2396" s="1" t="s">
        <v>4</v>
      </c>
      <c r="B2396" s="2" t="str">
        <f t="shared" si="208"/>
        <v>SISTEMA FATURAMENTO CONTAS DE CONVENIO</v>
      </c>
      <c r="C2396" s="2" t="str">
        <f t="shared" si="209"/>
        <v>FATUR-CONV</v>
      </c>
      <c r="D2396" s="2" t="str">
        <f t="shared" si="210"/>
        <v>FFCV</v>
      </c>
      <c r="E2396" s="2" t="str">
        <f>"LANCTO - FATURAS E REMESSA - CAPA DE REM"</f>
        <v>LANCTO - FATURAS E REMESSA - CAPA DE REM</v>
      </c>
      <c r="F2396" s="2" t="str">
        <f>"R_CAPA"</f>
        <v>R_CAPA</v>
      </c>
      <c r="G2396" s="2" t="str">
        <f>" ()"</f>
        <v xml:space="preserve"> ()</v>
      </c>
    </row>
    <row r="2397" spans="1:7" x14ac:dyDescent="0.3">
      <c r="A2397" s="1" t="s">
        <v>4</v>
      </c>
      <c r="B2397" s="2" t="str">
        <f t="shared" si="208"/>
        <v>SISTEMA FATURAMENTO CONTAS DE CONVENIO</v>
      </c>
      <c r="C2397" s="2" t="str">
        <f t="shared" si="209"/>
        <v>FATUR-CONV</v>
      </c>
      <c r="D2397" s="2" t="str">
        <f t="shared" si="210"/>
        <v>FFCV</v>
      </c>
      <c r="E2397" s="2" t="str">
        <f>"CADASTRO DE  CONVENIOS"</f>
        <v>CADASTRO DE  CONVENIOS</v>
      </c>
      <c r="F2397" s="2" t="str">
        <f>"M_CONVENIO"</f>
        <v>M_CONVENIO</v>
      </c>
      <c r="G2397" s="2" t="str">
        <f>"Faturamento / Faturamento de Convênios e Particulares / Tabelas / Gerais / Convênios e Planos (M_CONVENIO)"</f>
        <v>Faturamento / Faturamento de Convênios e Particulares / Tabelas / Gerais / Convênios e Planos (M_CONVENIO)</v>
      </c>
    </row>
    <row r="2398" spans="1:7" x14ac:dyDescent="0.3">
      <c r="A2398" s="1" t="s">
        <v>4</v>
      </c>
      <c r="B2398" s="2" t="str">
        <f t="shared" si="208"/>
        <v>SISTEMA FATURAMENTO CONTAS DE CONVENIO</v>
      </c>
      <c r="C2398" s="2" t="str">
        <f t="shared" si="209"/>
        <v>FATUR-CONV</v>
      </c>
      <c r="D2398" s="2" t="str">
        <f t="shared" si="210"/>
        <v>FFCV</v>
      </c>
      <c r="E2398" s="2" t="str">
        <f>"REL. REMESSA POR ATEND. SERVIÇO EXTRA"</f>
        <v>REL. REMESSA POR ATEND. SERVIÇO EXTRA</v>
      </c>
      <c r="F2398" s="2" t="str">
        <f>"R_LOTE_ATEND_EXTRA"</f>
        <v>R_LOTE_ATEND_EXTRA</v>
      </c>
      <c r="G2398" s="2" t="str">
        <f>" ()"</f>
        <v xml:space="preserve"> ()</v>
      </c>
    </row>
    <row r="2399" spans="1:7" x14ac:dyDescent="0.3">
      <c r="A2399" s="1" t="s">
        <v>4</v>
      </c>
      <c r="B2399" s="2" t="str">
        <f t="shared" si="208"/>
        <v>SISTEMA FATURAMENTO CONTAS DE CONVENIO</v>
      </c>
      <c r="C2399" s="2" t="str">
        <f t="shared" si="209"/>
        <v>FATUR-CONV</v>
      </c>
      <c r="D2399" s="2" t="str">
        <f t="shared" si="210"/>
        <v>FFCV</v>
      </c>
      <c r="E2399" s="2" t="str">
        <f>"ENTREGA DE REMESSA PARA O CONVENIO"</f>
        <v>ENTREGA DE REMESSA PARA O CONVENIO</v>
      </c>
      <c r="F2399" s="2" t="str">
        <f>"M_ENTREGA_REMESSA"</f>
        <v>M_ENTREGA_REMESSA</v>
      </c>
      <c r="G2399" s="2" t="str">
        <f>"Faturamento / Faturamento de Convênios e Particulares / Lançamentos / Entrega de Remessas (M_ENTREGA_REMESSA)"</f>
        <v>Faturamento / Faturamento de Convênios e Particulares / Lançamentos / Entrega de Remessas (M_ENTREGA_REMESSA)</v>
      </c>
    </row>
    <row r="2400" spans="1:7" x14ac:dyDescent="0.3">
      <c r="A2400" s="1" t="s">
        <v>4</v>
      </c>
      <c r="B2400" s="2" t="str">
        <f t="shared" si="208"/>
        <v>SISTEMA FATURAMENTO CONTAS DE CONVENIO</v>
      </c>
      <c r="C2400" s="2" t="str">
        <f t="shared" si="209"/>
        <v>FATUR-CONV</v>
      </c>
      <c r="D2400" s="2" t="str">
        <f t="shared" si="210"/>
        <v>FFCV</v>
      </c>
      <c r="E2400" s="2" t="str">
        <f>"REL. DE TAB DE FATURAMENTO X VAL. PROC"</f>
        <v>REL. DE TAB DE FATURAMENTO X VAL. PROC</v>
      </c>
      <c r="F2400" s="2" t="str">
        <f>"R_TABFAT_PROCED"</f>
        <v>R_TABFAT_PROCED</v>
      </c>
      <c r="G2400" s="2" t="str">
        <f>"Faturamento / Faturamento de Convênios e Particulares / Relatórios / Tabelas / Tabela de Valores / Tabela de Faturamento x Procedimentos (R_TABFAT_PROCED)"</f>
        <v>Faturamento / Faturamento de Convênios e Particulares / Relatórios / Tabelas / Tabela de Valores / Tabela de Faturamento x Procedimentos (R_TABFAT_PROCED)</v>
      </c>
    </row>
    <row r="2401" spans="1:7" x14ac:dyDescent="0.3">
      <c r="A2401" s="1" t="s">
        <v>4</v>
      </c>
      <c r="B2401" s="2" t="str">
        <f t="shared" si="208"/>
        <v>SISTEMA FATURAMENTO CONTAS DE CONVENIO</v>
      </c>
      <c r="C2401" s="2" t="str">
        <f t="shared" si="209"/>
        <v>FATUR-CONV</v>
      </c>
      <c r="D2401" s="2" t="str">
        <f t="shared" si="210"/>
        <v>FFCV</v>
      </c>
      <c r="E2401" s="2" t="str">
        <f>"REL. DE TAB DE FATURAMENTO X VAL. PROC"</f>
        <v>REL. DE TAB DE FATURAMENTO X VAL. PROC</v>
      </c>
      <c r="F2401" s="2" t="str">
        <f>"R_TABFAT_PROCED"</f>
        <v>R_TABFAT_PROCED</v>
      </c>
      <c r="G2401" s="2" t="str">
        <f>"Faturamento / Auditoria e Controle de Recursos de Glosas / Relatórios / Tabelas / Tabela de Valores / Tabela de Faturamento x Procedimentos (R_TABFAT_PROCED)"</f>
        <v>Faturamento / Auditoria e Controle de Recursos de Glosas / Relatórios / Tabelas / Tabela de Valores / Tabela de Faturamento x Procedimentos (R_TABFAT_PROCED)</v>
      </c>
    </row>
    <row r="2402" spans="1:7" x14ac:dyDescent="0.3">
      <c r="A2402" s="1" t="s">
        <v>4</v>
      </c>
      <c r="B2402" s="2" t="str">
        <f t="shared" si="208"/>
        <v>SISTEMA FATURAMENTO CONTAS DE CONVENIO</v>
      </c>
      <c r="C2402" s="2" t="str">
        <f t="shared" si="209"/>
        <v>FATUR-CONV</v>
      </c>
      <c r="D2402" s="2" t="str">
        <f t="shared" si="210"/>
        <v>FFCV</v>
      </c>
      <c r="E2402" s="2" t="str">
        <f>"TELA DE PARAMETER PARA IMP DE FATURAS"</f>
        <v>TELA DE PARAMETER PARA IMP DE FATURAS</v>
      </c>
      <c r="F2402" s="2" t="str">
        <f>"R_FATURA_INDIVIDUAL"</f>
        <v>R_FATURA_INDIVIDUAL</v>
      </c>
      <c r="G2402" s="2" t="str">
        <f>" ()"</f>
        <v xml:space="preserve"> ()</v>
      </c>
    </row>
    <row r="2403" spans="1:7" x14ac:dyDescent="0.3">
      <c r="A2403" s="1" t="s">
        <v>4</v>
      </c>
      <c r="B2403" s="2" t="str">
        <f t="shared" si="208"/>
        <v>SISTEMA FATURAMENTO CONTAS DE CONVENIO</v>
      </c>
      <c r="C2403" s="2" t="str">
        <f t="shared" si="209"/>
        <v>FATUR-CONV</v>
      </c>
      <c r="D2403" s="2" t="str">
        <f t="shared" si="210"/>
        <v>FFCV</v>
      </c>
      <c r="E2403" s="2" t="str">
        <f>"REL. DE NOTA FISCAL DO CONVÊNIO"</f>
        <v>REL. DE NOTA FISCAL DO CONVÊNIO</v>
      </c>
      <c r="F2403" s="2" t="str">
        <f>"R_NOTA_FISC_CONV"</f>
        <v>R_NOTA_FISC_CONV</v>
      </c>
      <c r="G2403" s="2" t="str">
        <f>" ()"</f>
        <v xml:space="preserve"> ()</v>
      </c>
    </row>
    <row r="2404" spans="1:7" x14ac:dyDescent="0.3">
      <c r="A2404" s="1" t="s">
        <v>4</v>
      </c>
      <c r="B2404" s="2" t="str">
        <f t="shared" si="208"/>
        <v>SISTEMA FATURAMENTO CONTAS DE CONVENIO</v>
      </c>
      <c r="C2404" s="2" t="str">
        <f t="shared" si="209"/>
        <v>FATUR-CONV</v>
      </c>
      <c r="D2404" s="2" t="str">
        <f t="shared" si="210"/>
        <v>FFCV</v>
      </c>
      <c r="E2404" s="2" t="str">
        <f>"GLOSAS POR PRESTADOR POR DATA DE LANCAME"</f>
        <v>GLOSAS POR PRESTADOR POR DATA DE LANCAME</v>
      </c>
      <c r="F2404" s="2" t="str">
        <f>"R_GLOSA_PRESTADOR_DT_LANC"</f>
        <v>R_GLOSA_PRESTADOR_DT_LANC</v>
      </c>
      <c r="G2404" s="2" t="str">
        <f>" ()"</f>
        <v xml:space="preserve"> ()</v>
      </c>
    </row>
    <row r="2405" spans="1:7" x14ac:dyDescent="0.3">
      <c r="A2405" s="1" t="s">
        <v>4</v>
      </c>
      <c r="B2405" s="2" t="str">
        <f t="shared" si="208"/>
        <v>SISTEMA FATURAMENTO CONTAS DE CONVENIO</v>
      </c>
      <c r="C2405" s="2" t="str">
        <f t="shared" si="209"/>
        <v>FATUR-CONV</v>
      </c>
      <c r="D2405" s="2" t="str">
        <f t="shared" si="210"/>
        <v>FFCV</v>
      </c>
      <c r="E2405" s="2" t="str">
        <f>"FECHAMENTO DE REMESSA DE GLOSAS"</f>
        <v>FECHAMENTO DE REMESSA DE GLOSAS</v>
      </c>
      <c r="F2405" s="2" t="str">
        <f>"M_REMESSA_GLOSA"</f>
        <v>M_REMESSA_GLOSA</v>
      </c>
      <c r="G2405" s="2" t="str">
        <f>" ()"</f>
        <v xml:space="preserve"> ()</v>
      </c>
    </row>
    <row r="2406" spans="1:7" x14ac:dyDescent="0.3">
      <c r="A2406" s="1" t="s">
        <v>4</v>
      </c>
      <c r="B2406" s="2" t="str">
        <f t="shared" si="208"/>
        <v>SISTEMA FATURAMENTO CONTAS DE CONVENIO</v>
      </c>
      <c r="C2406" s="2" t="str">
        <f t="shared" si="209"/>
        <v>FATUR-CONV</v>
      </c>
      <c r="D2406" s="2" t="str">
        <f t="shared" si="210"/>
        <v>FFCV</v>
      </c>
      <c r="E2406" s="2" t="str">
        <f>"LOTE DE FATURAMENTO - DIAGNO"</f>
        <v>LOTE DE FATURAMENTO - DIAGNO</v>
      </c>
      <c r="F2406" s="2" t="str">
        <f>"M_LOTE_FAT_DIAGNO"</f>
        <v>M_LOTE_FAT_DIAGNO</v>
      </c>
      <c r="G2406" s="2" t="str">
        <f>" ()"</f>
        <v xml:space="preserve"> ()</v>
      </c>
    </row>
    <row r="2407" spans="1:7" x14ac:dyDescent="0.3">
      <c r="A2407" s="1" t="s">
        <v>4</v>
      </c>
      <c r="B2407" s="2" t="str">
        <f t="shared" si="208"/>
        <v>SISTEMA FATURAMENTO CONTAS DE CONVENIO</v>
      </c>
      <c r="C2407" s="2" t="str">
        <f t="shared" si="209"/>
        <v>FATUR-CONV</v>
      </c>
      <c r="D2407" s="2" t="str">
        <f t="shared" si="210"/>
        <v>FFCV</v>
      </c>
      <c r="E2407" s="2" t="str">
        <f>" CONSULTAS - ORCAMENTO DE CONTA"</f>
        <v xml:space="preserve"> CONSULTAS - ORCAMENTO DE CONTA</v>
      </c>
      <c r="F2407" s="2" t="str">
        <f>"C_ORCAMENTO_CIRURGIA"</f>
        <v>C_ORCAMENTO_CIRURGIA</v>
      </c>
      <c r="G2407" s="2" t="str">
        <f>"MVSaude / Vendas / Internação / Consultas / Orçamento de Conta (C_ORCAMENTO_CIRURGIA)"</f>
        <v>MVSaude / Vendas / Internação / Consultas / Orçamento de Conta (C_ORCAMENTO_CIRURGIA)</v>
      </c>
    </row>
    <row r="2408" spans="1:7" x14ac:dyDescent="0.3">
      <c r="A2408" s="1" t="s">
        <v>4</v>
      </c>
      <c r="B2408" s="2" t="str">
        <f t="shared" si="208"/>
        <v>SISTEMA FATURAMENTO CONTAS DE CONVENIO</v>
      </c>
      <c r="C2408" s="2" t="str">
        <f t="shared" si="209"/>
        <v>FATUR-CONV</v>
      </c>
      <c r="D2408" s="2" t="str">
        <f t="shared" si="210"/>
        <v>FFCV</v>
      </c>
      <c r="E2408" s="2" t="str">
        <f>" CONSULTAS - ORCAMENTO DE CONTA"</f>
        <v xml:space="preserve"> CONSULTAS - ORCAMENTO DE CONTA</v>
      </c>
      <c r="F2408" s="2" t="str">
        <f>"C_ORCAMENTO_CIRURGIA"</f>
        <v>C_ORCAMENTO_CIRURGIA</v>
      </c>
      <c r="G2408" s="2" t="str">
        <f>"Faturamento / Faturamento de Convênios e Particulares / Consultas / Orçamento de Conta (C_ORCAMENTO_CIRURGIA)"</f>
        <v>Faturamento / Faturamento de Convênios e Particulares / Consultas / Orçamento de Conta (C_ORCAMENTO_CIRURGIA)</v>
      </c>
    </row>
    <row r="2409" spans="1:7" x14ac:dyDescent="0.3">
      <c r="A2409" s="1" t="s">
        <v>4</v>
      </c>
      <c r="B2409" s="2" t="str">
        <f t="shared" si="208"/>
        <v>SISTEMA FATURAMENTO CONTAS DE CONVENIO</v>
      </c>
      <c r="C2409" s="2" t="str">
        <f t="shared" si="209"/>
        <v>FATUR-CONV</v>
      </c>
      <c r="D2409" s="2" t="str">
        <f t="shared" si="210"/>
        <v>FFCV</v>
      </c>
      <c r="E2409" s="2" t="str">
        <f>" CONSULTAS - ORCAMENTO DE CONTA"</f>
        <v xml:space="preserve"> CONSULTAS - ORCAMENTO DE CONTA</v>
      </c>
      <c r="F2409" s="2" t="str">
        <f>"C_ORCAMENTO_CIRURGIA"</f>
        <v>C_ORCAMENTO_CIRURGIA</v>
      </c>
      <c r="G2409" s="2" t="str">
        <f>"MVSaude / Atendimento / Autorizações de Guias / Internação / Consultas / Orçamento de Conta (C_ORCAMENTO_CIRURGIA)"</f>
        <v>MVSaude / Atendimento / Autorizações de Guias / Internação / Consultas / Orçamento de Conta (C_ORCAMENTO_CIRURGIA)</v>
      </c>
    </row>
    <row r="2410" spans="1:7" x14ac:dyDescent="0.3">
      <c r="A2410" s="1" t="s">
        <v>4</v>
      </c>
      <c r="B2410" s="2" t="str">
        <f t="shared" si="208"/>
        <v>SISTEMA FATURAMENTO CONTAS DE CONVENIO</v>
      </c>
      <c r="C2410" s="2" t="str">
        <f t="shared" si="209"/>
        <v>FATUR-CONV</v>
      </c>
      <c r="D2410" s="2" t="str">
        <f t="shared" si="210"/>
        <v>FFCV</v>
      </c>
      <c r="E2410" s="2" t="str">
        <f>"CONSULTA DE CONTAS - TESOURARIA"</f>
        <v>CONSULTA DE CONTAS - TESOURARIA</v>
      </c>
      <c r="F2410" s="2" t="str">
        <f>"C_CONTAS_TESOURARIA"</f>
        <v>C_CONTAS_TESOURARIA</v>
      </c>
      <c r="G2410" s="2" t="str">
        <f>"Controladoria / Tesouraria / Tesouraria / Conta Particular (C_CONTAS_TESOURARIA)"</f>
        <v>Controladoria / Tesouraria / Tesouraria / Conta Particular (C_CONTAS_TESOURARIA)</v>
      </c>
    </row>
    <row r="2411" spans="1:7" x14ac:dyDescent="0.3">
      <c r="A2411" s="1" t="s">
        <v>4</v>
      </c>
      <c r="B2411" s="2" t="str">
        <f t="shared" si="208"/>
        <v>SISTEMA FATURAMENTO CONTAS DE CONVENIO</v>
      </c>
      <c r="C2411" s="2" t="str">
        <f t="shared" si="209"/>
        <v>FATUR-CONV</v>
      </c>
      <c r="D2411" s="2" t="str">
        <f t="shared" si="210"/>
        <v>FFCV</v>
      </c>
      <c r="E2411" s="2" t="str">
        <f>"TESOURARIA -  CONTA PARTICULAR"</f>
        <v>TESOURARIA -  CONTA PARTICULAR</v>
      </c>
      <c r="F2411" s="2" t="str">
        <f>"M_CONTA_PAC_PART"</f>
        <v>M_CONTA_PAC_PART</v>
      </c>
      <c r="G2411" s="2" t="str">
        <f>" ()"</f>
        <v xml:space="preserve"> ()</v>
      </c>
    </row>
    <row r="2412" spans="1:7" x14ac:dyDescent="0.3">
      <c r="A2412" s="1" t="s">
        <v>4</v>
      </c>
      <c r="B2412" s="2" t="str">
        <f t="shared" si="208"/>
        <v>SISTEMA FATURAMENTO CONTAS DE CONVENIO</v>
      </c>
      <c r="C2412" s="2" t="str">
        <f t="shared" si="209"/>
        <v>FATUR-CONV</v>
      </c>
      <c r="D2412" s="2" t="str">
        <f t="shared" si="210"/>
        <v>FFCV</v>
      </c>
      <c r="E2412" s="2" t="str">
        <f>"REL DE CONSUMO DE PACOTE AMBULATORIAL"</f>
        <v>REL DE CONSUMO DE PACOTE AMBULATORIAL</v>
      </c>
      <c r="F2412" s="2" t="str">
        <f>"R_FATURA_AMB_PACOTE"</f>
        <v>R_FATURA_AMB_PACOTE</v>
      </c>
      <c r="G2412" s="2" t="str">
        <f>" ()"</f>
        <v xml:space="preserve"> ()</v>
      </c>
    </row>
    <row r="2413" spans="1:7" x14ac:dyDescent="0.3">
      <c r="A2413" s="1" t="s">
        <v>4</v>
      </c>
      <c r="B2413" s="2" t="str">
        <f t="shared" si="208"/>
        <v>SISTEMA FATURAMENTO CONTAS DE CONVENIO</v>
      </c>
      <c r="C2413" s="2" t="str">
        <f t="shared" si="209"/>
        <v>FATUR-CONV</v>
      </c>
      <c r="D2413" s="2" t="str">
        <f t="shared" si="210"/>
        <v>FFCV</v>
      </c>
      <c r="E2413" s="2" t="str">
        <f>"REL DE CONSUMO DE PACOTE HOSPITALAR"</f>
        <v>REL DE CONSUMO DE PACOTE HOSPITALAR</v>
      </c>
      <c r="F2413" s="2" t="str">
        <f>"R_FATURA_PACOTE"</f>
        <v>R_FATURA_PACOTE</v>
      </c>
      <c r="G2413" s="2" t="str">
        <f>" ()"</f>
        <v xml:space="preserve"> ()</v>
      </c>
    </row>
    <row r="2414" spans="1:7" x14ac:dyDescent="0.3">
      <c r="A2414" s="1" t="s">
        <v>4</v>
      </c>
      <c r="B2414" s="2" t="str">
        <f t="shared" si="208"/>
        <v>SISTEMA FATURAMENTO CONTAS DE CONVENIO</v>
      </c>
      <c r="C2414" s="2" t="str">
        <f t="shared" si="209"/>
        <v>FATUR-CONV</v>
      </c>
      <c r="D2414" s="2" t="str">
        <f t="shared" si="210"/>
        <v>FFCV</v>
      </c>
      <c r="E2414" s="2" t="str">
        <f>"REL - OPER. SITUACAO DAS CONTAS"</f>
        <v>REL - OPER. SITUACAO DAS CONTAS</v>
      </c>
      <c r="F2414" s="2" t="str">
        <f>"R_ATENDE_SEM_GUIA"</f>
        <v>R_ATENDE_SEM_GUIA</v>
      </c>
      <c r="G2414" s="2" t="str">
        <f>" ()"</f>
        <v xml:space="preserve"> ()</v>
      </c>
    </row>
    <row r="2415" spans="1:7" x14ac:dyDescent="0.3">
      <c r="A2415" s="1" t="s">
        <v>4</v>
      </c>
      <c r="B2415" s="2" t="str">
        <f t="shared" si="208"/>
        <v>SISTEMA FATURAMENTO CONTAS DE CONVENIO</v>
      </c>
      <c r="C2415" s="2" t="str">
        <f t="shared" si="209"/>
        <v>FATUR-CONV</v>
      </c>
      <c r="D2415" s="2" t="str">
        <f t="shared" si="210"/>
        <v>FFCV</v>
      </c>
      <c r="E2415" s="2" t="str">
        <f>"REL. RECIBO DE PACIENTE DO NELSON CHAVES"</f>
        <v>REL. RECIBO DE PACIENTE DO NELSON CHAVES</v>
      </c>
      <c r="F2415" s="2" t="str">
        <f>"R_RECIBO_PAC_HNC"</f>
        <v>R_RECIBO_PAC_HNC</v>
      </c>
      <c r="G2415" s="2" t="str">
        <f>" ()"</f>
        <v xml:space="preserve"> ()</v>
      </c>
    </row>
    <row r="2416" spans="1:7" x14ac:dyDescent="0.3">
      <c r="A2416" s="1" t="s">
        <v>4</v>
      </c>
      <c r="B2416" s="2" t="str">
        <f t="shared" si="208"/>
        <v>SISTEMA FATURAMENTO CONTAS DE CONVENIO</v>
      </c>
      <c r="C2416" s="2" t="str">
        <f t="shared" si="209"/>
        <v>FATUR-CONV</v>
      </c>
      <c r="D2416" s="2" t="str">
        <f t="shared" si="210"/>
        <v>FFCV</v>
      </c>
      <c r="E2416" s="2" t="str">
        <f>"CONF. - GERAÇÃO DE FAT MEIO MAG - TIPO I"</f>
        <v>CONF. - GERAÇÃO DE FAT MEIO MAG - TIPO I</v>
      </c>
      <c r="F2416" s="2" t="str">
        <f>"M_TIP_INT_MEIO_MAG"</f>
        <v>M_TIP_INT_MEIO_MAG</v>
      </c>
      <c r="G2416" s="2" t="str">
        <f>"Faturamento / Faturamento de Convênios e Particulares / Configurações / Geração de Fatura em Meio Magnético / Envio / Tipos de Internação (M_TIP_INT_MEIO_MAG)"</f>
        <v>Faturamento / Faturamento de Convênios e Particulares / Configurações / Geração de Fatura em Meio Magnético / Envio / Tipos de Internação (M_TIP_INT_MEIO_MAG)</v>
      </c>
    </row>
    <row r="2417" spans="1:7" x14ac:dyDescent="0.3">
      <c r="A2417" s="1" t="s">
        <v>4</v>
      </c>
      <c r="B2417" s="2" t="str">
        <f t="shared" si="208"/>
        <v>SISTEMA FATURAMENTO CONTAS DE CONVENIO</v>
      </c>
      <c r="C2417" s="2" t="str">
        <f t="shared" si="209"/>
        <v>FATUR-CONV</v>
      </c>
      <c r="D2417" s="2" t="str">
        <f t="shared" si="210"/>
        <v>FFCV</v>
      </c>
      <c r="E2417" s="2" t="str">
        <f>"CONF. - GERAÇÃO DE FAT MEIO MAG - APRES"</f>
        <v>CONF. - GERAÇÃO DE FAT MEIO MAG - APRES</v>
      </c>
      <c r="F2417" s="2" t="str">
        <f>"M_APR_CONTA_MEIO_MAG"</f>
        <v>M_APR_CONTA_MEIO_MAG</v>
      </c>
      <c r="G2417" s="2" t="str">
        <f>"Faturamento / Faturamento de Convênios e Particulares / Configurações / Geração de Fatura em Meio Magnético / Envio / Apresentações (M_APR_CONTA_MEIO_MAG)"</f>
        <v>Faturamento / Faturamento de Convênios e Particulares / Configurações / Geração de Fatura em Meio Magnético / Envio / Apresentações (M_APR_CONTA_MEIO_MAG)</v>
      </c>
    </row>
    <row r="2418" spans="1:7" x14ac:dyDescent="0.3">
      <c r="A2418" s="1" t="s">
        <v>4</v>
      </c>
      <c r="B2418" s="2" t="str">
        <f t="shared" si="208"/>
        <v>SISTEMA FATURAMENTO CONTAS DE CONVENIO</v>
      </c>
      <c r="C2418" s="2" t="str">
        <f t="shared" si="209"/>
        <v>FATUR-CONV</v>
      </c>
      <c r="D2418" s="2" t="str">
        <f t="shared" si="210"/>
        <v>FFCV</v>
      </c>
      <c r="E2418" s="2" t="str">
        <f>"CONF. - GERAÇÃO DE FAT MEIO MAG - TIPO A"</f>
        <v>CONF. - GERAÇÃO DE FAT MEIO MAG - TIPO A</v>
      </c>
      <c r="F2418" s="2" t="str">
        <f>"M_TIP_ACO_MEIO_MAG"</f>
        <v>M_TIP_ACO_MEIO_MAG</v>
      </c>
      <c r="G2418" s="2" t="str">
        <f>"Faturamento / Faturamento de Convênios e Particulares / Configurações / Geração de Fatura em Meio Magnético / Envio / Tipos de Acomodação (M_TIP_ACO_MEIO_MAG)"</f>
        <v>Faturamento / Faturamento de Convênios e Particulares / Configurações / Geração de Fatura em Meio Magnético / Envio / Tipos de Acomodação (M_TIP_ACO_MEIO_MAG)</v>
      </c>
    </row>
    <row r="2419" spans="1:7" x14ac:dyDescent="0.3">
      <c r="A2419" s="1" t="s">
        <v>4</v>
      </c>
      <c r="B2419" s="2" t="str">
        <f t="shared" si="208"/>
        <v>SISTEMA FATURAMENTO CONTAS DE CONVENIO</v>
      </c>
      <c r="C2419" s="2" t="str">
        <f t="shared" si="209"/>
        <v>FATUR-CONV</v>
      </c>
      <c r="D2419" s="2" t="str">
        <f t="shared" si="210"/>
        <v>FFCV</v>
      </c>
      <c r="E2419" s="2" t="str">
        <f>"CONF. - GERAÇÃO DE FAT MEIO MAG - ATIVID"</f>
        <v>CONF. - GERAÇÃO DE FAT MEIO MAG - ATIVID</v>
      </c>
      <c r="F2419" s="2" t="str">
        <f>"M_ATI_MED_MEIO_MAG"</f>
        <v>M_ATI_MED_MEIO_MAG</v>
      </c>
      <c r="G2419" s="2" t="str">
        <f>"Faturamento / Faturamento de Convênios e Particulares / Configurações / Geração de Fatura em Meio Magnético / Envio / Atividades Médicas (M_ATI_MED_MEIO_MAG)"</f>
        <v>Faturamento / Faturamento de Convênios e Particulares / Configurações / Geração de Fatura em Meio Magnético / Envio / Atividades Médicas (M_ATI_MED_MEIO_MAG)</v>
      </c>
    </row>
    <row r="2420" spans="1:7" x14ac:dyDescent="0.3">
      <c r="A2420" s="1" t="s">
        <v>4</v>
      </c>
      <c r="B2420" s="2" t="str">
        <f t="shared" si="208"/>
        <v>SISTEMA FATURAMENTO CONTAS DE CONVENIO</v>
      </c>
      <c r="C2420" s="2" t="str">
        <f t="shared" si="209"/>
        <v>FATUR-CONV</v>
      </c>
      <c r="D2420" s="2" t="str">
        <f t="shared" si="210"/>
        <v>FFCV</v>
      </c>
      <c r="E2420" s="2" t="str">
        <f>"REL DE GUIAS SEM AUTORIZAÇÃO"</f>
        <v>REL DE GUIAS SEM AUTORIZAÇÃO</v>
      </c>
      <c r="F2420" s="2" t="str">
        <f>"R_GUIAS_SEM_AUTORIZA"</f>
        <v>R_GUIAS_SEM_AUTORIZA</v>
      </c>
      <c r="G2420" s="2" t="str">
        <f>" ()"</f>
        <v xml:space="preserve"> ()</v>
      </c>
    </row>
    <row r="2421" spans="1:7" x14ac:dyDescent="0.3">
      <c r="A2421" s="1" t="s">
        <v>4</v>
      </c>
      <c r="B2421" s="2" t="str">
        <f t="shared" si="208"/>
        <v>SISTEMA FATURAMENTO CONTAS DE CONVENIO</v>
      </c>
      <c r="C2421" s="2" t="str">
        <f t="shared" si="209"/>
        <v>FATUR-CONV</v>
      </c>
      <c r="D2421" s="2" t="str">
        <f t="shared" si="210"/>
        <v>FFCV</v>
      </c>
      <c r="E2421" s="2" t="str">
        <f>"REL- GER-  ANÁLISE DE PACTE SINTÉTICO"</f>
        <v>REL- GER-  ANÁLISE DE PACTE SINTÉTICO</v>
      </c>
      <c r="F2421" s="2" t="str">
        <f>"R_ANALISE_PACOTE_SINT"</f>
        <v>R_ANALISE_PACOTE_SINT</v>
      </c>
      <c r="G2421" s="2" t="str">
        <f>" ()"</f>
        <v xml:space="preserve"> ()</v>
      </c>
    </row>
    <row r="2422" spans="1:7" x14ac:dyDescent="0.3">
      <c r="A2422" s="1" t="s">
        <v>4</v>
      </c>
      <c r="B2422" s="2" t="str">
        <f t="shared" si="208"/>
        <v>SISTEMA FATURAMENTO CONTAS DE CONVENIO</v>
      </c>
      <c r="C2422" s="2" t="str">
        <f t="shared" si="209"/>
        <v>FATUR-CONV</v>
      </c>
      <c r="D2422" s="2" t="str">
        <f t="shared" si="210"/>
        <v>FFCV</v>
      </c>
      <c r="E2422" s="2" t="str">
        <f>"REL - GER.  ANÁLISE DE PACOTE"</f>
        <v>REL - GER.  ANÁLISE DE PACOTE</v>
      </c>
      <c r="F2422" s="2" t="str">
        <f>"R_ANALISE_PACOTE"</f>
        <v>R_ANALISE_PACOTE</v>
      </c>
      <c r="G2422" s="2" t="str">
        <f>"Faturamento / Faturamento de Convênios e Particulares / Relatórios / Gerenciais / Análise de Pacote (R_ANALISE_PACOTE)"</f>
        <v>Faturamento / Faturamento de Convênios e Particulares / Relatórios / Gerenciais / Análise de Pacote (R_ANALISE_PACOTE)</v>
      </c>
    </row>
    <row r="2423" spans="1:7" x14ac:dyDescent="0.3">
      <c r="A2423" s="1" t="s">
        <v>4</v>
      </c>
      <c r="B2423" s="2" t="str">
        <f t="shared" si="208"/>
        <v>SISTEMA FATURAMENTO CONTAS DE CONVENIO</v>
      </c>
      <c r="C2423" s="2" t="str">
        <f t="shared" si="209"/>
        <v>FATUR-CONV</v>
      </c>
      <c r="D2423" s="2" t="str">
        <f t="shared" si="210"/>
        <v>FFCV</v>
      </c>
      <c r="E2423" s="2" t="str">
        <f>"REL - GER.  ANÁLISE DE PACOTE"</f>
        <v>REL - GER.  ANÁLISE DE PACOTE</v>
      </c>
      <c r="F2423" s="2" t="str">
        <f>"R_ANALISE_PACOTE"</f>
        <v>R_ANALISE_PACOTE</v>
      </c>
      <c r="G2423" s="2" t="str">
        <f>"Faturamento / Auditoria e Controle de Recursos de Glosas / Relatórios / Gerenciais / Análise de Pacote (R_ANALISE_PACOTE)"</f>
        <v>Faturamento / Auditoria e Controle de Recursos de Glosas / Relatórios / Gerenciais / Análise de Pacote (R_ANALISE_PACOTE)</v>
      </c>
    </row>
    <row r="2424" spans="1:7" x14ac:dyDescent="0.3">
      <c r="A2424" s="1" t="s">
        <v>4</v>
      </c>
      <c r="B2424" s="2" t="str">
        <f t="shared" si="208"/>
        <v>SISTEMA FATURAMENTO CONTAS DE CONVENIO</v>
      </c>
      <c r="C2424" s="2" t="str">
        <f t="shared" si="209"/>
        <v>FATUR-CONV</v>
      </c>
      <c r="D2424" s="2" t="str">
        <f t="shared" si="210"/>
        <v>FFCV</v>
      </c>
      <c r="E2424" s="2" t="str">
        <f>"REL DE PADRÃO DE FATURAMENTO"</f>
        <v>REL DE PADRÃO DE FATURAMENTO</v>
      </c>
      <c r="F2424" s="2" t="str">
        <f>"R_PADRAO"</f>
        <v>R_PADRAO</v>
      </c>
      <c r="G2424" s="2" t="str">
        <f>" ()"</f>
        <v xml:space="preserve"> ()</v>
      </c>
    </row>
    <row r="2425" spans="1:7" x14ac:dyDescent="0.3">
      <c r="A2425" s="1" t="s">
        <v>4</v>
      </c>
      <c r="B2425" s="2" t="str">
        <f t="shared" si="208"/>
        <v>SISTEMA FATURAMENTO CONTAS DE CONVENIO</v>
      </c>
      <c r="C2425" s="2" t="str">
        <f t="shared" si="209"/>
        <v>FATUR-CONV</v>
      </c>
      <c r="D2425" s="2" t="str">
        <f t="shared" si="210"/>
        <v>FFCV</v>
      </c>
      <c r="E2425" s="2" t="str">
        <f>"REL DE APRESENTAÇÃO DE REMESSA"</f>
        <v>REL DE APRESENTAÇÃO DE REMESSA</v>
      </c>
      <c r="F2425" s="2" t="str">
        <f>"R_LOTE_POR_ATENDE"</f>
        <v>R_LOTE_POR_ATENDE</v>
      </c>
      <c r="G2425" s="2" t="str">
        <f>" ()"</f>
        <v xml:space="preserve"> ()</v>
      </c>
    </row>
    <row r="2426" spans="1:7" x14ac:dyDescent="0.3">
      <c r="A2426" s="1" t="s">
        <v>4</v>
      </c>
      <c r="B2426" s="2" t="str">
        <f t="shared" si="208"/>
        <v>SISTEMA FATURAMENTO CONTAS DE CONVENIO</v>
      </c>
      <c r="C2426" s="2" t="str">
        <f t="shared" si="209"/>
        <v>FATUR-CONV</v>
      </c>
      <c r="D2426" s="2" t="str">
        <f t="shared" si="210"/>
        <v>FFCV</v>
      </c>
      <c r="E2426" s="2" t="str">
        <f>"CONSULTA DE GUIAS"</f>
        <v>CONSULTA DE GUIAS</v>
      </c>
      <c r="F2426" s="2" t="str">
        <f>"C_GUIAS"</f>
        <v>C_GUIAS</v>
      </c>
      <c r="G2426" s="2" t="str">
        <f>"MVSaude / Vendas / Internação / Consultas / Guias / Consulta (C_GUIAS)"</f>
        <v>MVSaude / Vendas / Internação / Consultas / Guias / Consulta (C_GUIAS)</v>
      </c>
    </row>
    <row r="2427" spans="1:7" x14ac:dyDescent="0.3">
      <c r="A2427" s="1" t="s">
        <v>4</v>
      </c>
      <c r="B2427" s="2" t="str">
        <f t="shared" si="208"/>
        <v>SISTEMA FATURAMENTO CONTAS DE CONVENIO</v>
      </c>
      <c r="C2427" s="2" t="str">
        <f t="shared" si="209"/>
        <v>FATUR-CONV</v>
      </c>
      <c r="D2427" s="2" t="str">
        <f t="shared" si="210"/>
        <v>FFCV</v>
      </c>
      <c r="E2427" s="2" t="str">
        <f>"CONSULTA DE GUIAS"</f>
        <v>CONSULTA DE GUIAS</v>
      </c>
      <c r="F2427" s="2" t="str">
        <f>"C_GUIAS"</f>
        <v>C_GUIAS</v>
      </c>
      <c r="G2427" s="2" t="str">
        <f>"Faturamento / Faturamento de Convênios e Particulares / Consultas / Guias (C_GUIAS)"</f>
        <v>Faturamento / Faturamento de Convênios e Particulares / Consultas / Guias (C_GUIAS)</v>
      </c>
    </row>
    <row r="2428" spans="1:7" x14ac:dyDescent="0.3">
      <c r="A2428" s="1" t="s">
        <v>4</v>
      </c>
      <c r="B2428" s="2" t="str">
        <f t="shared" si="208"/>
        <v>SISTEMA FATURAMENTO CONTAS DE CONVENIO</v>
      </c>
      <c r="C2428" s="2" t="str">
        <f t="shared" si="209"/>
        <v>FATUR-CONV</v>
      </c>
      <c r="D2428" s="2" t="str">
        <f t="shared" si="210"/>
        <v>FFCV</v>
      </c>
      <c r="E2428" s="2" t="str">
        <f>"CONSULTA DE GUIAS"</f>
        <v>CONSULTA DE GUIAS</v>
      </c>
      <c r="F2428" s="2" t="str">
        <f>"C_GUIAS"</f>
        <v>C_GUIAS</v>
      </c>
      <c r="G2428" s="2" t="str">
        <f>"MVSaude / Atendimento / Autorizações de Guias / Internação / Consultas / Guias / Consulta (C_GUIAS)"</f>
        <v>MVSaude / Atendimento / Autorizações de Guias / Internação / Consultas / Guias / Consulta (C_GUIAS)</v>
      </c>
    </row>
    <row r="2429" spans="1:7" x14ac:dyDescent="0.3">
      <c r="A2429" s="1" t="s">
        <v>4</v>
      </c>
      <c r="B2429" s="2" t="str">
        <f t="shared" si="208"/>
        <v>SISTEMA FATURAMENTO CONTAS DE CONVENIO</v>
      </c>
      <c r="C2429" s="2" t="str">
        <f t="shared" si="209"/>
        <v>FATUR-CONV</v>
      </c>
      <c r="D2429" s="2" t="str">
        <f t="shared" si="210"/>
        <v>FFCV</v>
      </c>
      <c r="E2429" s="2" t="str">
        <f>"CONSULTA DE GUIAS"</f>
        <v>CONSULTA DE GUIAS</v>
      </c>
      <c r="F2429" s="2" t="str">
        <f>"C_GUIAS"</f>
        <v>C_GUIAS</v>
      </c>
      <c r="G2429" s="2" t="str">
        <f>"Atendimento / Internação Domiciliar (Home Care) / Consultas / Guias (C_GUIAS)"</f>
        <v>Atendimento / Internação Domiciliar (Home Care) / Consultas / Guias (C_GUIAS)</v>
      </c>
    </row>
    <row r="2430" spans="1:7" x14ac:dyDescent="0.3">
      <c r="A2430" s="1" t="s">
        <v>4</v>
      </c>
      <c r="B2430" s="2" t="str">
        <f t="shared" si="208"/>
        <v>SISTEMA FATURAMENTO CONTAS DE CONVENIO</v>
      </c>
      <c r="C2430" s="2" t="str">
        <f t="shared" si="209"/>
        <v>FATUR-CONV</v>
      </c>
      <c r="D2430" s="2" t="str">
        <f t="shared" si="210"/>
        <v>FFCV</v>
      </c>
      <c r="E2430" s="2" t="str">
        <f>"CONSULTA DE GUIAS"</f>
        <v>CONSULTA DE GUIAS</v>
      </c>
      <c r="F2430" s="2" t="str">
        <f>"C_GUIAS"</f>
        <v>C_GUIAS</v>
      </c>
      <c r="G2430" s="2" t="str">
        <f>"Outros / Fusam / Consultas / Guias (C_GUIAS)"</f>
        <v>Outros / Fusam / Consultas / Guias (C_GUIAS)</v>
      </c>
    </row>
    <row r="2431" spans="1:7" x14ac:dyDescent="0.3">
      <c r="A2431" s="1" t="s">
        <v>4</v>
      </c>
      <c r="B2431" s="2" t="str">
        <f t="shared" si="208"/>
        <v>SISTEMA FATURAMENTO CONTAS DE CONVENIO</v>
      </c>
      <c r="C2431" s="2" t="str">
        <f t="shared" si="209"/>
        <v>FATUR-CONV</v>
      </c>
      <c r="D2431" s="2" t="str">
        <f t="shared" si="210"/>
        <v>FFCV</v>
      </c>
      <c r="E2431" s="2" t="str">
        <f>"REL DE EXCEÇÕES DE CONVÊNIOS E PLANOS"</f>
        <v>REL DE EXCEÇÕES DE CONVÊNIOS E PLANOS</v>
      </c>
      <c r="F2431" s="2" t="str">
        <f>"R_EXEC_CONPLA"</f>
        <v>R_EXEC_CONPLA</v>
      </c>
      <c r="G2431" s="2" t="str">
        <f>"Faturamento / Faturamento de Convênios e Particulares / Relatórios / Tabelas / Tabela de Valores / Exceções de Convênio e Planos (R_EXEC_CONPLA)"</f>
        <v>Faturamento / Faturamento de Convênios e Particulares / Relatórios / Tabelas / Tabela de Valores / Exceções de Convênio e Planos (R_EXEC_CONPLA)</v>
      </c>
    </row>
    <row r="2432" spans="1:7" x14ac:dyDescent="0.3">
      <c r="A2432" s="1" t="s">
        <v>4</v>
      </c>
      <c r="B2432" s="2" t="str">
        <f t="shared" si="208"/>
        <v>SISTEMA FATURAMENTO CONTAS DE CONVENIO</v>
      </c>
      <c r="C2432" s="2" t="str">
        <f t="shared" si="209"/>
        <v>FATUR-CONV</v>
      </c>
      <c r="D2432" s="2" t="str">
        <f t="shared" si="210"/>
        <v>FFCV</v>
      </c>
      <c r="E2432" s="2" t="str">
        <f>"REL DE EXCEÇÕES DE CONVÊNIOS E PLANOS"</f>
        <v>REL DE EXCEÇÕES DE CONVÊNIOS E PLANOS</v>
      </c>
      <c r="F2432" s="2" t="str">
        <f>"R_EXEC_CONPLA"</f>
        <v>R_EXEC_CONPLA</v>
      </c>
      <c r="G2432" s="2" t="str">
        <f>"Faturamento / Auditoria e Controle de Recursos de Glosas / Relatórios / Tabelas / Tabela de Valores / Exceções de Convênio e Planos (R_EXEC_CONPLA)"</f>
        <v>Faturamento / Auditoria e Controle de Recursos de Glosas / Relatórios / Tabelas / Tabela de Valores / Exceções de Convênio e Planos (R_EXEC_CONPLA)</v>
      </c>
    </row>
    <row r="2433" spans="1:7" x14ac:dyDescent="0.3">
      <c r="A2433" s="1" t="s">
        <v>4</v>
      </c>
      <c r="B2433" s="2" t="str">
        <f t="shared" si="208"/>
        <v>SISTEMA FATURAMENTO CONTAS DE CONVENIO</v>
      </c>
      <c r="C2433" s="2" t="str">
        <f t="shared" si="209"/>
        <v>FATUR-CONV</v>
      </c>
      <c r="D2433" s="2" t="str">
        <f t="shared" si="210"/>
        <v>FFCV</v>
      </c>
      <c r="E2433" s="2" t="str">
        <f>"REL DA TAB DE FATURAMENTO X PORTE ANEST"</f>
        <v>REL DA TAB DE FATURAMENTO X PORTE ANEST</v>
      </c>
      <c r="F2433" s="2" t="str">
        <f>"R_TABFAT_PORT"</f>
        <v>R_TABFAT_PORT</v>
      </c>
      <c r="G2433" s="2" t="str">
        <f>"Faturamento / Faturamento de Convênios e Particulares / Relatórios / Tabelas / Tabela de Valores / Tabela de Faturamento x Porte Anestésico (R_TABFAT_PORT)"</f>
        <v>Faturamento / Faturamento de Convênios e Particulares / Relatórios / Tabelas / Tabela de Valores / Tabela de Faturamento x Porte Anestésico (R_TABFAT_PORT)</v>
      </c>
    </row>
    <row r="2434" spans="1:7" x14ac:dyDescent="0.3">
      <c r="A2434" s="1" t="s">
        <v>4</v>
      </c>
      <c r="B2434" s="2" t="str">
        <f t="shared" si="208"/>
        <v>SISTEMA FATURAMENTO CONTAS DE CONVENIO</v>
      </c>
      <c r="C2434" s="2" t="str">
        <f t="shared" si="209"/>
        <v>FATUR-CONV</v>
      </c>
      <c r="D2434" s="2" t="str">
        <f t="shared" si="210"/>
        <v>FFCV</v>
      </c>
      <c r="E2434" s="2" t="str">
        <f>"REL DA TAB DE FATURAMENTO X PORTE ANEST"</f>
        <v>REL DA TAB DE FATURAMENTO X PORTE ANEST</v>
      </c>
      <c r="F2434" s="2" t="str">
        <f>"R_TABFAT_PORT"</f>
        <v>R_TABFAT_PORT</v>
      </c>
      <c r="G2434" s="2" t="str">
        <f>"Faturamento / Auditoria e Controle de Recursos de Glosas / Relatórios / Tabelas / Tabela de Valores / Tabela de Faturamento x Porte Anestésico (R_TABFAT_PORT)"</f>
        <v>Faturamento / Auditoria e Controle de Recursos de Glosas / Relatórios / Tabelas / Tabela de Valores / Tabela de Faturamento x Porte Anestésico (R_TABFAT_PORT)</v>
      </c>
    </row>
    <row r="2435" spans="1:7" x14ac:dyDescent="0.3">
      <c r="A2435" s="1" t="s">
        <v>4</v>
      </c>
      <c r="B2435" s="2" t="str">
        <f t="shared" si="208"/>
        <v>SISTEMA FATURAMENTO CONTAS DE CONVENIO</v>
      </c>
      <c r="C2435" s="2" t="str">
        <f t="shared" si="209"/>
        <v>FATUR-CONV</v>
      </c>
      <c r="D2435" s="2" t="str">
        <f t="shared" si="210"/>
        <v>FFCV</v>
      </c>
      <c r="E2435" s="2" t="str">
        <f>"REL. DE VALORES DOS INDICES DE COBRANCA"</f>
        <v>REL. DE VALORES DOS INDICES DE COBRANCA</v>
      </c>
      <c r="F2435" s="2" t="str">
        <f>"R_INDICE"</f>
        <v>R_INDICE</v>
      </c>
      <c r="G2435" s="2" t="str">
        <f>"Faturamento / Faturamento de Convênios e Particulares / Relatórios / Tabelas / Cobranças e Tabelas / Índices (R_INDICE)"</f>
        <v>Faturamento / Faturamento de Convênios e Particulares / Relatórios / Tabelas / Cobranças e Tabelas / Índices (R_INDICE)</v>
      </c>
    </row>
    <row r="2436" spans="1:7" x14ac:dyDescent="0.3">
      <c r="A2436" s="1" t="s">
        <v>4</v>
      </c>
      <c r="B2436" s="2" t="str">
        <f t="shared" si="208"/>
        <v>SISTEMA FATURAMENTO CONTAS DE CONVENIO</v>
      </c>
      <c r="C2436" s="2" t="str">
        <f t="shared" si="209"/>
        <v>FATUR-CONV</v>
      </c>
      <c r="D2436" s="2" t="str">
        <f t="shared" si="210"/>
        <v>FFCV</v>
      </c>
      <c r="E2436" s="2" t="str">
        <f>"REL. DE VALORES DOS INDICES DE COBRANCA"</f>
        <v>REL. DE VALORES DOS INDICES DE COBRANCA</v>
      </c>
      <c r="F2436" s="2" t="str">
        <f>"R_INDICE"</f>
        <v>R_INDICE</v>
      </c>
      <c r="G2436" s="2" t="str">
        <f>"Faturamento / Auditoria e Controle de Recursos de Glosas / Relatórios / Tabelas / Cobranças e Tabelas / Índices (R_INDICE)"</f>
        <v>Faturamento / Auditoria e Controle de Recursos de Glosas / Relatórios / Tabelas / Cobranças e Tabelas / Índices (R_INDICE)</v>
      </c>
    </row>
    <row r="2437" spans="1:7" x14ac:dyDescent="0.3">
      <c r="A2437" s="1" t="s">
        <v>4</v>
      </c>
      <c r="B2437" s="2" t="str">
        <f t="shared" si="208"/>
        <v>SISTEMA FATURAMENTO CONTAS DE CONVENIO</v>
      </c>
      <c r="C2437" s="2" t="str">
        <f t="shared" si="209"/>
        <v>FATUR-CONV</v>
      </c>
      <c r="D2437" s="2" t="str">
        <f t="shared" si="210"/>
        <v>FFCV</v>
      </c>
      <c r="E2437" s="2" t="str">
        <f>"RELATORIO DE PROCEDIMENTO DE FATURAMENTO"</f>
        <v>RELATORIO DE PROCEDIMENTO DE FATURAMENTO</v>
      </c>
      <c r="F2437" s="2" t="str">
        <f>"R_PRO_FAT"</f>
        <v>R_PRO_FAT</v>
      </c>
      <c r="G2437" s="2" t="str">
        <f>"Faturamento / Faturamento de Convênios e Particulares / Relatórios / Tabelas / Gerais / Procedimentos (R_PRO_FAT)"</f>
        <v>Faturamento / Faturamento de Convênios e Particulares / Relatórios / Tabelas / Gerais / Procedimentos (R_PRO_FAT)</v>
      </c>
    </row>
    <row r="2438" spans="1:7" x14ac:dyDescent="0.3">
      <c r="A2438" s="1" t="s">
        <v>4</v>
      </c>
      <c r="B2438" s="2" t="str">
        <f t="shared" ref="B2438:B2501" si="212">"SISTEMA FATURAMENTO CONTAS DE CONVENIO"</f>
        <v>SISTEMA FATURAMENTO CONTAS DE CONVENIO</v>
      </c>
      <c r="C2438" s="2" t="str">
        <f t="shared" ref="C2438:C2501" si="213">"FATUR-CONV"</f>
        <v>FATUR-CONV</v>
      </c>
      <c r="D2438" s="2" t="str">
        <f t="shared" ref="D2438:D2501" si="214">"FFCV"</f>
        <v>FFCV</v>
      </c>
      <c r="E2438" s="2" t="str">
        <f>"RELATORIO DE PROCEDIMENTO DE FATURAMENTO"</f>
        <v>RELATORIO DE PROCEDIMENTO DE FATURAMENTO</v>
      </c>
      <c r="F2438" s="2" t="str">
        <f>"R_PRO_FAT"</f>
        <v>R_PRO_FAT</v>
      </c>
      <c r="G2438" s="2" t="str">
        <f>"Faturamento / Auditoria e Controle de Recursos de Glosas / Relatórios / Tabelas / Gerais / Procedimentos (R_PRO_FAT)"</f>
        <v>Faturamento / Auditoria e Controle de Recursos de Glosas / Relatórios / Tabelas / Gerais / Procedimentos (R_PRO_FAT)</v>
      </c>
    </row>
    <row r="2439" spans="1:7" x14ac:dyDescent="0.3">
      <c r="A2439" s="1" t="s">
        <v>4</v>
      </c>
      <c r="B2439" s="2" t="str">
        <f t="shared" si="212"/>
        <v>SISTEMA FATURAMENTO CONTAS DE CONVENIO</v>
      </c>
      <c r="C2439" s="2" t="str">
        <f t="shared" si="213"/>
        <v>FATUR-CONV</v>
      </c>
      <c r="D2439" s="2" t="str">
        <f t="shared" si="214"/>
        <v>FFCV</v>
      </c>
      <c r="E2439" s="2" t="str">
        <f>"DESCONTOS CONCEDIDOS"</f>
        <v>DESCONTOS CONCEDIDOS</v>
      </c>
      <c r="F2439" s="2" t="str">
        <f>"R_DESC_FFCV"</f>
        <v>R_DESC_FFCV</v>
      </c>
      <c r="G2439" s="2" t="str">
        <f>"Faturamento / Faturamento de Convênios e Particulares / Relatórios / Tesouraria / Contas à Receber / Descontos Concedidos (R_DESC_FFCV)"</f>
        <v>Faturamento / Faturamento de Convênios e Particulares / Relatórios / Tesouraria / Contas à Receber / Descontos Concedidos (R_DESC_FFCV)</v>
      </c>
    </row>
    <row r="2440" spans="1:7" x14ac:dyDescent="0.3">
      <c r="A2440" s="1" t="s">
        <v>4</v>
      </c>
      <c r="B2440" s="2" t="str">
        <f t="shared" si="212"/>
        <v>SISTEMA FATURAMENTO CONTAS DE CONVENIO</v>
      </c>
      <c r="C2440" s="2" t="str">
        <f t="shared" si="213"/>
        <v>FATUR-CONV</v>
      </c>
      <c r="D2440" s="2" t="str">
        <f t="shared" si="214"/>
        <v>FFCV</v>
      </c>
      <c r="E2440" s="2" t="str">
        <f>"REL DO RESUMO DO CONSUMIDO X FATURADO"</f>
        <v>REL DO RESUMO DO CONSUMIDO X FATURADO</v>
      </c>
      <c r="F2440" s="2" t="str">
        <f>"R_RESUMO_CONS_FAT_DT_LANC"</f>
        <v>R_RESUMO_CONS_FAT_DT_LANC</v>
      </c>
      <c r="G2440" s="2" t="str">
        <f>" ()"</f>
        <v xml:space="preserve"> ()</v>
      </c>
    </row>
    <row r="2441" spans="1:7" x14ac:dyDescent="0.3">
      <c r="A2441" s="1" t="s">
        <v>4</v>
      </c>
      <c r="B2441" s="2" t="str">
        <f t="shared" si="212"/>
        <v>SISTEMA FATURAMENTO CONTAS DE CONVENIO</v>
      </c>
      <c r="C2441" s="2" t="str">
        <f t="shared" si="213"/>
        <v>FATUR-CONV</v>
      </c>
      <c r="D2441" s="2" t="str">
        <f t="shared" si="214"/>
        <v>FFCV</v>
      </c>
      <c r="E2441" s="2" t="str">
        <f>"REL DE RESUMO DO CONSUMIDO X FATURADO"</f>
        <v>REL DE RESUMO DO CONSUMIDO X FATURADO</v>
      </c>
      <c r="F2441" s="2" t="str">
        <f>"R_PERFIL_CONS_FAT_DT_LANC"</f>
        <v>R_PERFIL_CONS_FAT_DT_LANC</v>
      </c>
      <c r="G2441" s="2" t="str">
        <f>" ()"</f>
        <v xml:space="preserve"> ()</v>
      </c>
    </row>
    <row r="2442" spans="1:7" x14ac:dyDescent="0.3">
      <c r="A2442" s="1" t="s">
        <v>4</v>
      </c>
      <c r="B2442" s="2" t="str">
        <f t="shared" si="212"/>
        <v>SISTEMA FATURAMENTO CONTAS DE CONVENIO</v>
      </c>
      <c r="C2442" s="2" t="str">
        <f t="shared" si="213"/>
        <v>FATUR-CONV</v>
      </c>
      <c r="D2442" s="2" t="str">
        <f t="shared" si="214"/>
        <v>FFCV</v>
      </c>
      <c r="E2442" s="2" t="str">
        <f>"RELATÓRIO DE DIÁRIAS AUTOMÁTICAS"</f>
        <v>RELATÓRIO DE DIÁRIAS AUTOMÁTICAS</v>
      </c>
      <c r="F2442" s="2" t="str">
        <f>"R_DIARIAS_AUTOMAT"</f>
        <v>R_DIARIAS_AUTOMAT</v>
      </c>
      <c r="G2442" s="2" t="str">
        <f>"Faturamento / Faturamento de Convênios e Particulares / Relatórios / Operacionais / Diárias Automáticas (R_DIARIAS_AUTOMAT)"</f>
        <v>Faturamento / Faturamento de Convênios e Particulares / Relatórios / Operacionais / Diárias Automáticas (R_DIARIAS_AUTOMAT)</v>
      </c>
    </row>
    <row r="2443" spans="1:7" x14ac:dyDescent="0.3">
      <c r="A2443" s="1" t="s">
        <v>4</v>
      </c>
      <c r="B2443" s="2" t="str">
        <f t="shared" si="212"/>
        <v>SISTEMA FATURAMENTO CONTAS DE CONVENIO</v>
      </c>
      <c r="C2443" s="2" t="str">
        <f t="shared" si="213"/>
        <v>FATUR-CONV</v>
      </c>
      <c r="D2443" s="2" t="str">
        <f t="shared" si="214"/>
        <v>FFCV</v>
      </c>
      <c r="E2443" s="2" t="str">
        <f>"RELATÓRIO DE DIÁRIAS AUTOMÁTICAS"</f>
        <v>RELATÓRIO DE DIÁRIAS AUTOMÁTICAS</v>
      </c>
      <c r="F2443" s="2" t="str">
        <f>"R_DIARIAS_AUTOMAT"</f>
        <v>R_DIARIAS_AUTOMAT</v>
      </c>
      <c r="G2443" s="2" t="str">
        <f>"Faturamento / Auditoria e Controle de Recursos de Glosas / Relatórios / Operacionais / Diárias Automáticas (R_DIARIAS_AUTOMAT)"</f>
        <v>Faturamento / Auditoria e Controle de Recursos de Glosas / Relatórios / Operacionais / Diárias Automáticas (R_DIARIAS_AUTOMAT)</v>
      </c>
    </row>
    <row r="2444" spans="1:7" x14ac:dyDescent="0.3">
      <c r="A2444" s="1" t="s">
        <v>4</v>
      </c>
      <c r="B2444" s="2" t="str">
        <f t="shared" si="212"/>
        <v>SISTEMA FATURAMENTO CONTAS DE CONVENIO</v>
      </c>
      <c r="C2444" s="2" t="str">
        <f t="shared" si="213"/>
        <v>FATUR-CONV</v>
      </c>
      <c r="D2444" s="2" t="str">
        <f t="shared" si="214"/>
        <v>FFCV</v>
      </c>
      <c r="E2444" s="2" t="str">
        <f>"REL. DE DIARIAS AUTOMATICAS"</f>
        <v>REL. DE DIARIAS AUTOMATICAS</v>
      </c>
      <c r="F2444" s="2" t="str">
        <f>"R_DIARIA_AUTO"</f>
        <v>R_DIARIA_AUTO</v>
      </c>
      <c r="G2444" s="2" t="str">
        <f>" ()"</f>
        <v xml:space="preserve"> ()</v>
      </c>
    </row>
    <row r="2445" spans="1:7" x14ac:dyDescent="0.3">
      <c r="A2445" s="1" t="s">
        <v>4</v>
      </c>
      <c r="B2445" s="2" t="str">
        <f t="shared" si="212"/>
        <v>SISTEMA FATURAMENTO CONTAS DE CONVENIO</v>
      </c>
      <c r="C2445" s="2" t="str">
        <f t="shared" si="213"/>
        <v>FATUR-CONV</v>
      </c>
      <c r="D2445" s="2" t="str">
        <f t="shared" si="214"/>
        <v>FFCV</v>
      </c>
      <c r="E2445" s="2" t="str">
        <f>"REL FATURAMENTO DE GRU. DE PROCEDIMENTO"</f>
        <v>REL FATURAMENTO DE GRU. DE PROCEDIMENTO</v>
      </c>
      <c r="F2445" s="2" t="str">
        <f>"R_FAT_GRU_PRO"</f>
        <v>R_FAT_GRU_PRO</v>
      </c>
      <c r="G2445" s="2" t="str">
        <f>"Faturamento / Faturamento de Convênios e Particulares / Relatórios / Gerenciais / Receita por Grupo de Procedimento (R_FAT_GRU_PRO)"</f>
        <v>Faturamento / Faturamento de Convênios e Particulares / Relatórios / Gerenciais / Receita por Grupo de Procedimento (R_FAT_GRU_PRO)</v>
      </c>
    </row>
    <row r="2446" spans="1:7" x14ac:dyDescent="0.3">
      <c r="A2446" s="1" t="s">
        <v>4</v>
      </c>
      <c r="B2446" s="2" t="str">
        <f t="shared" si="212"/>
        <v>SISTEMA FATURAMENTO CONTAS DE CONVENIO</v>
      </c>
      <c r="C2446" s="2" t="str">
        <f t="shared" si="213"/>
        <v>FATUR-CONV</v>
      </c>
      <c r="D2446" s="2" t="str">
        <f t="shared" si="214"/>
        <v>FFCV</v>
      </c>
      <c r="E2446" s="2" t="str">
        <f>"REL. DEMONST. MÉDICO POR COMPETÊNCIA"</f>
        <v>REL. DEMONST. MÉDICO POR COMPETÊNCIA</v>
      </c>
      <c r="F2446" s="2" t="str">
        <f>"R_DEMO_MED_ANA_COMP"</f>
        <v>R_DEMO_MED_ANA_COMP</v>
      </c>
      <c r="G2446" s="2" t="str">
        <f>" ()"</f>
        <v xml:space="preserve"> ()</v>
      </c>
    </row>
    <row r="2447" spans="1:7" x14ac:dyDescent="0.3">
      <c r="A2447" s="1" t="s">
        <v>4</v>
      </c>
      <c r="B2447" s="2" t="str">
        <f t="shared" si="212"/>
        <v>SISTEMA FATURAMENTO CONTAS DE CONVENIO</v>
      </c>
      <c r="C2447" s="2" t="str">
        <f t="shared" si="213"/>
        <v>FATUR-CONV</v>
      </c>
      <c r="D2447" s="2" t="str">
        <f t="shared" si="214"/>
        <v>FFCV</v>
      </c>
      <c r="E2447" s="2" t="str">
        <f>"REL. DE TABELA DE VALOR DO CONVÊNIO"</f>
        <v>REL. DE TABELA DE VALOR DO CONVÊNIO</v>
      </c>
      <c r="F2447" s="2" t="str">
        <f>"R_TAB_VAL_CONV"</f>
        <v>R_TAB_VAL_CONV</v>
      </c>
      <c r="G2447" s="2" t="str">
        <f>"Faturamento / Faturamento de Convênios e Particulares / Relatórios / Tabelas / Tabela de Valores / Tabela de Valor do Convênio (R_TAB_VAL_CONV)"</f>
        <v>Faturamento / Faturamento de Convênios e Particulares / Relatórios / Tabelas / Tabela de Valores / Tabela de Valor do Convênio (R_TAB_VAL_CONV)</v>
      </c>
    </row>
    <row r="2448" spans="1:7" x14ac:dyDescent="0.3">
      <c r="A2448" s="1" t="s">
        <v>4</v>
      </c>
      <c r="B2448" s="2" t="str">
        <f t="shared" si="212"/>
        <v>SISTEMA FATURAMENTO CONTAS DE CONVENIO</v>
      </c>
      <c r="C2448" s="2" t="str">
        <f t="shared" si="213"/>
        <v>FATUR-CONV</v>
      </c>
      <c r="D2448" s="2" t="str">
        <f t="shared" si="214"/>
        <v>FFCV</v>
      </c>
      <c r="E2448" s="2" t="str">
        <f>"REL. DE TABELA DE VALOR DO CONVÊNIO"</f>
        <v>REL. DE TABELA DE VALOR DO CONVÊNIO</v>
      </c>
      <c r="F2448" s="2" t="str">
        <f>"R_TAB_VAL_CONV"</f>
        <v>R_TAB_VAL_CONV</v>
      </c>
      <c r="G2448" s="2" t="str">
        <f>"Faturamento / Auditoria e Controle de Recursos de Glosas / Relatórios / Tabelas / Tabela de Valores / Tabela de Valor do Convênio (R_TAB_VAL_CONV)"</f>
        <v>Faturamento / Auditoria e Controle de Recursos de Glosas / Relatórios / Tabelas / Tabela de Valores / Tabela de Valor do Convênio (R_TAB_VAL_CONV)</v>
      </c>
    </row>
    <row r="2449" spans="1:7" x14ac:dyDescent="0.3">
      <c r="A2449" s="1" t="s">
        <v>4</v>
      </c>
      <c r="B2449" s="2" t="str">
        <f t="shared" si="212"/>
        <v>SISTEMA FATURAMENTO CONTAS DE CONVENIO</v>
      </c>
      <c r="C2449" s="2" t="str">
        <f t="shared" si="213"/>
        <v>FATUR-CONV</v>
      </c>
      <c r="D2449" s="2" t="str">
        <f t="shared" si="214"/>
        <v>FFCV</v>
      </c>
      <c r="E2449" s="2" t="str">
        <f>"RELATÓRIO DE FATURAS E REMESSAS"</f>
        <v>RELATÓRIO DE FATURAS E REMESSAS</v>
      </c>
      <c r="F2449" s="2" t="str">
        <f>"R_FATURA_REMESSA"</f>
        <v>R_FATURA_REMESSA</v>
      </c>
      <c r="G2449" s="2" t="str">
        <f>"Faturamento / Faturamento de Convênios e Particulares / Relatórios / Operacionais / Faturas e Remessas (R_FATURA_REMESSA)"</f>
        <v>Faturamento / Faturamento de Convênios e Particulares / Relatórios / Operacionais / Faturas e Remessas (R_FATURA_REMESSA)</v>
      </c>
    </row>
    <row r="2450" spans="1:7" x14ac:dyDescent="0.3">
      <c r="A2450" s="1" t="s">
        <v>4</v>
      </c>
      <c r="B2450" s="2" t="str">
        <f t="shared" si="212"/>
        <v>SISTEMA FATURAMENTO CONTAS DE CONVENIO</v>
      </c>
      <c r="C2450" s="2" t="str">
        <f t="shared" si="213"/>
        <v>FATUR-CONV</v>
      </c>
      <c r="D2450" s="2" t="str">
        <f t="shared" si="214"/>
        <v>FFCV</v>
      </c>
      <c r="E2450" s="2" t="str">
        <f>"RELATÓRIO DE FATURAS E REMESSAS"</f>
        <v>RELATÓRIO DE FATURAS E REMESSAS</v>
      </c>
      <c r="F2450" s="2" t="str">
        <f>"R_FATURA_REMESSA"</f>
        <v>R_FATURA_REMESSA</v>
      </c>
      <c r="G2450" s="2" t="str">
        <f>"Controladoria / Repasse Médico / Relatórios / Operacionais / Faturas e Remessas (R_FATURA_REMESSA)"</f>
        <v>Controladoria / Repasse Médico / Relatórios / Operacionais / Faturas e Remessas (R_FATURA_REMESSA)</v>
      </c>
    </row>
    <row r="2451" spans="1:7" x14ac:dyDescent="0.3">
      <c r="A2451" s="1" t="s">
        <v>4</v>
      </c>
      <c r="B2451" s="2" t="str">
        <f t="shared" si="212"/>
        <v>SISTEMA FATURAMENTO CONTAS DE CONVENIO</v>
      </c>
      <c r="C2451" s="2" t="str">
        <f t="shared" si="213"/>
        <v>FATUR-CONV</v>
      </c>
      <c r="D2451" s="2" t="str">
        <f t="shared" si="214"/>
        <v>FFCV</v>
      </c>
      <c r="E2451" s="2" t="str">
        <f>"RELATÓRIO DE FATURAS E REMESSAS"</f>
        <v>RELATÓRIO DE FATURAS E REMESSAS</v>
      </c>
      <c r="F2451" s="2" t="str">
        <f>"R_FATURA_REMESSA"</f>
        <v>R_FATURA_REMESSA</v>
      </c>
      <c r="G2451" s="2" t="str">
        <f>"Faturamento / Auditoria e Controle de Recursos de Glosas / Relatórios / Operacionais / Faturas e Remessas (R_FATURA_REMESSA)"</f>
        <v>Faturamento / Auditoria e Controle de Recursos de Glosas / Relatórios / Operacionais / Faturas e Remessas (R_FATURA_REMESSA)</v>
      </c>
    </row>
    <row r="2452" spans="1:7" x14ac:dyDescent="0.3">
      <c r="A2452" s="1" t="s">
        <v>4</v>
      </c>
      <c r="B2452" s="2" t="str">
        <f t="shared" si="212"/>
        <v>SISTEMA FATURAMENTO CONTAS DE CONVENIO</v>
      </c>
      <c r="C2452" s="2" t="str">
        <f t="shared" si="213"/>
        <v>FATUR-CONV</v>
      </c>
      <c r="D2452" s="2" t="str">
        <f t="shared" si="214"/>
        <v>FFCV</v>
      </c>
      <c r="E2452" s="2" t="str">
        <f>"TELA RELATÓRIO DE DEMONSTRATIVO MÉDICO"</f>
        <v>TELA RELATÓRIO DE DEMONSTRATIVO MÉDICO</v>
      </c>
      <c r="F2452" s="2" t="str">
        <f>"R_DEMO_MED"</f>
        <v>R_DEMO_MED</v>
      </c>
      <c r="G2452" s="2" t="str">
        <f>"Faturamento / Faturamento de Convênios e Particulares / Relatórios / Administrativos / Demonstrativo Médico (R_DEMO_MED)"</f>
        <v>Faturamento / Faturamento de Convênios e Particulares / Relatórios / Administrativos / Demonstrativo Médico (R_DEMO_MED)</v>
      </c>
    </row>
    <row r="2453" spans="1:7" x14ac:dyDescent="0.3">
      <c r="A2453" s="1" t="s">
        <v>4</v>
      </c>
      <c r="B2453" s="2" t="str">
        <f t="shared" si="212"/>
        <v>SISTEMA FATURAMENTO CONTAS DE CONVENIO</v>
      </c>
      <c r="C2453" s="2" t="str">
        <f t="shared" si="213"/>
        <v>FATUR-CONV</v>
      </c>
      <c r="D2453" s="2" t="str">
        <f t="shared" si="214"/>
        <v>FFCV</v>
      </c>
      <c r="E2453" s="2" t="str">
        <f>"TELA RELATÓRIO DE DEMONSTRATIVO MÉDICO"</f>
        <v>TELA RELATÓRIO DE DEMONSTRATIVO MÉDICO</v>
      </c>
      <c r="F2453" s="2" t="str">
        <f>"R_DEMO_MED"</f>
        <v>R_DEMO_MED</v>
      </c>
      <c r="G2453" s="2" t="str">
        <f>"Controladoria / Repasse Médico / Relatórios / Administrativos / Demonstrativo Médico (R_DEMO_MED)"</f>
        <v>Controladoria / Repasse Médico / Relatórios / Administrativos / Demonstrativo Médico (R_DEMO_MED)</v>
      </c>
    </row>
    <row r="2454" spans="1:7" x14ac:dyDescent="0.3">
      <c r="A2454" s="1" t="s">
        <v>4</v>
      </c>
      <c r="B2454" s="2" t="str">
        <f t="shared" si="212"/>
        <v>SISTEMA FATURAMENTO CONTAS DE CONVENIO</v>
      </c>
      <c r="C2454" s="2" t="str">
        <f t="shared" si="213"/>
        <v>FATUR-CONV</v>
      </c>
      <c r="D2454" s="2" t="str">
        <f t="shared" si="214"/>
        <v>FFCV</v>
      </c>
      <c r="E2454" s="2" t="str">
        <f>"RELATÓRIO DE RECEITA POR SETOR"</f>
        <v>RELATÓRIO DE RECEITA POR SETOR</v>
      </c>
      <c r="F2454" s="2" t="str">
        <f>"R_FAT_SETOR"</f>
        <v>R_FAT_SETOR</v>
      </c>
      <c r="G2454" s="2" t="str">
        <f>"Faturamento / Faturamento de Convênios e Particulares / Relatórios / Gerenciais / Receita por Centro de Custo / Por Origem (R_FAT_SETOR)"</f>
        <v>Faturamento / Faturamento de Convênios e Particulares / Relatórios / Gerenciais / Receita por Centro de Custo / Por Origem (R_FAT_SETOR)</v>
      </c>
    </row>
    <row r="2455" spans="1:7" x14ac:dyDescent="0.3">
      <c r="A2455" s="1" t="s">
        <v>4</v>
      </c>
      <c r="B2455" s="2" t="str">
        <f t="shared" si="212"/>
        <v>SISTEMA FATURAMENTO CONTAS DE CONVENIO</v>
      </c>
      <c r="C2455" s="2" t="str">
        <f t="shared" si="213"/>
        <v>FATUR-CONV</v>
      </c>
      <c r="D2455" s="2" t="str">
        <f t="shared" si="214"/>
        <v>FFCV</v>
      </c>
      <c r="E2455" s="2" t="str">
        <f>"PARAM. FORM. DO R_COMPARA_BRASINDICE"</f>
        <v>PARAM. FORM. DO R_COMPARA_BRASINDICE</v>
      </c>
      <c r="F2455" s="2" t="str">
        <f>"R_COMP_BRASIND"</f>
        <v>R_COMP_BRASIND</v>
      </c>
      <c r="G2455" s="2" t="str">
        <f>" ()"</f>
        <v xml:space="preserve"> ()</v>
      </c>
    </row>
    <row r="2456" spans="1:7" x14ac:dyDescent="0.3">
      <c r="A2456" s="1" t="s">
        <v>4</v>
      </c>
      <c r="B2456" s="2" t="str">
        <f t="shared" si="212"/>
        <v>SISTEMA FATURAMENTO CONTAS DE CONVENIO</v>
      </c>
      <c r="C2456" s="2" t="str">
        <f t="shared" si="213"/>
        <v>FATUR-CONV</v>
      </c>
      <c r="D2456" s="2" t="str">
        <f t="shared" si="214"/>
        <v>FFCV</v>
      </c>
      <c r="E2456" s="2" t="str">
        <f>"REL. DE PROC. NÃO RELAC. DO BRASINDICE"</f>
        <v>REL. DE PROC. NÃO RELAC. DO BRASINDICE</v>
      </c>
      <c r="F2456" s="2" t="str">
        <f>"R_COMPARA_BRASINDICE"</f>
        <v>R_COMPARA_BRASINDICE</v>
      </c>
      <c r="G2456" s="2" t="str">
        <f>"Faturamento / Faturamento de Convênios e Particulares / Relatórios / Tabelas / Configuração / Relacionamento Produtos-Brasíndice/Simpro/Estoque (R_COMPARA_BRASINDICE)"</f>
        <v>Faturamento / Faturamento de Convênios e Particulares / Relatórios / Tabelas / Configuração / Relacionamento Produtos-Brasíndice/Simpro/Estoque (R_COMPARA_BRASINDICE)</v>
      </c>
    </row>
    <row r="2457" spans="1:7" x14ac:dyDescent="0.3">
      <c r="A2457" s="1" t="s">
        <v>4</v>
      </c>
      <c r="B2457" s="2" t="str">
        <f t="shared" si="212"/>
        <v>SISTEMA FATURAMENTO CONTAS DE CONVENIO</v>
      </c>
      <c r="C2457" s="2" t="str">
        <f t="shared" si="213"/>
        <v>FATUR-CONV</v>
      </c>
      <c r="D2457" s="2" t="str">
        <f t="shared" si="214"/>
        <v>FFCV</v>
      </c>
      <c r="E2457" s="2" t="str">
        <f>"REL. DE PROC. NÃO RELAC. DO BRASINDICE"</f>
        <v>REL. DE PROC. NÃO RELAC. DO BRASINDICE</v>
      </c>
      <c r="F2457" s="2" t="str">
        <f>"R_COMPARA_BRASINDICE"</f>
        <v>R_COMPARA_BRASINDICE</v>
      </c>
      <c r="G2457" s="2" t="str">
        <f>"Faturamento / Auditoria e Controle de Recursos de Glosas / Relatórios / Tabelas / Configuração / Relacionamento de Produtos com o Brasíndice (R_COMPARA_BRASINDICE)"</f>
        <v>Faturamento / Auditoria e Controle de Recursos de Glosas / Relatórios / Tabelas / Configuração / Relacionamento de Produtos com o Brasíndice (R_COMPARA_BRASINDICE)</v>
      </c>
    </row>
    <row r="2458" spans="1:7" x14ac:dyDescent="0.3">
      <c r="A2458" s="1" t="s">
        <v>4</v>
      </c>
      <c r="B2458" s="2" t="str">
        <f t="shared" si="212"/>
        <v>SISTEMA FATURAMENTO CONTAS DE CONVENIO</v>
      </c>
      <c r="C2458" s="2" t="str">
        <f t="shared" si="213"/>
        <v>FATUR-CONV</v>
      </c>
      <c r="D2458" s="2" t="str">
        <f t="shared" si="214"/>
        <v>FFCV</v>
      </c>
      <c r="E2458" s="2" t="str">
        <f>"CONSULTAS - VALORES DOS PROCEDIMENTOS"</f>
        <v>CONSULTAS - VALORES DOS PROCEDIMENTOS</v>
      </c>
      <c r="F2458" s="2" t="str">
        <f>"C_VAL_PROC"</f>
        <v>C_VAL_PROC</v>
      </c>
      <c r="G2458" s="2" t="str">
        <f>"MVSaude / Vendas / Internação / Consultas / Valores dos Procedimentos (C_VAL_PROC)"</f>
        <v>MVSaude / Vendas / Internação / Consultas / Valores dos Procedimentos (C_VAL_PROC)</v>
      </c>
    </row>
    <row r="2459" spans="1:7" x14ac:dyDescent="0.3">
      <c r="A2459" s="1" t="s">
        <v>4</v>
      </c>
      <c r="B2459" s="2" t="str">
        <f t="shared" si="212"/>
        <v>SISTEMA FATURAMENTO CONTAS DE CONVENIO</v>
      </c>
      <c r="C2459" s="2" t="str">
        <f t="shared" si="213"/>
        <v>FATUR-CONV</v>
      </c>
      <c r="D2459" s="2" t="str">
        <f t="shared" si="214"/>
        <v>FFCV</v>
      </c>
      <c r="E2459" s="2" t="str">
        <f>"CONSULTAS - VALORES DOS PROCEDIMENTOS"</f>
        <v>CONSULTAS - VALORES DOS PROCEDIMENTOS</v>
      </c>
      <c r="F2459" s="2" t="str">
        <f>"C_VAL_PROC"</f>
        <v>C_VAL_PROC</v>
      </c>
      <c r="G2459" s="2" t="str">
        <f>"Faturamento / Faturamento de Convênios e Particulares / Consultas / Valores dos Procedimentos (C_VAL_PROC)"</f>
        <v>Faturamento / Faturamento de Convênios e Particulares / Consultas / Valores dos Procedimentos (C_VAL_PROC)</v>
      </c>
    </row>
    <row r="2460" spans="1:7" x14ac:dyDescent="0.3">
      <c r="A2460" s="1" t="s">
        <v>4</v>
      </c>
      <c r="B2460" s="2" t="str">
        <f t="shared" si="212"/>
        <v>SISTEMA FATURAMENTO CONTAS DE CONVENIO</v>
      </c>
      <c r="C2460" s="2" t="str">
        <f t="shared" si="213"/>
        <v>FATUR-CONV</v>
      </c>
      <c r="D2460" s="2" t="str">
        <f t="shared" si="214"/>
        <v>FFCV</v>
      </c>
      <c r="E2460" s="2" t="str">
        <f>"CONSULTAS - VALORES DOS PROCEDIMENTOS"</f>
        <v>CONSULTAS - VALORES DOS PROCEDIMENTOS</v>
      </c>
      <c r="F2460" s="2" t="str">
        <f>"C_VAL_PROC"</f>
        <v>C_VAL_PROC</v>
      </c>
      <c r="G2460" s="2" t="str">
        <f>"MVSaude / Atendimento / Autorizações de Guias / Internação / Consultas / Valores dos Procedimentos (C_VAL_PROC)"</f>
        <v>MVSaude / Atendimento / Autorizações de Guias / Internação / Consultas / Valores dos Procedimentos (C_VAL_PROC)</v>
      </c>
    </row>
    <row r="2461" spans="1:7" x14ac:dyDescent="0.3">
      <c r="A2461" s="1" t="s">
        <v>4</v>
      </c>
      <c r="B2461" s="2" t="str">
        <f t="shared" si="212"/>
        <v>SISTEMA FATURAMENTO CONTAS DE CONVENIO</v>
      </c>
      <c r="C2461" s="2" t="str">
        <f t="shared" si="213"/>
        <v>FATUR-CONV</v>
      </c>
      <c r="D2461" s="2" t="str">
        <f t="shared" si="214"/>
        <v>FFCV</v>
      </c>
      <c r="E2461" s="2" t="str">
        <f>"TABELAS - GERAIS - DESLIGAMENTO CONVENIO"</f>
        <v>TABELAS - GERAIS - DESLIGAMENTO CONVENIO</v>
      </c>
      <c r="F2461" s="2" t="str">
        <f>"O_DESLIGA_CONVPLA"</f>
        <v>O_DESLIGA_CONVPLA</v>
      </c>
      <c r="G2461" s="2" t="str">
        <f>"Faturamento / Faturamento de Convênios e Particulares / Tabelas / Gerais / Desligamento de Convenios e Planos (O_DESLIGA_CONVPLA)"</f>
        <v>Faturamento / Faturamento de Convênios e Particulares / Tabelas / Gerais / Desligamento de Convenios e Planos (O_DESLIGA_CONVPLA)</v>
      </c>
    </row>
    <row r="2462" spans="1:7" x14ac:dyDescent="0.3">
      <c r="A2462" s="1" t="s">
        <v>4</v>
      </c>
      <c r="B2462" s="2" t="str">
        <f t="shared" si="212"/>
        <v>SISTEMA FATURAMENTO CONTAS DE CONVENIO</v>
      </c>
      <c r="C2462" s="2" t="str">
        <f t="shared" si="213"/>
        <v>FATUR-CONV</v>
      </c>
      <c r="D2462" s="2" t="str">
        <f t="shared" si="214"/>
        <v>FFCV</v>
      </c>
      <c r="E2462" s="2" t="str">
        <f>"REL.  A RECEBER DO CONVENIO"</f>
        <v>REL.  A RECEBER DO CONVENIO</v>
      </c>
      <c r="F2462" s="2" t="str">
        <f>"R_A_RECEBER_CONV"</f>
        <v>R_A_RECEBER_CONV</v>
      </c>
      <c r="G2462" s="2" t="str">
        <f>" ()"</f>
        <v xml:space="preserve"> ()</v>
      </c>
    </row>
    <row r="2463" spans="1:7" x14ac:dyDescent="0.3">
      <c r="A2463" s="1" t="s">
        <v>4</v>
      </c>
      <c r="B2463" s="2" t="str">
        <f t="shared" si="212"/>
        <v>SISTEMA FATURAMENTO CONTAS DE CONVENIO</v>
      </c>
      <c r="C2463" s="2" t="str">
        <f t="shared" si="213"/>
        <v>FATUR-CONV</v>
      </c>
      <c r="D2463" s="2" t="str">
        <f t="shared" si="214"/>
        <v>FFCV</v>
      </c>
      <c r="E2463" s="2" t="str">
        <f>"RELATORIO DE FATURA AMBULATORIAL"</f>
        <v>RELATORIO DE FATURA AMBULATORIAL</v>
      </c>
      <c r="F2463" s="2" t="str">
        <f>"R_FATURA_AMBULATORIAL"</f>
        <v>R_FATURA_AMBULATORIAL</v>
      </c>
      <c r="G2463" s="2" t="str">
        <f>" ()"</f>
        <v xml:space="preserve"> ()</v>
      </c>
    </row>
    <row r="2464" spans="1:7" x14ac:dyDescent="0.3">
      <c r="A2464" s="1" t="s">
        <v>4</v>
      </c>
      <c r="B2464" s="2" t="str">
        <f t="shared" si="212"/>
        <v>SISTEMA FATURAMENTO CONTAS DE CONVENIO</v>
      </c>
      <c r="C2464" s="2" t="str">
        <f t="shared" si="213"/>
        <v>FATUR-CONV</v>
      </c>
      <c r="D2464" s="2" t="str">
        <f t="shared" si="214"/>
        <v>FFCV</v>
      </c>
      <c r="E2464" s="2" t="str">
        <f>"LANÇAMENTO - GUIAS"</f>
        <v>LANÇAMENTO - GUIAS</v>
      </c>
      <c r="F2464" s="2" t="str">
        <f>"M_GUIAS"</f>
        <v>M_GUIAS</v>
      </c>
      <c r="G2464" s="2" t="str">
        <f>"Faturamento / Faturamento de Convênios e Particulares / Lançamentos / Guias (M_GUIAS)"</f>
        <v>Faturamento / Faturamento de Convênios e Particulares / Lançamentos / Guias (M_GUIAS)</v>
      </c>
    </row>
    <row r="2465" spans="1:7" x14ac:dyDescent="0.3">
      <c r="A2465" s="1" t="s">
        <v>4</v>
      </c>
      <c r="B2465" s="2" t="str">
        <f t="shared" si="212"/>
        <v>SISTEMA FATURAMENTO CONTAS DE CONVENIO</v>
      </c>
      <c r="C2465" s="2" t="str">
        <f t="shared" si="213"/>
        <v>FATUR-CONV</v>
      </c>
      <c r="D2465" s="2" t="str">
        <f t="shared" si="214"/>
        <v>FFCV</v>
      </c>
      <c r="E2465" s="2" t="str">
        <f>"LANÇAMENTO - GUIAS"</f>
        <v>LANÇAMENTO - GUIAS</v>
      </c>
      <c r="F2465" s="2" t="str">
        <f>"M_GUIAS"</f>
        <v>M_GUIAS</v>
      </c>
      <c r="G2465" s="2" t="str">
        <f>"MVSaude / Atendimento / Autorizações de Guias / Internação / Atendimento / Guias (M_GUIAS)"</f>
        <v>MVSaude / Atendimento / Autorizações de Guias / Internação / Atendimento / Guias (M_GUIAS)</v>
      </c>
    </row>
    <row r="2466" spans="1:7" x14ac:dyDescent="0.3">
      <c r="A2466" s="1" t="s">
        <v>4</v>
      </c>
      <c r="B2466" s="2" t="str">
        <f t="shared" si="212"/>
        <v>SISTEMA FATURAMENTO CONTAS DE CONVENIO</v>
      </c>
      <c r="C2466" s="2" t="str">
        <f t="shared" si="213"/>
        <v>FATUR-CONV</v>
      </c>
      <c r="D2466" s="2" t="str">
        <f t="shared" si="214"/>
        <v>FFCV</v>
      </c>
      <c r="E2466" s="2" t="str">
        <f>"LANÇAMENTO - GUIAS"</f>
        <v>LANÇAMENTO - GUIAS</v>
      </c>
      <c r="F2466" s="2" t="str">
        <f>"M_GUIAS"</f>
        <v>M_GUIAS</v>
      </c>
      <c r="G2466" s="2" t="str">
        <f>"Outros / Fusam / Atendimentos / Guias (M_GUIAS)"</f>
        <v>Outros / Fusam / Atendimentos / Guias (M_GUIAS)</v>
      </c>
    </row>
    <row r="2467" spans="1:7" x14ac:dyDescent="0.3">
      <c r="A2467" s="1" t="s">
        <v>4</v>
      </c>
      <c r="B2467" s="2" t="str">
        <f t="shared" si="212"/>
        <v>SISTEMA FATURAMENTO CONTAS DE CONVENIO</v>
      </c>
      <c r="C2467" s="2" t="str">
        <f t="shared" si="213"/>
        <v>FATUR-CONV</v>
      </c>
      <c r="D2467" s="2" t="str">
        <f t="shared" si="214"/>
        <v>FFCV</v>
      </c>
      <c r="E2467" s="2" t="str">
        <f>"LANÇAMENTO - GUIAS"</f>
        <v>LANÇAMENTO - GUIAS</v>
      </c>
      <c r="F2467" s="2" t="str">
        <f>"M_GUIAS"</f>
        <v>M_GUIAS</v>
      </c>
      <c r="G2467" s="2" t="str">
        <f>"MVSaude / Vendas / Internação / Atendimento / Guias (M_GUIAS)"</f>
        <v>MVSaude / Vendas / Internação / Atendimento / Guias (M_GUIAS)</v>
      </c>
    </row>
    <row r="2468" spans="1:7" x14ac:dyDescent="0.3">
      <c r="A2468" s="1" t="s">
        <v>4</v>
      </c>
      <c r="B2468" s="2" t="str">
        <f t="shared" si="212"/>
        <v>SISTEMA FATURAMENTO CONTAS DE CONVENIO</v>
      </c>
      <c r="C2468" s="2" t="str">
        <f t="shared" si="213"/>
        <v>FATUR-CONV</v>
      </c>
      <c r="D2468" s="2" t="str">
        <f t="shared" si="214"/>
        <v>FFCV</v>
      </c>
      <c r="E2468" s="2" t="str">
        <f>"LANÇAMENTO - GUIAS"</f>
        <v>LANÇAMENTO - GUIAS</v>
      </c>
      <c r="F2468" s="2" t="str">
        <f>"M_GUIAS"</f>
        <v>M_GUIAS</v>
      </c>
      <c r="G2468" s="2" t="str">
        <f>"Atendimento / Internação Domiciliar (Home Care) / Recepção / Guias (M_GUIAS)"</f>
        <v>Atendimento / Internação Domiciliar (Home Care) / Recepção / Guias (M_GUIAS)</v>
      </c>
    </row>
    <row r="2469" spans="1:7" x14ac:dyDescent="0.3">
      <c r="A2469" s="1" t="s">
        <v>4</v>
      </c>
      <c r="B2469" s="2" t="str">
        <f t="shared" si="212"/>
        <v>SISTEMA FATURAMENTO CONTAS DE CONVENIO</v>
      </c>
      <c r="C2469" s="2" t="str">
        <f t="shared" si="213"/>
        <v>FATUR-CONV</v>
      </c>
      <c r="D2469" s="2" t="str">
        <f t="shared" si="214"/>
        <v>FFCV</v>
      </c>
      <c r="E2469" s="2" t="str">
        <f>"MANUT. DO CADASTRO DE RATEIO PADRAO"</f>
        <v>MANUT. DO CADASTRO DE RATEIO PADRAO</v>
      </c>
      <c r="F2469" s="2" t="str">
        <f>"M_RATEIO_PADRAO"</f>
        <v>M_RATEIO_PADRAO</v>
      </c>
      <c r="G2469" s="2" t="str">
        <f>" ()"</f>
        <v xml:space="preserve"> ()</v>
      </c>
    </row>
    <row r="2470" spans="1:7" x14ac:dyDescent="0.3">
      <c r="A2470" s="1" t="s">
        <v>4</v>
      </c>
      <c r="B2470" s="2" t="str">
        <f t="shared" si="212"/>
        <v>SISTEMA FATURAMENTO CONTAS DE CONVENIO</v>
      </c>
      <c r="C2470" s="2" t="str">
        <f t="shared" si="213"/>
        <v>FATUR-CONV</v>
      </c>
      <c r="D2470" s="2" t="str">
        <f t="shared" si="214"/>
        <v>FFCV</v>
      </c>
      <c r="E2470" s="2" t="str">
        <f>"REL NOTA FISCAL DE PACIENTE CLIENTE 379"</f>
        <v>REL NOTA FISCAL DE PACIENTE CLIENTE 379</v>
      </c>
      <c r="F2470" s="2" t="str">
        <f>"R_NOTA_FISCAL_379"</f>
        <v>R_NOTA_FISCAL_379</v>
      </c>
      <c r="G2470" s="2" t="str">
        <f>" ()"</f>
        <v xml:space="preserve"> ()</v>
      </c>
    </row>
    <row r="2471" spans="1:7" x14ac:dyDescent="0.3">
      <c r="A2471" s="1" t="s">
        <v>4</v>
      </c>
      <c r="B2471" s="2" t="str">
        <f t="shared" si="212"/>
        <v>SISTEMA FATURAMENTO CONTAS DE CONVENIO</v>
      </c>
      <c r="C2471" s="2" t="str">
        <f t="shared" si="213"/>
        <v>FATUR-CONV</v>
      </c>
      <c r="D2471" s="2" t="str">
        <f t="shared" si="214"/>
        <v>FFCV</v>
      </c>
      <c r="E2471" s="2" t="str">
        <f>"CONF. - LCTO DE  PRODUTOS DO  ESTOQUE"</f>
        <v>CONF. - LCTO DE  PRODUTOS DO  ESTOQUE</v>
      </c>
      <c r="F2471" s="2" t="str">
        <f>"M_CONF_PRO"</f>
        <v>M_CONF_PRO</v>
      </c>
      <c r="G2471" s="2" t="str">
        <f>"Faturamento / Faturamento de Convênios e Particulares / Configurações / Lançamento de Produtos do Estoque (M_CONF_PRO)"</f>
        <v>Faturamento / Faturamento de Convênios e Particulares / Configurações / Lançamento de Produtos do Estoque (M_CONF_PRO)</v>
      </c>
    </row>
    <row r="2472" spans="1:7" x14ac:dyDescent="0.3">
      <c r="A2472" s="1" t="s">
        <v>4</v>
      </c>
      <c r="B2472" s="2" t="str">
        <f t="shared" si="212"/>
        <v>SISTEMA FATURAMENTO CONTAS DE CONVENIO</v>
      </c>
      <c r="C2472" s="2" t="str">
        <f t="shared" si="213"/>
        <v>FATUR-CONV</v>
      </c>
      <c r="D2472" s="2" t="str">
        <f t="shared" si="214"/>
        <v>FFCV</v>
      </c>
      <c r="E2472" s="2" t="str">
        <f>"CONSULTAS - CONTAS A RECEBER D PACIENTE"</f>
        <v>CONSULTAS - CONTAS A RECEBER D PACIENTE</v>
      </c>
      <c r="F2472" s="2" t="str">
        <f>"C_CONTA_REC_PAC"</f>
        <v>C_CONTA_REC_PAC</v>
      </c>
      <c r="G2472" s="2" t="str">
        <f>"Faturamento / Faturamento de Convênios e Particulares / Consultas / Contas a Receber de Pacientes (C_CONTA_REC_PAC)"</f>
        <v>Faturamento / Faturamento de Convênios e Particulares / Consultas / Contas a Receber de Pacientes (C_CONTA_REC_PAC)</v>
      </c>
    </row>
    <row r="2473" spans="1:7" x14ac:dyDescent="0.3">
      <c r="A2473" s="1" t="s">
        <v>4</v>
      </c>
      <c r="B2473" s="2" t="str">
        <f t="shared" si="212"/>
        <v>SISTEMA FATURAMENTO CONTAS DE CONVENIO</v>
      </c>
      <c r="C2473" s="2" t="str">
        <f t="shared" si="213"/>
        <v>FATUR-CONV</v>
      </c>
      <c r="D2473" s="2" t="str">
        <f t="shared" si="214"/>
        <v>FFCV</v>
      </c>
      <c r="E2473" s="2" t="str">
        <f>"CONSULTAS - CONTAS A RECEBER DE CONVENIO"</f>
        <v>CONSULTAS - CONTAS A RECEBER DE CONVENIO</v>
      </c>
      <c r="F2473" s="2" t="str">
        <f>"C_CONTA_REC_CONV"</f>
        <v>C_CONTA_REC_CONV</v>
      </c>
      <c r="G2473" s="2" t="str">
        <f>"Faturamento / Faturamento de Convênios e Particulares / Consultas / Contas a Receber de Convênios (C_CONTA_REC_CONV)"</f>
        <v>Faturamento / Faturamento de Convênios e Particulares / Consultas / Contas a Receber de Convênios (C_CONTA_REC_CONV)</v>
      </c>
    </row>
    <row r="2474" spans="1:7" x14ac:dyDescent="0.3">
      <c r="A2474" s="1" t="s">
        <v>4</v>
      </c>
      <c r="B2474" s="2" t="str">
        <f t="shared" si="212"/>
        <v>SISTEMA FATURAMENTO CONTAS DE CONVENIO</v>
      </c>
      <c r="C2474" s="2" t="str">
        <f t="shared" si="213"/>
        <v>FATUR-CONV</v>
      </c>
      <c r="D2474" s="2" t="str">
        <f t="shared" si="214"/>
        <v>FFCV</v>
      </c>
      <c r="E2474" s="2" t="str">
        <f>"LANCAMENTOS - CONTA AMBULATORIAL  PART."</f>
        <v>LANCAMENTOS - CONTA AMBULATORIAL  PART.</v>
      </c>
      <c r="F2474" s="2" t="str">
        <f>"M_LAN_AMB_PARTICULAR"</f>
        <v>M_LAN_AMB_PARTICULAR</v>
      </c>
      <c r="G2474" s="2" t="str">
        <f>" ()"</f>
        <v xml:space="preserve"> ()</v>
      </c>
    </row>
    <row r="2475" spans="1:7" x14ac:dyDescent="0.3">
      <c r="A2475" s="1" t="s">
        <v>4</v>
      </c>
      <c r="B2475" s="2" t="str">
        <f t="shared" si="212"/>
        <v>SISTEMA FATURAMENTO CONTAS DE CONVENIO</v>
      </c>
      <c r="C2475" s="2" t="str">
        <f t="shared" si="213"/>
        <v>FATUR-CONV</v>
      </c>
      <c r="D2475" s="2" t="str">
        <f t="shared" si="214"/>
        <v>FFCV</v>
      </c>
      <c r="E2475" s="2" t="str">
        <f>"IMPORTAÇÕES - IMP. DO ESTOQUE"</f>
        <v>IMPORTAÇÕES - IMP. DO ESTOQUE</v>
      </c>
      <c r="F2475" s="2" t="str">
        <f>"O_IMPESTOQUE"</f>
        <v>O_IMPESTOQUE</v>
      </c>
      <c r="G2475" s="2" t="str">
        <f>"Faturamento / Faturamento de Convênios e Particulares / Importações / Importação do Estoque (O_IMPESTOQUE)"</f>
        <v>Faturamento / Faturamento de Convênios e Particulares / Importações / Importação do Estoque (O_IMPESTOQUE)</v>
      </c>
    </row>
    <row r="2476" spans="1:7" x14ac:dyDescent="0.3">
      <c r="A2476" s="1" t="s">
        <v>4</v>
      </c>
      <c r="B2476" s="2" t="str">
        <f t="shared" si="212"/>
        <v>SISTEMA FATURAMENTO CONTAS DE CONVENIO</v>
      </c>
      <c r="C2476" s="2" t="str">
        <f t="shared" si="213"/>
        <v>FATUR-CONV</v>
      </c>
      <c r="D2476" s="2" t="str">
        <f t="shared" si="214"/>
        <v>FFCV</v>
      </c>
      <c r="E2476" s="2" t="str">
        <f>"REL. DE VALORES DE PORTES ANESTESICO"</f>
        <v>REL. DE VALORES DE PORTES ANESTESICO</v>
      </c>
      <c r="F2476" s="2" t="str">
        <f>"R_VALORES_PORTE"</f>
        <v>R_VALORES_PORTE</v>
      </c>
      <c r="G2476" s="2" t="str">
        <f>"Faturamento / Faturamento de Convênios e Particulares / Relatórios / Tabelas / Tabela de Valores / Portes Anestésico (R_VALORES_PORTE)"</f>
        <v>Faturamento / Faturamento de Convênios e Particulares / Relatórios / Tabelas / Tabela de Valores / Portes Anestésico (R_VALORES_PORTE)</v>
      </c>
    </row>
    <row r="2477" spans="1:7" x14ac:dyDescent="0.3">
      <c r="A2477" s="1" t="s">
        <v>4</v>
      </c>
      <c r="B2477" s="2" t="str">
        <f t="shared" si="212"/>
        <v>SISTEMA FATURAMENTO CONTAS DE CONVENIO</v>
      </c>
      <c r="C2477" s="2" t="str">
        <f t="shared" si="213"/>
        <v>FATUR-CONV</v>
      </c>
      <c r="D2477" s="2" t="str">
        <f t="shared" si="214"/>
        <v>FFCV</v>
      </c>
      <c r="E2477" s="2" t="str">
        <f>"REL. DE VALORES DE PORTES ANESTESICO"</f>
        <v>REL. DE VALORES DE PORTES ANESTESICO</v>
      </c>
      <c r="F2477" s="2" t="str">
        <f>"R_VALORES_PORTE"</f>
        <v>R_VALORES_PORTE</v>
      </c>
      <c r="G2477" s="2" t="str">
        <f>"Faturamento / Auditoria e Controle de Recursos de Glosas / Relatórios / Tabelas / Tabela de Valores / Portes Anestésico (R_VALORES_PORTE)"</f>
        <v>Faturamento / Auditoria e Controle de Recursos de Glosas / Relatórios / Tabelas / Tabela de Valores / Portes Anestésico (R_VALORES_PORTE)</v>
      </c>
    </row>
    <row r="2478" spans="1:7" x14ac:dyDescent="0.3">
      <c r="A2478" s="1" t="s">
        <v>4</v>
      </c>
      <c r="B2478" s="2" t="str">
        <f t="shared" si="212"/>
        <v>SISTEMA FATURAMENTO CONTAS DE CONVENIO</v>
      </c>
      <c r="C2478" s="2" t="str">
        <f t="shared" si="213"/>
        <v>FATUR-CONV</v>
      </c>
      <c r="D2478" s="2" t="str">
        <f t="shared" si="214"/>
        <v>FFCV</v>
      </c>
      <c r="E2478" s="2" t="str">
        <f>"REL DE RECEITA POR GRUPO DE FAT. P/ DIAG"</f>
        <v>REL DE RECEITA POR GRUPO DE FAT. P/ DIAG</v>
      </c>
      <c r="F2478" s="2" t="str">
        <f>"R_FAT_GRU_FAT_DT_LAN_DIAG"</f>
        <v>R_FAT_GRU_FAT_DT_LAN_DIAG</v>
      </c>
      <c r="G2478" s="2" t="str">
        <f t="shared" ref="G2478:G2484" si="215">" ()"</f>
        <v xml:space="preserve"> ()</v>
      </c>
    </row>
    <row r="2479" spans="1:7" x14ac:dyDescent="0.3">
      <c r="A2479" s="1" t="s">
        <v>4</v>
      </c>
      <c r="B2479" s="2" t="str">
        <f t="shared" si="212"/>
        <v>SISTEMA FATURAMENTO CONTAS DE CONVENIO</v>
      </c>
      <c r="C2479" s="2" t="str">
        <f t="shared" si="213"/>
        <v>FATUR-CONV</v>
      </c>
      <c r="D2479" s="2" t="str">
        <f t="shared" si="214"/>
        <v>FFCV</v>
      </c>
      <c r="E2479" s="2" t="str">
        <f>"REL DE RECEITA POR GRUPO DE FAT P/ DIAGN"</f>
        <v>REL DE RECEITA POR GRUPO DE FAT P/ DIAGN</v>
      </c>
      <c r="F2479" s="2" t="str">
        <f>"R_FAT_GRU_FAT_DIAGNO"</f>
        <v>R_FAT_GRU_FAT_DIAGNO</v>
      </c>
      <c r="G2479" s="2" t="str">
        <f t="shared" si="215"/>
        <v xml:space="preserve"> ()</v>
      </c>
    </row>
    <row r="2480" spans="1:7" x14ac:dyDescent="0.3">
      <c r="A2480" s="1" t="s">
        <v>4</v>
      </c>
      <c r="B2480" s="2" t="str">
        <f t="shared" si="212"/>
        <v>SISTEMA FATURAMENTO CONTAS DE CONVENIO</v>
      </c>
      <c r="C2480" s="2" t="str">
        <f t="shared" si="213"/>
        <v>FATUR-CONV</v>
      </c>
      <c r="D2480" s="2" t="str">
        <f t="shared" si="214"/>
        <v>FFCV</v>
      </c>
      <c r="E2480" s="2" t="str">
        <f>"REL. DE FATURAMENTO GLOBAL P/ DIAGNO"</f>
        <v>REL. DE FATURAMENTO GLOBAL P/ DIAGNO</v>
      </c>
      <c r="F2480" s="2" t="str">
        <f>"R_FAT_GLOB_DIAGNO"</f>
        <v>R_FAT_GLOB_DIAGNO</v>
      </c>
      <c r="G2480" s="2" t="str">
        <f t="shared" si="215"/>
        <v xml:space="preserve"> ()</v>
      </c>
    </row>
    <row r="2481" spans="1:7" x14ac:dyDescent="0.3">
      <c r="A2481" s="1" t="s">
        <v>4</v>
      </c>
      <c r="B2481" s="2" t="str">
        <f t="shared" si="212"/>
        <v>SISTEMA FATURAMENTO CONTAS DE CONVENIO</v>
      </c>
      <c r="C2481" s="2" t="str">
        <f t="shared" si="213"/>
        <v>FATUR-CONV</v>
      </c>
      <c r="D2481" s="2" t="str">
        <f t="shared" si="214"/>
        <v>FFCV</v>
      </c>
      <c r="E2481" s="2" t="str">
        <f>"REL DE CONSUMO NAO FATURADO POR SETOR"</f>
        <v>REL DE CONSUMO NAO FATURADO POR SETOR</v>
      </c>
      <c r="F2481" s="2" t="str">
        <f>"R_CONSUMO_N_FAT2"</f>
        <v>R_CONSUMO_N_FAT2</v>
      </c>
      <c r="G2481" s="2" t="str">
        <f t="shared" si="215"/>
        <v xml:space="preserve"> ()</v>
      </c>
    </row>
    <row r="2482" spans="1:7" x14ac:dyDescent="0.3">
      <c r="A2482" s="1" t="s">
        <v>4</v>
      </c>
      <c r="B2482" s="2" t="str">
        <f t="shared" si="212"/>
        <v>SISTEMA FATURAMENTO CONTAS DE CONVENIO</v>
      </c>
      <c r="C2482" s="2" t="str">
        <f t="shared" si="213"/>
        <v>FATUR-CONV</v>
      </c>
      <c r="D2482" s="2" t="str">
        <f t="shared" si="214"/>
        <v>FFCV</v>
      </c>
      <c r="E2482" s="2" t="str">
        <f>"REL. - OPER. SITUACAO DAS CONTAS"</f>
        <v>REL. - OPER. SITUACAO DAS CONTAS</v>
      </c>
      <c r="F2482" s="2" t="str">
        <f>"R_ATENDE_SEM_CONTA3"</f>
        <v>R_ATENDE_SEM_CONTA3</v>
      </c>
      <c r="G2482" s="2" t="str">
        <f t="shared" si="215"/>
        <v xml:space="preserve"> ()</v>
      </c>
    </row>
    <row r="2483" spans="1:7" x14ac:dyDescent="0.3">
      <c r="A2483" s="1" t="s">
        <v>4</v>
      </c>
      <c r="B2483" s="2" t="str">
        <f t="shared" si="212"/>
        <v>SISTEMA FATURAMENTO CONTAS DE CONVENIO</v>
      </c>
      <c r="C2483" s="2" t="str">
        <f t="shared" si="213"/>
        <v>FATUR-CONV</v>
      </c>
      <c r="D2483" s="2" t="str">
        <f t="shared" si="214"/>
        <v>FFCV</v>
      </c>
      <c r="E2483" s="2" t="str">
        <f>"REL DE FAT GR PROC POR DT. LANCAMENTO"</f>
        <v>REL DE FAT GR PROC POR DT. LANCAMENTO</v>
      </c>
      <c r="F2483" s="2" t="str">
        <f>"R_FAT_GRU_PRO_DT_LANC"</f>
        <v>R_FAT_GRU_PRO_DT_LANC</v>
      </c>
      <c r="G2483" s="2" t="str">
        <f t="shared" si="215"/>
        <v xml:space="preserve"> ()</v>
      </c>
    </row>
    <row r="2484" spans="1:7" x14ac:dyDescent="0.3">
      <c r="A2484" s="1" t="s">
        <v>4</v>
      </c>
      <c r="B2484" s="2" t="str">
        <f t="shared" si="212"/>
        <v>SISTEMA FATURAMENTO CONTAS DE CONVENIO</v>
      </c>
      <c r="C2484" s="2" t="str">
        <f t="shared" si="213"/>
        <v>FATUR-CONV</v>
      </c>
      <c r="D2484" s="2" t="str">
        <f t="shared" si="214"/>
        <v>FFCV</v>
      </c>
      <c r="E2484" s="2" t="str">
        <f>"REL DE FAT. DE GR  FATUR- DT LANÇAMENTO"</f>
        <v>REL DE FAT. DE GR  FATUR- DT LANÇAMENTO</v>
      </c>
      <c r="F2484" s="2" t="str">
        <f>"R_FAT_GRU_FAT_DT_LANC"</f>
        <v>R_FAT_GRU_FAT_DT_LANC</v>
      </c>
      <c r="G2484" s="2" t="str">
        <f t="shared" si="215"/>
        <v xml:space="preserve"> ()</v>
      </c>
    </row>
    <row r="2485" spans="1:7" x14ac:dyDescent="0.3">
      <c r="A2485" s="1" t="s">
        <v>4</v>
      </c>
      <c r="B2485" s="2" t="str">
        <f t="shared" si="212"/>
        <v>SISTEMA FATURAMENTO CONTAS DE CONVENIO</v>
      </c>
      <c r="C2485" s="2" t="str">
        <f t="shared" si="213"/>
        <v>FATUR-CONV</v>
      </c>
      <c r="D2485" s="2" t="str">
        <f t="shared" si="214"/>
        <v>FFCV</v>
      </c>
      <c r="E2485" s="2" t="str">
        <f>"REL DE REGRAS X TIPOS DE ACOMODACAO"</f>
        <v>REL DE REGRAS X TIPOS DE ACOMODACAO</v>
      </c>
      <c r="F2485" s="2" t="str">
        <f>"R_REG_AC_DC"</f>
        <v>R_REG_AC_DC</v>
      </c>
      <c r="G2485" s="2" t="str">
        <f>"Faturamento / Faturamento de Convênios e Particulares / Relatórios / Tabelas / Cobranças e Tabelas / Regras / Cobrança x Acréscimo/Desconto (R_REG_AC_DC)"</f>
        <v>Faturamento / Faturamento de Convênios e Particulares / Relatórios / Tabelas / Cobranças e Tabelas / Regras / Cobrança x Acréscimo/Desconto (R_REG_AC_DC)</v>
      </c>
    </row>
    <row r="2486" spans="1:7" x14ac:dyDescent="0.3">
      <c r="A2486" s="1" t="s">
        <v>4</v>
      </c>
      <c r="B2486" s="2" t="str">
        <f t="shared" si="212"/>
        <v>SISTEMA FATURAMENTO CONTAS DE CONVENIO</v>
      </c>
      <c r="C2486" s="2" t="str">
        <f t="shared" si="213"/>
        <v>FATUR-CONV</v>
      </c>
      <c r="D2486" s="2" t="str">
        <f t="shared" si="214"/>
        <v>FFCV</v>
      </c>
      <c r="E2486" s="2" t="str">
        <f>"REL DE REGRAS X TIPOS DE ACOMODACAO"</f>
        <v>REL DE REGRAS X TIPOS DE ACOMODACAO</v>
      </c>
      <c r="F2486" s="2" t="str">
        <f>"R_REG_AC_DC"</f>
        <v>R_REG_AC_DC</v>
      </c>
      <c r="G2486" s="2" t="str">
        <f>"Faturamento / Auditoria e Controle de Recursos de Glosas / Relatórios / Tabelas / Cobranças e Tabelas / Regras / Cobrança x Acréscimo/Desconto (R_REG_AC_DC)"</f>
        <v>Faturamento / Auditoria e Controle de Recursos de Glosas / Relatórios / Tabelas / Cobranças e Tabelas / Regras / Cobrança x Acréscimo/Desconto (R_REG_AC_DC)</v>
      </c>
    </row>
    <row r="2487" spans="1:7" x14ac:dyDescent="0.3">
      <c r="A2487" s="1" t="s">
        <v>4</v>
      </c>
      <c r="B2487" s="2" t="str">
        <f t="shared" si="212"/>
        <v>SISTEMA FATURAMENTO CONTAS DE CONVENIO</v>
      </c>
      <c r="C2487" s="2" t="str">
        <f t="shared" si="213"/>
        <v>FATUR-CONV</v>
      </c>
      <c r="D2487" s="2" t="str">
        <f t="shared" si="214"/>
        <v>FFCV</v>
      </c>
      <c r="E2487" s="2" t="str">
        <f>"REL DE TABELA DE FATURAMENTO"</f>
        <v>REL DE TABELA DE FATURAMENTO</v>
      </c>
      <c r="F2487" s="2" t="str">
        <f>"R_TAB_FAT"</f>
        <v>R_TAB_FAT</v>
      </c>
      <c r="G2487" s="2" t="str">
        <f>"Faturamento / Faturamento de Convênios e Particulares / Relatórios / Tabelas / Cobranças e Tabelas / Tabela de Faturamento (R_TAB_FAT)"</f>
        <v>Faturamento / Faturamento de Convênios e Particulares / Relatórios / Tabelas / Cobranças e Tabelas / Tabela de Faturamento (R_TAB_FAT)</v>
      </c>
    </row>
    <row r="2488" spans="1:7" x14ac:dyDescent="0.3">
      <c r="A2488" s="1" t="s">
        <v>4</v>
      </c>
      <c r="B2488" s="2" t="str">
        <f t="shared" si="212"/>
        <v>SISTEMA FATURAMENTO CONTAS DE CONVENIO</v>
      </c>
      <c r="C2488" s="2" t="str">
        <f t="shared" si="213"/>
        <v>FATUR-CONV</v>
      </c>
      <c r="D2488" s="2" t="str">
        <f t="shared" si="214"/>
        <v>FFCV</v>
      </c>
      <c r="E2488" s="2" t="str">
        <f>"REL DE TABELA DE FATURAMENTO"</f>
        <v>REL DE TABELA DE FATURAMENTO</v>
      </c>
      <c r="F2488" s="2" t="str">
        <f>"R_TAB_FAT"</f>
        <v>R_TAB_FAT</v>
      </c>
      <c r="G2488" s="2" t="str">
        <f>"Faturamento / Auditoria e Controle de Recursos de Glosas / Relatórios / Tabelas / Cobranças e Tabelas / Tabela de Faturamento (R_TAB_FAT)"</f>
        <v>Faturamento / Auditoria e Controle de Recursos de Glosas / Relatórios / Tabelas / Cobranças e Tabelas / Tabela de Faturamento (R_TAB_FAT)</v>
      </c>
    </row>
    <row r="2489" spans="1:7" x14ac:dyDescent="0.3">
      <c r="A2489" s="1" t="s">
        <v>4</v>
      </c>
      <c r="B2489" s="2" t="str">
        <f t="shared" si="212"/>
        <v>SISTEMA FATURAMENTO CONTAS DE CONVENIO</v>
      </c>
      <c r="C2489" s="2" t="str">
        <f t="shared" si="213"/>
        <v>FATUR-CONV</v>
      </c>
      <c r="D2489" s="2" t="str">
        <f t="shared" si="214"/>
        <v>FFCV</v>
      </c>
      <c r="E2489" s="2" t="str">
        <f>"REL DE REGRAS  X TIPOS DE ACOMODACAO"</f>
        <v>REL DE REGRAS  X TIPOS DE ACOMODACAO</v>
      </c>
      <c r="F2489" s="2" t="str">
        <f>"R_REG_ACOMOD"</f>
        <v>R_REG_ACOMOD</v>
      </c>
      <c r="G2489" s="2" t="str">
        <f>"Faturamento / Faturamento de Convênios e Particulares / Relatórios / Tabelas / Cobranças e Tabelas / Regras / Cobrança x Acomodação (R_REG_ACOMOD)"</f>
        <v>Faturamento / Faturamento de Convênios e Particulares / Relatórios / Tabelas / Cobranças e Tabelas / Regras / Cobrança x Acomodação (R_REG_ACOMOD)</v>
      </c>
    </row>
    <row r="2490" spans="1:7" x14ac:dyDescent="0.3">
      <c r="A2490" s="1" t="s">
        <v>4</v>
      </c>
      <c r="B2490" s="2" t="str">
        <f t="shared" si="212"/>
        <v>SISTEMA FATURAMENTO CONTAS DE CONVENIO</v>
      </c>
      <c r="C2490" s="2" t="str">
        <f t="shared" si="213"/>
        <v>FATUR-CONV</v>
      </c>
      <c r="D2490" s="2" t="str">
        <f t="shared" si="214"/>
        <v>FFCV</v>
      </c>
      <c r="E2490" s="2" t="str">
        <f>"REL DE REGRAS  X TIPOS DE ACOMODACAO"</f>
        <v>REL DE REGRAS  X TIPOS DE ACOMODACAO</v>
      </c>
      <c r="F2490" s="2" t="str">
        <f>"R_REG_ACOMOD"</f>
        <v>R_REG_ACOMOD</v>
      </c>
      <c r="G2490" s="2" t="str">
        <f>"Faturamento / Auditoria e Controle de Recursos de Glosas / Relatórios / Tabelas / Cobranças e Tabelas / Regras / Cobrança x Acomodação (R_REG_ACOMOD)"</f>
        <v>Faturamento / Auditoria e Controle de Recursos de Glosas / Relatórios / Tabelas / Cobranças e Tabelas / Regras / Cobrança x Acomodação (R_REG_ACOMOD)</v>
      </c>
    </row>
    <row r="2491" spans="1:7" x14ac:dyDescent="0.3">
      <c r="A2491" s="1" t="s">
        <v>4</v>
      </c>
      <c r="B2491" s="2" t="str">
        <f t="shared" si="212"/>
        <v>SISTEMA FATURAMENTO CONTAS DE CONVENIO</v>
      </c>
      <c r="C2491" s="2" t="str">
        <f t="shared" si="213"/>
        <v>FATUR-CONV</v>
      </c>
      <c r="D2491" s="2" t="str">
        <f t="shared" si="214"/>
        <v>FFCV</v>
      </c>
      <c r="E2491" s="2" t="str">
        <f>"REL DE LISTAGEM P/ CONFERENCIA"</f>
        <v>REL DE LISTAGEM P/ CONFERENCIA</v>
      </c>
      <c r="F2491" s="2" t="str">
        <f>"R_LISTA_CONFERE"</f>
        <v>R_LISTA_CONFERE</v>
      </c>
      <c r="G2491" s="2" t="str">
        <f>" ()"</f>
        <v xml:space="preserve"> ()</v>
      </c>
    </row>
    <row r="2492" spans="1:7" x14ac:dyDescent="0.3">
      <c r="A2492" s="1" t="s">
        <v>4</v>
      </c>
      <c r="B2492" s="2" t="str">
        <f t="shared" si="212"/>
        <v>SISTEMA FATURAMENTO CONTAS DE CONVENIO</v>
      </c>
      <c r="C2492" s="2" t="str">
        <f t="shared" si="213"/>
        <v>FATUR-CONV</v>
      </c>
      <c r="D2492" s="2" t="str">
        <f t="shared" si="214"/>
        <v>FFCV</v>
      </c>
      <c r="E2492" s="2" t="str">
        <f>"REL DE FAT DE GRU FAT X GRU _PRO"</f>
        <v>REL DE FAT DE GRU FAT X GRU _PRO</v>
      </c>
      <c r="F2492" s="2" t="str">
        <f>"R_GRU_FAT_X_GRU_PRO"</f>
        <v>R_GRU_FAT_X_GRU_PRO</v>
      </c>
      <c r="G2492" s="2" t="str">
        <f>"Faturamento / Faturamento de Convênios e Particulares / Relatórios / Gerenciais / Grupo de Faturamento X Grupo de Procedimento (R_GRU_FAT_X_GRU_PRO)"</f>
        <v>Faturamento / Faturamento de Convênios e Particulares / Relatórios / Gerenciais / Grupo de Faturamento X Grupo de Procedimento (R_GRU_FAT_X_GRU_PRO)</v>
      </c>
    </row>
    <row r="2493" spans="1:7" x14ac:dyDescent="0.3">
      <c r="A2493" s="1" t="s">
        <v>4</v>
      </c>
      <c r="B2493" s="2" t="str">
        <f t="shared" si="212"/>
        <v>SISTEMA FATURAMENTO CONTAS DE CONVENIO</v>
      </c>
      <c r="C2493" s="2" t="str">
        <f t="shared" si="213"/>
        <v>FATUR-CONV</v>
      </c>
      <c r="D2493" s="2" t="str">
        <f t="shared" si="214"/>
        <v>FFCV</v>
      </c>
      <c r="E2493" s="2" t="str">
        <f>"REL DE LISTAGEM P/ CONFERENC POR DT LANC"</f>
        <v>REL DE LISTAGEM P/ CONFERENC POR DT LANC</v>
      </c>
      <c r="F2493" s="2" t="str">
        <f>"R_LISTA_CONFERE_DT_LANC"</f>
        <v>R_LISTA_CONFERE_DT_LANC</v>
      </c>
      <c r="G2493" s="2" t="str">
        <f t="shared" ref="G2493:G2501" si="216">" ()"</f>
        <v xml:space="preserve"> ()</v>
      </c>
    </row>
    <row r="2494" spans="1:7" x14ac:dyDescent="0.3">
      <c r="A2494" s="1" t="s">
        <v>4</v>
      </c>
      <c r="B2494" s="2" t="str">
        <f t="shared" si="212"/>
        <v>SISTEMA FATURAMENTO CONTAS DE CONVENIO</v>
      </c>
      <c r="C2494" s="2" t="str">
        <f t="shared" si="213"/>
        <v>FATUR-CONV</v>
      </c>
      <c r="D2494" s="2" t="str">
        <f t="shared" si="214"/>
        <v>FFCV</v>
      </c>
      <c r="E2494" s="2" t="str">
        <f>"REL DE DEMONST MEDICO ANALIT POR DT LANC"</f>
        <v>REL DE DEMONST MEDICO ANALIT POR DT LANC</v>
      </c>
      <c r="F2494" s="2" t="str">
        <f>"R_DEMO_MED_ANA_DT_LANC"</f>
        <v>R_DEMO_MED_ANA_DT_LANC</v>
      </c>
      <c r="G2494" s="2" t="str">
        <f t="shared" si="216"/>
        <v xml:space="preserve"> ()</v>
      </c>
    </row>
    <row r="2495" spans="1:7" x14ac:dyDescent="0.3">
      <c r="A2495" s="1" t="s">
        <v>4</v>
      </c>
      <c r="B2495" s="2" t="str">
        <f t="shared" si="212"/>
        <v>SISTEMA FATURAMENTO CONTAS DE CONVENIO</v>
      </c>
      <c r="C2495" s="2" t="str">
        <f t="shared" si="213"/>
        <v>FATUR-CONV</v>
      </c>
      <c r="D2495" s="2" t="str">
        <f t="shared" si="214"/>
        <v>FFCV</v>
      </c>
      <c r="E2495" s="2" t="str">
        <f>"REL DE DEMONST MEDICO SINT POR DT. LANC"</f>
        <v>REL DE DEMONST MEDICO SINT POR DT. LANC</v>
      </c>
      <c r="F2495" s="2" t="str">
        <f>"R_DEMO_MED_SINT_DT_LANC"</f>
        <v>R_DEMO_MED_SINT_DT_LANC</v>
      </c>
      <c r="G2495" s="2" t="str">
        <f t="shared" si="216"/>
        <v xml:space="preserve"> ()</v>
      </c>
    </row>
    <row r="2496" spans="1:7" x14ac:dyDescent="0.3">
      <c r="A2496" s="1" t="s">
        <v>4</v>
      </c>
      <c r="B2496" s="2" t="str">
        <f t="shared" si="212"/>
        <v>SISTEMA FATURAMENTO CONTAS DE CONVENIO</v>
      </c>
      <c r="C2496" s="2" t="str">
        <f t="shared" si="213"/>
        <v>FATUR-CONV</v>
      </c>
      <c r="D2496" s="2" t="str">
        <f t="shared" si="214"/>
        <v>FFCV</v>
      </c>
      <c r="E2496" s="2" t="str">
        <f>"REL DE SERVICOS PROF POR DT. LANCAMENTO"</f>
        <v>REL DE SERVICOS PROF POR DT. LANCAMENTO</v>
      </c>
      <c r="F2496" s="2" t="str">
        <f>"R_EST_PREST_DT_LANC"</f>
        <v>R_EST_PREST_DT_LANC</v>
      </c>
      <c r="G2496" s="2" t="str">
        <f t="shared" si="216"/>
        <v xml:space="preserve"> ()</v>
      </c>
    </row>
    <row r="2497" spans="1:7" x14ac:dyDescent="0.3">
      <c r="A2497" s="1" t="s">
        <v>4</v>
      </c>
      <c r="B2497" s="2" t="str">
        <f t="shared" si="212"/>
        <v>SISTEMA FATURAMENTO CONTAS DE CONVENIO</v>
      </c>
      <c r="C2497" s="2" t="str">
        <f t="shared" si="213"/>
        <v>FATUR-CONV</v>
      </c>
      <c r="D2497" s="2" t="str">
        <f t="shared" si="214"/>
        <v>FFCV</v>
      </c>
      <c r="E2497" s="2" t="str">
        <f>"REL DE FAT DE FORNECEDORES POR DT. LANC"</f>
        <v>REL DE FAT DE FORNECEDORES POR DT. LANC</v>
      </c>
      <c r="F2497" s="2" t="str">
        <f>"R_FAT_FORN_DT_LANC"</f>
        <v>R_FAT_FORN_DT_LANC</v>
      </c>
      <c r="G2497" s="2" t="str">
        <f t="shared" si="216"/>
        <v xml:space="preserve"> ()</v>
      </c>
    </row>
    <row r="2498" spans="1:7" x14ac:dyDescent="0.3">
      <c r="A2498" s="1" t="s">
        <v>4</v>
      </c>
      <c r="B2498" s="2" t="str">
        <f t="shared" si="212"/>
        <v>SISTEMA FATURAMENTO CONTAS DE CONVENIO</v>
      </c>
      <c r="C2498" s="2" t="str">
        <f t="shared" si="213"/>
        <v>FATUR-CONV</v>
      </c>
      <c r="D2498" s="2" t="str">
        <f t="shared" si="214"/>
        <v>FFCV</v>
      </c>
      <c r="E2498" s="2" t="str">
        <f>"REL GER -ANALISE PACOTE SINT DT. LANCAME"</f>
        <v>REL GER -ANALISE PACOTE SINT DT. LANCAME</v>
      </c>
      <c r="F2498" s="2" t="str">
        <f>"R_ANALISE_PACOTE_SINT_DT"</f>
        <v>R_ANALISE_PACOTE_SINT_DT</v>
      </c>
      <c r="G2498" s="2" t="str">
        <f t="shared" si="216"/>
        <v xml:space="preserve"> ()</v>
      </c>
    </row>
    <row r="2499" spans="1:7" x14ac:dyDescent="0.3">
      <c r="A2499" s="1" t="s">
        <v>4</v>
      </c>
      <c r="B2499" s="2" t="str">
        <f t="shared" si="212"/>
        <v>SISTEMA FATURAMENTO CONTAS DE CONVENIO</v>
      </c>
      <c r="C2499" s="2" t="str">
        <f t="shared" si="213"/>
        <v>FATUR-CONV</v>
      </c>
      <c r="D2499" s="2" t="str">
        <f t="shared" si="214"/>
        <v>FFCV</v>
      </c>
      <c r="E2499" s="2" t="str">
        <f>"REL -GER- ANALISE DE PACOTE DT. LANCAMEN"</f>
        <v>REL -GER- ANALISE DE PACOTE DT. LANCAMEN</v>
      </c>
      <c r="F2499" s="2" t="str">
        <f>"R_ANALISE_PACOTE_DT_LANC"</f>
        <v>R_ANALISE_PACOTE_DT_LANC</v>
      </c>
      <c r="G2499" s="2" t="str">
        <f t="shared" si="216"/>
        <v xml:space="preserve"> ()</v>
      </c>
    </row>
    <row r="2500" spans="1:7" x14ac:dyDescent="0.3">
      <c r="A2500" s="1" t="s">
        <v>4</v>
      </c>
      <c r="B2500" s="2" t="str">
        <f t="shared" si="212"/>
        <v>SISTEMA FATURAMENTO CONTAS DE CONVENIO</v>
      </c>
      <c r="C2500" s="2" t="str">
        <f t="shared" si="213"/>
        <v>FATUR-CONV</v>
      </c>
      <c r="D2500" s="2" t="str">
        <f t="shared" si="214"/>
        <v>FFCV</v>
      </c>
      <c r="E2500" s="2" t="str">
        <f>"REL DE FAT POR SETOR POR DT. LANCAMENTO"</f>
        <v>REL DE FAT POR SETOR POR DT. LANCAMENTO</v>
      </c>
      <c r="F2500" s="2" t="str">
        <f>"R_FAT_SETOR_DT_LANC"</f>
        <v>R_FAT_SETOR_DT_LANC</v>
      </c>
      <c r="G2500" s="2" t="str">
        <f t="shared" si="216"/>
        <v xml:space="preserve"> ()</v>
      </c>
    </row>
    <row r="2501" spans="1:7" x14ac:dyDescent="0.3">
      <c r="A2501" s="1" t="s">
        <v>4</v>
      </c>
      <c r="B2501" s="2" t="str">
        <f t="shared" si="212"/>
        <v>SISTEMA FATURAMENTO CONTAS DE CONVENIO</v>
      </c>
      <c r="C2501" s="2" t="str">
        <f t="shared" si="213"/>
        <v>FATUR-CONV</v>
      </c>
      <c r="D2501" s="2" t="str">
        <f t="shared" si="214"/>
        <v>FFCV</v>
      </c>
      <c r="E2501" s="2" t="str">
        <f>"REL FAT DE GR FAT X GR PROC - DT LANC"</f>
        <v>REL FAT DE GR FAT X GR PROC - DT LANC</v>
      </c>
      <c r="F2501" s="2" t="str">
        <f>"R_GRU_FAT_X_GRU_PRO_DT_LA"</f>
        <v>R_GRU_FAT_X_GRU_PRO_DT_LA</v>
      </c>
      <c r="G2501" s="2" t="str">
        <f t="shared" si="216"/>
        <v xml:space="preserve"> ()</v>
      </c>
    </row>
    <row r="2502" spans="1:7" x14ac:dyDescent="0.3">
      <c r="A2502" s="1" t="s">
        <v>4</v>
      </c>
      <c r="B2502" s="2" t="str">
        <f t="shared" ref="B2502:B2565" si="217">"SISTEMA FATURAMENTO CONTAS DE CONVENIO"</f>
        <v>SISTEMA FATURAMENTO CONTAS DE CONVENIO</v>
      </c>
      <c r="C2502" s="2" t="str">
        <f t="shared" ref="C2502:C2565" si="218">"FATUR-CONV"</f>
        <v>FATUR-CONV</v>
      </c>
      <c r="D2502" s="2" t="str">
        <f t="shared" ref="D2502:D2565" si="219">"FFCV"</f>
        <v>FFCV</v>
      </c>
      <c r="E2502" s="2" t="str">
        <f>"REL DE REGRAS DE COBRANÇA X ITENS DO FAT"</f>
        <v>REL DE REGRAS DE COBRANÇA X ITENS DO FAT</v>
      </c>
      <c r="F2502" s="2" t="str">
        <f>"R_REG_TAB"</f>
        <v>R_REG_TAB</v>
      </c>
      <c r="G2502" s="2" t="str">
        <f>"Faturamento / Faturamento de Convênios e Particulares / Relatórios / Tabelas / Cobranças e Tabelas / Regras / Cobrança x Itens (R_REG_TAB)"</f>
        <v>Faturamento / Faturamento de Convênios e Particulares / Relatórios / Tabelas / Cobranças e Tabelas / Regras / Cobrança x Itens (R_REG_TAB)</v>
      </c>
    </row>
    <row r="2503" spans="1:7" x14ac:dyDescent="0.3">
      <c r="A2503" s="1" t="s">
        <v>4</v>
      </c>
      <c r="B2503" s="2" t="str">
        <f t="shared" si="217"/>
        <v>SISTEMA FATURAMENTO CONTAS DE CONVENIO</v>
      </c>
      <c r="C2503" s="2" t="str">
        <f t="shared" si="218"/>
        <v>FATUR-CONV</v>
      </c>
      <c r="D2503" s="2" t="str">
        <f t="shared" si="219"/>
        <v>FFCV</v>
      </c>
      <c r="E2503" s="2" t="str">
        <f>"REL DE REGRAS DE COBRANÇA X ITENS DO FAT"</f>
        <v>REL DE REGRAS DE COBRANÇA X ITENS DO FAT</v>
      </c>
      <c r="F2503" s="2" t="str">
        <f>"R_REG_TAB"</f>
        <v>R_REG_TAB</v>
      </c>
      <c r="G2503" s="2" t="str">
        <f>"Faturamento / Auditoria e Controle de Recursos de Glosas / Relatórios / Tabelas / Cobranças e Tabelas / Regras / Cobrança x Itens (R_REG_TAB)"</f>
        <v>Faturamento / Auditoria e Controle de Recursos de Glosas / Relatórios / Tabelas / Cobranças e Tabelas / Regras / Cobrança x Itens (R_REG_TAB)</v>
      </c>
    </row>
    <row r="2504" spans="1:7" x14ac:dyDescent="0.3">
      <c r="A2504" s="1" t="s">
        <v>4</v>
      </c>
      <c r="B2504" s="2" t="str">
        <f t="shared" si="217"/>
        <v>SISTEMA FATURAMENTO CONTAS DE CONVENIO</v>
      </c>
      <c r="C2504" s="2" t="str">
        <f t="shared" si="218"/>
        <v>FATUR-CONV</v>
      </c>
      <c r="D2504" s="2" t="str">
        <f t="shared" si="219"/>
        <v>FFCV</v>
      </c>
      <c r="E2504" s="2" t="str">
        <f>"REGRAS DE COBRANÇA"</f>
        <v>REGRAS DE COBRANÇA</v>
      </c>
      <c r="F2504" s="2" t="str">
        <f>"R_REGRAS_FFCV"</f>
        <v>R_REGRAS_FFCV</v>
      </c>
      <c r="G2504" s="2" t="str">
        <f>" ()"</f>
        <v xml:space="preserve"> ()</v>
      </c>
    </row>
    <row r="2505" spans="1:7" x14ac:dyDescent="0.3">
      <c r="A2505" s="1" t="s">
        <v>4</v>
      </c>
      <c r="B2505" s="2" t="str">
        <f t="shared" si="217"/>
        <v>SISTEMA FATURAMENTO CONTAS DE CONVENIO</v>
      </c>
      <c r="C2505" s="2" t="str">
        <f t="shared" si="218"/>
        <v>FATUR-CONV</v>
      </c>
      <c r="D2505" s="2" t="str">
        <f t="shared" si="219"/>
        <v>FFCV</v>
      </c>
      <c r="E2505" s="2" t="str">
        <f>"REL DE PROCEDIMENTOS NA FATURA"</f>
        <v>REL DE PROCEDIMENTOS NA FATURA</v>
      </c>
      <c r="F2505" s="2" t="str">
        <f>"R_COD_PRO"</f>
        <v>R_COD_PRO</v>
      </c>
      <c r="G2505" s="2" t="str">
        <f>"Faturamento / Faturamento de Convênios e Particulares / Relatórios / Tabelas / Formas de Apresentação / Procedimentos na Fatura (R_COD_PRO)"</f>
        <v>Faturamento / Faturamento de Convênios e Particulares / Relatórios / Tabelas / Formas de Apresentação / Procedimentos na Fatura (R_COD_PRO)</v>
      </c>
    </row>
    <row r="2506" spans="1:7" x14ac:dyDescent="0.3">
      <c r="A2506" s="1" t="s">
        <v>4</v>
      </c>
      <c r="B2506" s="2" t="str">
        <f t="shared" si="217"/>
        <v>SISTEMA FATURAMENTO CONTAS DE CONVENIO</v>
      </c>
      <c r="C2506" s="2" t="str">
        <f t="shared" si="218"/>
        <v>FATUR-CONV</v>
      </c>
      <c r="D2506" s="2" t="str">
        <f t="shared" si="219"/>
        <v>FFCV</v>
      </c>
      <c r="E2506" s="2" t="str">
        <f>"REL DE PROCEDIMENTOS NA FATURA"</f>
        <v>REL DE PROCEDIMENTOS NA FATURA</v>
      </c>
      <c r="F2506" s="2" t="str">
        <f>"R_COD_PRO"</f>
        <v>R_COD_PRO</v>
      </c>
      <c r="G2506" s="2" t="str">
        <f>"Faturamento / Auditoria e Controle de Recursos de Glosas / Relatórios / Tabelas / Formas de Apresentação / Procedimentos na Fatura (R_COD_PRO)"</f>
        <v>Faturamento / Auditoria e Controle de Recursos de Glosas / Relatórios / Tabelas / Formas de Apresentação / Procedimentos na Fatura (R_COD_PRO)</v>
      </c>
    </row>
    <row r="2507" spans="1:7" x14ac:dyDescent="0.3">
      <c r="A2507" s="1" t="s">
        <v>4</v>
      </c>
      <c r="B2507" s="2" t="str">
        <f t="shared" si="217"/>
        <v>SISTEMA FATURAMENTO CONTAS DE CONVENIO</v>
      </c>
      <c r="C2507" s="2" t="str">
        <f t="shared" si="218"/>
        <v>FATUR-CONV</v>
      </c>
      <c r="D2507" s="2" t="str">
        <f t="shared" si="219"/>
        <v>FFCV</v>
      </c>
      <c r="E2507" s="2" t="str">
        <f>"CONSULTAS - BRASINDICE"</f>
        <v>CONSULTAS - BRASINDICE</v>
      </c>
      <c r="F2507" s="2" t="str">
        <f>"C_BRASINDICE"</f>
        <v>C_BRASINDICE</v>
      </c>
      <c r="G2507" s="2" t="str">
        <f>"Faturamento / Faturamento de Convênios e Particulares / Consultas / Brasíndice (C_BRASINDICE)"</f>
        <v>Faturamento / Faturamento de Convênios e Particulares / Consultas / Brasíndice (C_BRASINDICE)</v>
      </c>
    </row>
    <row r="2508" spans="1:7" x14ac:dyDescent="0.3">
      <c r="A2508" s="1" t="s">
        <v>4</v>
      </c>
      <c r="B2508" s="2" t="str">
        <f t="shared" si="217"/>
        <v>SISTEMA FATURAMENTO CONTAS DE CONVENIO</v>
      </c>
      <c r="C2508" s="2" t="str">
        <f t="shared" si="218"/>
        <v>FATUR-CONV</v>
      </c>
      <c r="D2508" s="2" t="str">
        <f t="shared" si="219"/>
        <v>FFCV</v>
      </c>
      <c r="E2508" s="2" t="str">
        <f>"CONSULTAS - BRASINDICE"</f>
        <v>CONSULTAS - BRASINDICE</v>
      </c>
      <c r="F2508" s="2" t="str">
        <f>"C_BRASINDICE"</f>
        <v>C_BRASINDICE</v>
      </c>
      <c r="G2508" s="2" t="str">
        <f>"Materiais e Logística / Farmácia / Consulta / Preços do Brasindice (C_BRASINDICE)"</f>
        <v>Materiais e Logística / Farmácia / Consulta / Preços do Brasindice (C_BRASINDICE)</v>
      </c>
    </row>
    <row r="2509" spans="1:7" x14ac:dyDescent="0.3">
      <c r="A2509" s="1" t="s">
        <v>4</v>
      </c>
      <c r="B2509" s="2" t="str">
        <f t="shared" si="217"/>
        <v>SISTEMA FATURAMENTO CONTAS DE CONVENIO</v>
      </c>
      <c r="C2509" s="2" t="str">
        <f t="shared" si="218"/>
        <v>FATUR-CONV</v>
      </c>
      <c r="D2509" s="2" t="str">
        <f t="shared" si="219"/>
        <v>FFCV</v>
      </c>
      <c r="E2509" s="2" t="str">
        <f>"REL. ATENDIMENTOS SEM CONTA DA DIAGNO"</f>
        <v>REL. ATENDIMENTOS SEM CONTA DA DIAGNO</v>
      </c>
      <c r="F2509" s="2" t="str">
        <f>"R_ATENDE_SEM_CONTA3_DIAGN"</f>
        <v>R_ATENDE_SEM_CONTA3_DIAGN</v>
      </c>
      <c r="G2509" s="2" t="str">
        <f>" ()"</f>
        <v xml:space="preserve"> ()</v>
      </c>
    </row>
    <row r="2510" spans="1:7" x14ac:dyDescent="0.3">
      <c r="A2510" s="1" t="s">
        <v>4</v>
      </c>
      <c r="B2510" s="2" t="str">
        <f t="shared" si="217"/>
        <v>SISTEMA FATURAMENTO CONTAS DE CONVENIO</v>
      </c>
      <c r="C2510" s="2" t="str">
        <f t="shared" si="218"/>
        <v>FATUR-CONV</v>
      </c>
      <c r="D2510" s="2" t="str">
        <f t="shared" si="219"/>
        <v>FFCV</v>
      </c>
      <c r="E2510" s="2" t="str">
        <f>"REL. ATENDIMENTOS SEM CONTA - DIAGNO"</f>
        <v>REL. ATENDIMENTOS SEM CONTA - DIAGNO</v>
      </c>
      <c r="F2510" s="2" t="str">
        <f>"R_ATENDE_SEM_CONTA_DIAGNO"</f>
        <v>R_ATENDE_SEM_CONTA_DIAGNO</v>
      </c>
      <c r="G2510" s="2" t="str">
        <f>" ()"</f>
        <v xml:space="preserve"> ()</v>
      </c>
    </row>
    <row r="2511" spans="1:7" x14ac:dyDescent="0.3">
      <c r="A2511" s="1" t="s">
        <v>4</v>
      </c>
      <c r="B2511" s="2" t="str">
        <f t="shared" si="217"/>
        <v>SISTEMA FATURAMENTO CONTAS DE CONVENIO</v>
      </c>
      <c r="C2511" s="2" t="str">
        <f t="shared" si="218"/>
        <v>FATUR-CONV</v>
      </c>
      <c r="D2511" s="2" t="str">
        <f t="shared" si="219"/>
        <v>FFCV</v>
      </c>
      <c r="E2511" s="2" t="str">
        <f>"MENU DO FFCV SOMENTE DO SETOR DIAGNO"</f>
        <v>MENU DO FFCV SOMENTE DO SETOR DIAGNO</v>
      </c>
      <c r="F2511" s="2" t="str">
        <f>"DIAGNO"</f>
        <v>DIAGNO</v>
      </c>
      <c r="G2511" s="2" t="str">
        <f>" ()"</f>
        <v xml:space="preserve"> ()</v>
      </c>
    </row>
    <row r="2512" spans="1:7" x14ac:dyDescent="0.3">
      <c r="A2512" s="1" t="s">
        <v>4</v>
      </c>
      <c r="B2512" s="2" t="str">
        <f t="shared" si="217"/>
        <v>SISTEMA FATURAMENTO CONTAS DE CONVENIO</v>
      </c>
      <c r="C2512" s="2" t="str">
        <f t="shared" si="218"/>
        <v>FATUR-CONV</v>
      </c>
      <c r="D2512" s="2" t="str">
        <f t="shared" si="219"/>
        <v>FFCV</v>
      </c>
      <c r="E2512" s="2" t="str">
        <f>"REL GRUPO DE PROCEDIMENTO DA DIAGNO"</f>
        <v>REL GRUPO DE PROCEDIMENTO DA DIAGNO</v>
      </c>
      <c r="F2512" s="2" t="str">
        <f>"R_FAT_GRU_PRO_DIAGNO"</f>
        <v>R_FAT_GRU_PRO_DIAGNO</v>
      </c>
      <c r="G2512" s="2" t="str">
        <f>" ()"</f>
        <v xml:space="preserve"> ()</v>
      </c>
    </row>
    <row r="2513" spans="1:7" x14ac:dyDescent="0.3">
      <c r="A2513" s="1" t="s">
        <v>4</v>
      </c>
      <c r="B2513" s="2" t="str">
        <f t="shared" si="217"/>
        <v>SISTEMA FATURAMENTO CONTAS DE CONVENIO</v>
      </c>
      <c r="C2513" s="2" t="str">
        <f t="shared" si="218"/>
        <v>FATUR-CONV</v>
      </c>
      <c r="D2513" s="2" t="str">
        <f t="shared" si="219"/>
        <v>FFCV</v>
      </c>
      <c r="E2513" s="2" t="str">
        <f>"CONF. - LCTO DE ITENS DA PRESCRIÇÃO"</f>
        <v>CONF. - LCTO DE ITENS DA PRESCRIÇÃO</v>
      </c>
      <c r="F2513" s="2" t="str">
        <f>"M_CONF_PRESC"</f>
        <v>M_CONF_PRESC</v>
      </c>
      <c r="G2513" s="2" t="str">
        <f>"Faturamento / Faturamento de Convênios e Particulares / Configurações / Lançamento de Itens da Prescrição  (M_CONF_PRESC)"</f>
        <v>Faturamento / Faturamento de Convênios e Particulares / Configurações / Lançamento de Itens da Prescrição  (M_CONF_PRESC)</v>
      </c>
    </row>
    <row r="2514" spans="1:7" x14ac:dyDescent="0.3">
      <c r="A2514" s="1" t="s">
        <v>4</v>
      </c>
      <c r="B2514" s="2" t="str">
        <f t="shared" si="217"/>
        <v>SISTEMA FATURAMENTO CONTAS DE CONVENIO</v>
      </c>
      <c r="C2514" s="2" t="str">
        <f t="shared" si="218"/>
        <v>FATUR-CONV</v>
      </c>
      <c r="D2514" s="2" t="str">
        <f t="shared" si="219"/>
        <v>FFCV</v>
      </c>
      <c r="E2514" s="2" t="str">
        <f>"REL - FATURA - PRES.  DE REMESSA - ANAL."</f>
        <v>REL - FATURA - PRES.  DE REMESSA - ANAL.</v>
      </c>
      <c r="F2514" s="2" t="str">
        <f>"R_APRE_LOTE_ANALIT"</f>
        <v>R_APRE_LOTE_ANALIT</v>
      </c>
      <c r="G2514" s="2" t="str">
        <f>" ()"</f>
        <v xml:space="preserve"> ()</v>
      </c>
    </row>
    <row r="2515" spans="1:7" x14ac:dyDescent="0.3">
      <c r="A2515" s="1" t="s">
        <v>4</v>
      </c>
      <c r="B2515" s="2" t="str">
        <f t="shared" si="217"/>
        <v>SISTEMA FATURAMENTO CONTAS DE CONVENIO</v>
      </c>
      <c r="C2515" s="2" t="str">
        <f t="shared" si="218"/>
        <v>FATUR-CONV</v>
      </c>
      <c r="D2515" s="2" t="str">
        <f t="shared" si="219"/>
        <v>FFCV</v>
      </c>
      <c r="E2515" s="2" t="str">
        <f>"REL. DE CONSUMO NÃO FATURADO"</f>
        <v>REL. DE CONSUMO NÃO FATURADO</v>
      </c>
      <c r="F2515" s="2" t="str">
        <f>"R_CONSUMO_NAO_FATURADO"</f>
        <v>R_CONSUMO_NAO_FATURADO</v>
      </c>
      <c r="G2515" s="2" t="str">
        <f>" ()"</f>
        <v xml:space="preserve"> ()</v>
      </c>
    </row>
    <row r="2516" spans="1:7" x14ac:dyDescent="0.3">
      <c r="A2516" s="1" t="s">
        <v>4</v>
      </c>
      <c r="B2516" s="2" t="str">
        <f t="shared" si="217"/>
        <v>SISTEMA FATURAMENTO CONTAS DE CONVENIO</v>
      </c>
      <c r="C2516" s="2" t="str">
        <f t="shared" si="218"/>
        <v>FATUR-CONV</v>
      </c>
      <c r="D2516" s="2" t="str">
        <f t="shared" si="219"/>
        <v>FFCV</v>
      </c>
      <c r="E2516" s="2" t="str">
        <f>"REL DE GRUPOS DE FATURAMENTO"</f>
        <v>REL DE GRUPOS DE FATURAMENTO</v>
      </c>
      <c r="F2516" s="2" t="str">
        <f>"R_GRU_FAT"</f>
        <v>R_GRU_FAT</v>
      </c>
      <c r="G2516" s="2" t="str">
        <f>"Faturamento / Faturamento de Convênios e Particulares / Relatórios / Tabelas / Formas de Apresentação / Grupos de Faturamento (R_GRU_FAT)"</f>
        <v>Faturamento / Faturamento de Convênios e Particulares / Relatórios / Tabelas / Formas de Apresentação / Grupos de Faturamento (R_GRU_FAT)</v>
      </c>
    </row>
    <row r="2517" spans="1:7" x14ac:dyDescent="0.3">
      <c r="A2517" s="1" t="s">
        <v>4</v>
      </c>
      <c r="B2517" s="2" t="str">
        <f t="shared" si="217"/>
        <v>SISTEMA FATURAMENTO CONTAS DE CONVENIO</v>
      </c>
      <c r="C2517" s="2" t="str">
        <f t="shared" si="218"/>
        <v>FATUR-CONV</v>
      </c>
      <c r="D2517" s="2" t="str">
        <f t="shared" si="219"/>
        <v>FFCV</v>
      </c>
      <c r="E2517" s="2" t="str">
        <f>"REL DE GRUPOS DE FATURAMENTO"</f>
        <v>REL DE GRUPOS DE FATURAMENTO</v>
      </c>
      <c r="F2517" s="2" t="str">
        <f>"R_GRU_FAT"</f>
        <v>R_GRU_FAT</v>
      </c>
      <c r="G2517" s="2" t="str">
        <f>"Faturamento / Auditoria e Controle de Recursos de Glosas / Relatórios / Tabelas / Formas de Apresentação / Grupos de Faturamento (R_GRU_FAT)"</f>
        <v>Faturamento / Auditoria e Controle de Recursos de Glosas / Relatórios / Tabelas / Formas de Apresentação / Grupos de Faturamento (R_GRU_FAT)</v>
      </c>
    </row>
    <row r="2518" spans="1:7" x14ac:dyDescent="0.3">
      <c r="A2518" s="1" t="s">
        <v>4</v>
      </c>
      <c r="B2518" s="2" t="str">
        <f t="shared" si="217"/>
        <v>SISTEMA FATURAMENTO CONTAS DE CONVENIO</v>
      </c>
      <c r="C2518" s="2" t="str">
        <f t="shared" si="218"/>
        <v>FATUR-CONV</v>
      </c>
      <c r="D2518" s="2" t="str">
        <f t="shared" si="219"/>
        <v>FFCV</v>
      </c>
      <c r="E2518" s="2" t="str">
        <f>"REL DE FORMAS DE APRESENTACAO"</f>
        <v>REL DE FORMAS DE APRESENTACAO</v>
      </c>
      <c r="F2518" s="2" t="str">
        <f>"R_FOR_APRE"</f>
        <v>R_FOR_APRE</v>
      </c>
      <c r="G2518" s="2" t="str">
        <f>"Faturamento / Faturamento de Convênios e Particulares / Relatórios / Tabelas / Formas de Apresentação / Formas de Apresentação (R_FOR_APRE)"</f>
        <v>Faturamento / Faturamento de Convênios e Particulares / Relatórios / Tabelas / Formas de Apresentação / Formas de Apresentação (R_FOR_APRE)</v>
      </c>
    </row>
    <row r="2519" spans="1:7" x14ac:dyDescent="0.3">
      <c r="A2519" s="1" t="s">
        <v>4</v>
      </c>
      <c r="B2519" s="2" t="str">
        <f t="shared" si="217"/>
        <v>SISTEMA FATURAMENTO CONTAS DE CONVENIO</v>
      </c>
      <c r="C2519" s="2" t="str">
        <f t="shared" si="218"/>
        <v>FATUR-CONV</v>
      </c>
      <c r="D2519" s="2" t="str">
        <f t="shared" si="219"/>
        <v>FFCV</v>
      </c>
      <c r="E2519" s="2" t="str">
        <f>"REL DE FORMAS DE APRESENTACAO"</f>
        <v>REL DE FORMAS DE APRESENTACAO</v>
      </c>
      <c r="F2519" s="2" t="str">
        <f>"R_FOR_APRE"</f>
        <v>R_FOR_APRE</v>
      </c>
      <c r="G2519" s="2" t="str">
        <f>"Faturamento / Auditoria e Controle de Recursos de Glosas / Relatórios / Tabelas / Formas de Apresentação / Formas de Apresentação (R_FOR_APRE)"</f>
        <v>Faturamento / Auditoria e Controle de Recursos de Glosas / Relatórios / Tabelas / Formas de Apresentação / Formas de Apresentação (R_FOR_APRE)</v>
      </c>
    </row>
    <row r="2520" spans="1:7" x14ac:dyDescent="0.3">
      <c r="A2520" s="1" t="s">
        <v>4</v>
      </c>
      <c r="B2520" s="2" t="str">
        <f t="shared" si="217"/>
        <v>SISTEMA FATURAMENTO CONTAS DE CONVENIO</v>
      </c>
      <c r="C2520" s="2" t="str">
        <f t="shared" si="218"/>
        <v>FATUR-CONV</v>
      </c>
      <c r="D2520" s="2" t="str">
        <f t="shared" si="219"/>
        <v>FFCV</v>
      </c>
      <c r="E2520" s="2" t="str">
        <f>"CONSULTAS -  FATURAS E REMESSAS"</f>
        <v>CONSULTAS -  FATURAS E REMESSAS</v>
      </c>
      <c r="F2520" s="2" t="str">
        <f>"C_LOTE_FAT"</f>
        <v>C_LOTE_FAT</v>
      </c>
      <c r="G2520" s="2" t="str">
        <f>"Faturamento / Faturamento de Convênios e Particulares / Consultas / Faturas e Remessas (C_LOTE_FAT)"</f>
        <v>Faturamento / Faturamento de Convênios e Particulares / Consultas / Faturas e Remessas (C_LOTE_FAT)</v>
      </c>
    </row>
    <row r="2521" spans="1:7" x14ac:dyDescent="0.3">
      <c r="A2521" s="1" t="s">
        <v>4</v>
      </c>
      <c r="B2521" s="2" t="str">
        <f t="shared" si="217"/>
        <v>SISTEMA FATURAMENTO CONTAS DE CONVENIO</v>
      </c>
      <c r="C2521" s="2" t="str">
        <f t="shared" si="218"/>
        <v>FATUR-CONV</v>
      </c>
      <c r="D2521" s="2" t="str">
        <f t="shared" si="219"/>
        <v>FFCV</v>
      </c>
      <c r="E2521" s="2" t="str">
        <f>"REL DE FAT GLOBAL POR DT DE LANCAMENTO"</f>
        <v>REL DE FAT GLOBAL POR DT DE LANCAMENTO</v>
      </c>
      <c r="F2521" s="2" t="str">
        <f>"R_FAT_GLOB_DT_LANC"</f>
        <v>R_FAT_GLOB_DT_LANC</v>
      </c>
      <c r="G2521" s="2" t="str">
        <f>" ()"</f>
        <v xml:space="preserve"> ()</v>
      </c>
    </row>
    <row r="2522" spans="1:7" x14ac:dyDescent="0.3">
      <c r="A2522" s="1" t="s">
        <v>4</v>
      </c>
      <c r="B2522" s="2" t="str">
        <f t="shared" si="217"/>
        <v>SISTEMA FATURAMENTO CONTAS DE CONVENIO</v>
      </c>
      <c r="C2522" s="2" t="str">
        <f t="shared" si="218"/>
        <v>FATUR-CONV</v>
      </c>
      <c r="D2522" s="2" t="str">
        <f t="shared" si="219"/>
        <v>FFCV</v>
      </c>
      <c r="E2522" s="2" t="str">
        <f>"LANÇAMENTOS - GERA ARQUIVO MAGNÉTICO"</f>
        <v>LANÇAMENTOS - GERA ARQUIVO MAGNÉTICO</v>
      </c>
      <c r="F2522" s="2" t="str">
        <f>"O_GERAARQMAG"</f>
        <v>O_GERAARQMAG</v>
      </c>
      <c r="G2522" s="2" t="str">
        <f>" ()"</f>
        <v xml:space="preserve"> ()</v>
      </c>
    </row>
    <row r="2523" spans="1:7" x14ac:dyDescent="0.3">
      <c r="A2523" s="1" t="s">
        <v>4</v>
      </c>
      <c r="B2523" s="2" t="str">
        <f t="shared" si="217"/>
        <v>SISTEMA FATURAMENTO CONTAS DE CONVENIO</v>
      </c>
      <c r="C2523" s="2" t="str">
        <f t="shared" si="218"/>
        <v>FATUR-CONV</v>
      </c>
      <c r="D2523" s="2" t="str">
        <f t="shared" si="219"/>
        <v>FFCV</v>
      </c>
      <c r="E2523" s="2" t="str">
        <f>"RELAT. DE CONSUMO"</f>
        <v>RELAT. DE CONSUMO</v>
      </c>
      <c r="F2523" s="2" t="str">
        <f>"R_CONS_N_FAT"</f>
        <v>R_CONS_N_FAT</v>
      </c>
      <c r="G2523" s="2" t="str">
        <f>" ()"</f>
        <v xml:space="preserve"> ()</v>
      </c>
    </row>
    <row r="2524" spans="1:7" x14ac:dyDescent="0.3">
      <c r="A2524" s="1" t="s">
        <v>4</v>
      </c>
      <c r="B2524" s="2" t="str">
        <f t="shared" si="217"/>
        <v>SISTEMA FATURAMENTO CONTAS DE CONVENIO</v>
      </c>
      <c r="C2524" s="2" t="str">
        <f t="shared" si="218"/>
        <v>FATUR-CONV</v>
      </c>
      <c r="D2524" s="2" t="str">
        <f t="shared" si="219"/>
        <v>FFCV</v>
      </c>
      <c r="E2524" s="2" t="str">
        <f>"RELAT. CONSUMO NAO FATURADO"</f>
        <v>RELAT. CONSUMO NAO FATURADO</v>
      </c>
      <c r="F2524" s="2" t="str">
        <f>"R_CON_N_FAT"</f>
        <v>R_CON_N_FAT</v>
      </c>
      <c r="G2524" s="2" t="str">
        <f>" ()"</f>
        <v xml:space="preserve"> ()</v>
      </c>
    </row>
    <row r="2525" spans="1:7" x14ac:dyDescent="0.3">
      <c r="A2525" s="1" t="s">
        <v>4</v>
      </c>
      <c r="B2525" s="2" t="str">
        <f t="shared" si="217"/>
        <v>SISTEMA FATURAMENTO CONTAS DE CONVENIO</v>
      </c>
      <c r="C2525" s="2" t="str">
        <f t="shared" si="218"/>
        <v>FATUR-CONV</v>
      </c>
      <c r="D2525" s="2" t="str">
        <f t="shared" si="219"/>
        <v>FFCV</v>
      </c>
      <c r="E2525" s="2" t="str">
        <f>"IMPORTAÇÃO - IMP. DO BRASINDICE - VALORE"</f>
        <v>IMPORTAÇÃO - IMP. DO BRASINDICE - VALORE</v>
      </c>
      <c r="F2525" s="2" t="str">
        <f>"O_IMPVALBRASINDI"</f>
        <v>O_IMPVALBRASINDI</v>
      </c>
      <c r="G2525" s="2" t="str">
        <f>"Faturamento / Faturamento de Convênios e Particulares / Importações / Importação BRASINDICE / Valores (O_IMPVALBRASINDI)"</f>
        <v>Faturamento / Faturamento de Convênios e Particulares / Importações / Importação BRASINDICE / Valores (O_IMPVALBRASINDI)</v>
      </c>
    </row>
    <row r="2526" spans="1:7" x14ac:dyDescent="0.3">
      <c r="A2526" s="1" t="s">
        <v>4</v>
      </c>
      <c r="B2526" s="2" t="str">
        <f t="shared" si="217"/>
        <v>SISTEMA FATURAMENTO CONTAS DE CONVENIO</v>
      </c>
      <c r="C2526" s="2" t="str">
        <f t="shared" si="218"/>
        <v>FATUR-CONV</v>
      </c>
      <c r="D2526" s="2" t="str">
        <f t="shared" si="219"/>
        <v>FFCV</v>
      </c>
      <c r="E2526" s="2" t="str">
        <f>"REL DE CONTAS APRESENTADAS POR CONVENIO"</f>
        <v>REL DE CONTAS APRESENTADAS POR CONVENIO</v>
      </c>
      <c r="F2526" s="2" t="str">
        <f>"R_CENSO_CONV"</f>
        <v>R_CENSO_CONV</v>
      </c>
      <c r="G2526" s="2" t="str">
        <f>"Faturamento / Auditoria e Controle de Recursos de Glosas / Relatórios / Administrativos / Contas Apresentadas por Convênio (R_CENSO_CONV)"</f>
        <v>Faturamento / Auditoria e Controle de Recursos de Glosas / Relatórios / Administrativos / Contas Apresentadas por Convênio (R_CENSO_CONV)</v>
      </c>
    </row>
    <row r="2527" spans="1:7" x14ac:dyDescent="0.3">
      <c r="A2527" s="1" t="s">
        <v>4</v>
      </c>
      <c r="B2527" s="2" t="str">
        <f t="shared" si="217"/>
        <v>SISTEMA FATURAMENTO CONTAS DE CONVENIO</v>
      </c>
      <c r="C2527" s="2" t="str">
        <f t="shared" si="218"/>
        <v>FATUR-CONV</v>
      </c>
      <c r="D2527" s="2" t="str">
        <f t="shared" si="219"/>
        <v>FFCV</v>
      </c>
      <c r="E2527" s="2" t="str">
        <f>"TABELAS - VALORES DOS PROC. - REAJ. PERC"</f>
        <v>TABELAS - VALORES DOS PROC. - REAJ. PERC</v>
      </c>
      <c r="F2527" s="2" t="str">
        <f>"O_REAJUSTE_PROC_PERCENTUA"</f>
        <v>O_REAJUSTE_PROC_PERCENTUA</v>
      </c>
      <c r="G2527" s="2" t="str">
        <f>" ()"</f>
        <v xml:space="preserve"> ()</v>
      </c>
    </row>
    <row r="2528" spans="1:7" x14ac:dyDescent="0.3">
      <c r="A2528" s="1" t="s">
        <v>4</v>
      </c>
      <c r="B2528" s="2" t="str">
        <f t="shared" si="217"/>
        <v>SISTEMA FATURAMENTO CONTAS DE CONVENIO</v>
      </c>
      <c r="C2528" s="2" t="str">
        <f t="shared" si="218"/>
        <v>FATUR-CONV</v>
      </c>
      <c r="D2528" s="2" t="str">
        <f t="shared" si="219"/>
        <v>FFCV</v>
      </c>
      <c r="E2528" s="2" t="str">
        <f>"REL DE PROD NÃO RELACIONADOS COM O BRASI"</f>
        <v>REL DE PROD NÃO RELACIONADOS COM O BRASI</v>
      </c>
      <c r="F2528" s="2" t="str">
        <f>"R_PROD_N_RELAC_BRASIND"</f>
        <v>R_PROD_N_RELAC_BRASIND</v>
      </c>
      <c r="G2528" s="2" t="str">
        <f>" ()"</f>
        <v xml:space="preserve"> ()</v>
      </c>
    </row>
    <row r="2529" spans="1:7" x14ac:dyDescent="0.3">
      <c r="A2529" s="1" t="s">
        <v>4</v>
      </c>
      <c r="B2529" s="2" t="str">
        <f t="shared" si="217"/>
        <v>SISTEMA FATURAMENTO CONTAS DE CONVENIO</v>
      </c>
      <c r="C2529" s="2" t="str">
        <f t="shared" si="218"/>
        <v>FATUR-CONV</v>
      </c>
      <c r="D2529" s="2" t="str">
        <f t="shared" si="219"/>
        <v>FFCV</v>
      </c>
      <c r="E2529" s="2" t="str">
        <f>"GRUPO DE FATURAMENTOS"</f>
        <v>GRUPO DE FATURAMENTOS</v>
      </c>
      <c r="F2529" s="2" t="str">
        <f>"M_GRU_FAT"</f>
        <v>M_GRU_FAT</v>
      </c>
      <c r="G2529" s="2" t="str">
        <f>"Faturamento / Faturamento de Convênios e Particulares / Tabelas / Formas de Apresentação / Grupos de Faturamento (M_GRU_FAT)"</f>
        <v>Faturamento / Faturamento de Convênios e Particulares / Tabelas / Formas de Apresentação / Grupos de Faturamento (M_GRU_FAT)</v>
      </c>
    </row>
    <row r="2530" spans="1:7" x14ac:dyDescent="0.3">
      <c r="A2530" s="1" t="s">
        <v>4</v>
      </c>
      <c r="B2530" s="2" t="str">
        <f t="shared" si="217"/>
        <v>SISTEMA FATURAMENTO CONTAS DE CONVENIO</v>
      </c>
      <c r="C2530" s="2" t="str">
        <f t="shared" si="218"/>
        <v>FATUR-CONV</v>
      </c>
      <c r="D2530" s="2" t="str">
        <f t="shared" si="219"/>
        <v>FFCV</v>
      </c>
      <c r="E2530" s="2" t="str">
        <f>"PRECOS DO BRASINDICE"</f>
        <v>PRECOS DO BRASINDICE</v>
      </c>
      <c r="F2530" s="2" t="str">
        <f>"M_BRASINDI"</f>
        <v>M_BRASINDI</v>
      </c>
      <c r="G2530" s="2" t="str">
        <f>"Faturamento / Faturamento de Convênios e Particulares / Configurações / Preços do Brasíndice (M_BRASINDI)"</f>
        <v>Faturamento / Faturamento de Convênios e Particulares / Configurações / Preços do Brasíndice (M_BRASINDI)</v>
      </c>
    </row>
    <row r="2531" spans="1:7" x14ac:dyDescent="0.3">
      <c r="A2531" s="1" t="s">
        <v>4</v>
      </c>
      <c r="B2531" s="2" t="str">
        <f t="shared" si="217"/>
        <v>SISTEMA FATURAMENTO CONTAS DE CONVENIO</v>
      </c>
      <c r="C2531" s="2" t="str">
        <f t="shared" si="218"/>
        <v>FATUR-CONV</v>
      </c>
      <c r="D2531" s="2" t="str">
        <f t="shared" si="219"/>
        <v>FFCV</v>
      </c>
      <c r="E2531" s="2" t="str">
        <f>"REL. DE FALHAS DE IMPORTAÇÃO"</f>
        <v>REL. DE FALHAS DE IMPORTAÇÃO</v>
      </c>
      <c r="F2531" s="2" t="str">
        <f>"R_FALHA_IMPORTACAO"</f>
        <v>R_FALHA_IMPORTACAO</v>
      </c>
      <c r="G2531" s="2" t="str">
        <f>"Faturamento / Faturamento de Convênios e Particulares / Relatórios / Operacionais / Consumo não Lançado (R_FALHA_IMPORTACAO)"</f>
        <v>Faturamento / Faturamento de Convênios e Particulares / Relatórios / Operacionais / Consumo não Lançado (R_FALHA_IMPORTACAO)</v>
      </c>
    </row>
    <row r="2532" spans="1:7" x14ac:dyDescent="0.3">
      <c r="A2532" s="1" t="s">
        <v>4</v>
      </c>
      <c r="B2532" s="2" t="str">
        <f t="shared" si="217"/>
        <v>SISTEMA FATURAMENTO CONTAS DE CONVENIO</v>
      </c>
      <c r="C2532" s="2" t="str">
        <f t="shared" si="218"/>
        <v>FATUR-CONV</v>
      </c>
      <c r="D2532" s="2" t="str">
        <f t="shared" si="219"/>
        <v>FFCV</v>
      </c>
      <c r="E2532" s="2" t="str">
        <f>"REL. DE FALHAS DE IMPORTAÇÃO"</f>
        <v>REL. DE FALHAS DE IMPORTAÇÃO</v>
      </c>
      <c r="F2532" s="2" t="str">
        <f>"R_FALHA_IMPORTACAO"</f>
        <v>R_FALHA_IMPORTACAO</v>
      </c>
      <c r="G2532" s="2" t="str">
        <f>"Faturamento / Auditoria e Controle de Recursos de Glosas / Relatórios / Operacionais / Consumo não Lançado (R_FALHA_IMPORTACAO)"</f>
        <v>Faturamento / Auditoria e Controle de Recursos de Glosas / Relatórios / Operacionais / Consumo não Lançado (R_FALHA_IMPORTACAO)</v>
      </c>
    </row>
    <row r="2533" spans="1:7" x14ac:dyDescent="0.3">
      <c r="A2533" s="1" t="s">
        <v>4</v>
      </c>
      <c r="B2533" s="2" t="str">
        <f t="shared" si="217"/>
        <v>SISTEMA FATURAMENTO CONTAS DE CONVENIO</v>
      </c>
      <c r="C2533" s="2" t="str">
        <f t="shared" si="218"/>
        <v>FATUR-CONV</v>
      </c>
      <c r="D2533" s="2" t="str">
        <f t="shared" si="219"/>
        <v>FFCV</v>
      </c>
      <c r="E2533" s="2" t="str">
        <f>"NOTA FISCAL DO FATURAMENTO DE CONVENIO"</f>
        <v>NOTA FISCAL DO FATURAMENTO DE CONVENIO</v>
      </c>
      <c r="F2533" s="2" t="str">
        <f>"M_NOTA_FISCAL"</f>
        <v>M_NOTA_FISCAL</v>
      </c>
      <c r="G2533" s="2" t="str">
        <f>" ()"</f>
        <v xml:space="preserve"> ()</v>
      </c>
    </row>
    <row r="2534" spans="1:7" x14ac:dyDescent="0.3">
      <c r="A2534" s="1" t="s">
        <v>4</v>
      </c>
      <c r="B2534" s="2" t="str">
        <f t="shared" si="217"/>
        <v>SISTEMA FATURAMENTO CONTAS DE CONVENIO</v>
      </c>
      <c r="C2534" s="2" t="str">
        <f t="shared" si="218"/>
        <v>FATUR-CONV</v>
      </c>
      <c r="D2534" s="2" t="str">
        <f t="shared" si="219"/>
        <v>FFCV</v>
      </c>
      <c r="E2534" s="2" t="str">
        <f>"VALORES DOS PROCEDIMENTOS"</f>
        <v>VALORES DOS PROCEDIMENTOS</v>
      </c>
      <c r="F2534" s="2" t="str">
        <f>"M_VAL_PROCED"</f>
        <v>M_VAL_PROCED</v>
      </c>
      <c r="G2534" s="2" t="str">
        <f>"Faturamento / Faturamento de Convênios e Particulares / Tabelas / Valores dos Procedimentos / Procedimentos (M_VAL_PROCED)"</f>
        <v>Faturamento / Faturamento de Convênios e Particulares / Tabelas / Valores dos Procedimentos / Procedimentos (M_VAL_PROCED)</v>
      </c>
    </row>
    <row r="2535" spans="1:7" x14ac:dyDescent="0.3">
      <c r="A2535" s="1" t="s">
        <v>4</v>
      </c>
      <c r="B2535" s="2" t="str">
        <f t="shared" si="217"/>
        <v>SISTEMA FATURAMENTO CONTAS DE CONVENIO</v>
      </c>
      <c r="C2535" s="2" t="str">
        <f t="shared" si="218"/>
        <v>FATUR-CONV</v>
      </c>
      <c r="D2535" s="2" t="str">
        <f t="shared" si="219"/>
        <v>FFCV</v>
      </c>
      <c r="E2535" s="2" t="str">
        <f>"VALORES DOS PORTES"</f>
        <v>VALORES DOS PORTES</v>
      </c>
      <c r="F2535" s="2" t="str">
        <f>"M_VAL_PORTE"</f>
        <v>M_VAL_PORTE</v>
      </c>
      <c r="G2535" s="2" t="str">
        <f>"Faturamento / Faturamento de Convênios e Particulares / Tabelas / Valores dos Procedimentos / Portes Anestésicos (M_VAL_PORTE)"</f>
        <v>Faturamento / Faturamento de Convênios e Particulares / Tabelas / Valores dos Procedimentos / Portes Anestésicos (M_VAL_PORTE)</v>
      </c>
    </row>
    <row r="2536" spans="1:7" x14ac:dyDescent="0.3">
      <c r="A2536" s="1" t="s">
        <v>4</v>
      </c>
      <c r="B2536" s="2" t="str">
        <f t="shared" si="217"/>
        <v>SISTEMA FATURAMENTO CONTAS DE CONVENIO</v>
      </c>
      <c r="C2536" s="2" t="str">
        <f t="shared" si="218"/>
        <v>FATUR-CONV</v>
      </c>
      <c r="D2536" s="2" t="str">
        <f t="shared" si="219"/>
        <v>FFCV</v>
      </c>
      <c r="E2536" s="2" t="str">
        <f>"RELATORIO TABELA COMPARATIVA"</f>
        <v>RELATORIO TABELA COMPARATIVA</v>
      </c>
      <c r="F2536" s="2" t="str">
        <f>"R_TAB_COMPARA"</f>
        <v>R_TAB_COMPARA</v>
      </c>
      <c r="G2536" s="2" t="str">
        <f>"Faturamento / Faturamento de Convênios e Particulares / Relatórios / Tabelas / Tabela de Valores / Tabela de Faturamento Comparativa (R_TAB_COMPARA)"</f>
        <v>Faturamento / Faturamento de Convênios e Particulares / Relatórios / Tabelas / Tabela de Valores / Tabela de Faturamento Comparativa (R_TAB_COMPARA)</v>
      </c>
    </row>
    <row r="2537" spans="1:7" x14ac:dyDescent="0.3">
      <c r="A2537" s="1" t="s">
        <v>4</v>
      </c>
      <c r="B2537" s="2" t="str">
        <f t="shared" si="217"/>
        <v>SISTEMA FATURAMENTO CONTAS DE CONVENIO</v>
      </c>
      <c r="C2537" s="2" t="str">
        <f t="shared" si="218"/>
        <v>FATUR-CONV</v>
      </c>
      <c r="D2537" s="2" t="str">
        <f t="shared" si="219"/>
        <v>FFCV</v>
      </c>
      <c r="E2537" s="2" t="str">
        <f>"RELATORIO TABELA COMPARATIVA"</f>
        <v>RELATORIO TABELA COMPARATIVA</v>
      </c>
      <c r="F2537" s="2" t="str">
        <f>"R_TAB_COMPARA"</f>
        <v>R_TAB_COMPARA</v>
      </c>
      <c r="G2537" s="2" t="str">
        <f>"Faturamento / Auditoria e Controle de Recursos de Glosas / Relatórios / Tabelas / Tabela de Valores / Tabela de Faturamento Comparativa (R_TAB_COMPARA)"</f>
        <v>Faturamento / Auditoria e Controle de Recursos de Glosas / Relatórios / Tabelas / Tabela de Valores / Tabela de Faturamento Comparativa (R_TAB_COMPARA)</v>
      </c>
    </row>
    <row r="2538" spans="1:7" x14ac:dyDescent="0.3">
      <c r="A2538" s="1" t="s">
        <v>4</v>
      </c>
      <c r="B2538" s="2" t="str">
        <f t="shared" si="217"/>
        <v>SISTEMA FATURAMENTO CONTAS DE CONVENIO</v>
      </c>
      <c r="C2538" s="2" t="str">
        <f t="shared" si="218"/>
        <v>FATUR-CONV</v>
      </c>
      <c r="D2538" s="2" t="str">
        <f t="shared" si="219"/>
        <v>FFCV</v>
      </c>
      <c r="E2538" s="2" t="str">
        <f>"REGRAS"</f>
        <v>REGRAS</v>
      </c>
      <c r="F2538" s="2" t="str">
        <f>"M_REGRA"</f>
        <v>M_REGRA</v>
      </c>
      <c r="G2538" s="2" t="str">
        <f>"Faturamento / Faturamento de Convênios e Particulares / Tabelas / Cobranças e Tabelas / Regras (M_REGRA)"</f>
        <v>Faturamento / Faturamento de Convênios e Particulares / Tabelas / Cobranças e Tabelas / Regras (M_REGRA)</v>
      </c>
    </row>
    <row r="2539" spans="1:7" x14ac:dyDescent="0.3">
      <c r="A2539" s="1" t="s">
        <v>4</v>
      </c>
      <c r="B2539" s="2" t="str">
        <f t="shared" si="217"/>
        <v>SISTEMA FATURAMENTO CONTAS DE CONVENIO</v>
      </c>
      <c r="C2539" s="2" t="str">
        <f t="shared" si="218"/>
        <v>FATUR-CONV</v>
      </c>
      <c r="D2539" s="2" t="str">
        <f t="shared" si="219"/>
        <v>FFCV</v>
      </c>
      <c r="E2539" s="2" t="str">
        <f>"REGRAS"</f>
        <v>REGRAS</v>
      </c>
      <c r="F2539" s="2" t="str">
        <f>"M_REGRA"</f>
        <v>M_REGRA</v>
      </c>
      <c r="G2539" s="2" t="str">
        <f>"MVSaude / Contas Médicas / Prestadores / Cadastro das Regras de Pagamento (M_REGRA)"</f>
        <v>MVSaude / Contas Médicas / Prestadores / Cadastro das Regras de Pagamento (M_REGRA)</v>
      </c>
    </row>
    <row r="2540" spans="1:7" x14ac:dyDescent="0.3">
      <c r="A2540" s="1" t="s">
        <v>4</v>
      </c>
      <c r="B2540" s="2" t="str">
        <f t="shared" si="217"/>
        <v>SISTEMA FATURAMENTO CONTAS DE CONVENIO</v>
      </c>
      <c r="C2540" s="2" t="str">
        <f t="shared" si="218"/>
        <v>FATUR-CONV</v>
      </c>
      <c r="D2540" s="2" t="str">
        <f t="shared" si="219"/>
        <v>FFCV</v>
      </c>
      <c r="E2540" s="2" t="str">
        <f>"PORTES ANESTESICOS"</f>
        <v>PORTES ANESTESICOS</v>
      </c>
      <c r="F2540" s="2" t="str">
        <f>"M_PORTES"</f>
        <v>M_PORTES</v>
      </c>
      <c r="G2540" s="2" t="str">
        <f>"Faturamento / Faturamento de Convênios e Particulares / Tabelas / Gerais / Portes Anestésicos (M_PORTES)"</f>
        <v>Faturamento / Faturamento de Convênios e Particulares / Tabelas / Gerais / Portes Anestésicos (M_PORTES)</v>
      </c>
    </row>
    <row r="2541" spans="1:7" x14ac:dyDescent="0.3">
      <c r="A2541" s="1" t="s">
        <v>4</v>
      </c>
      <c r="B2541" s="2" t="str">
        <f t="shared" si="217"/>
        <v>SISTEMA FATURAMENTO CONTAS DE CONVENIO</v>
      </c>
      <c r="C2541" s="2" t="str">
        <f t="shared" si="218"/>
        <v>FATUR-CONV</v>
      </c>
      <c r="D2541" s="2" t="str">
        <f t="shared" si="219"/>
        <v>FFCV</v>
      </c>
      <c r="E2541" s="2" t="str">
        <f>"LANÇAMENTOS - CONTA HOSPITALAR"</f>
        <v>LANÇAMENTOS - CONTA HOSPITALAR</v>
      </c>
      <c r="F2541" s="2" t="str">
        <f>"M_LAN_HOS"</f>
        <v>M_LAN_HOS</v>
      </c>
      <c r="G2541" s="2" t="str">
        <f>"Faturamento / Faturamento de Convênios e Particulares / Lançamentos / Conta Hospitalar / Conta do Atendimento (M_LAN_HOS)"</f>
        <v>Faturamento / Faturamento de Convênios e Particulares / Lançamentos / Conta Hospitalar / Conta do Atendimento (M_LAN_HOS)</v>
      </c>
    </row>
    <row r="2542" spans="1:7" x14ac:dyDescent="0.3">
      <c r="A2542" s="1" t="s">
        <v>4</v>
      </c>
      <c r="B2542" s="2" t="str">
        <f t="shared" si="217"/>
        <v>SISTEMA FATURAMENTO CONTAS DE CONVENIO</v>
      </c>
      <c r="C2542" s="2" t="str">
        <f t="shared" si="218"/>
        <v>FATUR-CONV</v>
      </c>
      <c r="D2542" s="2" t="str">
        <f t="shared" si="219"/>
        <v>FFCV</v>
      </c>
      <c r="E2542" s="2" t="str">
        <f>"CREDENCIAMENTO DE PRESTADOR"</f>
        <v>CREDENCIAMENTO DE PRESTADOR</v>
      </c>
      <c r="F2542" s="2" t="str">
        <f>"M_PRESTAD"</f>
        <v>M_PRESTAD</v>
      </c>
      <c r="G2542" s="2" t="str">
        <f>" ()"</f>
        <v xml:space="preserve"> ()</v>
      </c>
    </row>
    <row r="2543" spans="1:7" x14ac:dyDescent="0.3">
      <c r="A2543" s="1" t="s">
        <v>4</v>
      </c>
      <c r="B2543" s="2" t="str">
        <f t="shared" si="217"/>
        <v>SISTEMA FATURAMENTO CONTAS DE CONVENIO</v>
      </c>
      <c r="C2543" s="2" t="str">
        <f t="shared" si="218"/>
        <v>FATUR-CONV</v>
      </c>
      <c r="D2543" s="2" t="str">
        <f t="shared" si="219"/>
        <v>FFCV</v>
      </c>
      <c r="E2543" s="2" t="str">
        <f>"RELATORIO DE REGRAS DE REPASSE"</f>
        <v>RELATORIO DE REGRAS DE REPASSE</v>
      </c>
      <c r="F2543" s="2" t="str">
        <f>"R_REGRAS"</f>
        <v>R_REGRAS</v>
      </c>
      <c r="G2543" s="2" t="str">
        <f>"Faturamento / Faturamento de Convênios e Particulares / Relatórios / Tabelas / Cobranças e Tabelas / Regras / Cobrança (R_REGRAS)"</f>
        <v>Faturamento / Faturamento de Convênios e Particulares / Relatórios / Tabelas / Cobranças e Tabelas / Regras / Cobrança (R_REGRAS)</v>
      </c>
    </row>
    <row r="2544" spans="1:7" x14ac:dyDescent="0.3">
      <c r="A2544" s="1" t="s">
        <v>4</v>
      </c>
      <c r="B2544" s="2" t="str">
        <f t="shared" si="217"/>
        <v>SISTEMA FATURAMENTO CONTAS DE CONVENIO</v>
      </c>
      <c r="C2544" s="2" t="str">
        <f t="shared" si="218"/>
        <v>FATUR-CONV</v>
      </c>
      <c r="D2544" s="2" t="str">
        <f t="shared" si="219"/>
        <v>FFCV</v>
      </c>
      <c r="E2544" s="2" t="str">
        <f>"RELATORIO DE REGRAS DE REPASSE"</f>
        <v>RELATORIO DE REGRAS DE REPASSE</v>
      </c>
      <c r="F2544" s="2" t="str">
        <f>"R_REGRAS"</f>
        <v>R_REGRAS</v>
      </c>
      <c r="G2544" s="2" t="str">
        <f>"Faturamento / Auditoria e Controle de Recursos de Glosas / Relatórios / Tabelas / Cobranças e Tabelas / Regras / Cobrança (R_REGRAS)"</f>
        <v>Faturamento / Auditoria e Controle de Recursos de Glosas / Relatórios / Tabelas / Cobranças e Tabelas / Regras / Cobrança (R_REGRAS)</v>
      </c>
    </row>
    <row r="2545" spans="1:7" x14ac:dyDescent="0.3">
      <c r="A2545" s="1" t="s">
        <v>4</v>
      </c>
      <c r="B2545" s="2" t="str">
        <f t="shared" si="217"/>
        <v>SISTEMA FATURAMENTO CONTAS DE CONVENIO</v>
      </c>
      <c r="C2545" s="2" t="str">
        <f t="shared" si="218"/>
        <v>FATUR-CONV</v>
      </c>
      <c r="D2545" s="2" t="str">
        <f t="shared" si="219"/>
        <v>FFCV</v>
      </c>
      <c r="E2545" s="2" t="str">
        <f>"MODULO PARA ACERSSA O MENU"</f>
        <v>MODULO PARA ACERSSA O MENU</v>
      </c>
      <c r="F2545" s="2" t="str">
        <f>"FFCV"</f>
        <v>FFCV</v>
      </c>
      <c r="G2545" s="2" t="str">
        <f t="shared" ref="G2545:G2564" si="220">" ()"</f>
        <v xml:space="preserve"> ()</v>
      </c>
    </row>
    <row r="2546" spans="1:7" x14ac:dyDescent="0.3">
      <c r="A2546" s="1" t="s">
        <v>4</v>
      </c>
      <c r="B2546" s="2" t="str">
        <f t="shared" si="217"/>
        <v>SISTEMA FATURAMENTO CONTAS DE CONVENIO</v>
      </c>
      <c r="C2546" s="2" t="str">
        <f t="shared" si="218"/>
        <v>FATUR-CONV</v>
      </c>
      <c r="D2546" s="2" t="str">
        <f t="shared" si="219"/>
        <v>FFCV</v>
      </c>
      <c r="E2546" s="2" t="str">
        <f>"RELATÓRIO DE DEMONSTRATIVO MÉDICO"</f>
        <v>RELATÓRIO DE DEMONSTRATIVO MÉDICO</v>
      </c>
      <c r="F2546" s="2" t="str">
        <f>"R_OPME_CIRURGIA"</f>
        <v>R_OPME_CIRURGIA</v>
      </c>
      <c r="G2546" s="2" t="str">
        <f t="shared" si="220"/>
        <v xml:space="preserve"> ()</v>
      </c>
    </row>
    <row r="2547" spans="1:7" x14ac:dyDescent="0.3">
      <c r="A2547" s="1" t="s">
        <v>4</v>
      </c>
      <c r="B2547" s="2" t="str">
        <f t="shared" si="217"/>
        <v>SISTEMA FATURAMENTO CONTAS DE CONVENIO</v>
      </c>
      <c r="C2547" s="2" t="str">
        <f t="shared" si="218"/>
        <v>FATUR-CONV</v>
      </c>
      <c r="D2547" s="2" t="str">
        <f t="shared" si="219"/>
        <v>FFCV</v>
      </c>
      <c r="E2547" s="2" t="str">
        <f>"RELATORIO NOTA FISCAL"</f>
        <v>RELATORIO NOTA FISCAL</v>
      </c>
      <c r="F2547" s="2" t="str">
        <f>"R_NOTA_FISCAL_ANAL_428"</f>
        <v>R_NOTA_FISCAL_ANAL_428</v>
      </c>
      <c r="G2547" s="2" t="str">
        <f t="shared" si="220"/>
        <v xml:space="preserve"> ()</v>
      </c>
    </row>
    <row r="2548" spans="1:7" x14ac:dyDescent="0.3">
      <c r="A2548" s="1" t="s">
        <v>4</v>
      </c>
      <c r="B2548" s="2" t="str">
        <f t="shared" si="217"/>
        <v>SISTEMA FATURAMENTO CONTAS DE CONVENIO</v>
      </c>
      <c r="C2548" s="2" t="str">
        <f t="shared" si="218"/>
        <v>FATUR-CONV</v>
      </c>
      <c r="D2548" s="2" t="str">
        <f t="shared" si="219"/>
        <v>FFCV</v>
      </c>
      <c r="E2548" s="2" t="str">
        <f>"RELATÓRIO DE RECEITA POR CONVÊNIO"</f>
        <v>RELATÓRIO DE RECEITA POR CONVÊNIO</v>
      </c>
      <c r="F2548" s="2" t="str">
        <f>"R_FAT_CONTA_COMPET.RDF"</f>
        <v>R_FAT_CONTA_COMPET.RDF</v>
      </c>
      <c r="G2548" s="2" t="str">
        <f t="shared" si="220"/>
        <v xml:space="preserve"> ()</v>
      </c>
    </row>
    <row r="2549" spans="1:7" x14ac:dyDescent="0.3">
      <c r="A2549" s="1" t="s">
        <v>4</v>
      </c>
      <c r="B2549" s="2" t="str">
        <f t="shared" si="217"/>
        <v>SISTEMA FATURAMENTO CONTAS DE CONVENIO</v>
      </c>
      <c r="C2549" s="2" t="str">
        <f t="shared" si="218"/>
        <v>FATUR-CONV</v>
      </c>
      <c r="D2549" s="2" t="str">
        <f t="shared" si="219"/>
        <v>FFCV</v>
      </c>
      <c r="E2549" s="2" t="str">
        <f>"REL. ANÁLISE EVOLUTIVA POR CONVÊNIO"</f>
        <v>REL. ANÁLISE EVOLUTIVA POR CONVÊNIO</v>
      </c>
      <c r="F2549" s="2" t="str">
        <f>"R_13_RECEITAS.RDF"</f>
        <v>R_13_RECEITAS.RDF</v>
      </c>
      <c r="G2549" s="2" t="str">
        <f t="shared" si="220"/>
        <v xml:space="preserve"> ()</v>
      </c>
    </row>
    <row r="2550" spans="1:7" x14ac:dyDescent="0.3">
      <c r="A2550" s="1" t="s">
        <v>4</v>
      </c>
      <c r="B2550" s="2" t="str">
        <f t="shared" si="217"/>
        <v>SISTEMA FATURAMENTO CONTAS DE CONVENIO</v>
      </c>
      <c r="C2550" s="2" t="str">
        <f t="shared" si="218"/>
        <v>FATUR-CONV</v>
      </c>
      <c r="D2550" s="2" t="str">
        <f t="shared" si="219"/>
        <v>FFCV</v>
      </c>
      <c r="E2550" s="2" t="str">
        <f>"R_NOTA_FISCAL_303"</f>
        <v>R_NOTA_FISCAL_303</v>
      </c>
      <c r="F2550" s="2" t="str">
        <f>"R_NOTA_FISCAL_303"</f>
        <v>R_NOTA_FISCAL_303</v>
      </c>
      <c r="G2550" s="2" t="str">
        <f t="shared" si="220"/>
        <v xml:space="preserve"> ()</v>
      </c>
    </row>
    <row r="2551" spans="1:7" x14ac:dyDescent="0.3">
      <c r="A2551" s="1" t="s">
        <v>4</v>
      </c>
      <c r="B2551" s="2" t="str">
        <f t="shared" si="217"/>
        <v>SISTEMA FATURAMENTO CONTAS DE CONVENIO</v>
      </c>
      <c r="C2551" s="2" t="str">
        <f t="shared" si="218"/>
        <v>FATUR-CONV</v>
      </c>
      <c r="D2551" s="2" t="str">
        <f t="shared" si="219"/>
        <v>FFCV</v>
      </c>
      <c r="E2551" s="2" t="str">
        <f>"M_NOTA_FISCAL_297"</f>
        <v>M_NOTA_FISCAL_297</v>
      </c>
      <c r="F2551" s="2" t="str">
        <f>"M_NOTA_FISCAL_297"</f>
        <v>M_NOTA_FISCAL_297</v>
      </c>
      <c r="G2551" s="2" t="str">
        <f t="shared" si="220"/>
        <v xml:space="preserve"> ()</v>
      </c>
    </row>
    <row r="2552" spans="1:7" x14ac:dyDescent="0.3">
      <c r="A2552" s="1" t="s">
        <v>4</v>
      </c>
      <c r="B2552" s="2" t="str">
        <f t="shared" si="217"/>
        <v>SISTEMA FATURAMENTO CONTAS DE CONVENIO</v>
      </c>
      <c r="C2552" s="2" t="str">
        <f t="shared" si="218"/>
        <v>FATUR-CONV</v>
      </c>
      <c r="D2552" s="2" t="str">
        <f t="shared" si="219"/>
        <v>FFCV</v>
      </c>
      <c r="E2552" s="2" t="str">
        <f>"R_FATURA_GRU_PRO"</f>
        <v>R_FATURA_GRU_PRO</v>
      </c>
      <c r="F2552" s="2" t="str">
        <f>"R_FATURA_GRU_PRO"</f>
        <v>R_FATURA_GRU_PRO</v>
      </c>
      <c r="G2552" s="2" t="str">
        <f t="shared" si="220"/>
        <v xml:space="preserve"> ()</v>
      </c>
    </row>
    <row r="2553" spans="1:7" x14ac:dyDescent="0.3">
      <c r="A2553" s="1" t="s">
        <v>4</v>
      </c>
      <c r="B2553" s="2" t="str">
        <f t="shared" si="217"/>
        <v>SISTEMA FATURAMENTO CONTAS DE CONVENIO</v>
      </c>
      <c r="C2553" s="2" t="str">
        <f t="shared" si="218"/>
        <v>FATUR-CONV</v>
      </c>
      <c r="D2553" s="2" t="str">
        <f t="shared" si="219"/>
        <v>FFCV</v>
      </c>
      <c r="E2553" s="2" t="str">
        <f>"RECIBO DO PACIENTE"</f>
        <v>RECIBO DO PACIENTE</v>
      </c>
      <c r="F2553" s="2" t="str">
        <f>"R_AUDITORIA_338"</f>
        <v>R_AUDITORIA_338</v>
      </c>
      <c r="G2553" s="2" t="str">
        <f t="shared" si="220"/>
        <v xml:space="preserve"> ()</v>
      </c>
    </row>
    <row r="2554" spans="1:7" x14ac:dyDescent="0.3">
      <c r="A2554" s="1" t="s">
        <v>4</v>
      </c>
      <c r="B2554" s="2" t="str">
        <f t="shared" si="217"/>
        <v>SISTEMA FATURAMENTO CONTAS DE CONVENIO</v>
      </c>
      <c r="C2554" s="2" t="str">
        <f t="shared" si="218"/>
        <v>FATUR-CONV</v>
      </c>
      <c r="D2554" s="2" t="str">
        <f t="shared" si="219"/>
        <v>FFCV</v>
      </c>
      <c r="E2554" s="2" t="str">
        <f>"TRG_ATUALIZA_COMPET_CONTAS"</f>
        <v>TRG_ATUALIZA_COMPET_CONTAS</v>
      </c>
      <c r="F2554" s="2" t="str">
        <f>"TRG_ATUALIZA_COMPET_CONTAS"</f>
        <v>TRG_ATUALIZA_COMPET_CONTAS</v>
      </c>
      <c r="G2554" s="2" t="str">
        <f t="shared" si="220"/>
        <v xml:space="preserve"> ()</v>
      </c>
    </row>
    <row r="2555" spans="1:7" x14ac:dyDescent="0.3">
      <c r="A2555" s="1" t="s">
        <v>4</v>
      </c>
      <c r="B2555" s="2" t="str">
        <f t="shared" si="217"/>
        <v>SISTEMA FATURAMENTO CONTAS DE CONVENIO</v>
      </c>
      <c r="C2555" s="2" t="str">
        <f t="shared" si="218"/>
        <v>FATUR-CONV</v>
      </c>
      <c r="D2555" s="2" t="str">
        <f t="shared" si="219"/>
        <v>FFCV</v>
      </c>
      <c r="E2555" s="2" t="str">
        <f>"R_CONF_LANC_ATEND"</f>
        <v>R_CONF_LANC_ATEND</v>
      </c>
      <c r="F2555" s="2" t="str">
        <f>"R_CONF_LANC_ATEND"</f>
        <v>R_CONF_LANC_ATEND</v>
      </c>
      <c r="G2555" s="2" t="str">
        <f t="shared" si="220"/>
        <v xml:space="preserve"> ()</v>
      </c>
    </row>
    <row r="2556" spans="1:7" x14ac:dyDescent="0.3">
      <c r="A2556" s="1" t="s">
        <v>4</v>
      </c>
      <c r="B2556" s="2" t="str">
        <f t="shared" si="217"/>
        <v>SISTEMA FATURAMENTO CONTAS DE CONVENIO</v>
      </c>
      <c r="C2556" s="2" t="str">
        <f t="shared" si="218"/>
        <v>FATUR-CONV</v>
      </c>
      <c r="D2556" s="2" t="str">
        <f t="shared" si="219"/>
        <v>FFCV</v>
      </c>
      <c r="E2556" s="2" t="str">
        <f>"RECIBO DO PACIENTE"</f>
        <v>RECIBO DO PACIENTE</v>
      </c>
      <c r="F2556" s="2" t="str">
        <f>"R_AUDITORIA"</f>
        <v>R_AUDITORIA</v>
      </c>
      <c r="G2556" s="2" t="str">
        <f t="shared" si="220"/>
        <v xml:space="preserve"> ()</v>
      </c>
    </row>
    <row r="2557" spans="1:7" x14ac:dyDescent="0.3">
      <c r="A2557" s="1" t="s">
        <v>4</v>
      </c>
      <c r="B2557" s="2" t="str">
        <f t="shared" si="217"/>
        <v>SISTEMA FATURAMENTO CONTAS DE CONVENIO</v>
      </c>
      <c r="C2557" s="2" t="str">
        <f t="shared" si="218"/>
        <v>FATUR-CONV</v>
      </c>
      <c r="D2557" s="2" t="str">
        <f t="shared" si="219"/>
        <v>FFCV</v>
      </c>
      <c r="E2557" s="2" t="str">
        <f>"M_CONF_LANC_SETOR"</f>
        <v>M_CONF_LANC_SETOR</v>
      </c>
      <c r="F2557" s="2" t="str">
        <f>"M_CONF_LANC_SETOR"</f>
        <v>M_CONF_LANC_SETOR</v>
      </c>
      <c r="G2557" s="2" t="str">
        <f t="shared" si="220"/>
        <v xml:space="preserve"> ()</v>
      </c>
    </row>
    <row r="2558" spans="1:7" x14ac:dyDescent="0.3">
      <c r="A2558" s="1" t="s">
        <v>4</v>
      </c>
      <c r="B2558" s="2" t="str">
        <f t="shared" si="217"/>
        <v>SISTEMA FATURAMENTO CONTAS DE CONVENIO</v>
      </c>
      <c r="C2558" s="2" t="str">
        <f t="shared" si="218"/>
        <v>FATUR-CONV</v>
      </c>
      <c r="D2558" s="2" t="str">
        <f t="shared" si="219"/>
        <v>FFCV</v>
      </c>
      <c r="E2558" s="2" t="str">
        <f>"REL. DE RESUMO DO FATURAMENTO DIARIO"</f>
        <v>REL. DE RESUMO DO FATURAMENTO DIARIO</v>
      </c>
      <c r="F2558" s="2" t="str">
        <f>"R_RESUMO_FAT_DIARIO"</f>
        <v>R_RESUMO_FAT_DIARIO</v>
      </c>
      <c r="G2558" s="2" t="str">
        <f t="shared" si="220"/>
        <v xml:space="preserve"> ()</v>
      </c>
    </row>
    <row r="2559" spans="1:7" x14ac:dyDescent="0.3">
      <c r="A2559" s="1" t="s">
        <v>4</v>
      </c>
      <c r="B2559" s="2" t="str">
        <f t="shared" si="217"/>
        <v>SISTEMA FATURAMENTO CONTAS DE CONVENIO</v>
      </c>
      <c r="C2559" s="2" t="str">
        <f t="shared" si="218"/>
        <v>FATUR-CONV</v>
      </c>
      <c r="D2559" s="2" t="str">
        <f t="shared" si="219"/>
        <v>FFCV</v>
      </c>
      <c r="E2559" s="2" t="str">
        <f>"REL DE RESUMO DO FATURAMENTO P/ CONVENIO"</f>
        <v>REL DE RESUMO DO FATURAMENTO P/ CONVENIO</v>
      </c>
      <c r="F2559" s="2" t="str">
        <f>"R_RESUMO_FAT_CONVENIO"</f>
        <v>R_RESUMO_FAT_CONVENIO</v>
      </c>
      <c r="G2559" s="2" t="str">
        <f t="shared" si="220"/>
        <v xml:space="preserve"> ()</v>
      </c>
    </row>
    <row r="2560" spans="1:7" x14ac:dyDescent="0.3">
      <c r="A2560" s="1" t="s">
        <v>4</v>
      </c>
      <c r="B2560" s="2" t="str">
        <f t="shared" si="217"/>
        <v>SISTEMA FATURAMENTO CONTAS DE CONVENIO</v>
      </c>
      <c r="C2560" s="2" t="str">
        <f t="shared" si="218"/>
        <v>FATUR-CONV</v>
      </c>
      <c r="D2560" s="2" t="str">
        <f t="shared" si="219"/>
        <v>FFCV</v>
      </c>
      <c r="E2560" s="2" t="str">
        <f>"REL. RESUMO DO FATU. POR TIPO DE ATENDE"</f>
        <v>REL. RESUMO DO FATU. POR TIPO DE ATENDE</v>
      </c>
      <c r="F2560" s="2" t="str">
        <f>"R_EST_FAT_SEMESTRAL_ATENDE_900"</f>
        <v>R_EST_FAT_SEMESTRAL_ATENDE_900</v>
      </c>
      <c r="G2560" s="2" t="str">
        <f t="shared" si="220"/>
        <v xml:space="preserve"> ()</v>
      </c>
    </row>
    <row r="2561" spans="1:7" x14ac:dyDescent="0.3">
      <c r="A2561" s="1" t="s">
        <v>4</v>
      </c>
      <c r="B2561" s="2" t="str">
        <f t="shared" si="217"/>
        <v>SISTEMA FATURAMENTO CONTAS DE CONVENIO</v>
      </c>
      <c r="C2561" s="2" t="str">
        <f t="shared" si="218"/>
        <v>FATUR-CONV</v>
      </c>
      <c r="D2561" s="2" t="str">
        <f t="shared" si="219"/>
        <v>FFCV</v>
      </c>
      <c r="E2561" s="2" t="str">
        <f>"RELATÓRIO DE PROTOCOLO DE ENTREGA"</f>
        <v>RELATÓRIO DE PROTOCOLO DE ENTREGA</v>
      </c>
      <c r="F2561" s="2" t="str">
        <f>"R_FCESP_DS_PROC"</f>
        <v>R_FCESP_DS_PROC</v>
      </c>
      <c r="G2561" s="2" t="str">
        <f t="shared" si="220"/>
        <v xml:space="preserve"> ()</v>
      </c>
    </row>
    <row r="2562" spans="1:7" x14ac:dyDescent="0.3">
      <c r="A2562" s="1" t="s">
        <v>4</v>
      </c>
      <c r="B2562" s="2" t="str">
        <f t="shared" si="217"/>
        <v>SISTEMA FATURAMENTO CONTAS DE CONVENIO</v>
      </c>
      <c r="C2562" s="2" t="str">
        <f t="shared" si="218"/>
        <v>FATUR-CONV</v>
      </c>
      <c r="D2562" s="2" t="str">
        <f t="shared" si="219"/>
        <v>FFCV</v>
      </c>
      <c r="E2562" s="2" t="str">
        <f>"FOLHA DE ROSTO HOSPITALAR POR REMESSA"</f>
        <v>FOLHA DE ROSTO HOSPITALAR POR REMESSA</v>
      </c>
      <c r="F2562" s="2" t="str">
        <f>"R_REMESSA_DIF_ORIG"</f>
        <v>R_REMESSA_DIF_ORIG</v>
      </c>
      <c r="G2562" s="2" t="str">
        <f t="shared" si="220"/>
        <v xml:space="preserve"> ()</v>
      </c>
    </row>
    <row r="2563" spans="1:7" x14ac:dyDescent="0.3">
      <c r="A2563" s="1" t="s">
        <v>4</v>
      </c>
      <c r="B2563" s="2" t="str">
        <f t="shared" si="217"/>
        <v>SISTEMA FATURAMENTO CONTAS DE CONVENIO</v>
      </c>
      <c r="C2563" s="2" t="str">
        <f t="shared" si="218"/>
        <v>FATUR-CONV</v>
      </c>
      <c r="D2563" s="2" t="str">
        <f t="shared" si="219"/>
        <v>FFCV</v>
      </c>
      <c r="E2563" s="2" t="str">
        <f>"FOLHA DE ROSTO HOSPITALAR POR REMESSA"</f>
        <v>FOLHA DE ROSTO HOSPITALAR POR REMESSA</v>
      </c>
      <c r="F2563" s="2" t="str">
        <f>"R_FOLHA_DE_ROSTO_DIF_ORIG"</f>
        <v>R_FOLHA_DE_ROSTO_DIF_ORIG</v>
      </c>
      <c r="G2563" s="2" t="str">
        <f t="shared" si="220"/>
        <v xml:space="preserve"> ()</v>
      </c>
    </row>
    <row r="2564" spans="1:7" x14ac:dyDescent="0.3">
      <c r="A2564" s="1" t="s">
        <v>4</v>
      </c>
      <c r="B2564" s="2" t="str">
        <f t="shared" si="217"/>
        <v>SISTEMA FATURAMENTO CONTAS DE CONVENIO</v>
      </c>
      <c r="C2564" s="2" t="str">
        <f t="shared" si="218"/>
        <v>FATUR-CONV</v>
      </c>
      <c r="D2564" s="2" t="str">
        <f t="shared" si="219"/>
        <v>FFCV</v>
      </c>
      <c r="E2564" s="2" t="str">
        <f>"IMPORTAÇÃO DE VALORES UNIMED BH"</f>
        <v>IMPORTAÇÃO DE VALORES UNIMED BH</v>
      </c>
      <c r="F2564" s="2" t="str">
        <f>"O_IMPORT_VAL_BH"</f>
        <v>O_IMPORT_VAL_BH</v>
      </c>
      <c r="G2564" s="2" t="str">
        <f t="shared" si="220"/>
        <v xml:space="preserve"> ()</v>
      </c>
    </row>
    <row r="2565" spans="1:7" x14ac:dyDescent="0.3">
      <c r="A2565" s="1" t="s">
        <v>4</v>
      </c>
      <c r="B2565" s="2" t="str">
        <f t="shared" si="217"/>
        <v>SISTEMA FATURAMENTO CONTAS DE CONVENIO</v>
      </c>
      <c r="C2565" s="2" t="str">
        <f t="shared" si="218"/>
        <v>FATUR-CONV</v>
      </c>
      <c r="D2565" s="2" t="str">
        <f t="shared" si="219"/>
        <v>FFCV</v>
      </c>
      <c r="E2565" s="2" t="str">
        <f>"O_IMPBRADESCO"</f>
        <v>O_IMPBRADESCO</v>
      </c>
      <c r="F2565" s="2" t="str">
        <f>"O_IMPBRADESCO"</f>
        <v>O_IMPBRADESCO</v>
      </c>
      <c r="G2565" s="2" t="str">
        <f>"Faturamento / Faturamento de Convênios e Particulares / Personalizados / Importação do Bradesco (O_IMPBRADESCO)"</f>
        <v>Faturamento / Faturamento de Convênios e Particulares / Personalizados / Importação do Bradesco (O_IMPBRADESCO)</v>
      </c>
    </row>
    <row r="2566" spans="1:7" x14ac:dyDescent="0.3">
      <c r="A2566" s="1" t="s">
        <v>4</v>
      </c>
      <c r="B2566" s="2" t="str">
        <f t="shared" ref="B2566:B2629" si="221">"SISTEMA FATURAMENTO CONTAS DE CONVENIO"</f>
        <v>SISTEMA FATURAMENTO CONTAS DE CONVENIO</v>
      </c>
      <c r="C2566" s="2" t="str">
        <f t="shared" ref="C2566:C2629" si="222">"FATUR-CONV"</f>
        <v>FATUR-CONV</v>
      </c>
      <c r="D2566" s="2" t="str">
        <f t="shared" ref="D2566:D2629" si="223">"FFCV"</f>
        <v>FFCV</v>
      </c>
      <c r="E2566" s="2" t="str">
        <f>"RELATÓRIO DE PROIBIÇÕES X EMPRESAS"</f>
        <v>RELATÓRIO DE PROIBIÇÕES X EMPRESAS</v>
      </c>
      <c r="F2566" s="2" t="str">
        <f>"R_CONPLA_PROIB_SINT"</f>
        <v>R_CONPLA_PROIB_SINT</v>
      </c>
      <c r="G2566" s="2" t="str">
        <f>" ()"</f>
        <v xml:space="preserve"> ()</v>
      </c>
    </row>
    <row r="2567" spans="1:7" x14ac:dyDescent="0.3">
      <c r="A2567" s="1" t="s">
        <v>4</v>
      </c>
      <c r="B2567" s="2" t="str">
        <f t="shared" si="221"/>
        <v>SISTEMA FATURAMENTO CONTAS DE CONVENIO</v>
      </c>
      <c r="C2567" s="2" t="str">
        <f t="shared" si="222"/>
        <v>FATUR-CONV</v>
      </c>
      <c r="D2567" s="2" t="str">
        <f t="shared" si="223"/>
        <v>FFCV</v>
      </c>
      <c r="E2567" s="2" t="str">
        <f>"RELATÓRIO DE PRODUÇÃO OPERACIONAL"</f>
        <v>RELATÓRIO DE PRODUÇÃO OPERACIONAL</v>
      </c>
      <c r="F2567" s="2" t="str">
        <f>"R_PRODUCAO_OPERACIONAL"</f>
        <v>R_PRODUCAO_OPERACIONAL</v>
      </c>
      <c r="G2567" s="2" t="str">
        <f>" ()"</f>
        <v xml:space="preserve"> ()</v>
      </c>
    </row>
    <row r="2568" spans="1:7" x14ac:dyDescent="0.3">
      <c r="A2568" s="1" t="s">
        <v>4</v>
      </c>
      <c r="B2568" s="2" t="str">
        <f t="shared" si="221"/>
        <v>SISTEMA FATURAMENTO CONTAS DE CONVENIO</v>
      </c>
      <c r="C2568" s="2" t="str">
        <f t="shared" si="222"/>
        <v>FATUR-CONV</v>
      </c>
      <c r="D2568" s="2" t="str">
        <f t="shared" si="223"/>
        <v>FFCV</v>
      </c>
      <c r="E2568" s="2" t="str">
        <f>"WIN_PRINCIPAL"</f>
        <v>WIN_PRINCIPAL</v>
      </c>
      <c r="F2568" s="2" t="str">
        <f>"R_LIGACAO_PACIENTE"</f>
        <v>R_LIGACAO_PACIENTE</v>
      </c>
      <c r="G2568" s="2" t="str">
        <f>"Faturamento / Faturamento de Convênios e Particulares / Relatórios / Operacionais / Ligações de Pacientes (R_LIGACAO_PACIENTE)"</f>
        <v>Faturamento / Faturamento de Convênios e Particulares / Relatórios / Operacionais / Ligações de Pacientes (R_LIGACAO_PACIENTE)</v>
      </c>
    </row>
    <row r="2569" spans="1:7" x14ac:dyDescent="0.3">
      <c r="A2569" s="1" t="s">
        <v>4</v>
      </c>
      <c r="B2569" s="2" t="str">
        <f t="shared" si="221"/>
        <v>SISTEMA FATURAMENTO CONTAS DE CONVENIO</v>
      </c>
      <c r="C2569" s="2" t="str">
        <f t="shared" si="222"/>
        <v>FATUR-CONV</v>
      </c>
      <c r="D2569" s="2" t="str">
        <f t="shared" si="223"/>
        <v>FFCV</v>
      </c>
      <c r="E2569" s="2" t="str">
        <f>"WIN_PRINCIPAL - HOSPITAL MV SISTEMAS"</f>
        <v>WIN_PRINCIPAL - HOSPITAL MV SISTEMAS</v>
      </c>
      <c r="F2569" s="2" t="str">
        <f>"M_REGRA_LIGACAO"</f>
        <v>M_REGRA_LIGACAO</v>
      </c>
      <c r="G2569" s="2" t="str">
        <f>"Faturamento / Faturamento de Convênios e Particulares / Tabelas / Cobranças e Tabelas / Regras de Ligação (M_REGRA_LIGACAO)"</f>
        <v>Faturamento / Faturamento de Convênios e Particulares / Tabelas / Cobranças e Tabelas / Regras de Ligação (M_REGRA_LIGACAO)</v>
      </c>
    </row>
    <row r="2570" spans="1:7" x14ac:dyDescent="0.3">
      <c r="A2570" s="1" t="s">
        <v>4</v>
      </c>
      <c r="B2570" s="2" t="str">
        <f t="shared" si="221"/>
        <v>SISTEMA FATURAMENTO CONTAS DE CONVENIO</v>
      </c>
      <c r="C2570" s="2" t="str">
        <f t="shared" si="222"/>
        <v>FATUR-CONV</v>
      </c>
      <c r="D2570" s="2" t="str">
        <f t="shared" si="223"/>
        <v>FFCV</v>
      </c>
      <c r="E2570" s="2" t="str">
        <f>"WIN_PRINCIPAL"</f>
        <v>WIN_PRINCIPAL</v>
      </c>
      <c r="F2570" s="2" t="str">
        <f>"M_TIPO_LIGACAO"</f>
        <v>M_TIPO_LIGACAO</v>
      </c>
      <c r="G2570" s="2" t="str">
        <f>"Faturamento / Faturamento de Convênios e Particulares / Tabelas / Gerais / Tipo de Ligação (M_TIPO_LIGACAO)"</f>
        <v>Faturamento / Faturamento de Convênios e Particulares / Tabelas / Gerais / Tipo de Ligação (M_TIPO_LIGACAO)</v>
      </c>
    </row>
    <row r="2571" spans="1:7" x14ac:dyDescent="0.3">
      <c r="A2571" s="1" t="s">
        <v>4</v>
      </c>
      <c r="B2571" s="2" t="str">
        <f t="shared" si="221"/>
        <v>SISTEMA FATURAMENTO CONTAS DE CONVENIO</v>
      </c>
      <c r="C2571" s="2" t="str">
        <f t="shared" si="222"/>
        <v>FATUR-CONV</v>
      </c>
      <c r="D2571" s="2" t="str">
        <f t="shared" si="223"/>
        <v>FFCV</v>
      </c>
      <c r="E2571" s="2" t="str">
        <f>"WIN_PRINCIPAL - HOSPITAL MV SISTEMAS"</f>
        <v>WIN_PRINCIPAL - HOSPITAL MV SISTEMAS</v>
      </c>
      <c r="F2571" s="2" t="str">
        <f>"M_AUTORIZA_GUIA_LOCAL"</f>
        <v>M_AUTORIZA_GUIA_LOCAL</v>
      </c>
      <c r="G2571" s="2" t="str">
        <f>"Faturamento / Faturamento de Convênios e Particulares / Lançamentos / Autorização Local de Guias (M_AUTORIZA_GUIA_LOCAL)"</f>
        <v>Faturamento / Faturamento de Convênios e Particulares / Lançamentos / Autorização Local de Guias (M_AUTORIZA_GUIA_LOCAL)</v>
      </c>
    </row>
    <row r="2572" spans="1:7" x14ac:dyDescent="0.3">
      <c r="A2572" s="1" t="s">
        <v>4</v>
      </c>
      <c r="B2572" s="2" t="str">
        <f t="shared" si="221"/>
        <v>SISTEMA FATURAMENTO CONTAS DE CONVENIO</v>
      </c>
      <c r="C2572" s="2" t="str">
        <f t="shared" si="222"/>
        <v>FATUR-CONV</v>
      </c>
      <c r="D2572" s="2" t="str">
        <f t="shared" si="223"/>
        <v>FFCV</v>
      </c>
      <c r="E2572" s="2" t="str">
        <f>"TELA DE MANUTENÇÃO DE GUIAS"</f>
        <v>TELA DE MANUTENÇÃO DE GUIAS</v>
      </c>
      <c r="F2572" s="2" t="str">
        <f>"M_GUIAS_NEW"</f>
        <v>M_GUIAS_NEW</v>
      </c>
      <c r="G2572" s="2" t="str">
        <f>" ()"</f>
        <v xml:space="preserve"> ()</v>
      </c>
    </row>
    <row r="2573" spans="1:7" x14ac:dyDescent="0.3">
      <c r="A2573" s="1" t="s">
        <v>4</v>
      </c>
      <c r="B2573" s="2" t="str">
        <f t="shared" si="221"/>
        <v>SISTEMA FATURAMENTO CONTAS DE CONVENIO</v>
      </c>
      <c r="C2573" s="2" t="str">
        <f t="shared" si="222"/>
        <v>FATUR-CONV</v>
      </c>
      <c r="D2573" s="2" t="str">
        <f t="shared" si="223"/>
        <v>FFCV</v>
      </c>
      <c r="E2573" s="2" t="str">
        <f>"WIN_PRINCIPAL"</f>
        <v>WIN_PRINCIPAL</v>
      </c>
      <c r="F2573" s="2" t="str">
        <f>"M_REGRA_PRO_FAT_EMPRESA"</f>
        <v>M_REGRA_PRO_FAT_EMPRESA</v>
      </c>
      <c r="G2573" s="2" t="str">
        <f>"Faturamento / Faturamento de Convênios e Particulares / Configurações / Regra de Procedimento por Empresa (M_REGRA_PRO_FAT_EMPRESA)"</f>
        <v>Faturamento / Faturamento de Convênios e Particulares / Configurações / Regra de Procedimento por Empresa (M_REGRA_PRO_FAT_EMPRESA)</v>
      </c>
    </row>
    <row r="2574" spans="1:7" x14ac:dyDescent="0.3">
      <c r="A2574" s="1" t="s">
        <v>4</v>
      </c>
      <c r="B2574" s="2" t="str">
        <f t="shared" si="221"/>
        <v>SISTEMA FATURAMENTO CONTAS DE CONVENIO</v>
      </c>
      <c r="C2574" s="2" t="str">
        <f t="shared" si="222"/>
        <v>FATUR-CONV</v>
      </c>
      <c r="D2574" s="2" t="str">
        <f t="shared" si="223"/>
        <v>FFCV</v>
      </c>
      <c r="E2574" s="2" t="str">
        <f>"R_ESTAT_PRODUCAO_970"</f>
        <v>R_ESTAT_PRODUCAO_970</v>
      </c>
      <c r="F2574" s="2" t="str">
        <f>"R_ESTAT_PRODUCAO_970"</f>
        <v>R_ESTAT_PRODUCAO_970</v>
      </c>
      <c r="G2574" s="2" t="str">
        <f>" ()"</f>
        <v xml:space="preserve"> ()</v>
      </c>
    </row>
    <row r="2575" spans="1:7" x14ac:dyDescent="0.3">
      <c r="A2575" s="1" t="s">
        <v>4</v>
      </c>
      <c r="B2575" s="2" t="str">
        <f t="shared" si="221"/>
        <v>SISTEMA FATURAMENTO CONTAS DE CONVENIO</v>
      </c>
      <c r="C2575" s="2" t="str">
        <f t="shared" si="222"/>
        <v>FATUR-CONV</v>
      </c>
      <c r="D2575" s="2" t="str">
        <f t="shared" si="223"/>
        <v>FFCV</v>
      </c>
      <c r="E2575" s="2" t="str">
        <f>"ENTRADA DE PRODUTOS SINTÉTICO"</f>
        <v>ENTRADA DE PRODUTOS SINTÉTICO</v>
      </c>
      <c r="F2575" s="2" t="str">
        <f>"R_ATEND_CONVENIO_451"</f>
        <v>R_ATEND_CONVENIO_451</v>
      </c>
      <c r="G2575" s="2" t="str">
        <f>" ()"</f>
        <v xml:space="preserve"> ()</v>
      </c>
    </row>
    <row r="2576" spans="1:7" x14ac:dyDescent="0.3">
      <c r="A2576" s="1" t="s">
        <v>4</v>
      </c>
      <c r="B2576" s="2" t="str">
        <f t="shared" si="221"/>
        <v>SISTEMA FATURAMENTO CONTAS DE CONVENIO</v>
      </c>
      <c r="C2576" s="2" t="str">
        <f t="shared" si="222"/>
        <v>FATUR-CONV</v>
      </c>
      <c r="D2576" s="2" t="str">
        <f t="shared" si="223"/>
        <v>FFCV</v>
      </c>
      <c r="E2576" s="2" t="str">
        <f>"REGRAS DE DIFERENÇA DE ACOMODAÇÃO"</f>
        <v>REGRAS DE DIFERENÇA DE ACOMODAÇÃO</v>
      </c>
      <c r="F2576" s="2" t="str">
        <f>"M_DIFER_ACOMOD"</f>
        <v>M_DIFER_ACOMOD</v>
      </c>
      <c r="G2576" s="2" t="str">
        <f>"Faturamento / Faturamento de Convênios e Particulares / Tabelas / Cobranças e Tabelas / Regras de Diferença de Acomodação (M_DIFER_ACOMOD)"</f>
        <v>Faturamento / Faturamento de Convênios e Particulares / Tabelas / Cobranças e Tabelas / Regras de Diferença de Acomodação (M_DIFER_ACOMOD)</v>
      </c>
    </row>
    <row r="2577" spans="1:7" x14ac:dyDescent="0.3">
      <c r="A2577" s="1" t="s">
        <v>4</v>
      </c>
      <c r="B2577" s="2" t="str">
        <f t="shared" si="221"/>
        <v>SISTEMA FATURAMENTO CONTAS DE CONVENIO</v>
      </c>
      <c r="C2577" s="2" t="str">
        <f t="shared" si="222"/>
        <v>FATUR-CONV</v>
      </c>
      <c r="D2577" s="2" t="str">
        <f t="shared" si="223"/>
        <v>FFCV</v>
      </c>
      <c r="E2577" s="2" t="str">
        <f>"R_VAL_UCO"</f>
        <v>R_VAL_UCO</v>
      </c>
      <c r="F2577" s="2" t="str">
        <f>"R_VAL_UCO"</f>
        <v>R_VAL_UCO</v>
      </c>
      <c r="G2577" s="2" t="str">
        <f>"Faturamento / Faturamento de Convênios e Particulares / Relatórios / Tabelas / Tabela de Valores / Unidade de Cobrança Operacional - UCO (R_VAL_UCO)"</f>
        <v>Faturamento / Faturamento de Convênios e Particulares / Relatórios / Tabelas / Tabela de Valores / Unidade de Cobrança Operacional - UCO (R_VAL_UCO)</v>
      </c>
    </row>
    <row r="2578" spans="1:7" x14ac:dyDescent="0.3">
      <c r="A2578" s="1" t="s">
        <v>4</v>
      </c>
      <c r="B2578" s="2" t="str">
        <f t="shared" si="221"/>
        <v>SISTEMA FATURAMENTO CONTAS DE CONVENIO</v>
      </c>
      <c r="C2578" s="2" t="str">
        <f t="shared" si="222"/>
        <v>FATUR-CONV</v>
      </c>
      <c r="D2578" s="2" t="str">
        <f t="shared" si="223"/>
        <v>FFCV</v>
      </c>
      <c r="E2578" s="2" t="str">
        <f>"RELATÓRIO DE EXCEÇÕES DA CBHPM"</f>
        <v>RELATÓRIO DE EXCEÇÕES DA CBHPM</v>
      </c>
      <c r="F2578" s="2" t="str">
        <f>"R_PORTE_MEDICO_PRO_FAT"</f>
        <v>R_PORTE_MEDICO_PRO_FAT</v>
      </c>
      <c r="G2578" s="2" t="str">
        <f>"Faturamento / Faturamento de Convênios e Particulares / Relatórios / Tabelas / Gerais / Classificação Hierarquizada - CBHPM / Exceções de Procedimentos (R_PORTE_MEDICO_PRO_FAT)"</f>
        <v>Faturamento / Faturamento de Convênios e Particulares / Relatórios / Tabelas / Gerais / Classificação Hierarquizada - CBHPM / Exceções de Procedimentos (R_PORTE_MEDICO_PRO_FAT)</v>
      </c>
    </row>
    <row r="2579" spans="1:7" x14ac:dyDescent="0.3">
      <c r="A2579" s="1" t="s">
        <v>4</v>
      </c>
      <c r="B2579" s="2" t="str">
        <f t="shared" si="221"/>
        <v>SISTEMA FATURAMENTO CONTAS DE CONVENIO</v>
      </c>
      <c r="C2579" s="2" t="str">
        <f t="shared" si="222"/>
        <v>FATUR-CONV</v>
      </c>
      <c r="D2579" s="2" t="str">
        <f t="shared" si="223"/>
        <v>FFCV</v>
      </c>
      <c r="E2579" s="2" t="str">
        <f>"RELATÓRIO DOS PROCEDIMENTOS DA CBHPM"</f>
        <v>RELATÓRIO DOS PROCEDIMENTOS DA CBHPM</v>
      </c>
      <c r="F2579" s="2" t="str">
        <f>"R_PRO_FAT_HIERARQUIZADO"</f>
        <v>R_PRO_FAT_HIERARQUIZADO</v>
      </c>
      <c r="G2579" s="2" t="str">
        <f>"Faturamento / Faturamento de Convênios e Particulares / Relatórios / Tabelas / Gerais / Classificação Hierarquizada - CBHPM / Procedimentos (R_PRO_FAT_HIERARQUIZADO)"</f>
        <v>Faturamento / Faturamento de Convênios e Particulares / Relatórios / Tabelas / Gerais / Classificação Hierarquizada - CBHPM / Procedimentos (R_PRO_FAT_HIERARQUIZADO)</v>
      </c>
    </row>
    <row r="2580" spans="1:7" x14ac:dyDescent="0.3">
      <c r="A2580" s="1" t="s">
        <v>4</v>
      </c>
      <c r="B2580" s="2" t="str">
        <f t="shared" si="221"/>
        <v>SISTEMA FATURAMENTO CONTAS DE CONVENIO</v>
      </c>
      <c r="C2580" s="2" t="str">
        <f t="shared" si="222"/>
        <v>FATUR-CONV</v>
      </c>
      <c r="D2580" s="2" t="str">
        <f t="shared" si="223"/>
        <v>FFCV</v>
      </c>
      <c r="E2580" s="2" t="str">
        <f>"RELATÓRIO DOS SUB-GRUPOS DA CBHPM"</f>
        <v>RELATÓRIO DOS SUB-GRUPOS DA CBHPM</v>
      </c>
      <c r="F2580" s="2" t="str">
        <f>"R_SUB_GRU_PRO_HIERARQUIZADO"</f>
        <v>R_SUB_GRU_PRO_HIERARQUIZADO</v>
      </c>
      <c r="G2580" s="2" t="str">
        <f>"Faturamento / Faturamento de Convênios e Particulares / Relatórios / Tabelas / Gerais / Classificação Hierarquizada - CBHPM / Sub-Grupos (R_SUB_GRU_PRO_HIERARQUIZADO)"</f>
        <v>Faturamento / Faturamento de Convênios e Particulares / Relatórios / Tabelas / Gerais / Classificação Hierarquizada - CBHPM / Sub-Grupos (R_SUB_GRU_PRO_HIERARQUIZADO)</v>
      </c>
    </row>
    <row r="2581" spans="1:7" x14ac:dyDescent="0.3">
      <c r="A2581" s="1" t="s">
        <v>4</v>
      </c>
      <c r="B2581" s="2" t="str">
        <f t="shared" si="221"/>
        <v>SISTEMA FATURAMENTO CONTAS DE CONVENIO</v>
      </c>
      <c r="C2581" s="2" t="str">
        <f t="shared" si="222"/>
        <v>FATUR-CONV</v>
      </c>
      <c r="D2581" s="2" t="str">
        <f t="shared" si="223"/>
        <v>FFCV</v>
      </c>
      <c r="E2581" s="2" t="str">
        <f>"RELATÓRIO DOS GRUPOS DA CBHPM"</f>
        <v>RELATÓRIO DOS GRUPOS DA CBHPM</v>
      </c>
      <c r="F2581" s="2" t="str">
        <f>"R_GRU_PRO_HIERARQUIZADO"</f>
        <v>R_GRU_PRO_HIERARQUIZADO</v>
      </c>
      <c r="G2581" s="2" t="str">
        <f>"Faturamento / Faturamento de Convênios e Particulares / Relatórios / Tabelas / Gerais / Classificação Hierarquizada - CBHPM / Grupos (R_GRU_PRO_HIERARQUIZADO)"</f>
        <v>Faturamento / Faturamento de Convênios e Particulares / Relatórios / Tabelas / Gerais / Classificação Hierarquizada - CBHPM / Grupos (R_GRU_PRO_HIERARQUIZADO)</v>
      </c>
    </row>
    <row r="2582" spans="1:7" x14ac:dyDescent="0.3">
      <c r="A2582" s="1" t="s">
        <v>4</v>
      </c>
      <c r="B2582" s="2" t="str">
        <f t="shared" si="221"/>
        <v>SISTEMA FATURAMENTO CONTAS DE CONVENIO</v>
      </c>
      <c r="C2582" s="2" t="str">
        <f t="shared" si="222"/>
        <v>FATUR-CONV</v>
      </c>
      <c r="D2582" s="2" t="str">
        <f t="shared" si="223"/>
        <v>FFCV</v>
      </c>
      <c r="E2582" s="2" t="str">
        <f>"RELATÓRIO DE PORTES DE ATO MÉDICO"</f>
        <v>RELATÓRIO DE PORTES DE ATO MÉDICO</v>
      </c>
      <c r="F2582" s="2" t="str">
        <f>"R_PORTE_MEDICO"</f>
        <v>R_PORTE_MEDICO</v>
      </c>
      <c r="G2582" s="2" t="str">
        <f>"Faturamento / Faturamento de Convênios e Particulares / Relatórios / Tabelas / Gerais / Portes de Ato Médico (R_PORTE_MEDICO)"</f>
        <v>Faturamento / Faturamento de Convênios e Particulares / Relatórios / Tabelas / Gerais / Portes de Ato Médico (R_PORTE_MEDICO)</v>
      </c>
    </row>
    <row r="2583" spans="1:7" x14ac:dyDescent="0.3">
      <c r="A2583" s="1" t="s">
        <v>4</v>
      </c>
      <c r="B2583" s="2" t="str">
        <f t="shared" si="221"/>
        <v>SISTEMA FATURAMENTO CONTAS DE CONVENIO</v>
      </c>
      <c r="C2583" s="2" t="str">
        <f t="shared" si="222"/>
        <v>FATUR-CONV</v>
      </c>
      <c r="D2583" s="2" t="str">
        <f t="shared" si="223"/>
        <v>FFCV</v>
      </c>
      <c r="E2583" s="2" t="str">
        <f>"MOTIVOS DE ALTA"</f>
        <v>MOTIVOS DE ALTA</v>
      </c>
      <c r="F2583" s="2" t="str">
        <f>"M_SERVICO_MEIO_MAG"</f>
        <v>M_SERVICO_MEIO_MAG</v>
      </c>
      <c r="G2583" s="2" t="str">
        <f>"Faturamento / Faturamento de Convênios e Particulares / Configurações / Geração de Fatura em Meio Magnético / Envio / Serviços (M_SERVICO_MEIO_MAG)"</f>
        <v>Faturamento / Faturamento de Convênios e Particulares / Configurações / Geração de Fatura em Meio Magnético / Envio / Serviços (M_SERVICO_MEIO_MAG)</v>
      </c>
    </row>
    <row r="2584" spans="1:7" x14ac:dyDescent="0.3">
      <c r="A2584" s="1" t="s">
        <v>4</v>
      </c>
      <c r="B2584" s="2" t="str">
        <f t="shared" si="221"/>
        <v>SISTEMA FATURAMENTO CONTAS DE CONVENIO</v>
      </c>
      <c r="C2584" s="2" t="str">
        <f t="shared" si="222"/>
        <v>FATUR-CONV</v>
      </c>
      <c r="D2584" s="2" t="str">
        <f t="shared" si="223"/>
        <v>FFCV</v>
      </c>
      <c r="E2584" s="2" t="str">
        <f>"WIN_PRINCIPAL"</f>
        <v>WIN_PRINCIPAL</v>
      </c>
      <c r="F2584" s="2" t="str">
        <f>"M_VAL_PROD_CONV"</f>
        <v>M_VAL_PROD_CONV</v>
      </c>
      <c r="G2584" s="2" t="str">
        <f>"Faturamento / Faturamento de Convênios e Particulares / Tabelas / Gerais / Valores dos Produtos Consignados por Convênio (M_VAL_PROD_CONV)"</f>
        <v>Faturamento / Faturamento de Convênios e Particulares / Tabelas / Gerais / Valores dos Produtos Consignados por Convênio (M_VAL_PROD_CONV)</v>
      </c>
    </row>
    <row r="2585" spans="1:7" x14ac:dyDescent="0.3">
      <c r="A2585" s="1" t="s">
        <v>4</v>
      </c>
      <c r="B2585" s="2" t="str">
        <f t="shared" si="221"/>
        <v>SISTEMA FATURAMENTO CONTAS DE CONVENIO</v>
      </c>
      <c r="C2585" s="2" t="str">
        <f t="shared" si="222"/>
        <v>FATUR-CONV</v>
      </c>
      <c r="D2585" s="2" t="str">
        <f t="shared" si="223"/>
        <v>FFCV</v>
      </c>
      <c r="E2585" s="2" t="str">
        <f>"M_PROC_AGRUP_MEIO_MAG"</f>
        <v>M_PROC_AGRUP_MEIO_MAG</v>
      </c>
      <c r="F2585" s="2" t="str">
        <f>"M_PROC_AGRUP_MEIO_MAG"</f>
        <v>M_PROC_AGRUP_MEIO_MAG</v>
      </c>
      <c r="G2585" s="2" t="str">
        <f>"Faturamento / Faturamento de Convênios e Particulares / Configurações / Geração de Fatura em Meio Magnético / Envio / Agrupamento de Procedimentos (M_PROC_AGRUP_MEIO_MAG)"</f>
        <v>Faturamento / Faturamento de Convênios e Particulares / Configurações / Geração de Fatura em Meio Magnético / Envio / Agrupamento de Procedimentos (M_PROC_AGRUP_MEIO_MAG)</v>
      </c>
    </row>
    <row r="2586" spans="1:7" x14ac:dyDescent="0.3">
      <c r="A2586" s="1" t="s">
        <v>4</v>
      </c>
      <c r="B2586" s="2" t="str">
        <f t="shared" si="221"/>
        <v>SISTEMA FATURAMENTO CONTAS DE CONVENIO</v>
      </c>
      <c r="C2586" s="2" t="str">
        <f t="shared" si="222"/>
        <v>FATUR-CONV</v>
      </c>
      <c r="D2586" s="2" t="str">
        <f t="shared" si="223"/>
        <v>FFCV</v>
      </c>
      <c r="E2586" s="2" t="str">
        <f>"R_CPS_968"</f>
        <v>R_CPS_968</v>
      </c>
      <c r="F2586" s="2" t="str">
        <f>"R_CPS_968"</f>
        <v>R_CPS_968</v>
      </c>
      <c r="G2586" s="2" t="str">
        <f>" ()"</f>
        <v xml:space="preserve"> ()</v>
      </c>
    </row>
    <row r="2587" spans="1:7" x14ac:dyDescent="0.3">
      <c r="A2587" s="1" t="s">
        <v>4</v>
      </c>
      <c r="B2587" s="2" t="str">
        <f t="shared" si="221"/>
        <v>SISTEMA FATURAMENTO CONTAS DE CONVENIO</v>
      </c>
      <c r="C2587" s="2" t="str">
        <f t="shared" si="222"/>
        <v>FATUR-CONV</v>
      </c>
      <c r="D2587" s="2" t="str">
        <f t="shared" si="223"/>
        <v>FFCV</v>
      </c>
      <c r="E2587" s="2" t="str">
        <f>"R_RELACAO_MATMED_GO"</f>
        <v>R_RELACAO_MATMED_GO</v>
      </c>
      <c r="F2587" s="2" t="str">
        <f>"R_RELACAO_MATMED_GO"</f>
        <v>R_RELACAO_MATMED_GO</v>
      </c>
      <c r="G2587" s="2" t="str">
        <f>" ()"</f>
        <v xml:space="preserve"> ()</v>
      </c>
    </row>
    <row r="2588" spans="1:7" x14ac:dyDescent="0.3">
      <c r="A2588" s="1" t="s">
        <v>4</v>
      </c>
      <c r="B2588" s="2" t="str">
        <f t="shared" si="221"/>
        <v>SISTEMA FATURAMENTO CONTAS DE CONVENIO</v>
      </c>
      <c r="C2588" s="2" t="str">
        <f t="shared" si="222"/>
        <v>FATUR-CONV</v>
      </c>
      <c r="D2588" s="2" t="str">
        <f t="shared" si="223"/>
        <v>FFCV</v>
      </c>
      <c r="E2588" s="2" t="str">
        <f>"RELATÓRIO DE CONTROLE DE GUIAS"</f>
        <v>RELATÓRIO DE CONTROLE DE GUIAS</v>
      </c>
      <c r="F2588" s="2" t="str">
        <f>"R_CONTROLE_GUIAS"</f>
        <v>R_CONTROLE_GUIAS</v>
      </c>
      <c r="G2588" s="2" t="str">
        <f>"Faturamento / Faturamento de Convênios e Particulares / Relatórios / Operacionais / Guias / Controle de Guias (R_CONTROLE_GUIAS)"</f>
        <v>Faturamento / Faturamento de Convênios e Particulares / Relatórios / Operacionais / Guias / Controle de Guias (R_CONTROLE_GUIAS)</v>
      </c>
    </row>
    <row r="2589" spans="1:7" x14ac:dyDescent="0.3">
      <c r="A2589" s="1" t="s">
        <v>4</v>
      </c>
      <c r="B2589" s="2" t="str">
        <f t="shared" si="221"/>
        <v>SISTEMA FATURAMENTO CONTAS DE CONVENIO</v>
      </c>
      <c r="C2589" s="2" t="str">
        <f t="shared" si="222"/>
        <v>FATUR-CONV</v>
      </c>
      <c r="D2589" s="2" t="str">
        <f t="shared" si="223"/>
        <v>FFCV</v>
      </c>
      <c r="E2589" s="2" t="str">
        <f>"R_NEGACAO_GUIA"</f>
        <v>R_NEGACAO_GUIA</v>
      </c>
      <c r="F2589" s="2" t="str">
        <f>"R_NEGACAO_GUIA"</f>
        <v>R_NEGACAO_GUIA</v>
      </c>
      <c r="G2589" s="2" t="str">
        <f>"Faturamento / Faturamento de Convênios e Particulares / Relatórios / Operacionais / Guias / Negação de Guias (R_NEGACAO_GUIA)"</f>
        <v>Faturamento / Faturamento de Convênios e Particulares / Relatórios / Operacionais / Guias / Negação de Guias (R_NEGACAO_GUIA)</v>
      </c>
    </row>
    <row r="2590" spans="1:7" x14ac:dyDescent="0.3">
      <c r="A2590" s="1" t="s">
        <v>4</v>
      </c>
      <c r="B2590" s="2" t="str">
        <f t="shared" si="221"/>
        <v>SISTEMA FATURAMENTO CONTAS DE CONVENIO</v>
      </c>
      <c r="C2590" s="2" t="str">
        <f t="shared" si="222"/>
        <v>FATUR-CONV</v>
      </c>
      <c r="D2590" s="2" t="str">
        <f t="shared" si="223"/>
        <v>FFCV</v>
      </c>
      <c r="E2590" s="2" t="str">
        <f>"RESTRIÇÃO DE USUÁRIOS POR PROCEDIMENTOS"</f>
        <v>RESTRIÇÃO DE USUÁRIOS POR PROCEDIMENTOS</v>
      </c>
      <c r="F2590" s="2" t="str">
        <f>"M_USUARIO_PERM_PROCED"</f>
        <v>M_USUARIO_PERM_PROCED</v>
      </c>
      <c r="G2590" s="2" t="str">
        <f>"Apoio a TI / Gestão de Usuários / Configurações de Acesso / Acessos Faturamento / Restrição de Usuários por Procedimento Faturamento (M_USUARIO_PERM_PROCED)"</f>
        <v>Apoio a TI / Gestão de Usuários / Configurações de Acesso / Acessos Faturamento / Restrição de Usuários por Procedimento Faturamento (M_USUARIO_PERM_PROCED)</v>
      </c>
    </row>
    <row r="2591" spans="1:7" x14ac:dyDescent="0.3">
      <c r="A2591" s="1" t="s">
        <v>4</v>
      </c>
      <c r="B2591" s="2" t="str">
        <f t="shared" si="221"/>
        <v>SISTEMA FATURAMENTO CONTAS DE CONVENIO</v>
      </c>
      <c r="C2591" s="2" t="str">
        <f t="shared" si="222"/>
        <v>FATUR-CONV</v>
      </c>
      <c r="D2591" s="2" t="str">
        <f t="shared" si="223"/>
        <v>FFCV</v>
      </c>
      <c r="E2591" s="2" t="str">
        <f>"R_PENDENCIA_SETOR"</f>
        <v>R_PENDENCIA_SETOR</v>
      </c>
      <c r="F2591" s="2" t="str">
        <f>"R_PENDENCIA_SETOR"</f>
        <v>R_PENDENCIA_SETOR</v>
      </c>
      <c r="G2591" s="2" t="str">
        <f>"Faturamento / Faturamento de Convênios e Particulares / Relatórios / Operacionais / Guias / Pendência por Setor (R_PENDENCIA_SETOR)"</f>
        <v>Faturamento / Faturamento de Convênios e Particulares / Relatórios / Operacionais / Guias / Pendência por Setor (R_PENDENCIA_SETOR)</v>
      </c>
    </row>
    <row r="2592" spans="1:7" x14ac:dyDescent="0.3">
      <c r="A2592" s="1" t="s">
        <v>4</v>
      </c>
      <c r="B2592" s="2" t="str">
        <f t="shared" si="221"/>
        <v>SISTEMA FATURAMENTO CONTAS DE CONVENIO</v>
      </c>
      <c r="C2592" s="2" t="str">
        <f t="shared" si="222"/>
        <v>FATUR-CONV</v>
      </c>
      <c r="D2592" s="2" t="str">
        <f t="shared" si="223"/>
        <v>FFCV</v>
      </c>
      <c r="E2592" s="2" t="str">
        <f>"R_PREVISAO_GUIA"</f>
        <v>R_PREVISAO_GUIA</v>
      </c>
      <c r="F2592" s="2" t="str">
        <f>"R_PREVISAO_GUIA"</f>
        <v>R_PREVISAO_GUIA</v>
      </c>
      <c r="G2592" s="2" t="str">
        <f>"Faturamento / Faturamento de Convênios e Particulares / Relatórios / Operacionais / Guias / Previsão de Cobertura (R_PREVISAO_GUIA)"</f>
        <v>Faturamento / Faturamento de Convênios e Particulares / Relatórios / Operacionais / Guias / Previsão de Cobertura (R_PREVISAO_GUIA)</v>
      </c>
    </row>
    <row r="2593" spans="1:7" x14ac:dyDescent="0.3">
      <c r="A2593" s="1" t="s">
        <v>4</v>
      </c>
      <c r="B2593" s="2" t="str">
        <f t="shared" si="221"/>
        <v>SISTEMA FATURAMENTO CONTAS DE CONVENIO</v>
      </c>
      <c r="C2593" s="2" t="str">
        <f t="shared" si="222"/>
        <v>FATUR-CONV</v>
      </c>
      <c r="D2593" s="2" t="str">
        <f t="shared" si="223"/>
        <v>FFCV</v>
      </c>
      <c r="E2593" s="2" t="str">
        <f>"WIN_PRINCIPAL - HOSPITAL MV SISTEMAS"</f>
        <v>WIN_PRINCIPAL - HOSPITAL MV SISTEMAS</v>
      </c>
      <c r="F2593" s="2" t="str">
        <f>"M_PROC_FATURA_DIRETA"</f>
        <v>M_PROC_FATURA_DIRETA</v>
      </c>
      <c r="G2593" s="2" t="str">
        <f>" ()"</f>
        <v xml:space="preserve"> ()</v>
      </c>
    </row>
    <row r="2594" spans="1:7" x14ac:dyDescent="0.3">
      <c r="A2594" s="1" t="s">
        <v>4</v>
      </c>
      <c r="B2594" s="2" t="str">
        <f t="shared" si="221"/>
        <v>SISTEMA FATURAMENTO CONTAS DE CONVENIO</v>
      </c>
      <c r="C2594" s="2" t="str">
        <f t="shared" si="222"/>
        <v>FATUR-CONV</v>
      </c>
      <c r="D2594" s="2" t="str">
        <f t="shared" si="223"/>
        <v>FFCV</v>
      </c>
      <c r="E2594" s="2" t="str">
        <f>"WIN_PRINCIPAL - HOSPITAL MV SISTEMAS"</f>
        <v>WIN_PRINCIPAL - HOSPITAL MV SISTEMAS</v>
      </c>
      <c r="F2594" s="2" t="str">
        <f>"M_REGRA_SUBSTITUICAO_PROCED"</f>
        <v>M_REGRA_SUBSTITUICAO_PROCED</v>
      </c>
      <c r="G2594" s="2" t="str">
        <f>"Faturamento / Faturamento de Convênios e Particulares / Tabelas / Cobranças e Tabelas / Regras de Substituição de Procedimentos (M_REGRA_SUBSTITUICAO_PROCED)"</f>
        <v>Faturamento / Faturamento de Convênios e Particulares / Tabelas / Cobranças e Tabelas / Regras de Substituição de Procedimentos (M_REGRA_SUBSTITUICAO_PROCED)</v>
      </c>
    </row>
    <row r="2595" spans="1:7" x14ac:dyDescent="0.3">
      <c r="A2595" s="1" t="s">
        <v>4</v>
      </c>
      <c r="B2595" s="2" t="str">
        <f t="shared" si="221"/>
        <v>SISTEMA FATURAMENTO CONTAS DE CONVENIO</v>
      </c>
      <c r="C2595" s="2" t="str">
        <f t="shared" si="222"/>
        <v>FATUR-CONV</v>
      </c>
      <c r="D2595" s="2" t="str">
        <f t="shared" si="223"/>
        <v>FFCV</v>
      </c>
      <c r="E2595" s="2" t="str">
        <f>"O_GERAARQMAG_TISS"</f>
        <v>O_GERAARQMAG_TISS</v>
      </c>
      <c r="F2595" s="2" t="str">
        <f>"O_GERAARQMAG_TISS"</f>
        <v>O_GERAARQMAG_TISS</v>
      </c>
      <c r="G2595" s="2" t="str">
        <f>"Faturamento / Faturamento de Convênios e Particulares / Lançamentos / Arquivo Magnético / Envio / TISS (O_GERAARQMAG_TISS)"</f>
        <v>Faturamento / Faturamento de Convênios e Particulares / Lançamentos / Arquivo Magnético / Envio / TISS (O_GERAARQMAG_TISS)</v>
      </c>
    </row>
    <row r="2596" spans="1:7" x14ac:dyDescent="0.3">
      <c r="A2596" s="1" t="s">
        <v>4</v>
      </c>
      <c r="B2596" s="2" t="str">
        <f t="shared" si="221"/>
        <v>SISTEMA FATURAMENTO CONTAS DE CONVENIO</v>
      </c>
      <c r="C2596" s="2" t="str">
        <f t="shared" si="222"/>
        <v>FATUR-CONV</v>
      </c>
      <c r="D2596" s="2" t="str">
        <f t="shared" si="223"/>
        <v>FFCV</v>
      </c>
      <c r="E2596" s="2" t="str">
        <f>"WIN_PRINCIPAL - HOSPITAL MV SISTEMAS"</f>
        <v>WIN_PRINCIPAL - HOSPITAL MV SISTEMAS</v>
      </c>
      <c r="F2596" s="2" t="str">
        <f>"M_REGRA_PROIBICAO_VALOR"</f>
        <v>M_REGRA_PROIBICAO_VALOR</v>
      </c>
      <c r="G2596" s="2" t="str">
        <f>"Faturamento / Faturamento de Convênios e Particulares / Comercial / Regras de Proibição por Valor Base (M_REGRA_PROIBICAO_VALOR)"</f>
        <v>Faturamento / Faturamento de Convênios e Particulares / Comercial / Regras de Proibição por Valor Base (M_REGRA_PROIBICAO_VALOR)</v>
      </c>
    </row>
    <row r="2597" spans="1:7" x14ac:dyDescent="0.3">
      <c r="A2597" s="1" t="s">
        <v>4</v>
      </c>
      <c r="B2597" s="2" t="str">
        <f t="shared" si="221"/>
        <v>SISTEMA FATURAMENTO CONTAS DE CONVENIO</v>
      </c>
      <c r="C2597" s="2" t="str">
        <f t="shared" si="222"/>
        <v>FATUR-CONV</v>
      </c>
      <c r="D2597" s="2" t="str">
        <f t="shared" si="223"/>
        <v>FFCV</v>
      </c>
      <c r="E2597" s="2" t="str">
        <f>"WIN_PRINCIPAL - HOSPITAL MV SISTEMAS"</f>
        <v>WIN_PRINCIPAL - HOSPITAL MV SISTEMAS</v>
      </c>
      <c r="F2597" s="2" t="str">
        <f>"M_LIB_ALTA"</f>
        <v>M_LIB_ALTA</v>
      </c>
      <c r="G2597" s="2" t="str">
        <f>" ()"</f>
        <v xml:space="preserve"> ()</v>
      </c>
    </row>
    <row r="2598" spans="1:7" x14ac:dyDescent="0.3">
      <c r="A2598" s="1" t="s">
        <v>4</v>
      </c>
      <c r="B2598" s="2" t="str">
        <f t="shared" si="221"/>
        <v>SISTEMA FATURAMENTO CONTAS DE CONVENIO</v>
      </c>
      <c r="C2598" s="2" t="str">
        <f t="shared" si="222"/>
        <v>FATUR-CONV</v>
      </c>
      <c r="D2598" s="2" t="str">
        <f t="shared" si="223"/>
        <v>FFCV</v>
      </c>
      <c r="E2598" s="2" t="str">
        <f>"RELATÓRIO DE SITUAÇÃO DAS CONTAS"</f>
        <v>RELATÓRIO DE SITUAÇÃO DAS CONTAS</v>
      </c>
      <c r="F2598" s="2" t="str">
        <f>"R_ANALISE_PRO_PACOTE"</f>
        <v>R_ANALISE_PRO_PACOTE</v>
      </c>
      <c r="G2598" s="2" t="str">
        <f>" ()"</f>
        <v xml:space="preserve"> ()</v>
      </c>
    </row>
    <row r="2599" spans="1:7" x14ac:dyDescent="0.3">
      <c r="A2599" s="1" t="s">
        <v>4</v>
      </c>
      <c r="B2599" s="2" t="str">
        <f t="shared" si="221"/>
        <v>SISTEMA FATURAMENTO CONTAS DE CONVENIO</v>
      </c>
      <c r="C2599" s="2" t="str">
        <f t="shared" si="222"/>
        <v>FATUR-CONV</v>
      </c>
      <c r="D2599" s="2" t="str">
        <f t="shared" si="223"/>
        <v>FFCV</v>
      </c>
      <c r="E2599" s="2" t="str">
        <f>"RELATÓRIO DE REGRAS DE LANÇAMENTO"</f>
        <v>RELATÓRIO DE REGRAS DE LANÇAMENTO</v>
      </c>
      <c r="F2599" s="2" t="str">
        <f>"R_REGRA_LANCAMENTO"</f>
        <v>R_REGRA_LANCAMENTO</v>
      </c>
      <c r="G2599" s="2" t="str">
        <f>"Faturamento / Faturamento de Convênios e Particulares / Relatórios / Tabelas / Cobranças e Tabelas / Regras / Regras de Lançamento (R_REGRA_LANCAMENTO)"</f>
        <v>Faturamento / Faturamento de Convênios e Particulares / Relatórios / Tabelas / Cobranças e Tabelas / Regras / Regras de Lançamento (R_REGRA_LANCAMENTO)</v>
      </c>
    </row>
    <row r="2600" spans="1:7" x14ac:dyDescent="0.3">
      <c r="A2600" s="1" t="s">
        <v>4</v>
      </c>
      <c r="B2600" s="2" t="str">
        <f t="shared" si="221"/>
        <v>SISTEMA FATURAMENTO CONTAS DE CONVENIO</v>
      </c>
      <c r="C2600" s="2" t="str">
        <f t="shared" si="222"/>
        <v>FATUR-CONV</v>
      </c>
      <c r="D2600" s="2" t="str">
        <f t="shared" si="223"/>
        <v>FFCV</v>
      </c>
      <c r="E2600" s="2" t="str">
        <f>"RELATÓRIO DE SITUAÇÃO DAS CONTAS"</f>
        <v>RELATÓRIO DE SITUAÇÃO DAS CONTAS</v>
      </c>
      <c r="F2600" s="2" t="str">
        <f>"R_ANALISE_PROT_PACOTE"</f>
        <v>R_ANALISE_PROT_PACOTE</v>
      </c>
      <c r="G2600" s="2" t="str">
        <f>"Faturamento / Faturamento de Convênios e Particulares / Relatórios / Gerenciais / Análise de Protocolos de Pacote (R_ANALISE_PROT_PACOTE)"</f>
        <v>Faturamento / Faturamento de Convênios e Particulares / Relatórios / Gerenciais / Análise de Protocolos de Pacote (R_ANALISE_PROT_PACOTE)</v>
      </c>
    </row>
    <row r="2601" spans="1:7" x14ac:dyDescent="0.3">
      <c r="A2601" s="1" t="s">
        <v>4</v>
      </c>
      <c r="B2601" s="2" t="str">
        <f t="shared" si="221"/>
        <v>SISTEMA FATURAMENTO CONTAS DE CONVENIO</v>
      </c>
      <c r="C2601" s="2" t="str">
        <f t="shared" si="222"/>
        <v>FATUR-CONV</v>
      </c>
      <c r="D2601" s="2" t="str">
        <f t="shared" si="223"/>
        <v>FFCV</v>
      </c>
      <c r="E2601" s="2" t="str">
        <f>"WIN_PRINCIPAL - HOSPITAL MV SISTEMAS"</f>
        <v>WIN_PRINCIPAL - HOSPITAL MV SISTEMAS</v>
      </c>
      <c r="F2601" s="2" t="str">
        <f>"M_COMPETENCIA_FATURAMENTO"</f>
        <v>M_COMPETENCIA_FATURAMENTO</v>
      </c>
      <c r="G2601" s="2" t="str">
        <f>"Faturamento / Faturamento de Convênios e Particulares / Lançamentos / Competências de Faturamento (M_COMPETENCIA_FATURAMENTO)"</f>
        <v>Faturamento / Faturamento de Convênios e Particulares / Lançamentos / Competências de Faturamento (M_COMPETENCIA_FATURAMENTO)</v>
      </c>
    </row>
    <row r="2602" spans="1:7" x14ac:dyDescent="0.3">
      <c r="A2602" s="1" t="s">
        <v>4</v>
      </c>
      <c r="B2602" s="2" t="str">
        <f t="shared" si="221"/>
        <v>SISTEMA FATURAMENTO CONTAS DE CONVENIO</v>
      </c>
      <c r="C2602" s="2" t="str">
        <f t="shared" si="222"/>
        <v>FATUR-CONV</v>
      </c>
      <c r="D2602" s="2" t="str">
        <f t="shared" si="223"/>
        <v>FFCV</v>
      </c>
      <c r="E2602" s="2" t="str">
        <f>"USUÁRIOS POR SETOR"</f>
        <v>USUÁRIOS POR SETOR</v>
      </c>
      <c r="F2602" s="2" t="str">
        <f>"M_USU_PERMISSAO_COMPETENCIA"</f>
        <v>M_USU_PERMISSAO_COMPETENCIA</v>
      </c>
      <c r="G2602" s="2" t="str">
        <f>"Faturamento / Faturamento de Convênios e Particulares / Tabelas / Gerais / Permissão à Competência do Faturamento (M_USU_PERMISSAO_COMPETENCIA)"</f>
        <v>Faturamento / Faturamento de Convênios e Particulares / Tabelas / Gerais / Permissão à Competência do Faturamento (M_USU_PERMISSAO_COMPETENCIA)</v>
      </c>
    </row>
    <row r="2603" spans="1:7" x14ac:dyDescent="0.3">
      <c r="A2603" s="1" t="s">
        <v>4</v>
      </c>
      <c r="B2603" s="2" t="str">
        <f t="shared" si="221"/>
        <v>SISTEMA FATURAMENTO CONTAS DE CONVENIO</v>
      </c>
      <c r="C2603" s="2" t="str">
        <f t="shared" si="222"/>
        <v>FATUR-CONV</v>
      </c>
      <c r="D2603" s="2" t="str">
        <f t="shared" si="223"/>
        <v>FFCV</v>
      </c>
      <c r="E2603" s="2" t="str">
        <f>"REGRAS DE COBRANÇA PARA DIÁRIAS"</f>
        <v>REGRAS DE COBRANÇA PARA DIÁRIAS</v>
      </c>
      <c r="F2603" s="2" t="str">
        <f>"M_REGRA_PERC_SD"</f>
        <v>M_REGRA_PERC_SD</v>
      </c>
      <c r="G2603" s="2" t="str">
        <f>" ()"</f>
        <v xml:space="preserve"> ()</v>
      </c>
    </row>
    <row r="2604" spans="1:7" x14ac:dyDescent="0.3">
      <c r="A2604" s="1" t="s">
        <v>4</v>
      </c>
      <c r="B2604" s="2" t="str">
        <f t="shared" si="221"/>
        <v>SISTEMA FATURAMENTO CONTAS DE CONVENIO</v>
      </c>
      <c r="C2604" s="2" t="str">
        <f t="shared" si="222"/>
        <v>FATUR-CONV</v>
      </c>
      <c r="D2604" s="2" t="str">
        <f t="shared" si="223"/>
        <v>FFCV</v>
      </c>
      <c r="E2604" s="2" t="str">
        <f>"WIN_PRINCIPAL - HOSPITAL MV SISTEMAS"</f>
        <v>WIN_PRINCIPAL - HOSPITAL MV SISTEMAS</v>
      </c>
      <c r="F2604" s="2" t="str">
        <f>"C_CIRURGIAS_OPME"</f>
        <v>C_CIRURGIAS_OPME</v>
      </c>
      <c r="G2604" s="2" t="str">
        <f>"Faturamento / Faturamento de Convênios e Particulares / Consultas / Cirurgias com opme (C_CIRURGIAS_OPME)"</f>
        <v>Faturamento / Faturamento de Convênios e Particulares / Consultas / Cirurgias com opme (C_CIRURGIAS_OPME)</v>
      </c>
    </row>
    <row r="2605" spans="1:7" x14ac:dyDescent="0.3">
      <c r="A2605" s="1" t="s">
        <v>4</v>
      </c>
      <c r="B2605" s="2" t="str">
        <f t="shared" si="221"/>
        <v>SISTEMA FATURAMENTO CONTAS DE CONVENIO</v>
      </c>
      <c r="C2605" s="2" t="str">
        <f t="shared" si="222"/>
        <v>FATUR-CONV</v>
      </c>
      <c r="D2605" s="2" t="str">
        <f t="shared" si="223"/>
        <v>FFCV</v>
      </c>
      <c r="E2605" s="2" t="str">
        <f>"PROTOCOLO DE PACOTES"</f>
        <v>PROTOCOLO DE PACOTES</v>
      </c>
      <c r="F2605" s="2" t="str">
        <f>"M_PROTOCOLO_PACOTE"</f>
        <v>M_PROTOCOLO_PACOTE</v>
      </c>
      <c r="G2605" s="2" t="str">
        <f>"Faturamento / Faturamento de Convênios e Particulares / Tabelas / Gerais / Protocolos de Pacote (M_PROTOCOLO_PACOTE)"</f>
        <v>Faturamento / Faturamento de Convênios e Particulares / Tabelas / Gerais / Protocolos de Pacote (M_PROTOCOLO_PACOTE)</v>
      </c>
    </row>
    <row r="2606" spans="1:7" x14ac:dyDescent="0.3">
      <c r="A2606" s="1" t="s">
        <v>4</v>
      </c>
      <c r="B2606" s="2" t="str">
        <f t="shared" si="221"/>
        <v>SISTEMA FATURAMENTO CONTAS DE CONVENIO</v>
      </c>
      <c r="C2606" s="2" t="str">
        <f t="shared" si="222"/>
        <v>FATUR-CONV</v>
      </c>
      <c r="D2606" s="2" t="str">
        <f t="shared" si="223"/>
        <v>FFCV</v>
      </c>
      <c r="E2606" s="2" t="str">
        <f>"WIN_PRINCIPAL - HOSPITAL MV SISTEMAS"</f>
        <v>WIN_PRINCIPAL - HOSPITAL MV SISTEMAS</v>
      </c>
      <c r="F2606" s="2" t="str">
        <f>"M_PACOTE"</f>
        <v>M_PACOTE</v>
      </c>
      <c r="G2606" s="2" t="str">
        <f>"Faturamento / Faturamento de Convênios e Particulares / Tabelas / Cobranças e Tabelas / Pacotes (M_PACOTE)"</f>
        <v>Faturamento / Faturamento de Convênios e Particulares / Tabelas / Cobranças e Tabelas / Pacotes (M_PACOTE)</v>
      </c>
    </row>
    <row r="2607" spans="1:7" x14ac:dyDescent="0.3">
      <c r="A2607" s="1" t="s">
        <v>4</v>
      </c>
      <c r="B2607" s="2" t="str">
        <f t="shared" si="221"/>
        <v>SISTEMA FATURAMENTO CONTAS DE CONVENIO</v>
      </c>
      <c r="C2607" s="2" t="str">
        <f t="shared" si="222"/>
        <v>FATUR-CONV</v>
      </c>
      <c r="D2607" s="2" t="str">
        <f t="shared" si="223"/>
        <v>FFCV</v>
      </c>
      <c r="E2607" s="2" t="str">
        <f>"GERAÇÃO DOS ARQUIVOS EM MEIO MAGNÉTICO"</f>
        <v>GERAÇÃO DOS ARQUIVOS EM MEIO MAGNÉTICO</v>
      </c>
      <c r="F2607" s="2" t="str">
        <f>"O_LER_ARQMAG_RPS"</f>
        <v>O_LER_ARQMAG_RPS</v>
      </c>
      <c r="G2607" s="2" t="str">
        <f>"Faturamento / Faturamento de Convênios e Particulares / Lançamentos / Nota Fiscal Eletronica / Layout em TXT / Retorno (O_LER_ARQMAG_RPS)"</f>
        <v>Faturamento / Faturamento de Convênios e Particulares / Lançamentos / Nota Fiscal Eletronica / Layout em TXT / Retorno (O_LER_ARQMAG_RPS)</v>
      </c>
    </row>
    <row r="2608" spans="1:7" x14ac:dyDescent="0.3">
      <c r="A2608" s="1" t="s">
        <v>4</v>
      </c>
      <c r="B2608" s="2" t="str">
        <f t="shared" si="221"/>
        <v>SISTEMA FATURAMENTO CONTAS DE CONVENIO</v>
      </c>
      <c r="C2608" s="2" t="str">
        <f t="shared" si="222"/>
        <v>FATUR-CONV</v>
      </c>
      <c r="D2608" s="2" t="str">
        <f t="shared" si="223"/>
        <v>FFCV</v>
      </c>
      <c r="E2608" s="2" t="str">
        <f>"GERAÇÃO DOS ARQUIVOS EM MEIO MAGNÉTICO"</f>
        <v>GERAÇÃO DOS ARQUIVOS EM MEIO MAGNÉTICO</v>
      </c>
      <c r="F2608" s="2" t="str">
        <f>"O_GERA_ARQMAG_RPS"</f>
        <v>O_GERA_ARQMAG_RPS</v>
      </c>
      <c r="G2608" s="2" t="str">
        <f>"Faturamento / Faturamento de Convênios e Particulares / Lançamentos / Nota Fiscal Eletronica / Layout em TXT / Envio (O_GERA_ARQMAG_RPS)"</f>
        <v>Faturamento / Faturamento de Convênios e Particulares / Lançamentos / Nota Fiscal Eletronica / Layout em TXT / Envio (O_GERA_ARQMAG_RPS)</v>
      </c>
    </row>
    <row r="2609" spans="1:7" x14ac:dyDescent="0.3">
      <c r="A2609" s="1" t="s">
        <v>4</v>
      </c>
      <c r="B2609" s="2" t="str">
        <f t="shared" si="221"/>
        <v>SISTEMA FATURAMENTO CONTAS DE CONVENIO</v>
      </c>
      <c r="C2609" s="2" t="str">
        <f t="shared" si="222"/>
        <v>FATUR-CONV</v>
      </c>
      <c r="D2609" s="2" t="str">
        <f t="shared" si="223"/>
        <v>FFCV</v>
      </c>
      <c r="E2609" s="2" t="str">
        <f>"M_AUDITORIA_IN_LOCO"</f>
        <v>M_AUDITORIA_IN_LOCO</v>
      </c>
      <c r="F2609" s="2" t="str">
        <f>"M_AUDITORIA_IN_LOCO"</f>
        <v>M_AUDITORIA_IN_LOCO</v>
      </c>
      <c r="G2609" s="2" t="str">
        <f>"Faturamento / Faturamento de Convênios e Particulares / Lançamentos / Auditoria In-loco (M_AUDITORIA_IN_LOCO)"</f>
        <v>Faturamento / Faturamento de Convênios e Particulares / Lançamentos / Auditoria In-loco (M_AUDITORIA_IN_LOCO)</v>
      </c>
    </row>
    <row r="2610" spans="1:7" x14ac:dyDescent="0.3">
      <c r="A2610" s="1" t="s">
        <v>4</v>
      </c>
      <c r="B2610" s="2" t="str">
        <f t="shared" si="221"/>
        <v>SISTEMA FATURAMENTO CONTAS DE CONVENIO</v>
      </c>
      <c r="C2610" s="2" t="str">
        <f t="shared" si="222"/>
        <v>FATUR-CONV</v>
      </c>
      <c r="D2610" s="2" t="str">
        <f t="shared" si="223"/>
        <v>FFCV</v>
      </c>
      <c r="E2610" s="2" t="str">
        <f>"R_CSMH"</f>
        <v>R_CSMH</v>
      </c>
      <c r="F2610" s="2" t="str">
        <f>"R_CSMH"</f>
        <v>R_CSMH</v>
      </c>
      <c r="G2610" s="2" t="str">
        <f>"Faturamento / Faturamento de Convênios e Particulares / Relatórios / Fatura / CSMH (R_CSMH)"</f>
        <v>Faturamento / Faturamento de Convênios e Particulares / Relatórios / Fatura / CSMH (R_CSMH)</v>
      </c>
    </row>
    <row r="2611" spans="1:7" x14ac:dyDescent="0.3">
      <c r="A2611" s="1" t="s">
        <v>4</v>
      </c>
      <c r="B2611" s="2" t="str">
        <f t="shared" si="221"/>
        <v>SISTEMA FATURAMENTO CONTAS DE CONVENIO</v>
      </c>
      <c r="C2611" s="2" t="str">
        <f t="shared" si="222"/>
        <v>FATUR-CONV</v>
      </c>
      <c r="D2611" s="2" t="str">
        <f t="shared" si="223"/>
        <v>FFCV</v>
      </c>
      <c r="E2611" s="2" t="str">
        <f>"IMPORTAÇÃO DE PREÇOS DO BRADESCO"</f>
        <v>IMPORTAÇÃO DE PREÇOS DO BRADESCO</v>
      </c>
      <c r="F2611" s="2" t="str">
        <f>"O_IMPVAL_PROC"</f>
        <v>O_IMPVAL_PROC</v>
      </c>
      <c r="G2611" s="2" t="str">
        <f>"Faturamento / Faturamento de Convênios e Particulares / Importações / Importação de Procedimentos/Valores (O_IMPVAL_PROC)"</f>
        <v>Faturamento / Faturamento de Convênios e Particulares / Importações / Importação de Procedimentos/Valores (O_IMPVAL_PROC)</v>
      </c>
    </row>
    <row r="2612" spans="1:7" x14ac:dyDescent="0.3">
      <c r="A2612" s="1" t="s">
        <v>4</v>
      </c>
      <c r="B2612" s="2" t="str">
        <f t="shared" si="221"/>
        <v>SISTEMA FATURAMENTO CONTAS DE CONVENIO</v>
      </c>
      <c r="C2612" s="2" t="str">
        <f t="shared" si="222"/>
        <v>FATUR-CONV</v>
      </c>
      <c r="D2612" s="2" t="str">
        <f t="shared" si="223"/>
        <v>FFCV</v>
      </c>
      <c r="E2612" s="2" t="str">
        <f>"RELATÓRIO DE CONFERÊNCIA DE LANÇAMENTOS"</f>
        <v>RELATÓRIO DE CONFERÊNCIA DE LANÇAMENTOS</v>
      </c>
      <c r="F2612" s="2" t="str">
        <f>"R_CONF_LANC_970"</f>
        <v>R_CONF_LANC_970</v>
      </c>
      <c r="G2612" s="2" t="str">
        <f>" ()"</f>
        <v xml:space="preserve"> ()</v>
      </c>
    </row>
    <row r="2613" spans="1:7" x14ac:dyDescent="0.3">
      <c r="A2613" s="1" t="s">
        <v>4</v>
      </c>
      <c r="B2613" s="2" t="str">
        <f t="shared" si="221"/>
        <v>SISTEMA FATURAMENTO CONTAS DE CONVENIO</v>
      </c>
      <c r="C2613" s="2" t="str">
        <f t="shared" si="222"/>
        <v>FATUR-CONV</v>
      </c>
      <c r="D2613" s="2" t="str">
        <f t="shared" si="223"/>
        <v>FFCV</v>
      </c>
      <c r="E2613" s="2" t="str">
        <f>"M_VAL_UCO"</f>
        <v>M_VAL_UCO</v>
      </c>
      <c r="F2613" s="2" t="str">
        <f>"M_VAL_UCO"</f>
        <v>M_VAL_UCO</v>
      </c>
      <c r="G2613" s="2" t="str">
        <f>" ()"</f>
        <v xml:space="preserve"> ()</v>
      </c>
    </row>
    <row r="2614" spans="1:7" x14ac:dyDescent="0.3">
      <c r="A2614" s="1" t="s">
        <v>4</v>
      </c>
      <c r="B2614" s="2" t="str">
        <f t="shared" si="221"/>
        <v>SISTEMA FATURAMENTO CONTAS DE CONVENIO</v>
      </c>
      <c r="C2614" s="2" t="str">
        <f t="shared" si="222"/>
        <v>FATUR-CONV</v>
      </c>
      <c r="D2614" s="2" t="str">
        <f t="shared" si="223"/>
        <v>FFCV</v>
      </c>
      <c r="E2614" s="2" t="str">
        <f>"M_VAL_PORTE_MEDICO"</f>
        <v>M_VAL_PORTE_MEDICO</v>
      </c>
      <c r="F2614" s="2" t="str">
        <f>"M_VAL_PORTE_MEDICO"</f>
        <v>M_VAL_PORTE_MEDICO</v>
      </c>
      <c r="G2614" s="2" t="str">
        <f>"Faturamento / Faturamento de Convênios e Particulares / Tabelas / Valores dos Procedimentos / Valores de Portes de Ato Médico (M_VAL_PORTE_MEDICO)"</f>
        <v>Faturamento / Faturamento de Convênios e Particulares / Tabelas / Valores dos Procedimentos / Valores de Portes de Ato Médico (M_VAL_PORTE_MEDICO)</v>
      </c>
    </row>
    <row r="2615" spans="1:7" x14ac:dyDescent="0.3">
      <c r="A2615" s="1" t="s">
        <v>4</v>
      </c>
      <c r="B2615" s="2" t="str">
        <f t="shared" si="221"/>
        <v>SISTEMA FATURAMENTO CONTAS DE CONVENIO</v>
      </c>
      <c r="C2615" s="2" t="str">
        <f t="shared" si="222"/>
        <v>FATUR-CONV</v>
      </c>
      <c r="D2615" s="2" t="str">
        <f t="shared" si="223"/>
        <v>FFCV</v>
      </c>
      <c r="E2615" s="2" t="str">
        <f>"M_PORTE_MEDICO_PRO_FAT"</f>
        <v>M_PORTE_MEDICO_PRO_FAT</v>
      </c>
      <c r="F2615" s="2" t="str">
        <f>"M_PORTE_MEDICO_PRO_FAT"</f>
        <v>M_PORTE_MEDICO_PRO_FAT</v>
      </c>
      <c r="G2615" s="2" t="str">
        <f>"Faturamento / Faturamento de Convênios e Particulares / Tabelas / Gerais / Classificação Hierarquizada - CBHPM / Exceções de Procedimentos (M_PORTE_MEDICO_PRO_FAT)"</f>
        <v>Faturamento / Faturamento de Convênios e Particulares / Tabelas / Gerais / Classificação Hierarquizada - CBHPM / Exceções de Procedimentos (M_PORTE_MEDICO_PRO_FAT)</v>
      </c>
    </row>
    <row r="2616" spans="1:7" x14ac:dyDescent="0.3">
      <c r="A2616" s="1" t="s">
        <v>4</v>
      </c>
      <c r="B2616" s="2" t="str">
        <f t="shared" si="221"/>
        <v>SISTEMA FATURAMENTO CONTAS DE CONVENIO</v>
      </c>
      <c r="C2616" s="2" t="str">
        <f t="shared" si="222"/>
        <v>FATUR-CONV</v>
      </c>
      <c r="D2616" s="2" t="str">
        <f t="shared" si="223"/>
        <v>FFCV</v>
      </c>
      <c r="E2616" s="2" t="str">
        <f>"R_NOTA_FISCAL2_900"</f>
        <v>R_NOTA_FISCAL2_900</v>
      </c>
      <c r="F2616" s="2" t="str">
        <f>"R_NOTA_FISCAL2_900"</f>
        <v>R_NOTA_FISCAL2_900</v>
      </c>
      <c r="G2616" s="2" t="str">
        <f t="shared" ref="G2616:G2626" si="224">" ()"</f>
        <v xml:space="preserve"> ()</v>
      </c>
    </row>
    <row r="2617" spans="1:7" x14ac:dyDescent="0.3">
      <c r="A2617" s="1" t="s">
        <v>4</v>
      </c>
      <c r="B2617" s="2" t="str">
        <f t="shared" si="221"/>
        <v>SISTEMA FATURAMENTO CONTAS DE CONVENIO</v>
      </c>
      <c r="C2617" s="2" t="str">
        <f t="shared" si="222"/>
        <v>FATUR-CONV</v>
      </c>
      <c r="D2617" s="2" t="str">
        <f t="shared" si="223"/>
        <v>FFCV</v>
      </c>
      <c r="E2617" s="2" t="str">
        <f>"M_LAN_HOS"</f>
        <v>M_LAN_HOS</v>
      </c>
      <c r="F2617" s="2" t="str">
        <f>"M_LAN-HOS"</f>
        <v>M_LAN-HOS</v>
      </c>
      <c r="G2617" s="2" t="str">
        <f t="shared" si="224"/>
        <v xml:space="preserve"> ()</v>
      </c>
    </row>
    <row r="2618" spans="1:7" x14ac:dyDescent="0.3">
      <c r="A2618" s="1" t="s">
        <v>4</v>
      </c>
      <c r="B2618" s="2" t="str">
        <f t="shared" si="221"/>
        <v>SISTEMA FATURAMENTO CONTAS DE CONVENIO</v>
      </c>
      <c r="C2618" s="2" t="str">
        <f t="shared" si="222"/>
        <v>FATUR-CONV</v>
      </c>
      <c r="D2618" s="2" t="str">
        <f t="shared" si="223"/>
        <v>FFCV</v>
      </c>
      <c r="E2618" s="2" t="str">
        <f>"R_TERMO_PARTICULAR"</f>
        <v>R_TERMO_PARTICULAR</v>
      </c>
      <c r="F2618" s="2" t="str">
        <f>"R_TERMO_PARTICULAR"</f>
        <v>R_TERMO_PARTICULAR</v>
      </c>
      <c r="G2618" s="2" t="str">
        <f t="shared" si="224"/>
        <v xml:space="preserve"> ()</v>
      </c>
    </row>
    <row r="2619" spans="1:7" x14ac:dyDescent="0.3">
      <c r="A2619" s="1" t="s">
        <v>4</v>
      </c>
      <c r="B2619" s="2" t="str">
        <f t="shared" si="221"/>
        <v>SISTEMA FATURAMENTO CONTAS DE CONVENIO</v>
      </c>
      <c r="C2619" s="2" t="str">
        <f t="shared" si="222"/>
        <v>FATUR-CONV</v>
      </c>
      <c r="D2619" s="2" t="str">
        <f t="shared" si="223"/>
        <v>FFCV</v>
      </c>
      <c r="E2619" s="2" t="str">
        <f>"R_CONTAS_AMB"</f>
        <v>R_CONTAS_AMB</v>
      </c>
      <c r="F2619" s="2" t="str">
        <f>"R_CONTAS_AMB"</f>
        <v>R_CONTAS_AMB</v>
      </c>
      <c r="G2619" s="2" t="str">
        <f t="shared" si="224"/>
        <v xml:space="preserve"> ()</v>
      </c>
    </row>
    <row r="2620" spans="1:7" x14ac:dyDescent="0.3">
      <c r="A2620" s="1" t="s">
        <v>4</v>
      </c>
      <c r="B2620" s="2" t="str">
        <f t="shared" si="221"/>
        <v>SISTEMA FATURAMENTO CONTAS DE CONVENIO</v>
      </c>
      <c r="C2620" s="2" t="str">
        <f t="shared" si="222"/>
        <v>FATUR-CONV</v>
      </c>
      <c r="D2620" s="2" t="str">
        <f t="shared" si="223"/>
        <v>FFCV</v>
      </c>
      <c r="E2620" s="2" t="str">
        <f>"R_CONTAS"</f>
        <v>R_CONTAS</v>
      </c>
      <c r="F2620" s="2" t="str">
        <f>"R_CONTAS"</f>
        <v>R_CONTAS</v>
      </c>
      <c r="G2620" s="2" t="str">
        <f t="shared" si="224"/>
        <v xml:space="preserve"> ()</v>
      </c>
    </row>
    <row r="2621" spans="1:7" x14ac:dyDescent="0.3">
      <c r="A2621" s="1" t="s">
        <v>4</v>
      </c>
      <c r="B2621" s="2" t="str">
        <f t="shared" si="221"/>
        <v>SISTEMA FATURAMENTO CONTAS DE CONVENIO</v>
      </c>
      <c r="C2621" s="2" t="str">
        <f t="shared" si="222"/>
        <v>FATUR-CONV</v>
      </c>
      <c r="D2621" s="2" t="str">
        <f t="shared" si="223"/>
        <v>FFCV</v>
      </c>
      <c r="E2621" s="2" t="str">
        <f>"RELATÓRIO DE CAUÇÕES RECEBIDAS"</f>
        <v>RELATÓRIO DE CAUÇÕES RECEBIDAS</v>
      </c>
      <c r="F2621" s="2" t="str">
        <f>"REG_NFOFICIAL2"</f>
        <v>REG_NFOFICIAL2</v>
      </c>
      <c r="G2621" s="2" t="str">
        <f t="shared" si="224"/>
        <v xml:space="preserve"> ()</v>
      </c>
    </row>
    <row r="2622" spans="1:7" x14ac:dyDescent="0.3">
      <c r="A2622" s="1" t="s">
        <v>4</v>
      </c>
      <c r="B2622" s="2" t="str">
        <f t="shared" si="221"/>
        <v>SISTEMA FATURAMENTO CONTAS DE CONVENIO</v>
      </c>
      <c r="C2622" s="2" t="str">
        <f t="shared" si="222"/>
        <v>FATUR-CONV</v>
      </c>
      <c r="D2622" s="2" t="str">
        <f t="shared" si="223"/>
        <v>FFCV</v>
      </c>
      <c r="E2622" s="2" t="str">
        <f>"R_INT_FAT_RENT"</f>
        <v>R_INT_FAT_RENT</v>
      </c>
      <c r="F2622" s="2" t="str">
        <f>"R_INT_FAT_RENT"</f>
        <v>R_INT_FAT_RENT</v>
      </c>
      <c r="G2622" s="2" t="str">
        <f t="shared" si="224"/>
        <v xml:space="preserve"> ()</v>
      </c>
    </row>
    <row r="2623" spans="1:7" x14ac:dyDescent="0.3">
      <c r="A2623" s="1" t="s">
        <v>4</v>
      </c>
      <c r="B2623" s="2" t="str">
        <f t="shared" si="221"/>
        <v>SISTEMA FATURAMENTO CONTAS DE CONVENIO</v>
      </c>
      <c r="C2623" s="2" t="str">
        <f t="shared" si="222"/>
        <v>FATUR-CONV</v>
      </c>
      <c r="D2623" s="2" t="str">
        <f t="shared" si="223"/>
        <v>FFCV</v>
      </c>
      <c r="E2623" s="2" t="str">
        <f>"R_NOTA_FISCAL_ITEM_297"</f>
        <v>R_NOTA_FISCAL_ITEM_297</v>
      </c>
      <c r="F2623" s="2" t="str">
        <f>"R_NOTA_FISCAL_ITEM_297"</f>
        <v>R_NOTA_FISCAL_ITEM_297</v>
      </c>
      <c r="G2623" s="2" t="str">
        <f t="shared" si="224"/>
        <v xml:space="preserve"> ()</v>
      </c>
    </row>
    <row r="2624" spans="1:7" x14ac:dyDescent="0.3">
      <c r="A2624" s="1" t="s">
        <v>4</v>
      </c>
      <c r="B2624" s="2" t="str">
        <f t="shared" si="221"/>
        <v>SISTEMA FATURAMENTO CONTAS DE CONVENIO</v>
      </c>
      <c r="C2624" s="2" t="str">
        <f t="shared" si="222"/>
        <v>FATUR-CONV</v>
      </c>
      <c r="D2624" s="2" t="str">
        <f t="shared" si="223"/>
        <v>FFCV</v>
      </c>
      <c r="E2624" s="2" t="str">
        <f>"R_13_RECEITA.RDF"</f>
        <v>R_13_RECEITA.RDF</v>
      </c>
      <c r="F2624" s="2" t="str">
        <f>"R_13_RECEITA.RDF"</f>
        <v>R_13_RECEITA.RDF</v>
      </c>
      <c r="G2624" s="2" t="str">
        <f t="shared" si="224"/>
        <v xml:space="preserve"> ()</v>
      </c>
    </row>
    <row r="2625" spans="1:7" x14ac:dyDescent="0.3">
      <c r="A2625" s="1" t="s">
        <v>4</v>
      </c>
      <c r="B2625" s="2" t="str">
        <f t="shared" si="221"/>
        <v>SISTEMA FATURAMENTO CONTAS DE CONVENIO</v>
      </c>
      <c r="C2625" s="2" t="str">
        <f t="shared" si="222"/>
        <v>FATUR-CONV</v>
      </c>
      <c r="D2625" s="2" t="str">
        <f t="shared" si="223"/>
        <v>FFCV</v>
      </c>
      <c r="E2625" s="2" t="str">
        <f>"CONTA DO PACIENTE PARTICULAR"</f>
        <v>CONTA DO PACIENTE PARTICULAR</v>
      </c>
      <c r="F2625" s="2" t="str">
        <f>"M_CONTA_PAC_PART_J"</f>
        <v>M_CONTA_PAC_PART_J</v>
      </c>
      <c r="G2625" s="2" t="str">
        <f t="shared" si="224"/>
        <v xml:space="preserve"> ()</v>
      </c>
    </row>
    <row r="2626" spans="1:7" x14ac:dyDescent="0.3">
      <c r="A2626" s="1" t="s">
        <v>4</v>
      </c>
      <c r="B2626" s="2" t="str">
        <f t="shared" si="221"/>
        <v>SISTEMA FATURAMENTO CONTAS DE CONVENIO</v>
      </c>
      <c r="C2626" s="2" t="str">
        <f t="shared" si="222"/>
        <v>FATUR-CONV</v>
      </c>
      <c r="D2626" s="2" t="str">
        <f t="shared" si="223"/>
        <v>FFCV</v>
      </c>
      <c r="E2626" s="2" t="str">
        <f>"R_RESUMO_SIT_CONTAS"</f>
        <v>R_RESUMO_SIT_CONTAS</v>
      </c>
      <c r="F2626" s="2" t="str">
        <f>"R_RESUMO_SIT_CONTAS"</f>
        <v>R_RESUMO_SIT_CONTAS</v>
      </c>
      <c r="G2626" s="2" t="str">
        <f t="shared" si="224"/>
        <v xml:space="preserve"> ()</v>
      </c>
    </row>
    <row r="2627" spans="1:7" x14ac:dyDescent="0.3">
      <c r="A2627" s="1" t="s">
        <v>4</v>
      </c>
      <c r="B2627" s="2" t="str">
        <f t="shared" si="221"/>
        <v>SISTEMA FATURAMENTO CONTAS DE CONVENIO</v>
      </c>
      <c r="C2627" s="2" t="str">
        <f t="shared" si="222"/>
        <v>FATUR-CONV</v>
      </c>
      <c r="D2627" s="2" t="str">
        <f t="shared" si="223"/>
        <v>FFCV</v>
      </c>
      <c r="E2627" s="2" t="str">
        <f>"O_LER_ARQMAG_GERAL"</f>
        <v>O_LER_ARQMAG_GERAL</v>
      </c>
      <c r="F2627" s="2" t="str">
        <f>"O_LER_ARQMAG_GERAL"</f>
        <v>O_LER_ARQMAG_GERAL</v>
      </c>
      <c r="G2627" s="2" t="str">
        <f>"Retorno (O_LER_ARQMAG_GERAL)"</f>
        <v>Retorno (O_LER_ARQMAG_GERAL)</v>
      </c>
    </row>
    <row r="2628" spans="1:7" x14ac:dyDescent="0.3">
      <c r="A2628" s="1" t="s">
        <v>4</v>
      </c>
      <c r="B2628" s="2" t="str">
        <f t="shared" si="221"/>
        <v>SISTEMA FATURAMENTO CONTAS DE CONVENIO</v>
      </c>
      <c r="C2628" s="2" t="str">
        <f t="shared" si="222"/>
        <v>FATUR-CONV</v>
      </c>
      <c r="D2628" s="2" t="str">
        <f t="shared" si="223"/>
        <v>FFCV</v>
      </c>
      <c r="E2628" s="2" t="str">
        <f>"WIN_PRINCIPAL"</f>
        <v>WIN_PRINCIPAL</v>
      </c>
      <c r="F2628" s="2" t="str">
        <f>"M_REGRA_PACOTE_DIARIA"</f>
        <v>M_REGRA_PACOTE_DIARIA</v>
      </c>
      <c r="G2628" s="2" t="str">
        <f>" ()"</f>
        <v xml:space="preserve"> ()</v>
      </c>
    </row>
    <row r="2629" spans="1:7" x14ac:dyDescent="0.3">
      <c r="A2629" s="1" t="s">
        <v>4</v>
      </c>
      <c r="B2629" s="2" t="str">
        <f t="shared" si="221"/>
        <v>SISTEMA FATURAMENTO CONTAS DE CONVENIO</v>
      </c>
      <c r="C2629" s="2" t="str">
        <f t="shared" si="222"/>
        <v>FATUR-CONV</v>
      </c>
      <c r="D2629" s="2" t="str">
        <f t="shared" si="223"/>
        <v>FFCV</v>
      </c>
      <c r="E2629" s="2" t="str">
        <f>"M_MOT_GLOSA_MEIO_MAG"</f>
        <v>M_MOT_GLOSA_MEIO_MAG</v>
      </c>
      <c r="F2629" s="2" t="str">
        <f>"M_MOT_GLOSA_MEIO_MAG"</f>
        <v>M_MOT_GLOSA_MEIO_MAG</v>
      </c>
      <c r="G2629" s="2" t="str">
        <f>"Faturamento / Faturamento de Convênios e Particulares / Configurações / Geração de Fatura em Meio Magnético / Retorno / Motivos de Glosa (M_MOT_GLOSA_MEIO_MAG)"</f>
        <v>Faturamento / Faturamento de Convênios e Particulares / Configurações / Geração de Fatura em Meio Magnético / Retorno / Motivos de Glosa (M_MOT_GLOSA_MEIO_MAG)</v>
      </c>
    </row>
    <row r="2630" spans="1:7" x14ac:dyDescent="0.3">
      <c r="A2630" s="1" t="s">
        <v>4</v>
      </c>
      <c r="B2630" s="2" t="str">
        <f t="shared" ref="B2630:B2693" si="225">"SISTEMA FATURAMENTO CONTAS DE CONVENIO"</f>
        <v>SISTEMA FATURAMENTO CONTAS DE CONVENIO</v>
      </c>
      <c r="C2630" s="2" t="str">
        <f t="shared" ref="C2630:C2693" si="226">"FATUR-CONV"</f>
        <v>FATUR-CONV</v>
      </c>
      <c r="D2630" s="2" t="str">
        <f t="shared" ref="D2630:D2693" si="227">"FFCV"</f>
        <v>FFCV</v>
      </c>
      <c r="E2630" s="2" t="str">
        <f>"M_APR_RETORNO_MEIO_MAG"</f>
        <v>M_APR_RETORNO_MEIO_MAG</v>
      </c>
      <c r="F2630" s="2" t="str">
        <f>"M_APR_RETORNO_MEIO_MAG"</f>
        <v>M_APR_RETORNO_MEIO_MAG</v>
      </c>
      <c r="G2630" s="2" t="str">
        <f>"Faturamento / Faturamento de Convênios e Particulares / Configurações / Geração de Fatura em Meio Magnético / Retorno / Apresentações (M_APR_RETORNO_MEIO_MAG)"</f>
        <v>Faturamento / Faturamento de Convênios e Particulares / Configurações / Geração de Fatura em Meio Magnético / Retorno / Apresentações (M_APR_RETORNO_MEIO_MAG)</v>
      </c>
    </row>
    <row r="2631" spans="1:7" x14ac:dyDescent="0.3">
      <c r="A2631" s="1" t="s">
        <v>4</v>
      </c>
      <c r="B2631" s="2" t="str">
        <f t="shared" si="225"/>
        <v>SISTEMA FATURAMENTO CONTAS DE CONVENIO</v>
      </c>
      <c r="C2631" s="2" t="str">
        <f t="shared" si="226"/>
        <v>FATUR-CONV</v>
      </c>
      <c r="D2631" s="2" t="str">
        <f t="shared" si="227"/>
        <v>FFCV</v>
      </c>
      <c r="E2631" s="2" t="str">
        <f>"MOTIVOS DE ALTA"</f>
        <v>MOTIVOS DE ALTA</v>
      </c>
      <c r="F2631" s="2" t="str">
        <f>"M_ESPECIALIDADE_MEIO_MAG"</f>
        <v>M_ESPECIALIDADE_MEIO_MAG</v>
      </c>
      <c r="G2631" s="2" t="str">
        <f>"Faturamento / Faturamento de Convênios e Particulares / Configurações / Geração de Fatura em Meio Magnético / Envio / Especialidades (M_ESPECIALIDADE_MEIO_MAG)"</f>
        <v>Faturamento / Faturamento de Convênios e Particulares / Configurações / Geração de Fatura em Meio Magnético / Envio / Especialidades (M_ESPECIALIDADE_MEIO_MAG)</v>
      </c>
    </row>
    <row r="2632" spans="1:7" x14ac:dyDescent="0.3">
      <c r="A2632" s="1" t="s">
        <v>4</v>
      </c>
      <c r="B2632" s="2" t="str">
        <f t="shared" si="225"/>
        <v>SISTEMA FATURAMENTO CONTAS DE CONVENIO</v>
      </c>
      <c r="C2632" s="2" t="str">
        <f t="shared" si="226"/>
        <v>FATUR-CONV</v>
      </c>
      <c r="D2632" s="2" t="str">
        <f t="shared" si="227"/>
        <v>FFCV</v>
      </c>
      <c r="E2632" s="2" t="str">
        <f>"R_CONTA_REC_CONV_PACIENTE"</f>
        <v>R_CONTA_REC_CONV_PACIENTE</v>
      </c>
      <c r="F2632" s="2" t="str">
        <f>"R_CONTA_REC_CONV_PACIENTE"</f>
        <v>R_CONTA_REC_CONV_PACIENTE</v>
      </c>
      <c r="G2632" s="2" t="s">
        <v>10</v>
      </c>
    </row>
    <row r="2633" spans="1:7" x14ac:dyDescent="0.3">
      <c r="A2633" s="1" t="s">
        <v>4</v>
      </c>
      <c r="B2633" s="2" t="str">
        <f t="shared" si="225"/>
        <v>SISTEMA FATURAMENTO CONTAS DE CONVENIO</v>
      </c>
      <c r="C2633" s="2" t="str">
        <f t="shared" si="226"/>
        <v>FATUR-CONV</v>
      </c>
      <c r="D2633" s="2" t="str">
        <f t="shared" si="227"/>
        <v>FFCV</v>
      </c>
      <c r="E2633" s="2" t="str">
        <f>"R_CONSTA_BRASINDICE"</f>
        <v>R_CONSTA_BRASINDICE</v>
      </c>
      <c r="F2633" s="2" t="str">
        <f>"R_CONSTA_BRASINDICE"</f>
        <v>R_CONSTA_BRASINDICE</v>
      </c>
      <c r="G2633" s="2" t="str">
        <f>"Faturamento / Faturamento de Convênios e Particulares / Relatórios / Tabelas / Configuração / Produtos não constantes no Brasíndice (R_CONSTA_BRASINDICE)"</f>
        <v>Faturamento / Faturamento de Convênios e Particulares / Relatórios / Tabelas / Configuração / Produtos não constantes no Brasíndice (R_CONSTA_BRASINDICE)</v>
      </c>
    </row>
    <row r="2634" spans="1:7" x14ac:dyDescent="0.3">
      <c r="A2634" s="1" t="s">
        <v>4</v>
      </c>
      <c r="B2634" s="2" t="str">
        <f t="shared" si="225"/>
        <v>SISTEMA FATURAMENTO CONTAS DE CONVENIO</v>
      </c>
      <c r="C2634" s="2" t="str">
        <f t="shared" si="226"/>
        <v>FATUR-CONV</v>
      </c>
      <c r="D2634" s="2" t="str">
        <f t="shared" si="227"/>
        <v>FFCV</v>
      </c>
      <c r="E2634" s="2" t="str">
        <f>" R_CONSTA_BRASINDICE.FMX"</f>
        <v xml:space="preserve"> R_CONSTA_BRASINDICE.FMX</v>
      </c>
      <c r="F2634" s="2" t="str">
        <f>" R_CONSTA_BRASINDICE.FMX"</f>
        <v xml:space="preserve"> R_CONSTA_BRASINDICE.FMX</v>
      </c>
      <c r="G2634" s="2" t="str">
        <f>" ()"</f>
        <v xml:space="preserve"> ()</v>
      </c>
    </row>
    <row r="2635" spans="1:7" x14ac:dyDescent="0.3">
      <c r="A2635" s="1" t="s">
        <v>4</v>
      </c>
      <c r="B2635" s="2" t="str">
        <f t="shared" si="225"/>
        <v>SISTEMA FATURAMENTO CONTAS DE CONVENIO</v>
      </c>
      <c r="C2635" s="2" t="str">
        <f t="shared" si="226"/>
        <v>FATUR-CONV</v>
      </c>
      <c r="D2635" s="2" t="str">
        <f t="shared" si="227"/>
        <v>FFCV</v>
      </c>
      <c r="E2635" s="2" t="str">
        <f>"COPIA DE LOTE"</f>
        <v>COPIA DE LOTE</v>
      </c>
      <c r="F2635" s="2" t="str">
        <f>"M_COPIA_LOTE"</f>
        <v>M_COPIA_LOTE</v>
      </c>
      <c r="G2635" s="2" t="str">
        <f>"Faturamento / Faturamento de Convênios e Particulares / Lançamentos / Conta Ambulatorial / Copia Lote (M_COPIA_LOTE)"</f>
        <v>Faturamento / Faturamento de Convênios e Particulares / Lançamentos / Conta Ambulatorial / Copia Lote (M_COPIA_LOTE)</v>
      </c>
    </row>
    <row r="2636" spans="1:7" x14ac:dyDescent="0.3">
      <c r="A2636" s="1" t="s">
        <v>4</v>
      </c>
      <c r="B2636" s="2" t="str">
        <f t="shared" si="225"/>
        <v>SISTEMA FATURAMENTO CONTAS DE CONVENIO</v>
      </c>
      <c r="C2636" s="2" t="str">
        <f t="shared" si="226"/>
        <v>FATUR-CONV</v>
      </c>
      <c r="D2636" s="2" t="str">
        <f t="shared" si="227"/>
        <v>FFCV</v>
      </c>
      <c r="E2636" s="2" t="str">
        <f>"WIN_PRINCIPAL"</f>
        <v>WIN_PRINCIPAL</v>
      </c>
      <c r="F2636" s="2" t="str">
        <f>"O_GERA_ARQMAG_UNIMED"</f>
        <v>O_GERA_ARQMAG_UNIMED</v>
      </c>
      <c r="G2636" s="2" t="str">
        <f>" ()"</f>
        <v xml:space="preserve"> ()</v>
      </c>
    </row>
    <row r="2637" spans="1:7" x14ac:dyDescent="0.3">
      <c r="A2637" s="1" t="s">
        <v>4</v>
      </c>
      <c r="B2637" s="2" t="str">
        <f t="shared" si="225"/>
        <v>SISTEMA FATURAMENTO CONTAS DE CONVENIO</v>
      </c>
      <c r="C2637" s="2" t="str">
        <f t="shared" si="226"/>
        <v>FATUR-CONV</v>
      </c>
      <c r="D2637" s="2" t="str">
        <f t="shared" si="227"/>
        <v>FFCV</v>
      </c>
      <c r="E2637" s="2" t="str">
        <f>"AVISO DE FECHAMENTO DE CONTAS PARCIAIS"</f>
        <v>AVISO DE FECHAMENTO DE CONTAS PARCIAIS</v>
      </c>
      <c r="F2637" s="2" t="str">
        <f>"R_AVISO_PARCIAL"</f>
        <v>R_AVISO_PARCIAL</v>
      </c>
      <c r="G2637" s="2" t="str">
        <f>"Faturamento / Faturamento de Convênios e Particulares / Relatórios / Operacionais / Aviso de Fechamento de Contas Parciais (R_AVISO_PARCIAL)"</f>
        <v>Faturamento / Faturamento de Convênios e Particulares / Relatórios / Operacionais / Aviso de Fechamento de Contas Parciais (R_AVISO_PARCIAL)</v>
      </c>
    </row>
    <row r="2638" spans="1:7" x14ac:dyDescent="0.3">
      <c r="A2638" s="1" t="s">
        <v>4</v>
      </c>
      <c r="B2638" s="2" t="str">
        <f t="shared" si="225"/>
        <v>SISTEMA FATURAMENTO CONTAS DE CONVENIO</v>
      </c>
      <c r="C2638" s="2" t="str">
        <f t="shared" si="226"/>
        <v>FATUR-CONV</v>
      </c>
      <c r="D2638" s="2" t="str">
        <f t="shared" si="227"/>
        <v>FFCV</v>
      </c>
      <c r="E2638" s="2" t="str">
        <f>"IMPORTAÇÕES - IMP. DO BRASINDICE - DADOS"</f>
        <v>IMPORTAÇÕES - IMP. DO BRASINDICE - DADOS</v>
      </c>
      <c r="F2638" s="2" t="str">
        <f>"O_IMPBRASINDI"</f>
        <v>O_IMPBRASINDI</v>
      </c>
      <c r="G2638" s="2" t="str">
        <f>"Faturamento / Faturamento de Convênios e Particulares / Importações / Importação BRASINDICE / Dados (O_IMPBRASINDI)"</f>
        <v>Faturamento / Faturamento de Convênios e Particulares / Importações / Importação BRASINDICE / Dados (O_IMPBRASINDI)</v>
      </c>
    </row>
    <row r="2639" spans="1:7" x14ac:dyDescent="0.3">
      <c r="A2639" s="1" t="s">
        <v>4</v>
      </c>
      <c r="B2639" s="2" t="str">
        <f t="shared" si="225"/>
        <v>SISTEMA FATURAMENTO CONTAS DE CONVENIO</v>
      </c>
      <c r="C2639" s="2" t="str">
        <f t="shared" si="226"/>
        <v>FATUR-CONV</v>
      </c>
      <c r="D2639" s="2" t="str">
        <f t="shared" si="227"/>
        <v>FFCV</v>
      </c>
      <c r="E2639" s="2" t="str">
        <f>"FORMA DE APRESENTACAO"</f>
        <v>FORMA DE APRESENTACAO</v>
      </c>
      <c r="F2639" s="2" t="str">
        <f>"M_FOR_APRE"</f>
        <v>M_FOR_APRE</v>
      </c>
      <c r="G2639" s="2" t="str">
        <f>"Faturamento / Faturamento de Convênios e Particulares / Tabelas / Formas de Apresentação / Cadastramento (M_FOR_APRE)"</f>
        <v>Faturamento / Faturamento de Convênios e Particulares / Tabelas / Formas de Apresentação / Cadastramento (M_FOR_APRE)</v>
      </c>
    </row>
    <row r="2640" spans="1:7" x14ac:dyDescent="0.3">
      <c r="A2640" s="1" t="s">
        <v>4</v>
      </c>
      <c r="B2640" s="2" t="str">
        <f t="shared" si="225"/>
        <v>SISTEMA FATURAMENTO CONTAS DE CONVENIO</v>
      </c>
      <c r="C2640" s="2" t="str">
        <f t="shared" si="226"/>
        <v>FATUR-CONV</v>
      </c>
      <c r="D2640" s="2" t="str">
        <f t="shared" si="227"/>
        <v>FFCV</v>
      </c>
      <c r="E2640" s="2" t="str">
        <f>"REL. - OPER. - SITUAÇÃO DAS CONTAS"</f>
        <v>REL. - OPER. - SITUAÇÃO DAS CONTAS</v>
      </c>
      <c r="F2640" s="2" t="str">
        <f>"R_ATENDE_SEM_CONTA"</f>
        <v>R_ATENDE_SEM_CONTA</v>
      </c>
      <c r="G2640" s="2" t="str">
        <f>"Faturamento / Faturamento de Convênios e Particulares / Relatórios / Operacionais / Situação das Contas (R_ATENDE_SEM_CONTA)"</f>
        <v>Faturamento / Faturamento de Convênios e Particulares / Relatórios / Operacionais / Situação das Contas (R_ATENDE_SEM_CONTA)</v>
      </c>
    </row>
    <row r="2641" spans="1:7" x14ac:dyDescent="0.3">
      <c r="A2641" s="1" t="s">
        <v>4</v>
      </c>
      <c r="B2641" s="2" t="str">
        <f t="shared" si="225"/>
        <v>SISTEMA FATURAMENTO CONTAS DE CONVENIO</v>
      </c>
      <c r="C2641" s="2" t="str">
        <f t="shared" si="226"/>
        <v>FATUR-CONV</v>
      </c>
      <c r="D2641" s="2" t="str">
        <f t="shared" si="227"/>
        <v>FFCV</v>
      </c>
      <c r="E2641" s="2" t="str">
        <f>"REL. - OPER. - SITUAÇÃO DAS CONTAS"</f>
        <v>REL. - OPER. - SITUAÇÃO DAS CONTAS</v>
      </c>
      <c r="F2641" s="2" t="str">
        <f>"R_ATENDE_SEM_CONTA"</f>
        <v>R_ATENDE_SEM_CONTA</v>
      </c>
      <c r="G2641" s="2" t="str">
        <f>"Controladoria / Tesouraria / Relatórios / Faturamento / Situação das Contas (R_ATENDE_SEM_CONTA)"</f>
        <v>Controladoria / Tesouraria / Relatórios / Faturamento / Situação das Contas (R_ATENDE_SEM_CONTA)</v>
      </c>
    </row>
    <row r="2642" spans="1:7" x14ac:dyDescent="0.3">
      <c r="A2642" s="1" t="s">
        <v>4</v>
      </c>
      <c r="B2642" s="2" t="str">
        <f t="shared" si="225"/>
        <v>SISTEMA FATURAMENTO CONTAS DE CONVENIO</v>
      </c>
      <c r="C2642" s="2" t="str">
        <f t="shared" si="226"/>
        <v>FATUR-CONV</v>
      </c>
      <c r="D2642" s="2" t="str">
        <f t="shared" si="227"/>
        <v>FFCV</v>
      </c>
      <c r="E2642" s="2" t="str">
        <f>"REL. - OPER. - SITUAÇÃO DAS CONTAS"</f>
        <v>REL. - OPER. - SITUAÇÃO DAS CONTAS</v>
      </c>
      <c r="F2642" s="2" t="str">
        <f>"R_ATENDE_SEM_CONTA"</f>
        <v>R_ATENDE_SEM_CONTA</v>
      </c>
      <c r="G2642" s="2" t="str">
        <f>"Faturamento / Auditoria e Controle de Recursos de Glosas / Relatórios / Operacionais / Situação das Contas (R_ATENDE_SEM_CONTA)"</f>
        <v>Faturamento / Auditoria e Controle de Recursos de Glosas / Relatórios / Operacionais / Situação das Contas (R_ATENDE_SEM_CONTA)</v>
      </c>
    </row>
    <row r="2643" spans="1:7" x14ac:dyDescent="0.3">
      <c r="A2643" s="1" t="s">
        <v>4</v>
      </c>
      <c r="B2643" s="2" t="str">
        <f t="shared" si="225"/>
        <v>SISTEMA FATURAMENTO CONTAS DE CONVENIO</v>
      </c>
      <c r="C2643" s="2" t="str">
        <f t="shared" si="226"/>
        <v>FATUR-CONV</v>
      </c>
      <c r="D2643" s="2" t="str">
        <f t="shared" si="227"/>
        <v>FFCV</v>
      </c>
      <c r="E2643" s="2" t="str">
        <f>"RELATÓRIO DA FATURA INDIVIDUAL"</f>
        <v>RELATÓRIO DA FATURA INDIVIDUAL</v>
      </c>
      <c r="F2643" s="2" t="str">
        <f>"R_FAT_INDIVIDUAL"</f>
        <v>R_FAT_INDIVIDUAL</v>
      </c>
      <c r="G2643" s="2" t="str">
        <f>"Faturamento / Faturamento de Convênios e Particulares / Relatórios / Fatura / Individual (R_FAT_INDIVIDUAL)"</f>
        <v>Faturamento / Faturamento de Convênios e Particulares / Relatórios / Fatura / Individual (R_FAT_INDIVIDUAL)</v>
      </c>
    </row>
    <row r="2644" spans="1:7" x14ac:dyDescent="0.3">
      <c r="A2644" s="1" t="s">
        <v>4</v>
      </c>
      <c r="B2644" s="2" t="str">
        <f t="shared" si="225"/>
        <v>SISTEMA FATURAMENTO CONTAS DE CONVENIO</v>
      </c>
      <c r="C2644" s="2" t="str">
        <f t="shared" si="226"/>
        <v>FATUR-CONV</v>
      </c>
      <c r="D2644" s="2" t="str">
        <f t="shared" si="227"/>
        <v>FFCV</v>
      </c>
      <c r="E2644" s="2" t="str">
        <f>"RELATÓRIO DA FATURA INDIVIDUAL"</f>
        <v>RELATÓRIO DA FATURA INDIVIDUAL</v>
      </c>
      <c r="F2644" s="2" t="str">
        <f>"R_FAT_INDIVIDUAL"</f>
        <v>R_FAT_INDIVIDUAL</v>
      </c>
      <c r="G2644" s="2" t="str">
        <f>"Controladoria / Tesouraria / Relatórios / Faturamento / Fatura Individual (R_FAT_INDIVIDUAL)"</f>
        <v>Controladoria / Tesouraria / Relatórios / Faturamento / Fatura Individual (R_FAT_INDIVIDUAL)</v>
      </c>
    </row>
    <row r="2645" spans="1:7" x14ac:dyDescent="0.3">
      <c r="A2645" s="1" t="s">
        <v>4</v>
      </c>
      <c r="B2645" s="2" t="str">
        <f t="shared" si="225"/>
        <v>SISTEMA FATURAMENTO CONTAS DE CONVENIO</v>
      </c>
      <c r="C2645" s="2" t="str">
        <f t="shared" si="226"/>
        <v>FATUR-CONV</v>
      </c>
      <c r="D2645" s="2" t="str">
        <f t="shared" si="227"/>
        <v>FFCV</v>
      </c>
      <c r="E2645" s="2" t="str">
        <f>"RELATÓRIO DA FATURA INDIVIDUAL"</f>
        <v>RELATÓRIO DA FATURA INDIVIDUAL</v>
      </c>
      <c r="F2645" s="2" t="str">
        <f>"R_FAT_INDIVIDUAL"</f>
        <v>R_FAT_INDIVIDUAL</v>
      </c>
      <c r="G2645" s="2" t="str">
        <f>"Faturamento / Auditoria e Controle de Recursos de Glosas / Relatórios / Fatura / Individual (R_FAT_INDIVIDUAL)"</f>
        <v>Faturamento / Auditoria e Controle de Recursos de Glosas / Relatórios / Fatura / Individual (R_FAT_INDIVIDUAL)</v>
      </c>
    </row>
    <row r="2646" spans="1:7" x14ac:dyDescent="0.3">
      <c r="A2646" s="1" t="s">
        <v>4</v>
      </c>
      <c r="B2646" s="2" t="str">
        <f t="shared" si="225"/>
        <v>SISTEMA FATURAMENTO CONTAS DE CONVENIO</v>
      </c>
      <c r="C2646" s="2" t="str">
        <f t="shared" si="226"/>
        <v>FATUR-CONV</v>
      </c>
      <c r="D2646" s="2" t="str">
        <f t="shared" si="227"/>
        <v>FFCV</v>
      </c>
      <c r="E2646" s="2" t="str">
        <f>"CONSULTAS - CONTA DO PACIENTE"</f>
        <v>CONSULTAS - CONTA DO PACIENTE</v>
      </c>
      <c r="F2646" s="2" t="str">
        <f>"C_CONTAS"</f>
        <v>C_CONTAS</v>
      </c>
      <c r="G2646" s="2" t="str">
        <f>"MVSaude / Vendas / Internação / Consultas / Conta do Paciente (C_CONTAS)"</f>
        <v>MVSaude / Vendas / Internação / Consultas / Conta do Paciente (C_CONTAS)</v>
      </c>
    </row>
    <row r="2647" spans="1:7" x14ac:dyDescent="0.3">
      <c r="A2647" s="1" t="s">
        <v>4</v>
      </c>
      <c r="B2647" s="2" t="str">
        <f t="shared" si="225"/>
        <v>SISTEMA FATURAMENTO CONTAS DE CONVENIO</v>
      </c>
      <c r="C2647" s="2" t="str">
        <f t="shared" si="226"/>
        <v>FATUR-CONV</v>
      </c>
      <c r="D2647" s="2" t="str">
        <f t="shared" si="227"/>
        <v>FFCV</v>
      </c>
      <c r="E2647" s="2" t="str">
        <f>"CONSULTAS - CONTA DO PACIENTE"</f>
        <v>CONSULTAS - CONTA DO PACIENTE</v>
      </c>
      <c r="F2647" s="2" t="str">
        <f>"C_CONTAS"</f>
        <v>C_CONTAS</v>
      </c>
      <c r="G2647" s="2" t="str">
        <f>"Faturamento / Faturamento de Convênios e Particulares / Consultas / Conta do Paciente (C_CONTAS)"</f>
        <v>Faturamento / Faturamento de Convênios e Particulares / Consultas / Conta do Paciente (C_CONTAS)</v>
      </c>
    </row>
    <row r="2648" spans="1:7" x14ac:dyDescent="0.3">
      <c r="A2648" s="1" t="s">
        <v>4</v>
      </c>
      <c r="B2648" s="2" t="str">
        <f t="shared" si="225"/>
        <v>SISTEMA FATURAMENTO CONTAS DE CONVENIO</v>
      </c>
      <c r="C2648" s="2" t="str">
        <f t="shared" si="226"/>
        <v>FATUR-CONV</v>
      </c>
      <c r="D2648" s="2" t="str">
        <f t="shared" si="227"/>
        <v>FFCV</v>
      </c>
      <c r="E2648" s="2" t="str">
        <f>"CONSULTAS - CONTA DO PACIENTE"</f>
        <v>CONSULTAS - CONTA DO PACIENTE</v>
      </c>
      <c r="F2648" s="2" t="str">
        <f>"C_CONTAS"</f>
        <v>C_CONTAS</v>
      </c>
      <c r="G2648" s="2" t="str">
        <f>"MVSaude / Atendimento / Autorizações de Guias / Internação / Consultas / Conta do Paciente (C_CONTAS)"</f>
        <v>MVSaude / Atendimento / Autorizações de Guias / Internação / Consultas / Conta do Paciente (C_CONTAS)</v>
      </c>
    </row>
    <row r="2649" spans="1:7" x14ac:dyDescent="0.3">
      <c r="A2649" s="1" t="s">
        <v>4</v>
      </c>
      <c r="B2649" s="2" t="str">
        <f t="shared" si="225"/>
        <v>SISTEMA FATURAMENTO CONTAS DE CONVENIO</v>
      </c>
      <c r="C2649" s="2" t="str">
        <f t="shared" si="226"/>
        <v>FATUR-CONV</v>
      </c>
      <c r="D2649" s="2" t="str">
        <f t="shared" si="227"/>
        <v>FFCV</v>
      </c>
      <c r="E2649" s="2" t="str">
        <f>"CONSULTAS - CONTA DO PACIENTE"</f>
        <v>CONSULTAS - CONTA DO PACIENTE</v>
      </c>
      <c r="F2649" s="2" t="str">
        <f>"C_CONTAS"</f>
        <v>C_CONTAS</v>
      </c>
      <c r="G2649" s="2" t="str">
        <f>"Atendimento / Internação Domiciliar (Home Care) / Consultas / Conta do Paciente (C_CONTAS)"</f>
        <v>Atendimento / Internação Domiciliar (Home Care) / Consultas / Conta do Paciente (C_CONTAS)</v>
      </c>
    </row>
    <row r="2650" spans="1:7" x14ac:dyDescent="0.3">
      <c r="A2650" s="1" t="s">
        <v>4</v>
      </c>
      <c r="B2650" s="2" t="str">
        <f t="shared" si="225"/>
        <v>SISTEMA FATURAMENTO CONTAS DE CONVENIO</v>
      </c>
      <c r="C2650" s="2" t="str">
        <f t="shared" si="226"/>
        <v>FATUR-CONV</v>
      </c>
      <c r="D2650" s="2" t="str">
        <f t="shared" si="227"/>
        <v>FFCV</v>
      </c>
      <c r="E2650" s="2" t="str">
        <f>"ATIVIDADES MEDICAS"</f>
        <v>ATIVIDADES MEDICAS</v>
      </c>
      <c r="F2650" s="2" t="str">
        <f>"R_ATI_MED"</f>
        <v>R_ATI_MED</v>
      </c>
      <c r="G2650" s="2" t="str">
        <f>"Faturamento / Faturamento de Convênios e Particulares / Relatórios / Tabelas / Gerais / Atividades Médicas (R_ATI_MED)"</f>
        <v>Faturamento / Faturamento de Convênios e Particulares / Relatórios / Tabelas / Gerais / Atividades Médicas (R_ATI_MED)</v>
      </c>
    </row>
    <row r="2651" spans="1:7" x14ac:dyDescent="0.3">
      <c r="A2651" s="1" t="s">
        <v>4</v>
      </c>
      <c r="B2651" s="2" t="str">
        <f t="shared" si="225"/>
        <v>SISTEMA FATURAMENTO CONTAS DE CONVENIO</v>
      </c>
      <c r="C2651" s="2" t="str">
        <f t="shared" si="226"/>
        <v>FATUR-CONV</v>
      </c>
      <c r="D2651" s="2" t="str">
        <f t="shared" si="227"/>
        <v>FFCV</v>
      </c>
      <c r="E2651" s="2" t="str">
        <f>"ATIVIDADES MEDICAS"</f>
        <v>ATIVIDADES MEDICAS</v>
      </c>
      <c r="F2651" s="2" t="str">
        <f>"R_ATI_MED"</f>
        <v>R_ATI_MED</v>
      </c>
      <c r="G2651" s="2" t="str">
        <f>"Faturamento / Auditoria e Controle de Recursos de Glosas / Relatórios / Tabelas / Gerais / Atividades Médicas (R_ATI_MED)"</f>
        <v>Faturamento / Auditoria e Controle de Recursos de Glosas / Relatórios / Tabelas / Gerais / Atividades Médicas (R_ATI_MED)</v>
      </c>
    </row>
    <row r="2652" spans="1:7" x14ac:dyDescent="0.3">
      <c r="A2652" s="1" t="s">
        <v>4</v>
      </c>
      <c r="B2652" s="2" t="str">
        <f t="shared" si="225"/>
        <v>SISTEMA FATURAMENTO CONTAS DE CONVENIO</v>
      </c>
      <c r="C2652" s="2" t="str">
        <f t="shared" si="226"/>
        <v>FATUR-CONV</v>
      </c>
      <c r="D2652" s="2" t="str">
        <f t="shared" si="227"/>
        <v>FFCV</v>
      </c>
      <c r="E2652" s="2" t="str">
        <f>"M_MOVDOC"</f>
        <v>M_MOVDOC</v>
      </c>
      <c r="F2652" s="2" t="str">
        <f>"M_MOVDOC"</f>
        <v>M_MOVDOC</v>
      </c>
      <c r="G2652" s="2" t="str">
        <f>" ()"</f>
        <v xml:space="preserve"> ()</v>
      </c>
    </row>
    <row r="2653" spans="1:7" x14ac:dyDescent="0.3">
      <c r="A2653" s="1" t="s">
        <v>4</v>
      </c>
      <c r="B2653" s="2" t="str">
        <f t="shared" si="225"/>
        <v>SISTEMA FATURAMENTO CONTAS DE CONVENIO</v>
      </c>
      <c r="C2653" s="2" t="str">
        <f t="shared" si="226"/>
        <v>FATUR-CONV</v>
      </c>
      <c r="D2653" s="2" t="str">
        <f t="shared" si="227"/>
        <v>FFCV</v>
      </c>
      <c r="E2653" s="2" t="str">
        <f>"LANCA_FFCV_PRO_RELACIONADOS"</f>
        <v>LANCA_FFCV_PRO_RELACIONADOS</v>
      </c>
      <c r="F2653" s="2" t="str">
        <f>"LANCA_FFCV_PRO_RELACIONADOS"</f>
        <v>LANCA_FFCV_PRO_RELACIONADOS</v>
      </c>
      <c r="G2653" s="2" t="str">
        <f>" ()"</f>
        <v xml:space="preserve"> ()</v>
      </c>
    </row>
    <row r="2654" spans="1:7" x14ac:dyDescent="0.3">
      <c r="A2654" s="1" t="s">
        <v>4</v>
      </c>
      <c r="B2654" s="2" t="str">
        <f t="shared" si="225"/>
        <v>SISTEMA FATURAMENTO CONTAS DE CONVENIO</v>
      </c>
      <c r="C2654" s="2" t="str">
        <f t="shared" si="226"/>
        <v>FATUR-CONV</v>
      </c>
      <c r="D2654" s="2" t="str">
        <f t="shared" si="227"/>
        <v>FFCV</v>
      </c>
      <c r="E2654" s="2" t="str">
        <f>"CONSULTA: CONVÊNIOS E PLANOS"</f>
        <v>CONSULTA: CONVÊNIOS E PLANOS</v>
      </c>
      <c r="F2654" s="2" t="str">
        <f>"C_CONVENIO"</f>
        <v>C_CONVENIO</v>
      </c>
      <c r="G2654" s="2" t="str">
        <f>"Faturamento / Faturamento de Convênios e Particulares / Consultas / Cobranças e Valorizações / Convenios e Planos (C_CONVENIO)"</f>
        <v>Faturamento / Faturamento de Convênios e Particulares / Consultas / Cobranças e Valorizações / Convenios e Planos (C_CONVENIO)</v>
      </c>
    </row>
    <row r="2655" spans="1:7" x14ac:dyDescent="0.3">
      <c r="A2655" s="1" t="s">
        <v>4</v>
      </c>
      <c r="B2655" s="2" t="str">
        <f t="shared" si="225"/>
        <v>SISTEMA FATURAMENTO CONTAS DE CONVENIO</v>
      </c>
      <c r="C2655" s="2" t="str">
        <f t="shared" si="226"/>
        <v>FATUR-CONV</v>
      </c>
      <c r="D2655" s="2" t="str">
        <f t="shared" si="227"/>
        <v>FFCV</v>
      </c>
      <c r="E2655" s="2" t="str">
        <f>"CONSULTA: TABELAS DE FATURAMENTO"</f>
        <v>CONSULTA: TABELAS DE FATURAMENTO</v>
      </c>
      <c r="F2655" s="2" t="str">
        <f>"C_TABFAT"</f>
        <v>C_TABFAT</v>
      </c>
      <c r="G2655" s="2" t="str">
        <f>"Faturamento / Faturamento de Convênios e Particulares / Consultas / Cobranças e Valorizações / Tabelas de Faturamento (C_TABFAT)"</f>
        <v>Faturamento / Faturamento de Convênios e Particulares / Consultas / Cobranças e Valorizações / Tabelas de Faturamento (C_TABFAT)</v>
      </c>
    </row>
    <row r="2656" spans="1:7" x14ac:dyDescent="0.3">
      <c r="A2656" s="1" t="s">
        <v>4</v>
      </c>
      <c r="B2656" s="2" t="str">
        <f t="shared" si="225"/>
        <v>SISTEMA FATURAMENTO CONTAS DE CONVENIO</v>
      </c>
      <c r="C2656" s="2" t="str">
        <f t="shared" si="226"/>
        <v>FATUR-CONV</v>
      </c>
      <c r="D2656" s="2" t="str">
        <f t="shared" si="227"/>
        <v>FFCV</v>
      </c>
      <c r="E2656" s="2" t="str">
        <f>"CONSULTA: INDICES"</f>
        <v>CONSULTA: INDICES</v>
      </c>
      <c r="F2656" s="2" t="str">
        <f>"C_INDICE"</f>
        <v>C_INDICE</v>
      </c>
      <c r="G2656" s="2" t="str">
        <f>"Faturamento / Faturamento de Convênios e Particulares / Consultas / Cobranças e Valorizações / Índices (C_INDICE)"</f>
        <v>Faturamento / Faturamento de Convênios e Particulares / Consultas / Cobranças e Valorizações / Índices (C_INDICE)</v>
      </c>
    </row>
    <row r="2657" spans="1:7" x14ac:dyDescent="0.3">
      <c r="A2657" s="1" t="s">
        <v>4</v>
      </c>
      <c r="B2657" s="2" t="str">
        <f t="shared" si="225"/>
        <v>SISTEMA FATURAMENTO CONTAS DE CONVENIO</v>
      </c>
      <c r="C2657" s="2" t="str">
        <f t="shared" si="226"/>
        <v>FATUR-CONV</v>
      </c>
      <c r="D2657" s="2" t="str">
        <f t="shared" si="227"/>
        <v>FFCV</v>
      </c>
      <c r="E2657" s="2" t="str">
        <f>"CONSULTA: REGRAS DE COBRANÇA"</f>
        <v>CONSULTA: REGRAS DE COBRANÇA</v>
      </c>
      <c r="F2657" s="2" t="str">
        <f>"C_REGRA"</f>
        <v>C_REGRA</v>
      </c>
      <c r="G2657" s="2" t="str">
        <f>"Faturamento / Faturamento de Convênios e Particulares / Consultas / Cobranças e Valorizações / Regras (C_REGRA)"</f>
        <v>Faturamento / Faturamento de Convênios e Particulares / Consultas / Cobranças e Valorizações / Regras (C_REGRA)</v>
      </c>
    </row>
    <row r="2658" spans="1:7" x14ac:dyDescent="0.3">
      <c r="A2658" s="1" t="s">
        <v>4</v>
      </c>
      <c r="B2658" s="2" t="str">
        <f t="shared" si="225"/>
        <v>SISTEMA FATURAMENTO CONTAS DE CONVENIO</v>
      </c>
      <c r="C2658" s="2" t="str">
        <f t="shared" si="226"/>
        <v>FATUR-CONV</v>
      </c>
      <c r="D2658" s="2" t="str">
        <f t="shared" si="227"/>
        <v>FFCV</v>
      </c>
      <c r="E2658" s="2" t="str">
        <f>"WIN_PRINCIPAL"</f>
        <v>WIN_PRINCIPAL</v>
      </c>
      <c r="F2658" s="2" t="str">
        <f>"M_USUARIO_SETOR_FFCV"</f>
        <v>M_USUARIO_SETOR_FFCV</v>
      </c>
      <c r="G2658" s="2" t="str">
        <f>"Apoio a TI / Gestão de Usuários / Configurações de Acesso / Acessos Faturamento / Usuários por Setor-Faturamento (M_USUARIO_SETOR_FFCV)"</f>
        <v>Apoio a TI / Gestão de Usuários / Configurações de Acesso / Acessos Faturamento / Usuários por Setor-Faturamento (M_USUARIO_SETOR_FFCV)</v>
      </c>
    </row>
    <row r="2659" spans="1:7" x14ac:dyDescent="0.3">
      <c r="A2659" s="1" t="s">
        <v>4</v>
      </c>
      <c r="B2659" s="2" t="str">
        <f t="shared" si="225"/>
        <v>SISTEMA FATURAMENTO CONTAS DE CONVENIO</v>
      </c>
      <c r="C2659" s="2" t="str">
        <f t="shared" si="226"/>
        <v>FATUR-CONV</v>
      </c>
      <c r="D2659" s="2" t="str">
        <f t="shared" si="227"/>
        <v>FFCV</v>
      </c>
      <c r="E2659" s="2" t="str">
        <f>"R_FAT_ESPEC_BAIRRO_DT_LANC"</f>
        <v>R_FAT_ESPEC_BAIRRO_DT_LANC</v>
      </c>
      <c r="F2659" s="2" t="str">
        <f>"R_FAT_ESPEC_BAIRRO_DT_LANC"</f>
        <v>R_FAT_ESPEC_BAIRRO_DT_LANC</v>
      </c>
      <c r="G2659" s="2" t="str">
        <f t="shared" ref="G2659:G2674" si="228">" ()"</f>
        <v xml:space="preserve"> ()</v>
      </c>
    </row>
    <row r="2660" spans="1:7" x14ac:dyDescent="0.3">
      <c r="A2660" s="1" t="s">
        <v>4</v>
      </c>
      <c r="B2660" s="2" t="str">
        <f t="shared" si="225"/>
        <v>SISTEMA FATURAMENTO CONTAS DE CONVENIO</v>
      </c>
      <c r="C2660" s="2" t="str">
        <f t="shared" si="226"/>
        <v>FATUR-CONV</v>
      </c>
      <c r="D2660" s="2" t="str">
        <f t="shared" si="227"/>
        <v>FFCV</v>
      </c>
      <c r="E2660" s="2" t="str">
        <f>"R_FAT_CONV_BAIRRO_DT_LANC"</f>
        <v>R_FAT_CONV_BAIRRO_DT_LANC</v>
      </c>
      <c r="F2660" s="2" t="str">
        <f>"R_FAT_CONV_BAIRRO_DT_LANC"</f>
        <v>R_FAT_CONV_BAIRRO_DT_LANC</v>
      </c>
      <c r="G2660" s="2" t="str">
        <f t="shared" si="228"/>
        <v xml:space="preserve"> ()</v>
      </c>
    </row>
    <row r="2661" spans="1:7" x14ac:dyDescent="0.3">
      <c r="A2661" s="1" t="s">
        <v>4</v>
      </c>
      <c r="B2661" s="2" t="str">
        <f t="shared" si="225"/>
        <v>SISTEMA FATURAMENTO CONTAS DE CONVENIO</v>
      </c>
      <c r="C2661" s="2" t="str">
        <f t="shared" si="226"/>
        <v>FATUR-CONV</v>
      </c>
      <c r="D2661" s="2" t="str">
        <f t="shared" si="227"/>
        <v>FFCV</v>
      </c>
      <c r="E2661" s="2" t="str">
        <f>"M_LAN_AMB&gt;PARTICULAR"</f>
        <v>M_LAN_AMB&gt;PARTICULAR</v>
      </c>
      <c r="F2661" s="2" t="str">
        <f>"M_LAN_AMB&gt;PARTICULAR"</f>
        <v>M_LAN_AMB&gt;PARTICULAR</v>
      </c>
      <c r="G2661" s="2" t="str">
        <f t="shared" si="228"/>
        <v xml:space="preserve"> ()</v>
      </c>
    </row>
    <row r="2662" spans="1:7" x14ac:dyDescent="0.3">
      <c r="A2662" s="1" t="s">
        <v>4</v>
      </c>
      <c r="B2662" s="2" t="str">
        <f t="shared" si="225"/>
        <v>SISTEMA FATURAMENTO CONTAS DE CONVENIO</v>
      </c>
      <c r="C2662" s="2" t="str">
        <f t="shared" si="226"/>
        <v>FATUR-CONV</v>
      </c>
      <c r="D2662" s="2" t="str">
        <f t="shared" si="227"/>
        <v>FFCV</v>
      </c>
      <c r="E2662" s="2" t="str">
        <f>"M_FATURA_REMESSA"</f>
        <v>M_FATURA_REMESSA</v>
      </c>
      <c r="F2662" s="2" t="str">
        <f>"M_FATURA_REMESSA"</f>
        <v>M_FATURA_REMESSA</v>
      </c>
      <c r="G2662" s="2" t="str">
        <f t="shared" si="228"/>
        <v xml:space="preserve"> ()</v>
      </c>
    </row>
    <row r="2663" spans="1:7" x14ac:dyDescent="0.3">
      <c r="A2663" s="1" t="s">
        <v>4</v>
      </c>
      <c r="B2663" s="2" t="str">
        <f t="shared" si="225"/>
        <v>SISTEMA FATURAMENTO CONTAS DE CONVENIO</v>
      </c>
      <c r="C2663" s="2" t="str">
        <f t="shared" si="226"/>
        <v>FATUR-CONV</v>
      </c>
      <c r="D2663" s="2" t="str">
        <f t="shared" si="227"/>
        <v>FFCV</v>
      </c>
      <c r="E2663" s="2" t="str">
        <f>"R_RECIBO_460"</f>
        <v>R_RECIBO_460</v>
      </c>
      <c r="F2663" s="2" t="str">
        <f>"R_RECIBO_460"</f>
        <v>R_RECIBO_460</v>
      </c>
      <c r="G2663" s="2" t="str">
        <f t="shared" si="228"/>
        <v xml:space="preserve"> ()</v>
      </c>
    </row>
    <row r="2664" spans="1:7" x14ac:dyDescent="0.3">
      <c r="A2664" s="1" t="s">
        <v>4</v>
      </c>
      <c r="B2664" s="2" t="str">
        <f t="shared" si="225"/>
        <v>SISTEMA FATURAMENTO CONTAS DE CONVENIO</v>
      </c>
      <c r="C2664" s="2" t="str">
        <f t="shared" si="226"/>
        <v>FATUR-CONV</v>
      </c>
      <c r="D2664" s="2" t="str">
        <f t="shared" si="227"/>
        <v>FFCV</v>
      </c>
      <c r="E2664" s="2" t="str">
        <f>"R_LOTE_POR_ATEND_750"</f>
        <v>R_LOTE_POR_ATEND_750</v>
      </c>
      <c r="F2664" s="2" t="str">
        <f>"R_LOTE_POR_ATEND_750"</f>
        <v>R_LOTE_POR_ATEND_750</v>
      </c>
      <c r="G2664" s="2" t="str">
        <f t="shared" si="228"/>
        <v xml:space="preserve"> ()</v>
      </c>
    </row>
    <row r="2665" spans="1:7" x14ac:dyDescent="0.3">
      <c r="A2665" s="1" t="s">
        <v>4</v>
      </c>
      <c r="B2665" s="2" t="str">
        <f t="shared" si="225"/>
        <v>SISTEMA FATURAMENTO CONTAS DE CONVENIO</v>
      </c>
      <c r="C2665" s="2" t="str">
        <f t="shared" si="226"/>
        <v>FATUR-CONV</v>
      </c>
      <c r="D2665" s="2" t="str">
        <f t="shared" si="227"/>
        <v>FFCV</v>
      </c>
      <c r="E2665" s="2" t="str">
        <f>"R_FAT_MEDICO_BAIRRO_DT_LANC"</f>
        <v>R_FAT_MEDICO_BAIRRO_DT_LANC</v>
      </c>
      <c r="F2665" s="2" t="str">
        <f>"R_FAT_MEDICO_BAIRRO_DT_LANC"</f>
        <v>R_FAT_MEDICO_BAIRRO_DT_LANC</v>
      </c>
      <c r="G2665" s="2" t="str">
        <f t="shared" si="228"/>
        <v xml:space="preserve"> ()</v>
      </c>
    </row>
    <row r="2666" spans="1:7" x14ac:dyDescent="0.3">
      <c r="A2666" s="1" t="s">
        <v>4</v>
      </c>
      <c r="B2666" s="2" t="str">
        <f t="shared" si="225"/>
        <v>SISTEMA FATURAMENTO CONTAS DE CONVENIO</v>
      </c>
      <c r="C2666" s="2" t="str">
        <f t="shared" si="226"/>
        <v>FATUR-CONV</v>
      </c>
      <c r="D2666" s="2" t="str">
        <f t="shared" si="227"/>
        <v>FFCV</v>
      </c>
      <c r="E2666" s="2" t="str">
        <f>"R"</f>
        <v>R</v>
      </c>
      <c r="F2666" s="2" t="str">
        <f>"R"</f>
        <v>R</v>
      </c>
      <c r="G2666" s="2" t="str">
        <f t="shared" si="228"/>
        <v xml:space="preserve"> ()</v>
      </c>
    </row>
    <row r="2667" spans="1:7" x14ac:dyDescent="0.3">
      <c r="A2667" s="1" t="s">
        <v>4</v>
      </c>
      <c r="B2667" s="2" t="str">
        <f t="shared" si="225"/>
        <v>SISTEMA FATURAMENTO CONTAS DE CONVENIO</v>
      </c>
      <c r="C2667" s="2" t="str">
        <f t="shared" si="226"/>
        <v>FATUR-CONV</v>
      </c>
      <c r="D2667" s="2" t="str">
        <f t="shared" si="227"/>
        <v>FFCV</v>
      </c>
      <c r="E2667" s="2" t="str">
        <f>"R_DEMO_MED_SINT_DT_LAN"</f>
        <v>R_DEMO_MED_SINT_DT_LAN</v>
      </c>
      <c r="F2667" s="2" t="str">
        <f>"R_DEMO_MED_SINT_DT_LAN"</f>
        <v>R_DEMO_MED_SINT_DT_LAN</v>
      </c>
      <c r="G2667" s="2" t="str">
        <f t="shared" si="228"/>
        <v xml:space="preserve"> ()</v>
      </c>
    </row>
    <row r="2668" spans="1:7" x14ac:dyDescent="0.3">
      <c r="A2668" s="1" t="s">
        <v>4</v>
      </c>
      <c r="B2668" s="2" t="str">
        <f t="shared" si="225"/>
        <v>SISTEMA FATURAMENTO CONTAS DE CONVENIO</v>
      </c>
      <c r="C2668" s="2" t="str">
        <f t="shared" si="226"/>
        <v>FATUR-CONV</v>
      </c>
      <c r="D2668" s="2" t="str">
        <f t="shared" si="227"/>
        <v>FFCV</v>
      </c>
      <c r="E2668" s="2" t="str">
        <f>"R_CONTA_PAC_PART"</f>
        <v>R_CONTA_PAC_PART</v>
      </c>
      <c r="F2668" s="2" t="str">
        <f>"R_CONTA_PAC_PART"</f>
        <v>R_CONTA_PAC_PART</v>
      </c>
      <c r="G2668" s="2" t="str">
        <f t="shared" si="228"/>
        <v xml:space="preserve"> ()</v>
      </c>
    </row>
    <row r="2669" spans="1:7" x14ac:dyDescent="0.3">
      <c r="A2669" s="1" t="s">
        <v>4</v>
      </c>
      <c r="B2669" s="2" t="str">
        <f t="shared" si="225"/>
        <v>SISTEMA FATURAMENTO CONTAS DE CONVENIO</v>
      </c>
      <c r="C2669" s="2" t="str">
        <f t="shared" si="226"/>
        <v>FATUR-CONV</v>
      </c>
      <c r="D2669" s="2" t="str">
        <f t="shared" si="227"/>
        <v>FFCV</v>
      </c>
      <c r="E2669" s="2" t="str">
        <f>"R_NOTA_FISCAL_460"</f>
        <v>R_NOTA_FISCAL_460</v>
      </c>
      <c r="F2669" s="2" t="str">
        <f>"R_NOTA_FISCAL_460"</f>
        <v>R_NOTA_FISCAL_460</v>
      </c>
      <c r="G2669" s="2" t="str">
        <f t="shared" si="228"/>
        <v xml:space="preserve"> ()</v>
      </c>
    </row>
    <row r="2670" spans="1:7" x14ac:dyDescent="0.3">
      <c r="A2670" s="1" t="s">
        <v>4</v>
      </c>
      <c r="B2670" s="2" t="str">
        <f t="shared" si="225"/>
        <v>SISTEMA FATURAMENTO CONTAS DE CONVENIO</v>
      </c>
      <c r="C2670" s="2" t="str">
        <f t="shared" si="226"/>
        <v>FATUR-CONV</v>
      </c>
      <c r="D2670" s="2" t="str">
        <f t="shared" si="227"/>
        <v>FFCV</v>
      </c>
      <c r="E2670" s="2" t="str">
        <f>"R_TRANS_LEITO"</f>
        <v>R_TRANS_LEITO</v>
      </c>
      <c r="F2670" s="2" t="str">
        <f>"R_TRANS_LEITO"</f>
        <v>R_TRANS_LEITO</v>
      </c>
      <c r="G2670" s="2" t="str">
        <f t="shared" si="228"/>
        <v xml:space="preserve"> ()</v>
      </c>
    </row>
    <row r="2671" spans="1:7" x14ac:dyDescent="0.3">
      <c r="A2671" s="1" t="s">
        <v>4</v>
      </c>
      <c r="B2671" s="2" t="str">
        <f t="shared" si="225"/>
        <v>SISTEMA FATURAMENTO CONTAS DE CONVENIO</v>
      </c>
      <c r="C2671" s="2" t="str">
        <f t="shared" si="226"/>
        <v>FATUR-CONV</v>
      </c>
      <c r="D2671" s="2" t="str">
        <f t="shared" si="227"/>
        <v>FFCV</v>
      </c>
      <c r="E2671" s="2" t="str">
        <f>"RECIBO MÉDICO DE GOIANIA"</f>
        <v>RECIBO MÉDICO DE GOIANIA</v>
      </c>
      <c r="F2671" s="2" t="str">
        <f>"RECIBO_CONSULTA_GO"</f>
        <v>RECIBO_CONSULTA_GO</v>
      </c>
      <c r="G2671" s="2" t="str">
        <f t="shared" si="228"/>
        <v xml:space="preserve"> ()</v>
      </c>
    </row>
    <row r="2672" spans="1:7" x14ac:dyDescent="0.3">
      <c r="A2672" s="1" t="s">
        <v>4</v>
      </c>
      <c r="B2672" s="2" t="str">
        <f t="shared" si="225"/>
        <v>SISTEMA FATURAMENTO CONTAS DE CONVENIO</v>
      </c>
      <c r="C2672" s="2" t="str">
        <f t="shared" si="226"/>
        <v>FATUR-CONV</v>
      </c>
      <c r="D2672" s="2" t="str">
        <f t="shared" si="227"/>
        <v>FFCV</v>
      </c>
      <c r="E2672" s="2" t="str">
        <f>"O_IMPISPARGO"</f>
        <v>O_IMPISPARGO</v>
      </c>
      <c r="F2672" s="2" t="str">
        <f>"O_IMPISPARGO"</f>
        <v>O_IMPISPARGO</v>
      </c>
      <c r="G2672" s="2" t="str">
        <f t="shared" si="228"/>
        <v xml:space="preserve"> ()</v>
      </c>
    </row>
    <row r="2673" spans="1:7" x14ac:dyDescent="0.3">
      <c r="A2673" s="1" t="s">
        <v>4</v>
      </c>
      <c r="B2673" s="2" t="str">
        <f t="shared" si="225"/>
        <v>SISTEMA FATURAMENTO CONTAS DE CONVENIO</v>
      </c>
      <c r="C2673" s="2" t="str">
        <f t="shared" si="226"/>
        <v>FATUR-CONV</v>
      </c>
      <c r="D2673" s="2" t="str">
        <f t="shared" si="227"/>
        <v>FFCV</v>
      </c>
      <c r="E2673" s="2" t="str">
        <f>"R_COMPROVANTE_PAGTO_GO"</f>
        <v>R_COMPROVANTE_PAGTO_GO</v>
      </c>
      <c r="F2673" s="2" t="str">
        <f>"R_COMPROVANTE_PAGTO_GO"</f>
        <v>R_COMPROVANTE_PAGTO_GO</v>
      </c>
      <c r="G2673" s="2" t="str">
        <f t="shared" si="228"/>
        <v xml:space="preserve"> ()</v>
      </c>
    </row>
    <row r="2674" spans="1:7" x14ac:dyDescent="0.3">
      <c r="A2674" s="1" t="s">
        <v>4</v>
      </c>
      <c r="B2674" s="2" t="str">
        <f t="shared" si="225"/>
        <v>SISTEMA FATURAMENTO CONTAS DE CONVENIO</v>
      </c>
      <c r="C2674" s="2" t="str">
        <f t="shared" si="226"/>
        <v>FATUR-CONV</v>
      </c>
      <c r="D2674" s="2" t="str">
        <f t="shared" si="227"/>
        <v>FFCV</v>
      </c>
      <c r="E2674" s="2" t="str">
        <f>"R_CONF_LANC_SETOR"</f>
        <v>R_CONF_LANC_SETOR</v>
      </c>
      <c r="F2674" s="2" t="str">
        <f>"R_CONF_LANC_SETOR"</f>
        <v>R_CONF_LANC_SETOR</v>
      </c>
      <c r="G2674" s="2" t="str">
        <f t="shared" si="228"/>
        <v xml:space="preserve"> ()</v>
      </c>
    </row>
    <row r="2675" spans="1:7" x14ac:dyDescent="0.3">
      <c r="A2675" s="1" t="s">
        <v>4</v>
      </c>
      <c r="B2675" s="2" t="str">
        <f t="shared" si="225"/>
        <v>SISTEMA FATURAMENTO CONTAS DE CONVENIO</v>
      </c>
      <c r="C2675" s="2" t="str">
        <f t="shared" si="226"/>
        <v>FATUR-CONV</v>
      </c>
      <c r="D2675" s="2" t="str">
        <f t="shared" si="227"/>
        <v>FFCV</v>
      </c>
      <c r="E2675" s="2" t="str">
        <f>"RECIBO DO PACIENTE"</f>
        <v>RECIBO DO PACIENTE</v>
      </c>
      <c r="F2675" s="2" t="str">
        <f>"R_AUDITORIA_PROC_297"</f>
        <v>R_AUDITORIA_PROC_297</v>
      </c>
      <c r="G2675" s="2" t="str">
        <f>"Faturamento / Auditoria e Controle de Recursos de Glosas / Relatórios / Operacionais / Auditoria / Relatório de Auditoria Analítico (R_AUDITORIA_PROC_297)"</f>
        <v>Faturamento / Auditoria e Controle de Recursos de Glosas / Relatórios / Operacionais / Auditoria / Relatório de Auditoria Analítico (R_AUDITORIA_PROC_297)</v>
      </c>
    </row>
    <row r="2676" spans="1:7" x14ac:dyDescent="0.3">
      <c r="A2676" s="1" t="s">
        <v>4</v>
      </c>
      <c r="B2676" s="2" t="str">
        <f t="shared" si="225"/>
        <v>SISTEMA FATURAMENTO CONTAS DE CONVENIO</v>
      </c>
      <c r="C2676" s="2" t="str">
        <f t="shared" si="226"/>
        <v>FATUR-CONV</v>
      </c>
      <c r="D2676" s="2" t="str">
        <f t="shared" si="227"/>
        <v>FFCV</v>
      </c>
      <c r="E2676" s="2" t="str">
        <f>"R_EST_FAT_SEMESTRAL"</f>
        <v>R_EST_FAT_SEMESTRAL</v>
      </c>
      <c r="F2676" s="2" t="str">
        <f>"R_EST_FAT_SEMESTRAL"</f>
        <v>R_EST_FAT_SEMESTRAL</v>
      </c>
      <c r="G2676" s="2" t="str">
        <f>" ()"</f>
        <v xml:space="preserve"> ()</v>
      </c>
    </row>
    <row r="2677" spans="1:7" x14ac:dyDescent="0.3">
      <c r="A2677" s="1" t="s">
        <v>4</v>
      </c>
      <c r="B2677" s="2" t="str">
        <f t="shared" si="225"/>
        <v>SISTEMA FATURAMENTO CONTAS DE CONVENIO</v>
      </c>
      <c r="C2677" s="2" t="str">
        <f t="shared" si="226"/>
        <v>FATUR-CONV</v>
      </c>
      <c r="D2677" s="2" t="str">
        <f t="shared" si="227"/>
        <v>FFCV</v>
      </c>
      <c r="E2677" s="2" t="str">
        <f>"M_LOT_FAT"</f>
        <v>M_LOT_FAT</v>
      </c>
      <c r="F2677" s="2" t="str">
        <f>"M_LOT_FAT"</f>
        <v>M_LOT_FAT</v>
      </c>
      <c r="G2677" s="2" t="str">
        <f>" ()"</f>
        <v xml:space="preserve"> ()</v>
      </c>
    </row>
    <row r="2678" spans="1:7" x14ac:dyDescent="0.3">
      <c r="A2678" s="1" t="s">
        <v>4</v>
      </c>
      <c r="B2678" s="2" t="str">
        <f t="shared" si="225"/>
        <v>SISTEMA FATURAMENTO CONTAS DE CONVENIO</v>
      </c>
      <c r="C2678" s="2" t="str">
        <f t="shared" si="226"/>
        <v>FATUR-CONV</v>
      </c>
      <c r="D2678" s="2" t="str">
        <f t="shared" si="227"/>
        <v>FFCV</v>
      </c>
      <c r="E2678" s="2" t="str">
        <f>"RELATÓRIO DE TABELAS DE FATURAMENTO"</f>
        <v>RELATÓRIO DE TABELAS DE FATURAMENTO</v>
      </c>
      <c r="F2678" s="2" t="str">
        <f>"R_TAB_PROCEDIMENTOS"</f>
        <v>R_TAB_PROCEDIMENTOS</v>
      </c>
      <c r="G2678" s="2" t="str">
        <f>" ()"</f>
        <v xml:space="preserve"> ()</v>
      </c>
    </row>
    <row r="2679" spans="1:7" x14ac:dyDescent="0.3">
      <c r="A2679" s="1" t="s">
        <v>4</v>
      </c>
      <c r="B2679" s="2" t="str">
        <f t="shared" si="225"/>
        <v>SISTEMA FATURAMENTO CONTAS DE CONVENIO</v>
      </c>
      <c r="C2679" s="2" t="str">
        <f t="shared" si="226"/>
        <v>FATUR-CONV</v>
      </c>
      <c r="D2679" s="2" t="str">
        <f t="shared" si="227"/>
        <v>FFCV</v>
      </c>
      <c r="E2679" s="2" t="str">
        <f>"R_FATURA_COD_GRU_PRO"</f>
        <v>R_FATURA_COD_GRU_PRO</v>
      </c>
      <c r="F2679" s="2" t="str">
        <f>"R_FATURA_COD_GRU_PRO"</f>
        <v>R_FATURA_COD_GRU_PRO</v>
      </c>
      <c r="G2679" s="2" t="str">
        <f>" ()"</f>
        <v xml:space="preserve"> ()</v>
      </c>
    </row>
    <row r="2680" spans="1:7" x14ac:dyDescent="0.3">
      <c r="A2680" s="1" t="s">
        <v>4</v>
      </c>
      <c r="B2680" s="2" t="str">
        <f t="shared" si="225"/>
        <v>SISTEMA FATURAMENTO CONTAS DE CONVENIO</v>
      </c>
      <c r="C2680" s="2" t="str">
        <f t="shared" si="226"/>
        <v>FATUR-CONV</v>
      </c>
      <c r="D2680" s="2" t="str">
        <f t="shared" si="227"/>
        <v>FFCV</v>
      </c>
      <c r="E2680" s="2" t="str">
        <f>"CONSULTA RES SEMEST.  FATURAM. DO 297"</f>
        <v>CONSULTA RES SEMEST.  FATURAM. DO 297</v>
      </c>
      <c r="F2680" s="2" t="str">
        <f>"C_EST_FAT_SEMESTRAL_297"</f>
        <v>C_EST_FAT_SEMESTRAL_297</v>
      </c>
      <c r="G2680" s="2" t="str">
        <f>" ()"</f>
        <v xml:space="preserve"> ()</v>
      </c>
    </row>
    <row r="2681" spans="1:7" x14ac:dyDescent="0.3">
      <c r="A2681" s="1" t="s">
        <v>4</v>
      </c>
      <c r="B2681" s="2" t="str">
        <f t="shared" si="225"/>
        <v>SISTEMA FATURAMENTO CONTAS DE CONVENIO</v>
      </c>
      <c r="C2681" s="2" t="str">
        <f t="shared" si="226"/>
        <v>FATUR-CONV</v>
      </c>
      <c r="D2681" s="2" t="str">
        <f t="shared" si="227"/>
        <v>FFCV</v>
      </c>
      <c r="E2681" s="2" t="str">
        <f>"RELATÓRIO RECIBO PACIENTE"</f>
        <v>RELATÓRIO RECIBO PACIENTE</v>
      </c>
      <c r="F2681" s="2" t="str">
        <f>"R_RECIBO_PAC"</f>
        <v>R_RECIBO_PAC</v>
      </c>
      <c r="G2681" s="2" t="str">
        <f>"Faturamento / Faturamento de Convênios e Particulares / Relatórios / Fatura / Recibo do Paciente (R_RECIBO_PAC)"</f>
        <v>Faturamento / Faturamento de Convênios e Particulares / Relatórios / Fatura / Recibo do Paciente (R_RECIBO_PAC)</v>
      </c>
    </row>
    <row r="2682" spans="1:7" x14ac:dyDescent="0.3">
      <c r="A2682" s="1" t="s">
        <v>4</v>
      </c>
      <c r="B2682" s="2" t="str">
        <f t="shared" si="225"/>
        <v>SISTEMA FATURAMENTO CONTAS DE CONVENIO</v>
      </c>
      <c r="C2682" s="2" t="str">
        <f t="shared" si="226"/>
        <v>FATUR-CONV</v>
      </c>
      <c r="D2682" s="2" t="str">
        <f t="shared" si="227"/>
        <v>FFCV</v>
      </c>
      <c r="E2682" s="2" t="str">
        <f>"RELATÓRIO RECIBO PACIENTE"</f>
        <v>RELATÓRIO RECIBO PACIENTE</v>
      </c>
      <c r="F2682" s="2" t="str">
        <f>"R_RECIBO_PAC"</f>
        <v>R_RECIBO_PAC</v>
      </c>
      <c r="G2682" s="2" t="str">
        <f>"Controladoria / Tesouraria / Relatórios / Faturamento / Recibo do Paciente (R_RECIBO_PAC)"</f>
        <v>Controladoria / Tesouraria / Relatórios / Faturamento / Recibo do Paciente (R_RECIBO_PAC)</v>
      </c>
    </row>
    <row r="2683" spans="1:7" x14ac:dyDescent="0.3">
      <c r="A2683" s="1" t="s">
        <v>4</v>
      </c>
      <c r="B2683" s="2" t="str">
        <f t="shared" si="225"/>
        <v>SISTEMA FATURAMENTO CONTAS DE CONVENIO</v>
      </c>
      <c r="C2683" s="2" t="str">
        <f t="shared" si="226"/>
        <v>FATUR-CONV</v>
      </c>
      <c r="D2683" s="2" t="str">
        <f t="shared" si="227"/>
        <v>FFCV</v>
      </c>
      <c r="E2683" s="2" t="str">
        <f>"RELATÓRIO RECIBO PACIENTE"</f>
        <v>RELATÓRIO RECIBO PACIENTE</v>
      </c>
      <c r="F2683" s="2" t="str">
        <f>"R_RECIBO_PAC"</f>
        <v>R_RECIBO_PAC</v>
      </c>
      <c r="G2683" s="2" t="str">
        <f>"Faturamento / Auditoria e Controle de Recursos de Glosas / Relatórios / Fatura / Recibo do Paciente (R_RECIBO_PAC)"</f>
        <v>Faturamento / Auditoria e Controle de Recursos de Glosas / Relatórios / Fatura / Recibo do Paciente (R_RECIBO_PAC)</v>
      </c>
    </row>
    <row r="2684" spans="1:7" x14ac:dyDescent="0.3">
      <c r="A2684" s="1" t="s">
        <v>4</v>
      </c>
      <c r="B2684" s="2" t="str">
        <f t="shared" si="225"/>
        <v>SISTEMA FATURAMENTO CONTAS DE CONVENIO</v>
      </c>
      <c r="C2684" s="2" t="str">
        <f t="shared" si="226"/>
        <v>FATUR-CONV</v>
      </c>
      <c r="D2684" s="2" t="str">
        <f t="shared" si="227"/>
        <v>FFCV</v>
      </c>
      <c r="E2684" s="2" t="str">
        <f>"CONF. - GERAÇÃO DE DIÁRIA AUTOMÁTICA"</f>
        <v>CONF. - GERAÇÃO DE DIÁRIA AUTOMÁTICA</v>
      </c>
      <c r="F2684" s="2" t="str">
        <f>"O_DIARIA_AUTOMATICA"</f>
        <v>O_DIARIA_AUTOMATICA</v>
      </c>
      <c r="G2684" s="2" t="str">
        <f>"Faturamento / Faturamento de Convênios e Particulares / Configurações / Geração de Diárias Automáticas (O_DIARIA_AUTOMATICA)"</f>
        <v>Faturamento / Faturamento de Convênios e Particulares / Configurações / Geração de Diárias Automáticas (O_DIARIA_AUTOMATICA)</v>
      </c>
    </row>
    <row r="2685" spans="1:7" x14ac:dyDescent="0.3">
      <c r="A2685" s="1" t="s">
        <v>4</v>
      </c>
      <c r="B2685" s="2" t="str">
        <f t="shared" si="225"/>
        <v>SISTEMA FATURAMENTO CONTAS DE CONVENIO</v>
      </c>
      <c r="C2685" s="2" t="str">
        <f t="shared" si="226"/>
        <v>FATUR-CONV</v>
      </c>
      <c r="D2685" s="2" t="str">
        <f t="shared" si="227"/>
        <v>FFCV</v>
      </c>
      <c r="E2685" s="2" t="str">
        <f>"REL DE RECEITA POR SETOR SINTETICO"</f>
        <v>REL DE RECEITA POR SETOR SINTETICO</v>
      </c>
      <c r="F2685" s="2" t="str">
        <f>"R_FAT_SETOR_SINT"</f>
        <v>R_FAT_SETOR_SINT</v>
      </c>
      <c r="G2685" s="2" t="str">
        <f>" ()"</f>
        <v xml:space="preserve"> ()</v>
      </c>
    </row>
    <row r="2686" spans="1:7" x14ac:dyDescent="0.3">
      <c r="A2686" s="1" t="s">
        <v>4</v>
      </c>
      <c r="B2686" s="2" t="str">
        <f t="shared" si="225"/>
        <v>SISTEMA FATURAMENTO CONTAS DE CONVENIO</v>
      </c>
      <c r="C2686" s="2" t="str">
        <f t="shared" si="226"/>
        <v>FATUR-CONV</v>
      </c>
      <c r="D2686" s="2" t="str">
        <f t="shared" si="227"/>
        <v>FFCV</v>
      </c>
      <c r="E2686" s="2" t="str">
        <f>"REL DE RECEITA POR GRUPO DE FATURAMENTO"</f>
        <v>REL DE RECEITA POR GRUPO DE FATURAMENTO</v>
      </c>
      <c r="F2686" s="2" t="str">
        <f>"R_FAT_GRU_FAT"</f>
        <v>R_FAT_GRU_FAT</v>
      </c>
      <c r="G2686" s="2" t="str">
        <f>"Faturamento / Faturamento de Convênios e Particulares / Relatórios / Gerenciais / Receita por Grupo de Faturamento (R_FAT_GRU_FAT)"</f>
        <v>Faturamento / Faturamento de Convênios e Particulares / Relatórios / Gerenciais / Receita por Grupo de Faturamento (R_FAT_GRU_FAT)</v>
      </c>
    </row>
    <row r="2687" spans="1:7" x14ac:dyDescent="0.3">
      <c r="A2687" s="1" t="s">
        <v>4</v>
      </c>
      <c r="B2687" s="2" t="str">
        <f t="shared" si="225"/>
        <v>SISTEMA FATURAMENTO CONTAS DE CONVENIO</v>
      </c>
      <c r="C2687" s="2" t="str">
        <f t="shared" si="226"/>
        <v>FATUR-CONV</v>
      </c>
      <c r="D2687" s="2" t="str">
        <f t="shared" si="227"/>
        <v>FFCV</v>
      </c>
      <c r="E2687" s="2" t="str">
        <f>"ATIVIDADES MEDICAS"</f>
        <v>ATIVIDADES MEDICAS</v>
      </c>
      <c r="F2687" s="2" t="str">
        <f>"M_ATI_MED"</f>
        <v>M_ATI_MED</v>
      </c>
      <c r="G2687" s="2" t="str">
        <f>"Faturamento / Faturamento de Convênios e Particulares / Tabelas / Gerais / Atividades Médicas (M_ATI_MED)"</f>
        <v>Faturamento / Faturamento de Convênios e Particulares / Tabelas / Gerais / Atividades Médicas (M_ATI_MED)</v>
      </c>
    </row>
    <row r="2688" spans="1:7" x14ac:dyDescent="0.3">
      <c r="A2688" s="1" t="s">
        <v>4</v>
      </c>
      <c r="B2688" s="2" t="str">
        <f t="shared" si="225"/>
        <v>SISTEMA FATURAMENTO CONTAS DE CONVENIO</v>
      </c>
      <c r="C2688" s="2" t="str">
        <f t="shared" si="226"/>
        <v>FATUR-CONV</v>
      </c>
      <c r="D2688" s="2" t="str">
        <f t="shared" si="227"/>
        <v>FFCV</v>
      </c>
      <c r="E2688" s="2" t="str">
        <f>"REL. DE GRUPOS DE PROCEDIMENTOS"</f>
        <v>REL. DE GRUPOS DE PROCEDIMENTOS</v>
      </c>
      <c r="F2688" s="2" t="str">
        <f>"R_GRU_PROC.RDF"</f>
        <v>R_GRU_PROC.RDF</v>
      </c>
      <c r="G2688" s="2" t="str">
        <f>" ()"</f>
        <v xml:space="preserve"> ()</v>
      </c>
    </row>
    <row r="2689" spans="1:7" x14ac:dyDescent="0.3">
      <c r="A2689" s="1" t="s">
        <v>4</v>
      </c>
      <c r="B2689" s="2" t="str">
        <f t="shared" si="225"/>
        <v>SISTEMA FATURAMENTO CONTAS DE CONVENIO</v>
      </c>
      <c r="C2689" s="2" t="str">
        <f t="shared" si="226"/>
        <v>FATUR-CONV</v>
      </c>
      <c r="D2689" s="2" t="str">
        <f t="shared" si="227"/>
        <v>FFCV</v>
      </c>
      <c r="E2689" s="2" t="str">
        <f>"REL. DE RESUMO DO CONTRATO DO CONVÊNIO"</f>
        <v>REL. DE RESUMO DO CONTRATO DO CONVÊNIO</v>
      </c>
      <c r="F2689" s="2" t="str">
        <f>"R_RESU_CONV.RDF"</f>
        <v>R_RESU_CONV.RDF</v>
      </c>
      <c r="G2689" s="2" t="str">
        <f>" ()"</f>
        <v xml:space="preserve"> ()</v>
      </c>
    </row>
    <row r="2690" spans="1:7" x14ac:dyDescent="0.3">
      <c r="A2690" s="1" t="s">
        <v>4</v>
      </c>
      <c r="B2690" s="2" t="str">
        <f t="shared" si="225"/>
        <v>SISTEMA FATURAMENTO CONTAS DE CONVENIO</v>
      </c>
      <c r="C2690" s="2" t="str">
        <f t="shared" si="226"/>
        <v>FATUR-CONV</v>
      </c>
      <c r="D2690" s="2" t="str">
        <f t="shared" si="227"/>
        <v>FFCV</v>
      </c>
      <c r="E2690" s="2" t="str">
        <f>"R_NOTA_ISS"</f>
        <v>R_NOTA_ISS</v>
      </c>
      <c r="F2690" s="2" t="str">
        <f>"R_NOTA_ISS"</f>
        <v>R_NOTA_ISS</v>
      </c>
      <c r="G2690" s="2" t="str">
        <f>"Faturamento / Faturamento de Convênios e Particulares / Relatórios / Administrativos / Notas Fiscais de Serviço Prestado (R_NOTA_ISS)"</f>
        <v>Faturamento / Faturamento de Convênios e Particulares / Relatórios / Administrativos / Notas Fiscais de Serviço Prestado (R_NOTA_ISS)</v>
      </c>
    </row>
    <row r="2691" spans="1:7" x14ac:dyDescent="0.3">
      <c r="A2691" s="1" t="s">
        <v>4</v>
      </c>
      <c r="B2691" s="2" t="str">
        <f t="shared" si="225"/>
        <v>SISTEMA FATURAMENTO CONTAS DE CONVENIO</v>
      </c>
      <c r="C2691" s="2" t="str">
        <f t="shared" si="226"/>
        <v>FATUR-CONV</v>
      </c>
      <c r="D2691" s="2" t="str">
        <f t="shared" si="227"/>
        <v>FFCV</v>
      </c>
      <c r="E2691" s="2" t="str">
        <f>"RELATÓRIO DE FATURA INDIVIDUAL POR DATA"</f>
        <v>RELATÓRIO DE FATURA INDIVIDUAL POR DATA</v>
      </c>
      <c r="F2691" s="2" t="str">
        <f>"M_APRES_CONTAS"</f>
        <v>M_APRES_CONTAS</v>
      </c>
      <c r="G2691" s="2" t="str">
        <f>"Faturamento / Faturamento de Convênios e Particulares / Relatórios / Fatura / Individual por Data (M_APRES_CONTAS)"</f>
        <v>Faturamento / Faturamento de Convênios e Particulares / Relatórios / Fatura / Individual por Data (M_APRES_CONTAS)</v>
      </c>
    </row>
    <row r="2692" spans="1:7" x14ac:dyDescent="0.3">
      <c r="A2692" s="1" t="s">
        <v>4</v>
      </c>
      <c r="B2692" s="2" t="str">
        <f t="shared" si="225"/>
        <v>SISTEMA FATURAMENTO CONTAS DE CONVENIO</v>
      </c>
      <c r="C2692" s="2" t="str">
        <f t="shared" si="226"/>
        <v>FATUR-CONV</v>
      </c>
      <c r="D2692" s="2" t="str">
        <f t="shared" si="227"/>
        <v>FFCV</v>
      </c>
      <c r="E2692" s="2" t="str">
        <f>"RELATÓRIO DAS OCORRÊNCIAS DO PLANTÃO"</f>
        <v>RELATÓRIO DAS OCORRÊNCIAS DO PLANTÃO</v>
      </c>
      <c r="F2692" s="2" t="str">
        <f>"R_REAJ_PRECOS"</f>
        <v>R_REAJ_PRECOS</v>
      </c>
      <c r="G2692" s="2" t="str">
        <f>"Faturamento / Faturamento de Convênios e Particulares / Relatórios / Operacionais / Reajustes de Preços (R_REAJ_PRECOS)"</f>
        <v>Faturamento / Faturamento de Convênios e Particulares / Relatórios / Operacionais / Reajustes de Preços (R_REAJ_PRECOS)</v>
      </c>
    </row>
    <row r="2693" spans="1:7" x14ac:dyDescent="0.3">
      <c r="A2693" s="1" t="s">
        <v>4</v>
      </c>
      <c r="B2693" s="2" t="str">
        <f t="shared" si="225"/>
        <v>SISTEMA FATURAMENTO CONTAS DE CONVENIO</v>
      </c>
      <c r="C2693" s="2" t="str">
        <f t="shared" si="226"/>
        <v>FATUR-CONV</v>
      </c>
      <c r="D2693" s="2" t="str">
        <f t="shared" si="227"/>
        <v>FFCV</v>
      </c>
      <c r="E2693" s="2" t="str">
        <f>"R_NOTA_FISCAL_754_22"</f>
        <v>R_NOTA_FISCAL_754_22</v>
      </c>
      <c r="F2693" s="2" t="str">
        <f>"R_NOTA_FISCAL_754_22"</f>
        <v>R_NOTA_FISCAL_754_22</v>
      </c>
      <c r="G2693" s="2" t="str">
        <f>" ()"</f>
        <v xml:space="preserve"> ()</v>
      </c>
    </row>
    <row r="2694" spans="1:7" x14ac:dyDescent="0.3">
      <c r="A2694" s="1" t="s">
        <v>4</v>
      </c>
      <c r="B2694" s="2" t="str">
        <f t="shared" ref="B2694:B2757" si="229">"SISTEMA FATURAMENTO CONTAS DE CONVENIO"</f>
        <v>SISTEMA FATURAMENTO CONTAS DE CONVENIO</v>
      </c>
      <c r="C2694" s="2" t="str">
        <f t="shared" ref="C2694:C2757" si="230">"FATUR-CONV"</f>
        <v>FATUR-CONV</v>
      </c>
      <c r="D2694" s="2" t="str">
        <f t="shared" ref="D2694:D2757" si="231">"FFCV"</f>
        <v>FFCV</v>
      </c>
      <c r="E2694" s="2" t="str">
        <f>"R_FALHA_ARQMAG"</f>
        <v>R_FALHA_ARQMAG</v>
      </c>
      <c r="F2694" s="2" t="str">
        <f>"R_FALHA_ARQMAG"</f>
        <v>R_FALHA_ARQMAG</v>
      </c>
      <c r="G2694" s="2" t="str">
        <f>"Faturamento / Faturamento de Convênios e Particulares / Relatórios / Operacionais / Falha na Geração de Arquivo Magnético (R_FALHA_ARQMAG)"</f>
        <v>Faturamento / Faturamento de Convênios e Particulares / Relatórios / Operacionais / Falha na Geração de Arquivo Magnético (R_FALHA_ARQMAG)</v>
      </c>
    </row>
    <row r="2695" spans="1:7" x14ac:dyDescent="0.3">
      <c r="A2695" s="1" t="s">
        <v>4</v>
      </c>
      <c r="B2695" s="2" t="str">
        <f t="shared" si="229"/>
        <v>SISTEMA FATURAMENTO CONTAS DE CONVENIO</v>
      </c>
      <c r="C2695" s="2" t="str">
        <f t="shared" si="230"/>
        <v>FATUR-CONV</v>
      </c>
      <c r="D2695" s="2" t="str">
        <f t="shared" si="231"/>
        <v>FFCV</v>
      </c>
      <c r="E2695" s="2" t="str">
        <f>"FFCV\M_REGRA"</f>
        <v>FFCV\M_REGRA</v>
      </c>
      <c r="F2695" s="2" t="str">
        <f>"FFCV\M_REGRA"</f>
        <v>FFCV\M_REGRA</v>
      </c>
      <c r="G2695" s="2" t="str">
        <f t="shared" ref="G2695:G2736" si="232">" ()"</f>
        <v xml:space="preserve"> ()</v>
      </c>
    </row>
    <row r="2696" spans="1:7" x14ac:dyDescent="0.3">
      <c r="A2696" s="1" t="s">
        <v>4</v>
      </c>
      <c r="B2696" s="2" t="str">
        <f t="shared" si="229"/>
        <v>SISTEMA FATURAMENTO CONTAS DE CONVENIO</v>
      </c>
      <c r="C2696" s="2" t="str">
        <f t="shared" si="230"/>
        <v>FATUR-CONV</v>
      </c>
      <c r="D2696" s="2" t="str">
        <f t="shared" si="231"/>
        <v>FFCV</v>
      </c>
      <c r="E2696" s="2" t="str">
        <f>"RELATÓRIO DE SUBGRUPOS CBHPM"</f>
        <v>RELATÓRIO DE SUBGRUPOS CBHPM</v>
      </c>
      <c r="F2696" s="2" t="str">
        <f>"R_SUB_GRU_PRO_HIERARQUIZADO.RDF"</f>
        <v>R_SUB_GRU_PRO_HIERARQUIZADO.RDF</v>
      </c>
      <c r="G2696" s="2" t="str">
        <f t="shared" si="232"/>
        <v xml:space="preserve"> ()</v>
      </c>
    </row>
    <row r="2697" spans="1:7" x14ac:dyDescent="0.3">
      <c r="A2697" s="1" t="s">
        <v>4</v>
      </c>
      <c r="B2697" s="2" t="str">
        <f t="shared" si="229"/>
        <v>SISTEMA FATURAMENTO CONTAS DE CONVENIO</v>
      </c>
      <c r="C2697" s="2" t="str">
        <f t="shared" si="230"/>
        <v>FATUR-CONV</v>
      </c>
      <c r="D2697" s="2" t="str">
        <f t="shared" si="231"/>
        <v>FFCV</v>
      </c>
      <c r="E2697" s="2" t="str">
        <f>"RELATÓRIO DE GRUPOS CBHPM"</f>
        <v>RELATÓRIO DE GRUPOS CBHPM</v>
      </c>
      <c r="F2697" s="2" t="str">
        <f>"R_GRU_PRO_HIERARQUIZADO.RDF"</f>
        <v>R_GRU_PRO_HIERARQUIZADO.RDF</v>
      </c>
      <c r="G2697" s="2" t="str">
        <f t="shared" si="232"/>
        <v xml:space="preserve"> ()</v>
      </c>
    </row>
    <row r="2698" spans="1:7" x14ac:dyDescent="0.3">
      <c r="A2698" s="1" t="s">
        <v>4</v>
      </c>
      <c r="B2698" s="2" t="str">
        <f t="shared" si="229"/>
        <v>SISTEMA FATURAMENTO CONTAS DE CONVENIO</v>
      </c>
      <c r="C2698" s="2" t="str">
        <f t="shared" si="230"/>
        <v>FATUR-CONV</v>
      </c>
      <c r="D2698" s="2" t="str">
        <f t="shared" si="231"/>
        <v>FFCV</v>
      </c>
      <c r="E2698" s="2" t="str">
        <f>"RELATÓRIO DE PORTES DE ATO MÉDICO"</f>
        <v>RELATÓRIO DE PORTES DE ATO MÉDICO</v>
      </c>
      <c r="F2698" s="2" t="str">
        <f>"R_PORTE_MEDICO.RDF"</f>
        <v>R_PORTE_MEDICO.RDF</v>
      </c>
      <c r="G2698" s="2" t="str">
        <f t="shared" si="232"/>
        <v xml:space="preserve"> ()</v>
      </c>
    </row>
    <row r="2699" spans="1:7" x14ac:dyDescent="0.3">
      <c r="A2699" s="1" t="s">
        <v>4</v>
      </c>
      <c r="B2699" s="2" t="str">
        <f t="shared" si="229"/>
        <v>SISTEMA FATURAMENTO CONTAS DE CONVENIO</v>
      </c>
      <c r="C2699" s="2" t="str">
        <f t="shared" si="230"/>
        <v>FATUR-CONV</v>
      </c>
      <c r="D2699" s="2" t="str">
        <f t="shared" si="231"/>
        <v>FFCV</v>
      </c>
      <c r="E2699" s="2" t="str">
        <f>"REL. DE REGRAS DE LANÇAMENTO"</f>
        <v>REL. DE REGRAS DE LANÇAMENTO</v>
      </c>
      <c r="F2699" s="2" t="str">
        <f>"R_REGRA_LANCAMENTO.RDF"</f>
        <v>R_REGRA_LANCAMENTO.RDF</v>
      </c>
      <c r="G2699" s="2" t="str">
        <f t="shared" si="232"/>
        <v xml:space="preserve"> ()</v>
      </c>
    </row>
    <row r="2700" spans="1:7" x14ac:dyDescent="0.3">
      <c r="A2700" s="1" t="s">
        <v>4</v>
      </c>
      <c r="B2700" s="2" t="str">
        <f t="shared" si="229"/>
        <v>SISTEMA FATURAMENTO CONTAS DE CONVENIO</v>
      </c>
      <c r="C2700" s="2" t="str">
        <f t="shared" si="230"/>
        <v>FATUR-CONV</v>
      </c>
      <c r="D2700" s="2" t="str">
        <f t="shared" si="231"/>
        <v>FFCV</v>
      </c>
      <c r="E2700" s="2" t="str">
        <f>"RECEITA POR CENTRO DE CUSTO POR ORIGEM"</f>
        <v>RECEITA POR CENTRO DE CUSTO POR ORIGEM</v>
      </c>
      <c r="F2700" s="2" t="str">
        <f>"R_FAT_SETOR_PLAN"</f>
        <v>R_FAT_SETOR_PLAN</v>
      </c>
      <c r="G2700" s="2" t="str">
        <f t="shared" si="232"/>
        <v xml:space="preserve"> ()</v>
      </c>
    </row>
    <row r="2701" spans="1:7" x14ac:dyDescent="0.3">
      <c r="A2701" s="1" t="s">
        <v>4</v>
      </c>
      <c r="B2701" s="2" t="str">
        <f t="shared" si="229"/>
        <v>SISTEMA FATURAMENTO CONTAS DE CONVENIO</v>
      </c>
      <c r="C2701" s="2" t="str">
        <f t="shared" si="230"/>
        <v>FATUR-CONV</v>
      </c>
      <c r="D2701" s="2" t="str">
        <f t="shared" si="231"/>
        <v>FFCV</v>
      </c>
      <c r="E2701" s="2" t="str">
        <f>"RELATÓRIO POR CONVÊNIO"</f>
        <v>RELATÓRIO POR CONVÊNIO</v>
      </c>
      <c r="F2701" s="2" t="str">
        <f>"R_CONTA_REC_CONV.RDF"</f>
        <v>R_CONTA_REC_CONV.RDF</v>
      </c>
      <c r="G2701" s="2" t="str">
        <f t="shared" si="232"/>
        <v xml:space="preserve"> ()</v>
      </c>
    </row>
    <row r="2702" spans="1:7" x14ac:dyDescent="0.3">
      <c r="A2702" s="1" t="s">
        <v>4</v>
      </c>
      <c r="B2702" s="2" t="str">
        <f t="shared" si="229"/>
        <v>SISTEMA FATURAMENTO CONTAS DE CONVENIO</v>
      </c>
      <c r="C2702" s="2" t="str">
        <f t="shared" si="230"/>
        <v>FATUR-CONV</v>
      </c>
      <c r="D2702" s="2" t="str">
        <f t="shared" si="231"/>
        <v>FFCV</v>
      </c>
      <c r="E2702" s="2" t="str">
        <f>"REL.EST.AMBULATORIAIS POR CONVÊNIO SINT."</f>
        <v>REL.EST.AMBULATORIAIS POR CONVÊNIO SINT.</v>
      </c>
      <c r="F2702" s="2" t="str">
        <f>"R_EST_CONV_AMB_SINT"</f>
        <v>R_EST_CONV_AMB_SINT</v>
      </c>
      <c r="G2702" s="2" t="str">
        <f t="shared" si="232"/>
        <v xml:space="preserve"> ()</v>
      </c>
    </row>
    <row r="2703" spans="1:7" x14ac:dyDescent="0.3">
      <c r="A2703" s="1" t="s">
        <v>4</v>
      </c>
      <c r="B2703" s="2" t="str">
        <f t="shared" si="229"/>
        <v>SISTEMA FATURAMENTO CONTAS DE CONVENIO</v>
      </c>
      <c r="C2703" s="2" t="str">
        <f t="shared" si="230"/>
        <v>FATUR-CONV</v>
      </c>
      <c r="D2703" s="2" t="str">
        <f t="shared" si="231"/>
        <v>FFCV</v>
      </c>
      <c r="E2703" s="2" t="str">
        <f>"REL. SINT. ANÁLISE PROTOCOLOS DE PACOTE"</f>
        <v>REL. SINT. ANÁLISE PROTOCOLOS DE PACOTE</v>
      </c>
      <c r="F2703" s="2" t="str">
        <f>"R_ANALISE_PROT_PACOTE_SINT"</f>
        <v>R_ANALISE_PROT_PACOTE_SINT</v>
      </c>
      <c r="G2703" s="2" t="str">
        <f t="shared" si="232"/>
        <v xml:space="preserve"> ()</v>
      </c>
    </row>
    <row r="2704" spans="1:7" x14ac:dyDescent="0.3">
      <c r="A2704" s="1" t="s">
        <v>4</v>
      </c>
      <c r="B2704" s="2" t="str">
        <f t="shared" si="229"/>
        <v>SISTEMA FATURAMENTO CONTAS DE CONVENIO</v>
      </c>
      <c r="C2704" s="2" t="str">
        <f t="shared" si="230"/>
        <v>FATUR-CONV</v>
      </c>
      <c r="D2704" s="2" t="str">
        <f t="shared" si="231"/>
        <v>FFCV</v>
      </c>
      <c r="E2704" s="2" t="str">
        <f>"RELATÓRIO DE RECEITA POR BAIRRO"</f>
        <v>RELATÓRIO DE RECEITA POR BAIRRO</v>
      </c>
      <c r="F2704" s="2" t="str">
        <f>"R_FAT_BAIRRO_MEDICO.RDF"</f>
        <v>R_FAT_BAIRRO_MEDICO.RDF</v>
      </c>
      <c r="G2704" s="2" t="str">
        <f t="shared" si="232"/>
        <v xml:space="preserve"> ()</v>
      </c>
    </row>
    <row r="2705" spans="1:7" x14ac:dyDescent="0.3">
      <c r="A2705" s="1" t="s">
        <v>4</v>
      </c>
      <c r="B2705" s="2" t="str">
        <f t="shared" si="229"/>
        <v>SISTEMA FATURAMENTO CONTAS DE CONVENIO</v>
      </c>
      <c r="C2705" s="2" t="str">
        <f t="shared" si="230"/>
        <v>FATUR-CONV</v>
      </c>
      <c r="D2705" s="2" t="str">
        <f t="shared" si="231"/>
        <v>FFCV</v>
      </c>
      <c r="E2705" s="2" t="str">
        <f>"RELATÓRIO DE RECEITA POR CONTA CONTÁBIL"</f>
        <v>RELATÓRIO DE RECEITA POR CONTA CONTÁBIL</v>
      </c>
      <c r="F2705" s="2" t="str">
        <f>"R_FAT_CC_RECEITA.RDF"</f>
        <v>R_FAT_CC_RECEITA.RDF</v>
      </c>
      <c r="G2705" s="2" t="str">
        <f t="shared" si="232"/>
        <v xml:space="preserve"> ()</v>
      </c>
    </row>
    <row r="2706" spans="1:7" x14ac:dyDescent="0.3">
      <c r="A2706" s="1" t="s">
        <v>4</v>
      </c>
      <c r="B2706" s="2" t="str">
        <f t="shared" si="229"/>
        <v>SISTEMA FATURAMENTO CONTAS DE CONVENIO</v>
      </c>
      <c r="C2706" s="2" t="str">
        <f t="shared" si="230"/>
        <v>FATUR-CONV</v>
      </c>
      <c r="D2706" s="2" t="str">
        <f t="shared" si="231"/>
        <v>FFCV</v>
      </c>
      <c r="E2706" s="2" t="str">
        <f>"RELATÓRIO DE RECEITA POR FAIXA ETÁRIA"</f>
        <v>RELATÓRIO DE RECEITA POR FAIXA ETÁRIA</v>
      </c>
      <c r="F2706" s="2" t="str">
        <f>"R_FAT_BAIRRO.RDF"</f>
        <v>R_FAT_BAIRRO.RDF</v>
      </c>
      <c r="G2706" s="2" t="str">
        <f t="shared" si="232"/>
        <v xml:space="preserve"> ()</v>
      </c>
    </row>
    <row r="2707" spans="1:7" x14ac:dyDescent="0.3">
      <c r="A2707" s="1" t="s">
        <v>4</v>
      </c>
      <c r="B2707" s="2" t="str">
        <f t="shared" si="229"/>
        <v>SISTEMA FATURAMENTO CONTAS DE CONVENIO</v>
      </c>
      <c r="C2707" s="2" t="str">
        <f t="shared" si="230"/>
        <v>FATUR-CONV</v>
      </c>
      <c r="D2707" s="2" t="str">
        <f t="shared" si="231"/>
        <v>FFCV</v>
      </c>
      <c r="E2707" s="2" t="str">
        <f>"ANÁLISE DIÁRIAS CONSUMIDAS X FATURADAS"</f>
        <v>ANÁLISE DIÁRIAS CONSUMIDAS X FATURADAS</v>
      </c>
      <c r="F2707" s="2" t="str">
        <f>"R_DIARIAS_CONS_X_FAT_SINT"</f>
        <v>R_DIARIAS_CONS_X_FAT_SINT</v>
      </c>
      <c r="G2707" s="2" t="str">
        <f t="shared" si="232"/>
        <v xml:space="preserve"> ()</v>
      </c>
    </row>
    <row r="2708" spans="1:7" x14ac:dyDescent="0.3">
      <c r="A2708" s="1" t="s">
        <v>4</v>
      </c>
      <c r="B2708" s="2" t="str">
        <f t="shared" si="229"/>
        <v>SISTEMA FATURAMENTO CONTAS DE CONVENIO</v>
      </c>
      <c r="C2708" s="2" t="str">
        <f t="shared" si="230"/>
        <v>FATUR-CONV</v>
      </c>
      <c r="D2708" s="2" t="str">
        <f t="shared" si="231"/>
        <v>FFCV</v>
      </c>
      <c r="E2708" s="2" t="str">
        <f>"REL.RATEIO DO FATURADO PELO CONSUMIDO"</f>
        <v>REL.RATEIO DO FATURADO PELO CONSUMIDO</v>
      </c>
      <c r="F2708" s="2" t="str">
        <f>"R_FAT_CC_RATEIO_PACOTE.RDF"</f>
        <v>R_FAT_CC_RATEIO_PACOTE.RDF</v>
      </c>
      <c r="G2708" s="2" t="str">
        <f t="shared" si="232"/>
        <v xml:space="preserve"> ()</v>
      </c>
    </row>
    <row r="2709" spans="1:7" x14ac:dyDescent="0.3">
      <c r="A2709" s="1" t="s">
        <v>4</v>
      </c>
      <c r="B2709" s="2" t="str">
        <f t="shared" si="229"/>
        <v>SISTEMA FATURAMENTO CONTAS DE CONVENIO</v>
      </c>
      <c r="C2709" s="2" t="str">
        <f t="shared" si="230"/>
        <v>FATUR-CONV</v>
      </c>
      <c r="D2709" s="2" t="str">
        <f t="shared" si="231"/>
        <v>FFCV</v>
      </c>
      <c r="E2709" s="2" t="str">
        <f>"RELATÓRIO SINTÉTICO POR PRESTADOR"</f>
        <v>RELATÓRIO SINTÉTICO POR PRESTADOR</v>
      </c>
      <c r="F2709" s="2" t="str">
        <f>"R_FAT_CC_PRESTADOR_SINT"</f>
        <v>R_FAT_CC_PRESTADOR_SINT</v>
      </c>
      <c r="G2709" s="2" t="str">
        <f t="shared" si="232"/>
        <v xml:space="preserve"> ()</v>
      </c>
    </row>
    <row r="2710" spans="1:7" x14ac:dyDescent="0.3">
      <c r="A2710" s="1" t="s">
        <v>4</v>
      </c>
      <c r="B2710" s="2" t="str">
        <f t="shared" si="229"/>
        <v>SISTEMA FATURAMENTO CONTAS DE CONVENIO</v>
      </c>
      <c r="C2710" s="2" t="str">
        <f t="shared" si="230"/>
        <v>FATUR-CONV</v>
      </c>
      <c r="D2710" s="2" t="str">
        <f t="shared" si="231"/>
        <v>FFCV</v>
      </c>
      <c r="E2710" s="2" t="str">
        <f>"RELATÓRIO POR GRUPO DE FATURAMENTO"</f>
        <v>RELATÓRIO POR GRUPO DE FATURAMENTO</v>
      </c>
      <c r="F2710" s="2" t="str">
        <f>"R_FAT_CC_GRU_FAT.RDF"</f>
        <v>R_FAT_CC_GRU_FAT.RDF</v>
      </c>
      <c r="G2710" s="2" t="str">
        <f t="shared" si="232"/>
        <v xml:space="preserve"> ()</v>
      </c>
    </row>
    <row r="2711" spans="1:7" x14ac:dyDescent="0.3">
      <c r="A2711" s="1" t="s">
        <v>4</v>
      </c>
      <c r="B2711" s="2" t="str">
        <f t="shared" si="229"/>
        <v>SISTEMA FATURAMENTO CONTAS DE CONVENIO</v>
      </c>
      <c r="C2711" s="2" t="str">
        <f t="shared" si="230"/>
        <v>FATUR-CONV</v>
      </c>
      <c r="D2711" s="2" t="str">
        <f t="shared" si="231"/>
        <v>FFCV</v>
      </c>
      <c r="E2711" s="2" t="str">
        <f>"RELATÓRIO POR SERVIÇO"</f>
        <v>RELATÓRIO POR SERVIÇO</v>
      </c>
      <c r="F2711" s="2" t="str">
        <f>"R_FAT_CC_SERVICO.RDF"</f>
        <v>R_FAT_CC_SERVICO.RDF</v>
      </c>
      <c r="G2711" s="2" t="str">
        <f t="shared" si="232"/>
        <v xml:space="preserve"> ()</v>
      </c>
    </row>
    <row r="2712" spans="1:7" x14ac:dyDescent="0.3">
      <c r="A2712" s="1" t="s">
        <v>4</v>
      </c>
      <c r="B2712" s="2" t="str">
        <f t="shared" si="229"/>
        <v>SISTEMA FATURAMENTO CONTAS DE CONVENIO</v>
      </c>
      <c r="C2712" s="2" t="str">
        <f t="shared" si="230"/>
        <v>FATUR-CONV</v>
      </c>
      <c r="D2712" s="2" t="str">
        <f t="shared" si="231"/>
        <v>FFCV</v>
      </c>
      <c r="E2712" s="2" t="str">
        <f>"REL.RECEITA POR GRUPO DE PROC. SINTÉTICO"</f>
        <v>REL.RECEITA POR GRUPO DE PROC. SINTÉTICO</v>
      </c>
      <c r="F2712" s="2" t="str">
        <f>"R_FAT_GRU_PRO_SINT"</f>
        <v>R_FAT_GRU_PRO_SINT</v>
      </c>
      <c r="G2712" s="2" t="str">
        <f t="shared" si="232"/>
        <v xml:space="preserve"> ()</v>
      </c>
    </row>
    <row r="2713" spans="1:7" x14ac:dyDescent="0.3">
      <c r="A2713" s="1" t="s">
        <v>4</v>
      </c>
      <c r="B2713" s="2" t="str">
        <f t="shared" si="229"/>
        <v>SISTEMA FATURAMENTO CONTAS DE CONVENIO</v>
      </c>
      <c r="C2713" s="2" t="str">
        <f t="shared" si="230"/>
        <v>FATUR-CONV</v>
      </c>
      <c r="D2713" s="2" t="str">
        <f t="shared" si="231"/>
        <v>FFCV</v>
      </c>
      <c r="E2713" s="2" t="str">
        <f>"REL. RECEITA POR GRUPO DE FAT. SINTÉTICO"</f>
        <v>REL. RECEITA POR GRUPO DE FAT. SINTÉTICO</v>
      </c>
      <c r="F2713" s="2" t="str">
        <f>"R_FAT_GRU_FAT_SINT"</f>
        <v>R_FAT_GRU_FAT_SINT</v>
      </c>
      <c r="G2713" s="2" t="str">
        <f t="shared" si="232"/>
        <v xml:space="preserve"> ()</v>
      </c>
    </row>
    <row r="2714" spans="1:7" x14ac:dyDescent="0.3">
      <c r="A2714" s="1" t="s">
        <v>4</v>
      </c>
      <c r="B2714" s="2" t="str">
        <f t="shared" si="229"/>
        <v>SISTEMA FATURAMENTO CONTAS DE CONVENIO</v>
      </c>
      <c r="C2714" s="2" t="str">
        <f t="shared" si="230"/>
        <v>FATUR-CONV</v>
      </c>
      <c r="D2714" s="2" t="str">
        <f t="shared" si="231"/>
        <v>FFCV</v>
      </c>
      <c r="E2714" s="2" t="str">
        <f>"REL. NOTAS FISCAIS DE SERVIÇO PRESTADO"</f>
        <v>REL. NOTAS FISCAIS DE SERVIÇO PRESTADO</v>
      </c>
      <c r="F2714" s="2" t="str">
        <f>"R_NOTA_ISS.RDF"</f>
        <v>R_NOTA_ISS.RDF</v>
      </c>
      <c r="G2714" s="2" t="str">
        <f t="shared" si="232"/>
        <v xml:space="preserve"> ()</v>
      </c>
    </row>
    <row r="2715" spans="1:7" x14ac:dyDescent="0.3">
      <c r="A2715" s="1" t="s">
        <v>4</v>
      </c>
      <c r="B2715" s="2" t="str">
        <f t="shared" si="229"/>
        <v>SISTEMA FATURAMENTO CONTAS DE CONVENIO</v>
      </c>
      <c r="C2715" s="2" t="str">
        <f t="shared" si="230"/>
        <v>FATUR-CONV</v>
      </c>
      <c r="D2715" s="2" t="str">
        <f t="shared" si="231"/>
        <v>FFCV</v>
      </c>
      <c r="E2715" s="2" t="str">
        <f>"DEMONSTRATIVO MÉDICO"</f>
        <v>DEMONSTRATIVO MÉDICO</v>
      </c>
      <c r="F2715" s="2" t="str">
        <f>"R_DEMO_MED.RDF"</f>
        <v>R_DEMO_MED.RDF</v>
      </c>
      <c r="G2715" s="2" t="str">
        <f t="shared" si="232"/>
        <v xml:space="preserve"> ()</v>
      </c>
    </row>
    <row r="2716" spans="1:7" x14ac:dyDescent="0.3">
      <c r="A2716" s="1" t="s">
        <v>4</v>
      </c>
      <c r="B2716" s="2" t="str">
        <f t="shared" si="229"/>
        <v>SISTEMA FATURAMENTO CONTAS DE CONVENIO</v>
      </c>
      <c r="C2716" s="2" t="str">
        <f t="shared" si="230"/>
        <v>FATUR-CONV</v>
      </c>
      <c r="D2716" s="2" t="str">
        <f t="shared" si="231"/>
        <v>FFCV</v>
      </c>
      <c r="E2716" s="2" t="str">
        <f>"REL. DE APRESENTAÇÃO POR REMESSA"</f>
        <v>REL. DE APRESENTAÇÃO POR REMESSA</v>
      </c>
      <c r="F2716" s="2" t="str">
        <f>"R_APRE_LOTE_SINT"</f>
        <v>R_APRE_LOTE_SINT</v>
      </c>
      <c r="G2716" s="2" t="str">
        <f t="shared" si="232"/>
        <v xml:space="preserve"> ()</v>
      </c>
    </row>
    <row r="2717" spans="1:7" x14ac:dyDescent="0.3">
      <c r="A2717" s="1" t="s">
        <v>4</v>
      </c>
      <c r="B2717" s="2" t="str">
        <f t="shared" si="229"/>
        <v>SISTEMA FATURAMENTO CONTAS DE CONVENIO</v>
      </c>
      <c r="C2717" s="2" t="str">
        <f t="shared" si="230"/>
        <v>FATUR-CONV</v>
      </c>
      <c r="D2717" s="2" t="str">
        <f t="shared" si="231"/>
        <v>FFCV</v>
      </c>
      <c r="E2717" s="2" t="str">
        <f>"PREVISÃO DE COBERTURA"</f>
        <v>PREVISÃO DE COBERTURA</v>
      </c>
      <c r="F2717" s="2" t="str">
        <f>"R_PREVISAO_GUIA.RDF"</f>
        <v>R_PREVISAO_GUIA.RDF</v>
      </c>
      <c r="G2717" s="2" t="str">
        <f t="shared" si="232"/>
        <v xml:space="preserve"> ()</v>
      </c>
    </row>
    <row r="2718" spans="1:7" x14ac:dyDescent="0.3">
      <c r="A2718" s="1" t="s">
        <v>4</v>
      </c>
      <c r="B2718" s="2" t="str">
        <f t="shared" si="229"/>
        <v>SISTEMA FATURAMENTO CONTAS DE CONVENIO</v>
      </c>
      <c r="C2718" s="2" t="str">
        <f t="shared" si="230"/>
        <v>FATUR-CONV</v>
      </c>
      <c r="D2718" s="2" t="str">
        <f t="shared" si="231"/>
        <v>FFCV</v>
      </c>
      <c r="E2718" s="2" t="str">
        <f>"UNIDADE DE COBRANÇA OPERACIONAL - UCO"</f>
        <v>UNIDADE DE COBRANÇA OPERACIONAL - UCO</v>
      </c>
      <c r="F2718" s="2" t="str">
        <f>"R_VAL_UCO.RDF"</f>
        <v>R_VAL_UCO.RDF</v>
      </c>
      <c r="G2718" s="2" t="str">
        <f t="shared" si="232"/>
        <v xml:space="preserve"> ()</v>
      </c>
    </row>
    <row r="2719" spans="1:7" x14ac:dyDescent="0.3">
      <c r="A2719" s="1" t="s">
        <v>4</v>
      </c>
      <c r="B2719" s="2" t="str">
        <f t="shared" si="229"/>
        <v>SISTEMA FATURAMENTO CONTAS DE CONVENIO</v>
      </c>
      <c r="C2719" s="2" t="str">
        <f t="shared" si="230"/>
        <v>FATUR-CONV</v>
      </c>
      <c r="D2719" s="2" t="str">
        <f t="shared" si="231"/>
        <v>FFCV</v>
      </c>
      <c r="E2719" s="2" t="str">
        <f>"PORTES DE ATO MÉDICO"</f>
        <v>PORTES DE ATO MÉDICO</v>
      </c>
      <c r="F2719" s="2" t="str">
        <f>"R_VAL_PORTE_MEDICO.RDF"</f>
        <v>R_VAL_PORTE_MEDICO.RDF</v>
      </c>
      <c r="G2719" s="2" t="str">
        <f t="shared" si="232"/>
        <v xml:space="preserve"> ()</v>
      </c>
    </row>
    <row r="2720" spans="1:7" x14ac:dyDescent="0.3">
      <c r="A2720" s="1" t="s">
        <v>4</v>
      </c>
      <c r="B2720" s="2" t="str">
        <f t="shared" si="229"/>
        <v>SISTEMA FATURAMENTO CONTAS DE CONVENIO</v>
      </c>
      <c r="C2720" s="2" t="str">
        <f t="shared" si="230"/>
        <v>FATUR-CONV</v>
      </c>
      <c r="D2720" s="2" t="str">
        <f t="shared" si="231"/>
        <v>FFCV</v>
      </c>
      <c r="E2720" s="2" t="str">
        <f>"REL. SITUAÇÃO DAS CONTAS"</f>
        <v>REL. SITUAÇÃO DAS CONTAS</v>
      </c>
      <c r="F2720" s="2" t="str">
        <f>"R_ATEND_SEM_CONTA.RDF"</f>
        <v>R_ATEND_SEM_CONTA.RDF</v>
      </c>
      <c r="G2720" s="2" t="str">
        <f t="shared" si="232"/>
        <v xml:space="preserve"> ()</v>
      </c>
    </row>
    <row r="2721" spans="1:7" x14ac:dyDescent="0.3">
      <c r="A2721" s="1" t="s">
        <v>4</v>
      </c>
      <c r="B2721" s="2" t="str">
        <f t="shared" si="229"/>
        <v>SISTEMA FATURAMENTO CONTAS DE CONVENIO</v>
      </c>
      <c r="C2721" s="2" t="str">
        <f t="shared" si="230"/>
        <v>FATUR-CONV</v>
      </c>
      <c r="D2721" s="2" t="str">
        <f t="shared" si="231"/>
        <v>FFCV</v>
      </c>
      <c r="E2721" s="2" t="str">
        <f>"REL. DE RECEITA POR CONVÊNIO SINT."</f>
        <v>REL. DE RECEITA POR CONVÊNIO SINT.</v>
      </c>
      <c r="F2721" s="2" t="str">
        <f>"R_FAT_CONTA_COMPET_SINT"</f>
        <v>R_FAT_CONTA_COMPET_SINT</v>
      </c>
      <c r="G2721" s="2" t="str">
        <f t="shared" si="232"/>
        <v xml:space="preserve"> ()</v>
      </c>
    </row>
    <row r="2722" spans="1:7" x14ac:dyDescent="0.3">
      <c r="A2722" s="1" t="s">
        <v>4</v>
      </c>
      <c r="B2722" s="2" t="str">
        <f t="shared" si="229"/>
        <v>SISTEMA FATURAMENTO CONTAS DE CONVENIO</v>
      </c>
      <c r="C2722" s="2" t="str">
        <f t="shared" si="230"/>
        <v>FATUR-CONV</v>
      </c>
      <c r="D2722" s="2" t="str">
        <f t="shared" si="231"/>
        <v>FFCV</v>
      </c>
      <c r="E2722" s="2" t="str">
        <f>"ANÁLISE EVOLUTIVA DE RECEITAS POR GRUPO"</f>
        <v>ANÁLISE EVOLUTIVA DE RECEITAS POR GRUPO</v>
      </c>
      <c r="F2722" s="2" t="str">
        <f>"R_13_RECEITAS_GRU_PRO_SINT"</f>
        <v>R_13_RECEITAS_GRU_PRO_SINT</v>
      </c>
      <c r="G2722" s="2" t="str">
        <f t="shared" si="232"/>
        <v xml:space="preserve"> ()</v>
      </c>
    </row>
    <row r="2723" spans="1:7" x14ac:dyDescent="0.3">
      <c r="A2723" s="1" t="s">
        <v>4</v>
      </c>
      <c r="B2723" s="2" t="str">
        <f t="shared" si="229"/>
        <v>SISTEMA FATURAMENTO CONTAS DE CONVENIO</v>
      </c>
      <c r="C2723" s="2" t="str">
        <f t="shared" si="230"/>
        <v>FATUR-CONV</v>
      </c>
      <c r="D2723" s="2" t="str">
        <f t="shared" si="231"/>
        <v>FFCV</v>
      </c>
      <c r="E2723" s="2" t="str">
        <f>"REL. SINTÉTICO DE NOTAS FISCAIS EMITIDAS"</f>
        <v>REL. SINTÉTICO DE NOTAS FISCAIS EMITIDAS</v>
      </c>
      <c r="F2723" s="2" t="str">
        <f>"R_NOTAS_EMITE_SINT"</f>
        <v>R_NOTAS_EMITE_SINT</v>
      </c>
      <c r="G2723" s="2" t="str">
        <f t="shared" si="232"/>
        <v xml:space="preserve"> ()</v>
      </c>
    </row>
    <row r="2724" spans="1:7" x14ac:dyDescent="0.3">
      <c r="A2724" s="1" t="s">
        <v>4</v>
      </c>
      <c r="B2724" s="2" t="str">
        <f t="shared" si="229"/>
        <v>SISTEMA FATURAMENTO CONTAS DE CONVENIO</v>
      </c>
      <c r="C2724" s="2" t="str">
        <f t="shared" si="230"/>
        <v>FATUR-CONV</v>
      </c>
      <c r="D2724" s="2" t="str">
        <f t="shared" si="231"/>
        <v>FFCV</v>
      </c>
      <c r="E2724" s="2" t="str">
        <f>"POR ORIGEM"</f>
        <v>POR ORIGEM</v>
      </c>
      <c r="F2724" s="2" t="str">
        <f>"R_FAT_CC_ORIGEM.RDF"</f>
        <v>R_FAT_CC_ORIGEM.RDF</v>
      </c>
      <c r="G2724" s="2" t="str">
        <f t="shared" si="232"/>
        <v xml:space="preserve"> ()</v>
      </c>
    </row>
    <row r="2725" spans="1:7" x14ac:dyDescent="0.3">
      <c r="A2725" s="1" t="s">
        <v>4</v>
      </c>
      <c r="B2725" s="2" t="str">
        <f t="shared" si="229"/>
        <v>SISTEMA FATURAMENTO CONTAS DE CONVENIO</v>
      </c>
      <c r="C2725" s="2" t="str">
        <f t="shared" si="230"/>
        <v>FATUR-CONV</v>
      </c>
      <c r="D2725" s="2" t="str">
        <f t="shared" si="231"/>
        <v>FFCV</v>
      </c>
      <c r="E2725" s="2" t="str">
        <f>"PROTOCOLO DE ENTREGA DE GUIAS AO MÉDICO"</f>
        <v>PROTOCOLO DE ENTREGA DE GUIAS AO MÉDICO</v>
      </c>
      <c r="F2725" s="2" t="str">
        <f>"R_PROTOCOLO_GUIA.RDF"</f>
        <v>R_PROTOCOLO_GUIA.RDF</v>
      </c>
      <c r="G2725" s="2" t="str">
        <f t="shared" si="232"/>
        <v xml:space="preserve"> ()</v>
      </c>
    </row>
    <row r="2726" spans="1:7" x14ac:dyDescent="0.3">
      <c r="A2726" s="1" t="s">
        <v>4</v>
      </c>
      <c r="B2726" s="2" t="str">
        <f t="shared" si="229"/>
        <v>SISTEMA FATURAMENTO CONTAS DE CONVENIO</v>
      </c>
      <c r="C2726" s="2" t="str">
        <f t="shared" si="230"/>
        <v>FATUR-CONV</v>
      </c>
      <c r="D2726" s="2" t="str">
        <f t="shared" si="231"/>
        <v>FFCV</v>
      </c>
      <c r="E2726" s="2" t="str">
        <f>"CONTROLE DE GUIAS"</f>
        <v>CONTROLE DE GUIAS</v>
      </c>
      <c r="F2726" s="2" t="str">
        <f>"R_CONTROLE_GUIAS.RDF"</f>
        <v>R_CONTROLE_GUIAS.RDF</v>
      </c>
      <c r="G2726" s="2" t="str">
        <f t="shared" si="232"/>
        <v xml:space="preserve"> ()</v>
      </c>
    </row>
    <row r="2727" spans="1:7" x14ac:dyDescent="0.3">
      <c r="A2727" s="1" t="s">
        <v>4</v>
      </c>
      <c r="B2727" s="2" t="str">
        <f t="shared" si="229"/>
        <v>SISTEMA FATURAMENTO CONTAS DE CONVENIO</v>
      </c>
      <c r="C2727" s="2" t="str">
        <f t="shared" si="230"/>
        <v>FATUR-CONV</v>
      </c>
      <c r="D2727" s="2" t="str">
        <f t="shared" si="231"/>
        <v>FFCV</v>
      </c>
      <c r="E2727" s="2" t="str">
        <f>"NEGAÇÃO DE GUIAS"</f>
        <v>NEGAÇÃO DE GUIAS</v>
      </c>
      <c r="F2727" s="2" t="str">
        <f>"R_NEGACAO_GUIA.RDF"</f>
        <v>R_NEGACAO_GUIA.RDF</v>
      </c>
      <c r="G2727" s="2" t="str">
        <f t="shared" si="232"/>
        <v xml:space="preserve"> ()</v>
      </c>
    </row>
    <row r="2728" spans="1:7" x14ac:dyDescent="0.3">
      <c r="A2728" s="1" t="s">
        <v>4</v>
      </c>
      <c r="B2728" s="2" t="str">
        <f t="shared" si="229"/>
        <v>SISTEMA FATURAMENTO CONTAS DE CONVENIO</v>
      </c>
      <c r="C2728" s="2" t="str">
        <f t="shared" si="230"/>
        <v>FATUR-CONV</v>
      </c>
      <c r="D2728" s="2" t="str">
        <f t="shared" si="231"/>
        <v>FFCV</v>
      </c>
      <c r="E2728" s="2" t="str">
        <f>"R_FAT_CC_RAT_ORIGEM_DT_LANC"</f>
        <v>R_FAT_CC_RAT_ORIGEM_DT_LANC</v>
      </c>
      <c r="F2728" s="2" t="str">
        <f>"R_FAT_CC_RAT_ORIGEM_DT_LANC"</f>
        <v>R_FAT_CC_RAT_ORIGEM_DT_LANC</v>
      </c>
      <c r="G2728" s="2" t="str">
        <f t="shared" si="232"/>
        <v xml:space="preserve"> ()</v>
      </c>
    </row>
    <row r="2729" spans="1:7" x14ac:dyDescent="0.3">
      <c r="A2729" s="1" t="s">
        <v>4</v>
      </c>
      <c r="B2729" s="2" t="str">
        <f t="shared" si="229"/>
        <v>SISTEMA FATURAMENTO CONTAS DE CONVENIO</v>
      </c>
      <c r="C2729" s="2" t="str">
        <f t="shared" si="230"/>
        <v>FATUR-CONV</v>
      </c>
      <c r="D2729" s="2" t="str">
        <f t="shared" si="231"/>
        <v>FFCV</v>
      </c>
      <c r="E2729" s="2" t="str">
        <f>"R_FAT_CC_RAT_ORIGEM"</f>
        <v>R_FAT_CC_RAT_ORIGEM</v>
      </c>
      <c r="F2729" s="2" t="str">
        <f>"R_FAT_CC_RAT_ORIGEM"</f>
        <v>R_FAT_CC_RAT_ORIGEM</v>
      </c>
      <c r="G2729" s="2" t="str">
        <f t="shared" si="232"/>
        <v xml:space="preserve"> ()</v>
      </c>
    </row>
    <row r="2730" spans="1:7" x14ac:dyDescent="0.3">
      <c r="A2730" s="1" t="s">
        <v>4</v>
      </c>
      <c r="B2730" s="2" t="str">
        <f t="shared" si="229"/>
        <v>SISTEMA FATURAMENTO CONTAS DE CONVENIO</v>
      </c>
      <c r="C2730" s="2" t="str">
        <f t="shared" si="230"/>
        <v>FATUR-CONV</v>
      </c>
      <c r="D2730" s="2" t="str">
        <f t="shared" si="231"/>
        <v>FFCV</v>
      </c>
      <c r="E2730" s="2" t="str">
        <f>"R_FAT_ESPEC_BAIRRO"</f>
        <v>R_FAT_ESPEC_BAIRRO</v>
      </c>
      <c r="F2730" s="2" t="str">
        <f>"R_FAT_ESPEC_BAIRRO"</f>
        <v>R_FAT_ESPEC_BAIRRO</v>
      </c>
      <c r="G2730" s="2" t="str">
        <f t="shared" si="232"/>
        <v xml:space="preserve"> ()</v>
      </c>
    </row>
    <row r="2731" spans="1:7" x14ac:dyDescent="0.3">
      <c r="A2731" s="1" t="s">
        <v>4</v>
      </c>
      <c r="B2731" s="2" t="str">
        <f t="shared" si="229"/>
        <v>SISTEMA FATURAMENTO CONTAS DE CONVENIO</v>
      </c>
      <c r="C2731" s="2" t="str">
        <f t="shared" si="230"/>
        <v>FATUR-CONV</v>
      </c>
      <c r="D2731" s="2" t="str">
        <f t="shared" si="231"/>
        <v>FFCV</v>
      </c>
      <c r="E2731" s="2" t="str">
        <f>"R_ATEND_MED_ASSISTENTE_IDADE"</f>
        <v>R_ATEND_MED_ASSISTENTE_IDADE</v>
      </c>
      <c r="F2731" s="2" t="str">
        <f>"R_ATEND_MED_ASSISTENTE_IDADE"</f>
        <v>R_ATEND_MED_ASSISTENTE_IDADE</v>
      </c>
      <c r="G2731" s="2" t="str">
        <f t="shared" si="232"/>
        <v xml:space="preserve"> ()</v>
      </c>
    </row>
    <row r="2732" spans="1:7" x14ac:dyDescent="0.3">
      <c r="A2732" s="1" t="s">
        <v>4</v>
      </c>
      <c r="B2732" s="2" t="str">
        <f t="shared" si="229"/>
        <v>SISTEMA FATURAMENTO CONTAS DE CONVENIO</v>
      </c>
      <c r="C2732" s="2" t="str">
        <f t="shared" si="230"/>
        <v>FATUR-CONV</v>
      </c>
      <c r="D2732" s="2" t="str">
        <f t="shared" si="231"/>
        <v>FFCV</v>
      </c>
      <c r="E2732" s="2" t="str">
        <f>"GERA_ARQMAG_UNIFORT"</f>
        <v>GERA_ARQMAG_UNIFORT</v>
      </c>
      <c r="F2732" s="2" t="str">
        <f>"GERA_ARQMAG_UNIFORT"</f>
        <v>GERA_ARQMAG_UNIFORT</v>
      </c>
      <c r="G2732" s="2" t="str">
        <f t="shared" si="232"/>
        <v xml:space="preserve"> ()</v>
      </c>
    </row>
    <row r="2733" spans="1:7" x14ac:dyDescent="0.3">
      <c r="A2733" s="1" t="s">
        <v>4</v>
      </c>
      <c r="B2733" s="2" t="str">
        <f t="shared" si="229"/>
        <v>SISTEMA FATURAMENTO CONTAS DE CONVENIO</v>
      </c>
      <c r="C2733" s="2" t="str">
        <f t="shared" si="230"/>
        <v>FATUR-CONV</v>
      </c>
      <c r="D2733" s="2" t="str">
        <f t="shared" si="231"/>
        <v>FFCV</v>
      </c>
      <c r="E2733" s="2" t="str">
        <f>"GERA_ARQMAG_NATSAM"</f>
        <v>GERA_ARQMAG_NATSAM</v>
      </c>
      <c r="F2733" s="2" t="str">
        <f>"GERA_ARQMAG_NATSAM"</f>
        <v>GERA_ARQMAG_NATSAM</v>
      </c>
      <c r="G2733" s="2" t="str">
        <f t="shared" si="232"/>
        <v xml:space="preserve"> ()</v>
      </c>
    </row>
    <row r="2734" spans="1:7" x14ac:dyDescent="0.3">
      <c r="A2734" s="1" t="s">
        <v>4</v>
      </c>
      <c r="B2734" s="2" t="str">
        <f t="shared" si="229"/>
        <v>SISTEMA FATURAMENTO CONTAS DE CONVENIO</v>
      </c>
      <c r="C2734" s="2" t="str">
        <f t="shared" si="230"/>
        <v>FATUR-CONV</v>
      </c>
      <c r="D2734" s="2" t="str">
        <f t="shared" si="231"/>
        <v>FFCV</v>
      </c>
      <c r="E2734" s="2" t="str">
        <f>"GERA_ARQMAG_UNIPARA"</f>
        <v>GERA_ARQMAG_UNIPARA</v>
      </c>
      <c r="F2734" s="2" t="str">
        <f>"GERA_ARQMAG_UNIPARA"</f>
        <v>GERA_ARQMAG_UNIPARA</v>
      </c>
      <c r="G2734" s="2" t="str">
        <f t="shared" si="232"/>
        <v xml:space="preserve"> ()</v>
      </c>
    </row>
    <row r="2735" spans="1:7" x14ac:dyDescent="0.3">
      <c r="A2735" s="1" t="s">
        <v>4</v>
      </c>
      <c r="B2735" s="2" t="str">
        <f t="shared" si="229"/>
        <v>SISTEMA FATURAMENTO CONTAS DE CONVENIO</v>
      </c>
      <c r="C2735" s="2" t="str">
        <f t="shared" si="230"/>
        <v>FATUR-CONV</v>
      </c>
      <c r="D2735" s="2" t="str">
        <f t="shared" si="231"/>
        <v>FFCV</v>
      </c>
      <c r="E2735" s="2" t="str">
        <f>"IMPORTAÇÃO DAS TABELAS AMB PARA O FFCV"</f>
        <v>IMPORTAÇÃO DAS TABELAS AMB PARA O FFCV</v>
      </c>
      <c r="F2735" s="2" t="str">
        <f>"IMPORTA_AMB"</f>
        <v>IMPORTA_AMB</v>
      </c>
      <c r="G2735" s="2" t="str">
        <f t="shared" si="232"/>
        <v xml:space="preserve"> ()</v>
      </c>
    </row>
    <row r="2736" spans="1:7" x14ac:dyDescent="0.3">
      <c r="A2736" s="1" t="s">
        <v>4</v>
      </c>
      <c r="B2736" s="2" t="str">
        <f t="shared" si="229"/>
        <v>SISTEMA FATURAMENTO CONTAS DE CONVENIO</v>
      </c>
      <c r="C2736" s="2" t="str">
        <f t="shared" si="230"/>
        <v>FATUR-CONV</v>
      </c>
      <c r="D2736" s="2" t="str">
        <f t="shared" si="231"/>
        <v>FFCV</v>
      </c>
      <c r="E2736" s="2" t="str">
        <f>"REL DE TABELA DE FATURAMENTO"</f>
        <v>REL DE TABELA DE FATURAMENTO</v>
      </c>
      <c r="F2736" s="2" t="str">
        <f>"M_TAB_FAT"</f>
        <v>M_TAB_FAT</v>
      </c>
      <c r="G2736" s="2" t="str">
        <f t="shared" si="232"/>
        <v xml:space="preserve"> ()</v>
      </c>
    </row>
    <row r="2737" spans="1:7" x14ac:dyDescent="0.3">
      <c r="A2737" s="1" t="s">
        <v>4</v>
      </c>
      <c r="B2737" s="2" t="str">
        <f t="shared" si="229"/>
        <v>SISTEMA FATURAMENTO CONTAS DE CONVENIO</v>
      </c>
      <c r="C2737" s="2" t="str">
        <f t="shared" si="230"/>
        <v>FATUR-CONV</v>
      </c>
      <c r="D2737" s="2" t="str">
        <f t="shared" si="231"/>
        <v>FFCV</v>
      </c>
      <c r="E2737" s="2" t="str">
        <f>"M_REGRA_CARDAPIO_ACOMPANHANTE"</f>
        <v>M_REGRA_CARDAPIO_ACOMPANHANTE</v>
      </c>
      <c r="F2737" s="2" t="str">
        <f>"M_REGRA_CARDAPIO_ACOMPANHANTE"</f>
        <v>M_REGRA_CARDAPIO_ACOMPANHANTE</v>
      </c>
      <c r="G2737" s="2" t="str">
        <f>"Faturamento / Faturamento de Convênios e Particulares / Configurações / Regras de Cobertura p/ Refeições de Acompanhantes (M_REGRA_CARDAPIO_ACOMPANHANTE)"</f>
        <v>Faturamento / Faturamento de Convênios e Particulares / Configurações / Regras de Cobertura p/ Refeições de Acompanhantes (M_REGRA_CARDAPIO_ACOMPANHANTE)</v>
      </c>
    </row>
    <row r="2738" spans="1:7" x14ac:dyDescent="0.3">
      <c r="A2738" s="1" t="s">
        <v>4</v>
      </c>
      <c r="B2738" s="2" t="str">
        <f t="shared" si="229"/>
        <v>SISTEMA FATURAMENTO CONTAS DE CONVENIO</v>
      </c>
      <c r="C2738" s="2" t="str">
        <f t="shared" si="230"/>
        <v>FATUR-CONV</v>
      </c>
      <c r="D2738" s="2" t="str">
        <f t="shared" si="231"/>
        <v>FFCV</v>
      </c>
      <c r="E2738" s="2" t="str">
        <f>"PROCEDIMENTOS TUSS"</f>
        <v>PROCEDIMENTOS TUSS</v>
      </c>
      <c r="F2738" s="2" t="str">
        <f>"M_CAD_TUSS"</f>
        <v>M_CAD_TUSS</v>
      </c>
      <c r="G2738" s="2" t="str">
        <f>"Faturamento / Faturamento de Convênios e Particulares / Tabelas / Formas de Apresentação / Procedimentos TUSS (M_CAD_TUSS)"</f>
        <v>Faturamento / Faturamento de Convênios e Particulares / Tabelas / Formas de Apresentação / Procedimentos TUSS (M_CAD_TUSS)</v>
      </c>
    </row>
    <row r="2739" spans="1:7" x14ac:dyDescent="0.3">
      <c r="A2739" s="1" t="s">
        <v>4</v>
      </c>
      <c r="B2739" s="2" t="str">
        <f t="shared" si="229"/>
        <v>SISTEMA FATURAMENTO CONTAS DE CONVENIO</v>
      </c>
      <c r="C2739" s="2" t="str">
        <f t="shared" si="230"/>
        <v>FATUR-CONV</v>
      </c>
      <c r="D2739" s="2" t="str">
        <f t="shared" si="231"/>
        <v>FFCV</v>
      </c>
      <c r="E2739" s="2" t="str">
        <f>"FOLHA DE ROSTO AMBULATORIAL POR REMESSA"</f>
        <v>FOLHA DE ROSTO AMBULATORIAL POR REMESSA</v>
      </c>
      <c r="F2739" s="2" t="str">
        <f>"R_FOLHA_DE_ROSTO_AMB_REMESSA"</f>
        <v>R_FOLHA_DE_ROSTO_AMB_REMESSA</v>
      </c>
      <c r="G2739" s="2" t="str">
        <f>" ()"</f>
        <v xml:space="preserve"> ()</v>
      </c>
    </row>
    <row r="2740" spans="1:7" x14ac:dyDescent="0.3">
      <c r="A2740" s="1" t="s">
        <v>4</v>
      </c>
      <c r="B2740" s="2" t="str">
        <f t="shared" si="229"/>
        <v>SISTEMA FATURAMENTO CONTAS DE CONVENIO</v>
      </c>
      <c r="C2740" s="2" t="str">
        <f t="shared" si="230"/>
        <v>FATUR-CONV</v>
      </c>
      <c r="D2740" s="2" t="str">
        <f t="shared" si="231"/>
        <v>FFCV</v>
      </c>
      <c r="E2740" s="2" t="str">
        <f>"WIN_PRINCIPAL"</f>
        <v>WIN_PRINCIPAL</v>
      </c>
      <c r="F2740" s="2" t="str">
        <f>"M_MOTIVO_TRANSFERENCIA"</f>
        <v>M_MOTIVO_TRANSFERENCIA</v>
      </c>
      <c r="G2740" s="2" t="str">
        <f>"Faturamento / Faturamento de Convênios e Particulares / Tabelas / Motivo de Mudança de Atendimento (M_MOTIVO_TRANSFERENCIA)"</f>
        <v>Faturamento / Faturamento de Convênios e Particulares / Tabelas / Motivo de Mudança de Atendimento (M_MOTIVO_TRANSFERENCIA)</v>
      </c>
    </row>
    <row r="2741" spans="1:7" x14ac:dyDescent="0.3">
      <c r="A2741" s="1" t="s">
        <v>4</v>
      </c>
      <c r="B2741" s="2" t="str">
        <f t="shared" si="229"/>
        <v>SISTEMA FATURAMENTO CONTAS DE CONVENIO</v>
      </c>
      <c r="C2741" s="2" t="str">
        <f t="shared" si="230"/>
        <v>FATUR-CONV</v>
      </c>
      <c r="D2741" s="2" t="str">
        <f t="shared" si="231"/>
        <v>FFCV</v>
      </c>
      <c r="E2741" s="2" t="str">
        <f>"R_MED_NAO_CONSTANTES_BRAS_IPE_CHAR"</f>
        <v>R_MED_NAO_CONSTANTES_BRAS_IPE_CHAR</v>
      </c>
      <c r="F2741" s="2" t="str">
        <f>"R_MED_NAO_CONSTANTES_BRAS_IPE_CHAR"</f>
        <v>R_MED_NAO_CONSTANTES_BRAS_IPE_CHAR</v>
      </c>
      <c r="G2741" s="2" t="str">
        <f t="shared" ref="G2741:G2746" si="233">" ()"</f>
        <v xml:space="preserve"> ()</v>
      </c>
    </row>
    <row r="2742" spans="1:7" x14ac:dyDescent="0.3">
      <c r="A2742" s="1" t="s">
        <v>4</v>
      </c>
      <c r="B2742" s="2" t="str">
        <f t="shared" si="229"/>
        <v>SISTEMA FATURAMENTO CONTAS DE CONVENIO</v>
      </c>
      <c r="C2742" s="2" t="str">
        <f t="shared" si="230"/>
        <v>FATUR-CONV</v>
      </c>
      <c r="D2742" s="2" t="str">
        <f t="shared" si="231"/>
        <v>FFCV</v>
      </c>
      <c r="E2742" s="2" t="str">
        <f>"R_FOLHA_DE_ROSTO"</f>
        <v>R_FOLHA_DE_ROSTO</v>
      </c>
      <c r="F2742" s="2" t="str">
        <f>"R_FOLHA_DE_ROSTO"</f>
        <v>R_FOLHA_DE_ROSTO</v>
      </c>
      <c r="G2742" s="2" t="str">
        <f t="shared" si="233"/>
        <v xml:space="preserve"> ()</v>
      </c>
    </row>
    <row r="2743" spans="1:7" x14ac:dyDescent="0.3">
      <c r="A2743" s="1" t="s">
        <v>4</v>
      </c>
      <c r="B2743" s="2" t="str">
        <f t="shared" si="229"/>
        <v>SISTEMA FATURAMENTO CONTAS DE CONVENIO</v>
      </c>
      <c r="C2743" s="2" t="str">
        <f t="shared" si="230"/>
        <v>FATUR-CONV</v>
      </c>
      <c r="D2743" s="2" t="str">
        <f t="shared" si="231"/>
        <v>FFCV</v>
      </c>
      <c r="E2743" s="2" t="str">
        <f>"R_FOLHA_DE_ROSTO_AMB"</f>
        <v>R_FOLHA_DE_ROSTO_AMB</v>
      </c>
      <c r="F2743" s="2" t="str">
        <f>"R_FOLHA_DE_ROSTO_AMB"</f>
        <v>R_FOLHA_DE_ROSTO_AMB</v>
      </c>
      <c r="G2743" s="2" t="str">
        <f t="shared" si="233"/>
        <v xml:space="preserve"> ()</v>
      </c>
    </row>
    <row r="2744" spans="1:7" x14ac:dyDescent="0.3">
      <c r="A2744" s="1" t="s">
        <v>4</v>
      </c>
      <c r="B2744" s="2" t="str">
        <f t="shared" si="229"/>
        <v>SISTEMA FATURAMENTO CONTAS DE CONVENIO</v>
      </c>
      <c r="C2744" s="2" t="str">
        <f t="shared" si="230"/>
        <v>FATUR-CONV</v>
      </c>
      <c r="D2744" s="2" t="str">
        <f t="shared" si="231"/>
        <v>FFCV</v>
      </c>
      <c r="E2744" s="2" t="str">
        <f>"CALC_QT_CH"</f>
        <v>CALC_QT_CH</v>
      </c>
      <c r="F2744" s="2" t="str">
        <f>"CALC_QT_CH"</f>
        <v>CALC_QT_CH</v>
      </c>
      <c r="G2744" s="2" t="str">
        <f t="shared" si="233"/>
        <v xml:space="preserve"> ()</v>
      </c>
    </row>
    <row r="2745" spans="1:7" x14ac:dyDescent="0.3">
      <c r="A2745" s="1" t="s">
        <v>4</v>
      </c>
      <c r="B2745" s="2" t="str">
        <f t="shared" si="229"/>
        <v>SISTEMA FATURAMENTO CONTAS DE CONVENIO</v>
      </c>
      <c r="C2745" s="2" t="str">
        <f t="shared" si="230"/>
        <v>FATUR-CONV</v>
      </c>
      <c r="D2745" s="2" t="str">
        <f t="shared" si="231"/>
        <v>FFCV</v>
      </c>
      <c r="E2745" s="2" t="str">
        <f>"R_LOG_ERRO_ARQMAG"</f>
        <v>R_LOG_ERRO_ARQMAG</v>
      </c>
      <c r="F2745" s="2" t="str">
        <f>"R_LOG_ERRO_ARQMAG"</f>
        <v>R_LOG_ERRO_ARQMAG</v>
      </c>
      <c r="G2745" s="2" t="str">
        <f t="shared" si="233"/>
        <v xml:space="preserve"> ()</v>
      </c>
    </row>
    <row r="2746" spans="1:7" x14ac:dyDescent="0.3">
      <c r="A2746" s="1" t="s">
        <v>4</v>
      </c>
      <c r="B2746" s="2" t="str">
        <f t="shared" si="229"/>
        <v>SISTEMA FATURAMENTO CONTAS DE CONVENIO</v>
      </c>
      <c r="C2746" s="2" t="str">
        <f t="shared" si="230"/>
        <v>FATUR-CONV</v>
      </c>
      <c r="D2746" s="2" t="str">
        <f t="shared" si="231"/>
        <v>FFCV</v>
      </c>
      <c r="E2746" s="2" t="str">
        <f>"GERA_ARQMAG_UNIRIO"</f>
        <v>GERA_ARQMAG_UNIRIO</v>
      </c>
      <c r="F2746" s="2" t="str">
        <f>"GERA_ARQMAG_UNIRIO"</f>
        <v>GERA_ARQMAG_UNIRIO</v>
      </c>
      <c r="G2746" s="2" t="str">
        <f t="shared" si="233"/>
        <v xml:space="preserve"> ()</v>
      </c>
    </row>
    <row r="2747" spans="1:7" x14ac:dyDescent="0.3">
      <c r="A2747" s="1" t="s">
        <v>4</v>
      </c>
      <c r="B2747" s="2" t="str">
        <f t="shared" si="229"/>
        <v>SISTEMA FATURAMENTO CONTAS DE CONVENIO</v>
      </c>
      <c r="C2747" s="2" t="str">
        <f t="shared" si="230"/>
        <v>FATUR-CONV</v>
      </c>
      <c r="D2747" s="2" t="str">
        <f t="shared" si="231"/>
        <v>FFCV</v>
      </c>
      <c r="E2747" s="2" t="str">
        <f>"CADASTRO: OPERADORAS"</f>
        <v>CADASTRO: OPERADORAS</v>
      </c>
      <c r="F2747" s="2" t="str">
        <f>"M_OPERADORAS"</f>
        <v>M_OPERADORAS</v>
      </c>
      <c r="G2747" s="2" t="str">
        <f>"Faturamento / Faturamento de Convênios e Particulares / Tabelas / Gerais / Operadoras (M_OPERADORAS)"</f>
        <v>Faturamento / Faturamento de Convênios e Particulares / Tabelas / Gerais / Operadoras (M_OPERADORAS)</v>
      </c>
    </row>
    <row r="2748" spans="1:7" x14ac:dyDescent="0.3">
      <c r="A2748" s="1" t="s">
        <v>4</v>
      </c>
      <c r="B2748" s="2" t="str">
        <f t="shared" si="229"/>
        <v>SISTEMA FATURAMENTO CONTAS DE CONVENIO</v>
      </c>
      <c r="C2748" s="2" t="str">
        <f t="shared" si="230"/>
        <v>FATUR-CONV</v>
      </c>
      <c r="D2748" s="2" t="str">
        <f t="shared" si="231"/>
        <v>FFCV</v>
      </c>
      <c r="E2748" s="2" t="str">
        <f>"FOLHA DE ROSTO HOSPITALAR POR REMESSA"</f>
        <v>FOLHA DE ROSTO HOSPITALAR POR REMESSA</v>
      </c>
      <c r="F2748" s="2" t="str">
        <f>"R_FOLHA_DE_ROSTO_REMESSA"</f>
        <v>R_FOLHA_DE_ROSTO_REMESSA</v>
      </c>
      <c r="G2748" s="2" t="str">
        <f t="shared" ref="G2748:G2761" si="234">" ()"</f>
        <v xml:space="preserve"> ()</v>
      </c>
    </row>
    <row r="2749" spans="1:7" x14ac:dyDescent="0.3">
      <c r="A2749" s="1" t="s">
        <v>4</v>
      </c>
      <c r="B2749" s="2" t="str">
        <f t="shared" si="229"/>
        <v>SISTEMA FATURAMENTO CONTAS DE CONVENIO</v>
      </c>
      <c r="C2749" s="2" t="str">
        <f t="shared" si="230"/>
        <v>FATUR-CONV</v>
      </c>
      <c r="D2749" s="2" t="str">
        <f t="shared" si="231"/>
        <v>FFCV</v>
      </c>
      <c r="E2749" s="2" t="str">
        <f>"RELATÓRIO AUDITORIA DE CONTAS"</f>
        <v>RELATÓRIO AUDITORIA DE CONTAS</v>
      </c>
      <c r="F2749" s="2" t="str">
        <f>"R_AUDITORIA_DE_CONTAS.RDF"</f>
        <v>R_AUDITORIA_DE_CONTAS.RDF</v>
      </c>
      <c r="G2749" s="2" t="str">
        <f t="shared" si="234"/>
        <v xml:space="preserve"> ()</v>
      </c>
    </row>
    <row r="2750" spans="1:7" x14ac:dyDescent="0.3">
      <c r="A2750" s="1" t="s">
        <v>4</v>
      </c>
      <c r="B2750" s="2" t="str">
        <f t="shared" si="229"/>
        <v>SISTEMA FATURAMENTO CONTAS DE CONVENIO</v>
      </c>
      <c r="C2750" s="2" t="str">
        <f t="shared" si="230"/>
        <v>FATUR-CONV</v>
      </c>
      <c r="D2750" s="2" t="str">
        <f t="shared" si="231"/>
        <v>FFCV</v>
      </c>
      <c r="E2750" s="2" t="str">
        <f>"REL. DE FATURAMENTO DE FORNEC. SINTÉTICO"</f>
        <v>REL. DE FATURAMENTO DE FORNEC. SINTÉTICO</v>
      </c>
      <c r="F2750" s="2" t="str">
        <f>"R_FAT_FORN_SINT"</f>
        <v>R_FAT_FORN_SINT</v>
      </c>
      <c r="G2750" s="2" t="str">
        <f t="shared" si="234"/>
        <v xml:space="preserve"> ()</v>
      </c>
    </row>
    <row r="2751" spans="1:7" x14ac:dyDescent="0.3">
      <c r="A2751" s="1" t="s">
        <v>4</v>
      </c>
      <c r="B2751" s="2" t="str">
        <f t="shared" si="229"/>
        <v>SISTEMA FATURAMENTO CONTAS DE CONVENIO</v>
      </c>
      <c r="C2751" s="2" t="str">
        <f t="shared" si="230"/>
        <v>FATUR-CONV</v>
      </c>
      <c r="D2751" s="2" t="str">
        <f t="shared" si="231"/>
        <v>FFCV</v>
      </c>
      <c r="E2751" s="2" t="str">
        <f>"RELATÓRIO DE CSMH"</f>
        <v>RELATÓRIO DE CSMH</v>
      </c>
      <c r="F2751" s="2" t="str">
        <f>"R_CSMH.RDF"</f>
        <v>R_CSMH.RDF</v>
      </c>
      <c r="G2751" s="2" t="str">
        <f t="shared" si="234"/>
        <v xml:space="preserve"> ()</v>
      </c>
    </row>
    <row r="2752" spans="1:7" x14ac:dyDescent="0.3">
      <c r="A2752" s="1" t="s">
        <v>4</v>
      </c>
      <c r="B2752" s="2" t="str">
        <f t="shared" si="229"/>
        <v>SISTEMA FATURAMENTO CONTAS DE CONVENIO</v>
      </c>
      <c r="C2752" s="2" t="str">
        <f t="shared" si="230"/>
        <v>FATUR-CONV</v>
      </c>
      <c r="D2752" s="2" t="str">
        <f t="shared" si="231"/>
        <v>FFCV</v>
      </c>
      <c r="E2752" s="2" t="str">
        <f>"REL. DE RECIBO PROVISÓRIO DE SERVIÇO"</f>
        <v>REL. DE RECIBO PROVISÓRIO DE SERVIÇO</v>
      </c>
      <c r="F2752" s="2" t="str">
        <f>"R_RECIBO_PROVISORIO_SERVICO.RDF"</f>
        <v>R_RECIBO_PROVISORIO_SERVICO.RDF</v>
      </c>
      <c r="G2752" s="2" t="str">
        <f t="shared" si="234"/>
        <v xml:space="preserve"> ()</v>
      </c>
    </row>
    <row r="2753" spans="1:7" x14ac:dyDescent="0.3">
      <c r="A2753" s="1" t="s">
        <v>4</v>
      </c>
      <c r="B2753" s="2" t="str">
        <f t="shared" si="229"/>
        <v>SISTEMA FATURAMENTO CONTAS DE CONVENIO</v>
      </c>
      <c r="C2753" s="2" t="str">
        <f t="shared" si="230"/>
        <v>FATUR-CONV</v>
      </c>
      <c r="D2753" s="2" t="str">
        <f t="shared" si="231"/>
        <v>FFCV</v>
      </c>
      <c r="E2753" s="2" t="str">
        <f>"HIST. DE COMPETÊNCIAS DO FATURAMENTO"</f>
        <v>HIST. DE COMPETÊNCIAS DO FATURAMENTO</v>
      </c>
      <c r="F2753" s="2" t="str">
        <f>"R_HISTORICO_COMPETENCIA.RDF"</f>
        <v>R_HISTORICO_COMPETENCIA.RDF</v>
      </c>
      <c r="G2753" s="2" t="str">
        <f t="shared" si="234"/>
        <v xml:space="preserve"> ()</v>
      </c>
    </row>
    <row r="2754" spans="1:7" x14ac:dyDescent="0.3">
      <c r="A2754" s="1" t="s">
        <v>4</v>
      </c>
      <c r="B2754" s="2" t="str">
        <f t="shared" si="229"/>
        <v>SISTEMA FATURAMENTO CONTAS DE CONVENIO</v>
      </c>
      <c r="C2754" s="2" t="str">
        <f t="shared" si="230"/>
        <v>FATUR-CONV</v>
      </c>
      <c r="D2754" s="2" t="str">
        <f t="shared" si="231"/>
        <v>FFCV</v>
      </c>
      <c r="E2754" s="2" t="str">
        <f>"RELATÓRIO DE LIGAÇÕES DE PACIENTES"</f>
        <v>RELATÓRIO DE LIGAÇÕES DE PACIENTES</v>
      </c>
      <c r="F2754" s="2" t="str">
        <f>"R_LIGACAO_PACIENTE.RDF"</f>
        <v>R_LIGACAO_PACIENTE.RDF</v>
      </c>
      <c r="G2754" s="2" t="str">
        <f t="shared" si="234"/>
        <v xml:space="preserve"> ()</v>
      </c>
    </row>
    <row r="2755" spans="1:7" x14ac:dyDescent="0.3">
      <c r="A2755" s="1" t="s">
        <v>4</v>
      </c>
      <c r="B2755" s="2" t="str">
        <f t="shared" si="229"/>
        <v>SISTEMA FATURAMENTO CONTAS DE CONVENIO</v>
      </c>
      <c r="C2755" s="2" t="str">
        <f t="shared" si="230"/>
        <v>FATUR-CONV</v>
      </c>
      <c r="D2755" s="2" t="str">
        <f t="shared" si="231"/>
        <v>FFCV</v>
      </c>
      <c r="E2755" s="2" t="str">
        <f>"AVISO DE FECHAMENTO DE CONTAS PARCIAIS"</f>
        <v>AVISO DE FECHAMENTO DE CONTAS PARCIAIS</v>
      </c>
      <c r="F2755" s="2" t="str">
        <f>"R_AVISO_PARCIAL.RDF"</f>
        <v>R_AVISO_PARCIAL.RDF</v>
      </c>
      <c r="G2755" s="2" t="str">
        <f t="shared" si="234"/>
        <v xml:space="preserve"> ()</v>
      </c>
    </row>
    <row r="2756" spans="1:7" x14ac:dyDescent="0.3">
      <c r="A2756" s="1" t="s">
        <v>4</v>
      </c>
      <c r="B2756" s="2" t="str">
        <f t="shared" si="229"/>
        <v>SISTEMA FATURAMENTO CONTAS DE CONVENIO</v>
      </c>
      <c r="C2756" s="2" t="str">
        <f t="shared" si="230"/>
        <v>FATUR-CONV</v>
      </c>
      <c r="D2756" s="2" t="str">
        <f t="shared" si="231"/>
        <v>FFCV</v>
      </c>
      <c r="E2756" s="2" t="str">
        <f>"RESUMO GERAL DAS CONTAS AMB. E HOSP."</f>
        <v>RESUMO GERAL DAS CONTAS AMB. E HOSP.</v>
      </c>
      <c r="F2756" s="2" t="str">
        <f>"R_CONTA_REC_CONV_PACIENTE.RDF"</f>
        <v>R_CONTA_REC_CONV_PACIENTE.RDF</v>
      </c>
      <c r="G2756" s="2" t="str">
        <f t="shared" si="234"/>
        <v xml:space="preserve"> ()</v>
      </c>
    </row>
    <row r="2757" spans="1:7" x14ac:dyDescent="0.3">
      <c r="A2757" s="1" t="s">
        <v>4</v>
      </c>
      <c r="B2757" s="2" t="str">
        <f t="shared" si="229"/>
        <v>SISTEMA FATURAMENTO CONTAS DE CONVENIO</v>
      </c>
      <c r="C2757" s="2" t="str">
        <f t="shared" si="230"/>
        <v>FATUR-CONV</v>
      </c>
      <c r="D2757" s="2" t="str">
        <f t="shared" si="231"/>
        <v>FFCV</v>
      </c>
      <c r="E2757" s="2" t="str">
        <f>"RELATÓRIO DE DIÁRIAS DE ACOMPANHANTE"</f>
        <v>RELATÓRIO DE DIÁRIAS DE ACOMPANHANTE</v>
      </c>
      <c r="F2757" s="2" t="str">
        <f>"R_DIARIA_ACOMPANHANTE.RDF"</f>
        <v>R_DIARIA_ACOMPANHANTE.RDF</v>
      </c>
      <c r="G2757" s="2" t="str">
        <f t="shared" si="234"/>
        <v xml:space="preserve"> ()</v>
      </c>
    </row>
    <row r="2758" spans="1:7" x14ac:dyDescent="0.3">
      <c r="A2758" s="1" t="s">
        <v>4</v>
      </c>
      <c r="B2758" s="2" t="str">
        <f t="shared" ref="B2758:B2765" si="235">"SISTEMA FATURAMENTO CONTAS DE CONVENIO"</f>
        <v>SISTEMA FATURAMENTO CONTAS DE CONVENIO</v>
      </c>
      <c r="C2758" s="2" t="str">
        <f t="shared" ref="C2758:C2765" si="236">"FATUR-CONV"</f>
        <v>FATUR-CONV</v>
      </c>
      <c r="D2758" s="2" t="str">
        <f t="shared" ref="D2758:D2765" si="237">"FFCV"</f>
        <v>FFCV</v>
      </c>
      <c r="E2758" s="2" t="str">
        <f>"RELATÓRIO DE REAJUSTES DE PREÇOS"</f>
        <v>RELATÓRIO DE REAJUSTES DE PREÇOS</v>
      </c>
      <c r="F2758" s="2" t="str">
        <f>"R_REAJ_PRECOS.RDF"</f>
        <v>R_REAJ_PRECOS.RDF</v>
      </c>
      <c r="G2758" s="2" t="str">
        <f t="shared" si="234"/>
        <v xml:space="preserve"> ()</v>
      </c>
    </row>
    <row r="2759" spans="1:7" x14ac:dyDescent="0.3">
      <c r="A2759" s="1" t="s">
        <v>4</v>
      </c>
      <c r="B2759" s="2" t="str">
        <f t="shared" si="235"/>
        <v>SISTEMA FATURAMENTO CONTAS DE CONVENIO</v>
      </c>
      <c r="C2759" s="2" t="str">
        <f t="shared" si="236"/>
        <v>FATUR-CONV</v>
      </c>
      <c r="D2759" s="2" t="str">
        <f t="shared" si="237"/>
        <v>FFCV</v>
      </c>
      <c r="E2759" s="2" t="str">
        <f>"RELATÓRIO NÃO CONSTANTES NO BRASÍNDICE"</f>
        <v>RELATÓRIO NÃO CONSTANTES NO BRASÍNDICE</v>
      </c>
      <c r="F2759" s="2" t="str">
        <f>"R_MED_NAO_CONSTANTES_BRAS_IPE.RDF"</f>
        <v>R_MED_NAO_CONSTANTES_BRAS_IPE.RDF</v>
      </c>
      <c r="G2759" s="2" t="str">
        <f t="shared" si="234"/>
        <v xml:space="preserve"> ()</v>
      </c>
    </row>
    <row r="2760" spans="1:7" x14ac:dyDescent="0.3">
      <c r="A2760" s="1" t="s">
        <v>4</v>
      </c>
      <c r="B2760" s="2" t="str">
        <f t="shared" si="235"/>
        <v>SISTEMA FATURAMENTO CONTAS DE CONVENIO</v>
      </c>
      <c r="C2760" s="2" t="str">
        <f t="shared" si="236"/>
        <v>FATUR-CONV</v>
      </c>
      <c r="D2760" s="2" t="str">
        <f t="shared" si="237"/>
        <v>FFCV</v>
      </c>
      <c r="E2760" s="2" t="str">
        <f>"EXCEÇÕES DE PROCEDIMENTOS"</f>
        <v>EXCEÇÕES DE PROCEDIMENTOS</v>
      </c>
      <c r="F2760" s="2" t="str">
        <f>"R_PORTE_MEDICO_PRO_FAT.RDF"</f>
        <v>R_PORTE_MEDICO_PRO_FAT.RDF</v>
      </c>
      <c r="G2760" s="2" t="str">
        <f t="shared" si="234"/>
        <v xml:space="preserve"> ()</v>
      </c>
    </row>
    <row r="2761" spans="1:7" x14ac:dyDescent="0.3">
      <c r="A2761" s="1" t="s">
        <v>4</v>
      </c>
      <c r="B2761" s="2" t="str">
        <f t="shared" si="235"/>
        <v>SISTEMA FATURAMENTO CONTAS DE CONVENIO</v>
      </c>
      <c r="C2761" s="2" t="str">
        <f t="shared" si="236"/>
        <v>FATUR-CONV</v>
      </c>
      <c r="D2761" s="2" t="str">
        <f t="shared" si="237"/>
        <v>FFCV</v>
      </c>
      <c r="E2761" s="2" t="str">
        <f>"PROCEDIMENTOS CBHPM"</f>
        <v>PROCEDIMENTOS CBHPM</v>
      </c>
      <c r="F2761" s="2" t="str">
        <f>"R_PRO_FAT_HIERARQUIZADO.RDF"</f>
        <v>R_PRO_FAT_HIERARQUIZADO.RDF</v>
      </c>
      <c r="G2761" s="2" t="str">
        <f t="shared" si="234"/>
        <v xml:space="preserve"> ()</v>
      </c>
    </row>
    <row r="2762" spans="1:7" x14ac:dyDescent="0.3">
      <c r="A2762" s="1" t="s">
        <v>4</v>
      </c>
      <c r="B2762" s="2" t="str">
        <f t="shared" si="235"/>
        <v>SISTEMA FATURAMENTO CONTAS DE CONVENIO</v>
      </c>
      <c r="C2762" s="2" t="str">
        <f t="shared" si="236"/>
        <v>FATUR-CONV</v>
      </c>
      <c r="D2762" s="2" t="str">
        <f t="shared" si="237"/>
        <v>FFCV</v>
      </c>
      <c r="E2762" s="2" t="str">
        <f>"ATEND. TRANSF. PARA INTERNAÇÃO"</f>
        <v>ATEND. TRANSF. PARA INTERNAÇÃO</v>
      </c>
      <c r="F2762" s="2" t="str">
        <f>"R_ATEND_TRANSF"</f>
        <v>R_ATEND_TRANSF</v>
      </c>
      <c r="G2762" s="2" t="str">
        <f>"Faturamento / Faturamento de Convênios e Particulares / Relatórios / Administrativos / Atendimentos Transferidos para Internação (R_ATEND_TRANSF)"</f>
        <v>Faturamento / Faturamento de Convênios e Particulares / Relatórios / Administrativos / Atendimentos Transferidos para Internação (R_ATEND_TRANSF)</v>
      </c>
    </row>
    <row r="2763" spans="1:7" x14ac:dyDescent="0.3">
      <c r="A2763" s="1" t="s">
        <v>4</v>
      </c>
      <c r="B2763" s="2" t="str">
        <f t="shared" si="235"/>
        <v>SISTEMA FATURAMENTO CONTAS DE CONVENIO</v>
      </c>
      <c r="C2763" s="2" t="str">
        <f t="shared" si="236"/>
        <v>FATUR-CONV</v>
      </c>
      <c r="D2763" s="2" t="str">
        <f t="shared" si="237"/>
        <v>FFCV</v>
      </c>
      <c r="E2763" s="2" t="str">
        <f>"RELATÓRIO DE PROTOCOLOS DE ENTREGA"</f>
        <v>RELATÓRIO DE PROTOCOLOS DE ENTREGA</v>
      </c>
      <c r="F2763" s="2" t="str">
        <f>"R_PROTOCOLO.RDF"</f>
        <v>R_PROTOCOLO.RDF</v>
      </c>
      <c r="G2763" s="2" t="str">
        <f>" ()"</f>
        <v xml:space="preserve"> ()</v>
      </c>
    </row>
    <row r="2764" spans="1:7" x14ac:dyDescent="0.3">
      <c r="A2764" s="1" t="s">
        <v>4</v>
      </c>
      <c r="B2764" s="2" t="str">
        <f t="shared" si="235"/>
        <v>SISTEMA FATURAMENTO CONTAS DE CONVENIO</v>
      </c>
      <c r="C2764" s="2" t="str">
        <f t="shared" si="236"/>
        <v>FATUR-CONV</v>
      </c>
      <c r="D2764" s="2" t="str">
        <f t="shared" si="237"/>
        <v>FFCV</v>
      </c>
      <c r="E2764" s="2" t="str">
        <f>"RELATÓRIO DE CAPA DE ENTREGA"</f>
        <v>RELATÓRIO DE CAPA DE ENTREGA</v>
      </c>
      <c r="F2764" s="2" t="str">
        <f>"R_CAPA_REMESSA.RDF"</f>
        <v>R_CAPA_REMESSA.RDF</v>
      </c>
      <c r="G2764" s="2" t="str">
        <f>" ()"</f>
        <v xml:space="preserve"> ()</v>
      </c>
    </row>
    <row r="2765" spans="1:7" x14ac:dyDescent="0.3">
      <c r="A2765" s="1" t="s">
        <v>4</v>
      </c>
      <c r="B2765" s="2" t="str">
        <f t="shared" si="235"/>
        <v>SISTEMA FATURAMENTO CONTAS DE CONVENIO</v>
      </c>
      <c r="C2765" s="2" t="str">
        <f t="shared" si="236"/>
        <v>FATUR-CONV</v>
      </c>
      <c r="D2765" s="2" t="str">
        <f t="shared" si="237"/>
        <v>FFCV</v>
      </c>
      <c r="E2765" s="2" t="str">
        <f>"FALHA NA GERAÇÃO DE ARQUIVO MAGNÉTICO"</f>
        <v>FALHA NA GERAÇÃO DE ARQUIVO MAGNÉTICO</v>
      </c>
      <c r="F2765" s="2" t="str">
        <f>"R_FALHA_ARQMAG.RDF"</f>
        <v>R_FALHA_ARQMAG.RDF</v>
      </c>
      <c r="G2765" s="2" t="str">
        <f>" ()"</f>
        <v xml:space="preserve"> ()</v>
      </c>
    </row>
    <row r="2766" spans="1:7" x14ac:dyDescent="0.3">
      <c r="A2766" s="1" t="s">
        <v>4</v>
      </c>
      <c r="B2766" s="2" t="str">
        <f t="shared" ref="B2766:B2829" si="238">"SISTEMA FATURAMENTO INTERNAÇÃO SUS"</f>
        <v>SISTEMA FATURAMENTO INTERNAÇÃO SUS</v>
      </c>
      <c r="C2766" s="2" t="str">
        <f t="shared" ref="C2766:C2829" si="239">"FATUR-SUS"</f>
        <v>FATUR-SUS</v>
      </c>
      <c r="D2766" s="2" t="str">
        <f t="shared" ref="D2766:D2829" si="240">"FFIS"</f>
        <v>FFIS</v>
      </c>
      <c r="E2766" s="2" t="str">
        <f>"CONTAS EXPIRANDO NA COMPETÊNCIA"</f>
        <v>CONTAS EXPIRANDO NA COMPETÊNCIA</v>
      </c>
      <c r="F2766" s="2" t="str">
        <f>"M_CONTAS_APRESENTACAO"</f>
        <v>M_CONTAS_APRESENTACAO</v>
      </c>
      <c r="G2766" s="2" t="str">
        <f>"Faturamento / Faturamento de Internação SUS (AIH) / Consultas / Contas expirando na competência (M_CONTAS_APRESENTACAO)"</f>
        <v>Faturamento / Faturamento de Internação SUS (AIH) / Consultas / Contas expirando na competência (M_CONTAS_APRESENTACAO)</v>
      </c>
    </row>
    <row r="2767" spans="1:7" x14ac:dyDescent="0.3">
      <c r="A2767" s="1" t="s">
        <v>4</v>
      </c>
      <c r="B2767" s="2" t="str">
        <f t="shared" si="238"/>
        <v>SISTEMA FATURAMENTO INTERNAÇÃO SUS</v>
      </c>
      <c r="C2767" s="2" t="str">
        <f t="shared" si="239"/>
        <v>FATUR-SUS</v>
      </c>
      <c r="D2767" s="2" t="str">
        <f t="shared" si="240"/>
        <v>FFIS</v>
      </c>
      <c r="E2767" s="2" t="str">
        <f>"Controle de Laudos SA04Z de BH"</f>
        <v>Controle de Laudos SA04Z de BH</v>
      </c>
      <c r="F2767" s="2" t="str">
        <f>"M_LAUDO_SA04Z"</f>
        <v>M_LAUDO_SA04Z</v>
      </c>
      <c r="G2767" s="2" t="str">
        <f t="shared" ref="G2767:G2774" si="241">" ()"</f>
        <v xml:space="preserve"> ()</v>
      </c>
    </row>
    <row r="2768" spans="1:7" x14ac:dyDescent="0.3">
      <c r="A2768" s="1" t="s">
        <v>4</v>
      </c>
      <c r="B2768" s="2" t="str">
        <f t="shared" si="238"/>
        <v>SISTEMA FATURAMENTO INTERNAÇÃO SUS</v>
      </c>
      <c r="C2768" s="2" t="str">
        <f t="shared" si="239"/>
        <v>FATUR-SUS</v>
      </c>
      <c r="D2768" s="2" t="str">
        <f t="shared" si="240"/>
        <v>FFIS</v>
      </c>
      <c r="E2768" s="2" t="str">
        <f>"Rel de diárias de uti sus cortadas"</f>
        <v>Rel de diárias de uti sus cortadas</v>
      </c>
      <c r="F2768" s="2" t="str">
        <f>"R_DIARIAS_UTI_SUS_CORTE"</f>
        <v>R_DIARIAS_UTI_SUS_CORTE</v>
      </c>
      <c r="G2768" s="2" t="str">
        <f t="shared" si="241"/>
        <v xml:space="preserve"> ()</v>
      </c>
    </row>
    <row r="2769" spans="1:7" x14ac:dyDescent="0.3">
      <c r="A2769" s="1" t="s">
        <v>4</v>
      </c>
      <c r="B2769" s="2" t="str">
        <f t="shared" si="238"/>
        <v>SISTEMA FATURAMENTO INTERNAÇÃO SUS</v>
      </c>
      <c r="C2769" s="2" t="str">
        <f t="shared" si="239"/>
        <v>FATUR-SUS</v>
      </c>
      <c r="D2769" s="2" t="str">
        <f t="shared" si="240"/>
        <v>FFIS</v>
      </c>
      <c r="E2769" s="2" t="str">
        <f>"Rel de diárias de uti sus lançadas"</f>
        <v>Rel de diárias de uti sus lançadas</v>
      </c>
      <c r="F2769" s="2" t="str">
        <f>"R_DIARIAS_UTI_SUS"</f>
        <v>R_DIARIAS_UTI_SUS</v>
      </c>
      <c r="G2769" s="2" t="str">
        <f t="shared" si="241"/>
        <v xml:space="preserve"> ()</v>
      </c>
    </row>
    <row r="2770" spans="1:7" x14ac:dyDescent="0.3">
      <c r="A2770" s="1" t="s">
        <v>4</v>
      </c>
      <c r="B2770" s="2" t="str">
        <f t="shared" si="238"/>
        <v>SISTEMA FATURAMENTO INTERNAÇÃO SUS</v>
      </c>
      <c r="C2770" s="2" t="str">
        <f t="shared" si="239"/>
        <v>FATUR-SUS</v>
      </c>
      <c r="D2770" s="2" t="str">
        <f t="shared" si="240"/>
        <v>FFIS</v>
      </c>
      <c r="E2770" s="2" t="str">
        <f>"Gerenciamento da capacidade de uti sus"</f>
        <v>Gerenciamento da capacidade de uti sus</v>
      </c>
      <c r="F2770" s="2" t="str">
        <f>"M_GERENCIA_CAPACIDADE_UTI_SUS"</f>
        <v>M_GERENCIA_CAPACIDADE_UTI_SUS</v>
      </c>
      <c r="G2770" s="2" t="str">
        <f t="shared" si="241"/>
        <v xml:space="preserve"> ()</v>
      </c>
    </row>
    <row r="2771" spans="1:7" x14ac:dyDescent="0.3">
      <c r="A2771" s="1" t="s">
        <v>4</v>
      </c>
      <c r="B2771" s="2" t="str">
        <f t="shared" si="238"/>
        <v>SISTEMA FATURAMENTO INTERNAÇÃO SUS</v>
      </c>
      <c r="C2771" s="2" t="str">
        <f t="shared" si="239"/>
        <v>FATUR-SUS</v>
      </c>
      <c r="D2771" s="2" t="str">
        <f t="shared" si="240"/>
        <v>FFIS</v>
      </c>
      <c r="E2771" s="2" t="str">
        <f>"Carga da regra de negócios SUS"</f>
        <v>Carga da regra de negócios SUS</v>
      </c>
      <c r="F2771" s="2" t="str">
        <f>"M_CARGA_REGRA_NEGOCIO"</f>
        <v>M_CARGA_REGRA_NEGOCIO</v>
      </c>
      <c r="G2771" s="2" t="str">
        <f t="shared" si="241"/>
        <v xml:space="preserve"> ()</v>
      </c>
    </row>
    <row r="2772" spans="1:7" x14ac:dyDescent="0.3">
      <c r="A2772" s="1" t="s">
        <v>4</v>
      </c>
      <c r="B2772" s="2" t="str">
        <f t="shared" si="238"/>
        <v>SISTEMA FATURAMENTO INTERNAÇÃO SUS</v>
      </c>
      <c r="C2772" s="2" t="str">
        <f t="shared" si="239"/>
        <v>FATUR-SUS</v>
      </c>
      <c r="D2772" s="2" t="str">
        <f t="shared" si="240"/>
        <v>FFIS</v>
      </c>
      <c r="E2772" s="2" t="str">
        <f>"FECHA E EXPORTA REMESSAS AIH"</f>
        <v>FECHA E EXPORTA REMESSAS AIH</v>
      </c>
      <c r="F2772" s="2" t="str">
        <f>"M_GERA_AIH"</f>
        <v>M_GERA_AIH</v>
      </c>
      <c r="G2772" s="2" t="str">
        <f t="shared" si="241"/>
        <v xml:space="preserve"> ()</v>
      </c>
    </row>
    <row r="2773" spans="1:7" x14ac:dyDescent="0.3">
      <c r="A2773" s="1" t="s">
        <v>4</v>
      </c>
      <c r="B2773" s="2" t="str">
        <f t="shared" si="238"/>
        <v>SISTEMA FATURAMENTO INTERNAÇÃO SUS</v>
      </c>
      <c r="C2773" s="2" t="str">
        <f t="shared" si="239"/>
        <v>FATUR-SUS</v>
      </c>
      <c r="D2773" s="2" t="str">
        <f t="shared" si="240"/>
        <v>FFIS</v>
      </c>
      <c r="E2773" s="2" t="str">
        <f>"Relatório de importação de laudos ACH"</f>
        <v>Relatório de importação de laudos ACH</v>
      </c>
      <c r="F2773" s="2" t="str">
        <f>"R_IMPORTACAO_LAUDOS_ACH"</f>
        <v>R_IMPORTACAO_LAUDOS_ACH</v>
      </c>
      <c r="G2773" s="2" t="str">
        <f t="shared" si="241"/>
        <v xml:space="preserve"> ()</v>
      </c>
    </row>
    <row r="2774" spans="1:7" x14ac:dyDescent="0.3">
      <c r="A2774" s="1" t="s">
        <v>4</v>
      </c>
      <c r="B2774" s="2" t="str">
        <f t="shared" si="238"/>
        <v>SISTEMA FATURAMENTO INTERNAÇÃO SUS</v>
      </c>
      <c r="C2774" s="2" t="str">
        <f t="shared" si="239"/>
        <v>FATUR-SUS</v>
      </c>
      <c r="D2774" s="2" t="str">
        <f t="shared" si="240"/>
        <v>FFIS</v>
      </c>
      <c r="E2774" s="2" t="str">
        <f>"FATURAMENTO POR RAA"</f>
        <v>FATURAMENTO POR RAA</v>
      </c>
      <c r="F2774" s="2" t="str">
        <f>"R_FAT_RAA"</f>
        <v>R_FAT_RAA</v>
      </c>
      <c r="G2774" s="2" t="str">
        <f t="shared" si="241"/>
        <v xml:space="preserve"> ()</v>
      </c>
    </row>
    <row r="2775" spans="1:7" x14ac:dyDescent="0.3">
      <c r="A2775" s="1" t="s">
        <v>4</v>
      </c>
      <c r="B2775" s="2" t="str">
        <f t="shared" si="238"/>
        <v>SISTEMA FATURAMENTO INTERNAÇÃO SUS</v>
      </c>
      <c r="C2775" s="2" t="str">
        <f t="shared" si="239"/>
        <v>FATUR-SUS</v>
      </c>
      <c r="D2775" s="2" t="str">
        <f t="shared" si="240"/>
        <v>FFIS</v>
      </c>
      <c r="E2775" s="2" t="str">
        <f>"RELATÓRIO DE NATUREZA HOSPITALAR"</f>
        <v>RELATÓRIO DE NATUREZA HOSPITALAR</v>
      </c>
      <c r="F2775" s="2" t="str">
        <f>"R_NATUREZA_HOSPITALAR"</f>
        <v>R_NATUREZA_HOSPITALAR</v>
      </c>
      <c r="G2775" s="2" t="str">
        <f>"Faturamento / Faturamento de Internação SUS (AIH) / Relatórios / Tabelas / Natureza Hospitalar (R_NATUREZA_HOSPITALAR)"</f>
        <v>Faturamento / Faturamento de Internação SUS (AIH) / Relatórios / Tabelas / Natureza Hospitalar (R_NATUREZA_HOSPITALAR)</v>
      </c>
    </row>
    <row r="2776" spans="1:7" x14ac:dyDescent="0.3">
      <c r="A2776" s="1" t="s">
        <v>4</v>
      </c>
      <c r="B2776" s="2" t="str">
        <f t="shared" si="238"/>
        <v>SISTEMA FATURAMENTO INTERNAÇÃO SUS</v>
      </c>
      <c r="C2776" s="2" t="str">
        <f t="shared" si="239"/>
        <v>FATUR-SUS</v>
      </c>
      <c r="D2776" s="2" t="str">
        <f t="shared" si="240"/>
        <v>FFIS</v>
      </c>
      <c r="E2776" s="2" t="str">
        <f>"R_PREV_REC_GLOB_ESPEC"</f>
        <v>R_PREV_REC_GLOB_ESPEC</v>
      </c>
      <c r="F2776" s="2" t="str">
        <f>"R_PREV_REC_GLOB_ESPEC"</f>
        <v>R_PREV_REC_GLOB_ESPEC</v>
      </c>
      <c r="G2776" s="2" t="str">
        <f>" ()"</f>
        <v xml:space="preserve"> ()</v>
      </c>
    </row>
    <row r="2777" spans="1:7" x14ac:dyDescent="0.3">
      <c r="A2777" s="1" t="s">
        <v>4</v>
      </c>
      <c r="B2777" s="2" t="str">
        <f t="shared" si="238"/>
        <v>SISTEMA FATURAMENTO INTERNAÇÃO SUS</v>
      </c>
      <c r="C2777" s="2" t="str">
        <f t="shared" si="239"/>
        <v>FATUR-SUS</v>
      </c>
      <c r="D2777" s="2" t="str">
        <f t="shared" si="240"/>
        <v>FFIS</v>
      </c>
      <c r="E2777" s="2" t="str">
        <f>"IMPORTA_TABELAS"</f>
        <v>IMPORTA_TABELAS</v>
      </c>
      <c r="F2777" s="2" t="str">
        <f>"IMPORTA_TABELAS"</f>
        <v>IMPORTA_TABELAS</v>
      </c>
      <c r="G2777" s="2" t="str">
        <f>" ()"</f>
        <v xml:space="preserve"> ()</v>
      </c>
    </row>
    <row r="2778" spans="1:7" x14ac:dyDescent="0.3">
      <c r="A2778" s="1" t="s">
        <v>4</v>
      </c>
      <c r="B2778" s="2" t="str">
        <f t="shared" si="238"/>
        <v>SISTEMA FATURAMENTO INTERNAÇÃO SUS</v>
      </c>
      <c r="C2778" s="2" t="str">
        <f t="shared" si="239"/>
        <v>FATUR-SUS</v>
      </c>
      <c r="D2778" s="2" t="str">
        <f t="shared" si="240"/>
        <v>FFIS</v>
      </c>
      <c r="E2778" s="2" t="str">
        <f>"GLOSAS SUS"</f>
        <v>GLOSAS SUS</v>
      </c>
      <c r="F2778" s="2" t="str">
        <f>"M_GLOSA_AIH"</f>
        <v>M_GLOSA_AIH</v>
      </c>
      <c r="G2778" s="2" t="str">
        <f>"Faturamento / Faturamento de Internação SUS (AIH) / Lançamentos / Glosas SUS (M_GLOSA_AIH)"</f>
        <v>Faturamento / Faturamento de Internação SUS (AIH) / Lançamentos / Glosas SUS (M_GLOSA_AIH)</v>
      </c>
    </row>
    <row r="2779" spans="1:7" x14ac:dyDescent="0.3">
      <c r="A2779" s="1" t="s">
        <v>4</v>
      </c>
      <c r="B2779" s="2" t="str">
        <f t="shared" si="238"/>
        <v>SISTEMA FATURAMENTO INTERNAÇÃO SUS</v>
      </c>
      <c r="C2779" s="2" t="str">
        <f t="shared" si="239"/>
        <v>FATUR-SUS</v>
      </c>
      <c r="D2779" s="2" t="str">
        <f t="shared" si="240"/>
        <v>FFIS</v>
      </c>
      <c r="E2779" s="2" t="str">
        <f>"Relatório de importação de laudos"</f>
        <v>Relatório de importação de laudos</v>
      </c>
      <c r="F2779" s="2" t="str">
        <f>"R_IMPORTACAO_LAUDOS"</f>
        <v>R_IMPORTACAO_LAUDOS</v>
      </c>
      <c r="G2779" s="2" t="str">
        <f>" ()"</f>
        <v xml:space="preserve"> ()</v>
      </c>
    </row>
    <row r="2780" spans="1:7" x14ac:dyDescent="0.3">
      <c r="A2780" s="1" t="s">
        <v>4</v>
      </c>
      <c r="B2780" s="2" t="str">
        <f t="shared" si="238"/>
        <v>SISTEMA FATURAMENTO INTERNAÇÃO SUS</v>
      </c>
      <c r="C2780" s="2" t="str">
        <f t="shared" si="239"/>
        <v>FATUR-SUS</v>
      </c>
      <c r="D2780" s="2" t="str">
        <f t="shared" si="240"/>
        <v>FFIS</v>
      </c>
      <c r="E2780" s="2" t="str">
        <f>"Relatório de exportação de laudos"</f>
        <v>Relatório de exportação de laudos</v>
      </c>
      <c r="F2780" s="2" t="str">
        <f>"R_EXPORTACAO_LAUDOS"</f>
        <v>R_EXPORTACAO_LAUDOS</v>
      </c>
      <c r="G2780" s="2" t="str">
        <f>" ()"</f>
        <v xml:space="preserve"> ()</v>
      </c>
    </row>
    <row r="2781" spans="1:7" x14ac:dyDescent="0.3">
      <c r="A2781" s="1" t="s">
        <v>4</v>
      </c>
      <c r="B2781" s="2" t="str">
        <f t="shared" si="238"/>
        <v>SISTEMA FATURAMENTO INTERNAÇÃO SUS</v>
      </c>
      <c r="C2781" s="2" t="str">
        <f t="shared" si="239"/>
        <v>FATUR-SUS</v>
      </c>
      <c r="D2781" s="2" t="str">
        <f t="shared" si="240"/>
        <v>FFIS</v>
      </c>
      <c r="E2781" s="2" t="str">
        <f>"Incremento dos Procedimentos"</f>
        <v>Incremento dos Procedimentos</v>
      </c>
      <c r="F2781" s="2" t="str">
        <f>"M_PROC_REGRA_INCREMENTO"</f>
        <v>M_PROC_REGRA_INCREMENTO</v>
      </c>
      <c r="G2781" s="2" t="str">
        <f>" ()"</f>
        <v xml:space="preserve"> ()</v>
      </c>
    </row>
    <row r="2782" spans="1:7" x14ac:dyDescent="0.3">
      <c r="A2782" s="1" t="s">
        <v>4</v>
      </c>
      <c r="B2782" s="2" t="str">
        <f t="shared" si="238"/>
        <v>SISTEMA FATURAMENTO INTERNAÇÃO SUS</v>
      </c>
      <c r="C2782" s="2" t="str">
        <f t="shared" si="239"/>
        <v>FATUR-SUS</v>
      </c>
      <c r="D2782" s="2" t="str">
        <f t="shared" si="240"/>
        <v>FFIS</v>
      </c>
      <c r="E2782" s="2" t="str">
        <f>"Relação de inconsistencias de laudos"</f>
        <v>Relação de inconsistencias de laudos</v>
      </c>
      <c r="F2782" s="2" t="str">
        <f>"R_INCONSISTENCIA_LAUDOS"</f>
        <v>R_INCONSISTENCIA_LAUDOS</v>
      </c>
      <c r="G2782" s="2" t="str">
        <f>" ()"</f>
        <v xml:space="preserve"> ()</v>
      </c>
    </row>
    <row r="2783" spans="1:7" x14ac:dyDescent="0.3">
      <c r="A2783" s="1" t="s">
        <v>4</v>
      </c>
      <c r="B2783" s="2" t="str">
        <f t="shared" si="238"/>
        <v>SISTEMA FATURAMENTO INTERNAÇÃO SUS</v>
      </c>
      <c r="C2783" s="2" t="str">
        <f t="shared" si="239"/>
        <v>FATUR-SUS</v>
      </c>
      <c r="D2783" s="2" t="str">
        <f t="shared" si="240"/>
        <v>FFIS</v>
      </c>
      <c r="E2783" s="2" t="str">
        <f>"LANCAMENTO AIH SISRCA"</f>
        <v>LANCAMENTO AIH SISRCA</v>
      </c>
      <c r="F2783" s="2" t="str">
        <f>"M_LANCA_AIH"</f>
        <v>M_LANCA_AIH</v>
      </c>
      <c r="G2783" s="2" t="str">
        <f>"Faturamento / Faturamento de Internação SUS (AIH) / Lançamentos / Conta AIH (SISRCA) (M_LANCA_AIH)"</f>
        <v>Faturamento / Faturamento de Internação SUS (AIH) / Lançamentos / Conta AIH (SISRCA) (M_LANCA_AIH)</v>
      </c>
    </row>
    <row r="2784" spans="1:7" x14ac:dyDescent="0.3">
      <c r="A2784" s="1" t="s">
        <v>4</v>
      </c>
      <c r="B2784" s="2" t="str">
        <f t="shared" si="238"/>
        <v>SISTEMA FATURAMENTO INTERNAÇÃO SUS</v>
      </c>
      <c r="C2784" s="2" t="str">
        <f t="shared" si="239"/>
        <v>FATUR-SUS</v>
      </c>
      <c r="D2784" s="2" t="str">
        <f t="shared" si="240"/>
        <v>FFIS</v>
      </c>
      <c r="E2784" s="2" t="str">
        <f>"RELACIONA O ORGAO EMISSOR MV C/ SCNES"</f>
        <v>RELACIONA O ORGAO EMISSOR MV C/ SCNES</v>
      </c>
      <c r="F2784" s="2" t="str">
        <f>"M_OE_RG_SCNES"</f>
        <v>M_OE_RG_SCNES</v>
      </c>
      <c r="G2784" s="2" t="str">
        <f>"Faturamento / Faturamento de Internação SUS (AIH) / Tabelas / SCNES / Configuração / Órgão Emissor RG (M_OE_RG_SCNES)"</f>
        <v>Faturamento / Faturamento de Internação SUS (AIH) / Tabelas / SCNES / Configuração / Órgão Emissor RG (M_OE_RG_SCNES)</v>
      </c>
    </row>
    <row r="2785" spans="1:7" x14ac:dyDescent="0.3">
      <c r="A2785" s="1" t="s">
        <v>4</v>
      </c>
      <c r="B2785" s="2" t="str">
        <f t="shared" si="238"/>
        <v>SISTEMA FATURAMENTO INTERNAÇÃO SUS</v>
      </c>
      <c r="C2785" s="2" t="str">
        <f t="shared" si="239"/>
        <v>FATUR-SUS</v>
      </c>
      <c r="D2785" s="2" t="str">
        <f t="shared" si="240"/>
        <v>FFIS</v>
      </c>
      <c r="E2785" s="2" t="str">
        <f>"CONSISTÊNCIA DOS PRESTADORES DO SUS"</f>
        <v>CONSISTÊNCIA DOS PRESTADORES DO SUS</v>
      </c>
      <c r="F2785" s="2" t="str">
        <f>"M_CONSISTE_PRESTADORES"</f>
        <v>M_CONSISTE_PRESTADORES</v>
      </c>
      <c r="G2785" s="2" t="str">
        <f>"Faturamento / Faturamento de Internação SUS (AIH) / Tabelas / Prestadores / Consistência do Cadastro (M_CONSISTE_PRESTADORES)"</f>
        <v>Faturamento / Faturamento de Internação SUS (AIH) / Tabelas / Prestadores / Consistência do Cadastro (M_CONSISTE_PRESTADORES)</v>
      </c>
    </row>
    <row r="2786" spans="1:7" x14ac:dyDescent="0.3">
      <c r="A2786" s="1" t="s">
        <v>4</v>
      </c>
      <c r="B2786" s="2" t="str">
        <f t="shared" si="238"/>
        <v>SISTEMA FATURAMENTO INTERNAÇÃO SUS</v>
      </c>
      <c r="C2786" s="2" t="str">
        <f t="shared" si="239"/>
        <v>FATUR-SUS</v>
      </c>
      <c r="D2786" s="2" t="str">
        <f t="shared" si="240"/>
        <v>FFIS</v>
      </c>
      <c r="E2786" s="2" t="str">
        <f>"MOVIMENATAÇÃO DE CONTAS AIH"</f>
        <v>MOVIMENATAÇÃO DE CONTAS AIH</v>
      </c>
      <c r="F2786" s="2" t="str">
        <f>"M_TRANSF_LOT_REMES_AIH"</f>
        <v>M_TRANSF_LOT_REMES_AIH</v>
      </c>
      <c r="G2786" s="2" t="str">
        <f>"Faturamento / Faturamento de Internação SUS (AIH) / Tabelas / Setores / Movimentação de contas (M_TRANSF_LOT_REMES_AIH)"</f>
        <v>Faturamento / Faturamento de Internação SUS (AIH) / Tabelas / Setores / Movimentação de contas (M_TRANSF_LOT_REMES_AIH)</v>
      </c>
    </row>
    <row r="2787" spans="1:7" x14ac:dyDescent="0.3">
      <c r="A2787" s="1" t="s">
        <v>4</v>
      </c>
      <c r="B2787" s="2" t="str">
        <f t="shared" si="238"/>
        <v>SISTEMA FATURAMENTO INTERNAÇÃO SUS</v>
      </c>
      <c r="C2787" s="2" t="str">
        <f t="shared" si="239"/>
        <v>FATUR-SUS</v>
      </c>
      <c r="D2787" s="2" t="str">
        <f t="shared" si="240"/>
        <v>FFIS</v>
      </c>
      <c r="E2787" s="2" t="str">
        <f>"CADASTRO USUARIO SETOR"</f>
        <v>CADASTRO USUARIO SETOR</v>
      </c>
      <c r="F2787" s="2" t="str">
        <f>"M_SETOR_USUARIO_FAT_SUS"</f>
        <v>M_SETOR_USUARIO_FAT_SUS</v>
      </c>
      <c r="G2787" s="2" t="str">
        <f>"Faturamento / Faturamento Ambulatorial SUS (BPA e APAC) / Tabelas / Setores / Cadastro Usuario Setor (M_SETOR_USUARIO_FAT_SUS)"</f>
        <v>Faturamento / Faturamento Ambulatorial SUS (BPA e APAC) / Tabelas / Setores / Cadastro Usuario Setor (M_SETOR_USUARIO_FAT_SUS)</v>
      </c>
    </row>
    <row r="2788" spans="1:7" x14ac:dyDescent="0.3">
      <c r="A2788" s="1" t="s">
        <v>4</v>
      </c>
      <c r="B2788" s="2" t="str">
        <f t="shared" si="238"/>
        <v>SISTEMA FATURAMENTO INTERNAÇÃO SUS</v>
      </c>
      <c r="C2788" s="2" t="str">
        <f t="shared" si="239"/>
        <v>FATUR-SUS</v>
      </c>
      <c r="D2788" s="2" t="str">
        <f t="shared" si="240"/>
        <v>FFIS</v>
      </c>
      <c r="E2788" s="2" t="str">
        <f>"CADASTRO USUARIO SETOR"</f>
        <v>CADASTRO USUARIO SETOR</v>
      </c>
      <c r="F2788" s="2" t="str">
        <f>"M_SETOR_USUARIO_FAT_SUS"</f>
        <v>M_SETOR_USUARIO_FAT_SUS</v>
      </c>
      <c r="G2788" s="2" t="str">
        <f>"Faturamento / Faturamento de Internação SUS (AIH) / Tabelas / Setores / Configurações / Cadastro Usuario Setor (M_SETOR_USUARIO_FAT_SUS)"</f>
        <v>Faturamento / Faturamento de Internação SUS (AIH) / Tabelas / Setores / Configurações / Cadastro Usuario Setor (M_SETOR_USUARIO_FAT_SUS)</v>
      </c>
    </row>
    <row r="2789" spans="1:7" x14ac:dyDescent="0.3">
      <c r="A2789" s="1" t="s">
        <v>4</v>
      </c>
      <c r="B2789" s="2" t="str">
        <f t="shared" si="238"/>
        <v>SISTEMA FATURAMENTO INTERNAÇÃO SUS</v>
      </c>
      <c r="C2789" s="2" t="str">
        <f t="shared" si="239"/>
        <v>FATUR-SUS</v>
      </c>
      <c r="D2789" s="2" t="str">
        <f t="shared" si="240"/>
        <v>FFIS</v>
      </c>
      <c r="E2789" s="2" t="str">
        <f>"CADASTRO LOTE SETOR AIH"</f>
        <v>CADASTRO LOTE SETOR AIH</v>
      </c>
      <c r="F2789" s="2" t="str">
        <f>"M_CAD_LOTE_SETOR_AIH"</f>
        <v>M_CAD_LOTE_SETOR_AIH</v>
      </c>
      <c r="G2789" s="2" t="str">
        <f>"Faturamento / Faturamento de Internação SUS (AIH) / Tabelas / Setores / Lote Setor AIH (M_CAD_LOTE_SETOR_AIH)"</f>
        <v>Faturamento / Faturamento de Internação SUS (AIH) / Tabelas / Setores / Lote Setor AIH (M_CAD_LOTE_SETOR_AIH)</v>
      </c>
    </row>
    <row r="2790" spans="1:7" x14ac:dyDescent="0.3">
      <c r="A2790" s="1" t="s">
        <v>4</v>
      </c>
      <c r="B2790" s="2" t="str">
        <f t="shared" si="238"/>
        <v>SISTEMA FATURAMENTO INTERNAÇÃO SUS</v>
      </c>
      <c r="C2790" s="2" t="str">
        <f t="shared" si="239"/>
        <v>FATUR-SUS</v>
      </c>
      <c r="D2790" s="2" t="str">
        <f t="shared" si="240"/>
        <v>FFIS</v>
      </c>
      <c r="E2790" s="2" t="str">
        <f>"SETOR FATURA CLINICA"</f>
        <v>SETOR FATURA CLINICA</v>
      </c>
      <c r="F2790" s="2" t="str">
        <f>"M_SETOR_FAT_CLINICA"</f>
        <v>M_SETOR_FAT_CLINICA</v>
      </c>
      <c r="G2790" s="2" t="str">
        <f>"Faturamento / Faturamento de Internação SUS (AIH) / Tabelas / Setores / Configurações / Setores de Faturamento X Clinica (M_SETOR_FAT_CLINICA)"</f>
        <v>Faturamento / Faturamento de Internação SUS (AIH) / Tabelas / Setores / Configurações / Setores de Faturamento X Clinica (M_SETOR_FAT_CLINICA)</v>
      </c>
    </row>
    <row r="2791" spans="1:7" x14ac:dyDescent="0.3">
      <c r="A2791" s="1" t="s">
        <v>4</v>
      </c>
      <c r="B2791" s="2" t="str">
        <f t="shared" si="238"/>
        <v>SISTEMA FATURAMENTO INTERNAÇÃO SUS</v>
      </c>
      <c r="C2791" s="2" t="str">
        <f t="shared" si="239"/>
        <v>FATUR-SUS</v>
      </c>
      <c r="D2791" s="2" t="str">
        <f t="shared" si="240"/>
        <v>FFIS</v>
      </c>
      <c r="E2791" s="2" t="str">
        <f>"SETOR FATURA CLINICA"</f>
        <v>SETOR FATURA CLINICA</v>
      </c>
      <c r="F2791" s="2" t="str">
        <f>"M_SETOR_FAT_CLINICA"</f>
        <v>M_SETOR_FAT_CLINICA</v>
      </c>
      <c r="G2791" s="2" t="str">
        <f>"Faturamento / Faturamento Ambulatorial SUS (BPA e APAC) / Tabelas / Setores / Configurações / Setores de Faturamento X Clinica (M_SETOR_FAT_CLINICA)"</f>
        <v>Faturamento / Faturamento Ambulatorial SUS (BPA e APAC) / Tabelas / Setores / Configurações / Setores de Faturamento X Clinica (M_SETOR_FAT_CLINICA)</v>
      </c>
    </row>
    <row r="2792" spans="1:7" x14ac:dyDescent="0.3">
      <c r="A2792" s="1" t="s">
        <v>4</v>
      </c>
      <c r="B2792" s="2" t="str">
        <f t="shared" si="238"/>
        <v>SISTEMA FATURAMENTO INTERNAÇÃO SUS</v>
      </c>
      <c r="C2792" s="2" t="str">
        <f t="shared" si="239"/>
        <v>FATUR-SUS</v>
      </c>
      <c r="D2792" s="2" t="str">
        <f t="shared" si="240"/>
        <v>FFIS</v>
      </c>
      <c r="E2792" s="2" t="str">
        <f>"SETOR FATURAMENTO"</f>
        <v>SETOR FATURAMENTO</v>
      </c>
      <c r="F2792" s="2" t="str">
        <f>"M_SETOR_FATURAMENTO"</f>
        <v>M_SETOR_FATURAMENTO</v>
      </c>
      <c r="G2792" s="2" t="str">
        <f>"Faturamento / Faturamento de Internação SUS (AIH) / Tabelas / Setores / Configurações / Setores de Faturamento (M_SETOR_FATURAMENTO)"</f>
        <v>Faturamento / Faturamento de Internação SUS (AIH) / Tabelas / Setores / Configurações / Setores de Faturamento (M_SETOR_FATURAMENTO)</v>
      </c>
    </row>
    <row r="2793" spans="1:7" x14ac:dyDescent="0.3">
      <c r="A2793" s="1" t="s">
        <v>4</v>
      </c>
      <c r="B2793" s="2" t="str">
        <f t="shared" si="238"/>
        <v>SISTEMA FATURAMENTO INTERNAÇÃO SUS</v>
      </c>
      <c r="C2793" s="2" t="str">
        <f t="shared" si="239"/>
        <v>FATUR-SUS</v>
      </c>
      <c r="D2793" s="2" t="str">
        <f t="shared" si="240"/>
        <v>FFIS</v>
      </c>
      <c r="E2793" s="2" t="str">
        <f>"SETOR FATURAMENTO"</f>
        <v>SETOR FATURAMENTO</v>
      </c>
      <c r="F2793" s="2" t="str">
        <f>"M_SETOR_FATURAMENTO"</f>
        <v>M_SETOR_FATURAMENTO</v>
      </c>
      <c r="G2793" s="2" t="str">
        <f>"Faturamento / Faturamento Ambulatorial SUS (BPA e APAC) / Tabelas / Setores / Configurações / Setores de Faturamento (M_SETOR_FATURAMENTO)"</f>
        <v>Faturamento / Faturamento Ambulatorial SUS (BPA e APAC) / Tabelas / Setores / Configurações / Setores de Faturamento (M_SETOR_FATURAMENTO)</v>
      </c>
    </row>
    <row r="2794" spans="1:7" x14ac:dyDescent="0.3">
      <c r="A2794" s="1" t="s">
        <v>4</v>
      </c>
      <c r="B2794" s="2" t="str">
        <f t="shared" si="238"/>
        <v>SISTEMA FATURAMENTO INTERNAÇÃO SUS</v>
      </c>
      <c r="C2794" s="2" t="str">
        <f t="shared" si="239"/>
        <v>FATUR-SUS</v>
      </c>
      <c r="D2794" s="2" t="str">
        <f t="shared" si="240"/>
        <v>FFIS</v>
      </c>
      <c r="E2794" s="2" t="str">
        <f>"RELATÓRIO DE PROD PROCED AUTORIZADOS"</f>
        <v>RELATÓRIO DE PROD PROCED AUTORIZADOS</v>
      </c>
      <c r="F2794" s="2" t="str">
        <f>"R_LISTA_PRC_AUT_SETOR_PRD"</f>
        <v>R_LISTA_PRC_AUT_SETOR_PRD</v>
      </c>
      <c r="G2794" s="2" t="str">
        <f>" ()"</f>
        <v xml:space="preserve"> ()</v>
      </c>
    </row>
    <row r="2795" spans="1:7" x14ac:dyDescent="0.3">
      <c r="A2795" s="1" t="s">
        <v>4</v>
      </c>
      <c r="B2795" s="2" t="str">
        <f t="shared" si="238"/>
        <v>SISTEMA FATURAMENTO INTERNAÇÃO SUS</v>
      </c>
      <c r="C2795" s="2" t="str">
        <f t="shared" si="239"/>
        <v>FATUR-SUS</v>
      </c>
      <c r="D2795" s="2" t="str">
        <f t="shared" si="240"/>
        <v>FFIS</v>
      </c>
      <c r="E2795" s="2" t="str">
        <f>"RELATÓRIO DE PROCED AUTORIZADOS"</f>
        <v>RELATÓRIO DE PROCED AUTORIZADOS</v>
      </c>
      <c r="F2795" s="2" t="str">
        <f>"R_LISTA_PRC_AUT_SETOR"</f>
        <v>R_LISTA_PRC_AUT_SETOR</v>
      </c>
      <c r="G2795" s="2" t="str">
        <f>" ()"</f>
        <v xml:space="preserve"> ()</v>
      </c>
    </row>
    <row r="2796" spans="1:7" x14ac:dyDescent="0.3">
      <c r="A2796" s="1" t="s">
        <v>4</v>
      </c>
      <c r="B2796" s="2" t="str">
        <f t="shared" si="238"/>
        <v>SISTEMA FATURAMENTO INTERNAÇÃO SUS</v>
      </c>
      <c r="C2796" s="2" t="str">
        <f t="shared" si="239"/>
        <v>FATUR-SUS</v>
      </c>
      <c r="D2796" s="2" t="str">
        <f t="shared" si="240"/>
        <v>FFIS</v>
      </c>
      <c r="E2796" s="2" t="str">
        <f>"CADASTRO DE SETORES DAS UPSs"</f>
        <v>CADASTRO DE SETORES DAS UPSs</v>
      </c>
      <c r="F2796" s="2" t="str">
        <f>"M_UPS_SETOR"</f>
        <v>M_UPS_SETOR</v>
      </c>
      <c r="G2796" s="2" t="str">
        <f>"Faturamento / Faturamento de Internação SUS (AIH) / Tabelas / Gerais / Cadastro UPS x SETOR (M_UPS_SETOR)"</f>
        <v>Faturamento / Faturamento de Internação SUS (AIH) / Tabelas / Gerais / Cadastro UPS x SETOR (M_UPS_SETOR)</v>
      </c>
    </row>
    <row r="2797" spans="1:7" x14ac:dyDescent="0.3">
      <c r="A2797" s="1" t="s">
        <v>4</v>
      </c>
      <c r="B2797" s="2" t="str">
        <f t="shared" si="238"/>
        <v>SISTEMA FATURAMENTO INTERNAÇÃO SUS</v>
      </c>
      <c r="C2797" s="2" t="str">
        <f t="shared" si="239"/>
        <v>FATUR-SUS</v>
      </c>
      <c r="D2797" s="2" t="str">
        <f t="shared" si="240"/>
        <v>FFIS</v>
      </c>
      <c r="E2797" s="2" t="str">
        <f>"CADASTRO DE CONTROLE ORÇAMENTARIO"</f>
        <v>CADASTRO DE CONTROLE ORÇAMENTARIO</v>
      </c>
      <c r="F2797" s="2" t="str">
        <f>"M_FPO"</f>
        <v>M_FPO</v>
      </c>
      <c r="G2797" s="2" t="str">
        <f>"Faturamento / Faturamento de Internação SUS (AIH) / Tabelas / FPO (Controle Orçamentário) / Consulta/Manutenção UPS (M_FPO)"</f>
        <v>Faturamento / Faturamento de Internação SUS (AIH) / Tabelas / FPO (Controle Orçamentário) / Consulta/Manutenção UPS (M_FPO)</v>
      </c>
    </row>
    <row r="2798" spans="1:7" x14ac:dyDescent="0.3">
      <c r="A2798" s="1" t="s">
        <v>4</v>
      </c>
      <c r="B2798" s="2" t="str">
        <f t="shared" si="238"/>
        <v>SISTEMA FATURAMENTO INTERNAÇÃO SUS</v>
      </c>
      <c r="C2798" s="2" t="str">
        <f t="shared" si="239"/>
        <v>FATUR-SUS</v>
      </c>
      <c r="D2798" s="2" t="str">
        <f t="shared" si="240"/>
        <v>FFIS</v>
      </c>
      <c r="E2798" s="2" t="str">
        <f>"Processa XML"</f>
        <v>Processa XML</v>
      </c>
      <c r="F2798" s="2" t="str">
        <f>"M_PROCESSA_SCNES"</f>
        <v>M_PROCESSA_SCNES</v>
      </c>
      <c r="G2798" s="2" t="str">
        <f>" ()"</f>
        <v xml:space="preserve"> ()</v>
      </c>
    </row>
    <row r="2799" spans="1:7" x14ac:dyDescent="0.3">
      <c r="A2799" s="1" t="s">
        <v>4</v>
      </c>
      <c r="B2799" s="2" t="str">
        <f t="shared" si="238"/>
        <v>SISTEMA FATURAMENTO INTERNAÇÃO SUS</v>
      </c>
      <c r="C2799" s="2" t="str">
        <f t="shared" si="239"/>
        <v>FATUR-SUS</v>
      </c>
      <c r="D2799" s="2" t="str">
        <f t="shared" si="240"/>
        <v>FFIS</v>
      </c>
      <c r="E2799" s="2" t="str">
        <f>"R_PARTO_MAE_RN"</f>
        <v>R_PARTO_MAE_RN</v>
      </c>
      <c r="F2799" s="2" t="str">
        <f>"R_PARTO_MAE_RN"</f>
        <v>R_PARTO_MAE_RN</v>
      </c>
      <c r="G2799" s="2" t="str">
        <f>"Faturamento / Faturamento de Internação SUS (AIH) / Relatórios / Operacionais / Partos C/RN Internados (R_PARTO_MAE_RN)"</f>
        <v>Faturamento / Faturamento de Internação SUS (AIH) / Relatórios / Operacionais / Partos C/RN Internados (R_PARTO_MAE_RN)</v>
      </c>
    </row>
    <row r="2800" spans="1:7" x14ac:dyDescent="0.3">
      <c r="A2800" s="1" t="s">
        <v>4</v>
      </c>
      <c r="B2800" s="2" t="str">
        <f t="shared" si="238"/>
        <v>SISTEMA FATURAMENTO INTERNAÇÃO SUS</v>
      </c>
      <c r="C2800" s="2" t="str">
        <f t="shared" si="239"/>
        <v>FATUR-SUS</v>
      </c>
      <c r="D2800" s="2" t="str">
        <f t="shared" si="240"/>
        <v>FFIS</v>
      </c>
      <c r="E2800" s="2" t="str">
        <f>"Prestador SUS"</f>
        <v>Prestador SUS</v>
      </c>
      <c r="F2800" s="2" t="str">
        <f>"M_PRESTADOR_SUS"</f>
        <v>M_PRESTADOR_SUS</v>
      </c>
      <c r="G2800" s="2" t="str">
        <f>"Faturamento / Faturamento de Internação SUS (AIH) / Tabelas / Prestadores / Cadastro (M_PRESTADOR_SUS)"</f>
        <v>Faturamento / Faturamento de Internação SUS (AIH) / Tabelas / Prestadores / Cadastro (M_PRESTADOR_SUS)</v>
      </c>
    </row>
    <row r="2801" spans="1:7" x14ac:dyDescent="0.3">
      <c r="A2801" s="1" t="s">
        <v>4</v>
      </c>
      <c r="B2801" s="2" t="str">
        <f t="shared" si="238"/>
        <v>SISTEMA FATURAMENTO INTERNAÇÃO SUS</v>
      </c>
      <c r="C2801" s="2" t="str">
        <f t="shared" si="239"/>
        <v>FATUR-SUS</v>
      </c>
      <c r="D2801" s="2" t="str">
        <f t="shared" si="240"/>
        <v>FFIS</v>
      </c>
      <c r="E2801" s="2" t="str">
        <f>"Prestador SUS"</f>
        <v>Prestador SUS</v>
      </c>
      <c r="F2801" s="2" t="str">
        <f>"M_PRESTADOR_SUS"</f>
        <v>M_PRESTADOR_SUS</v>
      </c>
      <c r="G2801" s="2" t="str">
        <f>"Faturamento / Faturamento Ambulatorial SUS (BPA e APAC) / Tabelas / Prestadores / Cadastro (M_PRESTADOR_SUS)"</f>
        <v>Faturamento / Faturamento Ambulatorial SUS (BPA e APAC) / Tabelas / Prestadores / Cadastro (M_PRESTADOR_SUS)</v>
      </c>
    </row>
    <row r="2802" spans="1:7" x14ac:dyDescent="0.3">
      <c r="A2802" s="1" t="s">
        <v>4</v>
      </c>
      <c r="B2802" s="2" t="str">
        <f t="shared" si="238"/>
        <v>SISTEMA FATURAMENTO INTERNAÇÃO SUS</v>
      </c>
      <c r="C2802" s="2" t="str">
        <f t="shared" si="239"/>
        <v>FATUR-SUS</v>
      </c>
      <c r="D2802" s="2" t="str">
        <f t="shared" si="240"/>
        <v>FFIS</v>
      </c>
      <c r="E2802" s="2" t="str">
        <f>"Prestador SUS"</f>
        <v>Prestador SUS</v>
      </c>
      <c r="F2802" s="2" t="str">
        <f>"M_PRESTADOR_SUS"</f>
        <v>M_PRESTADOR_SUS</v>
      </c>
      <c r="G2802" s="2" t="str">
        <f>"Faturamento / Faturamento Ambulatorial SUS (BPA e APAC) / Tabelas / Geral / Prestador SUS (M_PRESTADOR_SUS)"</f>
        <v>Faturamento / Faturamento Ambulatorial SUS (BPA e APAC) / Tabelas / Geral / Prestador SUS (M_PRESTADOR_SUS)</v>
      </c>
    </row>
    <row r="2803" spans="1:7" x14ac:dyDescent="0.3">
      <c r="A2803" s="1" t="s">
        <v>4</v>
      </c>
      <c r="B2803" s="2" t="str">
        <f t="shared" si="238"/>
        <v>SISTEMA FATURAMENTO INTERNAÇÃO SUS</v>
      </c>
      <c r="C2803" s="2" t="str">
        <f t="shared" si="239"/>
        <v>FATUR-SUS</v>
      </c>
      <c r="D2803" s="2" t="str">
        <f t="shared" si="240"/>
        <v>FFIS</v>
      </c>
      <c r="E2803" s="2" t="str">
        <f>"IMPORTAÇÃO FORNECEDOR (ANVISA)"</f>
        <v>IMPORTAÇÃO FORNECEDOR (ANVISA)</v>
      </c>
      <c r="F2803" s="2" t="str">
        <f>"M_FORNECEDOR_ANVISA"</f>
        <v>M_FORNECEDOR_ANVISA</v>
      </c>
      <c r="G2803" s="2" t="str">
        <f>"Faturamento / Faturamento de Internação SUS (AIH) / Tabelas / Fornecedores / Importação(ANVISA) (M_FORNECEDOR_ANVISA)"</f>
        <v>Faturamento / Faturamento de Internação SUS (AIH) / Tabelas / Fornecedores / Importação(ANVISA) (M_FORNECEDOR_ANVISA)</v>
      </c>
    </row>
    <row r="2804" spans="1:7" x14ac:dyDescent="0.3">
      <c r="A2804" s="1" t="s">
        <v>4</v>
      </c>
      <c r="B2804" s="2" t="str">
        <f t="shared" si="238"/>
        <v>SISTEMA FATURAMENTO INTERNAÇÃO SUS</v>
      </c>
      <c r="C2804" s="2" t="str">
        <f t="shared" si="239"/>
        <v>FATUR-SUS</v>
      </c>
      <c r="D2804" s="2" t="str">
        <f t="shared" si="240"/>
        <v>FFIS</v>
      </c>
      <c r="E2804" s="2" t="str">
        <f>"Conferência de Prestadores"</f>
        <v>Conferência de Prestadores</v>
      </c>
      <c r="F2804" s="2" t="str">
        <f>"R_PRESTADOR_SCNES"</f>
        <v>R_PRESTADOR_SCNES</v>
      </c>
      <c r="G2804" s="2" t="str">
        <f>"Faturamento / Faturamento de Internação SUS (AIH) / Tabelas / SCNES / Relatórios / Conferência de Prestadores (R_PRESTADOR_SCNES)"</f>
        <v>Faturamento / Faturamento de Internação SUS (AIH) / Tabelas / SCNES / Relatórios / Conferência de Prestadores (R_PRESTADOR_SCNES)</v>
      </c>
    </row>
    <row r="2805" spans="1:7" x14ac:dyDescent="0.3">
      <c r="A2805" s="1" t="s">
        <v>4</v>
      </c>
      <c r="B2805" s="2" t="str">
        <f t="shared" si="238"/>
        <v>SISTEMA FATURAMENTO INTERNAÇÃO SUS</v>
      </c>
      <c r="C2805" s="2" t="str">
        <f t="shared" si="239"/>
        <v>FATUR-SUS</v>
      </c>
      <c r="D2805" s="2" t="str">
        <f t="shared" si="240"/>
        <v>FFIS</v>
      </c>
      <c r="E2805" s="2" t="str">
        <f>"CBO por Especialidade MV"</f>
        <v>CBO por Especialidade MV</v>
      </c>
      <c r="F2805" s="2" t="str">
        <f>"M_CBO_ESPECIALIDADE"</f>
        <v>M_CBO_ESPECIALIDADE</v>
      </c>
      <c r="G2805" s="2" t="str">
        <f>"Faturamento / Faturamento de Internação SUS (AIH) / Tabelas / SCNES / Configuração / CBO por Especialidade MV (M_CBO_ESPECIALIDADE)"</f>
        <v>Faturamento / Faturamento de Internação SUS (AIH) / Tabelas / SCNES / Configuração / CBO por Especialidade MV (M_CBO_ESPECIALIDADE)</v>
      </c>
    </row>
    <row r="2806" spans="1:7" x14ac:dyDescent="0.3">
      <c r="A2806" s="1" t="s">
        <v>4</v>
      </c>
      <c r="B2806" s="2" t="str">
        <f t="shared" si="238"/>
        <v>SISTEMA FATURAMENTO INTERNAÇÃO SUS</v>
      </c>
      <c r="C2806" s="2" t="str">
        <f t="shared" si="239"/>
        <v>FATUR-SUS</v>
      </c>
      <c r="D2806" s="2" t="str">
        <f t="shared" si="240"/>
        <v>FFIS</v>
      </c>
      <c r="E2806" s="2" t="str">
        <f>"Conselho e Tipo de Prestador"</f>
        <v>Conselho e Tipo de Prestador</v>
      </c>
      <c r="F2806" s="2" t="str">
        <f>"M_ORGAO_EMISSOR_SCNES"</f>
        <v>M_ORGAO_EMISSOR_SCNES</v>
      </c>
      <c r="G2806" s="2" t="str">
        <f>"Faturamento / Faturamento de Internação SUS (AIH) / Tabelas / SCNES / Configuração / Conselho e Tipo de Prestador (M_ORGAO_EMISSOR_SCNES)"</f>
        <v>Faturamento / Faturamento de Internação SUS (AIH) / Tabelas / SCNES / Configuração / Conselho e Tipo de Prestador (M_ORGAO_EMISSOR_SCNES)</v>
      </c>
    </row>
    <row r="2807" spans="1:7" x14ac:dyDescent="0.3">
      <c r="A2807" s="1" t="s">
        <v>4</v>
      </c>
      <c r="B2807" s="2" t="str">
        <f t="shared" si="238"/>
        <v>SISTEMA FATURAMENTO INTERNAÇÃO SUS</v>
      </c>
      <c r="C2807" s="2" t="str">
        <f t="shared" si="239"/>
        <v>FATUR-SUS</v>
      </c>
      <c r="D2807" s="2" t="str">
        <f t="shared" si="240"/>
        <v>FFIS</v>
      </c>
      <c r="E2807" s="2" t="str">
        <f>"Vinculação Profissional"</f>
        <v>Vinculação Profissional</v>
      </c>
      <c r="F2807" s="2" t="str">
        <f>"M_VINCULO_CNES"</f>
        <v>M_VINCULO_CNES</v>
      </c>
      <c r="G2807" s="2" t="str">
        <f>"Faturamento / Faturamento de Internação SUS (AIH) / Tabelas / SCNES / Consulta / Gerais / Vinculação Profissional (M_VINCULO_CNES)"</f>
        <v>Faturamento / Faturamento de Internação SUS (AIH) / Tabelas / SCNES / Consulta / Gerais / Vinculação Profissional (M_VINCULO_CNES)</v>
      </c>
    </row>
    <row r="2808" spans="1:7" x14ac:dyDescent="0.3">
      <c r="A2808" s="1" t="s">
        <v>4</v>
      </c>
      <c r="B2808" s="2" t="str">
        <f t="shared" si="238"/>
        <v>SISTEMA FATURAMENTO INTERNAÇÃO SUS</v>
      </c>
      <c r="C2808" s="2" t="str">
        <f t="shared" si="239"/>
        <v>FATUR-SUS</v>
      </c>
      <c r="D2808" s="2" t="str">
        <f t="shared" si="240"/>
        <v>FFIS</v>
      </c>
      <c r="E2808" s="2" t="str">
        <f>"RELATÓRIO DE POSIÇÃO DE CONTAS AIH"</f>
        <v>RELATÓRIO DE POSIÇÃO DE CONTAS AIH</v>
      </c>
      <c r="F2808" s="2" t="str">
        <f>"R_POSICAO_CONTAS_AIH"</f>
        <v>R_POSICAO_CONTAS_AIH</v>
      </c>
      <c r="G2808" s="2" t="str">
        <f>"Faturamento / Faturamento de Internação SUS (AIH) / Relatórios / Gerenciais / Situação/Posição de Contas / Posição de Contas (R_POSICAO_CONTAS_AIH)"</f>
        <v>Faturamento / Faturamento de Internação SUS (AIH) / Relatórios / Gerenciais / Situação/Posição de Contas / Posição de Contas (R_POSICAO_CONTAS_AIH)</v>
      </c>
    </row>
    <row r="2809" spans="1:7" x14ac:dyDescent="0.3">
      <c r="A2809" s="1" t="s">
        <v>4</v>
      </c>
      <c r="B2809" s="2" t="str">
        <f t="shared" si="238"/>
        <v>SISTEMA FATURAMENTO INTERNAÇÃO SUS</v>
      </c>
      <c r="C2809" s="2" t="str">
        <f t="shared" si="239"/>
        <v>FATUR-SUS</v>
      </c>
      <c r="D2809" s="2" t="str">
        <f t="shared" si="240"/>
        <v>FFIS</v>
      </c>
      <c r="E2809" s="2" t="str">
        <f>"VIEW V_VL_PONTO_AIH"</f>
        <v>VIEW V_VL_PONTO_AIH</v>
      </c>
      <c r="F2809" s="2" t="str">
        <f>"V_VL_PONTO_AIH"</f>
        <v>V_VL_PONTO_AIH</v>
      </c>
      <c r="G2809" s="2" t="str">
        <f>" ()"</f>
        <v xml:space="preserve"> ()</v>
      </c>
    </row>
    <row r="2810" spans="1:7" x14ac:dyDescent="0.3">
      <c r="A2810" s="1" t="s">
        <v>4</v>
      </c>
      <c r="B2810" s="2" t="str">
        <f t="shared" si="238"/>
        <v>SISTEMA FATURAMENTO INTERNAÇÃO SUS</v>
      </c>
      <c r="C2810" s="2" t="str">
        <f t="shared" si="239"/>
        <v>FATUR-SUS</v>
      </c>
      <c r="D2810" s="2" t="str">
        <f t="shared" si="240"/>
        <v>FFIS</v>
      </c>
      <c r="E2810" s="2" t="str">
        <f>"V_PACIENTES_HOMONIMOS"</f>
        <v>V_PACIENTES_HOMONIMOS</v>
      </c>
      <c r="F2810" s="2" t="str">
        <f>"V_PACIENTES_HOMONIMOS"</f>
        <v>V_PACIENTES_HOMONIMOS</v>
      </c>
      <c r="G2810" s="2" t="str">
        <f>" ()"</f>
        <v xml:space="preserve"> ()</v>
      </c>
    </row>
    <row r="2811" spans="1:7" x14ac:dyDescent="0.3">
      <c r="A2811" s="1" t="s">
        <v>4</v>
      </c>
      <c r="B2811" s="2" t="str">
        <f t="shared" si="238"/>
        <v>SISTEMA FATURAMENTO INTERNAÇÃO SUS</v>
      </c>
      <c r="C2811" s="2" t="str">
        <f t="shared" si="239"/>
        <v>FATUR-SUS</v>
      </c>
      <c r="D2811" s="2" t="str">
        <f t="shared" si="240"/>
        <v>FFIS</v>
      </c>
      <c r="E2811" s="2" t="str">
        <f>"TGR_LANCA_PSDI_MGES"</f>
        <v>TGR_LANCA_PSDI_MGES</v>
      </c>
      <c r="F2811" s="2" t="str">
        <f>"TGR_LANCA_PSDI_MGES"</f>
        <v>TGR_LANCA_PSDI_MGES</v>
      </c>
      <c r="G2811" s="2" t="str">
        <f>" ()"</f>
        <v xml:space="preserve"> ()</v>
      </c>
    </row>
    <row r="2812" spans="1:7" x14ac:dyDescent="0.3">
      <c r="A2812" s="1" t="s">
        <v>4</v>
      </c>
      <c r="B2812" s="2" t="str">
        <f t="shared" si="238"/>
        <v>SISTEMA FATURAMENTO INTERNAÇÃO SUS</v>
      </c>
      <c r="C2812" s="2" t="str">
        <f t="shared" si="239"/>
        <v>FATUR-SUS</v>
      </c>
      <c r="D2812" s="2" t="str">
        <f t="shared" si="240"/>
        <v>FFIS</v>
      </c>
      <c r="E2812" s="2" t="str">
        <f>"RELATÓRIO DE RECEITA POR PROCEDIMENTO"</f>
        <v>RELATÓRIO DE RECEITA POR PROCEDIMENTO</v>
      </c>
      <c r="F2812" s="2" t="str">
        <f>"R_TAB_EXAMES"</f>
        <v>R_TAB_EXAMES</v>
      </c>
      <c r="G2812" s="2" t="str">
        <f>" ()"</f>
        <v xml:space="preserve"> ()</v>
      </c>
    </row>
    <row r="2813" spans="1:7" x14ac:dyDescent="0.3">
      <c r="A2813" s="1" t="s">
        <v>4</v>
      </c>
      <c r="B2813" s="2" t="str">
        <f t="shared" si="238"/>
        <v>SISTEMA FATURAMENTO INTERNAÇÃO SUS</v>
      </c>
      <c r="C2813" s="2" t="str">
        <f t="shared" si="239"/>
        <v>FATUR-SUS</v>
      </c>
      <c r="D2813" s="2" t="str">
        <f t="shared" si="240"/>
        <v>FFIS</v>
      </c>
      <c r="E2813" s="2" t="str">
        <f>"Transferência de conta para ambulatório"</f>
        <v>Transferência de conta para ambulatório</v>
      </c>
      <c r="F2813" s="2" t="str">
        <f>"M_GERENC_INTER_AMB_FFIS"</f>
        <v>M_GERENC_INTER_AMB_FFIS</v>
      </c>
      <c r="G2813" s="2" t="str">
        <f>"Faturamento / Faturamento de Internação SUS (AIH) / Lançamentos / Transferência de conta para ambulatório (M_GERENC_INTER_AMB_FFIS)"</f>
        <v>Faturamento / Faturamento de Internação SUS (AIH) / Lançamentos / Transferência de conta para ambulatório (M_GERENC_INTER_AMB_FFIS)</v>
      </c>
    </row>
    <row r="2814" spans="1:7" x14ac:dyDescent="0.3">
      <c r="A2814" s="1" t="s">
        <v>4</v>
      </c>
      <c r="B2814" s="2" t="str">
        <f t="shared" si="238"/>
        <v>SISTEMA FATURAMENTO INTERNAÇÃO SUS</v>
      </c>
      <c r="C2814" s="2" t="str">
        <f t="shared" si="239"/>
        <v>FATUR-SUS</v>
      </c>
      <c r="D2814" s="2" t="str">
        <f t="shared" si="240"/>
        <v>FFIS</v>
      </c>
      <c r="E2814" s="2" t="str">
        <f>"Carga SIGTAP"</f>
        <v>Carga SIGTAP</v>
      </c>
      <c r="F2814" s="2" t="str">
        <f>"M_CARGA_SIGTAP"</f>
        <v>M_CARGA_SIGTAP</v>
      </c>
      <c r="G2814" s="2" t="str">
        <f>"Faturamento / Faturamento de Internação SUS (AIH) / Tabelas / Atualizações / SIGTAP (M_CARGA_SIGTAP)"</f>
        <v>Faturamento / Faturamento de Internação SUS (AIH) / Tabelas / Atualizações / SIGTAP (M_CARGA_SIGTAP)</v>
      </c>
    </row>
    <row r="2815" spans="1:7" x14ac:dyDescent="0.3">
      <c r="A2815" s="1" t="s">
        <v>4</v>
      </c>
      <c r="B2815" s="2" t="str">
        <f t="shared" si="238"/>
        <v>SISTEMA FATURAMENTO INTERNAÇÃO SUS</v>
      </c>
      <c r="C2815" s="2" t="str">
        <f t="shared" si="239"/>
        <v>FATUR-SUS</v>
      </c>
      <c r="D2815" s="2" t="str">
        <f t="shared" si="240"/>
        <v>FFIS</v>
      </c>
      <c r="E2815" s="2" t="str">
        <f>"Carga CEP"</f>
        <v>Carga CEP</v>
      </c>
      <c r="F2815" s="2" t="str">
        <f>"M_CARGA_CEP"</f>
        <v>M_CARGA_CEP</v>
      </c>
      <c r="G2815" s="2" t="str">
        <f>"Faturamento / Faturamento de Internação SUS (AIH) / Tabelas / Atualizações / CEP (M_CARGA_CEP)"</f>
        <v>Faturamento / Faturamento de Internação SUS (AIH) / Tabelas / Atualizações / CEP (M_CARGA_CEP)</v>
      </c>
    </row>
    <row r="2816" spans="1:7" x14ac:dyDescent="0.3">
      <c r="A2816" s="1" t="s">
        <v>4</v>
      </c>
      <c r="B2816" s="2" t="str">
        <f t="shared" si="238"/>
        <v>SISTEMA FATURAMENTO INTERNAÇÃO SUS</v>
      </c>
      <c r="C2816" s="2" t="str">
        <f t="shared" si="239"/>
        <v>FATUR-SUS</v>
      </c>
      <c r="D2816" s="2" t="str">
        <f t="shared" si="240"/>
        <v>FFIS</v>
      </c>
      <c r="E2816" s="2" t="str">
        <f>"Lançamento ACH"</f>
        <v>Lançamento ACH</v>
      </c>
      <c r="F2816" s="2" t="str">
        <f>"M_LANCA_ACH"</f>
        <v>M_LANCA_ACH</v>
      </c>
      <c r="G2816" s="2" t="str">
        <f>"Faturamento / Faturamento de Internação SUS (AIH) / Lançamentos / ACH / Lançamento ACH (M_LANCA_ACH)"</f>
        <v>Faturamento / Faturamento de Internação SUS (AIH) / Lançamentos / ACH / Lançamento ACH (M_LANCA_ACH)</v>
      </c>
    </row>
    <row r="2817" spans="1:7" x14ac:dyDescent="0.3">
      <c r="A2817" s="1" t="s">
        <v>4</v>
      </c>
      <c r="B2817" s="2" t="str">
        <f t="shared" si="238"/>
        <v>SISTEMA FATURAMENTO INTERNAÇÃO SUS</v>
      </c>
      <c r="C2817" s="2" t="str">
        <f t="shared" si="239"/>
        <v>FATUR-SUS</v>
      </c>
      <c r="D2817" s="2" t="str">
        <f t="shared" si="240"/>
        <v>FFIS</v>
      </c>
      <c r="E2817" s="2" t="str">
        <f>"Setor X Serviço X Classificação SUS"</f>
        <v>Setor X Serviço X Classificação SUS</v>
      </c>
      <c r="F2817" s="2" t="str">
        <f>"M_SETOR_SER_CLA_SUS"</f>
        <v>M_SETOR_SER_CLA_SUS</v>
      </c>
      <c r="G2817" s="2" t="str">
        <f>"Faturamento / Faturamento Ambulatorial SUS (BPA e APAC) / Tabelas / Geral / Setor X Serviço X Classificação SUS (M_SETOR_SER_CLA_SUS)"</f>
        <v>Faturamento / Faturamento Ambulatorial SUS (BPA e APAC) / Tabelas / Geral / Setor X Serviço X Classificação SUS (M_SETOR_SER_CLA_SUS)</v>
      </c>
    </row>
    <row r="2818" spans="1:7" x14ac:dyDescent="0.3">
      <c r="A2818" s="1" t="s">
        <v>4</v>
      </c>
      <c r="B2818" s="2" t="str">
        <f t="shared" si="238"/>
        <v>SISTEMA FATURAMENTO INTERNAÇÃO SUS</v>
      </c>
      <c r="C2818" s="2" t="str">
        <f t="shared" si="239"/>
        <v>FATUR-SUS</v>
      </c>
      <c r="D2818" s="2" t="str">
        <f t="shared" si="240"/>
        <v>FFIS</v>
      </c>
      <c r="E2818" s="2" t="str">
        <f>"Cadastro de Guias"</f>
        <v>Cadastro de Guias</v>
      </c>
      <c r="F2818" s="2" t="str">
        <f>"M_CADASTRO_GUIAS_AIH"</f>
        <v>M_CADASTRO_GUIAS_AIH</v>
      </c>
      <c r="G2818" s="2" t="str">
        <f>"Faturamento / Faturamento de Internação SUS (AIH) / Tabelas / Guias / Cadastro de Guias (M_CADASTRO_GUIAS_AIH)"</f>
        <v>Faturamento / Faturamento de Internação SUS (AIH) / Tabelas / Guias / Cadastro de Guias (M_CADASTRO_GUIAS_AIH)</v>
      </c>
    </row>
    <row r="2819" spans="1:7" x14ac:dyDescent="0.3">
      <c r="A2819" s="1" t="s">
        <v>4</v>
      </c>
      <c r="B2819" s="2" t="str">
        <f t="shared" si="238"/>
        <v>SISTEMA FATURAMENTO INTERNAÇÃO SUS</v>
      </c>
      <c r="C2819" s="2" t="str">
        <f t="shared" si="239"/>
        <v>FATUR-SUS</v>
      </c>
      <c r="D2819" s="2" t="str">
        <f t="shared" si="240"/>
        <v>FFIS</v>
      </c>
      <c r="E2819" s="2" t="str">
        <f>"Controle de Autorizações AIH Eletivas"</f>
        <v>Controle de Autorizações AIH Eletivas</v>
      </c>
      <c r="F2819" s="2" t="str">
        <f>"M_CONTRO_AUTOR_AIH_ELET"</f>
        <v>M_CONTRO_AUTOR_AIH_ELET</v>
      </c>
      <c r="G2819" s="2" t="str">
        <f t="shared" ref="G2819:G2824" si="242">" ()"</f>
        <v xml:space="preserve"> ()</v>
      </c>
    </row>
    <row r="2820" spans="1:7" x14ac:dyDescent="0.3">
      <c r="A2820" s="1" t="s">
        <v>4</v>
      </c>
      <c r="B2820" s="2" t="str">
        <f t="shared" si="238"/>
        <v>SISTEMA FATURAMENTO INTERNAÇÃO SUS</v>
      </c>
      <c r="C2820" s="2" t="str">
        <f t="shared" si="239"/>
        <v>FATUR-SUS</v>
      </c>
      <c r="D2820" s="2" t="str">
        <f t="shared" si="240"/>
        <v>FFIS</v>
      </c>
      <c r="E2820" s="2" t="str">
        <f>"Controle dos incentivos diferenciados"</f>
        <v>Controle dos incentivos diferenciados</v>
      </c>
      <c r="F2820" s="2" t="str">
        <f>"M_CONTROLE_INCENTIVO"</f>
        <v>M_CONTROLE_INCENTIVO</v>
      </c>
      <c r="G2820" s="2" t="str">
        <f t="shared" si="242"/>
        <v xml:space="preserve"> ()</v>
      </c>
    </row>
    <row r="2821" spans="1:7" x14ac:dyDescent="0.3">
      <c r="A2821" s="1" t="s">
        <v>4</v>
      </c>
      <c r="B2821" s="2" t="str">
        <f t="shared" si="238"/>
        <v>SISTEMA FATURAMENTO INTERNAÇÃO SUS</v>
      </c>
      <c r="C2821" s="2" t="str">
        <f t="shared" si="239"/>
        <v>FATUR-SUS</v>
      </c>
      <c r="D2821" s="2" t="str">
        <f t="shared" si="240"/>
        <v>FFIS</v>
      </c>
      <c r="E2821" s="2" t="str">
        <f>"Cadastro dos incentivos diferenciados"</f>
        <v>Cadastro dos incentivos diferenciados</v>
      </c>
      <c r="F2821" s="2" t="str">
        <f>"M_INCENTIVO_DIFERENCIADO"</f>
        <v>M_INCENTIVO_DIFERENCIADO</v>
      </c>
      <c r="G2821" s="2" t="str">
        <f t="shared" si="242"/>
        <v xml:space="preserve"> ()</v>
      </c>
    </row>
    <row r="2822" spans="1:7" x14ac:dyDescent="0.3">
      <c r="A2822" s="1" t="s">
        <v>4</v>
      </c>
      <c r="B2822" s="2" t="str">
        <f t="shared" si="238"/>
        <v>SISTEMA FATURAMENTO INTERNAÇÃO SUS</v>
      </c>
      <c r="C2822" s="2" t="str">
        <f t="shared" si="239"/>
        <v>FATUR-SUS</v>
      </c>
      <c r="D2822" s="2" t="str">
        <f t="shared" si="240"/>
        <v>FFIS</v>
      </c>
      <c r="E2822" s="2" t="str">
        <f>"Rel de Status dos Laudos SA04Z de BH"</f>
        <v>Rel de Status dos Laudos SA04Z de BH</v>
      </c>
      <c r="F2822" s="2" t="str">
        <f>"R_LAUDOS_STATUS"</f>
        <v>R_LAUDOS_STATUS</v>
      </c>
      <c r="G2822" s="2" t="str">
        <f t="shared" si="242"/>
        <v xml:space="preserve"> ()</v>
      </c>
    </row>
    <row r="2823" spans="1:7" x14ac:dyDescent="0.3">
      <c r="A2823" s="1" t="s">
        <v>4</v>
      </c>
      <c r="B2823" s="2" t="str">
        <f t="shared" si="238"/>
        <v>SISTEMA FATURAMENTO INTERNAÇÃO SUS</v>
      </c>
      <c r="C2823" s="2" t="str">
        <f t="shared" si="239"/>
        <v>FATUR-SUS</v>
      </c>
      <c r="D2823" s="2" t="str">
        <f t="shared" si="240"/>
        <v>FFIS</v>
      </c>
      <c r="E2823" s="2" t="str">
        <f>"Carga da Equipe Saúde Família"</f>
        <v>Carga da Equipe Saúde Família</v>
      </c>
      <c r="F2823" s="2" t="str">
        <f>"M_CARGA_EQUIPE_SF"</f>
        <v>M_CARGA_EQUIPE_SF</v>
      </c>
      <c r="G2823" s="2" t="str">
        <f t="shared" si="242"/>
        <v xml:space="preserve"> ()</v>
      </c>
    </row>
    <row r="2824" spans="1:7" x14ac:dyDescent="0.3">
      <c r="A2824" s="1" t="s">
        <v>4</v>
      </c>
      <c r="B2824" s="2" t="str">
        <f t="shared" si="238"/>
        <v>SISTEMA FATURAMENTO INTERNAÇÃO SUS</v>
      </c>
      <c r="C2824" s="2" t="str">
        <f t="shared" si="239"/>
        <v>FATUR-SUS</v>
      </c>
      <c r="D2824" s="2" t="str">
        <f t="shared" si="240"/>
        <v>FFIS</v>
      </c>
      <c r="E2824" s="2" t="str">
        <f>"Controle leito por especialidade"</f>
        <v>Controle leito por especialidade</v>
      </c>
      <c r="F2824" s="2" t="str">
        <f>"M_CONTROLE_LEITO"</f>
        <v>M_CONTROLE_LEITO</v>
      </c>
      <c r="G2824" s="2" t="str">
        <f t="shared" si="242"/>
        <v xml:space="preserve"> ()</v>
      </c>
    </row>
    <row r="2825" spans="1:7" x14ac:dyDescent="0.3">
      <c r="A2825" s="1" t="s">
        <v>4</v>
      </c>
      <c r="B2825" s="2" t="str">
        <f t="shared" si="238"/>
        <v>SISTEMA FATURAMENTO INTERNAÇÃO SUS</v>
      </c>
      <c r="C2825" s="2" t="str">
        <f t="shared" si="239"/>
        <v>FATUR-SUS</v>
      </c>
      <c r="D2825" s="2" t="str">
        <f t="shared" si="240"/>
        <v>FFIS</v>
      </c>
      <c r="E2825" s="2" t="str">
        <f>"Relatório de Situação de Contas AIH"</f>
        <v>Relatório de Situação de Contas AIH</v>
      </c>
      <c r="F2825" s="2" t="str">
        <f>"R_SITUACAO_CONTAS"</f>
        <v>R_SITUACAO_CONTAS</v>
      </c>
      <c r="G2825" s="2" t="str">
        <f>"Faturamento / Faturamento de Internação SUS (AIH) / Relatórios / Gerenciais / Situação/Posição de Contas / Situação de Contas (R_SITUACAO_CONTAS)"</f>
        <v>Faturamento / Faturamento de Internação SUS (AIH) / Relatórios / Gerenciais / Situação/Posição de Contas / Situação de Contas (R_SITUACAO_CONTAS)</v>
      </c>
    </row>
    <row r="2826" spans="1:7" x14ac:dyDescent="0.3">
      <c r="A2826" s="1" t="s">
        <v>4</v>
      </c>
      <c r="B2826" s="2" t="str">
        <f t="shared" si="238"/>
        <v>SISTEMA FATURAMENTO INTERNAÇÃO SUS</v>
      </c>
      <c r="C2826" s="2" t="str">
        <f t="shared" si="239"/>
        <v>FATUR-SUS</v>
      </c>
      <c r="D2826" s="2" t="str">
        <f t="shared" si="240"/>
        <v>FFIS</v>
      </c>
      <c r="E2826" s="2" t="str">
        <f>"Relatório de Controle de Contas SUS"</f>
        <v>Relatório de Controle de Contas SUS</v>
      </c>
      <c r="F2826" s="2" t="str">
        <f>"R_CTRL_FAT_CONTAS_SUS"</f>
        <v>R_CTRL_FAT_CONTAS_SUS</v>
      </c>
      <c r="G2826" s="2" t="str">
        <f>"Faturamento / Faturamento de Internação SUS (AIH) / Relatórios / Gerenciais / Situação/Posição de Contas / Controle de Faturamento (R_CTRL_FAT_CONTAS_SUS)"</f>
        <v>Faturamento / Faturamento de Internação SUS (AIH) / Relatórios / Gerenciais / Situação/Posição de Contas / Controle de Faturamento (R_CTRL_FAT_CONTAS_SUS)</v>
      </c>
    </row>
    <row r="2827" spans="1:7" x14ac:dyDescent="0.3">
      <c r="A2827" s="1" t="s">
        <v>4</v>
      </c>
      <c r="B2827" s="2" t="str">
        <f t="shared" si="238"/>
        <v>SISTEMA FATURAMENTO INTERNAÇÃO SUS</v>
      </c>
      <c r="C2827" s="2" t="str">
        <f t="shared" si="239"/>
        <v>FATUR-SUS</v>
      </c>
      <c r="D2827" s="2" t="str">
        <f t="shared" si="240"/>
        <v>FFIS</v>
      </c>
      <c r="E2827" s="2" t="str">
        <f>"Relatório de Controle de Contas SUS"</f>
        <v>Relatório de Controle de Contas SUS</v>
      </c>
      <c r="F2827" s="2" t="str">
        <f>"R_CONTROLE_CONTAS_SUS"</f>
        <v>R_CONTROLE_CONTAS_SUS</v>
      </c>
      <c r="G2827" s="2" t="str">
        <f>"Faturamento / Faturamento de Internação SUS (AIH) / Relatórios / Gerenciais / Situação/Posição de Contas / Controle de Contas (R_CONTROLE_CONTAS_SUS)"</f>
        <v>Faturamento / Faturamento de Internação SUS (AIH) / Relatórios / Gerenciais / Situação/Posição de Contas / Controle de Contas (R_CONTROLE_CONTAS_SUS)</v>
      </c>
    </row>
    <row r="2828" spans="1:7" x14ac:dyDescent="0.3">
      <c r="A2828" s="1" t="s">
        <v>4</v>
      </c>
      <c r="B2828" s="2" t="str">
        <f t="shared" si="238"/>
        <v>SISTEMA FATURAMENTO INTERNAÇÃO SUS</v>
      </c>
      <c r="C2828" s="2" t="str">
        <f t="shared" si="239"/>
        <v>FATUR-SUS</v>
      </c>
      <c r="D2828" s="2" t="str">
        <f t="shared" si="240"/>
        <v>FFIS</v>
      </c>
      <c r="E2828" s="2" t="str">
        <f>"JUSTIFICATIVA DE CONTAS"</f>
        <v>JUSTIFICATIVA DE CONTAS</v>
      </c>
      <c r="F2828" s="2" t="str">
        <f>"M_MOT_MOV_CONTA"</f>
        <v>M_MOT_MOV_CONTA</v>
      </c>
      <c r="G2828" s="2" t="str">
        <f>"Faturamento / Faturamento Ambulatorial SUS (BPA e APAC) / Tabelas / Setores / Configurações / Justificativa de Contas (M_MOT_MOV_CONTA)"</f>
        <v>Faturamento / Faturamento Ambulatorial SUS (BPA e APAC) / Tabelas / Setores / Configurações / Justificativa de Contas (M_MOT_MOV_CONTA)</v>
      </c>
    </row>
    <row r="2829" spans="1:7" x14ac:dyDescent="0.3">
      <c r="A2829" s="1" t="s">
        <v>4</v>
      </c>
      <c r="B2829" s="2" t="str">
        <f t="shared" si="238"/>
        <v>SISTEMA FATURAMENTO INTERNAÇÃO SUS</v>
      </c>
      <c r="C2829" s="2" t="str">
        <f t="shared" si="239"/>
        <v>FATUR-SUS</v>
      </c>
      <c r="D2829" s="2" t="str">
        <f t="shared" si="240"/>
        <v>FFIS</v>
      </c>
      <c r="E2829" s="2" t="str">
        <f>"JUSTIFICATIVA DE CONTAS"</f>
        <v>JUSTIFICATIVA DE CONTAS</v>
      </c>
      <c r="F2829" s="2" t="str">
        <f>"M_MOT_MOV_CONTA"</f>
        <v>M_MOT_MOV_CONTA</v>
      </c>
      <c r="G2829" s="2" t="str">
        <f>"Faturamento / Faturamento de Internação SUS (AIH) / Tabelas / Setores / Configurações / Justificativa de Contas (M_MOT_MOV_CONTA)"</f>
        <v>Faturamento / Faturamento de Internação SUS (AIH) / Tabelas / Setores / Configurações / Justificativa de Contas (M_MOT_MOV_CONTA)</v>
      </c>
    </row>
    <row r="2830" spans="1:7" x14ac:dyDescent="0.3">
      <c r="A2830" s="1" t="s">
        <v>4</v>
      </c>
      <c r="B2830" s="2" t="str">
        <f t="shared" ref="B2830:B2893" si="243">"SISTEMA FATURAMENTO INTERNAÇÃO SUS"</f>
        <v>SISTEMA FATURAMENTO INTERNAÇÃO SUS</v>
      </c>
      <c r="C2830" s="2" t="str">
        <f t="shared" ref="C2830:C2893" si="244">"FATUR-SUS"</f>
        <v>FATUR-SUS</v>
      </c>
      <c r="D2830" s="2" t="str">
        <f t="shared" ref="D2830:D2893" si="245">"FFIS"</f>
        <v>FFIS</v>
      </c>
      <c r="E2830" s="2" t="str">
        <f>"R_DESCARTES_FATURA"</f>
        <v>R_DESCARTES_FATURA</v>
      </c>
      <c r="F2830" s="2" t="str">
        <f>"R_DESCARTES_FATURA"</f>
        <v>R_DESCARTES_FATURA</v>
      </c>
      <c r="G2830" s="2" t="str">
        <f>"Faturamento / Faturamento de Internação SUS (AIH) / Relatórios / Operacionais / Descartes na Fatura (R_DESCARTES_FATURA)"</f>
        <v>Faturamento / Faturamento de Internação SUS (AIH) / Relatórios / Operacionais / Descartes na Fatura (R_DESCARTES_FATURA)</v>
      </c>
    </row>
    <row r="2831" spans="1:7" x14ac:dyDescent="0.3">
      <c r="A2831" s="1" t="s">
        <v>4</v>
      </c>
      <c r="B2831" s="2" t="str">
        <f t="shared" si="243"/>
        <v>SISTEMA FATURAMENTO INTERNAÇÃO SUS</v>
      </c>
      <c r="C2831" s="2" t="str">
        <f t="shared" si="244"/>
        <v>FATUR-SUS</v>
      </c>
      <c r="D2831" s="2" t="str">
        <f t="shared" si="245"/>
        <v>FFIS</v>
      </c>
      <c r="E2831" s="2" t="str">
        <f>"M_MOTIVO_DESCARTE_SUS"</f>
        <v>M_MOTIVO_DESCARTE_SUS</v>
      </c>
      <c r="F2831" s="2" t="str">
        <f>"M_MOTIVO_DESCARTE_SUS"</f>
        <v>M_MOTIVO_DESCARTE_SUS</v>
      </c>
      <c r="G2831" s="2" t="str">
        <f>"Faturamento / Faturamento de Internação SUS (AIH) / Tabelas / Gerais / Motivo de Descarte (M_MOTIVO_DESCARTE_SUS)"</f>
        <v>Faturamento / Faturamento de Internação SUS (AIH) / Tabelas / Gerais / Motivo de Descarte (M_MOTIVO_DESCARTE_SUS)</v>
      </c>
    </row>
    <row r="2832" spans="1:7" x14ac:dyDescent="0.3">
      <c r="A2832" s="1" t="s">
        <v>4</v>
      </c>
      <c r="B2832" s="2" t="str">
        <f t="shared" si="243"/>
        <v>SISTEMA FATURAMENTO INTERNAÇÃO SUS</v>
      </c>
      <c r="C2832" s="2" t="str">
        <f t="shared" si="244"/>
        <v>FATUR-SUS</v>
      </c>
      <c r="D2832" s="2" t="str">
        <f t="shared" si="245"/>
        <v>FFIS</v>
      </c>
      <c r="E2832" s="2" t="str">
        <f>"M_MOTIVO_DESCARTE_SUS"</f>
        <v>M_MOTIVO_DESCARTE_SUS</v>
      </c>
      <c r="F2832" s="2" t="str">
        <f>"M_MOTIVO_DESCARTE_SUS"</f>
        <v>M_MOTIVO_DESCARTE_SUS</v>
      </c>
      <c r="G2832" s="2" t="str">
        <f>"Faturamento / Faturamento Ambulatorial SUS (BPA e APAC) / Tabelas / Geral / Motivo de Descarte (M_MOTIVO_DESCARTE_SUS)"</f>
        <v>Faturamento / Faturamento Ambulatorial SUS (BPA e APAC) / Tabelas / Geral / Motivo de Descarte (M_MOTIVO_DESCARTE_SUS)</v>
      </c>
    </row>
    <row r="2833" spans="1:7" x14ac:dyDescent="0.3">
      <c r="A2833" s="1" t="s">
        <v>4</v>
      </c>
      <c r="B2833" s="2" t="str">
        <f t="shared" si="243"/>
        <v>SISTEMA FATURAMENTO INTERNAÇÃO SUS</v>
      </c>
      <c r="C2833" s="2" t="str">
        <f t="shared" si="244"/>
        <v>FATUR-SUS</v>
      </c>
      <c r="D2833" s="2" t="str">
        <f t="shared" si="245"/>
        <v>FFIS</v>
      </c>
      <c r="E2833" s="2" t="str">
        <f>"RELATÓRIO DE PRÓTESES"</f>
        <v>RELATÓRIO DE PRÓTESES</v>
      </c>
      <c r="F2833" s="2" t="str">
        <f>"R_PROTESE"</f>
        <v>R_PROTESE</v>
      </c>
      <c r="G2833" s="2" t="str">
        <f>"Faturamento / Faturamento de Internação SUS (AIH) / Relatórios / Tabelas / Prótese (R_PROTESE)"</f>
        <v>Faturamento / Faturamento de Internação SUS (AIH) / Relatórios / Tabelas / Prótese (R_PROTESE)</v>
      </c>
    </row>
    <row r="2834" spans="1:7" x14ac:dyDescent="0.3">
      <c r="A2834" s="1" t="s">
        <v>4</v>
      </c>
      <c r="B2834" s="2" t="str">
        <f t="shared" si="243"/>
        <v>SISTEMA FATURAMENTO INTERNAÇÃO SUS</v>
      </c>
      <c r="C2834" s="2" t="str">
        <f t="shared" si="244"/>
        <v>FATUR-SUS</v>
      </c>
      <c r="D2834" s="2" t="str">
        <f t="shared" si="245"/>
        <v>FFIS</v>
      </c>
      <c r="E2834" s="2" t="str">
        <f>"REL. GER. FATURAMENTO POR MUNICIPIO"</f>
        <v>REL. GER. FATURAMENTO POR MUNICIPIO</v>
      </c>
      <c r="F2834" s="2" t="str">
        <f>"R_FAT_MUNICIPIO"</f>
        <v>R_FAT_MUNICIPIO</v>
      </c>
      <c r="G2834" s="2" t="str">
        <f>" ()"</f>
        <v xml:space="preserve"> ()</v>
      </c>
    </row>
    <row r="2835" spans="1:7" x14ac:dyDescent="0.3">
      <c r="A2835" s="1" t="s">
        <v>4</v>
      </c>
      <c r="B2835" s="2" t="str">
        <f t="shared" si="243"/>
        <v>SISTEMA FATURAMENTO INTERNAÇÃO SUS</v>
      </c>
      <c r="C2835" s="2" t="str">
        <f t="shared" si="244"/>
        <v>FATUR-SUS</v>
      </c>
      <c r="D2835" s="2" t="str">
        <f t="shared" si="245"/>
        <v>FFIS</v>
      </c>
      <c r="E2835" s="2" t="str">
        <f>"CADASTRO DE REMESSAS SUS"</f>
        <v>CADASTRO DE REMESSAS SUS</v>
      </c>
      <c r="F2835" s="2" t="str">
        <f>"M_REMESSA_SUS"</f>
        <v>M_REMESSA_SUS</v>
      </c>
      <c r="G2835" s="2" t="str">
        <f>" ()"</f>
        <v xml:space="preserve"> ()</v>
      </c>
    </row>
    <row r="2836" spans="1:7" x14ac:dyDescent="0.3">
      <c r="A2836" s="1" t="s">
        <v>4</v>
      </c>
      <c r="B2836" s="2" t="str">
        <f t="shared" si="243"/>
        <v>SISTEMA FATURAMENTO INTERNAÇÃO SUS</v>
      </c>
      <c r="C2836" s="2" t="str">
        <f t="shared" si="244"/>
        <v>FATUR-SUS</v>
      </c>
      <c r="D2836" s="2" t="str">
        <f t="shared" si="245"/>
        <v>FFIS</v>
      </c>
      <c r="E2836" s="2" t="str">
        <f>"PROCEDURE DE CALCULOS DO PONTO SADT"</f>
        <v>PROCEDURE DE CALCULOS DO PONTO SADT</v>
      </c>
      <c r="F2836" s="2" t="str">
        <f>"CALC_PT_SADT"</f>
        <v>CALC_PT_SADT</v>
      </c>
      <c r="G2836" s="2" t="str">
        <f>" ()"</f>
        <v xml:space="preserve"> ()</v>
      </c>
    </row>
    <row r="2837" spans="1:7" x14ac:dyDescent="0.3">
      <c r="A2837" s="1" t="s">
        <v>4</v>
      </c>
      <c r="B2837" s="2" t="str">
        <f t="shared" si="243"/>
        <v>SISTEMA FATURAMENTO INTERNAÇÃO SUS</v>
      </c>
      <c r="C2837" s="2" t="str">
        <f t="shared" si="244"/>
        <v>FATUR-SUS</v>
      </c>
      <c r="D2837" s="2" t="str">
        <f t="shared" si="245"/>
        <v>FFIS</v>
      </c>
      <c r="E2837" s="2" t="str">
        <f>"CADASTRO DE SIPAC"</f>
        <v>CADASTRO DE SIPAC</v>
      </c>
      <c r="F2837" s="2" t="str">
        <f>"M_SIPAC"</f>
        <v>M_SIPAC</v>
      </c>
      <c r="G2837" s="2" t="str">
        <f>" ()"</f>
        <v xml:space="preserve"> ()</v>
      </c>
    </row>
    <row r="2838" spans="1:7" x14ac:dyDescent="0.3">
      <c r="A2838" s="1" t="s">
        <v>4</v>
      </c>
      <c r="B2838" s="2" t="str">
        <f t="shared" si="243"/>
        <v>SISTEMA FATURAMENTO INTERNAÇÃO SUS</v>
      </c>
      <c r="C2838" s="2" t="str">
        <f t="shared" si="244"/>
        <v>FATUR-SUS</v>
      </c>
      <c r="D2838" s="2" t="str">
        <f t="shared" si="245"/>
        <v>FFIS</v>
      </c>
      <c r="E2838" s="2" t="str">
        <f>"RELATÓRIO DE AIH SIMULADA"</f>
        <v>RELATÓRIO DE AIH SIMULADA</v>
      </c>
      <c r="F2838" s="2" t="str">
        <f>"R_AIH_SIMULADA"</f>
        <v>R_AIH_SIMULADA</v>
      </c>
      <c r="G2838" s="2" t="str">
        <f>" ()"</f>
        <v xml:space="preserve"> ()</v>
      </c>
    </row>
    <row r="2839" spans="1:7" x14ac:dyDescent="0.3">
      <c r="A2839" s="1" t="s">
        <v>4</v>
      </c>
      <c r="B2839" s="2" t="str">
        <f t="shared" si="243"/>
        <v>SISTEMA FATURAMENTO INTERNAÇÃO SUS</v>
      </c>
      <c r="C2839" s="2" t="str">
        <f t="shared" si="244"/>
        <v>FATUR-SUS</v>
      </c>
      <c r="D2839" s="2" t="str">
        <f t="shared" si="245"/>
        <v>FFIS</v>
      </c>
      <c r="E2839" s="2" t="str">
        <f>"REL. GER. RECEITA POR PROCEDIMENTO REALI"</f>
        <v>REL. GER. RECEITA POR PROCEDIMENTO REALI</v>
      </c>
      <c r="F2839" s="2" t="str">
        <f>"R_FAT_PROCEDIMENTO"</f>
        <v>R_FAT_PROCEDIMENTO</v>
      </c>
      <c r="G2839" s="2" t="str">
        <f>"Faturamento / Faturamento de Internação SUS (AIH) / Relatórios / Gerenciais / Receita por Procedimento (R_FAT_PROCEDIMENTO)"</f>
        <v>Faturamento / Faturamento de Internação SUS (AIH) / Relatórios / Gerenciais / Receita por Procedimento (R_FAT_PROCEDIMENTO)</v>
      </c>
    </row>
    <row r="2840" spans="1:7" x14ac:dyDescent="0.3">
      <c r="A2840" s="1" t="s">
        <v>4</v>
      </c>
      <c r="B2840" s="2" t="str">
        <f t="shared" si="243"/>
        <v>SISTEMA FATURAMENTO INTERNAÇÃO SUS</v>
      </c>
      <c r="C2840" s="2" t="str">
        <f t="shared" si="244"/>
        <v>FATUR-SUS</v>
      </c>
      <c r="D2840" s="2" t="str">
        <f t="shared" si="245"/>
        <v>FFIS</v>
      </c>
      <c r="E2840" s="2" t="str">
        <f>"RELATÓRIO DE TABELA DE PROCEDIMENTOS"</f>
        <v>RELATÓRIO DE TABELA DE PROCEDIMENTOS</v>
      </c>
      <c r="F2840" s="2" t="str">
        <f>"R_SUB_GRU_PROC"</f>
        <v>R_SUB_GRU_PROC</v>
      </c>
      <c r="G2840" s="2" t="str">
        <f t="shared" ref="G2840:G2845" si="246">" ()"</f>
        <v xml:space="preserve"> ()</v>
      </c>
    </row>
    <row r="2841" spans="1:7" x14ac:dyDescent="0.3">
      <c r="A2841" s="1" t="s">
        <v>4</v>
      </c>
      <c r="B2841" s="2" t="str">
        <f t="shared" si="243"/>
        <v>SISTEMA FATURAMENTO INTERNAÇÃO SUS</v>
      </c>
      <c r="C2841" s="2" t="str">
        <f t="shared" si="244"/>
        <v>FATUR-SUS</v>
      </c>
      <c r="D2841" s="2" t="str">
        <f t="shared" si="245"/>
        <v>FFIS</v>
      </c>
      <c r="E2841" s="2" t="str">
        <f>"RATEIO"</f>
        <v>RATEIO</v>
      </c>
      <c r="F2841" s="2" t="str">
        <f>"M_RATEIO_OBS_661"</f>
        <v>M_RATEIO_OBS_661</v>
      </c>
      <c r="G2841" s="2" t="str">
        <f t="shared" si="246"/>
        <v xml:space="preserve"> ()</v>
      </c>
    </row>
    <row r="2842" spans="1:7" x14ac:dyDescent="0.3">
      <c r="A2842" s="1" t="s">
        <v>4</v>
      </c>
      <c r="B2842" s="2" t="str">
        <f t="shared" si="243"/>
        <v>SISTEMA FATURAMENTO INTERNAÇÃO SUS</v>
      </c>
      <c r="C2842" s="2" t="str">
        <f t="shared" si="244"/>
        <v>FATUR-SUS</v>
      </c>
      <c r="D2842" s="2" t="str">
        <f t="shared" si="245"/>
        <v>FFIS</v>
      </c>
      <c r="E2842" s="2" t="str">
        <f>"RATEIO OBSTETRAS"</f>
        <v>RATEIO OBSTETRAS</v>
      </c>
      <c r="F2842" s="2" t="str">
        <f>"R_MEDICOS_OBSTETRAS_661"</f>
        <v>R_MEDICOS_OBSTETRAS_661</v>
      </c>
      <c r="G2842" s="2" t="str">
        <f t="shared" si="246"/>
        <v xml:space="preserve"> ()</v>
      </c>
    </row>
    <row r="2843" spans="1:7" x14ac:dyDescent="0.3">
      <c r="A2843" s="1" t="s">
        <v>4</v>
      </c>
      <c r="B2843" s="2" t="str">
        <f t="shared" si="243"/>
        <v>SISTEMA FATURAMENTO INTERNAÇÃO SUS</v>
      </c>
      <c r="C2843" s="2" t="str">
        <f t="shared" si="244"/>
        <v>FATUR-SUS</v>
      </c>
      <c r="D2843" s="2" t="str">
        <f t="shared" si="245"/>
        <v>FFIS</v>
      </c>
      <c r="E2843" s="2" t="str">
        <f>"RELAÇÃO DAS AIHS PARA CONTROLE DE UTI"</f>
        <v>RELAÇÃO DAS AIHS PARA CONTROLE DE UTI</v>
      </c>
      <c r="F2843" s="2" t="str">
        <f>"R_CONTROLE_UTI"</f>
        <v>R_CONTROLE_UTI</v>
      </c>
      <c r="G2843" s="2" t="str">
        <f t="shared" si="246"/>
        <v xml:space="preserve"> ()</v>
      </c>
    </row>
    <row r="2844" spans="1:7" x14ac:dyDescent="0.3">
      <c r="A2844" s="1" t="s">
        <v>4</v>
      </c>
      <c r="B2844" s="2" t="str">
        <f t="shared" si="243"/>
        <v>SISTEMA FATURAMENTO INTERNAÇÃO SUS</v>
      </c>
      <c r="C2844" s="2" t="str">
        <f t="shared" si="244"/>
        <v>FATUR-SUS</v>
      </c>
      <c r="D2844" s="2" t="str">
        <f t="shared" si="245"/>
        <v>FFIS</v>
      </c>
      <c r="E2844" s="2" t="str">
        <f>"RELATÓRIO DE TABELA DE PROCEDIMENTOS"</f>
        <v>RELATÓRIO DE TABELA DE PROCEDIMENTOS</v>
      </c>
      <c r="F2844" s="2" t="str">
        <f>"R_TABELA_PROC"</f>
        <v>R_TABELA_PROC</v>
      </c>
      <c r="G2844" s="2" t="str">
        <f t="shared" si="246"/>
        <v xml:space="preserve"> ()</v>
      </c>
    </row>
    <row r="2845" spans="1:7" x14ac:dyDescent="0.3">
      <c r="A2845" s="1" t="s">
        <v>4</v>
      </c>
      <c r="B2845" s="2" t="str">
        <f t="shared" si="243"/>
        <v>SISTEMA FATURAMENTO INTERNAÇÃO SUS</v>
      </c>
      <c r="C2845" s="2" t="str">
        <f t="shared" si="244"/>
        <v>FATUR-SUS</v>
      </c>
      <c r="D2845" s="2" t="str">
        <f t="shared" si="245"/>
        <v>FFIS</v>
      </c>
      <c r="E2845" s="2" t="str">
        <f>"RATEIO"</f>
        <v>RATEIO</v>
      </c>
      <c r="F2845" s="2" t="str">
        <f>"M_RATEIO"</f>
        <v>M_RATEIO</v>
      </c>
      <c r="G2845" s="2" t="str">
        <f t="shared" si="246"/>
        <v xml:space="preserve"> ()</v>
      </c>
    </row>
    <row r="2846" spans="1:7" x14ac:dyDescent="0.3">
      <c r="A2846" s="1" t="s">
        <v>4</v>
      </c>
      <c r="B2846" s="2" t="str">
        <f t="shared" si="243"/>
        <v>SISTEMA FATURAMENTO INTERNAÇÃO SUS</v>
      </c>
      <c r="C2846" s="2" t="str">
        <f t="shared" si="244"/>
        <v>FATUR-SUS</v>
      </c>
      <c r="D2846" s="2" t="str">
        <f t="shared" si="245"/>
        <v>FFIS</v>
      </c>
      <c r="E2846" s="2" t="str">
        <f>"REGRA DE AGRUPAMENTO DE PROCEDIMENTO"</f>
        <v>REGRA DE AGRUPAMENTO DE PROCEDIMENTO</v>
      </c>
      <c r="F2846" s="2" t="str">
        <f>"M_REGRA_AGRUPA_PROC"</f>
        <v>M_REGRA_AGRUPA_PROC</v>
      </c>
      <c r="G2846" s="2" t="str">
        <f>"Faturamento / Faturamento de Internação SUS (AIH) / Tabelas / Procedimentos / Regra de Agrupamento de Procedimento (M_REGRA_AGRUPA_PROC)"</f>
        <v>Faturamento / Faturamento de Internação SUS (AIH) / Tabelas / Procedimentos / Regra de Agrupamento de Procedimento (M_REGRA_AGRUPA_PROC)</v>
      </c>
    </row>
    <row r="2847" spans="1:7" x14ac:dyDescent="0.3">
      <c r="A2847" s="1" t="s">
        <v>4</v>
      </c>
      <c r="B2847" s="2" t="str">
        <f t="shared" si="243"/>
        <v>SISTEMA FATURAMENTO INTERNAÇÃO SUS</v>
      </c>
      <c r="C2847" s="2" t="str">
        <f t="shared" si="244"/>
        <v>FATUR-SUS</v>
      </c>
      <c r="D2847" s="2" t="str">
        <f t="shared" si="245"/>
        <v>FFIS</v>
      </c>
      <c r="E2847" s="2" t="str">
        <f>"CONTA UNIFICADA (HOSPITAL DIA)"</f>
        <v>CONTA UNIFICADA (HOSPITAL DIA)</v>
      </c>
      <c r="F2847" s="2" t="str">
        <f>"M_CONTA_UNIFICADA_DIA"</f>
        <v>M_CONTA_UNIFICADA_DIA</v>
      </c>
      <c r="G2847" s="2" t="str">
        <f>"Faturamento / Faturamento de Internação SUS (AIH) / Lançamentos / Conta Unificada (Hospital Dia) (M_CONTA_UNIFICADA_DIA)"</f>
        <v>Faturamento / Faturamento de Internação SUS (AIH) / Lançamentos / Conta Unificada (Hospital Dia) (M_CONTA_UNIFICADA_DIA)</v>
      </c>
    </row>
    <row r="2848" spans="1:7" x14ac:dyDescent="0.3">
      <c r="A2848" s="1" t="s">
        <v>4</v>
      </c>
      <c r="B2848" s="2" t="str">
        <f t="shared" si="243"/>
        <v>SISTEMA FATURAMENTO INTERNAÇÃO SUS</v>
      </c>
      <c r="C2848" s="2" t="str">
        <f t="shared" si="244"/>
        <v>FATUR-SUS</v>
      </c>
      <c r="D2848" s="2" t="str">
        <f t="shared" si="245"/>
        <v>FFIS</v>
      </c>
      <c r="E2848" s="2" t="str">
        <f>"CADASTRO DE PROCEDIMENTO - SOULMV"</f>
        <v>CADASTRO DE PROCEDIMENTO - SOULMV</v>
      </c>
      <c r="F2848" s="2" t="str">
        <f>"M_PROCED_SUS"</f>
        <v>M_PROCED_SUS</v>
      </c>
      <c r="G2848" s="2" t="str">
        <f t="shared" ref="G2848:G2855" si="247">" ()"</f>
        <v xml:space="preserve"> ()</v>
      </c>
    </row>
    <row r="2849" spans="1:7" x14ac:dyDescent="0.3">
      <c r="A2849" s="1" t="s">
        <v>4</v>
      </c>
      <c r="B2849" s="2" t="str">
        <f t="shared" si="243"/>
        <v>SISTEMA FATURAMENTO INTERNAÇÃO SUS</v>
      </c>
      <c r="C2849" s="2" t="str">
        <f t="shared" si="244"/>
        <v>FATUR-SUS</v>
      </c>
      <c r="D2849" s="2" t="str">
        <f t="shared" si="245"/>
        <v>FFIS</v>
      </c>
      <c r="E2849" s="2" t="str">
        <f>"RELATÓRIO DE DADOS DA COBRANÇA"</f>
        <v>RELATÓRIO DE DADOS DA COBRANÇA</v>
      </c>
      <c r="F2849" s="2" t="str">
        <f>"R_DADOS_COBRANCA"</f>
        <v>R_DADOS_COBRANCA</v>
      </c>
      <c r="G2849" s="2" t="str">
        <f t="shared" si="247"/>
        <v xml:space="preserve"> ()</v>
      </c>
    </row>
    <row r="2850" spans="1:7" x14ac:dyDescent="0.3">
      <c r="A2850" s="1" t="s">
        <v>4</v>
      </c>
      <c r="B2850" s="2" t="str">
        <f t="shared" si="243"/>
        <v>SISTEMA FATURAMENTO INTERNAÇÃO SUS</v>
      </c>
      <c r="C2850" s="2" t="str">
        <f t="shared" si="244"/>
        <v>FATUR-SUS</v>
      </c>
      <c r="D2850" s="2" t="str">
        <f t="shared" si="245"/>
        <v>FFIS</v>
      </c>
      <c r="E2850" s="2" t="str">
        <f>"RELATÓRIO DE PRODUTIVIDADE DOS PRESTADOR"</f>
        <v>RELATÓRIO DE PRODUTIVIDADE DOS PRESTADOR</v>
      </c>
      <c r="F2850" s="2" t="str">
        <f>"R_PRODUTIVIDADE_PRESTADOR"</f>
        <v>R_PRODUTIVIDADE_PRESTADOR</v>
      </c>
      <c r="G2850" s="2" t="str">
        <f t="shared" si="247"/>
        <v xml:space="preserve"> ()</v>
      </c>
    </row>
    <row r="2851" spans="1:7" x14ac:dyDescent="0.3">
      <c r="A2851" s="1" t="s">
        <v>4</v>
      </c>
      <c r="B2851" s="2" t="str">
        <f t="shared" si="243"/>
        <v>SISTEMA FATURAMENTO INTERNAÇÃO SUS</v>
      </c>
      <c r="C2851" s="2" t="str">
        <f t="shared" si="244"/>
        <v>FATUR-SUS</v>
      </c>
      <c r="D2851" s="2" t="str">
        <f t="shared" si="245"/>
        <v>FFIS</v>
      </c>
      <c r="E2851" s="2" t="str">
        <f>"REL. RECEITAS DE SADT POR ESPECIALIDADE"</f>
        <v>REL. RECEITAS DE SADT POR ESPECIALIDADE</v>
      </c>
      <c r="F2851" s="2" t="str">
        <f>"R_FAT_SD_ESPEC"</f>
        <v>R_FAT_SD_ESPEC</v>
      </c>
      <c r="G2851" s="2" t="str">
        <f t="shared" si="247"/>
        <v xml:space="preserve"> ()</v>
      </c>
    </row>
    <row r="2852" spans="1:7" x14ac:dyDescent="0.3">
      <c r="A2852" s="1" t="s">
        <v>4</v>
      </c>
      <c r="B2852" s="2" t="str">
        <f t="shared" si="243"/>
        <v>SISTEMA FATURAMENTO INTERNAÇÃO SUS</v>
      </c>
      <c r="C2852" s="2" t="str">
        <f t="shared" si="244"/>
        <v>FATUR-SUS</v>
      </c>
      <c r="D2852" s="2" t="str">
        <f t="shared" si="245"/>
        <v>FFIS</v>
      </c>
      <c r="E2852" s="2" t="str">
        <f>"FATURAS E REMESSA SUS"</f>
        <v>FATURAS E REMESSA SUS</v>
      </c>
      <c r="F2852" s="2" t="str">
        <f>"M_REMESSA_FATURA_SUS"</f>
        <v>M_REMESSA_FATURA_SUS</v>
      </c>
      <c r="G2852" s="2" t="str">
        <f t="shared" si="247"/>
        <v xml:space="preserve"> ()</v>
      </c>
    </row>
    <row r="2853" spans="1:7" x14ac:dyDescent="0.3">
      <c r="A2853" s="1" t="s">
        <v>4</v>
      </c>
      <c r="B2853" s="2" t="str">
        <f t="shared" si="243"/>
        <v>SISTEMA FATURAMENTO INTERNAÇÃO SUS</v>
      </c>
      <c r="C2853" s="2" t="str">
        <f t="shared" si="244"/>
        <v>FATUR-SUS</v>
      </c>
      <c r="D2853" s="2" t="str">
        <f t="shared" si="245"/>
        <v>FFIS</v>
      </c>
      <c r="E2853" s="2" t="str">
        <f>"REL RECEITAS POR ESPECIALIDADE"</f>
        <v>REL RECEITAS POR ESPECIALIDADE</v>
      </c>
      <c r="F2853" s="2" t="str">
        <f>"R_FAT_ESPECIALIDADE"</f>
        <v>R_FAT_ESPECIALIDADE</v>
      </c>
      <c r="G2853" s="2" t="str">
        <f t="shared" si="247"/>
        <v xml:space="preserve"> ()</v>
      </c>
    </row>
    <row r="2854" spans="1:7" x14ac:dyDescent="0.3">
      <c r="A2854" s="1" t="s">
        <v>4</v>
      </c>
      <c r="B2854" s="2" t="str">
        <f t="shared" si="243"/>
        <v>SISTEMA FATURAMENTO INTERNAÇÃO SUS</v>
      </c>
      <c r="C2854" s="2" t="str">
        <f t="shared" si="244"/>
        <v>FATUR-SUS</v>
      </c>
      <c r="D2854" s="2" t="str">
        <f t="shared" si="245"/>
        <v>FFIS</v>
      </c>
      <c r="E2854" s="2" t="str">
        <f>"REL. OPER. ORTESES POR FORNECEDOR"</f>
        <v>REL. OPER. ORTESES POR FORNECEDOR</v>
      </c>
      <c r="F2854" s="2" t="str">
        <f>"R_OPM_FORNECEDOR"</f>
        <v>R_OPM_FORNECEDOR</v>
      </c>
      <c r="G2854" s="2" t="str">
        <f t="shared" si="247"/>
        <v xml:space="preserve"> ()</v>
      </c>
    </row>
    <row r="2855" spans="1:7" x14ac:dyDescent="0.3">
      <c r="A2855" s="1" t="s">
        <v>4</v>
      </c>
      <c r="B2855" s="2" t="str">
        <f t="shared" si="243"/>
        <v>SISTEMA FATURAMENTO INTERNAÇÃO SUS</v>
      </c>
      <c r="C2855" s="2" t="str">
        <f t="shared" si="244"/>
        <v>FATUR-SUS</v>
      </c>
      <c r="D2855" s="2" t="str">
        <f t="shared" si="245"/>
        <v>FFIS</v>
      </c>
      <c r="E2855" s="2" t="str">
        <f>"FUNÇÃO DE CÁLCULO DE VALORES DA AIH"</f>
        <v>FUNÇÃO DE CÁLCULO DE VALORES DA AIH</v>
      </c>
      <c r="F2855" s="2" t="str">
        <f>"CALC_AIH"</f>
        <v>CALC_AIH</v>
      </c>
      <c r="G2855" s="2" t="str">
        <f t="shared" si="247"/>
        <v xml:space="preserve"> ()</v>
      </c>
    </row>
    <row r="2856" spans="1:7" x14ac:dyDescent="0.3">
      <c r="A2856" s="1" t="s">
        <v>4</v>
      </c>
      <c r="B2856" s="2" t="str">
        <f t="shared" si="243"/>
        <v>SISTEMA FATURAMENTO INTERNAÇÃO SUS</v>
      </c>
      <c r="C2856" s="2" t="str">
        <f t="shared" si="244"/>
        <v>FATUR-SUS</v>
      </c>
      <c r="D2856" s="2" t="str">
        <f t="shared" si="245"/>
        <v>FFIS</v>
      </c>
      <c r="E2856" s="2" t="str">
        <f>"RELATÓRIO DE DADOS DO HOSPITAL"</f>
        <v>RELATÓRIO DE DADOS DO HOSPITAL</v>
      </c>
      <c r="F2856" s="2" t="str">
        <f>"R_DADOS_HOSPITAL"</f>
        <v>R_DADOS_HOSPITAL</v>
      </c>
      <c r="G2856" s="2" t="str">
        <f>"Faturamento / Faturamento de Internação SUS (AIH) / Relatórios / Cadastrais / Dados do Hospital (R_DADOS_HOSPITAL)"</f>
        <v>Faturamento / Faturamento de Internação SUS (AIH) / Relatórios / Cadastrais / Dados do Hospital (R_DADOS_HOSPITAL)</v>
      </c>
    </row>
    <row r="2857" spans="1:7" x14ac:dyDescent="0.3">
      <c r="A2857" s="1" t="s">
        <v>4</v>
      </c>
      <c r="B2857" s="2" t="str">
        <f t="shared" si="243"/>
        <v>SISTEMA FATURAMENTO INTERNAÇÃO SUS</v>
      </c>
      <c r="C2857" s="2" t="str">
        <f t="shared" si="244"/>
        <v>FATUR-SUS</v>
      </c>
      <c r="D2857" s="2" t="str">
        <f t="shared" si="245"/>
        <v>FFIS</v>
      </c>
      <c r="E2857" s="2" t="str">
        <f>"VALOR PROCEDIMENTOS SUS"</f>
        <v>VALOR PROCEDIMENTOS SUS</v>
      </c>
      <c r="F2857" s="2" t="str">
        <f>"M_VAL_PROCED_SUS"</f>
        <v>M_VAL_PROCED_SUS</v>
      </c>
      <c r="G2857" s="2" t="str">
        <f>" ()"</f>
        <v xml:space="preserve"> ()</v>
      </c>
    </row>
    <row r="2858" spans="1:7" x14ac:dyDescent="0.3">
      <c r="A2858" s="1" t="s">
        <v>4</v>
      </c>
      <c r="B2858" s="2" t="str">
        <f t="shared" si="243"/>
        <v>SISTEMA FATURAMENTO INTERNAÇÃO SUS</v>
      </c>
      <c r="C2858" s="2" t="str">
        <f t="shared" si="244"/>
        <v>FATUR-SUS</v>
      </c>
      <c r="D2858" s="2" t="str">
        <f t="shared" si="245"/>
        <v>FFIS</v>
      </c>
      <c r="E2858" s="2" t="str">
        <f>"REAJUSTE PERCENTUAL DA TABELA DE FATURAM"</f>
        <v>REAJUSTE PERCENTUAL DA TABELA DE FATURAM</v>
      </c>
      <c r="F2858" s="2" t="str">
        <f>"O_REAJUSTE_PROC_PERCENTUAL_SUS"</f>
        <v>O_REAJUSTE_PROC_PERCENTUAL_SUS</v>
      </c>
      <c r="G2858" s="2" t="str">
        <f>" ()"</f>
        <v xml:space="preserve"> ()</v>
      </c>
    </row>
    <row r="2859" spans="1:7" x14ac:dyDescent="0.3">
      <c r="A2859" s="1" t="s">
        <v>4</v>
      </c>
      <c r="B2859" s="2" t="str">
        <f t="shared" si="243"/>
        <v>SISTEMA FATURAMENTO INTERNAÇÃO SUS</v>
      </c>
      <c r="C2859" s="2" t="str">
        <f t="shared" si="244"/>
        <v>FATUR-SUS</v>
      </c>
      <c r="D2859" s="2" t="str">
        <f t="shared" si="245"/>
        <v>FFIS</v>
      </c>
      <c r="E2859" s="2" t="str">
        <f>"CRITICAS DO AIH"</f>
        <v>CRITICAS DO AIH</v>
      </c>
      <c r="F2859" s="2" t="str">
        <f>"R_CRITICA_AIH"</f>
        <v>R_CRITICA_AIH</v>
      </c>
      <c r="G2859" s="2" t="str">
        <f>"Faturamento / Faturamento de Internação SUS (AIH) / Relatórios / Operacionais / Contas sem Guia (R_CRITICA_AIH)"</f>
        <v>Faturamento / Faturamento de Internação SUS (AIH) / Relatórios / Operacionais / Contas sem Guia (R_CRITICA_AIH)</v>
      </c>
    </row>
    <row r="2860" spans="1:7" x14ac:dyDescent="0.3">
      <c r="A2860" s="1" t="s">
        <v>4</v>
      </c>
      <c r="B2860" s="2" t="str">
        <f t="shared" si="243"/>
        <v>SISTEMA FATURAMENTO INTERNAÇÃO SUS</v>
      </c>
      <c r="C2860" s="2" t="str">
        <f t="shared" si="244"/>
        <v>FATUR-SUS</v>
      </c>
      <c r="D2860" s="2" t="str">
        <f t="shared" si="245"/>
        <v>FFIS</v>
      </c>
      <c r="E2860" s="2" t="str">
        <f>"ENTREGA DE REMESSA SUS"</f>
        <v>ENTREGA DE REMESSA SUS</v>
      </c>
      <c r="F2860" s="2" t="str">
        <f>"M_ENTREGA_REMESSA_SUS"</f>
        <v>M_ENTREGA_REMESSA_SUS</v>
      </c>
      <c r="G2860" s="2" t="str">
        <f>"Faturamento / Faturamento de Internação SUS (AIH) / Lançamentos / Entrega de Remessa (M_ENTREGA_REMESSA_SUS)"</f>
        <v>Faturamento / Faturamento de Internação SUS (AIH) / Lançamentos / Entrega de Remessa (M_ENTREGA_REMESSA_SUS)</v>
      </c>
    </row>
    <row r="2861" spans="1:7" x14ac:dyDescent="0.3">
      <c r="A2861" s="1" t="s">
        <v>4</v>
      </c>
      <c r="B2861" s="2" t="str">
        <f t="shared" si="243"/>
        <v>SISTEMA FATURAMENTO INTERNAÇÃO SUS</v>
      </c>
      <c r="C2861" s="2" t="str">
        <f t="shared" si="244"/>
        <v>FATUR-SUS</v>
      </c>
      <c r="D2861" s="2" t="str">
        <f t="shared" si="245"/>
        <v>FFIS</v>
      </c>
      <c r="E2861" s="2" t="str">
        <f>"RELAÇÃO DAS AIH´S APRESENTADAS"</f>
        <v>RELAÇÃO DAS AIH´S APRESENTADAS</v>
      </c>
      <c r="F2861" s="2" t="str">
        <f>"R_RAA"</f>
        <v>R_RAA</v>
      </c>
      <c r="G2861" s="2" t="str">
        <f>" ()"</f>
        <v xml:space="preserve"> ()</v>
      </c>
    </row>
    <row r="2862" spans="1:7" x14ac:dyDescent="0.3">
      <c r="A2862" s="1" t="s">
        <v>4</v>
      </c>
      <c r="B2862" s="2" t="str">
        <f t="shared" si="243"/>
        <v>SISTEMA FATURAMENTO INTERNAÇÃO SUS</v>
      </c>
      <c r="C2862" s="2" t="str">
        <f t="shared" si="244"/>
        <v>FATUR-SUS</v>
      </c>
      <c r="D2862" s="2" t="str">
        <f t="shared" si="245"/>
        <v>FFIS</v>
      </c>
      <c r="E2862" s="2" t="str">
        <f>"CADASTRO DE TIPOS DE VINCULO"</f>
        <v>CADASTRO DE TIPOS DE VINCULO</v>
      </c>
      <c r="F2862" s="2" t="str">
        <f>"M_TIPO_VINCULO"</f>
        <v>M_TIPO_VINCULO</v>
      </c>
      <c r="G2862" s="2" t="str">
        <f>"Faturamento / Faturamento de Internação SUS (AIH) / Tabelas / Gerais / Tipo de Vínculo (M_TIPO_VINCULO)"</f>
        <v>Faturamento / Faturamento de Internação SUS (AIH) / Tabelas / Gerais / Tipo de Vínculo (M_TIPO_VINCULO)</v>
      </c>
    </row>
    <row r="2863" spans="1:7" x14ac:dyDescent="0.3">
      <c r="A2863" s="1" t="s">
        <v>4</v>
      </c>
      <c r="B2863" s="2" t="str">
        <f t="shared" si="243"/>
        <v>SISTEMA FATURAMENTO INTERNAÇÃO SUS</v>
      </c>
      <c r="C2863" s="2" t="str">
        <f t="shared" si="244"/>
        <v>FATUR-SUS</v>
      </c>
      <c r="D2863" s="2" t="str">
        <f t="shared" si="245"/>
        <v>FFIS</v>
      </c>
      <c r="E2863" s="2" t="str">
        <f>"CONFIGURAÇÕES DO SISTEMA FFIS"</f>
        <v>CONFIGURAÇÕES DO SISTEMA FFIS</v>
      </c>
      <c r="F2863" s="2" t="str">
        <f>"M_CONFIG_FFIS"</f>
        <v>M_CONFIG_FFIS</v>
      </c>
      <c r="G2863" s="2" t="str">
        <f>"Faturamento / Faturamento de Internação SUS (AIH) / Configurações / Configuração do Sistema (M_CONFIG_FFIS)"</f>
        <v>Faturamento / Faturamento de Internação SUS (AIH) / Configurações / Configuração do Sistema (M_CONFIG_FFIS)</v>
      </c>
    </row>
    <row r="2864" spans="1:7" x14ac:dyDescent="0.3">
      <c r="A2864" s="1" t="s">
        <v>4</v>
      </c>
      <c r="B2864" s="2" t="str">
        <f t="shared" si="243"/>
        <v>SISTEMA FATURAMENTO INTERNAÇÃO SUS</v>
      </c>
      <c r="C2864" s="2" t="str">
        <f t="shared" si="244"/>
        <v>FATUR-SUS</v>
      </c>
      <c r="D2864" s="2" t="str">
        <f t="shared" si="245"/>
        <v>FFIS</v>
      </c>
      <c r="E2864" s="2" t="str">
        <f>"MANUT. DE LANÇAMENTO DA AIH"</f>
        <v>MANUT. DE LANÇAMENTO DA AIH</v>
      </c>
      <c r="F2864" s="2" t="str">
        <f>"M_LACTO_AIH"</f>
        <v>M_LACTO_AIH</v>
      </c>
      <c r="G2864" s="2" t="str">
        <f>" ()"</f>
        <v xml:space="preserve"> ()</v>
      </c>
    </row>
    <row r="2865" spans="1:7" x14ac:dyDescent="0.3">
      <c r="A2865" s="1" t="s">
        <v>4</v>
      </c>
      <c r="B2865" s="2" t="str">
        <f t="shared" si="243"/>
        <v>SISTEMA FATURAMENTO INTERNAÇÃO SUS</v>
      </c>
      <c r="C2865" s="2" t="str">
        <f t="shared" si="244"/>
        <v>FATUR-SUS</v>
      </c>
      <c r="D2865" s="2" t="str">
        <f t="shared" si="245"/>
        <v>FFIS</v>
      </c>
      <c r="E2865" s="2" t="str">
        <f>"PACKAGE DO SISTEMA DE FATURAMENTO AIH"</f>
        <v>PACKAGE DO SISTEMA DE FATURAMENTO AIH</v>
      </c>
      <c r="F2865" s="2" t="str">
        <f>"PACK_FFIS"</f>
        <v>PACK_FFIS</v>
      </c>
      <c r="G2865" s="2" t="str">
        <f>" ()"</f>
        <v xml:space="preserve"> ()</v>
      </c>
    </row>
    <row r="2866" spans="1:7" x14ac:dyDescent="0.3">
      <c r="A2866" s="1" t="s">
        <v>4</v>
      </c>
      <c r="B2866" s="2" t="str">
        <f t="shared" si="243"/>
        <v>SISTEMA FATURAMENTO INTERNAÇÃO SUS</v>
      </c>
      <c r="C2866" s="2" t="str">
        <f t="shared" si="244"/>
        <v>FATUR-SUS</v>
      </c>
      <c r="D2866" s="2" t="str">
        <f t="shared" si="245"/>
        <v>FFIS</v>
      </c>
      <c r="E2866" s="2" t="str">
        <f>"RELATÓRIO CONFERÊNCIA POR PROCEDIMENTO"</f>
        <v>RELATÓRIO CONFERÊNCIA POR PROCEDIMENTO</v>
      </c>
      <c r="F2866" s="2" t="str">
        <f>"R_CONF_PROCEDIMENTO"</f>
        <v>R_CONF_PROCEDIMENTO</v>
      </c>
      <c r="G2866" s="2" t="str">
        <f>" ()"</f>
        <v xml:space="preserve"> ()</v>
      </c>
    </row>
    <row r="2867" spans="1:7" x14ac:dyDescent="0.3">
      <c r="A2867" s="1" t="s">
        <v>4</v>
      </c>
      <c r="B2867" s="2" t="str">
        <f t="shared" si="243"/>
        <v>SISTEMA FATURAMENTO INTERNAÇÃO SUS</v>
      </c>
      <c r="C2867" s="2" t="str">
        <f t="shared" si="244"/>
        <v>FATUR-SUS</v>
      </c>
      <c r="D2867" s="2" t="str">
        <f t="shared" si="245"/>
        <v>FFIS</v>
      </c>
      <c r="E2867" s="2" t="str">
        <f>"CADASTRO DE EMPRESA (HOSPITAL)"</f>
        <v>CADASTRO DE EMPRESA (HOSPITAL)</v>
      </c>
      <c r="F2867" s="2" t="str">
        <f>"M_EMPRESA_SUS"</f>
        <v>M_EMPRESA_SUS</v>
      </c>
      <c r="G2867" s="2" t="str">
        <f>"Faturamento / Faturamento de Internação SUS (AIH) / Tabelas / Empresa (M_EMPRESA_SUS)"</f>
        <v>Faturamento / Faturamento de Internação SUS (AIH) / Tabelas / Empresa (M_EMPRESA_SUS)</v>
      </c>
    </row>
    <row r="2868" spans="1:7" x14ac:dyDescent="0.3">
      <c r="A2868" s="1" t="s">
        <v>4</v>
      </c>
      <c r="B2868" s="2" t="str">
        <f t="shared" si="243"/>
        <v>SISTEMA FATURAMENTO INTERNAÇÃO SUS</v>
      </c>
      <c r="C2868" s="2" t="str">
        <f t="shared" si="244"/>
        <v>FATUR-SUS</v>
      </c>
      <c r="D2868" s="2" t="str">
        <f t="shared" si="245"/>
        <v>FFIS</v>
      </c>
      <c r="E2868" s="2" t="str">
        <f>"NATUREZA HOSPITALAR"</f>
        <v>NATUREZA HOSPITALAR</v>
      </c>
      <c r="F2868" s="2" t="str">
        <f>"M_NAT_HOSPITALAR"</f>
        <v>M_NAT_HOSPITALAR</v>
      </c>
      <c r="G2868" s="2" t="str">
        <f>"Faturamento / Faturamento de Internação SUS (AIH) / Tabelas / Gerais / Natureza Hospitalar (M_NAT_HOSPITALAR)"</f>
        <v>Faturamento / Faturamento de Internação SUS (AIH) / Tabelas / Gerais / Natureza Hospitalar (M_NAT_HOSPITALAR)</v>
      </c>
    </row>
    <row r="2869" spans="1:7" x14ac:dyDescent="0.3">
      <c r="A2869" s="1" t="s">
        <v>4</v>
      </c>
      <c r="B2869" s="2" t="str">
        <f t="shared" si="243"/>
        <v>SISTEMA FATURAMENTO INTERNAÇÃO SUS</v>
      </c>
      <c r="C2869" s="2" t="str">
        <f t="shared" si="244"/>
        <v>FATUR-SUS</v>
      </c>
      <c r="D2869" s="2" t="str">
        <f t="shared" si="245"/>
        <v>FFIS</v>
      </c>
      <c r="E2869" s="2" t="str">
        <f>"CADASTRO DE GRUPOS DE SIPAC"</f>
        <v>CADASTRO DE GRUPOS DE SIPAC</v>
      </c>
      <c r="F2869" s="2" t="str">
        <f>"M_GRU_SIPAC"</f>
        <v>M_GRU_SIPAC</v>
      </c>
      <c r="G2869" s="2" t="str">
        <f>" ()"</f>
        <v xml:space="preserve"> ()</v>
      </c>
    </row>
    <row r="2870" spans="1:7" x14ac:dyDescent="0.3">
      <c r="A2870" s="1" t="s">
        <v>4</v>
      </c>
      <c r="B2870" s="2" t="str">
        <f t="shared" si="243"/>
        <v>SISTEMA FATURAMENTO INTERNAÇÃO SUS</v>
      </c>
      <c r="C2870" s="2" t="str">
        <f t="shared" si="244"/>
        <v>FATUR-SUS</v>
      </c>
      <c r="D2870" s="2" t="str">
        <f t="shared" si="245"/>
        <v>FFIS</v>
      </c>
      <c r="E2870" s="2" t="str">
        <f>"CADASTRO DE PROCEDIMENTOS SUS"</f>
        <v>CADASTRO DE PROCEDIMENTOS SUS</v>
      </c>
      <c r="F2870" s="2" t="str">
        <f>"M_PRO_FAT_SUS"</f>
        <v>M_PRO_FAT_SUS</v>
      </c>
      <c r="G2870" s="2" t="str">
        <f>" ()"</f>
        <v xml:space="preserve"> ()</v>
      </c>
    </row>
    <row r="2871" spans="1:7" x14ac:dyDescent="0.3">
      <c r="A2871" s="1" t="s">
        <v>4</v>
      </c>
      <c r="B2871" s="2" t="str">
        <f t="shared" si="243"/>
        <v>SISTEMA FATURAMENTO INTERNAÇÃO SUS</v>
      </c>
      <c r="C2871" s="2" t="str">
        <f t="shared" si="244"/>
        <v>FATUR-SUS</v>
      </c>
      <c r="D2871" s="2" t="str">
        <f t="shared" si="245"/>
        <v>FFIS</v>
      </c>
      <c r="E2871" s="2" t="str">
        <f>"CARATER DE INTERNACAO"</f>
        <v>CARATER DE INTERNACAO</v>
      </c>
      <c r="F2871" s="2" t="str">
        <f>"M_CARATER_INTERNACAO"</f>
        <v>M_CARATER_INTERNACAO</v>
      </c>
      <c r="G2871" s="2" t="str">
        <f>" ()"</f>
        <v xml:space="preserve"> ()</v>
      </c>
    </row>
    <row r="2872" spans="1:7" x14ac:dyDescent="0.3">
      <c r="A2872" s="1" t="s">
        <v>4</v>
      </c>
      <c r="B2872" s="2" t="str">
        <f t="shared" si="243"/>
        <v>SISTEMA FATURAMENTO INTERNAÇÃO SUS</v>
      </c>
      <c r="C2872" s="2" t="str">
        <f t="shared" si="244"/>
        <v>FATUR-SUS</v>
      </c>
      <c r="D2872" s="2" t="str">
        <f t="shared" si="245"/>
        <v>FFIS</v>
      </c>
      <c r="E2872" s="2" t="str">
        <f>"RELATÓRIO DE SIPAC"</f>
        <v>RELATÓRIO DE SIPAC</v>
      </c>
      <c r="F2872" s="2" t="str">
        <f>"R_SIPAC"</f>
        <v>R_SIPAC</v>
      </c>
      <c r="G2872" s="2" t="str">
        <f>"Faturamento / Faturamento de Internação SUS (AIH) / Relatórios / Tabelas / SIPAC (R_SIPAC)"</f>
        <v>Faturamento / Faturamento de Internação SUS (AIH) / Relatórios / Tabelas / SIPAC (R_SIPAC)</v>
      </c>
    </row>
    <row r="2873" spans="1:7" x14ac:dyDescent="0.3">
      <c r="A2873" s="1" t="s">
        <v>4</v>
      </c>
      <c r="B2873" s="2" t="str">
        <f t="shared" si="243"/>
        <v>SISTEMA FATURAMENTO INTERNAÇÃO SUS</v>
      </c>
      <c r="C2873" s="2" t="str">
        <f t="shared" si="244"/>
        <v>FATUR-SUS</v>
      </c>
      <c r="D2873" s="2" t="str">
        <f t="shared" si="245"/>
        <v>FFIS</v>
      </c>
      <c r="E2873" s="2" t="str">
        <f>"RELATÓRIO DE NACIONALIDADES"</f>
        <v>RELATÓRIO DE NACIONALIDADES</v>
      </c>
      <c r="F2873" s="2" t="str">
        <f>"R_NACIONALIDADES"</f>
        <v>R_NACIONALIDADES</v>
      </c>
      <c r="G2873" s="2" t="str">
        <f>"Faturamento / Faturamento de Internação SUS (AIH) / Relatórios / Tabelas / Nacionalidades (R_NACIONALIDADES)"</f>
        <v>Faturamento / Faturamento de Internação SUS (AIH) / Relatórios / Tabelas / Nacionalidades (R_NACIONALIDADES)</v>
      </c>
    </row>
    <row r="2874" spans="1:7" x14ac:dyDescent="0.3">
      <c r="A2874" s="1" t="s">
        <v>4</v>
      </c>
      <c r="B2874" s="2" t="str">
        <f t="shared" si="243"/>
        <v>SISTEMA FATURAMENTO INTERNAÇÃO SUS</v>
      </c>
      <c r="C2874" s="2" t="str">
        <f t="shared" si="244"/>
        <v>FATUR-SUS</v>
      </c>
      <c r="D2874" s="2" t="str">
        <f t="shared" si="245"/>
        <v>FFIS</v>
      </c>
      <c r="E2874" s="2" t="str">
        <f>"RELATÓRIO DE CONTRACEPTIVOS"</f>
        <v>RELATÓRIO DE CONTRACEPTIVOS</v>
      </c>
      <c r="F2874" s="2" t="str">
        <f>"R_CONTRACEPTIVOS"</f>
        <v>R_CONTRACEPTIVOS</v>
      </c>
      <c r="G2874" s="2" t="str">
        <f>"Faturamento / Faturamento de Internação SUS (AIH) / Relatórios / Tabelas / Contraceptivos (R_CONTRACEPTIVOS)"</f>
        <v>Faturamento / Faturamento de Internação SUS (AIH) / Relatórios / Tabelas / Contraceptivos (R_CONTRACEPTIVOS)</v>
      </c>
    </row>
    <row r="2875" spans="1:7" x14ac:dyDescent="0.3">
      <c r="A2875" s="1" t="s">
        <v>4</v>
      </c>
      <c r="B2875" s="2" t="str">
        <f t="shared" si="243"/>
        <v>SISTEMA FATURAMENTO INTERNAÇÃO SUS</v>
      </c>
      <c r="C2875" s="2" t="str">
        <f t="shared" si="244"/>
        <v>FATUR-SUS</v>
      </c>
      <c r="D2875" s="2" t="str">
        <f t="shared" si="245"/>
        <v>FFIS</v>
      </c>
      <c r="E2875" s="2" t="str">
        <f>"RELATÓRIO DE MOTIVOS DE ALTA"</f>
        <v>RELATÓRIO DE MOTIVOS DE ALTA</v>
      </c>
      <c r="F2875" s="2" t="str">
        <f>"R_MOTIVOS_ALTA"</f>
        <v>R_MOTIVOS_ALTA</v>
      </c>
      <c r="G2875" s="2" t="str">
        <f>"Faturamento / Faturamento de Internação SUS (AIH) / Relatórios / Tabelas / Motivos de Alta (R_MOTIVOS_ALTA)"</f>
        <v>Faturamento / Faturamento de Internação SUS (AIH) / Relatórios / Tabelas / Motivos de Alta (R_MOTIVOS_ALTA)</v>
      </c>
    </row>
    <row r="2876" spans="1:7" x14ac:dyDescent="0.3">
      <c r="A2876" s="1" t="s">
        <v>4</v>
      </c>
      <c r="B2876" s="2" t="str">
        <f t="shared" si="243"/>
        <v>SISTEMA FATURAMENTO INTERNAÇÃO SUS</v>
      </c>
      <c r="C2876" s="2" t="str">
        <f t="shared" si="244"/>
        <v>FATUR-SUS</v>
      </c>
      <c r="D2876" s="2" t="str">
        <f t="shared" si="245"/>
        <v>FFIS</v>
      </c>
      <c r="E2876" s="2" t="str">
        <f>"RELATÓRIO DE CARÁTER DE INTERNAÇÃO"</f>
        <v>RELATÓRIO DE CARÁTER DE INTERNAÇÃO</v>
      </c>
      <c r="F2876" s="2" t="str">
        <f>"R_CARATER_INTERNACAO"</f>
        <v>R_CARATER_INTERNACAO</v>
      </c>
      <c r="G2876" s="2" t="str">
        <f>"Faturamento / Faturamento de Internação SUS (AIH) / Relatórios / Tabelas / Caráter de Internação (R_CARATER_INTERNACAO)"</f>
        <v>Faturamento / Faturamento de Internação SUS (AIH) / Relatórios / Tabelas / Caráter de Internação (R_CARATER_INTERNACAO)</v>
      </c>
    </row>
    <row r="2877" spans="1:7" x14ac:dyDescent="0.3">
      <c r="A2877" s="1" t="s">
        <v>4</v>
      </c>
      <c r="B2877" s="2" t="str">
        <f t="shared" si="243"/>
        <v>SISTEMA FATURAMENTO INTERNAÇÃO SUS</v>
      </c>
      <c r="C2877" s="2" t="str">
        <f t="shared" si="244"/>
        <v>FATUR-SUS</v>
      </c>
      <c r="D2877" s="2" t="str">
        <f t="shared" si="245"/>
        <v>FFIS</v>
      </c>
      <c r="E2877" s="2" t="str">
        <f>"REL. IMPRESSÃO AIH7"</f>
        <v>REL. IMPRESSÃO AIH7</v>
      </c>
      <c r="F2877" s="2" t="str">
        <f>"R_IMP_AIH7"</f>
        <v>R_IMP_AIH7</v>
      </c>
      <c r="G2877" s="2" t="str">
        <f>"MVSaude / Atendimento / Autorizações de Guias / Internação / Relatórios / AIH / AIH7 (R_IMP_AIH7)"</f>
        <v>MVSaude / Atendimento / Autorizações de Guias / Internação / Relatórios / AIH / AIH7 (R_IMP_AIH7)</v>
      </c>
    </row>
    <row r="2878" spans="1:7" x14ac:dyDescent="0.3">
      <c r="A2878" s="1" t="s">
        <v>4</v>
      </c>
      <c r="B2878" s="2" t="str">
        <f t="shared" si="243"/>
        <v>SISTEMA FATURAMENTO INTERNAÇÃO SUS</v>
      </c>
      <c r="C2878" s="2" t="str">
        <f t="shared" si="244"/>
        <v>FATUR-SUS</v>
      </c>
      <c r="D2878" s="2" t="str">
        <f t="shared" si="245"/>
        <v>FFIS</v>
      </c>
      <c r="E2878" s="2" t="str">
        <f>"REL. IMPRESSÃO AIH7"</f>
        <v>REL. IMPRESSÃO AIH7</v>
      </c>
      <c r="F2878" s="2" t="str">
        <f>"R_IMP_AIH7"</f>
        <v>R_IMP_AIH7</v>
      </c>
      <c r="G2878" s="2" t="str">
        <f>"MVSaude / Vendas / Internação / Relatórios / AIH / AIH7 (R_IMP_AIH7)"</f>
        <v>MVSaude / Vendas / Internação / Relatórios / AIH / AIH7 (R_IMP_AIH7)</v>
      </c>
    </row>
    <row r="2879" spans="1:7" x14ac:dyDescent="0.3">
      <c r="A2879" s="1" t="s">
        <v>4</v>
      </c>
      <c r="B2879" s="2" t="str">
        <f t="shared" si="243"/>
        <v>SISTEMA FATURAMENTO INTERNAÇÃO SUS</v>
      </c>
      <c r="C2879" s="2" t="str">
        <f t="shared" si="244"/>
        <v>FATUR-SUS</v>
      </c>
      <c r="D2879" s="2" t="str">
        <f t="shared" si="245"/>
        <v>FFIS</v>
      </c>
      <c r="E2879" s="2" t="str">
        <f>"REL. IMPRESSÃO AIH7"</f>
        <v>REL. IMPRESSÃO AIH7</v>
      </c>
      <c r="F2879" s="2" t="str">
        <f>"R_IMP_AIH7"</f>
        <v>R_IMP_AIH7</v>
      </c>
      <c r="G2879" s="2" t="str">
        <f>"Atendimento / Internação / Relatórios / AIH / AIH7 (R_IMP_AIH7)"</f>
        <v>Atendimento / Internação / Relatórios / AIH / AIH7 (R_IMP_AIH7)</v>
      </c>
    </row>
    <row r="2880" spans="1:7" x14ac:dyDescent="0.3">
      <c r="A2880" s="1" t="s">
        <v>4</v>
      </c>
      <c r="B2880" s="2" t="str">
        <f t="shared" si="243"/>
        <v>SISTEMA FATURAMENTO INTERNAÇÃO SUS</v>
      </c>
      <c r="C2880" s="2" t="str">
        <f t="shared" si="244"/>
        <v>FATUR-SUS</v>
      </c>
      <c r="D2880" s="2" t="str">
        <f t="shared" si="245"/>
        <v>FFIS</v>
      </c>
      <c r="E2880" s="2" t="str">
        <f>"MENU DO SISTEMA DE FATURAMENTO SUS"</f>
        <v>MENU DO SISTEMA DE FATURAMENTO SUS</v>
      </c>
      <c r="F2880" s="2" t="str">
        <f>"FFIS"</f>
        <v>FFIS</v>
      </c>
      <c r="G2880" s="2" t="str">
        <f>" ()"</f>
        <v xml:space="preserve"> ()</v>
      </c>
    </row>
    <row r="2881" spans="1:7" x14ac:dyDescent="0.3">
      <c r="A2881" s="1" t="s">
        <v>4</v>
      </c>
      <c r="B2881" s="2" t="str">
        <f t="shared" si="243"/>
        <v>SISTEMA FATURAMENTO INTERNAÇÃO SUS</v>
      </c>
      <c r="C2881" s="2" t="str">
        <f t="shared" si="244"/>
        <v>FATUR-SUS</v>
      </c>
      <c r="D2881" s="2" t="str">
        <f t="shared" si="245"/>
        <v>FFIS</v>
      </c>
      <c r="E2881" s="2" t="str">
        <f>"RELATÓRIO DE PRESTADORES"</f>
        <v>RELATÓRIO DE PRESTADORES</v>
      </c>
      <c r="F2881" s="2" t="str">
        <f>"R_PRESTADORES"</f>
        <v>R_PRESTADORES</v>
      </c>
      <c r="G2881" s="2" t="str">
        <f>" ()"</f>
        <v xml:space="preserve"> ()</v>
      </c>
    </row>
    <row r="2882" spans="1:7" x14ac:dyDescent="0.3">
      <c r="A2882" s="1" t="s">
        <v>4</v>
      </c>
      <c r="B2882" s="2" t="str">
        <f t="shared" si="243"/>
        <v>SISTEMA FATURAMENTO INTERNAÇÃO SUS</v>
      </c>
      <c r="C2882" s="2" t="str">
        <f t="shared" si="244"/>
        <v>FATUR-SUS</v>
      </c>
      <c r="D2882" s="2" t="str">
        <f t="shared" si="245"/>
        <v>FFIS</v>
      </c>
      <c r="E2882" s="2" t="str">
        <f>"CADASTRO DE CONTRACEPTIVOS"</f>
        <v>CADASTRO DE CONTRACEPTIVOS</v>
      </c>
      <c r="F2882" s="2" t="str">
        <f>"M_CONTRACEPTIVO"</f>
        <v>M_CONTRACEPTIVO</v>
      </c>
      <c r="G2882" s="2" t="str">
        <f>"Faturamento / Faturamento de Internação SUS (AIH) / Tabelas / Gerais / Contraceptivos (M_CONTRACEPTIVO)"</f>
        <v>Faturamento / Faturamento de Internação SUS (AIH) / Tabelas / Gerais / Contraceptivos (M_CONTRACEPTIVO)</v>
      </c>
    </row>
    <row r="2883" spans="1:7" x14ac:dyDescent="0.3">
      <c r="A2883" s="1" t="s">
        <v>4</v>
      </c>
      <c r="B2883" s="2" t="str">
        <f t="shared" si="243"/>
        <v>SISTEMA FATURAMENTO INTERNAÇÃO SUS</v>
      </c>
      <c r="C2883" s="2" t="str">
        <f t="shared" si="244"/>
        <v>FATUR-SUS</v>
      </c>
      <c r="D2883" s="2" t="str">
        <f t="shared" si="245"/>
        <v>FFIS</v>
      </c>
      <c r="E2883" s="2" t="str">
        <f>"CADASTRO DE GRUPOS DE PROCEDIMENTOS SUS"</f>
        <v>CADASTRO DE GRUPOS DE PROCEDIMENTOS SUS</v>
      </c>
      <c r="F2883" s="2" t="str">
        <f>"M_GRU_PRO_SUS"</f>
        <v>M_GRU_PRO_SUS</v>
      </c>
      <c r="G2883" s="2" t="str">
        <f>" ()"</f>
        <v xml:space="preserve"> ()</v>
      </c>
    </row>
    <row r="2884" spans="1:7" x14ac:dyDescent="0.3">
      <c r="A2884" s="1" t="s">
        <v>4</v>
      </c>
      <c r="B2884" s="2" t="str">
        <f t="shared" si="243"/>
        <v>SISTEMA FATURAMENTO INTERNAÇÃO SUS</v>
      </c>
      <c r="C2884" s="2" t="str">
        <f t="shared" si="244"/>
        <v>FATUR-SUS</v>
      </c>
      <c r="D2884" s="2" t="str">
        <f t="shared" si="245"/>
        <v>FFIS</v>
      </c>
      <c r="E2884" s="2" t="str">
        <f>"PRESTADORES AUTORIZADOS PELO DATASUS"</f>
        <v>PRESTADORES AUTORIZADOS PELO DATASUS</v>
      </c>
      <c r="F2884" s="2" t="str">
        <f>"M_PRESTADOR_DATASUS"</f>
        <v>M_PRESTADOR_DATASUS</v>
      </c>
      <c r="G2884" s="2" t="str">
        <f>" ()"</f>
        <v xml:space="preserve"> ()</v>
      </c>
    </row>
    <row r="2885" spans="1:7" x14ac:dyDescent="0.3">
      <c r="A2885" s="1" t="s">
        <v>4</v>
      </c>
      <c r="B2885" s="2" t="str">
        <f t="shared" si="243"/>
        <v>SISTEMA FATURAMENTO INTERNAÇÃO SUS</v>
      </c>
      <c r="C2885" s="2" t="str">
        <f t="shared" si="244"/>
        <v>FATUR-SUS</v>
      </c>
      <c r="D2885" s="2" t="str">
        <f t="shared" si="245"/>
        <v>FFIS</v>
      </c>
      <c r="E2885" s="2" t="str">
        <f>"PRODUTO DE ESTOQUE X PROCEDIMENTO SUS"</f>
        <v>PRODUTO DE ESTOQUE X PROCEDIMENTO SUS</v>
      </c>
      <c r="F2885" s="2" t="str">
        <f>"M_CONF_PRO_SUS"</f>
        <v>M_CONF_PRO_SUS</v>
      </c>
      <c r="G2885" s="2" t="str">
        <f>"Faturamento / Faturamento de Internação SUS (AIH) / Tabelas / Procedimentos / Relacionamento Estoque x AIH (M_CONF_PRO_SUS)"</f>
        <v>Faturamento / Faturamento de Internação SUS (AIH) / Tabelas / Procedimentos / Relacionamento Estoque x AIH (M_CONF_PRO_SUS)</v>
      </c>
    </row>
    <row r="2886" spans="1:7" x14ac:dyDescent="0.3">
      <c r="A2886" s="1" t="s">
        <v>4</v>
      </c>
      <c r="B2886" s="2" t="str">
        <f t="shared" si="243"/>
        <v>SISTEMA FATURAMENTO INTERNAÇÃO SUS</v>
      </c>
      <c r="C2886" s="2" t="str">
        <f t="shared" si="244"/>
        <v>FATUR-SUS</v>
      </c>
      <c r="D2886" s="2" t="str">
        <f t="shared" si="245"/>
        <v>FFIS</v>
      </c>
      <c r="E2886" s="2" t="str">
        <f>"CADASTRO DE SUBGRUPO PROCEDIMENTOS SUS"</f>
        <v>CADASTRO DE SUBGRUPO PROCEDIMENTOS SUS</v>
      </c>
      <c r="F2886" s="2" t="str">
        <f>"M_SGRU_PRO_SUS"</f>
        <v>M_SGRU_PRO_SUS</v>
      </c>
      <c r="G2886" s="2" t="str">
        <f t="shared" ref="G2886:G2892" si="248">" ()"</f>
        <v xml:space="preserve"> ()</v>
      </c>
    </row>
    <row r="2887" spans="1:7" x14ac:dyDescent="0.3">
      <c r="A2887" s="1" t="s">
        <v>4</v>
      </c>
      <c r="B2887" s="2" t="str">
        <f t="shared" si="243"/>
        <v>SISTEMA FATURAMENTO INTERNAÇÃO SUS</v>
      </c>
      <c r="C2887" s="2" t="str">
        <f t="shared" si="244"/>
        <v>FATUR-SUS</v>
      </c>
      <c r="D2887" s="2" t="str">
        <f t="shared" si="245"/>
        <v>FFIS</v>
      </c>
      <c r="E2887" s="2" t="str">
        <f>"RELAÇÃO ATIVIDADE MÉDICA E PRESTADORES"</f>
        <v>RELAÇÃO ATIVIDADE MÉDICA E PRESTADORES</v>
      </c>
      <c r="F2887" s="2" t="str">
        <f>"M_PRES_ATI_MED"</f>
        <v>M_PRES_ATI_MED</v>
      </c>
      <c r="G2887" s="2" t="str">
        <f t="shared" si="248"/>
        <v xml:space="preserve"> ()</v>
      </c>
    </row>
    <row r="2888" spans="1:7" x14ac:dyDescent="0.3">
      <c r="A2888" s="1" t="s">
        <v>4</v>
      </c>
      <c r="B2888" s="2" t="str">
        <f t="shared" si="243"/>
        <v>SISTEMA FATURAMENTO INTERNAÇÃO SUS</v>
      </c>
      <c r="C2888" s="2" t="str">
        <f t="shared" si="244"/>
        <v>FATUR-SUS</v>
      </c>
      <c r="D2888" s="2" t="str">
        <f t="shared" si="245"/>
        <v>FFIS</v>
      </c>
      <c r="E2888" s="2" t="str">
        <f>"RELATÓRIO DE PREVISÃO DE VALORES / TETO"</f>
        <v>RELATÓRIO DE PREVISÃO DE VALORES / TETO</v>
      </c>
      <c r="F2888" s="2" t="str">
        <f>"R_PREVISAO_VALORES"</f>
        <v>R_PREVISAO_VALORES</v>
      </c>
      <c r="G2888" s="2" t="str">
        <f t="shared" si="248"/>
        <v xml:space="preserve"> ()</v>
      </c>
    </row>
    <row r="2889" spans="1:7" x14ac:dyDescent="0.3">
      <c r="A2889" s="1" t="s">
        <v>4</v>
      </c>
      <c r="B2889" s="2" t="str">
        <f t="shared" si="243"/>
        <v>SISTEMA FATURAMENTO INTERNAÇÃO SUS</v>
      </c>
      <c r="C2889" s="2" t="str">
        <f t="shared" si="244"/>
        <v>FATUR-SUS</v>
      </c>
      <c r="D2889" s="2" t="str">
        <f t="shared" si="245"/>
        <v>FFIS</v>
      </c>
      <c r="E2889" s="2" t="str">
        <f>"REAPRESENTAÇÃO E GLOSAS - SUS"</f>
        <v>REAPRESENTAÇÃO E GLOSAS - SUS</v>
      </c>
      <c r="F2889" s="2" t="str">
        <f>"M_GLOSAS_SUS"</f>
        <v>M_GLOSAS_SUS</v>
      </c>
      <c r="G2889" s="2" t="str">
        <f t="shared" si="248"/>
        <v xml:space="preserve"> ()</v>
      </c>
    </row>
    <row r="2890" spans="1:7" x14ac:dyDescent="0.3">
      <c r="A2890" s="1" t="s">
        <v>4</v>
      </c>
      <c r="B2890" s="2" t="str">
        <f t="shared" si="243"/>
        <v>SISTEMA FATURAMENTO INTERNAÇÃO SUS</v>
      </c>
      <c r="C2890" s="2" t="str">
        <f t="shared" si="244"/>
        <v>FATUR-SUS</v>
      </c>
      <c r="D2890" s="2" t="str">
        <f t="shared" si="245"/>
        <v>FFIS</v>
      </c>
      <c r="E2890" s="2" t="str">
        <f>"PROCEDIMENTOS NA FATURA SUS"</f>
        <v>PROCEDIMENTOS NA FATURA SUS</v>
      </c>
      <c r="F2890" s="2" t="str">
        <f>"M_COD_PRO_SUS"</f>
        <v>M_COD_PRO_SUS</v>
      </c>
      <c r="G2890" s="2" t="str">
        <f t="shared" si="248"/>
        <v xml:space="preserve"> ()</v>
      </c>
    </row>
    <row r="2891" spans="1:7" x14ac:dyDescent="0.3">
      <c r="A2891" s="1" t="s">
        <v>4</v>
      </c>
      <c r="B2891" s="2" t="str">
        <f t="shared" si="243"/>
        <v>SISTEMA FATURAMENTO INTERNAÇÃO SUS</v>
      </c>
      <c r="C2891" s="2" t="str">
        <f t="shared" si="244"/>
        <v>FATUR-SUS</v>
      </c>
      <c r="D2891" s="2" t="str">
        <f t="shared" si="245"/>
        <v>FFIS</v>
      </c>
      <c r="E2891" s="2" t="str">
        <f>"RELATÓRIO DE PROCEDIMENTOS ALTA ÓBITO"</f>
        <v>RELATÓRIO DE PROCEDIMENTOS ALTA ÓBITO</v>
      </c>
      <c r="F2891" s="2" t="str">
        <f>"R_PROC_MOT_ALT"</f>
        <v>R_PROC_MOT_ALT</v>
      </c>
      <c r="G2891" s="2" t="str">
        <f t="shared" si="248"/>
        <v xml:space="preserve"> ()</v>
      </c>
    </row>
    <row r="2892" spans="1:7" x14ac:dyDescent="0.3">
      <c r="A2892" s="1" t="s">
        <v>4</v>
      </c>
      <c r="B2892" s="2" t="str">
        <f t="shared" si="243"/>
        <v>SISTEMA FATURAMENTO INTERNAÇÃO SUS</v>
      </c>
      <c r="C2892" s="2" t="str">
        <f t="shared" si="244"/>
        <v>FATUR-SUS</v>
      </c>
      <c r="D2892" s="2" t="str">
        <f t="shared" si="245"/>
        <v>FFIS</v>
      </c>
      <c r="E2892" s="2" t="str">
        <f>"REL. OPER. PACIENTES INTERNADOS"</f>
        <v>REL. OPER. PACIENTES INTERNADOS</v>
      </c>
      <c r="F2892" s="2" t="str">
        <f>"R_PAC_INTERNADOS"</f>
        <v>R_PAC_INTERNADOS</v>
      </c>
      <c r="G2892" s="2" t="str">
        <f t="shared" si="248"/>
        <v xml:space="preserve"> ()</v>
      </c>
    </row>
    <row r="2893" spans="1:7" x14ac:dyDescent="0.3">
      <c r="A2893" s="1" t="s">
        <v>4</v>
      </c>
      <c r="B2893" s="2" t="str">
        <f t="shared" si="243"/>
        <v>SISTEMA FATURAMENTO INTERNAÇÃO SUS</v>
      </c>
      <c r="C2893" s="2" t="str">
        <f t="shared" si="244"/>
        <v>FATUR-SUS</v>
      </c>
      <c r="D2893" s="2" t="str">
        <f t="shared" si="245"/>
        <v>FFIS</v>
      </c>
      <c r="E2893" s="2" t="str">
        <f>"PERSONALIZADOS DO FFIS"</f>
        <v>PERSONALIZADOS DO FFIS</v>
      </c>
      <c r="F2893" s="2" t="str">
        <f>"R_PERSON_FFIS"</f>
        <v>R_PERSON_FFIS</v>
      </c>
      <c r="G2893" s="2" t="str">
        <f>"Faturamento / Faturamento de Internação SUS (AIH) / Relatórios / Personalizados (R_PERSON_FFIS)"</f>
        <v>Faturamento / Faturamento de Internação SUS (AIH) / Relatórios / Personalizados (R_PERSON_FFIS)</v>
      </c>
    </row>
    <row r="2894" spans="1:7" x14ac:dyDescent="0.3">
      <c r="A2894" s="1" t="s">
        <v>4</v>
      </c>
      <c r="B2894" s="2" t="str">
        <f t="shared" ref="B2894:B2957" si="249">"SISTEMA FATURAMENTO INTERNAÇÃO SUS"</f>
        <v>SISTEMA FATURAMENTO INTERNAÇÃO SUS</v>
      </c>
      <c r="C2894" s="2" t="str">
        <f t="shared" ref="C2894:C2957" si="250">"FATUR-SUS"</f>
        <v>FATUR-SUS</v>
      </c>
      <c r="D2894" s="2" t="str">
        <f t="shared" ref="D2894:D2957" si="251">"FFIS"</f>
        <v>FFIS</v>
      </c>
      <c r="E2894" s="2" t="str">
        <f>"IMPORTAÇÃO E EXPORTAÇÃO DE CNS"</f>
        <v>IMPORTAÇÃO E EXPORTAÇÃO DE CNS</v>
      </c>
      <c r="F2894" s="2" t="str">
        <f>"M_IMP_EXP_CNS"</f>
        <v>M_IMP_EXP_CNS</v>
      </c>
      <c r="G2894" s="2" t="str">
        <f>"Faturamento / Faturamento de Internação SUS (AIH) / Tabelas / Gerais / Importação e Exportação de CNS (M_IMP_EXP_CNS)"</f>
        <v>Faturamento / Faturamento de Internação SUS (AIH) / Tabelas / Gerais / Importação e Exportação de CNS (M_IMP_EXP_CNS)</v>
      </c>
    </row>
    <row r="2895" spans="1:7" x14ac:dyDescent="0.3">
      <c r="A2895" s="1" t="s">
        <v>4</v>
      </c>
      <c r="B2895" s="2" t="str">
        <f t="shared" si="249"/>
        <v>SISTEMA FATURAMENTO INTERNAÇÃO SUS</v>
      </c>
      <c r="C2895" s="2" t="str">
        <f t="shared" si="250"/>
        <v>FATUR-SUS</v>
      </c>
      <c r="D2895" s="2" t="str">
        <f t="shared" si="251"/>
        <v>FFIS</v>
      </c>
      <c r="E2895" s="2" t="str">
        <f>"CADASTRO DE PROCEDIMENTO - SOULMV"</f>
        <v>CADASTRO DE PROCEDIMENTO - SOULMV</v>
      </c>
      <c r="F2895" s="2" t="str">
        <f>"M_PROC_SUS_CADASTRO"</f>
        <v>M_PROC_SUS_CADASTRO</v>
      </c>
      <c r="G2895" s="2" t="str">
        <f>"Faturamento / Faturamento de Internação SUS (AIH) / Consultas / Procedimentos (M_PROC_SUS_CADASTRO)"</f>
        <v>Faturamento / Faturamento de Internação SUS (AIH) / Consultas / Procedimentos (M_PROC_SUS_CADASTRO)</v>
      </c>
    </row>
    <row r="2896" spans="1:7" x14ac:dyDescent="0.3">
      <c r="A2896" s="1" t="s">
        <v>4</v>
      </c>
      <c r="B2896" s="2" t="str">
        <f t="shared" si="249"/>
        <v>SISTEMA FATURAMENTO INTERNAÇÃO SUS</v>
      </c>
      <c r="C2896" s="2" t="str">
        <f t="shared" si="250"/>
        <v>FATUR-SUS</v>
      </c>
      <c r="D2896" s="2" t="str">
        <f t="shared" si="251"/>
        <v>FFIS</v>
      </c>
      <c r="E2896" s="2" t="str">
        <f>"CADASTRO DE PROCEDIMENTO - SOULMV"</f>
        <v>CADASTRO DE PROCEDIMENTO - SOULMV</v>
      </c>
      <c r="F2896" s="2" t="str">
        <f>"M_PROC_SUS_CADASTRO"</f>
        <v>M_PROC_SUS_CADASTRO</v>
      </c>
      <c r="G2896" s="2" t="str">
        <f>"Faturamento / Faturamento de Internação SUS (AIH) / Tabelas / Procedimentos / Procedimentos (M_PROC_SUS_CADASTRO)"</f>
        <v>Faturamento / Faturamento de Internação SUS (AIH) / Tabelas / Procedimentos / Procedimentos (M_PROC_SUS_CADASTRO)</v>
      </c>
    </row>
    <row r="2897" spans="1:7" x14ac:dyDescent="0.3">
      <c r="A2897" s="1" t="s">
        <v>4</v>
      </c>
      <c r="B2897" s="2" t="str">
        <f t="shared" si="249"/>
        <v>SISTEMA FATURAMENTO INTERNAÇÃO SUS</v>
      </c>
      <c r="C2897" s="2" t="str">
        <f t="shared" si="250"/>
        <v>FATUR-SUS</v>
      </c>
      <c r="D2897" s="2" t="str">
        <f t="shared" si="251"/>
        <v>FFIS</v>
      </c>
      <c r="E2897" s="2" t="str">
        <f>"RECEITA POR PROCEDIMENTO"</f>
        <v>RECEITA POR PROCEDIMENTO</v>
      </c>
      <c r="F2897" s="2" t="str">
        <f>"R_RECEITA_PROCEDIMENTO"</f>
        <v>R_RECEITA_PROCEDIMENTO</v>
      </c>
      <c r="G2897" s="2" t="str">
        <f>"Faturamento / Faturamento de Internação SUS (AIH) / Relatórios / Gerenciais / Receita por Procedimento (R_RECEITA_PROCEDIMENTO)"</f>
        <v>Faturamento / Faturamento de Internação SUS (AIH) / Relatórios / Gerenciais / Receita por Procedimento (R_RECEITA_PROCEDIMENTO)</v>
      </c>
    </row>
    <row r="2898" spans="1:7" x14ac:dyDescent="0.3">
      <c r="A2898" s="1" t="s">
        <v>4</v>
      </c>
      <c r="B2898" s="2" t="str">
        <f t="shared" si="249"/>
        <v>SISTEMA FATURAMENTO INTERNAÇÃO SUS</v>
      </c>
      <c r="C2898" s="2" t="str">
        <f t="shared" si="250"/>
        <v>FATUR-SUS</v>
      </c>
      <c r="D2898" s="2" t="str">
        <f t="shared" si="251"/>
        <v>FFIS</v>
      </c>
      <c r="E2898" s="2" t="str">
        <f>"PRODUCAO MEDICA AIH"</f>
        <v>PRODUCAO MEDICA AIH</v>
      </c>
      <c r="F2898" s="2" t="str">
        <f>"R_PRODUCAO_MEDICA_FO"</f>
        <v>R_PRODUCAO_MEDICA_FO</v>
      </c>
      <c r="G2898" s="2" t="str">
        <f>"Faturamento / Faturamento de Internação SUS (AIH) / Relatórios / Gerenciais / Produção Médica (R_PRODUCAO_MEDICA_FO)"</f>
        <v>Faturamento / Faturamento de Internação SUS (AIH) / Relatórios / Gerenciais / Produção Médica (R_PRODUCAO_MEDICA_FO)</v>
      </c>
    </row>
    <row r="2899" spans="1:7" x14ac:dyDescent="0.3">
      <c r="A2899" s="1" t="s">
        <v>4</v>
      </c>
      <c r="B2899" s="2" t="str">
        <f t="shared" si="249"/>
        <v>SISTEMA FATURAMENTO INTERNAÇÃO SUS</v>
      </c>
      <c r="C2899" s="2" t="str">
        <f t="shared" si="250"/>
        <v>FATUR-SUS</v>
      </c>
      <c r="D2899" s="2" t="str">
        <f t="shared" si="251"/>
        <v>FFIS</v>
      </c>
      <c r="E2899" s="2" t="str">
        <f>"RELATÓRIO DE RECEITA GLOBAL"</f>
        <v>RELATÓRIO DE RECEITA GLOBAL</v>
      </c>
      <c r="F2899" s="2" t="str">
        <f>"R_PREVISAO_GLOBAL"</f>
        <v>R_PREVISAO_GLOBAL</v>
      </c>
      <c r="G2899" s="2" t="str">
        <f>"Faturamento / Faturamento de Internação SUS (AIH) / Relatórios / Gerenciais / Previsão de Receita Global (R_PREVISAO_GLOBAL)"</f>
        <v>Faturamento / Faturamento de Internação SUS (AIH) / Relatórios / Gerenciais / Previsão de Receita Global (R_PREVISAO_GLOBAL)</v>
      </c>
    </row>
    <row r="2900" spans="1:7" x14ac:dyDescent="0.3">
      <c r="A2900" s="1" t="s">
        <v>4</v>
      </c>
      <c r="B2900" s="2" t="str">
        <f t="shared" si="249"/>
        <v>SISTEMA FATURAMENTO INTERNAÇÃO SUS</v>
      </c>
      <c r="C2900" s="2" t="str">
        <f t="shared" si="250"/>
        <v>FATUR-SUS</v>
      </c>
      <c r="D2900" s="2" t="str">
        <f t="shared" si="251"/>
        <v>FFIS</v>
      </c>
      <c r="E2900" s="2" t="str">
        <f>"PROCESSAMENTO DE ARQUIVOS ACH"</f>
        <v>PROCESSAMENTO DE ARQUIVOS ACH</v>
      </c>
      <c r="F2900" s="2" t="str">
        <f>"M_PROCESSA_ACH"</f>
        <v>M_PROCESSA_ACH</v>
      </c>
      <c r="G2900" s="2" t="str">
        <f>"Faturamento / Faturamento de Internação SUS (AIH) / Lançamentos / ACH / Processar Arquivo ACH (M_PROCESSA_ACH)"</f>
        <v>Faturamento / Faturamento de Internação SUS (AIH) / Lançamentos / ACH / Processar Arquivo ACH (M_PROCESSA_ACH)</v>
      </c>
    </row>
    <row r="2901" spans="1:7" x14ac:dyDescent="0.3">
      <c r="A2901" s="1" t="s">
        <v>4</v>
      </c>
      <c r="B2901" s="2" t="str">
        <f t="shared" si="249"/>
        <v>SISTEMA FATURAMENTO INTERNAÇÃO SUS</v>
      </c>
      <c r="C2901" s="2" t="str">
        <f t="shared" si="250"/>
        <v>FATUR-SUS</v>
      </c>
      <c r="D2901" s="2" t="str">
        <f t="shared" si="251"/>
        <v>FFIS</v>
      </c>
      <c r="E2901" s="2" t="str">
        <f>"RELATÓRIO DE PREVISÃO DE RECEITA GLOBAL"</f>
        <v>RELATÓRIO DE PREVISÃO DE RECEITA GLOBAL</v>
      </c>
      <c r="F2901" s="2" t="str">
        <f>"R_PREV_REC_GLOB_321"</f>
        <v>R_PREV_REC_GLOB_321</v>
      </c>
      <c r="G2901" s="2" t="str">
        <f>"Faturamento / Faturamento de Internação SUS (AIH) / Relatórios / Gerenciais / Previsão de Receita / Previsão de Receita Global (R_PREV_REC_GLOB_321)"</f>
        <v>Faturamento / Faturamento de Internação SUS (AIH) / Relatórios / Gerenciais / Previsão de Receita / Previsão de Receita Global (R_PREV_REC_GLOB_321)</v>
      </c>
    </row>
    <row r="2902" spans="1:7" x14ac:dyDescent="0.3">
      <c r="A2902" s="1" t="s">
        <v>4</v>
      </c>
      <c r="B2902" s="2" t="str">
        <f t="shared" si="249"/>
        <v>SISTEMA FATURAMENTO INTERNAÇÃO SUS</v>
      </c>
      <c r="C2902" s="2" t="str">
        <f t="shared" si="250"/>
        <v>FATUR-SUS</v>
      </c>
      <c r="D2902" s="2" t="str">
        <f t="shared" si="251"/>
        <v>FFIS</v>
      </c>
      <c r="E2902" s="2" t="str">
        <f>"MAPA MENSAL DE AIH´S"</f>
        <v>MAPA MENSAL DE AIH´S</v>
      </c>
      <c r="F2902" s="2" t="str">
        <f>"R_MAPA_MENSAL_P321"</f>
        <v>R_MAPA_MENSAL_P321</v>
      </c>
      <c r="G2902" s="2" t="str">
        <f>" ()"</f>
        <v xml:space="preserve"> ()</v>
      </c>
    </row>
    <row r="2903" spans="1:7" x14ac:dyDescent="0.3">
      <c r="A2903" s="1" t="s">
        <v>4</v>
      </c>
      <c r="B2903" s="2" t="str">
        <f t="shared" si="249"/>
        <v>SISTEMA FATURAMENTO INTERNAÇÃO SUS</v>
      </c>
      <c r="C2903" s="2" t="str">
        <f t="shared" si="250"/>
        <v>FATUR-SUS</v>
      </c>
      <c r="D2903" s="2" t="str">
        <f t="shared" si="251"/>
        <v>FFIS</v>
      </c>
      <c r="E2903" s="2" t="str">
        <f>"RELATÓRIO DE PREVISÃO DE RECEITA GLOBAL"</f>
        <v>RELATÓRIO DE PREVISÃO DE RECEITA GLOBAL</v>
      </c>
      <c r="F2903" s="2" t="str">
        <f>"R_PREVISAO_RECEITA_GLOBAL_321"</f>
        <v>R_PREVISAO_RECEITA_GLOBAL_321</v>
      </c>
      <c r="G2903" s="2" t="str">
        <f>" ()"</f>
        <v xml:space="preserve"> ()</v>
      </c>
    </row>
    <row r="2904" spans="1:7" x14ac:dyDescent="0.3">
      <c r="A2904" s="1" t="s">
        <v>4</v>
      </c>
      <c r="B2904" s="2" t="str">
        <f t="shared" si="249"/>
        <v>SISTEMA FATURAMENTO INTERNAÇÃO SUS</v>
      </c>
      <c r="C2904" s="2" t="str">
        <f t="shared" si="250"/>
        <v>FATUR-SUS</v>
      </c>
      <c r="D2904" s="2" t="str">
        <f t="shared" si="251"/>
        <v>FFIS</v>
      </c>
      <c r="E2904" s="2" t="str">
        <f>"RELATÓRIO DE PREVISÃO DE VALORES / TETO"</f>
        <v>RELATÓRIO DE PREVISÃO DE VALORES / TETO</v>
      </c>
      <c r="F2904" s="2" t="str">
        <f>"R_PREVISAO_VALORES_321"</f>
        <v>R_PREVISAO_VALORES_321</v>
      </c>
      <c r="G2904" s="2" t="str">
        <f>"Faturamento / Faturamento de Internação SUS (AIH) / Relatórios / Gerenciais / Previsão de Valores/Teto (R_PREVISAO_VALORES_321)"</f>
        <v>Faturamento / Faturamento de Internação SUS (AIH) / Relatórios / Gerenciais / Previsão de Valores/Teto (R_PREVISAO_VALORES_321)</v>
      </c>
    </row>
    <row r="2905" spans="1:7" x14ac:dyDescent="0.3">
      <c r="A2905" s="1" t="s">
        <v>4</v>
      </c>
      <c r="B2905" s="2" t="str">
        <f t="shared" si="249"/>
        <v>SISTEMA FATURAMENTO INTERNAÇÃO SUS</v>
      </c>
      <c r="C2905" s="2" t="str">
        <f t="shared" si="250"/>
        <v>FATUR-SUS</v>
      </c>
      <c r="D2905" s="2" t="str">
        <f t="shared" si="251"/>
        <v>FFIS</v>
      </c>
      <c r="E2905" s="2" t="str">
        <f>"R_PROD_PRESTADOR_COMPET_321"</f>
        <v>R_PROD_PRESTADOR_COMPET_321</v>
      </c>
      <c r="F2905" s="2" t="str">
        <f>"R_PROD_PRESTADOR_COMPET_321"</f>
        <v>R_PROD_PRESTADOR_COMPET_321</v>
      </c>
      <c r="G2905" s="2" t="str">
        <f>" ()"</f>
        <v xml:space="preserve"> ()</v>
      </c>
    </row>
    <row r="2906" spans="1:7" x14ac:dyDescent="0.3">
      <c r="A2906" s="1" t="s">
        <v>4</v>
      </c>
      <c r="B2906" s="2" t="str">
        <f t="shared" si="249"/>
        <v>SISTEMA FATURAMENTO INTERNAÇÃO SUS</v>
      </c>
      <c r="C2906" s="2" t="str">
        <f t="shared" si="250"/>
        <v>FATUR-SUS</v>
      </c>
      <c r="D2906" s="2" t="str">
        <f t="shared" si="251"/>
        <v>FFIS</v>
      </c>
      <c r="E2906" s="2" t="str">
        <f>"R_PRODUTIVIDADE_PRESTADOR_P321"</f>
        <v>R_PRODUTIVIDADE_PRESTADOR_P321</v>
      </c>
      <c r="F2906" s="2" t="str">
        <f>"R_PRODUTIVIDADE_PRESTADOR_P321"</f>
        <v>R_PRODUTIVIDADE_PRESTADOR_P321</v>
      </c>
      <c r="G2906" s="2" t="str">
        <f>" ()"</f>
        <v xml:space="preserve"> ()</v>
      </c>
    </row>
    <row r="2907" spans="1:7" x14ac:dyDescent="0.3">
      <c r="A2907" s="1" t="s">
        <v>4</v>
      </c>
      <c r="B2907" s="2" t="str">
        <f t="shared" si="249"/>
        <v>SISTEMA FATURAMENTO INTERNAÇÃO SUS</v>
      </c>
      <c r="C2907" s="2" t="str">
        <f t="shared" si="250"/>
        <v>FATUR-SUS</v>
      </c>
      <c r="D2907" s="2" t="str">
        <f t="shared" si="251"/>
        <v>FFIS</v>
      </c>
      <c r="E2907" s="2" t="str">
        <f>"RELATÓRIO DE EXAMES POR ESPECIALIDADE"</f>
        <v>RELATÓRIO DE EXAMES POR ESPECIALIDADE</v>
      </c>
      <c r="F2907" s="2" t="str">
        <f>"R_EXAMES_PRESTADOR_ESPEC"</f>
        <v>R_EXAMES_PRESTADOR_ESPEC</v>
      </c>
      <c r="G2907" s="2" t="str">
        <f>" ()"</f>
        <v xml:space="preserve"> ()</v>
      </c>
    </row>
    <row r="2908" spans="1:7" x14ac:dyDescent="0.3">
      <c r="A2908" s="1" t="s">
        <v>4</v>
      </c>
      <c r="B2908" s="2" t="str">
        <f t="shared" si="249"/>
        <v>SISTEMA FATURAMENTO INTERNAÇÃO SUS</v>
      </c>
      <c r="C2908" s="2" t="str">
        <f t="shared" si="250"/>
        <v>FATUR-SUS</v>
      </c>
      <c r="D2908" s="2" t="str">
        <f t="shared" si="251"/>
        <v>FFIS</v>
      </c>
      <c r="E2908" s="2" t="str">
        <f>"RELATÓRIO DE EXAMES POR ESPECIALIDADE"</f>
        <v>RELATÓRIO DE EXAMES POR ESPECIALIDADE</v>
      </c>
      <c r="F2908" s="2" t="str">
        <f>"R_EXAMES_ESPECIALIDADE_P321"</f>
        <v>R_EXAMES_ESPECIALIDADE_P321</v>
      </c>
      <c r="G2908" s="2" t="str">
        <f>" ()"</f>
        <v xml:space="preserve"> ()</v>
      </c>
    </row>
    <row r="2909" spans="1:7" x14ac:dyDescent="0.3">
      <c r="A2909" s="1" t="s">
        <v>4</v>
      </c>
      <c r="B2909" s="2" t="str">
        <f t="shared" si="249"/>
        <v>SISTEMA FATURAMENTO INTERNAÇÃO SUS</v>
      </c>
      <c r="C2909" s="2" t="str">
        <f t="shared" si="250"/>
        <v>FATUR-SUS</v>
      </c>
      <c r="D2909" s="2" t="str">
        <f t="shared" si="251"/>
        <v>FFIS</v>
      </c>
      <c r="E2909" s="2" t="str">
        <f>"RELATÓRIO DE PROCEDIMENTOS ALTA ÓBITO"</f>
        <v>RELATÓRIO DE PROCEDIMENTOS ALTA ÓBITO</v>
      </c>
      <c r="F2909" s="2" t="str">
        <f>"R_PROC_MOT_ALT_P321"</f>
        <v>R_PROC_MOT_ALT_P321</v>
      </c>
      <c r="G2909" s="2" t="str">
        <f>"Faturamento / Faturamento de Internação SUS (AIH) / Relatórios / Gerenciais / Motivos de Alta / Procedimentos com Alta-Óbito (R_PROC_MOT_ALT_P321)"</f>
        <v>Faturamento / Faturamento de Internação SUS (AIH) / Relatórios / Gerenciais / Motivos de Alta / Procedimentos com Alta-Óbito (R_PROC_MOT_ALT_P321)</v>
      </c>
    </row>
    <row r="2910" spans="1:7" x14ac:dyDescent="0.3">
      <c r="A2910" s="1" t="s">
        <v>4</v>
      </c>
      <c r="B2910" s="2" t="str">
        <f t="shared" si="249"/>
        <v>SISTEMA FATURAMENTO INTERNAÇÃO SUS</v>
      </c>
      <c r="C2910" s="2" t="str">
        <f t="shared" si="250"/>
        <v>FATUR-SUS</v>
      </c>
      <c r="D2910" s="2" t="str">
        <f t="shared" si="251"/>
        <v>FFIS</v>
      </c>
      <c r="E2910" s="2" t="str">
        <f>"R_DEMONSTRATIVO_ESPEC_AIH_P321"</f>
        <v>R_DEMONSTRATIVO_ESPEC_AIH_P321</v>
      </c>
      <c r="F2910" s="2" t="str">
        <f>"R_DEMONSTRATIVO_ESPEC_AIH_P321"</f>
        <v>R_DEMONSTRATIVO_ESPEC_AIH_P321</v>
      </c>
      <c r="G2910" s="2" t="str">
        <f>"Faturamento / Faturamento de Internação SUS (AIH) / Relatórios / Operacionais / Demonstrativo de Valores por Especialidades (R_DEMONSTRATIVO_ESPEC_AIH_P321)"</f>
        <v>Faturamento / Faturamento de Internação SUS (AIH) / Relatórios / Operacionais / Demonstrativo de Valores por Especialidades (R_DEMONSTRATIVO_ESPEC_AIH_P321)</v>
      </c>
    </row>
    <row r="2911" spans="1:7" x14ac:dyDescent="0.3">
      <c r="A2911" s="1" t="s">
        <v>4</v>
      </c>
      <c r="B2911" s="2" t="str">
        <f t="shared" si="249"/>
        <v>SISTEMA FATURAMENTO INTERNAÇÃO SUS</v>
      </c>
      <c r="C2911" s="2" t="str">
        <f t="shared" si="250"/>
        <v>FATUR-SUS</v>
      </c>
      <c r="D2911" s="2" t="str">
        <f t="shared" si="251"/>
        <v>FFIS</v>
      </c>
      <c r="E2911" s="2" t="str">
        <f>"MV_SUS"</f>
        <v>MV_SUS</v>
      </c>
      <c r="F2911" s="2" t="str">
        <f>"ERROS_SUS"</f>
        <v>ERROS_SUS</v>
      </c>
      <c r="G2911" s="2" t="str">
        <f>" ()"</f>
        <v xml:space="preserve"> ()</v>
      </c>
    </row>
    <row r="2912" spans="1:7" x14ac:dyDescent="0.3">
      <c r="A2912" s="1" t="s">
        <v>4</v>
      </c>
      <c r="B2912" s="2" t="str">
        <f t="shared" si="249"/>
        <v>SISTEMA FATURAMENTO INTERNAÇÃO SUS</v>
      </c>
      <c r="C2912" s="2" t="str">
        <f t="shared" si="250"/>
        <v>FATUR-SUS</v>
      </c>
      <c r="D2912" s="2" t="str">
        <f t="shared" si="251"/>
        <v>FFIS</v>
      </c>
      <c r="E2912" s="2" t="str">
        <f>"CADASTRO PRESTADORES BANCO DE SANGUE SUS"</f>
        <v>CADASTRO PRESTADORES BANCO DE SANGUE SUS</v>
      </c>
      <c r="F2912" s="2" t="str">
        <f>"M_PREST_SANGUE_SUS"</f>
        <v>M_PREST_SANGUE_SUS</v>
      </c>
      <c r="G2912" s="2" t="str">
        <f>"Faturamento / Faturamento de Internação SUS (AIH) / Tabelas / Prestadores / Prestador de Banco de Sangue (M_PREST_SANGUE_SUS)"</f>
        <v>Faturamento / Faturamento de Internação SUS (AIH) / Tabelas / Prestadores / Prestador de Banco de Sangue (M_PREST_SANGUE_SUS)</v>
      </c>
    </row>
    <row r="2913" spans="1:7" x14ac:dyDescent="0.3">
      <c r="A2913" s="1" t="s">
        <v>4</v>
      </c>
      <c r="B2913" s="2" t="str">
        <f t="shared" si="249"/>
        <v>SISTEMA FATURAMENTO INTERNAÇÃO SUS</v>
      </c>
      <c r="C2913" s="2" t="str">
        <f t="shared" si="250"/>
        <v>FATUR-SUS</v>
      </c>
      <c r="D2913" s="2" t="str">
        <f t="shared" si="251"/>
        <v>FFIS</v>
      </c>
      <c r="E2913" s="2" t="str">
        <f>"LAUDO MÉDICO PARA EMISSÃO DE AIH"</f>
        <v>LAUDO MÉDICO PARA EMISSÃO DE AIH</v>
      </c>
      <c r="F2913" s="2" t="str">
        <f>"M_LAUDO_AIH_1"</f>
        <v>M_LAUDO_AIH_1</v>
      </c>
      <c r="G2913" s="2" t="str">
        <f t="shared" ref="G2913:G2918" si="252">" ()"</f>
        <v xml:space="preserve"> ()</v>
      </c>
    </row>
    <row r="2914" spans="1:7" x14ac:dyDescent="0.3">
      <c r="A2914" s="1" t="s">
        <v>4</v>
      </c>
      <c r="B2914" s="2" t="str">
        <f t="shared" si="249"/>
        <v>SISTEMA FATURAMENTO INTERNAÇÃO SUS</v>
      </c>
      <c r="C2914" s="2" t="str">
        <f t="shared" si="250"/>
        <v>FATUR-SUS</v>
      </c>
      <c r="D2914" s="2" t="str">
        <f t="shared" si="251"/>
        <v>FFIS</v>
      </c>
      <c r="E2914" s="2" t="str">
        <f>"WIN_PRINCIPAL"</f>
        <v>WIN_PRINCIPAL</v>
      </c>
      <c r="F2914" s="2" t="str">
        <f>"M_CONTROLE_UTI"</f>
        <v>M_CONTROLE_UTI</v>
      </c>
      <c r="G2914" s="2" t="str">
        <f t="shared" si="252"/>
        <v xml:space="preserve"> ()</v>
      </c>
    </row>
    <row r="2915" spans="1:7" x14ac:dyDescent="0.3">
      <c r="A2915" s="1" t="s">
        <v>4</v>
      </c>
      <c r="B2915" s="2" t="str">
        <f t="shared" si="249"/>
        <v>SISTEMA FATURAMENTO INTERNAÇÃO SUS</v>
      </c>
      <c r="C2915" s="2" t="str">
        <f t="shared" si="250"/>
        <v>FATUR-SUS</v>
      </c>
      <c r="D2915" s="2" t="str">
        <f t="shared" si="251"/>
        <v>FFIS</v>
      </c>
      <c r="E2915" s="2" t="str">
        <f>"CONSUILTA DE PROCEDIMENTOS"</f>
        <v>CONSUILTA DE PROCEDIMENTOS</v>
      </c>
      <c r="F2915" s="2" t="str">
        <f>"C_PROC_SUS"</f>
        <v>C_PROC_SUS</v>
      </c>
      <c r="G2915" s="2" t="str">
        <f t="shared" si="252"/>
        <v xml:space="preserve"> ()</v>
      </c>
    </row>
    <row r="2916" spans="1:7" x14ac:dyDescent="0.3">
      <c r="A2916" s="1" t="s">
        <v>4</v>
      </c>
      <c r="B2916" s="2" t="str">
        <f t="shared" si="249"/>
        <v>SISTEMA FATURAMENTO INTERNAÇÃO SUS</v>
      </c>
      <c r="C2916" s="2" t="str">
        <f t="shared" si="250"/>
        <v>FATUR-SUS</v>
      </c>
      <c r="D2916" s="2" t="str">
        <f t="shared" si="251"/>
        <v>FFIS</v>
      </c>
      <c r="E2916" s="2" t="str">
        <f>"RELAT RECEITA PROCEDIMENTO POR SETOR"</f>
        <v>RELAT RECEITA PROCEDIMENTO POR SETOR</v>
      </c>
      <c r="F2916" s="2" t="str">
        <f>"R_FAT_PROCEDIMENTO_SETOR"</f>
        <v>R_FAT_PROCEDIMENTO_SETOR</v>
      </c>
      <c r="G2916" s="2" t="str">
        <f t="shared" si="252"/>
        <v xml:space="preserve"> ()</v>
      </c>
    </row>
    <row r="2917" spans="1:7" x14ac:dyDescent="0.3">
      <c r="A2917" s="1" t="s">
        <v>4</v>
      </c>
      <c r="B2917" s="2" t="str">
        <f t="shared" si="249"/>
        <v>SISTEMA FATURAMENTO INTERNAÇÃO SUS</v>
      </c>
      <c r="C2917" s="2" t="str">
        <f t="shared" si="250"/>
        <v>FATUR-SUS</v>
      </c>
      <c r="D2917" s="2" t="str">
        <f t="shared" si="251"/>
        <v>FFIS</v>
      </c>
      <c r="E2917" s="2" t="str">
        <f>"REL.RECEITA DE PROCEDIMENTO POR SETOR"</f>
        <v>REL.RECEITA DE PROCEDIMENTO POR SETOR</v>
      </c>
      <c r="F2917" s="2" t="str">
        <f>"R_FAT_PROCEDIMENTO_SETOR.RDF"</f>
        <v>R_FAT_PROCEDIMENTO_SETOR.RDF</v>
      </c>
      <c r="G2917" s="2" t="str">
        <f t="shared" si="252"/>
        <v xml:space="preserve"> ()</v>
      </c>
    </row>
    <row r="2918" spans="1:7" x14ac:dyDescent="0.3">
      <c r="A2918" s="1" t="s">
        <v>4</v>
      </c>
      <c r="B2918" s="2" t="str">
        <f t="shared" si="249"/>
        <v>SISTEMA FATURAMENTO INTERNAÇÃO SUS</v>
      </c>
      <c r="C2918" s="2" t="str">
        <f t="shared" si="250"/>
        <v>FATUR-SUS</v>
      </c>
      <c r="D2918" s="2" t="str">
        <f t="shared" si="251"/>
        <v>FFIS</v>
      </c>
      <c r="E2918" s="2" t="str">
        <f>"RELATORIO DE REC DE PROC POR SETOR"</f>
        <v>RELATORIO DE REC DE PROC POR SETOR</v>
      </c>
      <c r="F2918" s="2" t="str">
        <f>"R_FAT_PROC_SETOR_321"</f>
        <v>R_FAT_PROC_SETOR_321</v>
      </c>
      <c r="G2918" s="2" t="str">
        <f t="shared" si="252"/>
        <v xml:space="preserve"> ()</v>
      </c>
    </row>
    <row r="2919" spans="1:7" x14ac:dyDescent="0.3">
      <c r="A2919" s="1" t="s">
        <v>4</v>
      </c>
      <c r="B2919" s="2" t="str">
        <f t="shared" si="249"/>
        <v>SISTEMA FATURAMENTO INTERNAÇÃO SUS</v>
      </c>
      <c r="C2919" s="2" t="str">
        <f t="shared" si="250"/>
        <v>FATUR-SUS</v>
      </c>
      <c r="D2919" s="2" t="str">
        <f t="shared" si="251"/>
        <v>FFIS</v>
      </c>
      <c r="E2919" s="2" t="str">
        <f>"LISTAGEM DE LANÇAMENTOS DE UTI"</f>
        <v>LISTAGEM DE LANÇAMENTOS DE UTI</v>
      </c>
      <c r="F2919" s="2" t="str">
        <f>"R_LISTAGEM_UTI"</f>
        <v>R_LISTAGEM_UTI</v>
      </c>
      <c r="G2919" s="2" t="str">
        <f>"Faturamento / Faturamento de Internação SUS (AIH) / Relatórios / Operacionais / Listagem de Lançamentos UTI's (R_LISTAGEM_UTI)"</f>
        <v>Faturamento / Faturamento de Internação SUS (AIH) / Relatórios / Operacionais / Listagem de Lançamentos UTI's (R_LISTAGEM_UTI)</v>
      </c>
    </row>
    <row r="2920" spans="1:7" x14ac:dyDescent="0.3">
      <c r="A2920" s="1" t="s">
        <v>4</v>
      </c>
      <c r="B2920" s="2" t="str">
        <f t="shared" si="249"/>
        <v>SISTEMA FATURAMENTO INTERNAÇÃO SUS</v>
      </c>
      <c r="C2920" s="2" t="str">
        <f t="shared" si="250"/>
        <v>FATUR-SUS</v>
      </c>
      <c r="D2920" s="2" t="str">
        <f t="shared" si="251"/>
        <v>FFIS</v>
      </c>
      <c r="E2920" s="2" t="str">
        <f>"RELATÓRIO DE INTERNAÇÕES POR MUNICÍPIO"</f>
        <v>RELATÓRIO DE INTERNAÇÕES POR MUNICÍPIO</v>
      </c>
      <c r="F2920" s="2" t="str">
        <f>"R_FAT_MUNICIPIO_321"</f>
        <v>R_FAT_MUNICIPIO_321</v>
      </c>
      <c r="G2920" s="2" t="str">
        <f>"Faturamento / Faturamento de Internação SUS (AIH) / Relatórios / Gerenciais / Receita por Município (R_FAT_MUNICIPIO_321)"</f>
        <v>Faturamento / Faturamento de Internação SUS (AIH) / Relatórios / Gerenciais / Receita por Município (R_FAT_MUNICIPIO_321)</v>
      </c>
    </row>
    <row r="2921" spans="1:7" x14ac:dyDescent="0.3">
      <c r="A2921" s="1" t="s">
        <v>4</v>
      </c>
      <c r="B2921" s="2" t="str">
        <f t="shared" si="249"/>
        <v>SISTEMA FATURAMENTO INTERNAÇÃO SUS</v>
      </c>
      <c r="C2921" s="2" t="str">
        <f t="shared" si="250"/>
        <v>FATUR-SUS</v>
      </c>
      <c r="D2921" s="2" t="str">
        <f t="shared" si="251"/>
        <v>FFIS</v>
      </c>
      <c r="E2921" s="2" t="str">
        <f>"RELATÓRIO DE NATUREZA HOSPITALAR"</f>
        <v>RELATÓRIO DE NATUREZA HOSPITALAR</v>
      </c>
      <c r="F2921" s="2" t="str">
        <f>"R_EMPRESA_HABILITACOES_SUS"</f>
        <v>R_EMPRESA_HABILITACOES_SUS</v>
      </c>
      <c r="G2921" s="2" t="str">
        <f>"Faturamento / Faturamento de Internação SUS (AIH) / Relatórios / Tabelas / Habilitações da Empresa (R_EMPRESA_HABILITACOES_SUS)"</f>
        <v>Faturamento / Faturamento de Internação SUS (AIH) / Relatórios / Tabelas / Habilitações da Empresa (R_EMPRESA_HABILITACOES_SUS)</v>
      </c>
    </row>
    <row r="2922" spans="1:7" x14ac:dyDescent="0.3">
      <c r="A2922" s="1" t="s">
        <v>4</v>
      </c>
      <c r="B2922" s="2" t="str">
        <f t="shared" si="249"/>
        <v>SISTEMA FATURAMENTO INTERNAÇÃO SUS</v>
      </c>
      <c r="C2922" s="2" t="str">
        <f t="shared" si="250"/>
        <v>FATUR-SUS</v>
      </c>
      <c r="D2922" s="2" t="str">
        <f t="shared" si="251"/>
        <v>FFIS</v>
      </c>
      <c r="E2922" s="2" t="str">
        <f>"RELATÓRIO CRÍTICAS DE CONTAS AIHS"</f>
        <v>RELATÓRIO CRÍTICAS DE CONTAS AIHS</v>
      </c>
      <c r="F2922" s="2" t="str">
        <f>"R_CRITICA_AIH_P321"</f>
        <v>R_CRITICA_AIH_P321</v>
      </c>
      <c r="G2922" s="2" t="str">
        <f>"Faturamento / Faturamento de Internação SUS (AIH) / Relatórios / Operacionais / Crítica Contas (R_CRITICA_AIH_P321)"</f>
        <v>Faturamento / Faturamento de Internação SUS (AIH) / Relatórios / Operacionais / Crítica Contas (R_CRITICA_AIH_P321)</v>
      </c>
    </row>
    <row r="2923" spans="1:7" x14ac:dyDescent="0.3">
      <c r="A2923" s="1" t="s">
        <v>4</v>
      </c>
      <c r="B2923" s="2" t="str">
        <f t="shared" si="249"/>
        <v>SISTEMA FATURAMENTO INTERNAÇÃO SUS</v>
      </c>
      <c r="C2923" s="2" t="str">
        <f t="shared" si="250"/>
        <v>FATUR-SUS</v>
      </c>
      <c r="D2923" s="2" t="str">
        <f t="shared" si="251"/>
        <v>FFIS</v>
      </c>
      <c r="E2923" s="2" t="str">
        <f>"RELATÓRIO DE PROCEDIMENTOS POR SETOR"</f>
        <v>RELATÓRIO DE PROCEDIMENTOS POR SETOR</v>
      </c>
      <c r="F2923" s="2" t="str">
        <f>"R_PROCEDIMENTO_SETOR"</f>
        <v>R_PROCEDIMENTO_SETOR</v>
      </c>
      <c r="G2923" s="2" t="str">
        <f>" ()"</f>
        <v xml:space="preserve"> ()</v>
      </c>
    </row>
    <row r="2924" spans="1:7" x14ac:dyDescent="0.3">
      <c r="A2924" s="1" t="s">
        <v>4</v>
      </c>
      <c r="B2924" s="2" t="str">
        <f t="shared" si="249"/>
        <v>SISTEMA FATURAMENTO INTERNAÇÃO SUS</v>
      </c>
      <c r="C2924" s="2" t="str">
        <f t="shared" si="250"/>
        <v>FATUR-SUS</v>
      </c>
      <c r="D2924" s="2" t="str">
        <f t="shared" si="251"/>
        <v>FFIS</v>
      </c>
      <c r="E2924" s="2" t="str">
        <f>"M_PACOTE_AIH"</f>
        <v>M_PACOTE_AIH</v>
      </c>
      <c r="F2924" s="2" t="str">
        <f>"M_PACOTE_AIH"</f>
        <v>M_PACOTE_AIH</v>
      </c>
      <c r="G2924" s="2" t="str">
        <f>" ()"</f>
        <v xml:space="preserve"> ()</v>
      </c>
    </row>
    <row r="2925" spans="1:7" x14ac:dyDescent="0.3">
      <c r="A2925" s="1" t="s">
        <v>4</v>
      </c>
      <c r="B2925" s="2" t="str">
        <f t="shared" si="249"/>
        <v>SISTEMA FATURAMENTO INTERNAÇÃO SUS</v>
      </c>
      <c r="C2925" s="2" t="str">
        <f t="shared" si="250"/>
        <v>FATUR-SUS</v>
      </c>
      <c r="D2925" s="2" t="str">
        <f t="shared" si="251"/>
        <v>FFIS</v>
      </c>
      <c r="E2925" s="2" t="str">
        <f>"RELATÓRIO DE PROCEDIMENTOS AUTORIZADOS"</f>
        <v>RELATÓRIO DE PROCEDIMENTOS AUTORIZADOS</v>
      </c>
      <c r="F2925" s="2" t="str">
        <f>"R_PROC_AUTORIZADOS"</f>
        <v>R_PROC_AUTORIZADOS</v>
      </c>
      <c r="G2925" s="2" t="str">
        <f>" ()"</f>
        <v xml:space="preserve"> ()</v>
      </c>
    </row>
    <row r="2926" spans="1:7" x14ac:dyDescent="0.3">
      <c r="A2926" s="1" t="s">
        <v>4</v>
      </c>
      <c r="B2926" s="2" t="str">
        <f t="shared" si="249"/>
        <v>SISTEMA FATURAMENTO INTERNAÇÃO SUS</v>
      </c>
      <c r="C2926" s="2" t="str">
        <f t="shared" si="250"/>
        <v>FATUR-SUS</v>
      </c>
      <c r="D2926" s="2" t="str">
        <f t="shared" si="251"/>
        <v>FFIS</v>
      </c>
      <c r="E2926" s="2" t="str">
        <f>"RELATÓRIO DE RECEITA DE HEMOTERAPIA"</f>
        <v>RELATÓRIO DE RECEITA DE HEMOTERAPIA</v>
      </c>
      <c r="F2926" s="2" t="str">
        <f>"R_FAT_SANGUE"</f>
        <v>R_FAT_SANGUE</v>
      </c>
      <c r="G2926" s="2" t="str">
        <f>" ()"</f>
        <v xml:space="preserve"> ()</v>
      </c>
    </row>
    <row r="2927" spans="1:7" x14ac:dyDescent="0.3">
      <c r="A2927" s="1" t="s">
        <v>4</v>
      </c>
      <c r="B2927" s="2" t="str">
        <f t="shared" si="249"/>
        <v>SISTEMA FATURAMENTO INTERNAÇÃO SUS</v>
      </c>
      <c r="C2927" s="2" t="str">
        <f t="shared" si="250"/>
        <v>FATUR-SUS</v>
      </c>
      <c r="D2927" s="2" t="str">
        <f t="shared" si="251"/>
        <v>FFIS</v>
      </c>
      <c r="E2927" s="2" t="str">
        <f>"RELATÓRIO DE PACIENTES POR CID DA ALTA"</f>
        <v>RELATÓRIO DE PACIENTES POR CID DA ALTA</v>
      </c>
      <c r="F2927" s="2" t="str">
        <f>"R_CID_ALTA"</f>
        <v>R_CID_ALTA</v>
      </c>
      <c r="G2927" s="2" t="str">
        <f>"Faturamento / Faturamento de Internação SUS (AIH) / Relatórios / Operacionais / Pacientes por CID Alta (R_CID_ALTA)"</f>
        <v>Faturamento / Faturamento de Internação SUS (AIH) / Relatórios / Operacionais / Pacientes por CID Alta (R_CID_ALTA)</v>
      </c>
    </row>
    <row r="2928" spans="1:7" x14ac:dyDescent="0.3">
      <c r="A2928" s="1" t="s">
        <v>4</v>
      </c>
      <c r="B2928" s="2" t="str">
        <f t="shared" si="249"/>
        <v>SISTEMA FATURAMENTO INTERNAÇÃO SUS</v>
      </c>
      <c r="C2928" s="2" t="str">
        <f t="shared" si="250"/>
        <v>FATUR-SUS</v>
      </c>
      <c r="D2928" s="2" t="str">
        <f t="shared" si="251"/>
        <v>FFIS</v>
      </c>
      <c r="E2928" s="2" t="str">
        <f>"PRODUTIVD. POR PRESTADOR E COMPETENCIA"</f>
        <v>PRODUTIVD. POR PRESTADOR E COMPETENCIA</v>
      </c>
      <c r="F2928" s="2" t="str">
        <f>"R_PROD_PREST_CPT_321"</f>
        <v>R_PROD_PREST_CPT_321</v>
      </c>
      <c r="G2928" s="2" t="str">
        <f>"Faturamento / Faturamento de Internação SUS (AIH) / Relatórios / Gerenciais / Produtividade por Prestador / Produtividade por Competencia (R_PROD_PREST_CPT_321)"</f>
        <v>Faturamento / Faturamento de Internação SUS (AIH) / Relatórios / Gerenciais / Produtividade por Prestador / Produtividade por Competencia (R_PROD_PREST_CPT_321)</v>
      </c>
    </row>
    <row r="2929" spans="1:7" x14ac:dyDescent="0.3">
      <c r="A2929" s="1" t="s">
        <v>4</v>
      </c>
      <c r="B2929" s="2" t="str">
        <f t="shared" si="249"/>
        <v>SISTEMA FATURAMENTO INTERNAÇÃO SUS</v>
      </c>
      <c r="C2929" s="2" t="str">
        <f t="shared" si="250"/>
        <v>FATUR-SUS</v>
      </c>
      <c r="D2929" s="2" t="str">
        <f t="shared" si="251"/>
        <v>FFIS</v>
      </c>
      <c r="E2929" s="2" t="str">
        <f>"PREVISÃO DE RECEITAS POR ESPECIALIDADES"</f>
        <v>PREVISÃO DE RECEITAS POR ESPECIALIDADES</v>
      </c>
      <c r="F2929" s="2" t="str">
        <f>"R_PREV_REC_GLO_ESP_321"</f>
        <v>R_PREV_REC_GLO_ESP_321</v>
      </c>
      <c r="G2929" s="2" t="str">
        <f>"Faturamento / Faturamento de Internação SUS (AIH) / Relatórios / Gerenciais / Previsão de Receita / Previsão de Receitas por Especialidades (R_PREV_REC_GLO_ESP_321)"</f>
        <v>Faturamento / Faturamento de Internação SUS (AIH) / Relatórios / Gerenciais / Previsão de Receita / Previsão de Receitas por Especialidades (R_PREV_REC_GLO_ESP_321)</v>
      </c>
    </row>
    <row r="2930" spans="1:7" x14ac:dyDescent="0.3">
      <c r="A2930" s="1" t="s">
        <v>4</v>
      </c>
      <c r="B2930" s="2" t="str">
        <f t="shared" si="249"/>
        <v>SISTEMA FATURAMENTO INTERNAÇÃO SUS</v>
      </c>
      <c r="C2930" s="2" t="str">
        <f t="shared" si="250"/>
        <v>FATUR-SUS</v>
      </c>
      <c r="D2930" s="2" t="str">
        <f t="shared" si="251"/>
        <v>FFIS</v>
      </c>
      <c r="E2930" s="2" t="str">
        <f>"RELATORIO DE LAUDOS AIH ITABUNA"</f>
        <v>RELATORIO DE LAUDOS AIH ITABUNA</v>
      </c>
      <c r="F2930" s="2" t="str">
        <f>"R_LAUDO_AIH_ITABUNA"</f>
        <v>R_LAUDO_AIH_ITABUNA</v>
      </c>
      <c r="G2930" s="2" t="str">
        <f>" ()"</f>
        <v xml:space="preserve"> ()</v>
      </c>
    </row>
    <row r="2931" spans="1:7" x14ac:dyDescent="0.3">
      <c r="A2931" s="1" t="s">
        <v>4</v>
      </c>
      <c r="B2931" s="2" t="str">
        <f t="shared" si="249"/>
        <v>SISTEMA FATURAMENTO INTERNAÇÃO SUS</v>
      </c>
      <c r="C2931" s="2" t="str">
        <f t="shared" si="250"/>
        <v>FATUR-SUS</v>
      </c>
      <c r="D2931" s="2" t="str">
        <f t="shared" si="251"/>
        <v>FFIS</v>
      </c>
      <c r="E2931" s="2" t="str">
        <f>"RELATORIO DE LAUDOS AIH SE"</f>
        <v>RELATORIO DE LAUDOS AIH SE</v>
      </c>
      <c r="F2931" s="2" t="str">
        <f>"R_LAUDO_AIH_SE"</f>
        <v>R_LAUDO_AIH_SE</v>
      </c>
      <c r="G2931" s="2" t="str">
        <f>" ()"</f>
        <v xml:space="preserve"> ()</v>
      </c>
    </row>
    <row r="2932" spans="1:7" x14ac:dyDescent="0.3">
      <c r="A2932" s="1" t="s">
        <v>4</v>
      </c>
      <c r="B2932" s="2" t="str">
        <f t="shared" si="249"/>
        <v>SISTEMA FATURAMENTO INTERNAÇÃO SUS</v>
      </c>
      <c r="C2932" s="2" t="str">
        <f t="shared" si="250"/>
        <v>FATUR-SUS</v>
      </c>
      <c r="D2932" s="2" t="str">
        <f t="shared" si="251"/>
        <v>FFIS</v>
      </c>
      <c r="E2932" s="2" t="str">
        <f>"RELATORIO DE LAUDOS AIH ISCAL"</f>
        <v>RELATORIO DE LAUDOS AIH ISCAL</v>
      </c>
      <c r="F2932" s="2" t="str">
        <f>"R_LAUDO_AIH_ISCAL"</f>
        <v>R_LAUDO_AIH_ISCAL</v>
      </c>
      <c r="G2932" s="2" t="str">
        <f>" ()"</f>
        <v xml:space="preserve"> ()</v>
      </c>
    </row>
    <row r="2933" spans="1:7" x14ac:dyDescent="0.3">
      <c r="A2933" s="1" t="s">
        <v>4</v>
      </c>
      <c r="B2933" s="2" t="str">
        <f t="shared" si="249"/>
        <v>SISTEMA FATURAMENTO INTERNAÇÃO SUS</v>
      </c>
      <c r="C2933" s="2" t="str">
        <f t="shared" si="250"/>
        <v>FATUR-SUS</v>
      </c>
      <c r="D2933" s="2" t="str">
        <f t="shared" si="251"/>
        <v>FFIS</v>
      </c>
      <c r="E2933" s="2" t="str">
        <f>"RELATORIO DE LAUDOS AIH JAU"</f>
        <v>RELATORIO DE LAUDOS AIH JAU</v>
      </c>
      <c r="F2933" s="2" t="str">
        <f>"R_LAUDO_AIH_JAU"</f>
        <v>R_LAUDO_AIH_JAU</v>
      </c>
      <c r="G2933" s="2" t="str">
        <f>" ()"</f>
        <v xml:space="preserve"> ()</v>
      </c>
    </row>
    <row r="2934" spans="1:7" x14ac:dyDescent="0.3">
      <c r="A2934" s="1" t="s">
        <v>4</v>
      </c>
      <c r="B2934" s="2" t="str">
        <f t="shared" si="249"/>
        <v>SISTEMA FATURAMENTO INTERNAÇÃO SUS</v>
      </c>
      <c r="C2934" s="2" t="str">
        <f t="shared" si="250"/>
        <v>FATUR-SUS</v>
      </c>
      <c r="D2934" s="2" t="str">
        <f t="shared" si="251"/>
        <v>FFIS</v>
      </c>
      <c r="E2934" s="2" t="str">
        <f>"RELATORIO DE LAUDOS SUS"</f>
        <v>RELATORIO DE LAUDOS SUS</v>
      </c>
      <c r="F2934" s="2" t="str">
        <f>"R_LAUDO_AIH_SUS"</f>
        <v>R_LAUDO_AIH_SUS</v>
      </c>
      <c r="G2934" s="2" t="str">
        <f>" ()"</f>
        <v xml:space="preserve"> ()</v>
      </c>
    </row>
    <row r="2935" spans="1:7" x14ac:dyDescent="0.3">
      <c r="A2935" s="1" t="s">
        <v>4</v>
      </c>
      <c r="B2935" s="2" t="str">
        <f t="shared" si="249"/>
        <v>SISTEMA FATURAMENTO INTERNAÇÃO SUS</v>
      </c>
      <c r="C2935" s="2" t="str">
        <f t="shared" si="250"/>
        <v>FATUR-SUS</v>
      </c>
      <c r="D2935" s="2" t="str">
        <f t="shared" si="251"/>
        <v>FFIS</v>
      </c>
      <c r="E2935" s="2" t="str">
        <f>"RELATÓRIO DE PACIENTES INTERNADOS"</f>
        <v>RELATÓRIO DE PACIENTES INTERNADOS</v>
      </c>
      <c r="F2935" s="2" t="str">
        <f>"R_PAC_INTERNADOS_P321"</f>
        <v>R_PAC_INTERNADOS_P321</v>
      </c>
      <c r="G2935" s="2" t="str">
        <f>"Faturamento / Faturamento de Internação SUS (AIH) / Relatórios / Operacionais / Pacientes Internados (R_PAC_INTERNADOS_P321)"</f>
        <v>Faturamento / Faturamento de Internação SUS (AIH) / Relatórios / Operacionais / Pacientes Internados (R_PAC_INTERNADOS_P321)</v>
      </c>
    </row>
    <row r="2936" spans="1:7" x14ac:dyDescent="0.3">
      <c r="A2936" s="1" t="s">
        <v>4</v>
      </c>
      <c r="B2936" s="2" t="str">
        <f t="shared" si="249"/>
        <v>SISTEMA FATURAMENTO INTERNAÇÃO SUS</v>
      </c>
      <c r="C2936" s="2" t="str">
        <f t="shared" si="250"/>
        <v>FATUR-SUS</v>
      </c>
      <c r="D2936" s="2" t="str">
        <f t="shared" si="251"/>
        <v>FFIS</v>
      </c>
      <c r="E2936" s="2" t="str">
        <f>"RELATÓRIO DE TABELA DE PROCEDIMENTOS"</f>
        <v>RELATÓRIO DE TABELA DE PROCEDIMENTOS</v>
      </c>
      <c r="F2936" s="2" t="str">
        <f>"R_SUB_GRU_PROC_P321"</f>
        <v>R_SUB_GRU_PROC_P321</v>
      </c>
      <c r="G2936" s="2" t="str">
        <f>" ()"</f>
        <v xml:space="preserve"> ()</v>
      </c>
    </row>
    <row r="2937" spans="1:7" x14ac:dyDescent="0.3">
      <c r="A2937" s="1" t="s">
        <v>4</v>
      </c>
      <c r="B2937" s="2" t="str">
        <f t="shared" si="249"/>
        <v>SISTEMA FATURAMENTO INTERNAÇÃO SUS</v>
      </c>
      <c r="C2937" s="2" t="str">
        <f t="shared" si="250"/>
        <v>FATUR-SUS</v>
      </c>
      <c r="D2937" s="2" t="str">
        <f t="shared" si="251"/>
        <v>FFIS</v>
      </c>
      <c r="E2937" s="2" t="str">
        <f>"RELATÓRIO DE CONTROLE DE CESARIAS"</f>
        <v>RELATÓRIO DE CONTROLE DE CESARIAS</v>
      </c>
      <c r="F2937" s="2" t="str">
        <f>"R_CONTROLE_CESARIA_P321"</f>
        <v>R_CONTROLE_CESARIA_P321</v>
      </c>
      <c r="G2937" s="2" t="str">
        <f>"Faturamento / Faturamento de Internação SUS (AIH) / Relatórios / Operacionais / Controle de Cesárias (R_CONTROLE_CESARIA_P321)"</f>
        <v>Faturamento / Faturamento de Internação SUS (AIH) / Relatórios / Operacionais / Controle de Cesárias (R_CONTROLE_CESARIA_P321)</v>
      </c>
    </row>
    <row r="2938" spans="1:7" x14ac:dyDescent="0.3">
      <c r="A2938" s="1" t="s">
        <v>4</v>
      </c>
      <c r="B2938" s="2" t="str">
        <f t="shared" si="249"/>
        <v>SISTEMA FATURAMENTO INTERNAÇÃO SUS</v>
      </c>
      <c r="C2938" s="2" t="str">
        <f t="shared" si="250"/>
        <v>FATUR-SUS</v>
      </c>
      <c r="D2938" s="2" t="str">
        <f t="shared" si="251"/>
        <v>FFIS</v>
      </c>
      <c r="E2938" s="2" t="str">
        <f>"RELATÓRIO DE PACIENTES NA UTI"</f>
        <v>RELATÓRIO DE PACIENTES NA UTI</v>
      </c>
      <c r="F2938" s="2" t="str">
        <f>"R_PACIENTES_UTI_P321"</f>
        <v>R_PACIENTES_UTI_P321</v>
      </c>
      <c r="G2938" s="2" t="str">
        <f>"Faturamento / Faturamento de Internação SUS (AIH) / Relatórios / Gerenciais / Pacientes Atendidos na UTI (R_PACIENTES_UTI_P321)"</f>
        <v>Faturamento / Faturamento de Internação SUS (AIH) / Relatórios / Gerenciais / Pacientes Atendidos na UTI (R_PACIENTES_UTI_P321)</v>
      </c>
    </row>
    <row r="2939" spans="1:7" x14ac:dyDescent="0.3">
      <c r="A2939" s="1" t="s">
        <v>4</v>
      </c>
      <c r="B2939" s="2" t="str">
        <f t="shared" si="249"/>
        <v>SISTEMA FATURAMENTO INTERNAÇÃO SUS</v>
      </c>
      <c r="C2939" s="2" t="str">
        <f t="shared" si="250"/>
        <v>FATUR-SUS</v>
      </c>
      <c r="D2939" s="2" t="str">
        <f t="shared" si="251"/>
        <v>FFIS</v>
      </c>
      <c r="E2939" s="2" t="str">
        <f>"CONFERÊNCIA DE SERVIÇOS HOSPITALARES"</f>
        <v>CONFERÊNCIA DE SERVIÇOS HOSPITALARES</v>
      </c>
      <c r="F2939" s="2" t="str">
        <f>"CONFERENCIA"</f>
        <v>CONFERENCIA</v>
      </c>
      <c r="G2939" s="2" t="str">
        <f>"Faturamento / Faturamento de Internação SUS (AIH) / Relatórios / Relatório de Conferencia de Serviços Hospitalares (CONFERENCIA)"</f>
        <v>Faturamento / Faturamento de Internação SUS (AIH) / Relatórios / Relatório de Conferencia de Serviços Hospitalares (CONFERENCIA)</v>
      </c>
    </row>
    <row r="2940" spans="1:7" x14ac:dyDescent="0.3">
      <c r="A2940" s="1" t="s">
        <v>4</v>
      </c>
      <c r="B2940" s="2" t="str">
        <f t="shared" si="249"/>
        <v>SISTEMA FATURAMENTO INTERNAÇÃO SUS</v>
      </c>
      <c r="C2940" s="2" t="str">
        <f t="shared" si="250"/>
        <v>FATUR-SUS</v>
      </c>
      <c r="D2940" s="2" t="str">
        <f t="shared" si="251"/>
        <v>FFIS</v>
      </c>
      <c r="E2940" s="2" t="str">
        <f>"RELATÓRIO DE PRÓTESES POR FORNECEDOR"</f>
        <v>RELATÓRIO DE PRÓTESES POR FORNECEDOR</v>
      </c>
      <c r="F2940" s="2" t="str">
        <f>"R_OPM_FORNECEDOR_P321"</f>
        <v>R_OPM_FORNECEDOR_P321</v>
      </c>
      <c r="G2940" s="2" t="str">
        <f>"Faturamento / Faturamento de Internação SUS (AIH) / Relatórios / Operacionais / Próteses por Fornecedor (R_OPM_FORNECEDOR_P321)"</f>
        <v>Faturamento / Faturamento de Internação SUS (AIH) / Relatórios / Operacionais / Próteses por Fornecedor (R_OPM_FORNECEDOR_P321)</v>
      </c>
    </row>
    <row r="2941" spans="1:7" x14ac:dyDescent="0.3">
      <c r="A2941" s="1" t="s">
        <v>4</v>
      </c>
      <c r="B2941" s="2" t="str">
        <f t="shared" si="249"/>
        <v>SISTEMA FATURAMENTO INTERNAÇÃO SUS</v>
      </c>
      <c r="C2941" s="2" t="str">
        <f t="shared" si="250"/>
        <v>FATUR-SUS</v>
      </c>
      <c r="D2941" s="2" t="str">
        <f t="shared" si="251"/>
        <v>FFIS</v>
      </c>
      <c r="E2941" s="2" t="str">
        <f>"RELATÓRIO DE CONTROLE DE CESARIAS"</f>
        <v>RELATÓRIO DE CONTROLE DE CESARIAS</v>
      </c>
      <c r="F2941" s="2" t="str">
        <f>"R_CONTROLE_CESARIA"</f>
        <v>R_CONTROLE_CESARIA</v>
      </c>
      <c r="G2941" s="2" t="str">
        <f>" ()"</f>
        <v xml:space="preserve"> ()</v>
      </c>
    </row>
    <row r="2942" spans="1:7" x14ac:dyDescent="0.3">
      <c r="A2942" s="1" t="s">
        <v>4</v>
      </c>
      <c r="B2942" s="2" t="str">
        <f t="shared" si="249"/>
        <v>SISTEMA FATURAMENTO INTERNAÇÃO SUS</v>
      </c>
      <c r="C2942" s="2" t="str">
        <f t="shared" si="250"/>
        <v>FATUR-SUS</v>
      </c>
      <c r="D2942" s="2" t="str">
        <f t="shared" si="251"/>
        <v>FFIS</v>
      </c>
      <c r="E2942" s="2" t="str">
        <f>"CONSULTA CONTAS AIH"</f>
        <v>CONSULTA CONTAS AIH</v>
      </c>
      <c r="F2942" s="2" t="str">
        <f>"C_CONSULTA_CONTA"</f>
        <v>C_CONSULTA_CONTA</v>
      </c>
      <c r="G2942" s="2" t="str">
        <f>"Faturamento / Faturamento de Internação SUS (AIH) / Consultas / Conta antiga (C_CONSULTA_CONTA)"</f>
        <v>Faturamento / Faturamento de Internação SUS (AIH) / Consultas / Conta antiga (C_CONSULTA_CONTA)</v>
      </c>
    </row>
    <row r="2943" spans="1:7" x14ac:dyDescent="0.3">
      <c r="A2943" s="1" t="s">
        <v>4</v>
      </c>
      <c r="B2943" s="2" t="str">
        <f t="shared" si="249"/>
        <v>SISTEMA FATURAMENTO INTERNAÇÃO SUS</v>
      </c>
      <c r="C2943" s="2" t="str">
        <f t="shared" si="250"/>
        <v>FATUR-SUS</v>
      </c>
      <c r="D2943" s="2" t="str">
        <f t="shared" si="251"/>
        <v>FFIS</v>
      </c>
      <c r="E2943" s="2" t="str">
        <f>"RELATÓRIO DE DCIH´S"</f>
        <v>RELATÓRIO DE DCIH´S</v>
      </c>
      <c r="F2943" s="2" t="str">
        <f>"R_AIH_AUTORIZADA_GESTOR"</f>
        <v>R_AIH_AUTORIZADA_GESTOR</v>
      </c>
      <c r="G2943" s="2" t="str">
        <f>" ()"</f>
        <v xml:space="preserve"> ()</v>
      </c>
    </row>
    <row r="2944" spans="1:7" x14ac:dyDescent="0.3">
      <c r="A2944" s="1" t="s">
        <v>4</v>
      </c>
      <c r="B2944" s="2" t="str">
        <f t="shared" si="249"/>
        <v>SISTEMA FATURAMENTO INTERNAÇÃO SUS</v>
      </c>
      <c r="C2944" s="2" t="str">
        <f t="shared" si="250"/>
        <v>FATUR-SUS</v>
      </c>
      <c r="D2944" s="2" t="str">
        <f t="shared" si="251"/>
        <v>FFIS</v>
      </c>
      <c r="E2944" s="2" t="str">
        <f>"R_ORDEM_SSM"</f>
        <v>R_ORDEM_SSM</v>
      </c>
      <c r="F2944" s="2" t="str">
        <f>"R_ORDEM_SSM"</f>
        <v>R_ORDEM_SSM</v>
      </c>
      <c r="G2944" s="2" t="str">
        <f>" ()"</f>
        <v xml:space="preserve"> ()</v>
      </c>
    </row>
    <row r="2945" spans="1:7" x14ac:dyDescent="0.3">
      <c r="A2945" s="1" t="s">
        <v>4</v>
      </c>
      <c r="B2945" s="2" t="str">
        <f t="shared" si="249"/>
        <v>SISTEMA FATURAMENTO INTERNAÇÃO SUS</v>
      </c>
      <c r="C2945" s="2" t="str">
        <f t="shared" si="250"/>
        <v>FATUR-SUS</v>
      </c>
      <c r="D2945" s="2" t="str">
        <f t="shared" si="251"/>
        <v>FFIS</v>
      </c>
      <c r="E2945" s="2" t="str">
        <f>"RELATÓRIO DE PREVISÃO DE RECEITA GLOBAL"</f>
        <v>RELATÓRIO DE PREVISÃO DE RECEITA GLOBAL</v>
      </c>
      <c r="F2945" s="2" t="str">
        <f>"R_PREVISAO_RECEITA_GLOBAL"</f>
        <v>R_PREVISAO_RECEITA_GLOBAL</v>
      </c>
      <c r="G2945" s="2" t="str">
        <f>" ()"</f>
        <v xml:space="preserve"> ()</v>
      </c>
    </row>
    <row r="2946" spans="1:7" x14ac:dyDescent="0.3">
      <c r="A2946" s="1" t="s">
        <v>4</v>
      </c>
      <c r="B2946" s="2" t="str">
        <f t="shared" si="249"/>
        <v>SISTEMA FATURAMENTO INTERNAÇÃO SUS</v>
      </c>
      <c r="C2946" s="2" t="str">
        <f t="shared" si="250"/>
        <v>FATUR-SUS</v>
      </c>
      <c r="D2946" s="2" t="str">
        <f t="shared" si="251"/>
        <v>FFIS</v>
      </c>
      <c r="E2946" s="2" t="str">
        <f>"RELATÓRIO DE PACIENTES NA UTI"</f>
        <v>RELATÓRIO DE PACIENTES NA UTI</v>
      </c>
      <c r="F2946" s="2" t="str">
        <f>"R_PACIENTES_UTI"</f>
        <v>R_PACIENTES_UTI</v>
      </c>
      <c r="G2946" s="2" t="str">
        <f>" ()"</f>
        <v xml:space="preserve"> ()</v>
      </c>
    </row>
    <row r="2947" spans="1:7" x14ac:dyDescent="0.3">
      <c r="A2947" s="1" t="s">
        <v>4</v>
      </c>
      <c r="B2947" s="2" t="str">
        <f t="shared" si="249"/>
        <v>SISTEMA FATURAMENTO INTERNAÇÃO SUS</v>
      </c>
      <c r="C2947" s="2" t="str">
        <f t="shared" si="250"/>
        <v>FATUR-SUS</v>
      </c>
      <c r="D2947" s="2" t="str">
        <f t="shared" si="251"/>
        <v>FFIS</v>
      </c>
      <c r="E2947" s="2" t="str">
        <f>"RELATÓRIO DE PACIENTES HOMÔNIMOS"</f>
        <v>RELATÓRIO DE PACIENTES HOMÔNIMOS</v>
      </c>
      <c r="F2947" s="2" t="str">
        <f>"R_PACIENTES_HOMONIMOS"</f>
        <v>R_PACIENTES_HOMONIMOS</v>
      </c>
      <c r="G2947" s="2" t="str">
        <f>"Faturamento / Faturamento de Internação SUS (AIH) / Relatórios / Operacionais / Pacientes Homonimos (R_PACIENTES_HOMONIMOS)"</f>
        <v>Faturamento / Faturamento de Internação SUS (AIH) / Relatórios / Operacionais / Pacientes Homonimos (R_PACIENTES_HOMONIMOS)</v>
      </c>
    </row>
    <row r="2948" spans="1:7" x14ac:dyDescent="0.3">
      <c r="A2948" s="1" t="s">
        <v>4</v>
      </c>
      <c r="B2948" s="2" t="str">
        <f t="shared" si="249"/>
        <v>SISTEMA FATURAMENTO INTERNAÇÃO SUS</v>
      </c>
      <c r="C2948" s="2" t="str">
        <f t="shared" si="250"/>
        <v>FATUR-SUS</v>
      </c>
      <c r="D2948" s="2" t="str">
        <f t="shared" si="251"/>
        <v>FFIS</v>
      </c>
      <c r="E2948" s="2" t="str">
        <f>"RELATÓRIO PREVISÃO DE RECEITA POR SETOR"</f>
        <v>RELATÓRIO PREVISÃO DE RECEITA POR SETOR</v>
      </c>
      <c r="F2948" s="2" t="str">
        <f>"R_PREV_REC_GLOB_SETOR"</f>
        <v>R_PREV_REC_GLOB_SETOR</v>
      </c>
      <c r="G2948" s="2" t="str">
        <f>" ()"</f>
        <v xml:space="preserve"> ()</v>
      </c>
    </row>
    <row r="2949" spans="1:7" x14ac:dyDescent="0.3">
      <c r="A2949" s="1" t="s">
        <v>4</v>
      </c>
      <c r="B2949" s="2" t="str">
        <f t="shared" si="249"/>
        <v>SISTEMA FATURAMENTO INTERNAÇÃO SUS</v>
      </c>
      <c r="C2949" s="2" t="str">
        <f t="shared" si="250"/>
        <v>FATUR-SUS</v>
      </c>
      <c r="D2949" s="2" t="str">
        <f t="shared" si="251"/>
        <v>FFIS</v>
      </c>
      <c r="E2949" s="2" t="str">
        <f>"PACK_LANCA_FFIS"</f>
        <v>PACK_LANCA_FFIS</v>
      </c>
      <c r="F2949" s="2" t="str">
        <f>"PACK_LANCA_FFIS"</f>
        <v>PACK_LANCA_FFIS</v>
      </c>
      <c r="G2949" s="2" t="str">
        <f>" ()"</f>
        <v xml:space="preserve"> ()</v>
      </c>
    </row>
    <row r="2950" spans="1:7" x14ac:dyDescent="0.3">
      <c r="A2950" s="1" t="s">
        <v>4</v>
      </c>
      <c r="B2950" s="2" t="str">
        <f t="shared" si="249"/>
        <v>SISTEMA FATURAMENTO INTERNAÇÃO SUS</v>
      </c>
      <c r="C2950" s="2" t="str">
        <f t="shared" si="250"/>
        <v>FATUR-SUS</v>
      </c>
      <c r="D2950" s="2" t="str">
        <f t="shared" si="251"/>
        <v>FFIS</v>
      </c>
      <c r="E2950" s="2" t="str">
        <f>"Laudo Médico para emissão de AIH"</f>
        <v>Laudo Médico para emissão de AIH</v>
      </c>
      <c r="F2950" s="2" t="str">
        <f>"M_LAUDO_AIH"</f>
        <v>M_LAUDO_AIH</v>
      </c>
      <c r="G2950" s="2" t="str">
        <f>"MVSaude / Atendimento / Autorizações de Guias / Internação / Atendimento / Laudo AIH (M_LAUDO_AIH)"</f>
        <v>MVSaude / Atendimento / Autorizações de Guias / Internação / Atendimento / Laudo AIH (M_LAUDO_AIH)</v>
      </c>
    </row>
    <row r="2951" spans="1:7" x14ac:dyDescent="0.3">
      <c r="A2951" s="1" t="s">
        <v>4</v>
      </c>
      <c r="B2951" s="2" t="str">
        <f t="shared" si="249"/>
        <v>SISTEMA FATURAMENTO INTERNAÇÃO SUS</v>
      </c>
      <c r="C2951" s="2" t="str">
        <f t="shared" si="250"/>
        <v>FATUR-SUS</v>
      </c>
      <c r="D2951" s="2" t="str">
        <f t="shared" si="251"/>
        <v>FFIS</v>
      </c>
      <c r="E2951" s="2" t="str">
        <f>"Laudo Médico para emissão de AIH"</f>
        <v>Laudo Médico para emissão de AIH</v>
      </c>
      <c r="F2951" s="2" t="str">
        <f>"M_LAUDO_AIH"</f>
        <v>M_LAUDO_AIH</v>
      </c>
      <c r="G2951" s="2" t="str">
        <f>"Atendimento / Internação / Atendimento / Laudo AIH (M_LAUDO_AIH)"</f>
        <v>Atendimento / Internação / Atendimento / Laudo AIH (M_LAUDO_AIH)</v>
      </c>
    </row>
    <row r="2952" spans="1:7" x14ac:dyDescent="0.3">
      <c r="A2952" s="1" t="s">
        <v>4</v>
      </c>
      <c r="B2952" s="2" t="str">
        <f t="shared" si="249"/>
        <v>SISTEMA FATURAMENTO INTERNAÇÃO SUS</v>
      </c>
      <c r="C2952" s="2" t="str">
        <f t="shared" si="250"/>
        <v>FATUR-SUS</v>
      </c>
      <c r="D2952" s="2" t="str">
        <f t="shared" si="251"/>
        <v>FFIS</v>
      </c>
      <c r="E2952" s="2" t="str">
        <f>"Laudo Médico para emissão de AIH"</f>
        <v>Laudo Médico para emissão de AIH</v>
      </c>
      <c r="F2952" s="2" t="str">
        <f>"M_LAUDO_AIH"</f>
        <v>M_LAUDO_AIH</v>
      </c>
      <c r="G2952" s="2" t="str">
        <f>"MVSaude / Vendas / Internação / Atendimento / Laudo AIH (M_LAUDO_AIH)"</f>
        <v>MVSaude / Vendas / Internação / Atendimento / Laudo AIH (M_LAUDO_AIH)</v>
      </c>
    </row>
    <row r="2953" spans="1:7" x14ac:dyDescent="0.3">
      <c r="A2953" s="1" t="s">
        <v>4</v>
      </c>
      <c r="B2953" s="2" t="str">
        <f t="shared" si="249"/>
        <v>SISTEMA FATURAMENTO INTERNAÇÃO SUS</v>
      </c>
      <c r="C2953" s="2" t="str">
        <f t="shared" si="250"/>
        <v>FATUR-SUS</v>
      </c>
      <c r="D2953" s="2" t="str">
        <f t="shared" si="251"/>
        <v>FFIS</v>
      </c>
      <c r="E2953" s="2" t="str">
        <f>"RELATÓRIO DE CONTAS GLOSADAS SUS"</f>
        <v>RELATÓRIO DE CONTAS GLOSADAS SUS</v>
      </c>
      <c r="F2953" s="2" t="str">
        <f>"R_GLOSAS_SUS"</f>
        <v>R_GLOSAS_SUS</v>
      </c>
      <c r="G2953" s="2" t="str">
        <f>"Faturamento / Faturamento de Internação SUS (AIH) / Relatórios / Operacionais / Glosas SUS (R_GLOSAS_SUS)"</f>
        <v>Faturamento / Faturamento de Internação SUS (AIH) / Relatórios / Operacionais / Glosas SUS (R_GLOSAS_SUS)</v>
      </c>
    </row>
    <row r="2954" spans="1:7" x14ac:dyDescent="0.3">
      <c r="A2954" s="1" t="s">
        <v>4</v>
      </c>
      <c r="B2954" s="2" t="str">
        <f t="shared" si="249"/>
        <v>SISTEMA FATURAMENTO INTERNAÇÃO SUS</v>
      </c>
      <c r="C2954" s="2" t="str">
        <f t="shared" si="250"/>
        <v>FATUR-SUS</v>
      </c>
      <c r="D2954" s="2" t="str">
        <f t="shared" si="251"/>
        <v>FFIS</v>
      </c>
      <c r="E2954" s="2" t="str">
        <f>"RELATÓRIO DE EXAMES POR ESPECIALIDADE"</f>
        <v>RELATÓRIO DE EXAMES POR ESPECIALIDADE</v>
      </c>
      <c r="F2954" s="2" t="str">
        <f>"R_EXAMES_ESPECIALIDADE"</f>
        <v>R_EXAMES_ESPECIALIDADE</v>
      </c>
      <c r="G2954" s="2" t="str">
        <f>" ()"</f>
        <v xml:space="preserve"> ()</v>
      </c>
    </row>
    <row r="2955" spans="1:7" x14ac:dyDescent="0.3">
      <c r="A2955" s="1" t="s">
        <v>4</v>
      </c>
      <c r="B2955" s="2" t="str">
        <f t="shared" si="249"/>
        <v>SISTEMA FATURAMENTO INTERNAÇÃO SUS</v>
      </c>
      <c r="C2955" s="2" t="str">
        <f t="shared" si="250"/>
        <v>FATUR-SUS</v>
      </c>
      <c r="D2955" s="2" t="str">
        <f t="shared" si="251"/>
        <v>FFIS</v>
      </c>
      <c r="E2955" s="2" t="str">
        <f>"TRG_LANCA_FFIS_MGES"</f>
        <v>TRG_LANCA_FFIS_MGES</v>
      </c>
      <c r="F2955" s="2" t="str">
        <f>"TRG_LANCA_FFIS_MGES"</f>
        <v>TRG_LANCA_FFIS_MGES</v>
      </c>
      <c r="G2955" s="2" t="str">
        <f>" ()"</f>
        <v xml:space="preserve"> ()</v>
      </c>
    </row>
    <row r="2956" spans="1:7" x14ac:dyDescent="0.3">
      <c r="A2956" s="1" t="s">
        <v>4</v>
      </c>
      <c r="B2956" s="2" t="str">
        <f t="shared" si="249"/>
        <v>SISTEMA FATURAMENTO INTERNAÇÃO SUS</v>
      </c>
      <c r="C2956" s="2" t="str">
        <f t="shared" si="250"/>
        <v>FATUR-SUS</v>
      </c>
      <c r="D2956" s="2" t="str">
        <f t="shared" si="251"/>
        <v>FFIS</v>
      </c>
      <c r="E2956" s="2" t="str">
        <f>"DEMONSTRATIVO DE AIH POR ESPECIALIDADE"</f>
        <v>DEMONSTRATIVO DE AIH POR ESPECIALIDADE</v>
      </c>
      <c r="F2956" s="2" t="str">
        <f>"R_DEMONSTRATIVO_ESPEC_AIH"</f>
        <v>R_DEMONSTRATIVO_ESPEC_AIH</v>
      </c>
      <c r="G2956" s="2" t="str">
        <f>" ()"</f>
        <v xml:space="preserve"> ()</v>
      </c>
    </row>
    <row r="2957" spans="1:7" x14ac:dyDescent="0.3">
      <c r="A2957" s="1" t="s">
        <v>4</v>
      </c>
      <c r="B2957" s="2" t="str">
        <f t="shared" si="249"/>
        <v>SISTEMA FATURAMENTO INTERNAÇÃO SUS</v>
      </c>
      <c r="C2957" s="2" t="str">
        <f t="shared" si="250"/>
        <v>FATUR-SUS</v>
      </c>
      <c r="D2957" s="2" t="str">
        <f t="shared" si="251"/>
        <v>FFIS</v>
      </c>
      <c r="E2957" s="2" t="str">
        <f>"RELATÓRIO DE COMPATIBILIDADE DE PRÓTESE"</f>
        <v>RELATÓRIO DE COMPATIBILIDADE DE PRÓTESE</v>
      </c>
      <c r="F2957" s="2" t="str">
        <f>"R_COMPATIBILIDADE_PROTESE"</f>
        <v>R_COMPATIBILIDADE_PROTESE</v>
      </c>
      <c r="G2957" s="2" t="str">
        <f>"Faturamento / Faturamento de Internação SUS (AIH) / Relatórios / Tabelas / Compatibilidade Prótese (R_COMPATIBILIDADE_PROTESE)"</f>
        <v>Faturamento / Faturamento de Internação SUS (AIH) / Relatórios / Tabelas / Compatibilidade Prótese (R_COMPATIBILIDADE_PROTESE)</v>
      </c>
    </row>
    <row r="2958" spans="1:7" x14ac:dyDescent="0.3">
      <c r="A2958" s="1" t="s">
        <v>4</v>
      </c>
      <c r="B2958" s="2" t="str">
        <f t="shared" ref="B2958:B3021" si="253">"SISTEMA FATURAMENTO INTERNAÇÃO SUS"</f>
        <v>SISTEMA FATURAMENTO INTERNAÇÃO SUS</v>
      </c>
      <c r="C2958" s="2" t="str">
        <f t="shared" ref="C2958:C3021" si="254">"FATUR-SUS"</f>
        <v>FATUR-SUS</v>
      </c>
      <c r="D2958" s="2" t="str">
        <f t="shared" ref="D2958:D3021" si="255">"FFIS"</f>
        <v>FFIS</v>
      </c>
      <c r="E2958" s="2" t="str">
        <f>"RELATÓRIO DE CURVA ABC"</f>
        <v>RELATÓRIO DE CURVA ABC</v>
      </c>
      <c r="F2958" s="2" t="str">
        <f>"R_CURVA_ABC"</f>
        <v>R_CURVA_ABC</v>
      </c>
      <c r="G2958" s="2" t="str">
        <f>"Faturamento / Faturamento de Internação SUS (AIH) / Relatórios / Operacionais / Curva ABC (R_CURVA_ABC)"</f>
        <v>Faturamento / Faturamento de Internação SUS (AIH) / Relatórios / Operacionais / Curva ABC (R_CURVA_ABC)</v>
      </c>
    </row>
    <row r="2959" spans="1:7" x14ac:dyDescent="0.3">
      <c r="A2959" s="1" t="s">
        <v>4</v>
      </c>
      <c r="B2959" s="2" t="str">
        <f t="shared" si="253"/>
        <v>SISTEMA FATURAMENTO INTERNAÇÃO SUS</v>
      </c>
      <c r="C2959" s="2" t="str">
        <f t="shared" si="254"/>
        <v>FATUR-SUS</v>
      </c>
      <c r="D2959" s="2" t="str">
        <f t="shared" si="255"/>
        <v>FFIS</v>
      </c>
      <c r="E2959" s="2" t="str">
        <f>"CONSULTA DE PROCEDIMENTOS SUS"</f>
        <v>CONSULTA DE PROCEDIMENTOS SUS</v>
      </c>
      <c r="F2959" s="2" t="str">
        <f>"C_PRO_FAT_SUS"</f>
        <v>C_PRO_FAT_SUS</v>
      </c>
      <c r="G2959" s="2" t="str">
        <f>" ()"</f>
        <v xml:space="preserve"> ()</v>
      </c>
    </row>
    <row r="2960" spans="1:7" x14ac:dyDescent="0.3">
      <c r="A2960" s="1" t="s">
        <v>4</v>
      </c>
      <c r="B2960" s="2" t="str">
        <f t="shared" si="253"/>
        <v>SISTEMA FATURAMENTO INTERNAÇÃO SUS</v>
      </c>
      <c r="C2960" s="2" t="str">
        <f t="shared" si="254"/>
        <v>FATUR-SUS</v>
      </c>
      <c r="D2960" s="2" t="str">
        <f t="shared" si="255"/>
        <v>FFIS</v>
      </c>
      <c r="E2960" s="2" t="str">
        <f>"ERROS DA REMESSA"</f>
        <v>ERROS DA REMESSA</v>
      </c>
      <c r="F2960" s="2" t="str">
        <f>"M_CONSISTE_REMESSA"</f>
        <v>M_CONSISTE_REMESSA</v>
      </c>
      <c r="G2960" s="2" t="str">
        <f>"Faturamento / Faturamento de Internação SUS (AIH) / Consultas / Erros da Remessa (M_CONSISTE_REMESSA)"</f>
        <v>Faturamento / Faturamento de Internação SUS (AIH) / Consultas / Erros da Remessa (M_CONSISTE_REMESSA)</v>
      </c>
    </row>
    <row r="2961" spans="1:7" x14ac:dyDescent="0.3">
      <c r="A2961" s="1" t="s">
        <v>4</v>
      </c>
      <c r="B2961" s="2" t="str">
        <f t="shared" si="253"/>
        <v>SISTEMA FATURAMENTO INTERNAÇÃO SUS</v>
      </c>
      <c r="C2961" s="2" t="str">
        <f t="shared" si="254"/>
        <v>FATUR-SUS</v>
      </c>
      <c r="D2961" s="2" t="str">
        <f t="shared" si="255"/>
        <v>FFIS</v>
      </c>
      <c r="E2961" s="2" t="str">
        <f>"INTEGRAÇÕES MODÚLOS MV2000 X PROCEDIMENT"</f>
        <v>INTEGRAÇÕES MODÚLOS MV2000 X PROCEDIMENT</v>
      </c>
      <c r="F2961" s="2" t="str">
        <f>"M_RELA_IMP"</f>
        <v>M_RELA_IMP</v>
      </c>
      <c r="G2961" s="2" t="str">
        <f>" ()"</f>
        <v xml:space="preserve"> ()</v>
      </c>
    </row>
    <row r="2962" spans="1:7" x14ac:dyDescent="0.3">
      <c r="A2962" s="1" t="s">
        <v>4</v>
      </c>
      <c r="B2962" s="2" t="str">
        <f t="shared" si="253"/>
        <v>SISTEMA FATURAMENTO INTERNAÇÃO SUS</v>
      </c>
      <c r="C2962" s="2" t="str">
        <f t="shared" si="254"/>
        <v>FATUR-SUS</v>
      </c>
      <c r="D2962" s="2" t="str">
        <f t="shared" si="255"/>
        <v>FFIS</v>
      </c>
      <c r="E2962" s="2" t="str">
        <f>"PORTARIA 321 TIPO FINANCIAMENTO"</f>
        <v>PORTARIA 321 TIPO FINANCIAMENTO</v>
      </c>
      <c r="F2962" s="2" t="str">
        <f>"M_TP_FINANC"</f>
        <v>M_TP_FINANC</v>
      </c>
      <c r="G2962" s="2" t="str">
        <f>"Faturamento / Faturamento de Internação SUS (AIH) / Tabelas / Gerais / Tipo de Financiamento (M_TP_FINANC)"</f>
        <v>Faturamento / Faturamento de Internação SUS (AIH) / Tabelas / Gerais / Tipo de Financiamento (M_TP_FINANC)</v>
      </c>
    </row>
    <row r="2963" spans="1:7" x14ac:dyDescent="0.3">
      <c r="A2963" s="1" t="s">
        <v>4</v>
      </c>
      <c r="B2963" s="2" t="str">
        <f t="shared" si="253"/>
        <v>SISTEMA FATURAMENTO INTERNAÇÃO SUS</v>
      </c>
      <c r="C2963" s="2" t="str">
        <f t="shared" si="254"/>
        <v>FATUR-SUS</v>
      </c>
      <c r="D2963" s="2" t="str">
        <f t="shared" si="255"/>
        <v>FFIS</v>
      </c>
      <c r="E2963" s="2" t="str">
        <f>"PORTARIA 321 SERVIÇO X CLASSIFICAÇÃO SUS"</f>
        <v>PORTARIA 321 SERVIÇO X CLASSIFICAÇÃO SUS</v>
      </c>
      <c r="F2963" s="2" t="str">
        <f>"M_SERV_CLA_SUS"</f>
        <v>M_SERV_CLA_SUS</v>
      </c>
      <c r="G2963" s="2" t="str">
        <f>" ()"</f>
        <v xml:space="preserve"> ()</v>
      </c>
    </row>
    <row r="2964" spans="1:7" x14ac:dyDescent="0.3">
      <c r="A2964" s="1" t="s">
        <v>4</v>
      </c>
      <c r="B2964" s="2" t="str">
        <f t="shared" si="253"/>
        <v>SISTEMA FATURAMENTO INTERNAÇÃO SUS</v>
      </c>
      <c r="C2964" s="2" t="str">
        <f t="shared" si="254"/>
        <v>FATUR-SUS</v>
      </c>
      <c r="D2964" s="2" t="str">
        <f t="shared" si="255"/>
        <v>FFIS</v>
      </c>
      <c r="E2964" s="2" t="str">
        <f>"PORTARIA 231 SERVIÇO SUS"</f>
        <v>PORTARIA 231 SERVIÇO SUS</v>
      </c>
      <c r="F2964" s="2" t="str">
        <f>"M_SERVICO_SUS"</f>
        <v>M_SERVICO_SUS</v>
      </c>
      <c r="G2964" s="2" t="str">
        <f>"Faturamento / Faturamento de Internação SUS (AIH) / Tabelas / Gerais / Serviços SUS (M_SERVICO_SUS)"</f>
        <v>Faturamento / Faturamento de Internação SUS (AIH) / Tabelas / Gerais / Serviços SUS (M_SERVICO_SUS)</v>
      </c>
    </row>
    <row r="2965" spans="1:7" x14ac:dyDescent="0.3">
      <c r="A2965" s="1" t="s">
        <v>4</v>
      </c>
      <c r="B2965" s="2" t="str">
        <f t="shared" si="253"/>
        <v>SISTEMA FATURAMENTO INTERNAÇÃO SUS</v>
      </c>
      <c r="C2965" s="2" t="str">
        <f t="shared" si="254"/>
        <v>FATUR-SUS</v>
      </c>
      <c r="D2965" s="2" t="str">
        <f t="shared" si="255"/>
        <v>FFIS</v>
      </c>
      <c r="E2965" s="2" t="str">
        <f>"PORTARIA 321 MODALIDADE ATENDIMENTO"</f>
        <v>PORTARIA 321 MODALIDADE ATENDIMENTO</v>
      </c>
      <c r="F2965" s="2" t="str">
        <f>"M_MODAL_ATEND"</f>
        <v>M_MODAL_ATEND</v>
      </c>
      <c r="G2965" s="2" t="str">
        <f>"Faturamento / Faturamento de Internação SUS (AIH) / Tabelas / Gerais / Modalidade de Atendimento (M_MODAL_ATEND)"</f>
        <v>Faturamento / Faturamento de Internação SUS (AIH) / Tabelas / Gerais / Modalidade de Atendimento (M_MODAL_ATEND)</v>
      </c>
    </row>
    <row r="2966" spans="1:7" x14ac:dyDescent="0.3">
      <c r="A2966" s="1" t="s">
        <v>4</v>
      </c>
      <c r="B2966" s="2" t="str">
        <f t="shared" si="253"/>
        <v>SISTEMA FATURAMENTO INTERNAÇÃO SUS</v>
      </c>
      <c r="C2966" s="2" t="str">
        <f t="shared" si="254"/>
        <v>FATUR-SUS</v>
      </c>
      <c r="D2966" s="2" t="str">
        <f t="shared" si="255"/>
        <v>FFIS</v>
      </c>
      <c r="E2966" s="2" t="str">
        <f>"COMPLEXIDADE DO PROCEDIMENTOS"</f>
        <v>COMPLEXIDADE DO PROCEDIMENTOS</v>
      </c>
      <c r="F2966" s="2" t="str">
        <f>"M_COMPLX_PROC"</f>
        <v>M_COMPLX_PROC</v>
      </c>
      <c r="G2966" s="2" t="str">
        <f>"Faturamento / Faturamento de Internação SUS (AIH) / Tabelas / Procedimentos / Grupo Procedimento SUS (M_COMPLX_PROC)"</f>
        <v>Faturamento / Faturamento de Internação SUS (AIH) / Tabelas / Procedimentos / Grupo Procedimento SUS (M_COMPLX_PROC)</v>
      </c>
    </row>
    <row r="2967" spans="1:7" x14ac:dyDescent="0.3">
      <c r="A2967" s="1" t="s">
        <v>4</v>
      </c>
      <c r="B2967" s="2" t="str">
        <f t="shared" si="253"/>
        <v>SISTEMA FATURAMENTO INTERNAÇÃO SUS</v>
      </c>
      <c r="C2967" s="2" t="str">
        <f t="shared" si="254"/>
        <v>FATUR-SUS</v>
      </c>
      <c r="D2967" s="2" t="str">
        <f t="shared" si="255"/>
        <v>FFIS</v>
      </c>
      <c r="E2967" s="2" t="str">
        <f>"COMPLEXIDADE DO PROCEDIMENTOS"</f>
        <v>COMPLEXIDADE DO PROCEDIMENTOS</v>
      </c>
      <c r="F2967" s="2" t="str">
        <f>"M_COMPLX_PROC"</f>
        <v>M_COMPLX_PROC</v>
      </c>
      <c r="G2967" s="2" t="str">
        <f>"Faturamento / Faturamento de Internação SUS (AIH) / Tabelas / Gerais / Complexidade (M_COMPLX_PROC)"</f>
        <v>Faturamento / Faturamento de Internação SUS (AIH) / Tabelas / Gerais / Complexidade (M_COMPLX_PROC)</v>
      </c>
    </row>
    <row r="2968" spans="1:7" x14ac:dyDescent="0.3">
      <c r="A2968" s="1" t="s">
        <v>4</v>
      </c>
      <c r="B2968" s="2" t="str">
        <f t="shared" si="253"/>
        <v>SISTEMA FATURAMENTO INTERNAÇÃO SUS</v>
      </c>
      <c r="C2968" s="2" t="str">
        <f t="shared" si="254"/>
        <v>FATUR-SUS</v>
      </c>
      <c r="D2968" s="2" t="str">
        <f t="shared" si="255"/>
        <v>FFIS</v>
      </c>
      <c r="E2968" s="2" t="str">
        <f>"COMPLEXIDADE DO PROCEDIMENTOS"</f>
        <v>COMPLEXIDADE DO PROCEDIMENTOS</v>
      </c>
      <c r="F2968" s="2" t="str">
        <f>"M_COMPLX_PROC"</f>
        <v>M_COMPLX_PROC</v>
      </c>
      <c r="G2968" s="2" t="str">
        <f>"Faturamento / Faturamento de Internação SUS (AIH) / Tabelas / Gerais / Complexidade Procedimentos (M_COMPLX_PROC)"</f>
        <v>Faturamento / Faturamento de Internação SUS (AIH) / Tabelas / Gerais / Complexidade Procedimentos (M_COMPLX_PROC)</v>
      </c>
    </row>
    <row r="2969" spans="1:7" x14ac:dyDescent="0.3">
      <c r="A2969" s="1" t="s">
        <v>4</v>
      </c>
      <c r="B2969" s="2" t="str">
        <f t="shared" si="253"/>
        <v>SISTEMA FATURAMENTO INTERNAÇÃO SUS</v>
      </c>
      <c r="C2969" s="2" t="str">
        <f t="shared" si="254"/>
        <v>FATUR-SUS</v>
      </c>
      <c r="D2969" s="2" t="str">
        <f t="shared" si="255"/>
        <v>FFIS</v>
      </c>
      <c r="E2969" s="2" t="str">
        <f>"PORTARIA 321 IMPORTAÇÃO PROCEDIMENTOS"</f>
        <v>PORTARIA 321 IMPORTAÇÃO PROCEDIMENTOS</v>
      </c>
      <c r="F2969" s="2" t="str">
        <f>"M_IMPORTA_TABELAS"</f>
        <v>M_IMPORTA_TABELAS</v>
      </c>
      <c r="G2969" s="2" t="str">
        <f>" ()"</f>
        <v xml:space="preserve"> ()</v>
      </c>
    </row>
    <row r="2970" spans="1:7" x14ac:dyDescent="0.3">
      <c r="A2970" s="1" t="s">
        <v>4</v>
      </c>
      <c r="B2970" s="2" t="str">
        <f t="shared" si="253"/>
        <v>SISTEMA FATURAMENTO INTERNAÇÃO SUS</v>
      </c>
      <c r="C2970" s="2" t="str">
        <f t="shared" si="254"/>
        <v>FATUR-SUS</v>
      </c>
      <c r="D2970" s="2" t="str">
        <f t="shared" si="255"/>
        <v>FFIS</v>
      </c>
      <c r="E2970" s="2" t="str">
        <f>"PORTARIA 321 PROCEDIMENTO ORIGEM"</f>
        <v>PORTARIA 321 PROCEDIMENTO ORIGEM</v>
      </c>
      <c r="F2970" s="2" t="str">
        <f>"M_PROC_SUS_ANTIGO"</f>
        <v>M_PROC_SUS_ANTIGO</v>
      </c>
      <c r="G2970" s="2" t="str">
        <f>" ()"</f>
        <v xml:space="preserve"> ()</v>
      </c>
    </row>
    <row r="2971" spans="1:7" x14ac:dyDescent="0.3">
      <c r="A2971" s="1" t="s">
        <v>4</v>
      </c>
      <c r="B2971" s="2" t="str">
        <f t="shared" si="253"/>
        <v>SISTEMA FATURAMENTO INTERNAÇÃO SUS</v>
      </c>
      <c r="C2971" s="2" t="str">
        <f t="shared" si="254"/>
        <v>FATUR-SUS</v>
      </c>
      <c r="D2971" s="2" t="str">
        <f t="shared" si="255"/>
        <v>FFIS</v>
      </c>
      <c r="E2971" s="2" t="str">
        <f>"R_AIH_AUTORIZADA_GESTOR_P321"</f>
        <v>R_AIH_AUTORIZADA_GESTOR_P321</v>
      </c>
      <c r="F2971" s="2" t="str">
        <f>"R_AIH_AUTORIZADA_GESTOR_P321"</f>
        <v>R_AIH_AUTORIZADA_GESTOR_P321</v>
      </c>
      <c r="G2971" s="2" t="str">
        <f>"Faturamento / Faturamento de Internação SUS (AIH) / Relatórios / Gerenciais / Relatório de Contas Autorizadas pelo Gestor (R_AIH_AUTORIZADA_GESTOR_P321)"</f>
        <v>Faturamento / Faturamento de Internação SUS (AIH) / Relatórios / Gerenciais / Relatório de Contas Autorizadas pelo Gestor (R_AIH_AUTORIZADA_GESTOR_P321)</v>
      </c>
    </row>
    <row r="2972" spans="1:7" x14ac:dyDescent="0.3">
      <c r="A2972" s="1" t="s">
        <v>4</v>
      </c>
      <c r="B2972" s="2" t="str">
        <f t="shared" si="253"/>
        <v>SISTEMA FATURAMENTO INTERNAÇÃO SUS</v>
      </c>
      <c r="C2972" s="2" t="str">
        <f t="shared" si="254"/>
        <v>FATUR-SUS</v>
      </c>
      <c r="D2972" s="2" t="str">
        <f t="shared" si="255"/>
        <v>FFIS</v>
      </c>
      <c r="E2972" s="2" t="str">
        <f>"RELATÓRIO DE IMPRESSÃO DE AIH7"</f>
        <v>RELATÓRIO DE IMPRESSÃO DE AIH7</v>
      </c>
      <c r="F2972" s="2" t="str">
        <f>"R_IMP_AIH7_P321"</f>
        <v>R_IMP_AIH7_P321</v>
      </c>
      <c r="G2972" s="2" t="str">
        <f>"Faturamento / Faturamento de Internação SUS (AIH) / Relatórios / Operacionais / Formulário AIH 7 (R_IMP_AIH7_P321)"</f>
        <v>Faturamento / Faturamento de Internação SUS (AIH) / Relatórios / Operacionais / Formulário AIH 7 (R_IMP_AIH7_P321)</v>
      </c>
    </row>
    <row r="2973" spans="1:7" x14ac:dyDescent="0.3">
      <c r="A2973" s="1" t="s">
        <v>4</v>
      </c>
      <c r="B2973" s="2" t="str">
        <f t="shared" si="253"/>
        <v>SISTEMA FATURAMENTO INTERNAÇÃO SUS</v>
      </c>
      <c r="C2973" s="2" t="str">
        <f t="shared" si="254"/>
        <v>FATUR-SUS</v>
      </c>
      <c r="D2973" s="2" t="str">
        <f t="shared" si="255"/>
        <v>FFIS</v>
      </c>
      <c r="E2973" s="2" t="str">
        <f>"CADASTRO: ESPECIALIDADES DO PRESTADOR"</f>
        <v>CADASTRO: ESPECIALIDADES DO PRESTADOR</v>
      </c>
      <c r="F2973" s="2" t="str">
        <f>"CAD_CBO"</f>
        <v>CAD_CBO</v>
      </c>
      <c r="G2973" s="2" t="str">
        <f>"Faturamento / Faturamento Ambulatorial SUS (BPA e APAC) / Tabelas / Prestadores / Prestador/CBO (CAD_CBO)"</f>
        <v>Faturamento / Faturamento Ambulatorial SUS (BPA e APAC) / Tabelas / Prestadores / Prestador/CBO (CAD_CBO)</v>
      </c>
    </row>
    <row r="2974" spans="1:7" x14ac:dyDescent="0.3">
      <c r="A2974" s="1" t="s">
        <v>4</v>
      </c>
      <c r="B2974" s="2" t="str">
        <f t="shared" si="253"/>
        <v>SISTEMA FATURAMENTO INTERNAÇÃO SUS</v>
      </c>
      <c r="C2974" s="2" t="str">
        <f t="shared" si="254"/>
        <v>FATUR-SUS</v>
      </c>
      <c r="D2974" s="2" t="str">
        <f t="shared" si="255"/>
        <v>FFIS</v>
      </c>
      <c r="E2974" s="2" t="str">
        <f>"CADASTRO DE CBOS"</f>
        <v>CADASTRO DE CBOS</v>
      </c>
      <c r="F2974" s="2" t="str">
        <f>"M_CBOS_SUS"</f>
        <v>M_CBOS_SUS</v>
      </c>
      <c r="G2974" s="2" t="str">
        <f>"Faturamento / Faturamento de Internação SUS (AIH) / Tabelas / Gerais / CBO (M_CBOS_SUS)"</f>
        <v>Faturamento / Faturamento de Internação SUS (AIH) / Tabelas / Gerais / CBO (M_CBOS_SUS)</v>
      </c>
    </row>
    <row r="2975" spans="1:7" x14ac:dyDescent="0.3">
      <c r="A2975" s="1" t="s">
        <v>4</v>
      </c>
      <c r="B2975" s="2" t="str">
        <f t="shared" si="253"/>
        <v>SISTEMA FATURAMENTO INTERNAÇÃO SUS</v>
      </c>
      <c r="C2975" s="2" t="str">
        <f t="shared" si="254"/>
        <v>FATUR-SUS</v>
      </c>
      <c r="D2975" s="2" t="str">
        <f t="shared" si="255"/>
        <v>FFIS</v>
      </c>
      <c r="E2975" s="2" t="str">
        <f>" PORT.321  GRUPO SUS PORTARIA 321"</f>
        <v xml:space="preserve"> PORT.321  GRUPO SUS PORTARIA 321</v>
      </c>
      <c r="F2975" s="2" t="str">
        <f>"M_GRUPO_SUS"</f>
        <v>M_GRUPO_SUS</v>
      </c>
      <c r="G2975" s="2" t="str">
        <f>"MVSaude / Vendas / Internação / Tabelas / Procedimentos / Grupo Procedimentos SUS (M_GRUPO_SUS)"</f>
        <v>MVSaude / Vendas / Internação / Tabelas / Procedimentos / Grupo Procedimentos SUS (M_GRUPO_SUS)</v>
      </c>
    </row>
    <row r="2976" spans="1:7" x14ac:dyDescent="0.3">
      <c r="A2976" s="1" t="s">
        <v>4</v>
      </c>
      <c r="B2976" s="2" t="str">
        <f t="shared" si="253"/>
        <v>SISTEMA FATURAMENTO INTERNAÇÃO SUS</v>
      </c>
      <c r="C2976" s="2" t="str">
        <f t="shared" si="254"/>
        <v>FATUR-SUS</v>
      </c>
      <c r="D2976" s="2" t="str">
        <f t="shared" si="255"/>
        <v>FFIS</v>
      </c>
      <c r="E2976" s="2" t="str">
        <f>" PORT.321  GRUPO SUS PORTARIA 321"</f>
        <v xml:space="preserve"> PORT.321  GRUPO SUS PORTARIA 321</v>
      </c>
      <c r="F2976" s="2" t="str">
        <f>"M_GRUPO_SUS"</f>
        <v>M_GRUPO_SUS</v>
      </c>
      <c r="G2976" s="2" t="str">
        <f>"MVSaude / Atendimento / Autorizações de Guias / Internação / Tabelas / Procedimentos / Grupo Procedimentos SUS (M_GRUPO_SUS)"</f>
        <v>MVSaude / Atendimento / Autorizações de Guias / Internação / Tabelas / Procedimentos / Grupo Procedimentos SUS (M_GRUPO_SUS)</v>
      </c>
    </row>
    <row r="2977" spans="1:7" x14ac:dyDescent="0.3">
      <c r="A2977" s="1" t="s">
        <v>4</v>
      </c>
      <c r="B2977" s="2" t="str">
        <f t="shared" si="253"/>
        <v>SISTEMA FATURAMENTO INTERNAÇÃO SUS</v>
      </c>
      <c r="C2977" s="2" t="str">
        <f t="shared" si="254"/>
        <v>FATUR-SUS</v>
      </c>
      <c r="D2977" s="2" t="str">
        <f t="shared" si="255"/>
        <v>FFIS</v>
      </c>
      <c r="E2977" s="2" t="str">
        <f>" PORT.321  GRUPO SUS PORTARIA 321"</f>
        <v xml:space="preserve"> PORT.321  GRUPO SUS PORTARIA 321</v>
      </c>
      <c r="F2977" s="2" t="str">
        <f>"M_GRUPO_SUS"</f>
        <v>M_GRUPO_SUS</v>
      </c>
      <c r="G2977" s="2" t="str">
        <f>"Faturamento / Faturamento de Internação SUS (AIH) / Tabelas / Procedimentos / Grupos SUS (M_GRUPO_SUS)"</f>
        <v>Faturamento / Faturamento de Internação SUS (AIH) / Tabelas / Procedimentos / Grupos SUS (M_GRUPO_SUS)</v>
      </c>
    </row>
    <row r="2978" spans="1:7" x14ac:dyDescent="0.3">
      <c r="A2978" s="1" t="s">
        <v>4</v>
      </c>
      <c r="B2978" s="2" t="str">
        <f t="shared" si="253"/>
        <v>SISTEMA FATURAMENTO INTERNAÇÃO SUS</v>
      </c>
      <c r="C2978" s="2" t="str">
        <f t="shared" si="254"/>
        <v>FATUR-SUS</v>
      </c>
      <c r="D2978" s="2" t="str">
        <f t="shared" si="255"/>
        <v>FFIS</v>
      </c>
      <c r="E2978" s="2" t="str">
        <f>"PROCEDIMENTOS SUS"</f>
        <v>PROCEDIMENTOS SUS</v>
      </c>
      <c r="F2978" s="2" t="str">
        <f>"M_PROC_SUS"</f>
        <v>M_PROC_SUS</v>
      </c>
      <c r="G2978" s="2" t="str">
        <f>"MVSaude / Vendas / Internação / Consultas / Procedimento SUS (M_PROC_SUS)"</f>
        <v>MVSaude / Vendas / Internação / Consultas / Procedimento SUS (M_PROC_SUS)</v>
      </c>
    </row>
    <row r="2979" spans="1:7" x14ac:dyDescent="0.3">
      <c r="A2979" s="1" t="s">
        <v>4</v>
      </c>
      <c r="B2979" s="2" t="str">
        <f t="shared" si="253"/>
        <v>SISTEMA FATURAMENTO INTERNAÇÃO SUS</v>
      </c>
      <c r="C2979" s="2" t="str">
        <f t="shared" si="254"/>
        <v>FATUR-SUS</v>
      </c>
      <c r="D2979" s="2" t="str">
        <f t="shared" si="255"/>
        <v>FFIS</v>
      </c>
      <c r="E2979" s="2" t="str">
        <f>"PROCEDIMENTOS SUS"</f>
        <v>PROCEDIMENTOS SUS</v>
      </c>
      <c r="F2979" s="2" t="str">
        <f>"M_PROC_SUS"</f>
        <v>M_PROC_SUS</v>
      </c>
      <c r="G2979" s="2" t="str">
        <f>"MVSaude / Vendas / Internação / Tabelas / Procedimentos / Procedimentos SUS (M_PROC_SUS)"</f>
        <v>MVSaude / Vendas / Internação / Tabelas / Procedimentos / Procedimentos SUS (M_PROC_SUS)</v>
      </c>
    </row>
    <row r="2980" spans="1:7" x14ac:dyDescent="0.3">
      <c r="A2980" s="1" t="s">
        <v>4</v>
      </c>
      <c r="B2980" s="2" t="str">
        <f t="shared" si="253"/>
        <v>SISTEMA FATURAMENTO INTERNAÇÃO SUS</v>
      </c>
      <c r="C2980" s="2" t="str">
        <f t="shared" si="254"/>
        <v>FATUR-SUS</v>
      </c>
      <c r="D2980" s="2" t="str">
        <f t="shared" si="255"/>
        <v>FFIS</v>
      </c>
      <c r="E2980" s="2" t="str">
        <f>"PROCEDIMENTOS SUS"</f>
        <v>PROCEDIMENTOS SUS</v>
      </c>
      <c r="F2980" s="2" t="str">
        <f>"M_PROC_SUS"</f>
        <v>M_PROC_SUS</v>
      </c>
      <c r="G2980" s="2" t="str">
        <f>"MVSaude / Atendimento / Autorizações de Guias / Internação / Consultas / Procedimento SUS (M_PROC_SUS)"</f>
        <v>MVSaude / Atendimento / Autorizações de Guias / Internação / Consultas / Procedimento SUS (M_PROC_SUS)</v>
      </c>
    </row>
    <row r="2981" spans="1:7" x14ac:dyDescent="0.3">
      <c r="A2981" s="1" t="s">
        <v>4</v>
      </c>
      <c r="B2981" s="2" t="str">
        <f t="shared" si="253"/>
        <v>SISTEMA FATURAMENTO INTERNAÇÃO SUS</v>
      </c>
      <c r="C2981" s="2" t="str">
        <f t="shared" si="254"/>
        <v>FATUR-SUS</v>
      </c>
      <c r="D2981" s="2" t="str">
        <f t="shared" si="255"/>
        <v>FFIS</v>
      </c>
      <c r="E2981" s="2" t="str">
        <f>"PROCEDIMENTOS SUS"</f>
        <v>PROCEDIMENTOS SUS</v>
      </c>
      <c r="F2981" s="2" t="str">
        <f>"M_PROC_SUS"</f>
        <v>M_PROC_SUS</v>
      </c>
      <c r="G2981" s="2" t="str">
        <f>"MVSaude / Atendimento / Autorizações de Guias / Internação / Tabelas / Procedimentos / Procedimentos SUS (M_PROC_SUS)"</f>
        <v>MVSaude / Atendimento / Autorizações de Guias / Internação / Tabelas / Procedimentos / Procedimentos SUS (M_PROC_SUS)</v>
      </c>
    </row>
    <row r="2982" spans="1:7" x14ac:dyDescent="0.3">
      <c r="A2982" s="1" t="s">
        <v>4</v>
      </c>
      <c r="B2982" s="2" t="str">
        <f t="shared" si="253"/>
        <v>SISTEMA FATURAMENTO INTERNAÇÃO SUS</v>
      </c>
      <c r="C2982" s="2" t="str">
        <f t="shared" si="254"/>
        <v>FATUR-SUS</v>
      </c>
      <c r="D2982" s="2" t="str">
        <f t="shared" si="255"/>
        <v>FFIS</v>
      </c>
      <c r="E2982" s="2" t="str">
        <f>"WIN_PRINCIPAL"</f>
        <v>WIN_PRINCIPAL</v>
      </c>
      <c r="F2982" s="2" t="str">
        <f>"M_PROCEDIMENTO_SUS"</f>
        <v>M_PROCEDIMENTO_SUS</v>
      </c>
      <c r="G2982" s="2" t="str">
        <f>" ()"</f>
        <v xml:space="preserve"> ()</v>
      </c>
    </row>
    <row r="2983" spans="1:7" x14ac:dyDescent="0.3">
      <c r="A2983" s="1" t="s">
        <v>4</v>
      </c>
      <c r="B2983" s="2" t="str">
        <f t="shared" si="253"/>
        <v>SISTEMA FATURAMENTO INTERNAÇÃO SUS</v>
      </c>
      <c r="C2983" s="2" t="str">
        <f t="shared" si="254"/>
        <v>FATUR-SUS</v>
      </c>
      <c r="D2983" s="2" t="str">
        <f t="shared" si="255"/>
        <v>FFIS</v>
      </c>
      <c r="E2983" s="2" t="str">
        <f>"WIN_PRINCIPAL"</f>
        <v>WIN_PRINCIPAL</v>
      </c>
      <c r="F2983" s="2" t="str">
        <f>"C_TP_FINANC"</f>
        <v>C_TP_FINANC</v>
      </c>
      <c r="G2983" s="2" t="str">
        <f>"Faturamento / Faturamento de Internação SUS (AIH) / Consultas / Tipo Financiamento (C_TP_FINANC)"</f>
        <v>Faturamento / Faturamento de Internação SUS (AIH) / Consultas / Tipo Financiamento (C_TP_FINANC)</v>
      </c>
    </row>
    <row r="2984" spans="1:7" x14ac:dyDescent="0.3">
      <c r="A2984" s="1" t="s">
        <v>4</v>
      </c>
      <c r="B2984" s="2" t="str">
        <f t="shared" si="253"/>
        <v>SISTEMA FATURAMENTO INTERNAÇÃO SUS</v>
      </c>
      <c r="C2984" s="2" t="str">
        <f t="shared" si="254"/>
        <v>FATUR-SUS</v>
      </c>
      <c r="D2984" s="2" t="str">
        <f t="shared" si="255"/>
        <v>FFIS</v>
      </c>
      <c r="E2984" s="2" t="str">
        <f>"WIN_PRINCIPAL"</f>
        <v>WIN_PRINCIPAL</v>
      </c>
      <c r="F2984" s="2" t="str">
        <f>"C_MODAL_ATEND"</f>
        <v>C_MODAL_ATEND</v>
      </c>
      <c r="G2984" s="2" t="str">
        <f>"Faturamento / Faturamento de Internação SUS (AIH) / Consultas / Modalidade Atendimento (C_MODAL_ATEND)"</f>
        <v>Faturamento / Faturamento de Internação SUS (AIH) / Consultas / Modalidade Atendimento (C_MODAL_ATEND)</v>
      </c>
    </row>
    <row r="2985" spans="1:7" x14ac:dyDescent="0.3">
      <c r="A2985" s="1" t="s">
        <v>4</v>
      </c>
      <c r="B2985" s="2" t="str">
        <f t="shared" si="253"/>
        <v>SISTEMA FATURAMENTO INTERNAÇÃO SUS</v>
      </c>
      <c r="C2985" s="2" t="str">
        <f t="shared" si="254"/>
        <v>FATUR-SUS</v>
      </c>
      <c r="D2985" s="2" t="str">
        <f t="shared" si="255"/>
        <v>FFIS</v>
      </c>
      <c r="E2985" s="2" t="str">
        <f>"WIN_PRINCIPAL"</f>
        <v>WIN_PRINCIPAL</v>
      </c>
      <c r="F2985" s="2" t="str">
        <f>"C_GRUPO_SUS"</f>
        <v>C_GRUPO_SUS</v>
      </c>
      <c r="G2985" s="2" t="str">
        <f>"Faturamento / Faturamento de Internação SUS (AIH) / Consultas / Grupo SUS (C_GRUPO_SUS)"</f>
        <v>Faturamento / Faturamento de Internação SUS (AIH) / Consultas / Grupo SUS (C_GRUPO_SUS)</v>
      </c>
    </row>
    <row r="2986" spans="1:7" x14ac:dyDescent="0.3">
      <c r="A2986" s="1" t="s">
        <v>4</v>
      </c>
      <c r="B2986" s="2" t="str">
        <f t="shared" si="253"/>
        <v>SISTEMA FATURAMENTO INTERNAÇÃO SUS</v>
      </c>
      <c r="C2986" s="2" t="str">
        <f t="shared" si="254"/>
        <v>FATUR-SUS</v>
      </c>
      <c r="D2986" s="2" t="str">
        <f t="shared" si="255"/>
        <v>FFIS</v>
      </c>
      <c r="E2986" s="2" t="str">
        <f>"WIN_PRINCIPAL"</f>
        <v>WIN_PRINCIPAL</v>
      </c>
      <c r="F2986" s="2" t="str">
        <f>"C_COMPLX_PROC"</f>
        <v>C_COMPLX_PROC</v>
      </c>
      <c r="G2986" s="2" t="str">
        <f>"Faturamento / Faturamento de Internação SUS (AIH) / Consultas / Complexidade Procedimento (C_COMPLX_PROC)"</f>
        <v>Faturamento / Faturamento de Internação SUS (AIH) / Consultas / Complexidade Procedimento (C_COMPLX_PROC)</v>
      </c>
    </row>
    <row r="2987" spans="1:7" x14ac:dyDescent="0.3">
      <c r="A2987" s="1" t="s">
        <v>4</v>
      </c>
      <c r="B2987" s="2" t="str">
        <f t="shared" si="253"/>
        <v>SISTEMA FATURAMENTO INTERNAÇÃO SUS</v>
      </c>
      <c r="C2987" s="2" t="str">
        <f t="shared" si="254"/>
        <v>FATUR-SUS</v>
      </c>
      <c r="D2987" s="2" t="str">
        <f t="shared" si="255"/>
        <v>FFIS</v>
      </c>
      <c r="E2987" s="2" t="str">
        <f>"HABILITAÇÕES SUS"</f>
        <v>HABILITAÇÕES SUS</v>
      </c>
      <c r="F2987" s="2" t="str">
        <f>"M_HABILITACOES"</f>
        <v>M_HABILITACOES</v>
      </c>
      <c r="G2987" s="2" t="str">
        <f t="shared" ref="G2987:G2995" si="256">" ()"</f>
        <v xml:space="preserve"> ()</v>
      </c>
    </row>
    <row r="2988" spans="1:7" x14ac:dyDescent="0.3">
      <c r="A2988" s="1" t="s">
        <v>4</v>
      </c>
      <c r="B2988" s="2" t="str">
        <f t="shared" si="253"/>
        <v>SISTEMA FATURAMENTO INTERNAÇÃO SUS</v>
      </c>
      <c r="C2988" s="2" t="str">
        <f t="shared" si="254"/>
        <v>FATUR-SUS</v>
      </c>
      <c r="D2988" s="2" t="str">
        <f t="shared" si="255"/>
        <v>FFIS</v>
      </c>
      <c r="E2988" s="2" t="str">
        <f t="shared" ref="E2988:E2993" si="257">"MANUTENÇÃO DE ATUALIZAÇÕES"</f>
        <v>MANUTENÇÃO DE ATUALIZAÇÕES</v>
      </c>
      <c r="F2988" s="2" t="str">
        <f>"PROCESSA_REGRA_LEGISLACAO"</f>
        <v>PROCESSA_REGRA_LEGISLACAO</v>
      </c>
      <c r="G2988" s="2" t="str">
        <f t="shared" si="256"/>
        <v xml:space="preserve"> ()</v>
      </c>
    </row>
    <row r="2989" spans="1:7" x14ac:dyDescent="0.3">
      <c r="A2989" s="1" t="s">
        <v>4</v>
      </c>
      <c r="B2989" s="2" t="str">
        <f t="shared" si="253"/>
        <v>SISTEMA FATURAMENTO INTERNAÇÃO SUS</v>
      </c>
      <c r="C2989" s="2" t="str">
        <f t="shared" si="254"/>
        <v>FATUR-SUS</v>
      </c>
      <c r="D2989" s="2" t="str">
        <f t="shared" si="255"/>
        <v>FFIS</v>
      </c>
      <c r="E2989" s="2" t="str">
        <f t="shared" si="257"/>
        <v>MANUTENÇÃO DE ATUALIZAÇÕES</v>
      </c>
      <c r="F2989" s="2" t="str">
        <f>"ATUALIZA_REGRA_PROCEDIMENTO"</f>
        <v>ATUALIZA_REGRA_PROCEDIMENTO</v>
      </c>
      <c r="G2989" s="2" t="str">
        <f t="shared" si="256"/>
        <v xml:space="preserve"> ()</v>
      </c>
    </row>
    <row r="2990" spans="1:7" x14ac:dyDescent="0.3">
      <c r="A2990" s="1" t="s">
        <v>4</v>
      </c>
      <c r="B2990" s="2" t="str">
        <f t="shared" si="253"/>
        <v>SISTEMA FATURAMENTO INTERNAÇÃO SUS</v>
      </c>
      <c r="C2990" s="2" t="str">
        <f t="shared" si="254"/>
        <v>FATUR-SUS</v>
      </c>
      <c r="D2990" s="2" t="str">
        <f t="shared" si="255"/>
        <v>FFIS</v>
      </c>
      <c r="E2990" s="2" t="str">
        <f t="shared" si="257"/>
        <v>MANUTENÇÃO DE ATUALIZAÇÕES</v>
      </c>
      <c r="F2990" s="2" t="str">
        <f>"M_GERA_LEGISLACAO"</f>
        <v>M_GERA_LEGISLACAO</v>
      </c>
      <c r="G2990" s="2" t="str">
        <f t="shared" si="256"/>
        <v xml:space="preserve"> ()</v>
      </c>
    </row>
    <row r="2991" spans="1:7" x14ac:dyDescent="0.3">
      <c r="A2991" s="1" t="s">
        <v>4</v>
      </c>
      <c r="B2991" s="2" t="str">
        <f t="shared" si="253"/>
        <v>SISTEMA FATURAMENTO INTERNAÇÃO SUS</v>
      </c>
      <c r="C2991" s="2" t="str">
        <f t="shared" si="254"/>
        <v>FATUR-SUS</v>
      </c>
      <c r="D2991" s="2" t="str">
        <f t="shared" si="255"/>
        <v>FFIS</v>
      </c>
      <c r="E2991" s="2" t="str">
        <f t="shared" si="257"/>
        <v>MANUTENÇÃO DE ATUALIZAÇÕES</v>
      </c>
      <c r="F2991" s="2" t="str">
        <f>"M_PARAMETROS_AIH"</f>
        <v>M_PARAMETROS_AIH</v>
      </c>
      <c r="G2991" s="2" t="str">
        <f t="shared" si="256"/>
        <v xml:space="preserve"> ()</v>
      </c>
    </row>
    <row r="2992" spans="1:7" x14ac:dyDescent="0.3">
      <c r="A2992" s="1" t="s">
        <v>4</v>
      </c>
      <c r="B2992" s="2" t="str">
        <f t="shared" si="253"/>
        <v>SISTEMA FATURAMENTO INTERNAÇÃO SUS</v>
      </c>
      <c r="C2992" s="2" t="str">
        <f t="shared" si="254"/>
        <v>FATUR-SUS</v>
      </c>
      <c r="D2992" s="2" t="str">
        <f t="shared" si="255"/>
        <v>FFIS</v>
      </c>
      <c r="E2992" s="2" t="str">
        <f t="shared" si="257"/>
        <v>MANUTENÇÃO DE ATUALIZAÇÕES</v>
      </c>
      <c r="F2992" s="2" t="str">
        <f>"M_GERA_PORTARIA"</f>
        <v>M_GERA_PORTARIA</v>
      </c>
      <c r="G2992" s="2" t="str">
        <f t="shared" si="256"/>
        <v xml:space="preserve"> ()</v>
      </c>
    </row>
    <row r="2993" spans="1:7" x14ac:dyDescent="0.3">
      <c r="A2993" s="1" t="s">
        <v>4</v>
      </c>
      <c r="B2993" s="2" t="str">
        <f t="shared" si="253"/>
        <v>SISTEMA FATURAMENTO INTERNAÇÃO SUS</v>
      </c>
      <c r="C2993" s="2" t="str">
        <f t="shared" si="254"/>
        <v>FATUR-SUS</v>
      </c>
      <c r="D2993" s="2" t="str">
        <f t="shared" si="255"/>
        <v>FFIS</v>
      </c>
      <c r="E2993" s="2" t="str">
        <f t="shared" si="257"/>
        <v>MANUTENÇÃO DE ATUALIZAÇÕES</v>
      </c>
      <c r="F2993" s="2" t="str">
        <f>"M_LEGISLACAO"</f>
        <v>M_LEGISLACAO</v>
      </c>
      <c r="G2993" s="2" t="str">
        <f t="shared" si="256"/>
        <v xml:space="preserve"> ()</v>
      </c>
    </row>
    <row r="2994" spans="1:7" x14ac:dyDescent="0.3">
      <c r="A2994" s="1" t="s">
        <v>4</v>
      </c>
      <c r="B2994" s="2" t="str">
        <f t="shared" si="253"/>
        <v>SISTEMA FATURAMENTO INTERNAÇÃO SUS</v>
      </c>
      <c r="C2994" s="2" t="str">
        <f t="shared" si="254"/>
        <v>FATUR-SUS</v>
      </c>
      <c r="D2994" s="2" t="str">
        <f t="shared" si="255"/>
        <v>FFIS</v>
      </c>
      <c r="E2994" s="2" t="str">
        <f>"WIN_PRINCIPAL"</f>
        <v>WIN_PRINCIPAL</v>
      </c>
      <c r="F2994" s="2" t="str">
        <f>"M_REGRA_TIPO_VINCULO"</f>
        <v>M_REGRA_TIPO_VINCULO</v>
      </c>
      <c r="G2994" s="2" t="str">
        <f t="shared" si="256"/>
        <v xml:space="preserve"> ()</v>
      </c>
    </row>
    <row r="2995" spans="1:7" x14ac:dyDescent="0.3">
      <c r="A2995" s="1" t="s">
        <v>4</v>
      </c>
      <c r="B2995" s="2" t="str">
        <f t="shared" si="253"/>
        <v>SISTEMA FATURAMENTO INTERNAÇÃO SUS</v>
      </c>
      <c r="C2995" s="2" t="str">
        <f t="shared" si="254"/>
        <v>FATUR-SUS</v>
      </c>
      <c r="D2995" s="2" t="str">
        <f t="shared" si="255"/>
        <v>FFIS</v>
      </c>
      <c r="E2995" s="2" t="str">
        <f>"RELATÓRIO DE ESPELHO DA AIH"</f>
        <v>RELATÓRIO DE ESPELHO DA AIH</v>
      </c>
      <c r="F2995" s="2" t="str">
        <f>"R_PREVIA_AIH"</f>
        <v>R_PREVIA_AIH</v>
      </c>
      <c r="G2995" s="2" t="str">
        <f t="shared" si="256"/>
        <v xml:space="preserve"> ()</v>
      </c>
    </row>
    <row r="2996" spans="1:7" x14ac:dyDescent="0.3">
      <c r="A2996" s="1" t="s">
        <v>4</v>
      </c>
      <c r="B2996" s="2" t="str">
        <f t="shared" si="253"/>
        <v>SISTEMA FATURAMENTO INTERNAÇÃO SUS</v>
      </c>
      <c r="C2996" s="2" t="str">
        <f t="shared" si="254"/>
        <v>FATUR-SUS</v>
      </c>
      <c r="D2996" s="2" t="str">
        <f t="shared" si="255"/>
        <v>FFIS</v>
      </c>
      <c r="E2996" s="2" t="str">
        <f>"GRUPO DE CONTRATUALIZAÇÃO"</f>
        <v>GRUPO DE CONTRATUALIZAÇÃO</v>
      </c>
      <c r="F2996" s="2" t="str">
        <f>"M_CONTRATUALIZACAO_GRP"</f>
        <v>M_CONTRATUALIZACAO_GRP</v>
      </c>
      <c r="G2996" s="2" t="str">
        <f>"Faturamento / Faturamento de Internação SUS (AIH) / Tabelas / Contratualização / Grupo de Contratualização (M_CONTRATUALIZACAO_GRP)"</f>
        <v>Faturamento / Faturamento de Internação SUS (AIH) / Tabelas / Contratualização / Grupo de Contratualização (M_CONTRATUALIZACAO_GRP)</v>
      </c>
    </row>
    <row r="2997" spans="1:7" x14ac:dyDescent="0.3">
      <c r="A2997" s="1" t="s">
        <v>4</v>
      </c>
      <c r="B2997" s="2" t="str">
        <f t="shared" si="253"/>
        <v>SISTEMA FATURAMENTO INTERNAÇÃO SUS</v>
      </c>
      <c r="C2997" s="2" t="str">
        <f t="shared" si="254"/>
        <v>FATUR-SUS</v>
      </c>
      <c r="D2997" s="2" t="str">
        <f t="shared" si="255"/>
        <v>FFIS</v>
      </c>
      <c r="E2997" s="2" t="str">
        <f>"CONTRATUALIZAÇÃO"</f>
        <v>CONTRATUALIZAÇÃO</v>
      </c>
      <c r="F2997" s="2" t="str">
        <f>"M_CONTRATUALIZACAO"</f>
        <v>M_CONTRATUALIZACAO</v>
      </c>
      <c r="G2997" s="2" t="str">
        <f>"Faturamento / Faturamento de Internação SUS (AIH) / Tabelas / Contratualização / Contratualização (M_CONTRATUALIZACAO)"</f>
        <v>Faturamento / Faturamento de Internação SUS (AIH) / Tabelas / Contratualização / Contratualização (M_CONTRATUALIZACAO)</v>
      </c>
    </row>
    <row r="2998" spans="1:7" x14ac:dyDescent="0.3">
      <c r="A2998" s="1" t="s">
        <v>4</v>
      </c>
      <c r="B2998" s="2" t="str">
        <f t="shared" si="253"/>
        <v>SISTEMA FATURAMENTO INTERNAÇÃO SUS</v>
      </c>
      <c r="C2998" s="2" t="str">
        <f t="shared" si="254"/>
        <v>FATUR-SUS</v>
      </c>
      <c r="D2998" s="2" t="str">
        <f t="shared" si="255"/>
        <v>FFIS</v>
      </c>
      <c r="E2998" s="2" t="str">
        <f>"EMITE ETIQUETA ACH"</f>
        <v>EMITE ETIQUETA ACH</v>
      </c>
      <c r="F2998" s="2" t="str">
        <f>"R_EMITE_ETIQUETA_ACH"</f>
        <v>R_EMITE_ETIQUETA_ACH</v>
      </c>
      <c r="G2998" s="2" t="str">
        <f>"Faturamento / Faturamento de Internação SUS (AIH) / Lançamentos / ACH / Emissão de Etiqueta ACH (R_EMITE_ETIQUETA_ACH)"</f>
        <v>Faturamento / Faturamento de Internação SUS (AIH) / Lançamentos / ACH / Emissão de Etiqueta ACH (R_EMITE_ETIQUETA_ACH)</v>
      </c>
    </row>
    <row r="2999" spans="1:7" x14ac:dyDescent="0.3">
      <c r="A2999" s="1" t="s">
        <v>4</v>
      </c>
      <c r="B2999" s="2" t="str">
        <f t="shared" si="253"/>
        <v>SISTEMA FATURAMENTO INTERNAÇÃO SUS</v>
      </c>
      <c r="C2999" s="2" t="str">
        <f t="shared" si="254"/>
        <v>FATUR-SUS</v>
      </c>
      <c r="D2999" s="2" t="str">
        <f t="shared" si="255"/>
        <v>FFIS</v>
      </c>
      <c r="E2999" s="2" t="str">
        <f>"GERA NÚMERO DE LAUDO ACH"</f>
        <v>GERA NÚMERO DE LAUDO ACH</v>
      </c>
      <c r="F2999" s="2" t="str">
        <f>"M_GERA_LAUDO_ACH"</f>
        <v>M_GERA_LAUDO_ACH</v>
      </c>
      <c r="G2999" s="2" t="str">
        <f>"Faturamento / Faturamento de Internação SUS (AIH) / Lançamentos / ACH / Geração de Número Laudo ACH (M_GERA_LAUDO_ACH)"</f>
        <v>Faturamento / Faturamento de Internação SUS (AIH) / Lançamentos / ACH / Geração de Número Laudo ACH (M_GERA_LAUDO_ACH)</v>
      </c>
    </row>
    <row r="3000" spans="1:7" x14ac:dyDescent="0.3">
      <c r="A3000" s="1" t="s">
        <v>4</v>
      </c>
      <c r="B3000" s="2" t="str">
        <f t="shared" si="253"/>
        <v>SISTEMA FATURAMENTO INTERNAÇÃO SUS</v>
      </c>
      <c r="C3000" s="2" t="str">
        <f t="shared" si="254"/>
        <v>FATUR-SUS</v>
      </c>
      <c r="D3000" s="2" t="str">
        <f t="shared" si="255"/>
        <v>FFIS</v>
      </c>
      <c r="E3000" s="2" t="str">
        <f>"RELATÓRIO TABELA DE PROCEDIMENTOS"</f>
        <v>RELATÓRIO TABELA DE PROCEDIMENTOS</v>
      </c>
      <c r="F3000" s="2" t="str">
        <f>"R_SUB_GRU_PROC_321"</f>
        <v>R_SUB_GRU_PROC_321</v>
      </c>
      <c r="G3000" s="2" t="str">
        <f>"Faturamento / Faturamento de Internação SUS (AIH) / Relatórios / Tabelas / Procedimento (R_SUB_GRU_PROC_321)"</f>
        <v>Faturamento / Faturamento de Internação SUS (AIH) / Relatórios / Tabelas / Procedimento (R_SUB_GRU_PROC_321)</v>
      </c>
    </row>
    <row r="3001" spans="1:7" x14ac:dyDescent="0.3">
      <c r="A3001" s="1" t="s">
        <v>4</v>
      </c>
      <c r="B3001" s="2" t="str">
        <f t="shared" si="253"/>
        <v>SISTEMA FATURAMENTO INTERNAÇÃO SUS</v>
      </c>
      <c r="C3001" s="2" t="str">
        <f t="shared" si="254"/>
        <v>FATUR-SUS</v>
      </c>
      <c r="D3001" s="2" t="str">
        <f t="shared" si="255"/>
        <v>FFIS</v>
      </c>
      <c r="E3001" s="2" t="str">
        <f>"REL. RECEITA POR GRUPO DE PROCEDIMENTOS"</f>
        <v>REL. RECEITA POR GRUPO DE PROCEDIMENTOS</v>
      </c>
      <c r="F3001" s="2" t="str">
        <f>"R_PROC_LANCAMENTOS"</f>
        <v>R_PROC_LANCAMENTOS</v>
      </c>
      <c r="G3001" s="2" t="str">
        <f>"Faturamento / Faturamento de Internação SUS (AIH) / Relatórios / Gerenciais / Receita de SADT por Grupo de Procedimentos (R_PROC_LANCAMENTOS)"</f>
        <v>Faturamento / Faturamento de Internação SUS (AIH) / Relatórios / Gerenciais / Receita de SADT por Grupo de Procedimentos (R_PROC_LANCAMENTOS)</v>
      </c>
    </row>
    <row r="3002" spans="1:7" x14ac:dyDescent="0.3">
      <c r="A3002" s="1" t="s">
        <v>4</v>
      </c>
      <c r="B3002" s="2" t="str">
        <f t="shared" si="253"/>
        <v>SISTEMA FATURAMENTO INTERNAÇÃO SUS</v>
      </c>
      <c r="C3002" s="2" t="str">
        <f t="shared" si="254"/>
        <v>FATUR-SUS</v>
      </c>
      <c r="D3002" s="2" t="str">
        <f t="shared" si="255"/>
        <v>FFIS</v>
      </c>
      <c r="E3002" s="2" t="str">
        <f>"IMPORTAÇÃO PROCEDIMENTOS SIGTAP"</f>
        <v>IMPORTAÇÃO PROCEDIMENTOS SIGTAP</v>
      </c>
      <c r="F3002" s="2" t="str">
        <f>"M_IMPORTA_TABELAS_2"</f>
        <v>M_IMPORTA_TABELAS_2</v>
      </c>
      <c r="G3002" s="2" t="str">
        <f>"Faturamento / Faturamento de Internação SUS (AIH) / Tabelas / Procedimentos / Importação Tabela SIGTAP (M_IMPORTA_TABELAS_2)"</f>
        <v>Faturamento / Faturamento de Internação SUS (AIH) / Tabelas / Procedimentos / Importação Tabela SIGTAP (M_IMPORTA_TABELAS_2)</v>
      </c>
    </row>
    <row r="3003" spans="1:7" x14ac:dyDescent="0.3">
      <c r="A3003" s="1" t="s">
        <v>4</v>
      </c>
      <c r="B3003" s="2" t="str">
        <f t="shared" si="253"/>
        <v>SISTEMA FATURAMENTO INTERNAÇÃO SUS</v>
      </c>
      <c r="C3003" s="2" t="str">
        <f t="shared" si="254"/>
        <v>FATUR-SUS</v>
      </c>
      <c r="D3003" s="2" t="str">
        <f t="shared" si="255"/>
        <v>FFIS</v>
      </c>
      <c r="E3003" s="2" t="str">
        <f>"M_LACTO_AIH_TRAB"</f>
        <v>M_LACTO_AIH_TRAB</v>
      </c>
      <c r="F3003" s="2" t="str">
        <f>"M_LACTO_AIH_TRAB"</f>
        <v>M_LACTO_AIH_TRAB</v>
      </c>
      <c r="G3003" s="2" t="str">
        <f>" ()"</f>
        <v xml:space="preserve"> ()</v>
      </c>
    </row>
    <row r="3004" spans="1:7" x14ac:dyDescent="0.3">
      <c r="A3004" s="1" t="s">
        <v>4</v>
      </c>
      <c r="B3004" s="2" t="str">
        <f t="shared" si="253"/>
        <v>SISTEMA FATURAMENTO INTERNAÇÃO SUS</v>
      </c>
      <c r="C3004" s="2" t="str">
        <f t="shared" si="254"/>
        <v>FATUR-SUS</v>
      </c>
      <c r="D3004" s="2" t="str">
        <f t="shared" si="255"/>
        <v>FFIS</v>
      </c>
      <c r="E3004" s="2" t="str">
        <f>"LISTAGEM DE CONTAS"</f>
        <v>LISTAGEM DE CONTAS</v>
      </c>
      <c r="F3004" s="2" t="str">
        <f>"R_LISTA_CONTAS"</f>
        <v>R_LISTA_CONTAS</v>
      </c>
      <c r="G3004" s="2" t="str">
        <f>"Faturamento / Faturamento de Internação SUS (AIH) / Relatórios / Operacionais / Listagem de Contas (R_LISTA_CONTAS)"</f>
        <v>Faturamento / Faturamento de Internação SUS (AIH) / Relatórios / Operacionais / Listagem de Contas (R_LISTA_CONTAS)</v>
      </c>
    </row>
    <row r="3005" spans="1:7" x14ac:dyDescent="0.3">
      <c r="A3005" s="1" t="s">
        <v>4</v>
      </c>
      <c r="B3005" s="2" t="str">
        <f t="shared" si="253"/>
        <v>SISTEMA FATURAMENTO INTERNAÇÃO SUS</v>
      </c>
      <c r="C3005" s="2" t="str">
        <f t="shared" si="254"/>
        <v>FATUR-SUS</v>
      </c>
      <c r="D3005" s="2" t="str">
        <f t="shared" si="255"/>
        <v>FFIS</v>
      </c>
      <c r="E3005" s="2" t="str">
        <f>"RELATÓRIO DE AIH SIMULADA"</f>
        <v>RELATÓRIO DE AIH SIMULADA</v>
      </c>
      <c r="F3005" s="2" t="str">
        <f>"R_ESPELHO_AIH"</f>
        <v>R_ESPELHO_AIH</v>
      </c>
      <c r="G3005" s="2" t="str">
        <f>"Faturamento / Faturamento de Internação SUS (AIH) / Relatórios / Operacionais / Espelho de Conta (R_ESPELHO_AIH)"</f>
        <v>Faturamento / Faturamento de Internação SUS (AIH) / Relatórios / Operacionais / Espelho de Conta (R_ESPELHO_AIH)</v>
      </c>
    </row>
    <row r="3006" spans="1:7" x14ac:dyDescent="0.3">
      <c r="A3006" s="1" t="s">
        <v>4</v>
      </c>
      <c r="B3006" s="2" t="str">
        <f t="shared" si="253"/>
        <v>SISTEMA FATURAMENTO INTERNAÇÃO SUS</v>
      </c>
      <c r="C3006" s="2" t="str">
        <f t="shared" si="254"/>
        <v>FATUR-SUS</v>
      </c>
      <c r="D3006" s="2" t="str">
        <f t="shared" si="255"/>
        <v>FFIS</v>
      </c>
      <c r="E3006" s="2" t="str">
        <f>" CLASSIFICAÇÃO DE FATURAMENTO"</f>
        <v xml:space="preserve"> CLASSIFICAÇÃO DE FATURAMENTO</v>
      </c>
      <c r="F3006" s="2" t="str">
        <f>"M_SER_CLA_SUS"</f>
        <v>M_SER_CLA_SUS</v>
      </c>
      <c r="G3006" s="2" t="str">
        <f>"Faturamento / Faturamento de Internação SUS (AIH) / Tabelas / Gerais / Serviço x Classificação SUS (M_SER_CLA_SUS)"</f>
        <v>Faturamento / Faturamento de Internação SUS (AIH) / Tabelas / Gerais / Serviço x Classificação SUS (M_SER_CLA_SUS)</v>
      </c>
    </row>
    <row r="3007" spans="1:7" x14ac:dyDescent="0.3">
      <c r="A3007" s="1" t="s">
        <v>4</v>
      </c>
      <c r="B3007" s="2" t="str">
        <f t="shared" si="253"/>
        <v>SISTEMA FATURAMENTO INTERNAÇÃO SUS</v>
      </c>
      <c r="C3007" s="2" t="str">
        <f t="shared" si="254"/>
        <v>FATUR-SUS</v>
      </c>
      <c r="D3007" s="2" t="str">
        <f t="shared" si="255"/>
        <v>FFIS</v>
      </c>
      <c r="E3007" s="2" t="str">
        <f>" CLASSIFICAÇÃO DE FATURAMENTO"</f>
        <v xml:space="preserve"> CLASSIFICAÇÃO DE FATURAMENTO</v>
      </c>
      <c r="F3007" s="2" t="str">
        <f>"M_SER_CLA_SUS"</f>
        <v>M_SER_CLA_SUS</v>
      </c>
      <c r="G3007" s="2" t="str">
        <f>"Faturamento / Faturamento Ambulatorial SUS (BPA e APAC) / Tabelas / Geral / Serviço X Classificação SUS (M_SER_CLA_SUS)"</f>
        <v>Faturamento / Faturamento Ambulatorial SUS (BPA e APAC) / Tabelas / Geral / Serviço X Classificação SUS (M_SER_CLA_SUS)</v>
      </c>
    </row>
    <row r="3008" spans="1:7" x14ac:dyDescent="0.3">
      <c r="A3008" s="1" t="s">
        <v>4</v>
      </c>
      <c r="B3008" s="2" t="str">
        <f t="shared" si="253"/>
        <v>SISTEMA FATURAMENTO INTERNAÇÃO SUS</v>
      </c>
      <c r="C3008" s="2" t="str">
        <f t="shared" si="254"/>
        <v>FATUR-SUS</v>
      </c>
      <c r="D3008" s="2" t="str">
        <f t="shared" si="255"/>
        <v>FFIS</v>
      </c>
      <c r="E3008" s="2" t="str">
        <f>"M_LACTO_AIH_10G"</f>
        <v>M_LACTO_AIH_10G</v>
      </c>
      <c r="F3008" s="2" t="str">
        <f>"M_LACTO_AIH_10G"</f>
        <v>M_LACTO_AIH_10G</v>
      </c>
      <c r="G3008" s="2" t="str">
        <f>" ()"</f>
        <v xml:space="preserve"> ()</v>
      </c>
    </row>
    <row r="3009" spans="1:7" x14ac:dyDescent="0.3">
      <c r="A3009" s="1" t="s">
        <v>4</v>
      </c>
      <c r="B3009" s="2" t="str">
        <f t="shared" si="253"/>
        <v>SISTEMA FATURAMENTO INTERNAÇÃO SUS</v>
      </c>
      <c r="C3009" s="2" t="str">
        <f t="shared" si="254"/>
        <v>FATUR-SUS</v>
      </c>
      <c r="D3009" s="2" t="str">
        <f t="shared" si="255"/>
        <v>FFIS</v>
      </c>
      <c r="E3009" s="2" t="str">
        <f>"SALDO DE UTI'S'"</f>
        <v>SALDO DE UTI'S'</v>
      </c>
      <c r="F3009" s="2" t="str">
        <f>"R_SALDO_N_UTI"</f>
        <v>R_SALDO_N_UTI</v>
      </c>
      <c r="G3009" s="2" t="str">
        <f>"Faturamento / Faturamento de Internação SUS (AIH) / Relatórios / Operacionais / Saldo de UTI""s (R_SALDO_N_UTI)"</f>
        <v>Faturamento / Faturamento de Internação SUS (AIH) / Relatórios / Operacionais / Saldo de UTI"s (R_SALDO_N_UTI)</v>
      </c>
    </row>
    <row r="3010" spans="1:7" x14ac:dyDescent="0.3">
      <c r="A3010" s="1" t="s">
        <v>4</v>
      </c>
      <c r="B3010" s="2" t="str">
        <f t="shared" si="253"/>
        <v>SISTEMA FATURAMENTO INTERNAÇÃO SUS</v>
      </c>
      <c r="C3010" s="2" t="str">
        <f t="shared" si="254"/>
        <v>FATUR-SUS</v>
      </c>
      <c r="D3010" s="2" t="str">
        <f t="shared" si="255"/>
        <v>FFIS</v>
      </c>
      <c r="E3010" s="2" t="str">
        <f>"WIN_PRINCIPAL"</f>
        <v>WIN_PRINCIPAL</v>
      </c>
      <c r="F3010" s="2" t="str">
        <f>"M_INTEGRA_EXTERNO_FFIS"</f>
        <v>M_INTEGRA_EXTERNO_FFIS</v>
      </c>
      <c r="G3010" s="2" t="str">
        <f>" ()"</f>
        <v xml:space="preserve"> ()</v>
      </c>
    </row>
    <row r="3011" spans="1:7" x14ac:dyDescent="0.3">
      <c r="A3011" s="1" t="s">
        <v>4</v>
      </c>
      <c r="B3011" s="2" t="str">
        <f t="shared" si="253"/>
        <v>SISTEMA FATURAMENTO INTERNAÇÃO SUS</v>
      </c>
      <c r="C3011" s="2" t="str">
        <f t="shared" si="254"/>
        <v>FATUR-SUS</v>
      </c>
      <c r="D3011" s="2" t="str">
        <f t="shared" si="255"/>
        <v>FFIS</v>
      </c>
      <c r="E3011" s="2" t="str">
        <f>"RELATORIO DE CONTROLE DE AUTOR DE AIH"</f>
        <v>RELATORIO DE CONTROLE DE AUTOR DE AIH</v>
      </c>
      <c r="F3011" s="2" t="str">
        <f>"R_CONTROLE_AUTOR_AIH_321"</f>
        <v>R_CONTROLE_AUTOR_AIH_321</v>
      </c>
      <c r="G3011" s="2" t="str">
        <f>" ()"</f>
        <v xml:space="preserve"> ()</v>
      </c>
    </row>
    <row r="3012" spans="1:7" x14ac:dyDescent="0.3">
      <c r="A3012" s="1" t="s">
        <v>4</v>
      </c>
      <c r="B3012" s="2" t="str">
        <f t="shared" si="253"/>
        <v>SISTEMA FATURAMENTO INTERNAÇÃO SUS</v>
      </c>
      <c r="C3012" s="2" t="str">
        <f t="shared" si="254"/>
        <v>FATUR-SUS</v>
      </c>
      <c r="D3012" s="2" t="str">
        <f t="shared" si="255"/>
        <v>FFIS</v>
      </c>
      <c r="E3012" s="2" t="str">
        <f>"RELATORIO DE ATENDIMENTOS SUSPENSOS"</f>
        <v>RELATORIO DE ATENDIMENTOS SUSPENSOS</v>
      </c>
      <c r="F3012" s="2" t="str">
        <f>"R_ATENDIMENTOS_SUSPENSOS"</f>
        <v>R_ATENDIMENTOS_SUSPENSOS</v>
      </c>
      <c r="G3012" s="2" t="str">
        <f>"Faturamento / Faturamento de Internação SUS (AIH) / Relatórios / Operacionais / Atendimentos Suspensos (R_ATENDIMENTOS_SUSPENSOS)"</f>
        <v>Faturamento / Faturamento de Internação SUS (AIH) / Relatórios / Operacionais / Atendimentos Suspensos (R_ATENDIMENTOS_SUSPENSOS)</v>
      </c>
    </row>
    <row r="3013" spans="1:7" x14ac:dyDescent="0.3">
      <c r="A3013" s="1" t="s">
        <v>4</v>
      </c>
      <c r="B3013" s="2" t="str">
        <f t="shared" si="253"/>
        <v>SISTEMA FATURAMENTO INTERNAÇÃO SUS</v>
      </c>
      <c r="C3013" s="2" t="str">
        <f t="shared" si="254"/>
        <v>FATUR-SUS</v>
      </c>
      <c r="D3013" s="2" t="str">
        <f t="shared" si="255"/>
        <v>FFIS</v>
      </c>
      <c r="E3013" s="2" t="str">
        <f>"RELATORIO DE CUSTO P321"</f>
        <v>RELATORIO DE CUSTO P321</v>
      </c>
      <c r="F3013" s="2" t="str">
        <f>"R_ANALISE_CUSTO_P321"</f>
        <v>R_ANALISE_CUSTO_P321</v>
      </c>
      <c r="G3013" s="2" t="str">
        <f>" ()"</f>
        <v xml:space="preserve"> ()</v>
      </c>
    </row>
    <row r="3014" spans="1:7" x14ac:dyDescent="0.3">
      <c r="A3014" s="1" t="s">
        <v>4</v>
      </c>
      <c r="B3014" s="2" t="str">
        <f t="shared" si="253"/>
        <v>SISTEMA FATURAMENTO INTERNAÇÃO SUS</v>
      </c>
      <c r="C3014" s="2" t="str">
        <f t="shared" si="254"/>
        <v>FATUR-SUS</v>
      </c>
      <c r="D3014" s="2" t="str">
        <f t="shared" si="255"/>
        <v>FFIS</v>
      </c>
      <c r="E3014" s="2" t="str">
        <f>"CADASTRO: CLASSIFICAÇÃO DE FATURAMENTO"</f>
        <v>CADASTRO: CLASSIFICAÇÃO DE FATURAMENTO</v>
      </c>
      <c r="F3014" s="2" t="str">
        <f>"M_REGISTRO_CIVIL"</f>
        <v>M_REGISTRO_CIVIL</v>
      </c>
      <c r="G3014" s="2" t="str">
        <f>"Faturamento / Faturamento de Internação SUS (AIH) / Lançamentos / Registro Civil e SIS PRE-NATAL (M_REGISTRO_CIVIL)"</f>
        <v>Faturamento / Faturamento de Internação SUS (AIH) / Lançamentos / Registro Civil e SIS PRE-NATAL (M_REGISTRO_CIVIL)</v>
      </c>
    </row>
    <row r="3015" spans="1:7" x14ac:dyDescent="0.3">
      <c r="A3015" s="1" t="s">
        <v>4</v>
      </c>
      <c r="B3015" s="2" t="str">
        <f t="shared" si="253"/>
        <v>SISTEMA FATURAMENTO INTERNAÇÃO SUS</v>
      </c>
      <c r="C3015" s="2" t="str">
        <f t="shared" si="254"/>
        <v>FATUR-SUS</v>
      </c>
      <c r="D3015" s="2" t="str">
        <f t="shared" si="255"/>
        <v>FFIS</v>
      </c>
      <c r="E3015" s="2" t="str">
        <f>"AIH AUTORIZADA PELO GESTOR"</f>
        <v>AIH AUTORIZADA PELO GESTOR</v>
      </c>
      <c r="F3015" s="2" t="str">
        <f>"R_AIH_AUT_GESTOR_P321"</f>
        <v>R_AIH_AUT_GESTOR_P321</v>
      </c>
      <c r="G3015" s="2" t="str">
        <f>" ()"</f>
        <v xml:space="preserve"> ()</v>
      </c>
    </row>
    <row r="3016" spans="1:7" x14ac:dyDescent="0.3">
      <c r="A3016" s="1" t="s">
        <v>4</v>
      </c>
      <c r="B3016" s="2" t="str">
        <f t="shared" si="253"/>
        <v>SISTEMA FATURAMENTO INTERNAÇÃO SUS</v>
      </c>
      <c r="C3016" s="2" t="str">
        <f t="shared" si="254"/>
        <v>FATUR-SUS</v>
      </c>
      <c r="D3016" s="2" t="str">
        <f t="shared" si="255"/>
        <v>FFIS</v>
      </c>
      <c r="E3016" s="2" t="str">
        <f>"RECEITA POR PROCEDIMENTO"</f>
        <v>RECEITA POR PROCEDIMENTO</v>
      </c>
      <c r="F3016" s="2" t="str">
        <f>"R_FAT_PROCEDIMENTO_P321"</f>
        <v>R_FAT_PROCEDIMENTO_P321</v>
      </c>
      <c r="G3016" s="2" t="str">
        <f>" ()"</f>
        <v xml:space="preserve"> ()</v>
      </c>
    </row>
    <row r="3017" spans="1:7" x14ac:dyDescent="0.3">
      <c r="A3017" s="1" t="s">
        <v>4</v>
      </c>
      <c r="B3017" s="2" t="str">
        <f t="shared" si="253"/>
        <v>SISTEMA FATURAMENTO INTERNAÇÃO SUS</v>
      </c>
      <c r="C3017" s="2" t="str">
        <f t="shared" si="254"/>
        <v>FATUR-SUS</v>
      </c>
      <c r="D3017" s="2" t="str">
        <f t="shared" si="255"/>
        <v>FFIS</v>
      </c>
      <c r="E3017" s="2" t="str">
        <f>"PRODUTIVIDADE PRESTADOR POR REMESSA"</f>
        <v>PRODUTIVIDADE PRESTADOR POR REMESSA</v>
      </c>
      <c r="F3017" s="2" t="str">
        <f>"R_PROD_PREST_321"</f>
        <v>R_PROD_PREST_321</v>
      </c>
      <c r="G3017" s="2" t="str">
        <f>" ()"</f>
        <v xml:space="preserve"> ()</v>
      </c>
    </row>
    <row r="3018" spans="1:7" x14ac:dyDescent="0.3">
      <c r="A3018" s="1" t="s">
        <v>4</v>
      </c>
      <c r="B3018" s="2" t="str">
        <f t="shared" si="253"/>
        <v>SISTEMA FATURAMENTO INTERNAÇÃO SUS</v>
      </c>
      <c r="C3018" s="2" t="str">
        <f t="shared" si="254"/>
        <v>FATUR-SUS</v>
      </c>
      <c r="D3018" s="2" t="str">
        <f t="shared" si="255"/>
        <v>FFIS</v>
      </c>
      <c r="E3018" s="2" t="str">
        <f>"PREVISÃO GLOBAL DE RECEITA POR SETOR"</f>
        <v>PREVISÃO GLOBAL DE RECEITA POR SETOR</v>
      </c>
      <c r="F3018" s="2" t="str">
        <f>"R_PREV_REC_GLO_SET_321"</f>
        <v>R_PREV_REC_GLO_SET_321</v>
      </c>
      <c r="G3018" s="2" t="str">
        <f>"Faturamento / Faturamento de Internação SUS (AIH) / Relatórios / Gerenciais / Previsão de Receita / Previsão de Receita por Setor (R_PREV_REC_GLO_SET_321)"</f>
        <v>Faturamento / Faturamento de Internação SUS (AIH) / Relatórios / Gerenciais / Previsão de Receita / Previsão de Receita por Setor (R_PREV_REC_GLO_SET_321)</v>
      </c>
    </row>
    <row r="3019" spans="1:7" x14ac:dyDescent="0.3">
      <c r="A3019" s="1" t="s">
        <v>4</v>
      </c>
      <c r="B3019" s="2" t="str">
        <f t="shared" si="253"/>
        <v>SISTEMA FATURAMENTO INTERNAÇÃO SUS</v>
      </c>
      <c r="C3019" s="2" t="str">
        <f t="shared" si="254"/>
        <v>FATUR-SUS</v>
      </c>
      <c r="D3019" s="2" t="str">
        <f t="shared" si="255"/>
        <v>FFIS</v>
      </c>
      <c r="E3019" s="2" t="str">
        <f>"SALDO UTI"</f>
        <v>SALDO UTI</v>
      </c>
      <c r="F3019" s="2" t="str">
        <f>"R_SALDO_UTI"</f>
        <v>R_SALDO_UTI</v>
      </c>
      <c r="G3019" s="2" t="str">
        <f>" ()"</f>
        <v xml:space="preserve"> ()</v>
      </c>
    </row>
    <row r="3020" spans="1:7" x14ac:dyDescent="0.3">
      <c r="A3020" s="1" t="s">
        <v>4</v>
      </c>
      <c r="B3020" s="2" t="str">
        <f t="shared" si="253"/>
        <v>SISTEMA FATURAMENTO INTERNAÇÃO SUS</v>
      </c>
      <c r="C3020" s="2" t="str">
        <f t="shared" si="254"/>
        <v>FATUR-SUS</v>
      </c>
      <c r="D3020" s="2" t="str">
        <f t="shared" si="255"/>
        <v>FFIS</v>
      </c>
      <c r="E3020" s="2" t="str">
        <f>"PACIENTES HOMÔNIMOS"</f>
        <v>PACIENTES HOMÔNIMOS</v>
      </c>
      <c r="F3020" s="2" t="str">
        <f>"R_PACIENTES_HOMONIMOS_321"</f>
        <v>R_PACIENTES_HOMONIMOS_321</v>
      </c>
      <c r="G3020" s="2" t="str">
        <f>" ()"</f>
        <v xml:space="preserve"> ()</v>
      </c>
    </row>
    <row r="3021" spans="1:7" x14ac:dyDescent="0.3">
      <c r="A3021" s="1" t="s">
        <v>4</v>
      </c>
      <c r="B3021" s="2" t="str">
        <f t="shared" si="253"/>
        <v>SISTEMA FATURAMENTO INTERNAÇÃO SUS</v>
      </c>
      <c r="C3021" s="2" t="str">
        <f t="shared" si="254"/>
        <v>FATUR-SUS</v>
      </c>
      <c r="D3021" s="2" t="str">
        <f t="shared" si="255"/>
        <v>FFIS</v>
      </c>
      <c r="E3021" s="2" t="str">
        <f>"CONFERENCIA CONTAS AIH"</f>
        <v>CONFERENCIA CONTAS AIH</v>
      </c>
      <c r="F3021" s="2" t="str">
        <f>"R_CONFERENCIA_AIH"</f>
        <v>R_CONFERENCIA_AIH</v>
      </c>
      <c r="G3021" s="2" t="str">
        <f>"Faturamento / Faturamento de Internação SUS (AIH) / Relatórios / Operacionais / Conferencia AIH (R_CONFERENCIA_AIH)"</f>
        <v>Faturamento / Faturamento de Internação SUS (AIH) / Relatórios / Operacionais / Conferencia AIH (R_CONFERENCIA_AIH)</v>
      </c>
    </row>
    <row r="3022" spans="1:7" x14ac:dyDescent="0.3">
      <c r="A3022" s="1" t="s">
        <v>4</v>
      </c>
      <c r="B3022" s="2" t="str">
        <f t="shared" ref="B3022:B3085" si="258">"SISTEMA FATURAMENTO INTERNAÇÃO SUS"</f>
        <v>SISTEMA FATURAMENTO INTERNAÇÃO SUS</v>
      </c>
      <c r="C3022" s="2" t="str">
        <f t="shared" ref="C3022:C3085" si="259">"FATUR-SUS"</f>
        <v>FATUR-SUS</v>
      </c>
      <c r="D3022" s="2" t="str">
        <f t="shared" ref="D3022:D3085" si="260">"FFIS"</f>
        <v>FFIS</v>
      </c>
      <c r="E3022" s="2" t="str">
        <f>"CONFERÊNCIA DE PROCEDIMENTOS"</f>
        <v>CONFERÊNCIA DE PROCEDIMENTOS</v>
      </c>
      <c r="F3022" s="2" t="str">
        <f>"R_CONF_PROCEDIMENTO_P321"</f>
        <v>R_CONF_PROCEDIMENTO_P321</v>
      </c>
      <c r="G3022" s="2" t="str">
        <f>"Faturamento / Faturamento de Internação SUS (AIH) / Relatórios / Operacionais / Conferencia por Procedimento (R_CONF_PROCEDIMENTO_P321)"</f>
        <v>Faturamento / Faturamento de Internação SUS (AIH) / Relatórios / Operacionais / Conferencia por Procedimento (R_CONF_PROCEDIMENTO_P321)</v>
      </c>
    </row>
    <row r="3023" spans="1:7" x14ac:dyDescent="0.3">
      <c r="A3023" s="1" t="s">
        <v>4</v>
      </c>
      <c r="B3023" s="2" t="str">
        <f t="shared" si="258"/>
        <v>SISTEMA FATURAMENTO INTERNAÇÃO SUS</v>
      </c>
      <c r="C3023" s="2" t="str">
        <f t="shared" si="259"/>
        <v>FATUR-SUS</v>
      </c>
      <c r="D3023" s="2" t="str">
        <f t="shared" si="260"/>
        <v>FFIS</v>
      </c>
      <c r="E3023" s="2" t="str">
        <f>"RELATÓRIO DE PRESTADORES"</f>
        <v>RELATÓRIO DE PRESTADORES</v>
      </c>
      <c r="F3023" s="2" t="str">
        <f>"R_PRESTADORES_P321"</f>
        <v>R_PRESTADORES_P321</v>
      </c>
      <c r="G3023" s="2" t="str">
        <f>"Faturamento / Faturamento de Internação SUS (AIH) / Relatórios / Cadastrais / Prestador (R_PRESTADORES_P321)"</f>
        <v>Faturamento / Faturamento de Internação SUS (AIH) / Relatórios / Cadastrais / Prestador (R_PRESTADORES_P321)</v>
      </c>
    </row>
    <row r="3024" spans="1:7" x14ac:dyDescent="0.3">
      <c r="A3024" s="1" t="s">
        <v>4</v>
      </c>
      <c r="B3024" s="2" t="str">
        <f t="shared" si="258"/>
        <v>SISTEMA FATURAMENTO INTERNAÇÃO SUS</v>
      </c>
      <c r="C3024" s="2" t="str">
        <f t="shared" si="259"/>
        <v>FATUR-SUS</v>
      </c>
      <c r="D3024" s="2" t="str">
        <f t="shared" si="260"/>
        <v>FFIS</v>
      </c>
      <c r="E3024" s="2" t="str">
        <f>"CONTROLE DE CONTAS NÃO FATURADAS"</f>
        <v>CONTROLE DE CONTAS NÃO FATURADAS</v>
      </c>
      <c r="F3024" s="2" t="str">
        <f>"M_CONTA_NAO_FATURADA"</f>
        <v>M_CONTA_NAO_FATURADA</v>
      </c>
      <c r="G3024" s="2" t="str">
        <f>" ()"</f>
        <v xml:space="preserve"> ()</v>
      </c>
    </row>
    <row r="3025" spans="1:7" x14ac:dyDescent="0.3">
      <c r="A3025" s="1" t="s">
        <v>4</v>
      </c>
      <c r="B3025" s="2" t="str">
        <f t="shared" si="258"/>
        <v>SISTEMA FATURAMENTO INTERNAÇÃO SUS</v>
      </c>
      <c r="C3025" s="2" t="str">
        <f t="shared" si="259"/>
        <v>FATUR-SUS</v>
      </c>
      <c r="D3025" s="2" t="str">
        <f t="shared" si="260"/>
        <v>FFIS</v>
      </c>
      <c r="E3025" s="2" t="str">
        <f>"M_PRES_ATI_MED"</f>
        <v>M_PRES_ATI_MED</v>
      </c>
      <c r="F3025" s="2" t="str">
        <f>"M_PRES_ATI_MED SUS"</f>
        <v>M_PRES_ATI_MED SUS</v>
      </c>
      <c r="G3025" s="2" t="str">
        <f>" ()"</f>
        <v xml:space="preserve"> ()</v>
      </c>
    </row>
    <row r="3026" spans="1:7" x14ac:dyDescent="0.3">
      <c r="A3026" s="1" t="s">
        <v>4</v>
      </c>
      <c r="B3026" s="2" t="str">
        <f t="shared" si="258"/>
        <v>SISTEMA FATURAMENTO INTERNAÇÃO SUS</v>
      </c>
      <c r="C3026" s="2" t="str">
        <f t="shared" si="259"/>
        <v>FATUR-SUS</v>
      </c>
      <c r="D3026" s="2" t="str">
        <f t="shared" si="260"/>
        <v>FFIS</v>
      </c>
      <c r="E3026" s="2" t="str">
        <f>"CADASTRO: FATURAS DO SIA-SUS"</f>
        <v>CADASTRO: FATURAS DO SIA-SUS</v>
      </c>
      <c r="F3026" s="2" t="str">
        <f>"M_JUST_GLOSA_SUS"</f>
        <v>M_JUST_GLOSA_SUS</v>
      </c>
      <c r="G3026" s="2" t="str">
        <f>"Faturamento / Faturamento de Internação SUS (AIH) / Tabelas / Justifica Glosas SUS (M_JUST_GLOSA_SUS)"</f>
        <v>Faturamento / Faturamento de Internação SUS (AIH) / Tabelas / Justifica Glosas SUS (M_JUST_GLOSA_SUS)</v>
      </c>
    </row>
    <row r="3027" spans="1:7" x14ac:dyDescent="0.3">
      <c r="A3027" s="1" t="s">
        <v>4</v>
      </c>
      <c r="B3027" s="2" t="str">
        <f t="shared" si="258"/>
        <v>SISTEMA FATURAMENTO INTERNAÇÃO SUS</v>
      </c>
      <c r="C3027" s="2" t="str">
        <f t="shared" si="259"/>
        <v>FATUR-SUS</v>
      </c>
      <c r="D3027" s="2" t="str">
        <f t="shared" si="260"/>
        <v>FFIS</v>
      </c>
      <c r="E3027" s="2" t="str">
        <f>"WIN_PRINCIPAL"</f>
        <v>WIN_PRINCIPAL</v>
      </c>
      <c r="F3027" s="2" t="str">
        <f>"M_DEFINE_SET_EXA"</f>
        <v>M_DEFINE_SET_EXA</v>
      </c>
      <c r="G3027" s="2" t="str">
        <f>"Faturamento / Faturamento de Internação SUS (AIH) / Configurações / Restrição de Exportação (M_DEFINE_SET_EXA)"</f>
        <v>Faturamento / Faturamento de Internação SUS (AIH) / Configurações / Restrição de Exportação (M_DEFINE_SET_EXA)</v>
      </c>
    </row>
    <row r="3028" spans="1:7" x14ac:dyDescent="0.3">
      <c r="A3028" s="1" t="s">
        <v>4</v>
      </c>
      <c r="B3028" s="2" t="str">
        <f t="shared" si="258"/>
        <v>SISTEMA FATURAMENTO INTERNAÇÃO SUS</v>
      </c>
      <c r="C3028" s="2" t="str">
        <f t="shared" si="259"/>
        <v>FATUR-SUS</v>
      </c>
      <c r="D3028" s="2" t="str">
        <f t="shared" si="260"/>
        <v>FFIS</v>
      </c>
      <c r="E3028" s="2" t="str">
        <f>"GERAÇÃO DE ARQUIVO ACH"</f>
        <v>GERAÇÃO DE ARQUIVO ACH</v>
      </c>
      <c r="F3028" s="2" t="str">
        <f>"M_GERA_ACH"</f>
        <v>M_GERA_ACH</v>
      </c>
      <c r="G3028" s="2" t="str">
        <f>"Faturamento / Faturamento de Internação SUS (AIH) / Lançamentos / ACH / Geração do Arquivo ACH (M_GERA_ACH)"</f>
        <v>Faturamento / Faturamento de Internação SUS (AIH) / Lançamentos / ACH / Geração do Arquivo ACH (M_GERA_ACH)</v>
      </c>
    </row>
    <row r="3029" spans="1:7" x14ac:dyDescent="0.3">
      <c r="A3029" s="1" t="s">
        <v>4</v>
      </c>
      <c r="B3029" s="2" t="str">
        <f t="shared" si="258"/>
        <v>SISTEMA FATURAMENTO INTERNAÇÃO SUS</v>
      </c>
      <c r="C3029" s="2" t="str">
        <f t="shared" si="259"/>
        <v>FATUR-SUS</v>
      </c>
      <c r="D3029" s="2" t="str">
        <f t="shared" si="260"/>
        <v>FFIS</v>
      </c>
      <c r="E3029" s="2" t="str">
        <f>"COMPLEXIDADE"</f>
        <v>COMPLEXIDADE</v>
      </c>
      <c r="F3029" s="2" t="str">
        <f>"M_COMPLEXIDADE"</f>
        <v>M_COMPLEXIDADE</v>
      </c>
      <c r="G3029" s="2" t="str">
        <f>" ()"</f>
        <v xml:space="preserve"> ()</v>
      </c>
    </row>
    <row r="3030" spans="1:7" x14ac:dyDescent="0.3">
      <c r="A3030" s="1" t="s">
        <v>4</v>
      </c>
      <c r="B3030" s="2" t="str">
        <f t="shared" si="258"/>
        <v>SISTEMA FATURAMENTO INTERNAÇÃO SUS</v>
      </c>
      <c r="C3030" s="2" t="str">
        <f t="shared" si="259"/>
        <v>FATUR-SUS</v>
      </c>
      <c r="D3030" s="2" t="str">
        <f t="shared" si="260"/>
        <v>FFIS</v>
      </c>
      <c r="E3030" s="2" t="str">
        <f>"WIN_PRINCIPAL"</f>
        <v>WIN_PRINCIPAL</v>
      </c>
      <c r="F3030" s="2" t="str">
        <f>"R_RESUMO_INTERNACOES_2"</f>
        <v>R_RESUMO_INTERNACOES_2</v>
      </c>
      <c r="G3030" s="2" t="str">
        <f>" ()"</f>
        <v xml:space="preserve"> ()</v>
      </c>
    </row>
    <row r="3031" spans="1:7" x14ac:dyDescent="0.3">
      <c r="A3031" s="1" t="s">
        <v>4</v>
      </c>
      <c r="B3031" s="2" t="str">
        <f t="shared" si="258"/>
        <v>SISTEMA FATURAMENTO INTERNAÇÃO SUS</v>
      </c>
      <c r="C3031" s="2" t="str">
        <f t="shared" si="259"/>
        <v>FATUR-SUS</v>
      </c>
      <c r="D3031" s="2" t="str">
        <f t="shared" si="260"/>
        <v>FFIS</v>
      </c>
      <c r="E3031" s="2" t="str">
        <f>"RECIBO DE INTERNAÇÃO"</f>
        <v>RECIBO DE INTERNAÇÃO</v>
      </c>
      <c r="F3031" s="2" t="str">
        <f>"R_RECIBO_INTERNACAO_SUS"</f>
        <v>R_RECIBO_INTERNACAO_SUS</v>
      </c>
      <c r="G3031" s="2" t="str">
        <f>"Faturamento / Faturamento de Internação SUS (AIH) / Relatórios / Operacionais / Recibo de Internação (R_RECIBO_INTERNACAO_SUS)"</f>
        <v>Faturamento / Faturamento de Internação SUS (AIH) / Relatórios / Operacionais / Recibo de Internação (R_RECIBO_INTERNACAO_SUS)</v>
      </c>
    </row>
    <row r="3032" spans="1:7" x14ac:dyDescent="0.3">
      <c r="A3032" s="1" t="s">
        <v>4</v>
      </c>
      <c r="B3032" s="2" t="str">
        <f t="shared" si="258"/>
        <v>SISTEMA FATURAMENTO INTERNAÇÃO SUS</v>
      </c>
      <c r="C3032" s="2" t="str">
        <f t="shared" si="259"/>
        <v>FATUR-SUS</v>
      </c>
      <c r="D3032" s="2" t="str">
        <f t="shared" si="260"/>
        <v>FFIS</v>
      </c>
      <c r="E3032" s="2" t="str">
        <f>"PROCESSAMENTO DE PONTOS SADT"</f>
        <v>PROCESSAMENTO DE PONTOS SADT</v>
      </c>
      <c r="F3032" s="2" t="str">
        <f>"O_PROCESSA_SADT"</f>
        <v>O_PROCESSA_SADT</v>
      </c>
      <c r="G3032" s="2" t="str">
        <f>" ()"</f>
        <v xml:space="preserve"> ()</v>
      </c>
    </row>
    <row r="3033" spans="1:7" x14ac:dyDescent="0.3">
      <c r="A3033" s="1" t="s">
        <v>4</v>
      </c>
      <c r="B3033" s="2" t="str">
        <f t="shared" si="258"/>
        <v>SISTEMA FATURAMENTO INTERNAÇÃO SUS</v>
      </c>
      <c r="C3033" s="2" t="str">
        <f t="shared" si="259"/>
        <v>FATUR-SUS</v>
      </c>
      <c r="D3033" s="2" t="str">
        <f t="shared" si="260"/>
        <v>FFIS</v>
      </c>
      <c r="E3033" s="2" t="str">
        <f>"M_LAUDO_SUPLEMENTAR"</f>
        <v>M_LAUDO_SUPLEMENTAR</v>
      </c>
      <c r="F3033" s="2" t="str">
        <f>"M_LAUDO_SUPLEMENTAR"</f>
        <v>M_LAUDO_SUPLEMENTAR</v>
      </c>
      <c r="G3033" s="2" t="str">
        <f>" ()"</f>
        <v xml:space="preserve"> ()</v>
      </c>
    </row>
    <row r="3034" spans="1:7" x14ac:dyDescent="0.3">
      <c r="A3034" s="1" t="s">
        <v>4</v>
      </c>
      <c r="B3034" s="2" t="str">
        <f t="shared" si="258"/>
        <v>SISTEMA FATURAMENTO INTERNAÇÃO SUS</v>
      </c>
      <c r="C3034" s="2" t="str">
        <f t="shared" si="259"/>
        <v>FATUR-SUS</v>
      </c>
      <c r="D3034" s="2" t="str">
        <f t="shared" si="260"/>
        <v>FFIS</v>
      </c>
      <c r="E3034" s="2" t="str">
        <f>"WIN_PRINCIPAL - HOSPITAL MV SISTEMAS"</f>
        <v>WIN_PRINCIPAL - HOSPITAL MV SISTEMAS</v>
      </c>
      <c r="F3034" s="2" t="str">
        <f>"M_GRU_LAUDO_PRO"</f>
        <v>M_GRU_LAUDO_PRO</v>
      </c>
      <c r="G3034" s="2" t="str">
        <f>"Faturamento / Faturamento de Internação SUS (AIH) / Tabelas / Laudos / Procedimento por Grupo (M_GRU_LAUDO_PRO)"</f>
        <v>Faturamento / Faturamento de Internação SUS (AIH) / Tabelas / Laudos / Procedimento por Grupo (M_GRU_LAUDO_PRO)</v>
      </c>
    </row>
    <row r="3035" spans="1:7" x14ac:dyDescent="0.3">
      <c r="A3035" s="1" t="s">
        <v>4</v>
      </c>
      <c r="B3035" s="2" t="str">
        <f t="shared" si="258"/>
        <v>SISTEMA FATURAMENTO INTERNAÇÃO SUS</v>
      </c>
      <c r="C3035" s="2" t="str">
        <f t="shared" si="259"/>
        <v>FATUR-SUS</v>
      </c>
      <c r="D3035" s="2" t="str">
        <f t="shared" si="260"/>
        <v>FFIS</v>
      </c>
      <c r="E3035" s="2" t="str">
        <f>"CADASTRO: CARTÓRIOS"</f>
        <v>CADASTRO: CARTÓRIOS</v>
      </c>
      <c r="F3035" s="2" t="str">
        <f>"M_PROTOCOLA_LAUDO"</f>
        <v>M_PROTOCOLA_LAUDO</v>
      </c>
      <c r="G3035" s="2" t="str">
        <f>" ()"</f>
        <v xml:space="preserve"> ()</v>
      </c>
    </row>
    <row r="3036" spans="1:7" x14ac:dyDescent="0.3">
      <c r="A3036" s="1" t="s">
        <v>4</v>
      </c>
      <c r="B3036" s="2" t="str">
        <f t="shared" si="258"/>
        <v>SISTEMA FATURAMENTO INTERNAÇÃO SUS</v>
      </c>
      <c r="C3036" s="2" t="str">
        <f t="shared" si="259"/>
        <v>FATUR-SUS</v>
      </c>
      <c r="D3036" s="2" t="str">
        <f t="shared" si="260"/>
        <v>FFIS</v>
      </c>
      <c r="E3036" s="2" t="str">
        <f>"CADASTRO: CARTÓRIOS"</f>
        <v>CADASTRO: CARTÓRIOS</v>
      </c>
      <c r="F3036" s="2" t="str">
        <f>"M_EXPORTA_LAUDO"</f>
        <v>M_EXPORTA_LAUDO</v>
      </c>
      <c r="G3036" s="2" t="str">
        <f>" ()"</f>
        <v xml:space="preserve"> ()</v>
      </c>
    </row>
    <row r="3037" spans="1:7" x14ac:dyDescent="0.3">
      <c r="A3037" s="1" t="s">
        <v>4</v>
      </c>
      <c r="B3037" s="2" t="str">
        <f t="shared" si="258"/>
        <v>SISTEMA FATURAMENTO INTERNAÇÃO SUS</v>
      </c>
      <c r="C3037" s="2" t="str">
        <f t="shared" si="259"/>
        <v>FATUR-SUS</v>
      </c>
      <c r="D3037" s="2" t="str">
        <f t="shared" si="260"/>
        <v>FFIS</v>
      </c>
      <c r="E3037" s="2" t="str">
        <f>"R_CONTROLE_AUTORIZACAO_AIH"</f>
        <v>R_CONTROLE_AUTORIZACAO_AIH</v>
      </c>
      <c r="F3037" s="2" t="str">
        <f>"R_CONTROLE_AUTORIZACAO_AIH"</f>
        <v>R_CONTROLE_AUTORIZACAO_AIH</v>
      </c>
      <c r="G3037" s="2" t="str">
        <f>" ()"</f>
        <v xml:space="preserve"> ()</v>
      </c>
    </row>
    <row r="3038" spans="1:7" x14ac:dyDescent="0.3">
      <c r="A3038" s="1" t="s">
        <v>4</v>
      </c>
      <c r="B3038" s="2" t="str">
        <f t="shared" si="258"/>
        <v>SISTEMA FATURAMENTO INTERNAÇÃO SUS</v>
      </c>
      <c r="C3038" s="2" t="str">
        <f t="shared" si="259"/>
        <v>FATUR-SUS</v>
      </c>
      <c r="D3038" s="2" t="str">
        <f t="shared" si="260"/>
        <v>FFIS</v>
      </c>
      <c r="E3038" s="2" t="str">
        <f>"HABILITAÇÕES SUS"</f>
        <v>HABILITAÇÕES SUS</v>
      </c>
      <c r="F3038" s="2" t="str">
        <f>"C_HABILITACOES"</f>
        <v>C_HABILITACOES</v>
      </c>
      <c r="G3038" s="2" t="str">
        <f>"Faturamento / Faturamento de Internação SUS (AIH) / Consultas / Habilitações (C_HABILITACOES)"</f>
        <v>Faturamento / Faturamento de Internação SUS (AIH) / Consultas / Habilitações (C_HABILITACOES)</v>
      </c>
    </row>
    <row r="3039" spans="1:7" x14ac:dyDescent="0.3">
      <c r="A3039" s="1" t="s">
        <v>4</v>
      </c>
      <c r="B3039" s="2" t="str">
        <f t="shared" si="258"/>
        <v>SISTEMA FATURAMENTO INTERNAÇÃO SUS</v>
      </c>
      <c r="C3039" s="2" t="str">
        <f t="shared" si="259"/>
        <v>FATUR-SUS</v>
      </c>
      <c r="D3039" s="2" t="str">
        <f t="shared" si="260"/>
        <v>FFIS</v>
      </c>
      <c r="E3039" s="2" t="str">
        <f>"RELATÓRIO DE MOTIVOS DE ALTA"</f>
        <v>RELATÓRIO DE MOTIVOS DE ALTA</v>
      </c>
      <c r="F3039" s="2" t="str">
        <f>"R_MOT_ALT"</f>
        <v>R_MOT_ALT</v>
      </c>
      <c r="G3039" s="2" t="str">
        <f>"Faturamento / Faturamento de Internação SUS (AIH) / Relatórios / Gerenciais / Motivos de Alta (R_MOT_ALT)"</f>
        <v>Faturamento / Faturamento de Internação SUS (AIH) / Relatórios / Gerenciais / Motivos de Alta (R_MOT_ALT)</v>
      </c>
    </row>
    <row r="3040" spans="1:7" x14ac:dyDescent="0.3">
      <c r="A3040" s="1" t="s">
        <v>4</v>
      </c>
      <c r="B3040" s="2" t="str">
        <f t="shared" si="258"/>
        <v>SISTEMA FATURAMENTO INTERNAÇÃO SUS</v>
      </c>
      <c r="C3040" s="2" t="str">
        <f t="shared" si="259"/>
        <v>FATUR-SUS</v>
      </c>
      <c r="D3040" s="2" t="str">
        <f t="shared" si="260"/>
        <v>FFIS</v>
      </c>
      <c r="E3040" s="2" t="str">
        <f>"RELATÓRIO DE DCIHS"</f>
        <v>RELATÓRIO DE DCIHS</v>
      </c>
      <c r="F3040" s="2" t="str">
        <f>"R_DCIH"</f>
        <v>R_DCIH</v>
      </c>
      <c r="G3040" s="2" t="str">
        <f>" ()"</f>
        <v xml:space="preserve"> ()</v>
      </c>
    </row>
    <row r="3041" spans="1:7" x14ac:dyDescent="0.3">
      <c r="A3041" s="1" t="s">
        <v>4</v>
      </c>
      <c r="B3041" s="2" t="str">
        <f t="shared" si="258"/>
        <v>SISTEMA FATURAMENTO INTERNAÇÃO SUS</v>
      </c>
      <c r="C3041" s="2" t="str">
        <f t="shared" si="259"/>
        <v>FATUR-SUS</v>
      </c>
      <c r="D3041" s="2" t="str">
        <f t="shared" si="260"/>
        <v>FFIS</v>
      </c>
      <c r="E3041" s="2" t="str">
        <f>"CADASTRO: CARTÓRIOS"</f>
        <v>CADASTRO: CARTÓRIOS</v>
      </c>
      <c r="F3041" s="2" t="str">
        <f>"M_LAUDO_ALTERA"</f>
        <v>M_LAUDO_ALTERA</v>
      </c>
      <c r="G3041" s="2" t="str">
        <f>" ()"</f>
        <v xml:space="preserve"> ()</v>
      </c>
    </row>
    <row r="3042" spans="1:7" x14ac:dyDescent="0.3">
      <c r="A3042" s="1" t="s">
        <v>4</v>
      </c>
      <c r="B3042" s="2" t="str">
        <f t="shared" si="258"/>
        <v>SISTEMA FATURAMENTO INTERNAÇÃO SUS</v>
      </c>
      <c r="C3042" s="2" t="str">
        <f t="shared" si="259"/>
        <v>FATUR-SUS</v>
      </c>
      <c r="D3042" s="2" t="str">
        <f t="shared" si="260"/>
        <v>FFIS</v>
      </c>
      <c r="E3042" s="2" t="str">
        <f>"CADASTRO: CARTÓRIOS"</f>
        <v>CADASTRO: CARTÓRIOS</v>
      </c>
      <c r="F3042" s="2" t="str">
        <f>"M_GRU_LAUDO"</f>
        <v>M_GRU_LAUDO</v>
      </c>
      <c r="G3042" s="2" t="str">
        <f>"Faturamento / Faturamento de Internação SUS (AIH) / Tabelas / Laudos / Grupo (M_GRU_LAUDO)"</f>
        <v>Faturamento / Faturamento de Internação SUS (AIH) / Tabelas / Laudos / Grupo (M_GRU_LAUDO)</v>
      </c>
    </row>
    <row r="3043" spans="1:7" x14ac:dyDescent="0.3">
      <c r="A3043" s="1" t="s">
        <v>4</v>
      </c>
      <c r="B3043" s="2" t="str">
        <f t="shared" si="258"/>
        <v>SISTEMA FATURAMENTO INTERNAÇÃO SUS</v>
      </c>
      <c r="C3043" s="2" t="str">
        <f t="shared" si="259"/>
        <v>FATUR-SUS</v>
      </c>
      <c r="D3043" s="2" t="str">
        <f t="shared" si="260"/>
        <v>FFIS</v>
      </c>
      <c r="E3043" s="2" t="str">
        <f>"CADASTRO: CARTÓRIOS"</f>
        <v>CADASTRO: CARTÓRIOS</v>
      </c>
      <c r="F3043" s="2" t="str">
        <f>"M_ETIQUETA_LAUDO"</f>
        <v>M_ETIQUETA_LAUDO</v>
      </c>
      <c r="G3043" s="2" t="str">
        <f>" ()"</f>
        <v xml:space="preserve"> ()</v>
      </c>
    </row>
    <row r="3044" spans="1:7" x14ac:dyDescent="0.3">
      <c r="A3044" s="1" t="s">
        <v>4</v>
      </c>
      <c r="B3044" s="2" t="str">
        <f t="shared" si="258"/>
        <v>SISTEMA FATURAMENTO INTERNAÇÃO SUS</v>
      </c>
      <c r="C3044" s="2" t="str">
        <f t="shared" si="259"/>
        <v>FATUR-SUS</v>
      </c>
      <c r="D3044" s="2" t="str">
        <f t="shared" si="260"/>
        <v>FFIS</v>
      </c>
      <c r="E3044" s="2" t="str">
        <f>"CADASTRO: CARTÓRIOS"</f>
        <v>CADASTRO: CARTÓRIOS</v>
      </c>
      <c r="F3044" s="2" t="str">
        <f>"M_CARTORIO"</f>
        <v>M_CARTORIO</v>
      </c>
      <c r="G3044" s="2" t="str">
        <f>"Faturamento / Faturamento de Internação SUS (AIH) / Tabelas / Prestadores / Cartórios (M_CARTORIO)"</f>
        <v>Faturamento / Faturamento de Internação SUS (AIH) / Tabelas / Prestadores / Cartórios (M_CARTORIO)</v>
      </c>
    </row>
    <row r="3045" spans="1:7" x14ac:dyDescent="0.3">
      <c r="A3045" s="1" t="s">
        <v>4</v>
      </c>
      <c r="B3045" s="2" t="str">
        <f t="shared" si="258"/>
        <v>SISTEMA FATURAMENTO INTERNAÇÃO SUS</v>
      </c>
      <c r="C3045" s="2" t="str">
        <f t="shared" si="259"/>
        <v>FATUR-SUS</v>
      </c>
      <c r="D3045" s="2" t="str">
        <f t="shared" si="260"/>
        <v>FFIS</v>
      </c>
      <c r="E3045" s="2" t="str">
        <f>"TELA DE REGISTRO DE GLOSA AIH"</f>
        <v>TELA DE REGISTRO DE GLOSA AIH</v>
      </c>
      <c r="F3045" s="2" t="str">
        <f>"M_GLOSA_SUS"</f>
        <v>M_GLOSA_SUS</v>
      </c>
      <c r="G3045" s="2" t="str">
        <f>" ()"</f>
        <v xml:space="preserve"> ()</v>
      </c>
    </row>
    <row r="3046" spans="1:7" x14ac:dyDescent="0.3">
      <c r="A3046" s="1" t="s">
        <v>4</v>
      </c>
      <c r="B3046" s="2" t="str">
        <f t="shared" si="258"/>
        <v>SISTEMA FATURAMENTO INTERNAÇÃO SUS</v>
      </c>
      <c r="C3046" s="2" t="str">
        <f t="shared" si="259"/>
        <v>FATUR-SUS</v>
      </c>
      <c r="D3046" s="2" t="str">
        <f t="shared" si="260"/>
        <v>FFIS</v>
      </c>
      <c r="E3046" s="2" t="str">
        <f>"RELATORIO DE ANALISE DE CUSTO"</f>
        <v>RELATORIO DE ANALISE DE CUSTO</v>
      </c>
      <c r="F3046" s="2" t="str">
        <f>"R_ANALISE_CUSTO"</f>
        <v>R_ANALISE_CUSTO</v>
      </c>
      <c r="G3046" s="2" t="str">
        <f>"Faturamento / Faturamento de Internação SUS (AIH) / Relatórios / Operacionais / Análise de Custo Paciente (R_ANALISE_CUSTO)"</f>
        <v>Faturamento / Faturamento de Internação SUS (AIH) / Relatórios / Operacionais / Análise de Custo Paciente (R_ANALISE_CUSTO)</v>
      </c>
    </row>
    <row r="3047" spans="1:7" x14ac:dyDescent="0.3">
      <c r="A3047" s="1" t="s">
        <v>4</v>
      </c>
      <c r="B3047" s="2" t="str">
        <f t="shared" si="258"/>
        <v>SISTEMA FATURAMENTO INTERNAÇÃO SUS</v>
      </c>
      <c r="C3047" s="2" t="str">
        <f t="shared" si="259"/>
        <v>FATUR-SUS</v>
      </c>
      <c r="D3047" s="2" t="str">
        <f t="shared" si="260"/>
        <v>FFIS</v>
      </c>
      <c r="E3047" s="2" t="str">
        <f>"PRODUTIVIDADE PRESTADOR POR COMPETENCIA"</f>
        <v>PRODUTIVIDADE PRESTADOR POR COMPETENCIA</v>
      </c>
      <c r="F3047" s="2" t="str">
        <f>"R_PROD_PRESTADOR_COMPET"</f>
        <v>R_PROD_PRESTADOR_COMPET</v>
      </c>
      <c r="G3047" s="2" t="str">
        <f>" ()"</f>
        <v xml:space="preserve"> ()</v>
      </c>
    </row>
    <row r="3048" spans="1:7" x14ac:dyDescent="0.3">
      <c r="A3048" s="1" t="s">
        <v>4</v>
      </c>
      <c r="B3048" s="2" t="str">
        <f t="shared" si="258"/>
        <v>SISTEMA FATURAMENTO INTERNAÇÃO SUS</v>
      </c>
      <c r="C3048" s="2" t="str">
        <f t="shared" si="259"/>
        <v>FATUR-SUS</v>
      </c>
      <c r="D3048" s="2" t="str">
        <f t="shared" si="260"/>
        <v>FFIS</v>
      </c>
      <c r="E3048" s="2" t="str">
        <f>"CONSULTA DE CONTAS"</f>
        <v>CONSULTA DE CONTAS</v>
      </c>
      <c r="F3048" s="2" t="str">
        <f>"C_CONSULTA_CONTA_P321"</f>
        <v>C_CONSULTA_CONTA_P321</v>
      </c>
      <c r="G3048" s="2" t="str">
        <f>"Faturamento / Faturamento de Internação SUS (AIH) / Consultas / Contas (C_CONSULTA_CONTA_P321)"</f>
        <v>Faturamento / Faturamento de Internação SUS (AIH) / Consultas / Contas (C_CONSULTA_CONTA_P321)</v>
      </c>
    </row>
    <row r="3049" spans="1:7" x14ac:dyDescent="0.3">
      <c r="A3049" s="1" t="s">
        <v>4</v>
      </c>
      <c r="B3049" s="2" t="str">
        <f t="shared" si="258"/>
        <v>SISTEMA FATURAMENTO INTERNAÇÃO SUS</v>
      </c>
      <c r="C3049" s="2" t="str">
        <f t="shared" si="259"/>
        <v>FATUR-SUS</v>
      </c>
      <c r="D3049" s="2" t="str">
        <f t="shared" si="260"/>
        <v>FFIS</v>
      </c>
      <c r="E3049" s="2" t="str">
        <f>"AUTOMAÇÃO LANÇAMENTO"</f>
        <v>AUTOMAÇÃO LANÇAMENTO</v>
      </c>
      <c r="F3049" s="2" t="str">
        <f>"M_AUTO_LANCAMENTO"</f>
        <v>M_AUTO_LANCAMENTO</v>
      </c>
      <c r="G3049" s="2" t="str">
        <f>"Faturamento / Faturamento de Internação SUS (AIH) / Tabelas / Prestadores / Automação do Lançamento (M_AUTO_LANCAMENTO)"</f>
        <v>Faturamento / Faturamento de Internação SUS (AIH) / Tabelas / Prestadores / Automação do Lançamento (M_AUTO_LANCAMENTO)</v>
      </c>
    </row>
    <row r="3050" spans="1:7" x14ac:dyDescent="0.3">
      <c r="A3050" s="1" t="s">
        <v>4</v>
      </c>
      <c r="B3050" s="2" t="str">
        <f t="shared" si="258"/>
        <v>SISTEMA FATURAMENTO INTERNAÇÃO SUS</v>
      </c>
      <c r="C3050" s="2" t="str">
        <f t="shared" si="259"/>
        <v>FATUR-SUS</v>
      </c>
      <c r="D3050" s="2" t="str">
        <f t="shared" si="260"/>
        <v>FFIS</v>
      </c>
      <c r="E3050" s="2" t="str">
        <f>"REMESSAS SUS"</f>
        <v>REMESSAS SUS</v>
      </c>
      <c r="F3050" s="2" t="str">
        <f>"M_REMESSA_SUS_P321"</f>
        <v>M_REMESSA_SUS_P321</v>
      </c>
      <c r="G3050" s="2" t="str">
        <f>"Faturamento / Faturamento de Internação SUS (AIH) / Tabelas / Faturas e Remessas (M_REMESSA_SUS_P321)"</f>
        <v>Faturamento / Faturamento de Internação SUS (AIH) / Tabelas / Faturas e Remessas (M_REMESSA_SUS_P321)</v>
      </c>
    </row>
    <row r="3051" spans="1:7" x14ac:dyDescent="0.3">
      <c r="A3051" s="1" t="s">
        <v>4</v>
      </c>
      <c r="B3051" s="2" t="str">
        <f t="shared" si="258"/>
        <v>SISTEMA FATURAMENTO INTERNAÇÃO SUS</v>
      </c>
      <c r="C3051" s="2" t="str">
        <f t="shared" si="259"/>
        <v>FATUR-SUS</v>
      </c>
      <c r="D3051" s="2" t="str">
        <f t="shared" si="260"/>
        <v>FFIS</v>
      </c>
      <c r="E3051" s="2" t="str">
        <f>"SADT"</f>
        <v>SADT</v>
      </c>
      <c r="F3051" s="2" t="str">
        <f>"M_SADT_PARAMETROS"</f>
        <v>M_SADT_PARAMETROS</v>
      </c>
      <c r="G3051" s="2" t="str">
        <f>"Faturamento / Faturamento de Internação SUS (AIH) / Tabelas / Procedimentos / SADT Parâmetros (M_SADT_PARAMETROS)"</f>
        <v>Faturamento / Faturamento de Internação SUS (AIH) / Tabelas / Procedimentos / SADT Parâmetros (M_SADT_PARAMETROS)</v>
      </c>
    </row>
    <row r="3052" spans="1:7" x14ac:dyDescent="0.3">
      <c r="A3052" s="1" t="s">
        <v>4</v>
      </c>
      <c r="B3052" s="2" t="str">
        <f t="shared" si="258"/>
        <v>SISTEMA FATURAMENTO INTERNAÇÃO SUS</v>
      </c>
      <c r="C3052" s="2" t="str">
        <f t="shared" si="259"/>
        <v>FATUR-SUS</v>
      </c>
      <c r="D3052" s="2" t="str">
        <f t="shared" si="260"/>
        <v>FFIS</v>
      </c>
      <c r="E3052" s="2" t="str">
        <f>"CONTROLE DE AUTORIZAÇÃO AIH"</f>
        <v>CONTROLE DE AUTORIZAÇÃO AIH</v>
      </c>
      <c r="F3052" s="2" t="str">
        <f>"M_CONTROLE_AUTOR_AIH_321"</f>
        <v>M_CONTROLE_AUTOR_AIH_321</v>
      </c>
      <c r="G3052" s="2" t="str">
        <f>"Faturamento / Faturamento de Internação SUS (AIH) / Lançamentos / Laudos Médicos / Controle/Recebimento de Autorização AIH (M_CONTROLE_AUTOR_AIH_321)"</f>
        <v>Faturamento / Faturamento de Internação SUS (AIH) / Lançamentos / Laudos Médicos / Controle/Recebimento de Autorização AIH (M_CONTROLE_AUTOR_AIH_321)</v>
      </c>
    </row>
    <row r="3053" spans="1:7" x14ac:dyDescent="0.3">
      <c r="A3053" s="1" t="s">
        <v>4</v>
      </c>
      <c r="B3053" s="2" t="str">
        <f t="shared" si="258"/>
        <v>SISTEMA FATURAMENTO INTERNAÇÃO SUS</v>
      </c>
      <c r="C3053" s="2" t="str">
        <f t="shared" si="259"/>
        <v>FATUR-SUS</v>
      </c>
      <c r="D3053" s="2" t="str">
        <f t="shared" si="260"/>
        <v>FFIS</v>
      </c>
      <c r="E3053" s="2" t="str">
        <f>"LAUDOS SUS"</f>
        <v>LAUDOS SUS</v>
      </c>
      <c r="F3053" s="2" t="str">
        <f>"M_LAUDOS_SUS"</f>
        <v>M_LAUDOS_SUS</v>
      </c>
      <c r="G3053" s="2" t="str">
        <f>"Faturamento / Faturamento de Internação SUS (AIH) / Lançamentos / Laudos Médicos / Controle de Laudos SUS (M_LAUDOS_SUS)"</f>
        <v>Faturamento / Faturamento de Internação SUS (AIH) / Lançamentos / Laudos Médicos / Controle de Laudos SUS (M_LAUDOS_SUS)</v>
      </c>
    </row>
    <row r="3054" spans="1:7" x14ac:dyDescent="0.3">
      <c r="A3054" s="1" t="s">
        <v>4</v>
      </c>
      <c r="B3054" s="2" t="str">
        <f t="shared" si="258"/>
        <v>SISTEMA FATURAMENTO INTERNAÇÃO SUS</v>
      </c>
      <c r="C3054" s="2" t="str">
        <f t="shared" si="259"/>
        <v>FATUR-SUS</v>
      </c>
      <c r="D3054" s="2" t="str">
        <f t="shared" si="260"/>
        <v>FFIS</v>
      </c>
      <c r="E3054" s="2" t="str">
        <f>"LANÇAMENTO AIH"</f>
        <v>LANÇAMENTO AIH</v>
      </c>
      <c r="F3054" s="2" t="str">
        <f>"M_LACTO_AIH_P321"</f>
        <v>M_LACTO_AIH_P321</v>
      </c>
      <c r="G3054" s="2" t="str">
        <f>"Faturamento / Faturamento de Internação SUS (AIH) / Lançamentos / Conta AIH (M_LACTO_AIH_P321)"</f>
        <v>Faturamento / Faturamento de Internação SUS (AIH) / Lançamentos / Conta AIH (M_LACTO_AIH_P321)</v>
      </c>
    </row>
    <row r="3055" spans="1:7" x14ac:dyDescent="0.3">
      <c r="A3055" s="1" t="s">
        <v>4</v>
      </c>
      <c r="B3055" s="2" t="str">
        <f t="shared" si="258"/>
        <v>SISTEMA FATURAMENTO INTERNAÇÃO SUS</v>
      </c>
      <c r="C3055" s="2" t="str">
        <f t="shared" si="259"/>
        <v>FATUR-SUS</v>
      </c>
      <c r="D3055" s="2" t="str">
        <f t="shared" si="260"/>
        <v>FFIS</v>
      </c>
      <c r="E3055" s="2" t="str">
        <f>"RELATÓRIO DE SADT SUS"</f>
        <v>RELATÓRIO DE SADT SUS</v>
      </c>
      <c r="F3055" s="2" t="str">
        <f>"R_SADT_SUS"</f>
        <v>R_SADT_SUS</v>
      </c>
      <c r="G3055" s="2" t="str">
        <f>"Faturamento / Faturamento de Internação SUS (AIH) / Relatórios / Gerenciais / Produtividade SADT (R_SADT_SUS)"</f>
        <v>Faturamento / Faturamento de Internação SUS (AIH) / Relatórios / Gerenciais / Produtividade SADT (R_SADT_SUS)</v>
      </c>
    </row>
    <row r="3056" spans="1:7" x14ac:dyDescent="0.3">
      <c r="A3056" s="1" t="s">
        <v>4</v>
      </c>
      <c r="B3056" s="2" t="str">
        <f t="shared" si="258"/>
        <v>SISTEMA FATURAMENTO INTERNAÇÃO SUS</v>
      </c>
      <c r="C3056" s="2" t="str">
        <f t="shared" si="259"/>
        <v>FATUR-SUS</v>
      </c>
      <c r="D3056" s="2" t="str">
        <f t="shared" si="260"/>
        <v>FFIS</v>
      </c>
      <c r="E3056" s="2" t="str">
        <f>"RELATÓRIO DE RECEITA DE HEMOTERAPIA"</f>
        <v>RELATÓRIO DE RECEITA DE HEMOTERAPIA</v>
      </c>
      <c r="F3056" s="2" t="str">
        <f>"R_FAT_SANGUE_P321"</f>
        <v>R_FAT_SANGUE_P321</v>
      </c>
      <c r="G3056" s="2" t="str">
        <f>"Faturamento / Faturamento de Internação SUS (AIH) / Relatórios / Gerenciais / Receita de Hemoterapia (R_FAT_SANGUE_P321)"</f>
        <v>Faturamento / Faturamento de Internação SUS (AIH) / Relatórios / Gerenciais / Receita de Hemoterapia (R_FAT_SANGUE_P321)</v>
      </c>
    </row>
    <row r="3057" spans="1:7" x14ac:dyDescent="0.3">
      <c r="A3057" s="1" t="s">
        <v>4</v>
      </c>
      <c r="B3057" s="2" t="str">
        <f t="shared" si="258"/>
        <v>SISTEMA FATURAMENTO INTERNAÇÃO SUS</v>
      </c>
      <c r="C3057" s="2" t="str">
        <f t="shared" si="259"/>
        <v>FATUR-SUS</v>
      </c>
      <c r="D3057" s="2" t="str">
        <f t="shared" si="260"/>
        <v>FFIS</v>
      </c>
      <c r="E3057" s="2" t="str">
        <f>"R_COMP_CONTRAT_RECEITA"</f>
        <v>R_COMP_CONTRAT_RECEITA</v>
      </c>
      <c r="F3057" s="2" t="str">
        <f>"R_COMP_CONTRAT_RECEITA"</f>
        <v>R_COMP_CONTRAT_RECEITA</v>
      </c>
      <c r="G3057" s="2" t="str">
        <f>"Faturamento / Faturamento de Internação SUS (AIH) / Relatórios / Gerenciais / Contratualização / Comparativo com receita (R_COMP_CONTRAT_RECEITA)"</f>
        <v>Faturamento / Faturamento de Internação SUS (AIH) / Relatórios / Gerenciais / Contratualização / Comparativo com receita (R_COMP_CONTRAT_RECEITA)</v>
      </c>
    </row>
    <row r="3058" spans="1:7" x14ac:dyDescent="0.3">
      <c r="A3058" s="1" t="s">
        <v>4</v>
      </c>
      <c r="B3058" s="2" t="str">
        <f t="shared" si="258"/>
        <v>SISTEMA FATURAMENTO INTERNAÇÃO SUS</v>
      </c>
      <c r="C3058" s="2" t="str">
        <f t="shared" si="259"/>
        <v>FATUR-SUS</v>
      </c>
      <c r="D3058" s="2" t="str">
        <f t="shared" si="260"/>
        <v>FFIS</v>
      </c>
      <c r="E3058" s="2" t="str">
        <f>"RELATÓRIO CADASTRAL DE CONTRATUALIZAÇÃO"</f>
        <v>RELATÓRIO CADASTRAL DE CONTRATUALIZAÇÃO</v>
      </c>
      <c r="F3058" s="2" t="str">
        <f>"R_CONTRATUALIZACAO"</f>
        <v>R_CONTRATUALIZACAO</v>
      </c>
      <c r="G3058" s="2" t="str">
        <f>"Faturamento / Faturamento de Internação SUS (AIH) / Relatórios / Gerenciais / Contratualização / Cadastral (R_CONTRATUALIZACAO)"</f>
        <v>Faturamento / Faturamento de Internação SUS (AIH) / Relatórios / Gerenciais / Contratualização / Cadastral (R_CONTRATUALIZACAO)</v>
      </c>
    </row>
    <row r="3059" spans="1:7" x14ac:dyDescent="0.3">
      <c r="A3059" s="1" t="s">
        <v>4</v>
      </c>
      <c r="B3059" s="2" t="str">
        <f t="shared" si="258"/>
        <v>SISTEMA FATURAMENTO INTERNAÇÃO SUS</v>
      </c>
      <c r="C3059" s="2" t="str">
        <f t="shared" si="259"/>
        <v>FATUR-SUS</v>
      </c>
      <c r="D3059" s="2" t="str">
        <f t="shared" si="260"/>
        <v>FFIS</v>
      </c>
      <c r="E3059" s="2" t="str">
        <f>"MOTIVOS DE COBRANCA"</f>
        <v>MOTIVOS DE COBRANCA</v>
      </c>
      <c r="F3059" s="2" t="str">
        <f>"M_MOTIVO_COBRANCA_SUS"</f>
        <v>M_MOTIVO_COBRANCA_SUS</v>
      </c>
      <c r="G3059" s="2" t="str">
        <f>"Faturamento / Faturamento de Internação SUS (AIH) / Tabelas / Gerais / Motivos de cobrança (M_MOTIVO_COBRANCA_SUS)"</f>
        <v>Faturamento / Faturamento de Internação SUS (AIH) / Tabelas / Gerais / Motivos de cobrança (M_MOTIVO_COBRANCA_SUS)</v>
      </c>
    </row>
    <row r="3060" spans="1:7" x14ac:dyDescent="0.3">
      <c r="A3060" s="1" t="s">
        <v>4</v>
      </c>
      <c r="B3060" s="2" t="str">
        <f t="shared" si="258"/>
        <v>SISTEMA FATURAMENTO INTERNAÇÃO SUS</v>
      </c>
      <c r="C3060" s="2" t="str">
        <f t="shared" si="259"/>
        <v>FATUR-SUS</v>
      </c>
      <c r="D3060" s="2" t="str">
        <f t="shared" si="260"/>
        <v>FFIS</v>
      </c>
      <c r="E3060" s="2" t="str">
        <f>"RELATORIO DE MOTIVOS DE ALTA"</f>
        <v>RELATORIO DE MOTIVOS DE ALTA</v>
      </c>
      <c r="F3060" s="2" t="str">
        <f>"R_MOT_ALTA_P321"</f>
        <v>R_MOT_ALTA_P321</v>
      </c>
      <c r="G3060" s="2" t="str">
        <f>" ()"</f>
        <v xml:space="preserve"> ()</v>
      </c>
    </row>
    <row r="3061" spans="1:7" x14ac:dyDescent="0.3">
      <c r="A3061" s="1" t="s">
        <v>4</v>
      </c>
      <c r="B3061" s="2" t="str">
        <f t="shared" si="258"/>
        <v>SISTEMA FATURAMENTO INTERNAÇÃO SUS</v>
      </c>
      <c r="C3061" s="2" t="str">
        <f t="shared" si="259"/>
        <v>FATUR-SUS</v>
      </c>
      <c r="D3061" s="2" t="str">
        <f t="shared" si="260"/>
        <v>FFIS</v>
      </c>
      <c r="E3061" s="2" t="str">
        <f>"DEMONST. DE AIH'S POR FINANCIAMENTO"</f>
        <v>DEMONST. DE AIH'S POR FINANCIAMENTO</v>
      </c>
      <c r="F3061" s="2" t="str">
        <f>"R_PROD_FINANCIAMENTO"</f>
        <v>R_PROD_FINANCIAMENTO</v>
      </c>
      <c r="G3061" s="2" t="str">
        <f>"Faturamento / Faturamento de Internação SUS (AIH) / Relatórios / Operacionais / Demonstrativo de AIH's por Financiamento (R_PROD_FINANCIAMENTO)"</f>
        <v>Faturamento / Faturamento de Internação SUS (AIH) / Relatórios / Operacionais / Demonstrativo de AIH's por Financiamento (R_PROD_FINANCIAMENTO)</v>
      </c>
    </row>
    <row r="3062" spans="1:7" x14ac:dyDescent="0.3">
      <c r="A3062" s="1" t="s">
        <v>4</v>
      </c>
      <c r="B3062" s="2" t="str">
        <f t="shared" si="258"/>
        <v>SISTEMA FATURAMENTO INTERNAÇÃO SUS</v>
      </c>
      <c r="C3062" s="2" t="str">
        <f t="shared" si="259"/>
        <v>FATUR-SUS</v>
      </c>
      <c r="D3062" s="2" t="str">
        <f t="shared" si="260"/>
        <v>FFIS</v>
      </c>
      <c r="E3062" s="2" t="str">
        <f>"CADASTRO DE ESTABELECIMENTO SOLICITANTE"</f>
        <v>CADASTRO DE ESTABELECIMENTO SOLICITANTE</v>
      </c>
      <c r="F3062" s="2" t="str">
        <f>"M_ESTABELECIMENTO_SOLICIT"</f>
        <v>M_ESTABELECIMENTO_SOLICIT</v>
      </c>
      <c r="G3062" s="2" t="str">
        <f>"Faturamento / Faturamento de Internação SUS (AIH) / Tabelas / Estabelecimento Solicitante (M_ESTABELECIMENTO_SOLICIT)"</f>
        <v>Faturamento / Faturamento de Internação SUS (AIH) / Tabelas / Estabelecimento Solicitante (M_ESTABELECIMENTO_SOLICIT)</v>
      </c>
    </row>
    <row r="3063" spans="1:7" x14ac:dyDescent="0.3">
      <c r="A3063" s="1" t="s">
        <v>4</v>
      </c>
      <c r="B3063" s="2" t="str">
        <f t="shared" si="258"/>
        <v>SISTEMA FATURAMENTO INTERNAÇÃO SUS</v>
      </c>
      <c r="C3063" s="2" t="str">
        <f t="shared" si="259"/>
        <v>FATUR-SUS</v>
      </c>
      <c r="D3063" s="2" t="str">
        <f t="shared" si="260"/>
        <v>FFIS</v>
      </c>
      <c r="E3063" s="2" t="str">
        <f>"CONTROLE DE UTI"</f>
        <v>CONTROLE DE UTI</v>
      </c>
      <c r="F3063" s="2" t="str">
        <f>"M_GERENCIA_UTI"</f>
        <v>M_GERENCIA_UTI</v>
      </c>
      <c r="G3063" s="2" t="str">
        <f>"Faturamento / Faturamento de Internação SUS (AIH) / Lançamentos / Controle UTI (M_GERENCIA_UTI)"</f>
        <v>Faturamento / Faturamento de Internação SUS (AIH) / Lançamentos / Controle UTI (M_GERENCIA_UTI)</v>
      </c>
    </row>
    <row r="3064" spans="1:7" x14ac:dyDescent="0.3">
      <c r="A3064" s="1" t="s">
        <v>4</v>
      </c>
      <c r="B3064" s="2" t="str">
        <f t="shared" si="258"/>
        <v>SISTEMA FATURAMENTO INTERNAÇÃO SUS</v>
      </c>
      <c r="C3064" s="2" t="str">
        <f t="shared" si="259"/>
        <v>FATUR-SUS</v>
      </c>
      <c r="D3064" s="2" t="str">
        <f t="shared" si="260"/>
        <v>FFIS</v>
      </c>
      <c r="E3064" s="2" t="str">
        <f>"PACIENTES ATENDIDOS NA UTI. SINTÉTICO"</f>
        <v>PACIENTES ATENDIDOS NA UTI. SINTÉTICO</v>
      </c>
      <c r="F3064" s="2" t="str">
        <f>"R_PACIENTES_UTI_P321_SINT"</f>
        <v>R_PACIENTES_UTI_P321_SINT</v>
      </c>
      <c r="G3064" s="2" t="str">
        <f t="shared" ref="G3064:G3071" si="261">" ()"</f>
        <v xml:space="preserve"> ()</v>
      </c>
    </row>
    <row r="3065" spans="1:7" x14ac:dyDescent="0.3">
      <c r="A3065" s="1" t="s">
        <v>4</v>
      </c>
      <c r="B3065" s="2" t="str">
        <f t="shared" si="258"/>
        <v>SISTEMA FATURAMENTO INTERNAÇÃO SUS</v>
      </c>
      <c r="C3065" s="2" t="str">
        <f t="shared" si="259"/>
        <v>FATUR-SUS</v>
      </c>
      <c r="D3065" s="2" t="str">
        <f t="shared" si="260"/>
        <v>FFIS</v>
      </c>
      <c r="E3065" s="2" t="str">
        <f>"REL. RECEITA DE HEMOTERAPIA SINTÉTICO"</f>
        <v>REL. RECEITA DE HEMOTERAPIA SINTÉTICO</v>
      </c>
      <c r="F3065" s="2" t="str">
        <f>"R_FAT_SANGUE_P321_SINT"</f>
        <v>R_FAT_SANGUE_P321_SINT</v>
      </c>
      <c r="G3065" s="2" t="str">
        <f t="shared" si="261"/>
        <v xml:space="preserve"> ()</v>
      </c>
    </row>
    <row r="3066" spans="1:7" x14ac:dyDescent="0.3">
      <c r="A3066" s="1" t="s">
        <v>4</v>
      </c>
      <c r="B3066" s="2" t="str">
        <f t="shared" si="258"/>
        <v>SISTEMA FATURAMENTO INTERNAÇÃO SUS</v>
      </c>
      <c r="C3066" s="2" t="str">
        <f t="shared" si="259"/>
        <v>FATUR-SUS</v>
      </c>
      <c r="D3066" s="2" t="str">
        <f t="shared" si="260"/>
        <v>FFIS</v>
      </c>
      <c r="E3066" s="2" t="str">
        <f>"REL. DE RECEITA POR MUNÍCIPIO SINTÉTICO"</f>
        <v>REL. DE RECEITA POR MUNÍCIPIO SINTÉTICO</v>
      </c>
      <c r="F3066" s="2" t="str">
        <f>"R_FAT_MUNICIPIO_321_SINT"</f>
        <v>R_FAT_MUNICIPIO_321_SINT</v>
      </c>
      <c r="G3066" s="2" t="str">
        <f t="shared" si="261"/>
        <v xml:space="preserve"> ()</v>
      </c>
    </row>
    <row r="3067" spans="1:7" x14ac:dyDescent="0.3">
      <c r="A3067" s="1" t="s">
        <v>4</v>
      </c>
      <c r="B3067" s="2" t="str">
        <f t="shared" si="258"/>
        <v>SISTEMA FATURAMENTO INTERNAÇÃO SUS</v>
      </c>
      <c r="C3067" s="2" t="str">
        <f t="shared" si="259"/>
        <v>FATUR-SUS</v>
      </c>
      <c r="D3067" s="2" t="str">
        <f t="shared" si="260"/>
        <v>FFIS</v>
      </c>
      <c r="E3067" s="2" t="str">
        <f>"REL. RECEITA POR PROCEDIMENTO SINT."</f>
        <v>REL. RECEITA POR PROCEDIMENTO SINT.</v>
      </c>
      <c r="F3067" s="2" t="str">
        <f>"R_FAT_PROCEDIMENTO_P321_SINT"</f>
        <v>R_FAT_PROCEDIMENTO_P321_SINT</v>
      </c>
      <c r="G3067" s="2" t="str">
        <f t="shared" si="261"/>
        <v xml:space="preserve"> ()</v>
      </c>
    </row>
    <row r="3068" spans="1:7" x14ac:dyDescent="0.3">
      <c r="A3068" s="1" t="s">
        <v>4</v>
      </c>
      <c r="B3068" s="2" t="str">
        <f t="shared" si="258"/>
        <v>SISTEMA FATURAMENTO INTERNAÇÃO SUS</v>
      </c>
      <c r="C3068" s="2" t="str">
        <f t="shared" si="259"/>
        <v>FATUR-SUS</v>
      </c>
      <c r="D3068" s="2" t="str">
        <f t="shared" si="260"/>
        <v>FFIS</v>
      </c>
      <c r="E3068" s="2" t="str">
        <f>"REL. POR MOTIVOS DE ALTA SINT."</f>
        <v>REL. POR MOTIVOS DE ALTA SINT.</v>
      </c>
      <c r="F3068" s="2" t="str">
        <f>"R_MOT_ALTA_P321_SINT"</f>
        <v>R_MOT_ALTA_P321_SINT</v>
      </c>
      <c r="G3068" s="2" t="str">
        <f t="shared" si="261"/>
        <v xml:space="preserve"> ()</v>
      </c>
    </row>
    <row r="3069" spans="1:7" x14ac:dyDescent="0.3">
      <c r="A3069" s="1" t="s">
        <v>4</v>
      </c>
      <c r="B3069" s="2" t="str">
        <f t="shared" si="258"/>
        <v>SISTEMA FATURAMENTO INTERNAÇÃO SUS</v>
      </c>
      <c r="C3069" s="2" t="str">
        <f t="shared" si="259"/>
        <v>FATUR-SUS</v>
      </c>
      <c r="D3069" s="2" t="str">
        <f t="shared" si="260"/>
        <v>FFIS</v>
      </c>
      <c r="E3069" s="2" t="str">
        <f>"REL. PROC. COM ALTA ÓBITO SINT."</f>
        <v>REL. PROC. COM ALTA ÓBITO SINT.</v>
      </c>
      <c r="F3069" s="2" t="str">
        <f>"R_PROC_MOT_ALT_P321_SINT"</f>
        <v>R_PROC_MOT_ALT_P321_SINT</v>
      </c>
      <c r="G3069" s="2" t="str">
        <f t="shared" si="261"/>
        <v xml:space="preserve"> ()</v>
      </c>
    </row>
    <row r="3070" spans="1:7" x14ac:dyDescent="0.3">
      <c r="A3070" s="1" t="s">
        <v>4</v>
      </c>
      <c r="B3070" s="2" t="str">
        <f t="shared" si="258"/>
        <v>SISTEMA FATURAMENTO INTERNAÇÃO SUS</v>
      </c>
      <c r="C3070" s="2" t="str">
        <f t="shared" si="259"/>
        <v>FATUR-SUS</v>
      </c>
      <c r="D3070" s="2" t="str">
        <f t="shared" si="260"/>
        <v>FFIS</v>
      </c>
      <c r="E3070" s="2" t="str">
        <f>"PROD. POR PRESTADOR E COMPETENCIA SINT."</f>
        <v>PROD. POR PRESTADOR E COMPETENCIA SINT.</v>
      </c>
      <c r="F3070" s="2" t="str">
        <f>"R_PROD_PREST_CPT_321_SINT"</f>
        <v>R_PROD_PREST_CPT_321_SINT</v>
      </c>
      <c r="G3070" s="2" t="str">
        <f t="shared" si="261"/>
        <v xml:space="preserve"> ()</v>
      </c>
    </row>
    <row r="3071" spans="1:7" x14ac:dyDescent="0.3">
      <c r="A3071" s="1" t="s">
        <v>4</v>
      </c>
      <c r="B3071" s="2" t="str">
        <f t="shared" si="258"/>
        <v>SISTEMA FATURAMENTO INTERNAÇÃO SUS</v>
      </c>
      <c r="C3071" s="2" t="str">
        <f t="shared" si="259"/>
        <v>FATUR-SUS</v>
      </c>
      <c r="D3071" s="2" t="str">
        <f t="shared" si="260"/>
        <v>FFIS</v>
      </c>
      <c r="E3071" s="2" t="str">
        <f>"REL. PRODUTIVIDADE POR REMESSA SINT."</f>
        <v>REL. PRODUTIVIDADE POR REMESSA SINT.</v>
      </c>
      <c r="F3071" s="2" t="str">
        <f>"R_PROD_PREST_321_SINT"</f>
        <v>R_PROD_PREST_321_SINT</v>
      </c>
      <c r="G3071" s="2" t="str">
        <f t="shared" si="261"/>
        <v xml:space="preserve"> ()</v>
      </c>
    </row>
    <row r="3072" spans="1:7" x14ac:dyDescent="0.3">
      <c r="A3072" s="1" t="s">
        <v>4</v>
      </c>
      <c r="B3072" s="2" t="str">
        <f t="shared" si="258"/>
        <v>SISTEMA FATURAMENTO INTERNAÇÃO SUS</v>
      </c>
      <c r="C3072" s="2" t="str">
        <f t="shared" si="259"/>
        <v>FATUR-SUS</v>
      </c>
      <c r="D3072" s="2" t="str">
        <f t="shared" si="260"/>
        <v>FFIS</v>
      </c>
      <c r="E3072" s="2" t="str">
        <f>"REL. DE ORDEM DE PROCEDIMENTO"</f>
        <v>REL. DE ORDEM DE PROCEDIMENTO</v>
      </c>
      <c r="F3072" s="2" t="str">
        <f>"R_ORDEM_PROCEDIMENTO.RDF"</f>
        <v>R_ORDEM_PROCEDIMENTO.RDF</v>
      </c>
      <c r="G3072" s="2" t="str">
        <f>"Faturamento / Faturamento de Internação SUS (AIH) / Relatórios / Operacionais / Ordem de Procedimento (R_ORDEM_PROCEDIMENTO.RDF)"</f>
        <v>Faturamento / Faturamento de Internação SUS (AIH) / Relatórios / Operacionais / Ordem de Procedimento (R_ORDEM_PROCEDIMENTO.RDF)</v>
      </c>
    </row>
    <row r="3073" spans="1:7" x14ac:dyDescent="0.3">
      <c r="A3073" s="1" t="s">
        <v>4</v>
      </c>
      <c r="B3073" s="2" t="str">
        <f t="shared" si="258"/>
        <v>SISTEMA FATURAMENTO INTERNAÇÃO SUS</v>
      </c>
      <c r="C3073" s="2" t="str">
        <f t="shared" si="259"/>
        <v>FATUR-SUS</v>
      </c>
      <c r="D3073" s="2" t="str">
        <f t="shared" si="260"/>
        <v>FFIS</v>
      </c>
      <c r="E3073" s="2" t="str">
        <f>"DEMONST. DE AIH'S POR FINANCIAMENTO SINT"</f>
        <v>DEMONST. DE AIH'S POR FINANCIAMENTO SINT</v>
      </c>
      <c r="F3073" s="2" t="str">
        <f>"R_PROD_FINANCIAMENTO_SINT"</f>
        <v>R_PROD_FINANCIAMENTO_SINT</v>
      </c>
      <c r="G3073" s="2" t="str">
        <f>" ()"</f>
        <v xml:space="preserve"> ()</v>
      </c>
    </row>
    <row r="3074" spans="1:7" x14ac:dyDescent="0.3">
      <c r="A3074" s="1" t="s">
        <v>4</v>
      </c>
      <c r="B3074" s="2" t="str">
        <f t="shared" si="258"/>
        <v>SISTEMA FATURAMENTO INTERNAÇÃO SUS</v>
      </c>
      <c r="C3074" s="2" t="str">
        <f t="shared" si="259"/>
        <v>FATUR-SUS</v>
      </c>
      <c r="D3074" s="2" t="str">
        <f t="shared" si="260"/>
        <v>FFIS</v>
      </c>
      <c r="E3074" s="2" t="str">
        <f>"REL. DE PACIENTES POR CID ALTA SINT."</f>
        <v>REL. DE PACIENTES POR CID ALTA SINT.</v>
      </c>
      <c r="F3074" s="2" t="str">
        <f>"R_CID_ALTA_SINT"</f>
        <v>R_CID_ALTA_SINT</v>
      </c>
      <c r="G3074" s="2" t="str">
        <f>" ()"</f>
        <v xml:space="preserve"> ()</v>
      </c>
    </row>
    <row r="3075" spans="1:7" x14ac:dyDescent="0.3">
      <c r="A3075" s="1" t="s">
        <v>4</v>
      </c>
      <c r="B3075" s="2" t="str">
        <f t="shared" si="258"/>
        <v>SISTEMA FATURAMENTO INTERNAÇÃO SUS</v>
      </c>
      <c r="C3075" s="2" t="str">
        <f t="shared" si="259"/>
        <v>FATUR-SUS</v>
      </c>
      <c r="D3075" s="2" t="str">
        <f t="shared" si="260"/>
        <v>FFIS</v>
      </c>
      <c r="E3075" s="2" t="str">
        <f>"REL. DE PRÓTESES POR FORNECEDOR SINT."</f>
        <v>REL. DE PRÓTESES POR FORNECEDOR SINT.</v>
      </c>
      <c r="F3075" s="2" t="str">
        <f>"R_OPM_FORNECEDOR_P321_SINT"</f>
        <v>R_OPM_FORNECEDOR_P321_SINT</v>
      </c>
      <c r="G3075" s="2" t="str">
        <f>" ()"</f>
        <v xml:space="preserve"> ()</v>
      </c>
    </row>
    <row r="3076" spans="1:7" x14ac:dyDescent="0.3">
      <c r="A3076" s="1" t="s">
        <v>4</v>
      </c>
      <c r="B3076" s="2" t="str">
        <f t="shared" si="258"/>
        <v>SISTEMA FATURAMENTO INTERNAÇÃO SUS</v>
      </c>
      <c r="C3076" s="2" t="str">
        <f t="shared" si="259"/>
        <v>FATUR-SUS</v>
      </c>
      <c r="D3076" s="2" t="str">
        <f t="shared" si="260"/>
        <v>FFIS</v>
      </c>
      <c r="E3076" s="2" t="str">
        <f>"R_PATOLOGIAS_OCORRIDAS"</f>
        <v>R_PATOLOGIAS_OCORRIDAS</v>
      </c>
      <c r="F3076" s="2" t="str">
        <f>"R_PATOLOGIAS_OCORRIDAS"</f>
        <v>R_PATOLOGIAS_OCORRIDAS</v>
      </c>
      <c r="G3076" s="2" t="str">
        <f>" ()"</f>
        <v xml:space="preserve"> ()</v>
      </c>
    </row>
    <row r="3077" spans="1:7" x14ac:dyDescent="0.3">
      <c r="A3077" s="1" t="s">
        <v>4</v>
      </c>
      <c r="B3077" s="2" t="str">
        <f t="shared" si="258"/>
        <v>SISTEMA FATURAMENTO INTERNAÇÃO SUS</v>
      </c>
      <c r="C3077" s="2" t="str">
        <f t="shared" si="259"/>
        <v>FATUR-SUS</v>
      </c>
      <c r="D3077" s="2" t="str">
        <f t="shared" si="260"/>
        <v>FFIS</v>
      </c>
      <c r="E3077" s="2" t="str">
        <f>"RELATÓRIO DE ATENDIMENTOS SUSPENSOS"</f>
        <v>RELATÓRIO DE ATENDIMENTOS SUSPENSOS</v>
      </c>
      <c r="F3077" s="2" t="str">
        <f>"R_ATENDIMENTOS_UNIFICADOS"</f>
        <v>R_ATENDIMENTOS_UNIFICADOS</v>
      </c>
      <c r="G3077" s="2" t="str">
        <f>"Faturamento / Faturamento de Internação SUS (AIH) / Relatórios / Operacionais / Contas Unificadas (R_ATENDIMENTOS_UNIFICADOS)"</f>
        <v>Faturamento / Faturamento de Internação SUS (AIH) / Relatórios / Operacionais / Contas Unificadas (R_ATENDIMENTOS_UNIFICADOS)</v>
      </c>
    </row>
    <row r="3078" spans="1:7" x14ac:dyDescent="0.3">
      <c r="A3078" s="1" t="s">
        <v>4</v>
      </c>
      <c r="B3078" s="2" t="str">
        <f t="shared" si="258"/>
        <v>SISTEMA FATURAMENTO INTERNAÇÃO SUS</v>
      </c>
      <c r="C3078" s="2" t="str">
        <f t="shared" si="259"/>
        <v>FATUR-SUS</v>
      </c>
      <c r="D3078" s="2" t="str">
        <f t="shared" si="260"/>
        <v>FFIS</v>
      </c>
      <c r="E3078" s="2" t="str">
        <f>"RELATORIO DE PACIENTES X ESPECIALIDADES"</f>
        <v>RELATORIO DE PACIENTES X ESPECIALIDADES</v>
      </c>
      <c r="F3078" s="2" t="str">
        <f>"R_PACIENTE_ESPEC_SUS"</f>
        <v>R_PACIENTE_ESPEC_SUS</v>
      </c>
      <c r="G3078" s="2" t="str">
        <f>"Faturamento / Faturamento de Internação SUS (AIH) / Relatórios / Operacionais / Pacientes por Especialidades (R_PACIENTE_ESPEC_SUS)"</f>
        <v>Faturamento / Faturamento de Internação SUS (AIH) / Relatórios / Operacionais / Pacientes por Especialidades (R_PACIENTE_ESPEC_SUS)</v>
      </c>
    </row>
    <row r="3079" spans="1:7" x14ac:dyDescent="0.3">
      <c r="A3079" s="1" t="s">
        <v>4</v>
      </c>
      <c r="B3079" s="2" t="str">
        <f t="shared" si="258"/>
        <v>SISTEMA FATURAMENTO INTERNAÇÃO SUS</v>
      </c>
      <c r="C3079" s="2" t="str">
        <f t="shared" si="259"/>
        <v>FATUR-SUS</v>
      </c>
      <c r="D3079" s="2" t="str">
        <f t="shared" si="260"/>
        <v>FFIS</v>
      </c>
      <c r="E3079" s="2" t="str">
        <f>"RELATORIO DE RECEITA DE PROC POR SETOR"</f>
        <v>RELATORIO DE RECEITA DE PROC POR SETOR</v>
      </c>
      <c r="F3079" s="2" t="str">
        <f>"R_FAT_PROC_SETOR_321.RDF"</f>
        <v>R_FAT_PROC_SETOR_321.RDF</v>
      </c>
      <c r="G3079" s="2" t="str">
        <f>" ()"</f>
        <v xml:space="preserve"> ()</v>
      </c>
    </row>
    <row r="3080" spans="1:7" x14ac:dyDescent="0.3">
      <c r="A3080" s="1" t="s">
        <v>4</v>
      </c>
      <c r="B3080" s="2" t="str">
        <f t="shared" si="258"/>
        <v>SISTEMA FATURAMENTO INTERNAÇÃO SUS</v>
      </c>
      <c r="C3080" s="2" t="str">
        <f t="shared" si="259"/>
        <v>FATUR-SUS</v>
      </c>
      <c r="D3080" s="2" t="str">
        <f t="shared" si="260"/>
        <v>FFIS</v>
      </c>
      <c r="E3080" s="2" t="str">
        <f>"WIN_PRINCIPAL"</f>
        <v>WIN_PRINCIPAL</v>
      </c>
      <c r="F3080" s="2" t="str">
        <f>"M_CONTA_UNIFICADA"</f>
        <v>M_CONTA_UNIFICADA</v>
      </c>
      <c r="G3080" s="2" t="str">
        <f>"Faturamento / Faturamento de Internação SUS (AIH) / Lançamentos / Conta Unificada (M_CONTA_UNIFICADA)"</f>
        <v>Faturamento / Faturamento de Internação SUS (AIH) / Lançamentos / Conta Unificada (M_CONTA_UNIFICADA)</v>
      </c>
    </row>
    <row r="3081" spans="1:7" x14ac:dyDescent="0.3">
      <c r="A3081" s="1" t="s">
        <v>4</v>
      </c>
      <c r="B3081" s="2" t="str">
        <f t="shared" si="258"/>
        <v>SISTEMA FATURAMENTO INTERNAÇÃO SUS</v>
      </c>
      <c r="C3081" s="2" t="str">
        <f t="shared" si="259"/>
        <v>FATUR-SUS</v>
      </c>
      <c r="D3081" s="2" t="str">
        <f t="shared" si="260"/>
        <v>FFIS</v>
      </c>
      <c r="E3081" s="2" t="str">
        <f>"MOTIVOS DE ALTA"</f>
        <v>MOTIVOS DE ALTA</v>
      </c>
      <c r="F3081" s="2" t="str">
        <f>"R_MOT_ALT_P321"</f>
        <v>R_MOT_ALT_P321</v>
      </c>
      <c r="G3081" s="2" t="str">
        <f>"Faturamento / Faturamento de Internação SUS (AIH) / Relatórios / Gerenciais / Motivos de Alta / Relatório por Motivos de Alta (R_MOT_ALT_P321)"</f>
        <v>Faturamento / Faturamento de Internação SUS (AIH) / Relatórios / Gerenciais / Motivos de Alta / Relatório por Motivos de Alta (R_MOT_ALT_P321)</v>
      </c>
    </row>
    <row r="3082" spans="1:7" x14ac:dyDescent="0.3">
      <c r="A3082" s="1" t="s">
        <v>4</v>
      </c>
      <c r="B3082" s="2" t="str">
        <f t="shared" si="258"/>
        <v>SISTEMA FATURAMENTO INTERNAÇÃO SUS</v>
      </c>
      <c r="C3082" s="2" t="str">
        <f t="shared" si="259"/>
        <v>FATUR-SUS</v>
      </c>
      <c r="D3082" s="2" t="str">
        <f t="shared" si="260"/>
        <v>FFIS</v>
      </c>
      <c r="E3082" s="2" t="str">
        <f>"RELATÓRIO DE TABELA DE PROCEDIMENTOS"</f>
        <v>RELATÓRIO DE TABELA DE PROCEDIMENTOS</v>
      </c>
      <c r="F3082" s="2" t="str">
        <f>"R_SUB_GRU_PROC_P321.RDF"</f>
        <v>R_SUB_GRU_PROC_P321.RDF</v>
      </c>
      <c r="G3082" s="2" t="str">
        <f>" ()"</f>
        <v xml:space="preserve"> ()</v>
      </c>
    </row>
    <row r="3083" spans="1:7" x14ac:dyDescent="0.3">
      <c r="A3083" s="1" t="s">
        <v>4</v>
      </c>
      <c r="B3083" s="2" t="str">
        <f t="shared" si="258"/>
        <v>SISTEMA FATURAMENTO INTERNAÇÃO SUS</v>
      </c>
      <c r="C3083" s="2" t="str">
        <f t="shared" si="259"/>
        <v>FATUR-SUS</v>
      </c>
      <c r="D3083" s="2" t="str">
        <f t="shared" si="260"/>
        <v>FFIS</v>
      </c>
      <c r="E3083" s="2" t="str">
        <f>"DEMONST. DE VALORES POR ESPECIALIDADE"</f>
        <v>DEMONST. DE VALORES POR ESPECIALIDADE</v>
      </c>
      <c r="F3083" s="2" t="str">
        <f>"R_DEMONSTRATIVO_ESPEC_AIH_P321.RDF"</f>
        <v>R_DEMONSTRATIVO_ESPEC_AIH_P321.RDF</v>
      </c>
      <c r="G3083" s="2" t="str">
        <f>" ()"</f>
        <v xml:space="preserve"> ()</v>
      </c>
    </row>
    <row r="3084" spans="1:7" x14ac:dyDescent="0.3">
      <c r="A3084" s="1" t="s">
        <v>4</v>
      </c>
      <c r="B3084" s="2" t="str">
        <f t="shared" si="258"/>
        <v>SISTEMA FATURAMENTO INTERNAÇÃO SUS</v>
      </c>
      <c r="C3084" s="2" t="str">
        <f t="shared" si="259"/>
        <v>FATUR-SUS</v>
      </c>
      <c r="D3084" s="2" t="str">
        <f t="shared" si="260"/>
        <v>FFIS</v>
      </c>
      <c r="E3084" s="2" t="str">
        <f>"RELATÓRIO DE EXAMES AIH"</f>
        <v>RELATÓRIO DE EXAMES AIH</v>
      </c>
      <c r="F3084" s="2" t="str">
        <f>"R_TAB_EXAMES_P321"</f>
        <v>R_TAB_EXAMES_P321</v>
      </c>
      <c r="G3084" s="2" t="str">
        <f>"Faturamento / Faturamento de Internação SUS (AIH) / Relatórios / Tabelas / Exames (R_TAB_EXAMES_P321)"</f>
        <v>Faturamento / Faturamento de Internação SUS (AIH) / Relatórios / Tabelas / Exames (R_TAB_EXAMES_P321)</v>
      </c>
    </row>
    <row r="3085" spans="1:7" x14ac:dyDescent="0.3">
      <c r="A3085" s="1" t="s">
        <v>4</v>
      </c>
      <c r="B3085" s="2" t="str">
        <f t="shared" si="258"/>
        <v>SISTEMA FATURAMENTO INTERNAÇÃO SUS</v>
      </c>
      <c r="C3085" s="2" t="str">
        <f t="shared" si="259"/>
        <v>FATUR-SUS</v>
      </c>
      <c r="D3085" s="2" t="str">
        <f t="shared" si="260"/>
        <v>FFIS</v>
      </c>
      <c r="E3085" s="2" t="str">
        <f>"RELATORIO DE CONTROLE DE AUTORIZA AIH"</f>
        <v>RELATORIO DE CONTROLE DE AUTORIZA AIH</v>
      </c>
      <c r="F3085" s="2" t="str">
        <f>"R_CTRL_AUTOR_AIH_321"</f>
        <v>R_CTRL_AUTOR_AIH_321</v>
      </c>
      <c r="G3085" s="2" t="str">
        <f>" ()"</f>
        <v xml:space="preserve"> ()</v>
      </c>
    </row>
    <row r="3086" spans="1:7" x14ac:dyDescent="0.3">
      <c r="A3086" s="1" t="s">
        <v>4</v>
      </c>
      <c r="B3086" s="2" t="str">
        <f t="shared" ref="B3086:B3098" si="262">"SISTEMA DE INTERC. ELETRONICOS DE ARQUIV"</f>
        <v>SISTEMA DE INTERC. ELETRONICOS DE ARQUIV</v>
      </c>
      <c r="C3086" s="2" t="str">
        <f t="shared" ref="C3086:C3098" si="263">"FINAN"</f>
        <v>FINAN</v>
      </c>
      <c r="D3086" s="2" t="str">
        <f t="shared" ref="D3086:D3098" si="264">"FIEA"</f>
        <v>FIEA</v>
      </c>
      <c r="E3086" s="2" t="str">
        <f>"1FIEA_420"</f>
        <v>1FIEA_420</v>
      </c>
      <c r="F3086" s="2" t="str">
        <f>"1FIEA_420"</f>
        <v>1FIEA_420</v>
      </c>
      <c r="G3086" s="2" t="str">
        <f>" ()"</f>
        <v xml:space="preserve"> ()</v>
      </c>
    </row>
    <row r="3087" spans="1:7" x14ac:dyDescent="0.3">
      <c r="A3087" s="1" t="s">
        <v>4</v>
      </c>
      <c r="B3087" s="2" t="str">
        <f t="shared" si="262"/>
        <v>SISTEMA DE INTERC. ELETRONICOS DE ARQUIV</v>
      </c>
      <c r="C3087" s="2" t="str">
        <f t="shared" si="263"/>
        <v>FINAN</v>
      </c>
      <c r="D3087" s="2" t="str">
        <f t="shared" si="264"/>
        <v>FIEA</v>
      </c>
      <c r="E3087" s="2" t="str">
        <f>"LAYOUT DE ARQUIVO"</f>
        <v>LAYOUT DE ARQUIVO</v>
      </c>
      <c r="F3087" s="2" t="str">
        <f>"M_LAYOUT_ARQUIVO"</f>
        <v>M_LAYOUT_ARQUIVO</v>
      </c>
      <c r="G3087" s="2" t="s">
        <v>10</v>
      </c>
    </row>
    <row r="3088" spans="1:7" x14ac:dyDescent="0.3">
      <c r="A3088" s="1" t="s">
        <v>4</v>
      </c>
      <c r="B3088" s="2" t="str">
        <f t="shared" si="262"/>
        <v>SISTEMA DE INTERC. ELETRONICOS DE ARQUIV</v>
      </c>
      <c r="C3088" s="2" t="str">
        <f t="shared" si="263"/>
        <v>FINAN</v>
      </c>
      <c r="D3088" s="2" t="str">
        <f t="shared" si="264"/>
        <v>FIEA</v>
      </c>
      <c r="E3088" s="2" t="str">
        <f>"LAYOUT DE ARQUIVO"</f>
        <v>LAYOUT DE ARQUIVO</v>
      </c>
      <c r="F3088" s="2" t="str">
        <f>"M_LAYOUT_ARQUIVO"</f>
        <v>M_LAYOUT_ARQUIVO</v>
      </c>
      <c r="G3088" s="2" t="str">
        <f>"Controladoria / Fiscal / Geração / Arquivos Exportação / Layout do Arquivos (M_LAYOUT_ARQUIVO)"</f>
        <v>Controladoria / Fiscal / Geração / Arquivos Exportação / Layout do Arquivos (M_LAYOUT_ARQUIVO)</v>
      </c>
    </row>
    <row r="3089" spans="1:7" x14ac:dyDescent="0.3">
      <c r="A3089" s="1" t="s">
        <v>4</v>
      </c>
      <c r="B3089" s="2" t="str">
        <f t="shared" si="262"/>
        <v>SISTEMA DE INTERC. ELETRONICOS DE ARQUIV</v>
      </c>
      <c r="C3089" s="2" t="str">
        <f t="shared" si="263"/>
        <v>FINAN</v>
      </c>
      <c r="D3089" s="2" t="str">
        <f t="shared" si="264"/>
        <v>FIEA</v>
      </c>
      <c r="E3089" s="2" t="str">
        <f>"LAYOUT DE ARQUIVO"</f>
        <v>LAYOUT DE ARQUIVO</v>
      </c>
      <c r="F3089" s="2" t="str">
        <f>"M_LAYOUT_ARQUIVO"</f>
        <v>M_LAYOUT_ARQUIVO</v>
      </c>
      <c r="G3089" s="2" t="str">
        <f>"Controladoria / Intercâmbio Eletrônico de Arquivos / Configuração / Layout do Arquivos (M_LAYOUT_ARQUIVO)"</f>
        <v>Controladoria / Intercâmbio Eletrônico de Arquivos / Configuração / Layout do Arquivos (M_LAYOUT_ARQUIVO)</v>
      </c>
    </row>
    <row r="3090" spans="1:7" x14ac:dyDescent="0.3">
      <c r="A3090" s="1" t="s">
        <v>4</v>
      </c>
      <c r="B3090" s="2" t="str">
        <f t="shared" si="262"/>
        <v>SISTEMA DE INTERC. ELETRONICOS DE ARQUIV</v>
      </c>
      <c r="C3090" s="2" t="str">
        <f t="shared" si="263"/>
        <v>FINAN</v>
      </c>
      <c r="D3090" s="2" t="str">
        <f t="shared" si="264"/>
        <v>FIEA</v>
      </c>
      <c r="E3090" s="2" t="str">
        <f>"LAYOUT DE ARQUIVO"</f>
        <v>LAYOUT DE ARQUIVO</v>
      </c>
      <c r="F3090" s="2" t="str">
        <f>"M_LAYOUT_ARQUIVO"</f>
        <v>M_LAYOUT_ARQUIVO</v>
      </c>
      <c r="G3090" s="2" t="str">
        <f>"MVSaude / Faturamento / Layout de Arquivos (M_LAYOUT_ARQUIVO)"</f>
        <v>MVSaude / Faturamento / Layout de Arquivos (M_LAYOUT_ARQUIVO)</v>
      </c>
    </row>
    <row r="3091" spans="1:7" x14ac:dyDescent="0.3">
      <c r="A3091" s="1" t="s">
        <v>4</v>
      </c>
      <c r="B3091" s="2" t="str">
        <f t="shared" si="262"/>
        <v>SISTEMA DE INTERC. ELETRONICOS DE ARQUIV</v>
      </c>
      <c r="C3091" s="2" t="str">
        <f t="shared" si="263"/>
        <v>FINAN</v>
      </c>
      <c r="D3091" s="2" t="str">
        <f t="shared" si="264"/>
        <v>FIEA</v>
      </c>
      <c r="E3091" s="2" t="str">
        <f>"RETORNO DE COBRANÇA"</f>
        <v>RETORNO DE COBRANÇA</v>
      </c>
      <c r="F3091" s="2" t="str">
        <f>"O_RETORNO_COBRANCA"</f>
        <v>O_RETORNO_COBRANCA</v>
      </c>
      <c r="G3091" s="2" t="str">
        <f>"Controladoria / Intercâmbio Eletrônico de Arquivos / Arquivos / Bancos / Retorno / Retorno de Cobrança (O_RETORNO_COBRANCA)"</f>
        <v>Controladoria / Intercâmbio Eletrônico de Arquivos / Arquivos / Bancos / Retorno / Retorno de Cobrança (O_RETORNO_COBRANCA)</v>
      </c>
    </row>
    <row r="3092" spans="1:7" x14ac:dyDescent="0.3">
      <c r="A3092" s="1" t="s">
        <v>4</v>
      </c>
      <c r="B3092" s="2" t="str">
        <f t="shared" si="262"/>
        <v>SISTEMA DE INTERC. ELETRONICOS DE ARQUIV</v>
      </c>
      <c r="C3092" s="2" t="str">
        <f t="shared" si="263"/>
        <v>FINAN</v>
      </c>
      <c r="D3092" s="2" t="str">
        <f t="shared" si="264"/>
        <v>FIEA</v>
      </c>
      <c r="E3092" s="2" t="str">
        <f>"LAYOUTS RETORNO DE COBRANÇA"</f>
        <v>LAYOUTS RETORNO DE COBRANÇA</v>
      </c>
      <c r="F3092" s="2" t="str">
        <f>"M_RETORNO_COBRANCA"</f>
        <v>M_RETORNO_COBRANCA</v>
      </c>
      <c r="G3092" s="2" t="str">
        <f>"Controladoria / Intercâmbio Eletrônico de Arquivos / Configuração / Layouts Retorno de Cobrança (M_RETORNO_COBRANCA)"</f>
        <v>Controladoria / Intercâmbio Eletrônico de Arquivos / Configuração / Layouts Retorno de Cobrança (M_RETORNO_COBRANCA)</v>
      </c>
    </row>
    <row r="3093" spans="1:7" x14ac:dyDescent="0.3">
      <c r="A3093" s="1" t="s">
        <v>4</v>
      </c>
      <c r="B3093" s="2" t="str">
        <f t="shared" si="262"/>
        <v>SISTEMA DE INTERC. ELETRONICOS DE ARQUIV</v>
      </c>
      <c r="C3093" s="2" t="str">
        <f t="shared" si="263"/>
        <v>FINAN</v>
      </c>
      <c r="D3093" s="2" t="str">
        <f t="shared" si="264"/>
        <v>FIEA</v>
      </c>
      <c r="E3093" s="2" t="str">
        <f>"GERAÇÃO AUTOMATICA REMESSA/RETORNO"</f>
        <v>GERAÇÃO AUTOMATICA REMESSA/RETORNO</v>
      </c>
      <c r="F3093" s="2" t="str">
        <f>"O_GERA_LAYOUT_AUTOMATICO"</f>
        <v>O_GERA_LAYOUT_AUTOMATICO</v>
      </c>
      <c r="G3093" s="2" t="str">
        <f>"Controladoria / Intercâmbio Eletrônico de Arquivos / Configuração / Geração Automatica Remessa/Retorno (O_GERA_LAYOUT_AUTOMATICO)"</f>
        <v>Controladoria / Intercâmbio Eletrônico de Arquivos / Configuração / Geração Automatica Remessa/Retorno (O_GERA_LAYOUT_AUTOMATICO)</v>
      </c>
    </row>
    <row r="3094" spans="1:7" x14ac:dyDescent="0.3">
      <c r="A3094" s="1" t="s">
        <v>4</v>
      </c>
      <c r="B3094" s="2" t="str">
        <f t="shared" si="262"/>
        <v>SISTEMA DE INTERC. ELETRONICOS DE ARQUIV</v>
      </c>
      <c r="C3094" s="2" t="str">
        <f t="shared" si="263"/>
        <v>FINAN</v>
      </c>
      <c r="D3094" s="2" t="str">
        <f t="shared" si="264"/>
        <v>FIEA</v>
      </c>
      <c r="E3094" s="2" t="str">
        <f>"PERSONALIZADOS FIEA"</f>
        <v>PERSONALIZADOS FIEA</v>
      </c>
      <c r="F3094" s="2" t="str">
        <f>"R_PERSON_FIEA"</f>
        <v>R_PERSON_FIEA</v>
      </c>
      <c r="G3094" s="2" t="str">
        <f>"Controladoria / Intercâmbio Eletrônico de Arquivos / Relatórios / Personalizados (R_PERSON_FIEA)"</f>
        <v>Controladoria / Intercâmbio Eletrônico de Arquivos / Relatórios / Personalizados (R_PERSON_FIEA)</v>
      </c>
    </row>
    <row r="3095" spans="1:7" x14ac:dyDescent="0.3">
      <c r="A3095" s="1" t="s">
        <v>4</v>
      </c>
      <c r="B3095" s="2" t="str">
        <f t="shared" si="262"/>
        <v>SISTEMA DE INTERC. ELETRONICOS DE ARQUIV</v>
      </c>
      <c r="C3095" s="2" t="str">
        <f t="shared" si="263"/>
        <v>FINAN</v>
      </c>
      <c r="D3095" s="2" t="str">
        <f t="shared" si="264"/>
        <v>FIEA</v>
      </c>
      <c r="E3095" s="2" t="str">
        <f>"TABELAS UTILIZADAS"</f>
        <v>TABELAS UTILIZADAS</v>
      </c>
      <c r="F3095" s="2" t="str">
        <f>"M_TABELA_REG_LAYOUT_ARQ"</f>
        <v>M_TABELA_REG_LAYOUT_ARQ</v>
      </c>
      <c r="G3095" s="2" t="str">
        <f>" ()"</f>
        <v xml:space="preserve"> ()</v>
      </c>
    </row>
    <row r="3096" spans="1:7" x14ac:dyDescent="0.3">
      <c r="A3096" s="1" t="s">
        <v>4</v>
      </c>
      <c r="B3096" s="2" t="str">
        <f t="shared" si="262"/>
        <v>SISTEMA DE INTERC. ELETRONICOS DE ARQUIV</v>
      </c>
      <c r="C3096" s="2" t="str">
        <f t="shared" si="263"/>
        <v>FINAN</v>
      </c>
      <c r="D3096" s="2" t="str">
        <f t="shared" si="264"/>
        <v>FIEA</v>
      </c>
      <c r="E3096" s="2" t="str">
        <f>"CONFIGURAÇÃO DOS REGISTROS"</f>
        <v>CONFIGURAÇÃO DOS REGISTROS</v>
      </c>
      <c r="F3096" s="2" t="str">
        <f>"M_REGISTRO_LAYOUT_ARQUIVO"</f>
        <v>M_REGISTRO_LAYOUT_ARQUIVO</v>
      </c>
      <c r="G3096" s="2" t="str">
        <f>" ()"</f>
        <v xml:space="preserve"> ()</v>
      </c>
    </row>
    <row r="3097" spans="1:7" x14ac:dyDescent="0.3">
      <c r="A3097" s="1" t="s">
        <v>4</v>
      </c>
      <c r="B3097" s="2" t="str">
        <f t="shared" si="262"/>
        <v>SISTEMA DE INTERC. ELETRONICOS DE ARQUIV</v>
      </c>
      <c r="C3097" s="2" t="str">
        <f t="shared" si="263"/>
        <v>FINAN</v>
      </c>
      <c r="D3097" s="2" t="str">
        <f t="shared" si="264"/>
        <v>FIEA</v>
      </c>
      <c r="E3097" s="2" t="str">
        <f>"WEBUTIL INFORMATION"</f>
        <v>WEBUTIL INFORMATION</v>
      </c>
      <c r="F3097" s="2" t="str">
        <f>"R_LOTE_PGTO"</f>
        <v>R_LOTE_PGTO</v>
      </c>
      <c r="G3097" s="2" t="str">
        <f>"Controladoria / Intercâmbio Eletrônico de Arquivos / Relatórios / Pagamentos / Lotes de Remessa/Retorno (R_LOTE_PGTO)"</f>
        <v>Controladoria / Intercâmbio Eletrônico de Arquivos / Relatórios / Pagamentos / Lotes de Remessa/Retorno (R_LOTE_PGTO)</v>
      </c>
    </row>
    <row r="3098" spans="1:7" x14ac:dyDescent="0.3">
      <c r="A3098" s="1" t="s">
        <v>4</v>
      </c>
      <c r="B3098" s="2" t="str">
        <f t="shared" si="262"/>
        <v>SISTEMA DE INTERC. ELETRONICOS DE ARQUIV</v>
      </c>
      <c r="C3098" s="2" t="str">
        <f t="shared" si="263"/>
        <v>FINAN</v>
      </c>
      <c r="D3098" s="2" t="str">
        <f t="shared" si="264"/>
        <v>FIEA</v>
      </c>
      <c r="E3098" s="2" t="str">
        <f>"MODULO PARA ACERSSA O MENU"</f>
        <v>MODULO PARA ACERSSA O MENU</v>
      </c>
      <c r="F3098" s="2" t="str">
        <f>"FIEA"</f>
        <v>FIEA</v>
      </c>
      <c r="G3098" s="2" t="str">
        <f>" ()"</f>
        <v xml:space="preserve"> ()</v>
      </c>
    </row>
    <row r="3099" spans="1:7" x14ac:dyDescent="0.3">
      <c r="A3099" s="1" t="s">
        <v>4</v>
      </c>
      <c r="B3099" s="2" t="str">
        <f>""</f>
        <v/>
      </c>
      <c r="C3099" s="2" t="str">
        <f>""</f>
        <v/>
      </c>
      <c r="D3099" s="2" t="str">
        <f t="shared" ref="D3099:D3132" si="265">"FINAN"</f>
        <v>FINAN</v>
      </c>
      <c r="E3099" s="2" t="str">
        <f>"M_ORDEM_BANCARIA"</f>
        <v>M_ORDEM_BANCARIA</v>
      </c>
      <c r="F3099" s="2" t="str">
        <f>"M_ORDEM_BANCARIA"</f>
        <v>M_ORDEM_BANCARIA</v>
      </c>
      <c r="G3099" s="2" t="str">
        <f>"Outros / Financeiro Orgãos Públicos / Lançamentos / Ordem Bancária (M_ORDEM_BANCARIA)"</f>
        <v>Outros / Financeiro Orgãos Públicos / Lançamentos / Ordem Bancária (M_ORDEM_BANCARIA)</v>
      </c>
    </row>
    <row r="3100" spans="1:7" x14ac:dyDescent="0.3">
      <c r="A3100" s="1" t="s">
        <v>4</v>
      </c>
      <c r="B3100" s="2" t="str">
        <f>""</f>
        <v/>
      </c>
      <c r="C3100" s="2" t="str">
        <f>""</f>
        <v/>
      </c>
      <c r="D3100" s="2" t="str">
        <f t="shared" si="265"/>
        <v>FINAN</v>
      </c>
      <c r="E3100" s="2" t="str">
        <f>"M_FORNECEDOR"</f>
        <v>M_FORNECEDOR</v>
      </c>
      <c r="F3100" s="2" t="str">
        <f>"M_FORNECEDOR"</f>
        <v>M_FORNECEDOR</v>
      </c>
      <c r="G3100" s="2" t="str">
        <f t="shared" ref="G3100:G3106" si="266">" ()"</f>
        <v xml:space="preserve"> ()</v>
      </c>
    </row>
    <row r="3101" spans="1:7" x14ac:dyDescent="0.3">
      <c r="A3101" s="1" t="s">
        <v>4</v>
      </c>
      <c r="B3101" s="2" t="str">
        <f>""</f>
        <v/>
      </c>
      <c r="C3101" s="2" t="str">
        <f>""</f>
        <v/>
      </c>
      <c r="D3101" s="2" t="str">
        <f t="shared" si="265"/>
        <v>FINAN</v>
      </c>
      <c r="E3101" s="2" t="str">
        <f>"R_VERIFICA_EMPENHO"</f>
        <v>R_VERIFICA_EMPENHO</v>
      </c>
      <c r="F3101" s="2" t="str">
        <f>"R_VERIFICA_EMPENHO"</f>
        <v>R_VERIFICA_EMPENHO</v>
      </c>
      <c r="G3101" s="2" t="str">
        <f t="shared" si="266"/>
        <v xml:space="preserve"> ()</v>
      </c>
    </row>
    <row r="3102" spans="1:7" x14ac:dyDescent="0.3">
      <c r="A3102" s="1" t="s">
        <v>4</v>
      </c>
      <c r="B3102" s="2" t="str">
        <f>""</f>
        <v/>
      </c>
      <c r="C3102" s="2" t="str">
        <f>""</f>
        <v/>
      </c>
      <c r="D3102" s="2" t="str">
        <f t="shared" si="265"/>
        <v>FINAN</v>
      </c>
      <c r="E3102" s="2" t="str">
        <f>"R_DEVOLUCAO_DIARIAS"</f>
        <v>R_DEVOLUCAO_DIARIAS</v>
      </c>
      <c r="F3102" s="2" t="str">
        <f>"R_DEVOLUCAO_DIARIAS"</f>
        <v>R_DEVOLUCAO_DIARIAS</v>
      </c>
      <c r="G3102" s="2" t="str">
        <f t="shared" si="266"/>
        <v xml:space="preserve"> ()</v>
      </c>
    </row>
    <row r="3103" spans="1:7" x14ac:dyDescent="0.3">
      <c r="A3103" s="1" t="s">
        <v>4</v>
      </c>
      <c r="B3103" s="2" t="str">
        <f>""</f>
        <v/>
      </c>
      <c r="C3103" s="2" t="str">
        <f>""</f>
        <v/>
      </c>
      <c r="D3103" s="2" t="str">
        <f t="shared" si="265"/>
        <v>FINAN</v>
      </c>
      <c r="E3103" s="2" t="str">
        <f>"R_CONFERE_LANCAMENTOS"</f>
        <v>R_CONFERE_LANCAMENTOS</v>
      </c>
      <c r="F3103" s="2" t="str">
        <f>"R_CONFERE_LANCAMENTOS"</f>
        <v>R_CONFERE_LANCAMENTOS</v>
      </c>
      <c r="G3103" s="2" t="str">
        <f t="shared" si="266"/>
        <v xml:space="preserve"> ()</v>
      </c>
    </row>
    <row r="3104" spans="1:7" x14ac:dyDescent="0.3">
      <c r="A3104" s="1" t="s">
        <v>4</v>
      </c>
      <c r="B3104" s="2" t="str">
        <f>""</f>
        <v/>
      </c>
      <c r="C3104" s="2" t="str">
        <f>""</f>
        <v/>
      </c>
      <c r="D3104" s="2" t="str">
        <f t="shared" si="265"/>
        <v>FINAN</v>
      </c>
      <c r="E3104" s="2" t="str">
        <f>"M_VINCULACAO_FINAN"</f>
        <v>M_VINCULACAO_FINAN</v>
      </c>
      <c r="F3104" s="2" t="str">
        <f>"M_VINCULACAO_FINAN"</f>
        <v>M_VINCULACAO_FINAN</v>
      </c>
      <c r="G3104" s="2" t="str">
        <f t="shared" si="266"/>
        <v xml:space="preserve"> ()</v>
      </c>
    </row>
    <row r="3105" spans="1:7" x14ac:dyDescent="0.3">
      <c r="A3105" s="1" t="s">
        <v>4</v>
      </c>
      <c r="B3105" s="2" t="str">
        <f>""</f>
        <v/>
      </c>
      <c r="C3105" s="2" t="str">
        <f>""</f>
        <v/>
      </c>
      <c r="D3105" s="2" t="str">
        <f t="shared" si="265"/>
        <v>FINAN</v>
      </c>
      <c r="E3105" s="2" t="str">
        <f>"M_TIPOS_EMPENHO"</f>
        <v>M_TIPOS_EMPENHO</v>
      </c>
      <c r="F3105" s="2" t="str">
        <f>"M_TIPOS_EMPENHO"</f>
        <v>M_TIPOS_EMPENHO</v>
      </c>
      <c r="G3105" s="2" t="str">
        <f t="shared" si="266"/>
        <v xml:space="preserve"> ()</v>
      </c>
    </row>
    <row r="3106" spans="1:7" x14ac:dyDescent="0.3">
      <c r="A3106" s="1" t="s">
        <v>4</v>
      </c>
      <c r="B3106" s="2" t="str">
        <f>""</f>
        <v/>
      </c>
      <c r="C3106" s="2" t="str">
        <f>""</f>
        <v/>
      </c>
      <c r="D3106" s="2" t="str">
        <f t="shared" si="265"/>
        <v>FINAN</v>
      </c>
      <c r="E3106" s="2" t="str">
        <f>"M_ORIGEM_MATERIAL"</f>
        <v>M_ORIGEM_MATERIAL</v>
      </c>
      <c r="F3106" s="2" t="str">
        <f>"M_ORIGEM_MATERIAL"</f>
        <v>M_ORIGEM_MATERIAL</v>
      </c>
      <c r="G3106" s="2" t="str">
        <f t="shared" si="266"/>
        <v xml:space="preserve"> ()</v>
      </c>
    </row>
    <row r="3107" spans="1:7" x14ac:dyDescent="0.3">
      <c r="A3107" s="1" t="s">
        <v>4</v>
      </c>
      <c r="B3107" s="2" t="str">
        <f>""</f>
        <v/>
      </c>
      <c r="C3107" s="2" t="str">
        <f>""</f>
        <v/>
      </c>
      <c r="D3107" s="2" t="str">
        <f t="shared" si="265"/>
        <v>FINAN</v>
      </c>
      <c r="E3107" s="2" t="str">
        <f>"M_ORCAMENTO_RECEBIDO"</f>
        <v>M_ORCAMENTO_RECEBIDO</v>
      </c>
      <c r="F3107" s="2" t="str">
        <f>"M_ORCAMENTO_RECEBIDO"</f>
        <v>M_ORCAMENTO_RECEBIDO</v>
      </c>
      <c r="G3107" s="2" t="str">
        <f>"Outros / Financeiro Orgãos Públicos / Lançamentos / Orçamento Recebido (M_ORCAMENTO_RECEBIDO)"</f>
        <v>Outros / Financeiro Orgãos Públicos / Lançamentos / Orçamento Recebido (M_ORCAMENTO_RECEBIDO)</v>
      </c>
    </row>
    <row r="3108" spans="1:7" x14ac:dyDescent="0.3">
      <c r="A3108" s="1" t="s">
        <v>4</v>
      </c>
      <c r="B3108" s="2" t="str">
        <f>""</f>
        <v/>
      </c>
      <c r="C3108" s="2" t="str">
        <f>""</f>
        <v/>
      </c>
      <c r="D3108" s="2" t="str">
        <f t="shared" si="265"/>
        <v>FINAN</v>
      </c>
      <c r="E3108" s="2" t="str">
        <f>"M_NOTA_SISTEMA_SETORES"</f>
        <v>M_NOTA_SISTEMA_SETORES</v>
      </c>
      <c r="F3108" s="2" t="str">
        <f>"M_NOTA_SISTEMA_SETORES"</f>
        <v>M_NOTA_SISTEMA_SETORES</v>
      </c>
      <c r="G3108" s="2" t="str">
        <f>" ()"</f>
        <v xml:space="preserve"> ()</v>
      </c>
    </row>
    <row r="3109" spans="1:7" x14ac:dyDescent="0.3">
      <c r="A3109" s="1" t="s">
        <v>4</v>
      </c>
      <c r="B3109" s="2" t="str">
        <f>""</f>
        <v/>
      </c>
      <c r="C3109" s="2" t="str">
        <f>""</f>
        <v/>
      </c>
      <c r="D3109" s="2" t="str">
        <f t="shared" si="265"/>
        <v>FINAN</v>
      </c>
      <c r="E3109" s="2" t="str">
        <f>"M_NOTA_SISTEMA"</f>
        <v>M_NOTA_SISTEMA</v>
      </c>
      <c r="F3109" s="2" t="str">
        <f>"M_NOTA_SISTEMA"</f>
        <v>M_NOTA_SISTEMA</v>
      </c>
      <c r="G3109" s="2" t="str">
        <f>"Outros / Financeiro Orgãos Públicos / Lançamentos / Nota de Sistema  (M_NOTA_SISTEMA)"</f>
        <v>Outros / Financeiro Orgãos Públicos / Lançamentos / Nota de Sistema  (M_NOTA_SISTEMA)</v>
      </c>
    </row>
    <row r="3110" spans="1:7" x14ac:dyDescent="0.3">
      <c r="A3110" s="1" t="s">
        <v>4</v>
      </c>
      <c r="B3110" s="2" t="str">
        <f>""</f>
        <v/>
      </c>
      <c r="C3110" s="2" t="str">
        <f>""</f>
        <v/>
      </c>
      <c r="D3110" s="2" t="str">
        <f t="shared" si="265"/>
        <v>FINAN</v>
      </c>
      <c r="E3110" s="2" t="str">
        <f>"M_NOTA_FISCAL_FINAN"</f>
        <v>M_NOTA_FISCAL_FINAN</v>
      </c>
      <c r="F3110" s="2" t="str">
        <f>"M_NOTA_FISCAL_FINAN"</f>
        <v>M_NOTA_FISCAL_FINAN</v>
      </c>
      <c r="G3110" s="2" t="str">
        <f>" ()"</f>
        <v xml:space="preserve"> ()</v>
      </c>
    </row>
    <row r="3111" spans="1:7" x14ac:dyDescent="0.3">
      <c r="A3111" s="1" t="s">
        <v>4</v>
      </c>
      <c r="B3111" s="2" t="str">
        <f>""</f>
        <v/>
      </c>
      <c r="C3111" s="2" t="str">
        <f>""</f>
        <v/>
      </c>
      <c r="D3111" s="2" t="str">
        <f t="shared" si="265"/>
        <v>FINAN</v>
      </c>
      <c r="E3111" s="2" t="str">
        <f>"M_NOTA_EMPENHO"</f>
        <v>M_NOTA_EMPENHO</v>
      </c>
      <c r="F3111" s="2" t="str">
        <f>"M_NOTA_EMPENHO"</f>
        <v>M_NOTA_EMPENHO</v>
      </c>
      <c r="G3111" s="2" t="str">
        <f>"Outros / Financeiro Orgãos Públicos / Lançamentos / Nota de Empenho (M_NOTA_EMPENHO)"</f>
        <v>Outros / Financeiro Orgãos Públicos / Lançamentos / Nota de Empenho (M_NOTA_EMPENHO)</v>
      </c>
    </row>
    <row r="3112" spans="1:7" x14ac:dyDescent="0.3">
      <c r="A3112" s="1" t="s">
        <v>4</v>
      </c>
      <c r="B3112" s="2" t="str">
        <f>""</f>
        <v/>
      </c>
      <c r="C3112" s="2" t="str">
        <f>""</f>
        <v/>
      </c>
      <c r="D3112" s="2" t="str">
        <f t="shared" si="265"/>
        <v>FINAN</v>
      </c>
      <c r="E3112" s="2" t="str">
        <f>"M_MODALIDADE_LICITACAO"</f>
        <v>M_MODALIDADE_LICITACAO</v>
      </c>
      <c r="F3112" s="2" t="str">
        <f>"M_MODALIDADE_LICITACAO"</f>
        <v>M_MODALIDADE_LICITACAO</v>
      </c>
      <c r="G3112" s="2" t="str">
        <f>" ()"</f>
        <v xml:space="preserve"> ()</v>
      </c>
    </row>
    <row r="3113" spans="1:7" x14ac:dyDescent="0.3">
      <c r="A3113" s="1" t="s">
        <v>4</v>
      </c>
      <c r="B3113" s="2" t="str">
        <f>""</f>
        <v/>
      </c>
      <c r="C3113" s="2" t="str">
        <f>""</f>
        <v/>
      </c>
      <c r="D3113" s="2" t="str">
        <f t="shared" si="265"/>
        <v>FINAN</v>
      </c>
      <c r="E3113" s="2" t="str">
        <f>"M_FORMAS_EMPENHO"</f>
        <v>M_FORMAS_EMPENHO</v>
      </c>
      <c r="F3113" s="2" t="str">
        <f>"M_FORMAS_EMPENHO"</f>
        <v>M_FORMAS_EMPENHO</v>
      </c>
      <c r="G3113" s="2" t="str">
        <f>" ()"</f>
        <v xml:space="preserve"> ()</v>
      </c>
    </row>
    <row r="3114" spans="1:7" x14ac:dyDescent="0.3">
      <c r="A3114" s="1" t="s">
        <v>4</v>
      </c>
      <c r="B3114" s="2" t="str">
        <f>""</f>
        <v/>
      </c>
      <c r="C3114" s="2" t="str">
        <f>""</f>
        <v/>
      </c>
      <c r="D3114" s="2" t="str">
        <f t="shared" si="265"/>
        <v>FINAN</v>
      </c>
      <c r="E3114" s="2" t="str">
        <f>"M_FONTES"</f>
        <v>M_FONTES</v>
      </c>
      <c r="F3114" s="2" t="str">
        <f>"M_FONTES"</f>
        <v>M_FONTES</v>
      </c>
      <c r="G3114" s="2" t="str">
        <f>" ()"</f>
        <v xml:space="preserve"> ()</v>
      </c>
    </row>
    <row r="3115" spans="1:7" x14ac:dyDescent="0.3">
      <c r="A3115" s="1" t="s">
        <v>4</v>
      </c>
      <c r="B3115" s="2" t="str">
        <f>""</f>
        <v/>
      </c>
      <c r="C3115" s="2" t="str">
        <f>""</f>
        <v/>
      </c>
      <c r="D3115" s="2" t="str">
        <f t="shared" si="265"/>
        <v>FINAN</v>
      </c>
      <c r="E3115" s="2" t="str">
        <f>"M_FINANCEIRO_RECEBIDO"</f>
        <v>M_FINANCEIRO_RECEBIDO</v>
      </c>
      <c r="F3115" s="2" t="str">
        <f>"M_FINANCEIRO_RECEBIDO"</f>
        <v>M_FINANCEIRO_RECEBIDO</v>
      </c>
      <c r="G3115" s="2" t="str">
        <f>"Outros / Financeiro Orgãos Públicos / Lançamentos / Financeiro Recebido (M_FINANCEIRO_RECEBIDO)"</f>
        <v>Outros / Financeiro Orgãos Públicos / Lançamentos / Financeiro Recebido (M_FINANCEIRO_RECEBIDO)</v>
      </c>
    </row>
    <row r="3116" spans="1:7" x14ac:dyDescent="0.3">
      <c r="A3116" s="1" t="s">
        <v>4</v>
      </c>
      <c r="B3116" s="2" t="str">
        <f>""</f>
        <v/>
      </c>
      <c r="C3116" s="2" t="str">
        <f>""</f>
        <v/>
      </c>
      <c r="D3116" s="2" t="str">
        <f t="shared" si="265"/>
        <v>FINAN</v>
      </c>
      <c r="E3116" s="2" t="str">
        <f>"M_EVENTOS"</f>
        <v>M_EVENTOS</v>
      </c>
      <c r="F3116" s="2" t="str">
        <f>"M_EVENTOS"</f>
        <v>M_EVENTOS</v>
      </c>
      <c r="G3116" s="2" t="str">
        <f t="shared" ref="G3116:G3123" si="267">" ()"</f>
        <v xml:space="preserve"> ()</v>
      </c>
    </row>
    <row r="3117" spans="1:7" x14ac:dyDescent="0.3">
      <c r="A3117" s="1" t="s">
        <v>4</v>
      </c>
      <c r="B3117" s="2" t="str">
        <f>""</f>
        <v/>
      </c>
      <c r="C3117" s="2" t="str">
        <f>""</f>
        <v/>
      </c>
      <c r="D3117" s="2" t="str">
        <f t="shared" si="265"/>
        <v>FINAN</v>
      </c>
      <c r="E3117" s="2" t="str">
        <f>"M_CONV_SIAFI"</f>
        <v>M_CONV_SIAFI</v>
      </c>
      <c r="F3117" s="2" t="str">
        <f>"M_CONV_SIAFI"</f>
        <v>M_CONV_SIAFI</v>
      </c>
      <c r="G3117" s="2" t="str">
        <f t="shared" si="267"/>
        <v xml:space="preserve"> ()</v>
      </c>
    </row>
    <row r="3118" spans="1:7" x14ac:dyDescent="0.3">
      <c r="A3118" s="1" t="s">
        <v>4</v>
      </c>
      <c r="B3118" s="2" t="str">
        <f>""</f>
        <v/>
      </c>
      <c r="C3118" s="2" t="str">
        <f>""</f>
        <v/>
      </c>
      <c r="D3118" s="2" t="str">
        <f t="shared" si="265"/>
        <v>FINAN</v>
      </c>
      <c r="E3118" s="2" t="str">
        <f>"M_CONTAS_COMPOSTA"</f>
        <v>M_CONTAS_COMPOSTA</v>
      </c>
      <c r="F3118" s="2" t="str">
        <f>"M_CONTAS_COMPOSTA"</f>
        <v>M_CONTAS_COMPOSTA</v>
      </c>
      <c r="G3118" s="2" t="str">
        <f t="shared" si="267"/>
        <v xml:space="preserve"> ()</v>
      </c>
    </row>
    <row r="3119" spans="1:7" x14ac:dyDescent="0.3">
      <c r="A3119" s="1" t="s">
        <v>4</v>
      </c>
      <c r="B3119" s="2" t="str">
        <f>""</f>
        <v/>
      </c>
      <c r="C3119" s="2" t="str">
        <f>""</f>
        <v/>
      </c>
      <c r="D3119" s="2" t="str">
        <f t="shared" si="265"/>
        <v>FINAN</v>
      </c>
      <c r="E3119" s="2" t="str">
        <f>"M_CDPTRES"</f>
        <v>M_CDPTRES</v>
      </c>
      <c r="F3119" s="2" t="str">
        <f>"M_CDPTRES"</f>
        <v>M_CDPTRES</v>
      </c>
      <c r="G3119" s="2" t="str">
        <f t="shared" si="267"/>
        <v xml:space="preserve"> ()</v>
      </c>
    </row>
    <row r="3120" spans="1:7" x14ac:dyDescent="0.3">
      <c r="A3120" s="1" t="s">
        <v>4</v>
      </c>
      <c r="B3120" s="2" t="str">
        <f>""</f>
        <v/>
      </c>
      <c r="C3120" s="2" t="str">
        <f>""</f>
        <v/>
      </c>
      <c r="D3120" s="2" t="str">
        <f t="shared" si="265"/>
        <v>FINAN</v>
      </c>
      <c r="E3120" s="2" t="str">
        <f>"FINANOLD"</f>
        <v>FINANOLD</v>
      </c>
      <c r="F3120" s="2" t="str">
        <f>"FINANOLD"</f>
        <v>FINANOLD</v>
      </c>
      <c r="G3120" s="2" t="str">
        <f t="shared" si="267"/>
        <v xml:space="preserve"> ()</v>
      </c>
    </row>
    <row r="3121" spans="1:7" x14ac:dyDescent="0.3">
      <c r="A3121" s="1" t="s">
        <v>4</v>
      </c>
      <c r="B3121" s="2" t="str">
        <f>""</f>
        <v/>
      </c>
      <c r="C3121" s="2" t="str">
        <f>""</f>
        <v/>
      </c>
      <c r="D3121" s="2" t="str">
        <f t="shared" si="265"/>
        <v>FINAN</v>
      </c>
      <c r="E3121" s="2" t="str">
        <f>"FINAN"</f>
        <v>FINAN</v>
      </c>
      <c r="F3121" s="2" t="str">
        <f>"FINAN"</f>
        <v>FINAN</v>
      </c>
      <c r="G3121" s="2" t="str">
        <f t="shared" si="267"/>
        <v xml:space="preserve"> ()</v>
      </c>
    </row>
    <row r="3122" spans="1:7" x14ac:dyDescent="0.3">
      <c r="A3122" s="1" t="s">
        <v>4</v>
      </c>
      <c r="B3122" s="2" t="str">
        <f>""</f>
        <v/>
      </c>
      <c r="C3122" s="2" t="str">
        <f>""</f>
        <v/>
      </c>
      <c r="D3122" s="2" t="str">
        <f t="shared" si="265"/>
        <v>FINAN</v>
      </c>
      <c r="E3122" s="2" t="str">
        <f>"C_SERVICO_CONTINUADO"</f>
        <v>C_SERVICO_CONTINUADO</v>
      </c>
      <c r="F3122" s="2" t="str">
        <f>"C_SERVICO_CONTINUADO"</f>
        <v>C_SERVICO_CONTINUADO</v>
      </c>
      <c r="G3122" s="2" t="str">
        <f t="shared" si="267"/>
        <v xml:space="preserve"> ()</v>
      </c>
    </row>
    <row r="3123" spans="1:7" x14ac:dyDescent="0.3">
      <c r="A3123" s="1" t="s">
        <v>4</v>
      </c>
      <c r="B3123" s="2" t="str">
        <f>""</f>
        <v/>
      </c>
      <c r="C3123" s="2" t="str">
        <f>""</f>
        <v/>
      </c>
      <c r="D3123" s="2" t="str">
        <f t="shared" si="265"/>
        <v>FINAN</v>
      </c>
      <c r="E3123" s="2" t="str">
        <f>"C_ORDEM_BANCARIA"</f>
        <v>C_ORDEM_BANCARIA</v>
      </c>
      <c r="F3123" s="2" t="str">
        <f>"C_ORDEM_BANCARIA"</f>
        <v>C_ORDEM_BANCARIA</v>
      </c>
      <c r="G3123" s="2" t="str">
        <f t="shared" si="267"/>
        <v xml:space="preserve"> ()</v>
      </c>
    </row>
    <row r="3124" spans="1:7" x14ac:dyDescent="0.3">
      <c r="A3124" s="1" t="s">
        <v>4</v>
      </c>
      <c r="B3124" s="2" t="str">
        <f>""</f>
        <v/>
      </c>
      <c r="C3124" s="2" t="str">
        <f>""</f>
        <v/>
      </c>
      <c r="D3124" s="2" t="str">
        <f t="shared" si="265"/>
        <v>FINAN</v>
      </c>
      <c r="E3124" s="2" t="str">
        <f>"C_NOTA_SISTEMA"</f>
        <v>C_NOTA_SISTEMA</v>
      </c>
      <c r="F3124" s="2" t="str">
        <f>"C_NOTA_SISTEMA"</f>
        <v>C_NOTA_SISTEMA</v>
      </c>
      <c r="G3124" s="2" t="str">
        <f>"Outros / Financeiro Orgãos Públicos / Lançamentos / Nota de Sistema por empenho (C_NOTA_SISTEMA)"</f>
        <v>Outros / Financeiro Orgãos Públicos / Lançamentos / Nota de Sistema por empenho (C_NOTA_SISTEMA)</v>
      </c>
    </row>
    <row r="3125" spans="1:7" x14ac:dyDescent="0.3">
      <c r="A3125" s="1" t="s">
        <v>4</v>
      </c>
      <c r="B3125" s="2" t="str">
        <f>""</f>
        <v/>
      </c>
      <c r="C3125" s="2" t="str">
        <f>""</f>
        <v/>
      </c>
      <c r="D3125" s="2" t="str">
        <f t="shared" si="265"/>
        <v>FINAN</v>
      </c>
      <c r="E3125" s="2" t="str">
        <f>"C_FINANCEIRO_RECEBIDO"</f>
        <v>C_FINANCEIRO_RECEBIDO</v>
      </c>
      <c r="F3125" s="2" t="str">
        <f>"C_FINANCEIRO_RECEBIDO"</f>
        <v>C_FINANCEIRO_RECEBIDO</v>
      </c>
      <c r="G3125" s="2" t="str">
        <f>"Outros / Financeiro Orgãos Públicos / Consultas Orçamentarias / Financeiro Recebido (C_FINANCEIRO_RECEBIDO)"</f>
        <v>Outros / Financeiro Orgãos Públicos / Consultas Orçamentarias / Financeiro Recebido (C_FINANCEIRO_RECEBIDO)</v>
      </c>
    </row>
    <row r="3126" spans="1:7" x14ac:dyDescent="0.3">
      <c r="A3126" s="1" t="s">
        <v>4</v>
      </c>
      <c r="B3126" s="2" t="str">
        <f>""</f>
        <v/>
      </c>
      <c r="C3126" s="2" t="str">
        <f>""</f>
        <v/>
      </c>
      <c r="D3126" s="2" t="str">
        <f t="shared" si="265"/>
        <v>FINAN</v>
      </c>
      <c r="E3126" s="2" t="str">
        <f>"C_DADOS_FINANCEIRO"</f>
        <v>C_DADOS_FINANCEIRO</v>
      </c>
      <c r="F3126" s="2" t="str">
        <f>"C_DADOS_FINANCEIRO"</f>
        <v>C_DADOS_FINANCEIRO</v>
      </c>
      <c r="G3126" s="2" t="str">
        <f>"Outros / Financeiro Orgãos Públicos / Consultas Orçamentarias / Pagamentos Realizados (C_DADOS_FINANCEIRO)"</f>
        <v>Outros / Financeiro Orgãos Públicos / Consultas Orçamentarias / Pagamentos Realizados (C_DADOS_FINANCEIRO)</v>
      </c>
    </row>
    <row r="3127" spans="1:7" x14ac:dyDescent="0.3">
      <c r="A3127" s="1" t="s">
        <v>4</v>
      </c>
      <c r="B3127" s="2" t="str">
        <f>""</f>
        <v/>
      </c>
      <c r="C3127" s="2" t="str">
        <f>""</f>
        <v/>
      </c>
      <c r="D3127" s="2" t="str">
        <f t="shared" si="265"/>
        <v>FINAN</v>
      </c>
      <c r="E3127" s="2" t="str">
        <f>"C_CRITICA_LANCAMENTO"</f>
        <v>C_CRITICA_LANCAMENTO</v>
      </c>
      <c r="F3127" s="2" t="str">
        <f>"C_CRITICA_LANCAMENTO"</f>
        <v>C_CRITICA_LANCAMENTO</v>
      </c>
      <c r="G3127" s="2" t="str">
        <f>"Outros / Financeiro Orgãos Públicos / Consultas Orçamentarias / Critica de Lançamentos (C_CRITICA_LANCAMENTO)"</f>
        <v>Outros / Financeiro Orgãos Públicos / Consultas Orçamentarias / Critica de Lançamentos (C_CRITICA_LANCAMENTO)</v>
      </c>
    </row>
    <row r="3128" spans="1:7" x14ac:dyDescent="0.3">
      <c r="A3128" s="1" t="s">
        <v>4</v>
      </c>
      <c r="B3128" s="2" t="str">
        <f>""</f>
        <v/>
      </c>
      <c r="C3128" s="2" t="str">
        <f>""</f>
        <v/>
      </c>
      <c r="D3128" s="2" t="str">
        <f t="shared" si="265"/>
        <v>FINAN</v>
      </c>
      <c r="E3128" s="2" t="str">
        <f>"C_CONSULTA_RUBRICA"</f>
        <v>C_CONSULTA_RUBRICA</v>
      </c>
      <c r="F3128" s="2" t="str">
        <f>"C_CONSULTA_RUBRICA"</f>
        <v>C_CONSULTA_RUBRICA</v>
      </c>
      <c r="G3128" s="2" t="str">
        <f>"Outros / Financeiro Orgãos Públicos / Consultas Orçamentarias / Analise das Contas Orçamentarias (C_CONSULTA_RUBRICA)"</f>
        <v>Outros / Financeiro Orgãos Públicos / Consultas Orçamentarias / Analise das Contas Orçamentarias (C_CONSULTA_RUBRICA)</v>
      </c>
    </row>
    <row r="3129" spans="1:7" x14ac:dyDescent="0.3">
      <c r="A3129" s="1" t="s">
        <v>4</v>
      </c>
      <c r="B3129" s="2" t="str">
        <f>""</f>
        <v/>
      </c>
      <c r="C3129" s="2" t="str">
        <f>""</f>
        <v/>
      </c>
      <c r="D3129" s="2" t="str">
        <f t="shared" si="265"/>
        <v>FINAN</v>
      </c>
      <c r="E3129" s="2" t="str">
        <f>"CS_ORCAMENTO_RECEBIDO"</f>
        <v>CS_ORCAMENTO_RECEBIDO</v>
      </c>
      <c r="F3129" s="2" t="str">
        <f>"CS_ORCAMENTO_RECEBIDO"</f>
        <v>CS_ORCAMENTO_RECEBIDO</v>
      </c>
      <c r="G3129" s="2" t="str">
        <f>" ()"</f>
        <v xml:space="preserve"> ()</v>
      </c>
    </row>
    <row r="3130" spans="1:7" x14ac:dyDescent="0.3">
      <c r="A3130" s="1" t="s">
        <v>4</v>
      </c>
      <c r="B3130" s="2" t="str">
        <f>""</f>
        <v/>
      </c>
      <c r="C3130" s="2" t="str">
        <f>""</f>
        <v/>
      </c>
      <c r="D3130" s="2" t="str">
        <f t="shared" si="265"/>
        <v>FINAN</v>
      </c>
      <c r="E3130" s="2" t="str">
        <f>"CS_FINANCEIRO_RECEBIDO"</f>
        <v>CS_FINANCEIRO_RECEBIDO</v>
      </c>
      <c r="F3130" s="2" t="str">
        <f>"CS_FINANCEIRO_RECEBIDO"</f>
        <v>CS_FINANCEIRO_RECEBIDO</v>
      </c>
      <c r="G3130" s="2" t="str">
        <f>" ()"</f>
        <v xml:space="preserve"> ()</v>
      </c>
    </row>
    <row r="3131" spans="1:7" x14ac:dyDescent="0.3">
      <c r="A3131" s="1" t="s">
        <v>4</v>
      </c>
      <c r="B3131" s="2" t="str">
        <f>""</f>
        <v/>
      </c>
      <c r="C3131" s="2" t="str">
        <f>""</f>
        <v/>
      </c>
      <c r="D3131" s="2" t="str">
        <f t="shared" si="265"/>
        <v>FINAN</v>
      </c>
      <c r="E3131" s="2" t="str">
        <f>"C_DADOS_CONTRATUAIS"</f>
        <v>C_DADOS_CONTRATUAIS</v>
      </c>
      <c r="F3131" s="2" t="str">
        <f>"C_DADOS_CONTRATUAIS"</f>
        <v>C_DADOS_CONTRATUAIS</v>
      </c>
      <c r="G3131" s="2" t="str">
        <f>"Outros / Financeiro Orgãos Públicos / Consultas Orçamentarias / Informações Contratuais (C_DADOS_CONTRATUAIS)"</f>
        <v>Outros / Financeiro Orgãos Públicos / Consultas Orçamentarias / Informações Contratuais (C_DADOS_CONTRATUAIS)</v>
      </c>
    </row>
    <row r="3132" spans="1:7" x14ac:dyDescent="0.3">
      <c r="A3132" s="1" t="s">
        <v>4</v>
      </c>
      <c r="B3132" s="2" t="str">
        <f>""</f>
        <v/>
      </c>
      <c r="C3132" s="2" t="str">
        <f>""</f>
        <v/>
      </c>
      <c r="D3132" s="2" t="str">
        <f t="shared" si="265"/>
        <v>FINAN</v>
      </c>
      <c r="E3132" s="2" t="str">
        <f>"C_ORCAMENTO_RECEBIDO"</f>
        <v>C_ORCAMENTO_RECEBIDO</v>
      </c>
      <c r="F3132" s="2" t="str">
        <f>"C_ORCAMENTO_RECEBIDO"</f>
        <v>C_ORCAMENTO_RECEBIDO</v>
      </c>
      <c r="G3132" s="2" t="str">
        <f>"Outros / Financeiro Orgãos Públicos / Consultas Orçamentarias / Orçamento Recebido (C_ORCAMENTO_RECEBIDO)"</f>
        <v>Outros / Financeiro Orgãos Públicos / Consultas Orçamentarias / Orçamento Recebido (C_ORCAMENTO_RECEBIDO)</v>
      </c>
    </row>
    <row r="3133" spans="1:7" x14ac:dyDescent="0.3">
      <c r="A3133" s="1" t="s">
        <v>4</v>
      </c>
      <c r="B3133" s="2" t="str">
        <f t="shared" ref="B3133:B3196" si="268">"SISTEMA FINANCEIRO - CONTROLE BANCÁRIO"</f>
        <v>SISTEMA FINANCEIRO - CONTROLE BANCÁRIO</v>
      </c>
      <c r="C3133" s="2" t="str">
        <f t="shared" ref="C3133:C3196" si="269">"FINAN"</f>
        <v>FINAN</v>
      </c>
      <c r="D3133" s="2" t="str">
        <f t="shared" ref="D3133:D3196" si="270">"FNCB"</f>
        <v>FNCB</v>
      </c>
      <c r="E3133" s="2" t="str">
        <f>"RELATÓRIO DE APLICAÇÕES ABERTAS"</f>
        <v>RELATÓRIO DE APLICAÇÕES ABERTAS</v>
      </c>
      <c r="F3133" s="2" t="str">
        <f>"R_APLIC.RDF"</f>
        <v>R_APLIC.RDF</v>
      </c>
      <c r="G3133" s="2" t="str">
        <f>" ()"</f>
        <v xml:space="preserve"> ()</v>
      </c>
    </row>
    <row r="3134" spans="1:7" x14ac:dyDescent="0.3">
      <c r="A3134" s="1" t="s">
        <v>4</v>
      </c>
      <c r="B3134" s="2" t="str">
        <f t="shared" si="268"/>
        <v>SISTEMA FINANCEIRO - CONTROLE BANCÁRIO</v>
      </c>
      <c r="C3134" s="2" t="str">
        <f t="shared" si="269"/>
        <v>FINAN</v>
      </c>
      <c r="D3134" s="2" t="str">
        <f t="shared" si="270"/>
        <v>FNCB</v>
      </c>
      <c r="E3134" s="2" t="str">
        <f>"REL RESUMO BANCARIO"</f>
        <v>REL RESUMO BANCARIO</v>
      </c>
      <c r="F3134" s="2" t="str">
        <f>"R_RESUMO_BANC_HCV"</f>
        <v>R_RESUMO_BANC_HCV</v>
      </c>
      <c r="G3134" s="2" t="str">
        <f>" ()"</f>
        <v xml:space="preserve"> ()</v>
      </c>
    </row>
    <row r="3135" spans="1:7" x14ac:dyDescent="0.3">
      <c r="A3135" s="1" t="s">
        <v>4</v>
      </c>
      <c r="B3135" s="2" t="str">
        <f t="shared" si="268"/>
        <v>SISTEMA FINANCEIRO - CONTROLE BANCÁRIO</v>
      </c>
      <c r="C3135" s="2" t="str">
        <f t="shared" si="269"/>
        <v>FINAN</v>
      </c>
      <c r="D3135" s="2" t="str">
        <f t="shared" si="270"/>
        <v>FNCB</v>
      </c>
      <c r="E3135" s="2" t="str">
        <f>"RELATORIO DE APLICACOES"</f>
        <v>RELATORIO DE APLICACOES</v>
      </c>
      <c r="F3135" s="2" t="str">
        <f>"R_APLIC_CARACT"</f>
        <v>R_APLIC_CARACT</v>
      </c>
      <c r="G3135" s="2" t="str">
        <f>" ()"</f>
        <v xml:space="preserve"> ()</v>
      </c>
    </row>
    <row r="3136" spans="1:7" x14ac:dyDescent="0.3">
      <c r="A3136" s="1" t="s">
        <v>4</v>
      </c>
      <c r="B3136" s="2" t="str">
        <f t="shared" si="268"/>
        <v>SISTEMA FINANCEIRO - CONTROLE BANCÁRIO</v>
      </c>
      <c r="C3136" s="2" t="str">
        <f t="shared" si="269"/>
        <v>FINAN</v>
      </c>
      <c r="D3136" s="2" t="str">
        <f t="shared" si="270"/>
        <v>FNCB</v>
      </c>
      <c r="E3136" s="2" t="str">
        <f>"CADASTRO DE FINANCIADORA DE CARTÃO"</f>
        <v>CADASTRO DE FINANCIADORA DE CARTÃO</v>
      </c>
      <c r="F3136" s="2" t="str">
        <f>"M_FINCAR"</f>
        <v>M_FINCAR</v>
      </c>
      <c r="G3136" s="2" t="s">
        <v>10</v>
      </c>
    </row>
    <row r="3137" spans="1:7" x14ac:dyDescent="0.3">
      <c r="A3137" s="1" t="s">
        <v>4</v>
      </c>
      <c r="B3137" s="2" t="str">
        <f t="shared" si="268"/>
        <v>SISTEMA FINANCEIRO - CONTROLE BANCÁRIO</v>
      </c>
      <c r="C3137" s="2" t="str">
        <f t="shared" si="269"/>
        <v>FINAN</v>
      </c>
      <c r="D3137" s="2" t="str">
        <f t="shared" si="270"/>
        <v>FNCB</v>
      </c>
      <c r="E3137" s="2" t="str">
        <f>"RELATÓRIO DE CONTROLE DAS MOVIMENTAÇÕES"</f>
        <v>RELATÓRIO DE CONTROLE DAS MOVIMENTAÇÕES</v>
      </c>
      <c r="F3137" s="2" t="str">
        <f>"R_CONT_MOV.RDF"</f>
        <v>R_CONT_MOV.RDF</v>
      </c>
      <c r="G3137" s="2" t="str">
        <f>" ()"</f>
        <v xml:space="preserve"> ()</v>
      </c>
    </row>
    <row r="3138" spans="1:7" x14ac:dyDescent="0.3">
      <c r="A3138" s="1" t="s">
        <v>4</v>
      </c>
      <c r="B3138" s="2" t="str">
        <f t="shared" si="268"/>
        <v>SISTEMA FINANCEIRO - CONTROLE BANCÁRIO</v>
      </c>
      <c r="C3138" s="2" t="str">
        <f t="shared" si="269"/>
        <v>FINAN</v>
      </c>
      <c r="D3138" s="2" t="str">
        <f t="shared" si="270"/>
        <v>FNCB</v>
      </c>
      <c r="E3138" s="2" t="str">
        <f>"Configuração Relatórios Personalizados"</f>
        <v>Configuração Relatórios Personalizados</v>
      </c>
      <c r="F3138" s="2" t="str">
        <f>"M_RELATO_PERSONA"</f>
        <v>M_RELATO_PERSONA</v>
      </c>
      <c r="G3138" s="2" t="str">
        <f>" ()"</f>
        <v xml:space="preserve"> ()</v>
      </c>
    </row>
    <row r="3139" spans="1:7" x14ac:dyDescent="0.3">
      <c r="A3139" s="1" t="s">
        <v>4</v>
      </c>
      <c r="B3139" s="2" t="str">
        <f t="shared" si="268"/>
        <v>SISTEMA FINANCEIRO - CONTROLE BANCÁRIO</v>
      </c>
      <c r="C3139" s="2" t="str">
        <f t="shared" si="269"/>
        <v>FINAN</v>
      </c>
      <c r="D3139" s="2" t="str">
        <f t="shared" si="270"/>
        <v>FNCB</v>
      </c>
      <c r="E3139" s="2" t="str">
        <f>"Consulta de Cheques Emitidos"</f>
        <v>Consulta de Cheques Emitidos</v>
      </c>
      <c r="F3139" s="2" t="str">
        <f>"M_CHEQUE_PAGTO"</f>
        <v>M_CHEQUE_PAGTO</v>
      </c>
      <c r="G3139" s="2" t="s">
        <v>10</v>
      </c>
    </row>
    <row r="3140" spans="1:7" x14ac:dyDescent="0.3">
      <c r="A3140" s="1" t="s">
        <v>4</v>
      </c>
      <c r="B3140" s="2" t="str">
        <f t="shared" si="268"/>
        <v>SISTEMA FINANCEIRO - CONTROLE BANCÁRIO</v>
      </c>
      <c r="C3140" s="2" t="str">
        <f t="shared" si="269"/>
        <v>FINAN</v>
      </c>
      <c r="D3140" s="2" t="str">
        <f t="shared" si="270"/>
        <v>FNCB</v>
      </c>
      <c r="E3140" s="2" t="str">
        <f>"Relatório de Arquivo de Retorno"</f>
        <v>Relatório de Arquivo de Retorno</v>
      </c>
      <c r="F3140" s="2" t="str">
        <f>"R_ARQUIVO_RETORNO"</f>
        <v>R_ARQUIVO_RETORNO</v>
      </c>
      <c r="G3140" s="2" t="str">
        <f t="shared" ref="G3140:G3148" si="271">" ()"</f>
        <v xml:space="preserve"> ()</v>
      </c>
    </row>
    <row r="3141" spans="1:7" x14ac:dyDescent="0.3">
      <c r="A3141" s="1" t="s">
        <v>4</v>
      </c>
      <c r="B3141" s="2" t="str">
        <f t="shared" si="268"/>
        <v>SISTEMA FINANCEIRO - CONTROLE BANCÁRIO</v>
      </c>
      <c r="C3141" s="2" t="str">
        <f t="shared" si="269"/>
        <v>FINAN</v>
      </c>
      <c r="D3141" s="2" t="str">
        <f t="shared" si="270"/>
        <v>FNCB</v>
      </c>
      <c r="E3141" s="2" t="str">
        <f>"TRANSF. DE BANCO - MODO CARACTER"</f>
        <v>TRANSF. DE BANCO - MODO CARACTER</v>
      </c>
      <c r="F3141" s="2" t="str">
        <f>"`R_TRANUM_C"</f>
        <v>`R_TRANUM_C</v>
      </c>
      <c r="G3141" s="2" t="str">
        <f t="shared" si="271"/>
        <v xml:space="preserve"> ()</v>
      </c>
    </row>
    <row r="3142" spans="1:7" x14ac:dyDescent="0.3">
      <c r="A3142" s="1" t="s">
        <v>4</v>
      </c>
      <c r="B3142" s="2" t="str">
        <f t="shared" si="268"/>
        <v>SISTEMA FINANCEIRO - CONTROLE BANCÁRIO</v>
      </c>
      <c r="C3142" s="2" t="str">
        <f t="shared" si="269"/>
        <v>FINAN</v>
      </c>
      <c r="D3142" s="2" t="str">
        <f t="shared" si="270"/>
        <v>FNCB</v>
      </c>
      <c r="E3142" s="2" t="str">
        <f>"TRANSF. DE BANCO"</f>
        <v>TRANSF. DE BANCO</v>
      </c>
      <c r="F3142" s="2" t="str">
        <f>"R_TRANUM_C"</f>
        <v>R_TRANUM_C</v>
      </c>
      <c r="G3142" s="2" t="str">
        <f t="shared" si="271"/>
        <v xml:space="preserve"> ()</v>
      </c>
    </row>
    <row r="3143" spans="1:7" x14ac:dyDescent="0.3">
      <c r="A3143" s="1" t="s">
        <v>4</v>
      </c>
      <c r="B3143" s="2" t="str">
        <f t="shared" si="268"/>
        <v>SISTEMA FINANCEIRO - CONTROLE BANCÁRIO</v>
      </c>
      <c r="C3143" s="2" t="str">
        <f t="shared" si="269"/>
        <v>FINAN</v>
      </c>
      <c r="D3143" s="2" t="str">
        <f t="shared" si="270"/>
        <v>FNCB</v>
      </c>
      <c r="E3143" s="2" t="str">
        <f>"R_RAZAO_BANCARIO"</f>
        <v>R_RAZAO_BANCARIO</v>
      </c>
      <c r="F3143" s="2" t="str">
        <f>"R_RAZAO_BANCARIO"</f>
        <v>R_RAZAO_BANCARIO</v>
      </c>
      <c r="G3143" s="2" t="str">
        <f t="shared" si="271"/>
        <v xml:space="preserve"> ()</v>
      </c>
    </row>
    <row r="3144" spans="1:7" x14ac:dyDescent="0.3">
      <c r="A3144" s="1" t="s">
        <v>4</v>
      </c>
      <c r="B3144" s="2" t="str">
        <f t="shared" si="268"/>
        <v>SISTEMA FINANCEIRO - CONTROLE BANCÁRIO</v>
      </c>
      <c r="C3144" s="2" t="str">
        <f t="shared" si="269"/>
        <v>FINAN</v>
      </c>
      <c r="D3144" s="2" t="str">
        <f t="shared" si="270"/>
        <v>FNCB</v>
      </c>
      <c r="E3144" s="2" t="str">
        <f>"REL SALDO BANCARIO"</f>
        <v>REL SALDO BANCARIO</v>
      </c>
      <c r="F3144" s="2" t="str">
        <f>"R_SALDO_BANCARIO_HCV"</f>
        <v>R_SALDO_BANCARIO_HCV</v>
      </c>
      <c r="G3144" s="2" t="str">
        <f t="shared" si="271"/>
        <v xml:space="preserve"> ()</v>
      </c>
    </row>
    <row r="3145" spans="1:7" x14ac:dyDescent="0.3">
      <c r="A3145" s="1" t="s">
        <v>4</v>
      </c>
      <c r="B3145" s="2" t="str">
        <f t="shared" si="268"/>
        <v>SISTEMA FINANCEIRO - CONTROLE BANCÁRIO</v>
      </c>
      <c r="C3145" s="2" t="str">
        <f t="shared" si="269"/>
        <v>FINAN</v>
      </c>
      <c r="D3145" s="2" t="str">
        <f t="shared" si="270"/>
        <v>FNCB</v>
      </c>
      <c r="E3145" s="2" t="str">
        <f>"REL RAZAO BANCARIO"</f>
        <v>REL RAZAO BANCARIO</v>
      </c>
      <c r="F3145" s="2" t="str">
        <f>"R_RAZAO_BANC_HCV"</f>
        <v>R_RAZAO_BANC_HCV</v>
      </c>
      <c r="G3145" s="2" t="str">
        <f t="shared" si="271"/>
        <v xml:space="preserve"> ()</v>
      </c>
    </row>
    <row r="3146" spans="1:7" x14ac:dyDescent="0.3">
      <c r="A3146" s="1" t="s">
        <v>4</v>
      </c>
      <c r="B3146" s="2" t="str">
        <f t="shared" si="268"/>
        <v>SISTEMA FINANCEIRO - CONTROLE BANCÁRIO</v>
      </c>
      <c r="C3146" s="2" t="str">
        <f t="shared" si="269"/>
        <v>FINAN</v>
      </c>
      <c r="D3146" s="2" t="str">
        <f t="shared" si="270"/>
        <v>FNCB</v>
      </c>
      <c r="E3146" s="2" t="str">
        <f>"REL EXTRATO BANCARIO POR BANCO"</f>
        <v>REL EXTRATO BANCARIO POR BANCO</v>
      </c>
      <c r="F3146" s="2" t="str">
        <f>"R_EXTRATO_BANCO_C_HCV"</f>
        <v>R_EXTRATO_BANCO_C_HCV</v>
      </c>
      <c r="G3146" s="2" t="str">
        <f t="shared" si="271"/>
        <v xml:space="preserve"> ()</v>
      </c>
    </row>
    <row r="3147" spans="1:7" x14ac:dyDescent="0.3">
      <c r="A3147" s="1" t="s">
        <v>4</v>
      </c>
      <c r="B3147" s="2" t="str">
        <f t="shared" si="268"/>
        <v>SISTEMA FINANCEIRO - CONTROLE BANCÁRIO</v>
      </c>
      <c r="C3147" s="2" t="str">
        <f t="shared" si="269"/>
        <v>FINAN</v>
      </c>
      <c r="D3147" s="2" t="str">
        <f t="shared" si="270"/>
        <v>FNCB</v>
      </c>
      <c r="E3147" s="2" t="str">
        <f>"REL EXTRATO BANCARIO POR BANCO"</f>
        <v>REL EXTRATO BANCARIO POR BANCO</v>
      </c>
      <c r="F3147" s="2" t="str">
        <f>"R_EXTRATO_BANCO_HCV"</f>
        <v>R_EXTRATO_BANCO_HCV</v>
      </c>
      <c r="G3147" s="2" t="str">
        <f t="shared" si="271"/>
        <v xml:space="preserve"> ()</v>
      </c>
    </row>
    <row r="3148" spans="1:7" x14ac:dyDescent="0.3">
      <c r="A3148" s="1" t="s">
        <v>4</v>
      </c>
      <c r="B3148" s="2" t="str">
        <f t="shared" si="268"/>
        <v>SISTEMA FINANCEIRO - CONTROLE BANCÁRIO</v>
      </c>
      <c r="C3148" s="2" t="str">
        <f t="shared" si="269"/>
        <v>FINAN</v>
      </c>
      <c r="D3148" s="2" t="str">
        <f t="shared" si="270"/>
        <v>FNCB</v>
      </c>
      <c r="E3148" s="2" t="str">
        <f>"REL EXTRATO BANCARIO POR CONTA"</f>
        <v>REL EXTRATO BANCARIO POR CONTA</v>
      </c>
      <c r="F3148" s="2" t="str">
        <f>"R_EXTRATO_CONTA_CARACT_HCV"</f>
        <v>R_EXTRATO_CONTA_CARACT_HCV</v>
      </c>
      <c r="G3148" s="2" t="str">
        <f t="shared" si="271"/>
        <v xml:space="preserve"> ()</v>
      </c>
    </row>
    <row r="3149" spans="1:7" x14ac:dyDescent="0.3">
      <c r="A3149" s="1" t="s">
        <v>4</v>
      </c>
      <c r="B3149" s="2" t="str">
        <f t="shared" si="268"/>
        <v>SISTEMA FINANCEIRO - CONTROLE BANCÁRIO</v>
      </c>
      <c r="C3149" s="2" t="str">
        <f t="shared" si="269"/>
        <v>FINAN</v>
      </c>
      <c r="D3149" s="2" t="str">
        <f t="shared" si="270"/>
        <v>FNCB</v>
      </c>
      <c r="E3149" s="2" t="str">
        <f>"RELATÓRIO DE CONTROLE DAS MOVIMENTAÇÕES"</f>
        <v>RELATÓRIO DE CONTROLE DAS MOVIMENTAÇÕES</v>
      </c>
      <c r="F3149" s="2" t="str">
        <f>"R_CONT_MOV"</f>
        <v>R_CONT_MOV</v>
      </c>
      <c r="G3149" s="2" t="s">
        <v>10</v>
      </c>
    </row>
    <row r="3150" spans="1:7" x14ac:dyDescent="0.3">
      <c r="A3150" s="1" t="s">
        <v>4</v>
      </c>
      <c r="B3150" s="2" t="str">
        <f t="shared" si="268"/>
        <v>SISTEMA FINANCEIRO - CONTROLE BANCÁRIO</v>
      </c>
      <c r="C3150" s="2" t="str">
        <f t="shared" si="269"/>
        <v>FINAN</v>
      </c>
      <c r="D3150" s="2" t="str">
        <f t="shared" si="270"/>
        <v>FNCB</v>
      </c>
      <c r="E3150" s="2" t="str">
        <f>"CANCELAMENTO DE ARQUIVO - FEBRABAN"</f>
        <v>CANCELAMENTO DE ARQUIVO - FEBRABAN</v>
      </c>
      <c r="F3150" s="2" t="str">
        <f>"O_CANC_FEBRABAN"</f>
        <v>O_CANC_FEBRABAN</v>
      </c>
      <c r="G3150" s="2" t="str">
        <f>" ()"</f>
        <v xml:space="preserve"> ()</v>
      </c>
    </row>
    <row r="3151" spans="1:7" x14ac:dyDescent="0.3">
      <c r="A3151" s="1" t="s">
        <v>4</v>
      </c>
      <c r="B3151" s="2" t="str">
        <f t="shared" si="268"/>
        <v>SISTEMA FINANCEIRO - CONTROLE BANCÁRIO</v>
      </c>
      <c r="C3151" s="2" t="str">
        <f t="shared" si="269"/>
        <v>FINAN</v>
      </c>
      <c r="D3151" s="2" t="str">
        <f t="shared" si="270"/>
        <v>FNCB</v>
      </c>
      <c r="E3151" s="2" t="str">
        <f>"GERAÇÃO DE ARQUIVO - FEBRABAN"</f>
        <v>GERAÇÃO DE ARQUIVO - FEBRABAN</v>
      </c>
      <c r="F3151" s="2" t="str">
        <f>"O_GERA_FEBRABAN"</f>
        <v>O_GERA_FEBRABAN</v>
      </c>
      <c r="G3151" s="2" t="str">
        <f>" ()"</f>
        <v xml:space="preserve"> ()</v>
      </c>
    </row>
    <row r="3152" spans="1:7" x14ac:dyDescent="0.3">
      <c r="A3152" s="1" t="s">
        <v>4</v>
      </c>
      <c r="B3152" s="2" t="str">
        <f t="shared" si="268"/>
        <v>SISTEMA FINANCEIRO - CONTROLE BANCÁRIO</v>
      </c>
      <c r="C3152" s="2" t="str">
        <f t="shared" si="269"/>
        <v>FINAN</v>
      </c>
      <c r="D3152" s="2" t="str">
        <f t="shared" si="270"/>
        <v>FNCB</v>
      </c>
      <c r="E3152" s="2" t="str">
        <f>"CONCILIACAO BANCARIA POR BANCO E DATA"</f>
        <v>CONCILIACAO BANCARIA POR BANCO E DATA</v>
      </c>
      <c r="F3152" s="2" t="str">
        <f>"O_CONCBANC_DATA"</f>
        <v>O_CONCBANC_DATA</v>
      </c>
      <c r="G3152" s="2" t="str">
        <f>" ()"</f>
        <v xml:space="preserve"> ()</v>
      </c>
    </row>
    <row r="3153" spans="1:7" x14ac:dyDescent="0.3">
      <c r="A3153" s="1" t="s">
        <v>4</v>
      </c>
      <c r="B3153" s="2" t="str">
        <f t="shared" si="268"/>
        <v>SISTEMA FINANCEIRO - CONTROLE BANCÁRIO</v>
      </c>
      <c r="C3153" s="2" t="str">
        <f t="shared" si="269"/>
        <v>FINAN</v>
      </c>
      <c r="D3153" s="2" t="str">
        <f t="shared" si="270"/>
        <v>FNCB</v>
      </c>
      <c r="E3153" s="2" t="str">
        <f>"CÓPIA DE CHEQUE TRANFERÊNCIA"</f>
        <v>CÓPIA DE CHEQUE TRANFERÊNCIA</v>
      </c>
      <c r="F3153" s="2" t="str">
        <f>"R_COPIA_CHEQUE_TRANSF"</f>
        <v>R_COPIA_CHEQUE_TRANSF</v>
      </c>
      <c r="G3153" s="2" t="s">
        <v>10</v>
      </c>
    </row>
    <row r="3154" spans="1:7" x14ac:dyDescent="0.3">
      <c r="A3154" s="1" t="s">
        <v>4</v>
      </c>
      <c r="B3154" s="2" t="str">
        <f t="shared" si="268"/>
        <v>SISTEMA FINANCEIRO - CONTROLE BANCÁRIO</v>
      </c>
      <c r="C3154" s="2" t="str">
        <f t="shared" si="269"/>
        <v>FINAN</v>
      </c>
      <c r="D3154" s="2" t="str">
        <f t="shared" si="270"/>
        <v>FNCB</v>
      </c>
      <c r="E3154" s="2" t="str">
        <f>"COPIA DE CHEQUE TRANFERÊNCIA"</f>
        <v>COPIA DE CHEQUE TRANFERÊNCIA</v>
      </c>
      <c r="F3154" s="2" t="str">
        <f>"R_COPIA_CHEQUE_TRANS"</f>
        <v>R_COPIA_CHEQUE_TRANS</v>
      </c>
      <c r="G3154" s="2" t="str">
        <f t="shared" ref="G3154:G3159" si="272">" ()"</f>
        <v xml:space="preserve"> ()</v>
      </c>
    </row>
    <row r="3155" spans="1:7" x14ac:dyDescent="0.3">
      <c r="A3155" s="1" t="s">
        <v>4</v>
      </c>
      <c r="B3155" s="2" t="str">
        <f t="shared" si="268"/>
        <v>SISTEMA FINANCEIRO - CONTROLE BANCÁRIO</v>
      </c>
      <c r="C3155" s="2" t="str">
        <f t="shared" si="269"/>
        <v>FINAN</v>
      </c>
      <c r="D3155" s="2" t="str">
        <f t="shared" si="270"/>
        <v>FNCB</v>
      </c>
      <c r="E3155" s="2" t="str">
        <f>"RELATORIO DE COPIA DE CHEQUE NELSON CHAV"</f>
        <v>RELATORIO DE COPIA DE CHEQUE NELSON CHAV</v>
      </c>
      <c r="F3155" s="2" t="str">
        <f>"R_COPIA_CHEQUE_NELSON"</f>
        <v>R_COPIA_CHEQUE_NELSON</v>
      </c>
      <c r="G3155" s="2" t="str">
        <f t="shared" si="272"/>
        <v xml:space="preserve"> ()</v>
      </c>
    </row>
    <row r="3156" spans="1:7" x14ac:dyDescent="0.3">
      <c r="A3156" s="1" t="s">
        <v>4</v>
      </c>
      <c r="B3156" s="2" t="str">
        <f t="shared" si="268"/>
        <v>SISTEMA FINANCEIRO - CONTROLE BANCÁRIO</v>
      </c>
      <c r="C3156" s="2" t="str">
        <f t="shared" si="269"/>
        <v>FINAN</v>
      </c>
      <c r="D3156" s="2" t="str">
        <f t="shared" si="270"/>
        <v>FNCB</v>
      </c>
      <c r="E3156" s="2" t="str">
        <f>"RELAT. EXTRATO - BANCO POR CONTA"</f>
        <v>RELAT. EXTRATO - BANCO POR CONTA</v>
      </c>
      <c r="F3156" s="2" t="str">
        <f>"R_EXT_BCO_CONTA"</f>
        <v>R_EXT_BCO_CONTA</v>
      </c>
      <c r="G3156" s="2" t="str">
        <f t="shared" si="272"/>
        <v xml:space="preserve"> ()</v>
      </c>
    </row>
    <row r="3157" spans="1:7" x14ac:dyDescent="0.3">
      <c r="A3157" s="1" t="s">
        <v>4</v>
      </c>
      <c r="B3157" s="2" t="str">
        <f t="shared" si="268"/>
        <v>SISTEMA FINANCEIRO - CONTROLE BANCÁRIO</v>
      </c>
      <c r="C3157" s="2" t="str">
        <f t="shared" si="269"/>
        <v>FINAN</v>
      </c>
      <c r="D3157" s="2" t="str">
        <f t="shared" si="270"/>
        <v>FNCB</v>
      </c>
      <c r="E3157" s="2" t="str">
        <f>"RELATORIO DE COPIA DE CHEQUE SIMPLIFICAD"</f>
        <v>RELATORIO DE COPIA DE CHEQUE SIMPLIFICAD</v>
      </c>
      <c r="F3157" s="2" t="str">
        <f>"R_COPIA_CHEQUE_SIMP"</f>
        <v>R_COPIA_CHEQUE_SIMP</v>
      </c>
      <c r="G3157" s="2" t="str">
        <f t="shared" si="272"/>
        <v xml:space="preserve"> ()</v>
      </c>
    </row>
    <row r="3158" spans="1:7" x14ac:dyDescent="0.3">
      <c r="A3158" s="1" t="s">
        <v>4</v>
      </c>
      <c r="B3158" s="2" t="str">
        <f t="shared" si="268"/>
        <v>SISTEMA FINANCEIRO - CONTROLE BANCÁRIO</v>
      </c>
      <c r="C3158" s="2" t="str">
        <f t="shared" si="269"/>
        <v>FINAN</v>
      </c>
      <c r="D3158" s="2" t="str">
        <f t="shared" si="270"/>
        <v>FNCB</v>
      </c>
      <c r="E3158" s="2" t="str">
        <f>"CÓPIA DE CHEQUE POR DOCUMENTO"</f>
        <v>CÓPIA DE CHEQUE POR DOCUMENTO</v>
      </c>
      <c r="F3158" s="2" t="str">
        <f>"R_COPIA_CHEQUE_DOC"</f>
        <v>R_COPIA_CHEQUE_DOC</v>
      </c>
      <c r="G3158" s="2" t="str">
        <f t="shared" si="272"/>
        <v xml:space="preserve"> ()</v>
      </c>
    </row>
    <row r="3159" spans="1:7" x14ac:dyDescent="0.3">
      <c r="A3159" s="1" t="s">
        <v>4</v>
      </c>
      <c r="B3159" s="2" t="str">
        <f t="shared" si="268"/>
        <v>SISTEMA FINANCEIRO - CONTROLE BANCÁRIO</v>
      </c>
      <c r="C3159" s="2" t="str">
        <f t="shared" si="269"/>
        <v>FINAN</v>
      </c>
      <c r="D3159" s="2" t="str">
        <f t="shared" si="270"/>
        <v>FNCB</v>
      </c>
      <c r="E3159" s="2" t="str">
        <f>"EXTRATO DE CONTA CARACTER"</f>
        <v>EXTRATO DE CONTA CARACTER</v>
      </c>
      <c r="F3159" s="2" t="str">
        <f>"R_EXTRATO_CONTA_CARACT"</f>
        <v>R_EXTRATO_CONTA_CARACT</v>
      </c>
      <c r="G3159" s="2" t="str">
        <f t="shared" si="272"/>
        <v xml:space="preserve"> ()</v>
      </c>
    </row>
    <row r="3160" spans="1:7" x14ac:dyDescent="0.3">
      <c r="A3160" s="1" t="s">
        <v>4</v>
      </c>
      <c r="B3160" s="2" t="str">
        <f t="shared" si="268"/>
        <v>SISTEMA FINANCEIRO - CONTROLE BANCÁRIO</v>
      </c>
      <c r="C3160" s="2" t="str">
        <f t="shared" si="269"/>
        <v>FINAN</v>
      </c>
      <c r="D3160" s="2" t="str">
        <f t="shared" si="270"/>
        <v>FNCB</v>
      </c>
      <c r="E3160" s="2" t="str">
        <f>"RELATORIO DE APLICACOES"</f>
        <v>RELATORIO DE APLICACOES</v>
      </c>
      <c r="F3160" s="2" t="str">
        <f>"R_APLIC"</f>
        <v>R_APLIC</v>
      </c>
      <c r="G3160" s="2" t="s">
        <v>10</v>
      </c>
    </row>
    <row r="3161" spans="1:7" x14ac:dyDescent="0.3">
      <c r="A3161" s="1" t="s">
        <v>4</v>
      </c>
      <c r="B3161" s="2" t="str">
        <f t="shared" si="268"/>
        <v>SISTEMA FINANCEIRO - CONTROLE BANCÁRIO</v>
      </c>
      <c r="C3161" s="2" t="str">
        <f t="shared" si="269"/>
        <v>FINAN</v>
      </c>
      <c r="D3161" s="2" t="str">
        <f t="shared" si="270"/>
        <v>FNCB</v>
      </c>
      <c r="E3161" s="2" t="str">
        <f>"RELATORIO DE JUROS DE APLICACAO"</f>
        <v>RELATORIO DE JUROS DE APLICACAO</v>
      </c>
      <c r="F3161" s="2" t="str">
        <f>"R_APLIC_JUROS_CARACT"</f>
        <v>R_APLIC_JUROS_CARACT</v>
      </c>
      <c r="G3161" s="2" t="str">
        <f>" ()"</f>
        <v xml:space="preserve"> ()</v>
      </c>
    </row>
    <row r="3162" spans="1:7" x14ac:dyDescent="0.3">
      <c r="A3162" s="1" t="s">
        <v>4</v>
      </c>
      <c r="B3162" s="2" t="str">
        <f t="shared" si="268"/>
        <v>SISTEMA FINANCEIRO - CONTROLE BANCÁRIO</v>
      </c>
      <c r="C3162" s="2" t="str">
        <f t="shared" si="269"/>
        <v>FINAN</v>
      </c>
      <c r="D3162" s="2" t="str">
        <f t="shared" si="270"/>
        <v>FNCB</v>
      </c>
      <c r="E3162" s="2" t="str">
        <f>"RELATORIO DE JUROS DE APLICACAO"</f>
        <v>RELATORIO DE JUROS DE APLICACAO</v>
      </c>
      <c r="F3162" s="2" t="str">
        <f>"R_APLIC_JUROS"</f>
        <v>R_APLIC_JUROS</v>
      </c>
      <c r="G3162" s="2" t="s">
        <v>10</v>
      </c>
    </row>
    <row r="3163" spans="1:7" x14ac:dyDescent="0.3">
      <c r="A3163" s="1" t="s">
        <v>4</v>
      </c>
      <c r="B3163" s="2" t="str">
        <f t="shared" si="268"/>
        <v>SISTEMA FINANCEIRO - CONTROLE BANCÁRIO</v>
      </c>
      <c r="C3163" s="2" t="str">
        <f t="shared" si="269"/>
        <v>FINAN</v>
      </c>
      <c r="D3163" s="2" t="str">
        <f t="shared" si="270"/>
        <v>FNCB</v>
      </c>
      <c r="E3163" s="2" t="str">
        <f>"R_RAZAO_BANC_CARACT"</f>
        <v>R_RAZAO_BANC_CARACT</v>
      </c>
      <c r="F3163" s="2" t="str">
        <f>"R_RAZAO_BANC_CARACT"</f>
        <v>R_RAZAO_BANC_CARACT</v>
      </c>
      <c r="G3163" s="2" t="str">
        <f>" ()"</f>
        <v xml:space="preserve"> ()</v>
      </c>
    </row>
    <row r="3164" spans="1:7" x14ac:dyDescent="0.3">
      <c r="A3164" s="1" t="s">
        <v>4</v>
      </c>
      <c r="B3164" s="2" t="str">
        <f t="shared" si="268"/>
        <v>SISTEMA FINANCEIRO - CONTROLE BANCÁRIO</v>
      </c>
      <c r="C3164" s="2" t="str">
        <f t="shared" si="269"/>
        <v>FINAN</v>
      </c>
      <c r="D3164" s="2" t="str">
        <f t="shared" si="270"/>
        <v>FNCB</v>
      </c>
      <c r="E3164" s="2" t="str">
        <f>"CONSULTA DE APLICACAO"</f>
        <v>CONSULTA DE APLICACAO</v>
      </c>
      <c r="F3164" s="2" t="str">
        <f>"C_APLICACAO"</f>
        <v>C_APLICACAO</v>
      </c>
      <c r="G3164" s="2" t="s">
        <v>10</v>
      </c>
    </row>
    <row r="3165" spans="1:7" x14ac:dyDescent="0.3">
      <c r="A3165" s="1" t="s">
        <v>4</v>
      </c>
      <c r="B3165" s="2" t="str">
        <f t="shared" si="268"/>
        <v>SISTEMA FINANCEIRO - CONTROLE BANCÁRIO</v>
      </c>
      <c r="C3165" s="2" t="str">
        <f t="shared" si="269"/>
        <v>FINAN</v>
      </c>
      <c r="D3165" s="2" t="str">
        <f t="shared" si="270"/>
        <v>FNCB</v>
      </c>
      <c r="E3165" s="2" t="str">
        <f>"CONSULTA DE SALDO BANCÁRIO"</f>
        <v>CONSULTA DE SALDO BANCÁRIO</v>
      </c>
      <c r="F3165" s="2" t="str">
        <f>"C_SALDO_BANCARIO"</f>
        <v>C_SALDO_BANCARIO</v>
      </c>
      <c r="G3165" s="2" t="s">
        <v>10</v>
      </c>
    </row>
    <row r="3166" spans="1:7" x14ac:dyDescent="0.3">
      <c r="A3166" s="1" t="s">
        <v>4</v>
      </c>
      <c r="B3166" s="2" t="str">
        <f t="shared" si="268"/>
        <v>SISTEMA FINANCEIRO - CONTROLE BANCÁRIO</v>
      </c>
      <c r="C3166" s="2" t="str">
        <f t="shared" si="269"/>
        <v>FINAN</v>
      </c>
      <c r="D3166" s="2" t="str">
        <f t="shared" si="270"/>
        <v>FNCB</v>
      </c>
      <c r="E3166" s="2" t="str">
        <f>"RELATORIO DE PORTADOR"</f>
        <v>RELATORIO DE PORTADOR</v>
      </c>
      <c r="F3166" s="2" t="str">
        <f>"R_PORTADOR"</f>
        <v>R_PORTADOR</v>
      </c>
      <c r="G3166" s="2" t="s">
        <v>10</v>
      </c>
    </row>
    <row r="3167" spans="1:7" x14ac:dyDescent="0.3">
      <c r="A3167" s="1" t="s">
        <v>4</v>
      </c>
      <c r="B3167" s="2" t="str">
        <f t="shared" si="268"/>
        <v>SISTEMA FINANCEIRO - CONTROLE BANCÁRIO</v>
      </c>
      <c r="C3167" s="2" t="str">
        <f t="shared" si="269"/>
        <v>FINAN</v>
      </c>
      <c r="D3167" s="2" t="str">
        <f t="shared" si="270"/>
        <v>FNCB</v>
      </c>
      <c r="E3167" s="2" t="str">
        <f>"FORMAS DE PAGAMENTO DA REMESSA"</f>
        <v>FORMAS DE PAGAMENTO DA REMESSA</v>
      </c>
      <c r="F3167" s="2" t="str">
        <f>"M_FORMA_PGTO_REMESSA"</f>
        <v>M_FORMA_PGTO_REMESSA</v>
      </c>
      <c r="G3167" s="2" t="str">
        <f>"Controladoria / Intercâmbio Eletrônico de Arquivos / Tabelas / Formas de Pagamento da Remessa (M_FORMA_PGTO_REMESSA)"</f>
        <v>Controladoria / Intercâmbio Eletrônico de Arquivos / Tabelas / Formas de Pagamento da Remessa (M_FORMA_PGTO_REMESSA)</v>
      </c>
    </row>
    <row r="3168" spans="1:7" x14ac:dyDescent="0.3">
      <c r="A3168" s="1" t="s">
        <v>4</v>
      </c>
      <c r="B3168" s="2" t="str">
        <f t="shared" si="268"/>
        <v>SISTEMA FINANCEIRO - CONTROLE BANCÁRIO</v>
      </c>
      <c r="C3168" s="2" t="str">
        <f t="shared" si="269"/>
        <v>FINAN</v>
      </c>
      <c r="D3168" s="2" t="str">
        <f t="shared" si="270"/>
        <v>FNCB</v>
      </c>
      <c r="E3168" s="2" t="str">
        <f>"FORMAS DE PAGAMENTO DA REMESSA"</f>
        <v>FORMAS DE PAGAMENTO DA REMESSA</v>
      </c>
      <c r="F3168" s="2" t="str">
        <f>"M_FORMA_PGTO_REMESSA"</f>
        <v>M_FORMA_PGTO_REMESSA</v>
      </c>
      <c r="G3168" s="2" t="s">
        <v>10</v>
      </c>
    </row>
    <row r="3169" spans="1:7" x14ac:dyDescent="0.3">
      <c r="A3169" s="1" t="s">
        <v>4</v>
      </c>
      <c r="B3169" s="2" t="str">
        <f t="shared" si="268"/>
        <v>SISTEMA FINANCEIRO - CONTROLE BANCÁRIO</v>
      </c>
      <c r="C3169" s="2" t="str">
        <f t="shared" si="269"/>
        <v>FINAN</v>
      </c>
      <c r="D3169" s="2" t="str">
        <f t="shared" si="270"/>
        <v>FNCB</v>
      </c>
      <c r="E3169" s="2" t="str">
        <f>"ARQUIVO DE RETORNO"</f>
        <v>ARQUIVO DE RETORNO</v>
      </c>
      <c r="F3169" s="2" t="str">
        <f>"O_ARQUIVO_RETORNO"</f>
        <v>O_ARQUIVO_RETORNO</v>
      </c>
      <c r="G3169" s="2" t="str">
        <f>"Controladoria / Intercâmbio Eletrônico de Arquivos / Arquivos / Bancos / Retorno / Recepção de Arquivos de Retorno (O_ARQUIVO_RETORNO)"</f>
        <v>Controladoria / Intercâmbio Eletrônico de Arquivos / Arquivos / Bancos / Retorno / Recepção de Arquivos de Retorno (O_ARQUIVO_RETORNO)</v>
      </c>
    </row>
    <row r="3170" spans="1:7" x14ac:dyDescent="0.3">
      <c r="A3170" s="1" t="s">
        <v>4</v>
      </c>
      <c r="B3170" s="2" t="str">
        <f t="shared" si="268"/>
        <v>SISTEMA FINANCEIRO - CONTROLE BANCÁRIO</v>
      </c>
      <c r="C3170" s="2" t="str">
        <f t="shared" si="269"/>
        <v>FINAN</v>
      </c>
      <c r="D3170" s="2" t="str">
        <f t="shared" si="270"/>
        <v>FNCB</v>
      </c>
      <c r="E3170" s="2" t="str">
        <f>"CADASTRO DE OCORRÊNCIAS DOS BANCOS"</f>
        <v>CADASTRO DE OCORRÊNCIAS DOS BANCOS</v>
      </c>
      <c r="F3170" s="2" t="str">
        <f>"M_OCORRENCIA_ARQUIVO"</f>
        <v>M_OCORRENCIA_ARQUIVO</v>
      </c>
      <c r="G3170" s="2" t="str">
        <f>"Controladoria / Intercâmbio Eletrônico de Arquivos / Tabelas / Ocorrências do Arquivo de Retorno (M_OCORRENCIA_ARQUIVO)"</f>
        <v>Controladoria / Intercâmbio Eletrônico de Arquivos / Tabelas / Ocorrências do Arquivo de Retorno (M_OCORRENCIA_ARQUIVO)</v>
      </c>
    </row>
    <row r="3171" spans="1:7" x14ac:dyDescent="0.3">
      <c r="A3171" s="1" t="s">
        <v>4</v>
      </c>
      <c r="B3171" s="2" t="str">
        <f t="shared" si="268"/>
        <v>SISTEMA FINANCEIRO - CONTROLE BANCÁRIO</v>
      </c>
      <c r="C3171" s="2" t="str">
        <f t="shared" si="269"/>
        <v>FINAN</v>
      </c>
      <c r="D3171" s="2" t="str">
        <f t="shared" si="270"/>
        <v>FNCB</v>
      </c>
      <c r="E3171" s="2" t="str">
        <f>"WIN_PRINCIPAL"</f>
        <v>WIN_PRINCIPAL</v>
      </c>
      <c r="F3171" s="2" t="str">
        <f>"O_ARQUIVO_REMESSA"</f>
        <v>O_ARQUIVO_REMESSA</v>
      </c>
      <c r="G3171" s="2" t="str">
        <f>"Controladoria / Intercâmbio Eletrônico de Arquivos / Arquivos / Bancos / Remessa / Arquivos de Pagamentos e Cobranças (O_ARQUIVO_REMESSA)"</f>
        <v>Controladoria / Intercâmbio Eletrônico de Arquivos / Arquivos / Bancos / Remessa / Arquivos de Pagamentos e Cobranças (O_ARQUIVO_REMESSA)</v>
      </c>
    </row>
    <row r="3172" spans="1:7" x14ac:dyDescent="0.3">
      <c r="A3172" s="1" t="s">
        <v>4</v>
      </c>
      <c r="B3172" s="2" t="str">
        <f t="shared" si="268"/>
        <v>SISTEMA FINANCEIRO - CONTROLE BANCÁRIO</v>
      </c>
      <c r="C3172" s="2" t="str">
        <f t="shared" si="269"/>
        <v>FINAN</v>
      </c>
      <c r="D3172" s="2" t="str">
        <f t="shared" si="270"/>
        <v>FNCB</v>
      </c>
      <c r="E3172" s="2" t="str">
        <f>"WIN_PRINCIPAL"</f>
        <v>WIN_PRINCIPAL</v>
      </c>
      <c r="F3172" s="2" t="str">
        <f>"O_ARQUIVO_REMESSA"</f>
        <v>O_ARQUIVO_REMESSA</v>
      </c>
      <c r="G3172" s="2" t="s">
        <v>10</v>
      </c>
    </row>
    <row r="3173" spans="1:7" x14ac:dyDescent="0.3">
      <c r="A3173" s="1" t="s">
        <v>4</v>
      </c>
      <c r="B3173" s="2" t="str">
        <f t="shared" si="268"/>
        <v>SISTEMA FINANCEIRO - CONTROLE BANCÁRIO</v>
      </c>
      <c r="C3173" s="2" t="str">
        <f t="shared" si="269"/>
        <v>FINAN</v>
      </c>
      <c r="D3173" s="2" t="str">
        <f t="shared" si="270"/>
        <v>FNCB</v>
      </c>
      <c r="E3173" s="2" t="str">
        <f>"WIN_PRINCIPAL"</f>
        <v>WIN_PRINCIPAL</v>
      </c>
      <c r="F3173" s="2" t="str">
        <f>"M_LOTE_REMESSA"</f>
        <v>M_LOTE_REMESSA</v>
      </c>
      <c r="G3173" s="2" t="str">
        <f>"Controladoria / Intercâmbio Eletrônico de Arquivos / Arquivos / Bancos / Lotes de Remessa (M_LOTE_REMESSA)"</f>
        <v>Controladoria / Intercâmbio Eletrônico de Arquivos / Arquivos / Bancos / Lotes de Remessa (M_LOTE_REMESSA)</v>
      </c>
    </row>
    <row r="3174" spans="1:7" x14ac:dyDescent="0.3">
      <c r="A3174" s="1" t="s">
        <v>4</v>
      </c>
      <c r="B3174" s="2" t="str">
        <f t="shared" si="268"/>
        <v>SISTEMA FINANCEIRO - CONTROLE BANCÁRIO</v>
      </c>
      <c r="C3174" s="2" t="str">
        <f t="shared" si="269"/>
        <v>FINAN</v>
      </c>
      <c r="D3174" s="2" t="str">
        <f t="shared" si="270"/>
        <v>FNCB</v>
      </c>
      <c r="E3174" s="2" t="str">
        <f>"WIN_PRINCIPAL"</f>
        <v>WIN_PRINCIPAL</v>
      </c>
      <c r="F3174" s="2" t="str">
        <f>"M_LOTE_REMESSA"</f>
        <v>M_LOTE_REMESSA</v>
      </c>
      <c r="G3174" s="2" t="s">
        <v>10</v>
      </c>
    </row>
    <row r="3175" spans="1:7" x14ac:dyDescent="0.3">
      <c r="A3175" s="1" t="s">
        <v>4</v>
      </c>
      <c r="B3175" s="2" t="str">
        <f t="shared" si="268"/>
        <v>SISTEMA FINANCEIRO - CONTROLE BANCÁRIO</v>
      </c>
      <c r="C3175" s="2" t="str">
        <f t="shared" si="269"/>
        <v>FINAN</v>
      </c>
      <c r="D3175" s="2" t="str">
        <f t="shared" si="270"/>
        <v>FNCB</v>
      </c>
      <c r="E3175" s="2" t="str">
        <f>"CADASTRO: TIPO DE CONTA CORRENTE"</f>
        <v>CADASTRO: TIPO DE CONTA CORRENTE</v>
      </c>
      <c r="F3175" s="2" t="str">
        <f>"M_TIP_CON_COR"</f>
        <v>M_TIP_CON_COR</v>
      </c>
      <c r="G3175" s="2" t="s">
        <v>10</v>
      </c>
    </row>
    <row r="3176" spans="1:7" x14ac:dyDescent="0.3">
      <c r="A3176" s="1" t="s">
        <v>4</v>
      </c>
      <c r="B3176" s="2" t="str">
        <f t="shared" si="268"/>
        <v>SISTEMA FINANCEIRO - CONTROLE BANCÁRIO</v>
      </c>
      <c r="C3176" s="2" t="str">
        <f t="shared" si="269"/>
        <v>FINAN</v>
      </c>
      <c r="D3176" s="2" t="str">
        <f t="shared" si="270"/>
        <v>FNCB</v>
      </c>
      <c r="E3176" s="2" t="str">
        <f>"R_LANEXTR"</f>
        <v>R_LANEXTR</v>
      </c>
      <c r="F3176" s="2" t="str">
        <f>"R_LANEXTR"</f>
        <v>R_LANEXTR</v>
      </c>
      <c r="G3176" s="2" t="s">
        <v>10</v>
      </c>
    </row>
    <row r="3177" spans="1:7" x14ac:dyDescent="0.3">
      <c r="A3177" s="1" t="s">
        <v>4</v>
      </c>
      <c r="B3177" s="2" t="str">
        <f t="shared" si="268"/>
        <v>SISTEMA FINANCEIRO - CONTROLE BANCÁRIO</v>
      </c>
      <c r="C3177" s="2" t="str">
        <f t="shared" si="269"/>
        <v>FINAN</v>
      </c>
      <c r="D3177" s="2" t="str">
        <f t="shared" si="270"/>
        <v>FNCB</v>
      </c>
      <c r="E3177" s="2" t="str">
        <f>"R_CHEQUE_GERAL"</f>
        <v>R_CHEQUE_GERAL</v>
      </c>
      <c r="F3177" s="2" t="str">
        <f>"R_CHEQUE_GERAL"</f>
        <v>R_CHEQUE_GERAL</v>
      </c>
      <c r="G3177" s="2" t="str">
        <f t="shared" ref="G3177:G3182" si="273">" ()"</f>
        <v xml:space="preserve"> ()</v>
      </c>
    </row>
    <row r="3178" spans="1:7" x14ac:dyDescent="0.3">
      <c r="A3178" s="1" t="s">
        <v>4</v>
      </c>
      <c r="B3178" s="2" t="str">
        <f t="shared" si="268"/>
        <v>SISTEMA FINANCEIRO - CONTROLE BANCÁRIO</v>
      </c>
      <c r="C3178" s="2" t="str">
        <f t="shared" si="269"/>
        <v>FINAN</v>
      </c>
      <c r="D3178" s="2" t="str">
        <f t="shared" si="270"/>
        <v>FNCB</v>
      </c>
      <c r="E3178" s="2" t="str">
        <f>"O_CONCBANC_PERSON"</f>
        <v>O_CONCBANC_PERSON</v>
      </c>
      <c r="F3178" s="2" t="str">
        <f>"O_CONCBANC_PERSON"</f>
        <v>O_CONCBANC_PERSON</v>
      </c>
      <c r="G3178" s="2" t="str">
        <f t="shared" si="273"/>
        <v xml:space="preserve"> ()</v>
      </c>
    </row>
    <row r="3179" spans="1:7" x14ac:dyDescent="0.3">
      <c r="A3179" s="1" t="s">
        <v>4</v>
      </c>
      <c r="B3179" s="2" t="str">
        <f t="shared" si="268"/>
        <v>SISTEMA FINANCEIRO - CONTROLE BANCÁRIO</v>
      </c>
      <c r="C3179" s="2" t="str">
        <f t="shared" si="269"/>
        <v>FINAN</v>
      </c>
      <c r="D3179" s="2" t="str">
        <f t="shared" si="270"/>
        <v>FNCB</v>
      </c>
      <c r="E3179" s="2" t="str">
        <f>"M_BEMATECH"</f>
        <v>M_BEMATECH</v>
      </c>
      <c r="F3179" s="2" t="str">
        <f>"M_BEMATECH"</f>
        <v>M_BEMATECH</v>
      </c>
      <c r="G3179" s="2" t="str">
        <f t="shared" si="273"/>
        <v xml:space="preserve"> ()</v>
      </c>
    </row>
    <row r="3180" spans="1:7" x14ac:dyDescent="0.3">
      <c r="A3180" s="1" t="s">
        <v>4</v>
      </c>
      <c r="B3180" s="2" t="str">
        <f t="shared" si="268"/>
        <v>SISTEMA FINANCEIRO - CONTROLE BANCÁRIO</v>
      </c>
      <c r="C3180" s="2" t="str">
        <f t="shared" si="269"/>
        <v>FINAN</v>
      </c>
      <c r="D3180" s="2" t="str">
        <f t="shared" si="270"/>
        <v>FNCB</v>
      </c>
      <c r="E3180" s="2" t="str">
        <f>"TRG_CHEQUE_A_UPD"</f>
        <v>TRG_CHEQUE_A_UPD</v>
      </c>
      <c r="F3180" s="2" t="str">
        <f>"TRG_CHEQUE_A_UPD"</f>
        <v>TRG_CHEQUE_A_UPD</v>
      </c>
      <c r="G3180" s="2" t="str">
        <f t="shared" si="273"/>
        <v xml:space="preserve"> ()</v>
      </c>
    </row>
    <row r="3181" spans="1:7" x14ac:dyDescent="0.3">
      <c r="A3181" s="1" t="s">
        <v>4</v>
      </c>
      <c r="B3181" s="2" t="str">
        <f t="shared" si="268"/>
        <v>SISTEMA FINANCEIRO - CONTROLE BANCÁRIO</v>
      </c>
      <c r="C3181" s="2" t="str">
        <f t="shared" si="269"/>
        <v>FINAN</v>
      </c>
      <c r="D3181" s="2" t="str">
        <f t="shared" si="270"/>
        <v>FNCB</v>
      </c>
      <c r="E3181" s="2" t="str">
        <f>"TRG_MOV_CONCOR_A_DEL"</f>
        <v>TRG_MOV_CONCOR_A_DEL</v>
      </c>
      <c r="F3181" s="2" t="str">
        <f>"TRG_MOV_CONCOR_A_DEL"</f>
        <v>TRG_MOV_CONCOR_A_DEL</v>
      </c>
      <c r="G3181" s="2" t="str">
        <f t="shared" si="273"/>
        <v xml:space="preserve"> ()</v>
      </c>
    </row>
    <row r="3182" spans="1:7" x14ac:dyDescent="0.3">
      <c r="A3182" s="1" t="s">
        <v>4</v>
      </c>
      <c r="B3182" s="2" t="str">
        <f t="shared" si="268"/>
        <v>SISTEMA FINANCEIRO - CONTROLE BANCÁRIO</v>
      </c>
      <c r="C3182" s="2" t="str">
        <f t="shared" si="269"/>
        <v>FINAN</v>
      </c>
      <c r="D3182" s="2" t="str">
        <f t="shared" si="270"/>
        <v>FNCB</v>
      </c>
      <c r="E3182" s="2" t="str">
        <f>"TRG_MOV_CONCOR_A_INS"</f>
        <v>TRG_MOV_CONCOR_A_INS</v>
      </c>
      <c r="F3182" s="2" t="str">
        <f>"TRG_MOV_CONCOR_A_INS"</f>
        <v>TRG_MOV_CONCOR_A_INS</v>
      </c>
      <c r="G3182" s="2" t="str">
        <f t="shared" si="273"/>
        <v xml:space="preserve"> ()</v>
      </c>
    </row>
    <row r="3183" spans="1:7" x14ac:dyDescent="0.3">
      <c r="A3183" s="1" t="s">
        <v>4</v>
      </c>
      <c r="B3183" s="2" t="str">
        <f t="shared" si="268"/>
        <v>SISTEMA FINANCEIRO - CONTROLE BANCÁRIO</v>
      </c>
      <c r="C3183" s="2" t="str">
        <f t="shared" si="269"/>
        <v>FINAN</v>
      </c>
      <c r="D3183" s="2" t="str">
        <f t="shared" si="270"/>
        <v>FNCB</v>
      </c>
      <c r="E3183" s="2" t="str">
        <f>"PAGOS REALIZADOS CON REGISTROS BANCARIOS"</f>
        <v>PAGOS REALIZADOS CON REGISTROS BANCARIOS</v>
      </c>
      <c r="F3183" s="2" t="str">
        <f>"R_CON_PAG_BANCARIO"</f>
        <v>R_CON_PAG_BANCARIO</v>
      </c>
      <c r="G3183" s="2" t="s">
        <v>10</v>
      </c>
    </row>
    <row r="3184" spans="1:7" x14ac:dyDescent="0.3">
      <c r="A3184" s="1" t="s">
        <v>4</v>
      </c>
      <c r="B3184" s="2" t="str">
        <f t="shared" si="268"/>
        <v>SISTEMA FINANCEIRO - CONTROLE BANCÁRIO</v>
      </c>
      <c r="C3184" s="2" t="str">
        <f t="shared" si="269"/>
        <v>FINAN</v>
      </c>
      <c r="D3184" s="2" t="str">
        <f t="shared" si="270"/>
        <v>FNCB</v>
      </c>
      <c r="E3184" s="2" t="str">
        <f>"CANCELAMENTO: BORDERÔ"</f>
        <v>CANCELAMENTO: BORDERÔ</v>
      </c>
      <c r="F3184" s="2" t="str">
        <f>"O_ARQ_REMESSA"</f>
        <v>O_ARQ_REMESSA</v>
      </c>
      <c r="G3184" s="2" t="str">
        <f t="shared" ref="G3184:G3195" si="274">" ()"</f>
        <v xml:space="preserve"> ()</v>
      </c>
    </row>
    <row r="3185" spans="1:7" x14ac:dyDescent="0.3">
      <c r="A3185" s="1" t="s">
        <v>4</v>
      </c>
      <c r="B3185" s="2" t="str">
        <f t="shared" si="268"/>
        <v>SISTEMA FINANCEIRO - CONTROLE BANCÁRIO</v>
      </c>
      <c r="C3185" s="2" t="str">
        <f t="shared" si="269"/>
        <v>FINAN</v>
      </c>
      <c r="D3185" s="2" t="str">
        <f t="shared" si="270"/>
        <v>FNCB</v>
      </c>
      <c r="E3185" s="2" t="str">
        <f>"REL EXTRATO BANCARIO POR CONTA"</f>
        <v>REL EXTRATO BANCARIO POR CONTA</v>
      </c>
      <c r="F3185" s="2" t="str">
        <f>"R_EXTRATO_CONTA_HCV"</f>
        <v>R_EXTRATO_CONTA_HCV</v>
      </c>
      <c r="G3185" s="2" t="str">
        <f t="shared" si="274"/>
        <v xml:space="preserve"> ()</v>
      </c>
    </row>
    <row r="3186" spans="1:7" x14ac:dyDescent="0.3">
      <c r="A3186" s="1" t="s">
        <v>4</v>
      </c>
      <c r="B3186" s="2" t="str">
        <f t="shared" si="268"/>
        <v>SISTEMA FINANCEIRO - CONTROLE BANCÁRIO</v>
      </c>
      <c r="C3186" s="2" t="str">
        <f t="shared" si="269"/>
        <v>FINAN</v>
      </c>
      <c r="D3186" s="2" t="str">
        <f t="shared" si="270"/>
        <v>FNCB</v>
      </c>
      <c r="E3186" s="2" t="str">
        <f>"R EXTRATO BANCARIO POR CONTA/LANCAMENTO"</f>
        <v>R EXTRATO BANCARIO POR CONTA/LANCAMENTO</v>
      </c>
      <c r="F3186" s="2" t="str">
        <f>"R_EXTRATO_C_HCV"</f>
        <v>R_EXTRATO_C_HCV</v>
      </c>
      <c r="G3186" s="2" t="str">
        <f t="shared" si="274"/>
        <v xml:space="preserve"> ()</v>
      </c>
    </row>
    <row r="3187" spans="1:7" x14ac:dyDescent="0.3">
      <c r="A3187" s="1" t="s">
        <v>4</v>
      </c>
      <c r="B3187" s="2" t="str">
        <f t="shared" si="268"/>
        <v>SISTEMA FINANCEIRO - CONTROLE BANCÁRIO</v>
      </c>
      <c r="C3187" s="2" t="str">
        <f t="shared" si="269"/>
        <v>FINAN</v>
      </c>
      <c r="D3187" s="2" t="str">
        <f t="shared" si="270"/>
        <v>FNCB</v>
      </c>
      <c r="E3187" s="2" t="str">
        <f>"REL EXTRATO BANCARIO POR CONTA / LANC"</f>
        <v>REL EXTRATO BANCARIO POR CONTA / LANC</v>
      </c>
      <c r="F3187" s="2" t="str">
        <f>"R_EXTRATO_HCV"</f>
        <v>R_EXTRATO_HCV</v>
      </c>
      <c r="G3187" s="2" t="str">
        <f t="shared" si="274"/>
        <v xml:space="preserve"> ()</v>
      </c>
    </row>
    <row r="3188" spans="1:7" x14ac:dyDescent="0.3">
      <c r="A3188" s="1" t="s">
        <v>4</v>
      </c>
      <c r="B3188" s="2" t="str">
        <f t="shared" si="268"/>
        <v>SISTEMA FINANCEIRO - CONTROLE BANCÁRIO</v>
      </c>
      <c r="C3188" s="2" t="str">
        <f t="shared" si="269"/>
        <v>FINAN</v>
      </c>
      <c r="D3188" s="2" t="str">
        <f t="shared" si="270"/>
        <v>FNCB</v>
      </c>
      <c r="E3188" s="2" t="str">
        <f>"RELATÓRIO DE APLICAÇÕES ABERTAS"</f>
        <v>RELATÓRIO DE APLICAÇÕES ABERTAS</v>
      </c>
      <c r="F3188" s="2" t="str">
        <f>"R_APLIC_JUROS_755"</f>
        <v>R_APLIC_JUROS_755</v>
      </c>
      <c r="G3188" s="2" t="str">
        <f t="shared" si="274"/>
        <v xml:space="preserve"> ()</v>
      </c>
    </row>
    <row r="3189" spans="1:7" x14ac:dyDescent="0.3">
      <c r="A3189" s="1" t="s">
        <v>4</v>
      </c>
      <c r="B3189" s="2" t="str">
        <f t="shared" si="268"/>
        <v>SISTEMA FINANCEIRO - CONTROLE BANCÁRIO</v>
      </c>
      <c r="C3189" s="2" t="str">
        <f t="shared" si="269"/>
        <v>FINAN</v>
      </c>
      <c r="D3189" s="2" t="str">
        <f t="shared" si="270"/>
        <v>FNCB</v>
      </c>
      <c r="E3189" s="2" t="str">
        <f>"R_RESUMO_BANC_301"</f>
        <v>R_RESUMO_BANC_301</v>
      </c>
      <c r="F3189" s="2" t="str">
        <f>"R_RESUMO_BANC_301"</f>
        <v>R_RESUMO_BANC_301</v>
      </c>
      <c r="G3189" s="2" t="str">
        <f t="shared" si="274"/>
        <v xml:space="preserve"> ()</v>
      </c>
    </row>
    <row r="3190" spans="1:7" x14ac:dyDescent="0.3">
      <c r="A3190" s="1" t="s">
        <v>4</v>
      </c>
      <c r="B3190" s="2" t="str">
        <f t="shared" si="268"/>
        <v>SISTEMA FINANCEIRO - CONTROLE BANCÁRIO</v>
      </c>
      <c r="C3190" s="2" t="str">
        <f t="shared" si="269"/>
        <v>FINAN</v>
      </c>
      <c r="D3190" s="2" t="str">
        <f t="shared" si="270"/>
        <v>FNCB</v>
      </c>
      <c r="E3190" s="2" t="str">
        <f>"RELATÓRIO VERSO DO CHEQUE"</f>
        <v>RELATÓRIO VERSO DO CHEQUE</v>
      </c>
      <c r="F3190" s="2" t="str">
        <f>"R_VERSO_CHEQUE_200"</f>
        <v>R_VERSO_CHEQUE_200</v>
      </c>
      <c r="G3190" s="2" t="str">
        <f t="shared" si="274"/>
        <v xml:space="preserve"> ()</v>
      </c>
    </row>
    <row r="3191" spans="1:7" x14ac:dyDescent="0.3">
      <c r="A3191" s="1" t="s">
        <v>4</v>
      </c>
      <c r="B3191" s="2" t="str">
        <f t="shared" si="268"/>
        <v>SISTEMA FINANCEIRO - CONTROLE BANCÁRIO</v>
      </c>
      <c r="C3191" s="2" t="str">
        <f t="shared" si="269"/>
        <v>FINAN</v>
      </c>
      <c r="D3191" s="2" t="str">
        <f t="shared" si="270"/>
        <v>FNCB</v>
      </c>
      <c r="E3191" s="2" t="str">
        <f>"R_COPIA_CHEQUE_959"</f>
        <v>R_COPIA_CHEQUE_959</v>
      </c>
      <c r="F3191" s="2" t="str">
        <f>"R_COPIA_CHEQUE_959"</f>
        <v>R_COPIA_CHEQUE_959</v>
      </c>
      <c r="G3191" s="2" t="str">
        <f t="shared" si="274"/>
        <v xml:space="preserve"> ()</v>
      </c>
    </row>
    <row r="3192" spans="1:7" x14ac:dyDescent="0.3">
      <c r="A3192" s="1" t="s">
        <v>4</v>
      </c>
      <c r="B3192" s="2" t="str">
        <f t="shared" si="268"/>
        <v>SISTEMA FINANCEIRO - CONTROLE BANCÁRIO</v>
      </c>
      <c r="C3192" s="2" t="str">
        <f t="shared" si="269"/>
        <v>FINAN</v>
      </c>
      <c r="D3192" s="2" t="str">
        <f t="shared" si="270"/>
        <v>FNCB</v>
      </c>
      <c r="E3192" s="2" t="str">
        <f>"R_COPIA_CHEQUE_755"</f>
        <v>R_COPIA_CHEQUE_755</v>
      </c>
      <c r="F3192" s="2" t="str">
        <f>"R_COPIA_CHEQUE_755"</f>
        <v>R_COPIA_CHEQUE_755</v>
      </c>
      <c r="G3192" s="2" t="str">
        <f t="shared" si="274"/>
        <v xml:space="preserve"> ()</v>
      </c>
    </row>
    <row r="3193" spans="1:7" x14ac:dyDescent="0.3">
      <c r="A3193" s="1" t="s">
        <v>4</v>
      </c>
      <c r="B3193" s="2" t="str">
        <f t="shared" si="268"/>
        <v>SISTEMA FINANCEIRO - CONTROLE BANCÁRIO</v>
      </c>
      <c r="C3193" s="2" t="str">
        <f t="shared" si="269"/>
        <v>FINAN</v>
      </c>
      <c r="D3193" s="2" t="str">
        <f t="shared" si="270"/>
        <v>FNCB</v>
      </c>
      <c r="E3193" s="2" t="str">
        <f>"LANÇAMENTO DE RESGATE DE APLICAÇÃO"</f>
        <v>LANÇAMENTO DE RESGATE DE APLICAÇÃO</v>
      </c>
      <c r="F3193" s="2" t="str">
        <f>"M_RESGATE"</f>
        <v>M_RESGATE</v>
      </c>
      <c r="G3193" s="2" t="str">
        <f t="shared" si="274"/>
        <v xml:space="preserve"> ()</v>
      </c>
    </row>
    <row r="3194" spans="1:7" x14ac:dyDescent="0.3">
      <c r="A3194" s="1" t="s">
        <v>4</v>
      </c>
      <c r="B3194" s="2" t="str">
        <f t="shared" si="268"/>
        <v>SISTEMA FINANCEIRO - CONTROLE BANCÁRIO</v>
      </c>
      <c r="C3194" s="2" t="str">
        <f t="shared" si="269"/>
        <v>FINAN</v>
      </c>
      <c r="D3194" s="2" t="str">
        <f t="shared" si="270"/>
        <v>FNCB</v>
      </c>
      <c r="E3194" s="2" t="str">
        <f>"RESUMO DE ÓBITOS POR CLÍNICA"</f>
        <v>RESUMO DE ÓBITOS POR CLÍNICA</v>
      </c>
      <c r="F3194" s="2" t="str">
        <f>"R_TESTE"</f>
        <v>R_TESTE</v>
      </c>
      <c r="G3194" s="2" t="str">
        <f t="shared" si="274"/>
        <v xml:space="preserve"> ()</v>
      </c>
    </row>
    <row r="3195" spans="1:7" x14ac:dyDescent="0.3">
      <c r="A3195" s="1" t="s">
        <v>4</v>
      </c>
      <c r="B3195" s="2" t="str">
        <f t="shared" si="268"/>
        <v>SISTEMA FINANCEIRO - CONTROLE BANCÁRIO</v>
      </c>
      <c r="C3195" s="2" t="str">
        <f t="shared" si="269"/>
        <v>FINAN</v>
      </c>
      <c r="D3195" s="2" t="str">
        <f t="shared" si="270"/>
        <v>FNCB</v>
      </c>
      <c r="E3195" s="2" t="str">
        <f>"R_LANCA_759"</f>
        <v>R_LANCA_759</v>
      </c>
      <c r="F3195" s="2" t="str">
        <f>"R_LANCA_759"</f>
        <v>R_LANCA_759</v>
      </c>
      <c r="G3195" s="2" t="str">
        <f t="shared" si="274"/>
        <v xml:space="preserve"> ()</v>
      </c>
    </row>
    <row r="3196" spans="1:7" x14ac:dyDescent="0.3">
      <c r="A3196" s="1" t="s">
        <v>4</v>
      </c>
      <c r="B3196" s="2" t="str">
        <f t="shared" si="268"/>
        <v>SISTEMA FINANCEIRO - CONTROLE BANCÁRIO</v>
      </c>
      <c r="C3196" s="2" t="str">
        <f t="shared" si="269"/>
        <v>FINAN</v>
      </c>
      <c r="D3196" s="2" t="str">
        <f t="shared" si="270"/>
        <v>FNCB</v>
      </c>
      <c r="E3196" s="2" t="str">
        <f>"RELATÓRIO DE ARQUIVOS"</f>
        <v>RELATÓRIO DE ARQUIVOS</v>
      </c>
      <c r="F3196" s="2" t="str">
        <f>"R_ARQUIVOS"</f>
        <v>R_ARQUIVOS</v>
      </c>
      <c r="G3196" s="2" t="s">
        <v>10</v>
      </c>
    </row>
    <row r="3197" spans="1:7" x14ac:dyDescent="0.3">
      <c r="A3197" s="1" t="s">
        <v>4</v>
      </c>
      <c r="B3197" s="2" t="str">
        <f t="shared" ref="B3197:B3260" si="275">"SISTEMA FINANCEIRO - CONTROLE BANCÁRIO"</f>
        <v>SISTEMA FINANCEIRO - CONTROLE BANCÁRIO</v>
      </c>
      <c r="C3197" s="2" t="str">
        <f t="shared" ref="C3197:C3260" si="276">"FINAN"</f>
        <v>FINAN</v>
      </c>
      <c r="D3197" s="2" t="str">
        <f t="shared" ref="D3197:D3260" si="277">"FNCB"</f>
        <v>FNCB</v>
      </c>
      <c r="E3197" s="2" t="str">
        <f>"PROCESSAMENTO DE TARIFAS BANCÁRIAS"</f>
        <v>PROCESSAMENTO DE TARIFAS BANCÁRIAS</v>
      </c>
      <c r="F3197" s="2" t="str">
        <f>"O_PROC_TARIFA_BANC"</f>
        <v>O_PROC_TARIFA_BANC</v>
      </c>
      <c r="G3197" s="2" t="str">
        <f>"Controladoria / Intercâmbio Eletrônico de Arquivos / Arquivos / Bancos / Retorno / Processamento de Tarifas Bancárias (O_PROC_TARIFA_BANC)"</f>
        <v>Controladoria / Intercâmbio Eletrônico de Arquivos / Arquivos / Bancos / Retorno / Processamento de Tarifas Bancárias (O_PROC_TARIFA_BANC)</v>
      </c>
    </row>
    <row r="3198" spans="1:7" x14ac:dyDescent="0.3">
      <c r="A3198" s="1" t="s">
        <v>4</v>
      </c>
      <c r="B3198" s="2" t="str">
        <f t="shared" si="275"/>
        <v>SISTEMA FINANCEIRO - CONTROLE BANCÁRIO</v>
      </c>
      <c r="C3198" s="2" t="str">
        <f t="shared" si="276"/>
        <v>FINAN</v>
      </c>
      <c r="D3198" s="2" t="str">
        <f t="shared" si="277"/>
        <v>FNCB</v>
      </c>
      <c r="E3198" s="2" t="str">
        <f>"WIN_PRINCIPAL"</f>
        <v>WIN_PRINCIPAL</v>
      </c>
      <c r="F3198" s="2" t="str">
        <f>"R_BOLETO_ARRECADACAO"</f>
        <v>R_BOLETO_ARRECADACAO</v>
      </c>
      <c r="G3198" s="2" t="str">
        <f>" ()"</f>
        <v xml:space="preserve"> ()</v>
      </c>
    </row>
    <row r="3199" spans="1:7" x14ac:dyDescent="0.3">
      <c r="A3199" s="1" t="s">
        <v>4</v>
      </c>
      <c r="B3199" s="2" t="str">
        <f t="shared" si="275"/>
        <v>SISTEMA FINANCEIRO - CONTROLE BANCÁRIO</v>
      </c>
      <c r="C3199" s="2" t="str">
        <f t="shared" si="276"/>
        <v>FINAN</v>
      </c>
      <c r="D3199" s="2" t="str">
        <f t="shared" si="277"/>
        <v>FNCB</v>
      </c>
      <c r="E3199" s="2" t="str">
        <f>"R_BOLETO_ENVIADO"</f>
        <v>R_BOLETO_ENVIADO</v>
      </c>
      <c r="F3199" s="2" t="str">
        <f>"R_BOLETO_ENVIADO"</f>
        <v>R_BOLETO_ENVIADO</v>
      </c>
      <c r="G3199" s="2" t="s">
        <v>10</v>
      </c>
    </row>
    <row r="3200" spans="1:7" x14ac:dyDescent="0.3">
      <c r="A3200" s="1" t="s">
        <v>4</v>
      </c>
      <c r="B3200" s="2" t="str">
        <f t="shared" si="275"/>
        <v>SISTEMA FINANCEIRO - CONTROLE BANCÁRIO</v>
      </c>
      <c r="C3200" s="2" t="str">
        <f t="shared" si="276"/>
        <v>FINAN</v>
      </c>
      <c r="D3200" s="2" t="str">
        <f t="shared" si="277"/>
        <v>FNCB</v>
      </c>
      <c r="E3200" s="2" t="str">
        <f>"RELATÓRIO DE BOLETOS EMITIDOS"</f>
        <v>RELATÓRIO DE BOLETOS EMITIDOS</v>
      </c>
      <c r="F3200" s="2" t="str">
        <f>"R_BOLETO_EMITIDO"</f>
        <v>R_BOLETO_EMITIDO</v>
      </c>
      <c r="G3200" s="2" t="s">
        <v>10</v>
      </c>
    </row>
    <row r="3201" spans="1:7" x14ac:dyDescent="0.3">
      <c r="A3201" s="1" t="s">
        <v>4</v>
      </c>
      <c r="B3201" s="2" t="str">
        <f t="shared" si="275"/>
        <v>SISTEMA FINANCEIRO - CONTROLE BANCÁRIO</v>
      </c>
      <c r="C3201" s="2" t="str">
        <f t="shared" si="276"/>
        <v>FINAN</v>
      </c>
      <c r="D3201" s="2" t="str">
        <f t="shared" si="277"/>
        <v>FNCB</v>
      </c>
      <c r="E3201" s="2" t="str">
        <f>"CANCELAMENTO DE CHEQUE"</f>
        <v>CANCELAMENTO DE CHEQUE</v>
      </c>
      <c r="F3201" s="2" t="str">
        <f>"R_CHECANC"</f>
        <v>R_CHECANC</v>
      </c>
      <c r="G3201" s="2" t="s">
        <v>10</v>
      </c>
    </row>
    <row r="3202" spans="1:7" x14ac:dyDescent="0.3">
      <c r="A3202" s="1" t="s">
        <v>4</v>
      </c>
      <c r="B3202" s="2" t="str">
        <f t="shared" si="275"/>
        <v>SISTEMA FINANCEIRO - CONTROLE BANCÁRIO</v>
      </c>
      <c r="C3202" s="2" t="str">
        <f t="shared" si="276"/>
        <v>FINAN</v>
      </c>
      <c r="D3202" s="2" t="str">
        <f t="shared" si="277"/>
        <v>FNCB</v>
      </c>
      <c r="E3202" s="2" t="str">
        <f>"RELATORIO TRANSFERENCIA DE NUMERARIO"</f>
        <v>RELATORIO TRANSFERENCIA DE NUMERARIO</v>
      </c>
      <c r="F3202" s="2" t="str">
        <f>"R_TRANUM"</f>
        <v>R_TRANUM</v>
      </c>
      <c r="G3202" s="2" t="s">
        <v>10</v>
      </c>
    </row>
    <row r="3203" spans="1:7" x14ac:dyDescent="0.3">
      <c r="A3203" s="1" t="s">
        <v>4</v>
      </c>
      <c r="B3203" s="2" t="str">
        <f t="shared" si="275"/>
        <v>SISTEMA FINANCEIRO - CONTROLE BANCÁRIO</v>
      </c>
      <c r="C3203" s="2" t="str">
        <f t="shared" si="276"/>
        <v>FINAN</v>
      </c>
      <c r="D3203" s="2" t="str">
        <f t="shared" si="277"/>
        <v>FNCB</v>
      </c>
      <c r="E3203" s="2" t="str">
        <f>"RELATORIO DE TIPO DE APLICACAO"</f>
        <v>RELATORIO DE TIPO DE APLICACAO</v>
      </c>
      <c r="F3203" s="2" t="str">
        <f>"R_TIPAPL"</f>
        <v>R_TIPAPL</v>
      </c>
      <c r="G3203" s="2" t="s">
        <v>10</v>
      </c>
    </row>
    <row r="3204" spans="1:7" x14ac:dyDescent="0.3">
      <c r="A3204" s="1" t="s">
        <v>4</v>
      </c>
      <c r="B3204" s="2" t="str">
        <f t="shared" si="275"/>
        <v>SISTEMA FINANCEIRO - CONTROLE BANCÁRIO</v>
      </c>
      <c r="C3204" s="2" t="str">
        <f t="shared" si="276"/>
        <v>FINAN</v>
      </c>
      <c r="D3204" s="2" t="str">
        <f t="shared" si="277"/>
        <v>FNCB</v>
      </c>
      <c r="E3204" s="2" t="str">
        <f>"TALAO DE CHEQUE"</f>
        <v>TALAO DE CHEQUE</v>
      </c>
      <c r="F3204" s="2" t="str">
        <f>"R_TALAO"</f>
        <v>R_TALAO</v>
      </c>
      <c r="G3204" s="2" t="s">
        <v>10</v>
      </c>
    </row>
    <row r="3205" spans="1:7" x14ac:dyDescent="0.3">
      <c r="A3205" s="1" t="s">
        <v>4</v>
      </c>
      <c r="B3205" s="2" t="str">
        <f t="shared" si="275"/>
        <v>SISTEMA FINANCEIRO - CONTROLE BANCÁRIO</v>
      </c>
      <c r="C3205" s="2" t="str">
        <f t="shared" si="276"/>
        <v>FINAN</v>
      </c>
      <c r="D3205" s="2" t="str">
        <f t="shared" si="277"/>
        <v>FNCB</v>
      </c>
      <c r="E3205" s="2" t="str">
        <f>"CHEQUE PENDENTES"</f>
        <v>CHEQUE PENDENTES</v>
      </c>
      <c r="F3205" s="2" t="str">
        <f>"R_PEDCHEQUE"</f>
        <v>R_PEDCHEQUE</v>
      </c>
      <c r="G3205" s="2" t="s">
        <v>10</v>
      </c>
    </row>
    <row r="3206" spans="1:7" x14ac:dyDescent="0.3">
      <c r="A3206" s="1" t="s">
        <v>4</v>
      </c>
      <c r="B3206" s="2" t="str">
        <f t="shared" si="275"/>
        <v>SISTEMA FINANCEIRO - CONTROLE BANCÁRIO</v>
      </c>
      <c r="C3206" s="2" t="str">
        <f t="shared" si="276"/>
        <v>FINAN</v>
      </c>
      <c r="D3206" s="2" t="str">
        <f t="shared" si="277"/>
        <v>FNCB</v>
      </c>
      <c r="E3206" s="2" t="str">
        <f>"MOTIVO DE CANCELAMENTO DE CHEQUE"</f>
        <v>MOTIVO DE CANCELAMENTO DE CHEQUE</v>
      </c>
      <c r="F3206" s="2" t="str">
        <f>"R_MOT_CHE_CAN"</f>
        <v>R_MOT_CHE_CAN</v>
      </c>
      <c r="G3206" s="2" t="s">
        <v>10</v>
      </c>
    </row>
    <row r="3207" spans="1:7" x14ac:dyDescent="0.3">
      <c r="A3207" s="1" t="s">
        <v>4</v>
      </c>
      <c r="B3207" s="2" t="str">
        <f t="shared" si="275"/>
        <v>SISTEMA FINANCEIRO - CONTROLE BANCÁRIO</v>
      </c>
      <c r="C3207" s="2" t="str">
        <f t="shared" si="276"/>
        <v>FINAN</v>
      </c>
      <c r="D3207" s="2" t="str">
        <f t="shared" si="277"/>
        <v>FNCB</v>
      </c>
      <c r="E3207" s="2" t="str">
        <f>"LANCAMENTO BANCARIO"</f>
        <v>LANCAMENTO BANCARIO</v>
      </c>
      <c r="F3207" s="2" t="str">
        <f>"R_LANBAN"</f>
        <v>R_LANBAN</v>
      </c>
      <c r="G3207" s="2" t="s">
        <v>10</v>
      </c>
    </row>
    <row r="3208" spans="1:7" x14ac:dyDescent="0.3">
      <c r="A3208" s="1" t="s">
        <v>4</v>
      </c>
      <c r="B3208" s="2" t="str">
        <f t="shared" si="275"/>
        <v>SISTEMA FINANCEIRO - CONTROLE BANCÁRIO</v>
      </c>
      <c r="C3208" s="2" t="str">
        <f t="shared" si="276"/>
        <v>FINAN</v>
      </c>
      <c r="D3208" s="2" t="str">
        <f t="shared" si="277"/>
        <v>FNCB</v>
      </c>
      <c r="E3208" s="2" t="str">
        <f>"CANCELAMENTO DE CHEQUE"</f>
        <v>CANCELAMENTO DE CHEQUE</v>
      </c>
      <c r="F3208" s="2" t="str">
        <f>"R_CHECAN"</f>
        <v>R_CHECAN</v>
      </c>
      <c r="G3208" s="2" t="str">
        <f>" ()"</f>
        <v xml:space="preserve"> ()</v>
      </c>
    </row>
    <row r="3209" spans="1:7" x14ac:dyDescent="0.3">
      <c r="A3209" s="1" t="s">
        <v>4</v>
      </c>
      <c r="B3209" s="2" t="str">
        <f t="shared" si="275"/>
        <v>SISTEMA FINANCEIRO - CONTROLE BANCÁRIO</v>
      </c>
      <c r="C3209" s="2" t="str">
        <f t="shared" si="276"/>
        <v>FINAN</v>
      </c>
      <c r="D3209" s="2" t="str">
        <f t="shared" si="277"/>
        <v>FNCB</v>
      </c>
      <c r="E3209" s="2" t="str">
        <f>"CADASTRO DE BANCOS"</f>
        <v>CADASTRO DE BANCOS</v>
      </c>
      <c r="F3209" s="2" t="str">
        <f>"M_BANCO"</f>
        <v>M_BANCO</v>
      </c>
      <c r="G3209" s="2" t="str">
        <f>"Serviços de Apoio / Global / Globais / Bancos (M_BANCO)"</f>
        <v>Serviços de Apoio / Global / Globais / Bancos (M_BANCO)</v>
      </c>
    </row>
    <row r="3210" spans="1:7" x14ac:dyDescent="0.3">
      <c r="A3210" s="1" t="s">
        <v>4</v>
      </c>
      <c r="B3210" s="2" t="str">
        <f t="shared" si="275"/>
        <v>SISTEMA FINANCEIRO - CONTROLE BANCÁRIO</v>
      </c>
      <c r="C3210" s="2" t="str">
        <f t="shared" si="276"/>
        <v>FINAN</v>
      </c>
      <c r="D3210" s="2" t="str">
        <f t="shared" si="277"/>
        <v>FNCB</v>
      </c>
      <c r="E3210" s="2" t="str">
        <f>"CADASTRO DE BANCOS"</f>
        <v>CADASTRO DE BANCOS</v>
      </c>
      <c r="F3210" s="2" t="str">
        <f>"M_BANCO"</f>
        <v>M_BANCO</v>
      </c>
      <c r="G3210" s="2" t="str">
        <f>"MVSaude / Faturamento / Bancos / Contas Correntes (M_BANCO)"</f>
        <v>MVSaude / Faturamento / Bancos / Contas Correntes (M_BANCO)</v>
      </c>
    </row>
    <row r="3211" spans="1:7" x14ac:dyDescent="0.3">
      <c r="A3211" s="1" t="s">
        <v>4</v>
      </c>
      <c r="B3211" s="2" t="str">
        <f t="shared" si="275"/>
        <v>SISTEMA FINANCEIRO - CONTROLE BANCÁRIO</v>
      </c>
      <c r="C3211" s="2" t="str">
        <f t="shared" si="276"/>
        <v>FINAN</v>
      </c>
      <c r="D3211" s="2" t="str">
        <f t="shared" si="277"/>
        <v>FNCB</v>
      </c>
      <c r="E3211" s="2" t="str">
        <f>"LANCAMENTO DE APLICACAO"</f>
        <v>LANCAMENTO DE APLICACAO</v>
      </c>
      <c r="F3211" s="2" t="str">
        <f>"O_APLICACAO"</f>
        <v>O_APLICACAO</v>
      </c>
      <c r="G3211" s="2" t="s">
        <v>10</v>
      </c>
    </row>
    <row r="3212" spans="1:7" x14ac:dyDescent="0.3">
      <c r="A3212" s="1" t="s">
        <v>4</v>
      </c>
      <c r="B3212" s="2" t="str">
        <f t="shared" si="275"/>
        <v>SISTEMA FINANCEIRO - CONTROLE BANCÁRIO</v>
      </c>
      <c r="C3212" s="2" t="str">
        <f t="shared" si="276"/>
        <v>FINAN</v>
      </c>
      <c r="D3212" s="2" t="str">
        <f t="shared" si="277"/>
        <v>FNCB</v>
      </c>
      <c r="E3212" s="2" t="str">
        <f>"APLICACAO FINANCEIRA"</f>
        <v>APLICACAO FINANCEIRA</v>
      </c>
      <c r="F3212" s="2" t="str">
        <f>"M_APLICACAO"</f>
        <v>M_APLICACAO</v>
      </c>
      <c r="G3212" s="2" t="s">
        <v>10</v>
      </c>
    </row>
    <row r="3213" spans="1:7" x14ac:dyDescent="0.3">
      <c r="A3213" s="1" t="s">
        <v>4</v>
      </c>
      <c r="B3213" s="2" t="str">
        <f t="shared" si="275"/>
        <v>SISTEMA FINANCEIRO - CONTROLE BANCÁRIO</v>
      </c>
      <c r="C3213" s="2" t="str">
        <f t="shared" si="276"/>
        <v>FINAN</v>
      </c>
      <c r="D3213" s="2" t="str">
        <f t="shared" si="277"/>
        <v>FNCB</v>
      </c>
      <c r="E3213" s="2" t="str">
        <f>"RELATORIO COPIA DE CHEQUE"</f>
        <v>RELATORIO COPIA DE CHEQUE</v>
      </c>
      <c r="F3213" s="2" t="str">
        <f>"R_COPIA_CHEQUE"</f>
        <v>R_COPIA_CHEQUE</v>
      </c>
      <c r="G3213" s="2" t="s">
        <v>10</v>
      </c>
    </row>
    <row r="3214" spans="1:7" x14ac:dyDescent="0.3">
      <c r="A3214" s="1" t="s">
        <v>4</v>
      </c>
      <c r="B3214" s="2" t="str">
        <f t="shared" si="275"/>
        <v>SISTEMA FINANCEIRO - CONTROLE BANCÁRIO</v>
      </c>
      <c r="C3214" s="2" t="str">
        <f t="shared" si="276"/>
        <v>FINAN</v>
      </c>
      <c r="D3214" s="2" t="str">
        <f t="shared" si="277"/>
        <v>FNCB</v>
      </c>
      <c r="E3214" s="2" t="str">
        <f>"IMPRESSAO DE CHEQUE"</f>
        <v>IMPRESSAO DE CHEQUE</v>
      </c>
      <c r="F3214" s="2" t="str">
        <f>"R_CHEQUE"</f>
        <v>R_CHEQUE</v>
      </c>
      <c r="G3214" s="2" t="s">
        <v>10</v>
      </c>
    </row>
    <row r="3215" spans="1:7" x14ac:dyDescent="0.3">
      <c r="A3215" s="1" t="s">
        <v>4</v>
      </c>
      <c r="B3215" s="2" t="str">
        <f t="shared" si="275"/>
        <v>SISTEMA FINANCEIRO - CONTROLE BANCÁRIO</v>
      </c>
      <c r="C3215" s="2" t="str">
        <f t="shared" si="276"/>
        <v>FINAN</v>
      </c>
      <c r="D3215" s="2" t="str">
        <f t="shared" si="277"/>
        <v>FNCB</v>
      </c>
      <c r="E3215" s="2" t="str">
        <f>"RELAT. CONTAS A RECEBER CONSOLIDADO"</f>
        <v>RELAT. CONTAS A RECEBER CONSOLIDADO</v>
      </c>
      <c r="F3215" s="2" t="str">
        <f>"R_CON_ARECEB_CONSOLID"</f>
        <v>R_CON_ARECEB_CONSOLID</v>
      </c>
      <c r="G3215" s="2" t="str">
        <f>" ()"</f>
        <v xml:space="preserve"> ()</v>
      </c>
    </row>
    <row r="3216" spans="1:7" x14ac:dyDescent="0.3">
      <c r="A3216" s="1" t="s">
        <v>4</v>
      </c>
      <c r="B3216" s="2" t="str">
        <f t="shared" si="275"/>
        <v>SISTEMA FINANCEIRO - CONTROLE BANCÁRIO</v>
      </c>
      <c r="C3216" s="2" t="str">
        <f t="shared" si="276"/>
        <v>FINAN</v>
      </c>
      <c r="D3216" s="2" t="str">
        <f t="shared" si="277"/>
        <v>FNCB</v>
      </c>
      <c r="E3216" s="2" t="str">
        <f>"SALDO BANCARIO POR CONTA"</f>
        <v>SALDO BANCARIO POR CONTA</v>
      </c>
      <c r="F3216" s="2" t="str">
        <f>"R_SALDO_BANCARIO"</f>
        <v>R_SALDO_BANCARIO</v>
      </c>
      <c r="G3216" s="2" t="s">
        <v>10</v>
      </c>
    </row>
    <row r="3217" spans="1:7" x14ac:dyDescent="0.3">
      <c r="A3217" s="1" t="s">
        <v>4</v>
      </c>
      <c r="B3217" s="2" t="str">
        <f t="shared" si="275"/>
        <v>SISTEMA FINANCEIRO - CONTROLE BANCÁRIO</v>
      </c>
      <c r="C3217" s="2" t="str">
        <f t="shared" si="276"/>
        <v>FINAN</v>
      </c>
      <c r="D3217" s="2" t="str">
        <f t="shared" si="277"/>
        <v>FNCB</v>
      </c>
      <c r="E3217" s="2" t="str">
        <f>"RLAT. DE EXTRATO BANCO"</f>
        <v>RLAT. DE EXTRATO BANCO</v>
      </c>
      <c r="F3217" s="2" t="str">
        <f>"R_EXTRATO_BANCO_C"</f>
        <v>R_EXTRATO_BANCO_C</v>
      </c>
      <c r="G3217" s="2" t="str">
        <f>" ()"</f>
        <v xml:space="preserve"> ()</v>
      </c>
    </row>
    <row r="3218" spans="1:7" x14ac:dyDescent="0.3">
      <c r="A3218" s="1" t="s">
        <v>4</v>
      </c>
      <c r="B3218" s="2" t="str">
        <f t="shared" si="275"/>
        <v>SISTEMA FINANCEIRO - CONTROLE BANCÁRIO</v>
      </c>
      <c r="C3218" s="2" t="str">
        <f t="shared" si="276"/>
        <v>FINAN</v>
      </c>
      <c r="D3218" s="2" t="str">
        <f t="shared" si="277"/>
        <v>FNCB</v>
      </c>
      <c r="E3218" s="2" t="str">
        <f>"RESUMO BANCARIO"</f>
        <v>RESUMO BANCARIO</v>
      </c>
      <c r="F3218" s="2" t="str">
        <f>"R_RESUMO_BANC"</f>
        <v>R_RESUMO_BANC</v>
      </c>
      <c r="G3218" s="2" t="s">
        <v>10</v>
      </c>
    </row>
    <row r="3219" spans="1:7" x14ac:dyDescent="0.3">
      <c r="A3219" s="1" t="s">
        <v>4</v>
      </c>
      <c r="B3219" s="2" t="str">
        <f t="shared" si="275"/>
        <v>SISTEMA FINANCEIRO - CONTROLE BANCÁRIO</v>
      </c>
      <c r="C3219" s="2" t="str">
        <f t="shared" si="276"/>
        <v>FINAN</v>
      </c>
      <c r="D3219" s="2" t="str">
        <f t="shared" si="277"/>
        <v>FNCB</v>
      </c>
      <c r="E3219" s="2" t="str">
        <f>"IMPRIME CHEQUE DENTRO DE UM INTERVALO"</f>
        <v>IMPRIME CHEQUE DENTRO DE UM INTERVALO</v>
      </c>
      <c r="F3219" s="2" t="str">
        <f>"R_IMP_CHEQUE"</f>
        <v>R_IMP_CHEQUE</v>
      </c>
      <c r="G3219" s="2" t="str">
        <f>" ()"</f>
        <v xml:space="preserve"> ()</v>
      </c>
    </row>
    <row r="3220" spans="1:7" x14ac:dyDescent="0.3">
      <c r="A3220" s="1" t="s">
        <v>4</v>
      </c>
      <c r="B3220" s="2" t="str">
        <f t="shared" si="275"/>
        <v>SISTEMA FINANCEIRO - CONTROLE BANCÁRIO</v>
      </c>
      <c r="C3220" s="2" t="str">
        <f t="shared" si="276"/>
        <v>FINAN</v>
      </c>
      <c r="D3220" s="2" t="str">
        <f t="shared" si="277"/>
        <v>FNCB</v>
      </c>
      <c r="E3220" s="2" t="str">
        <f>"RELATORIO DE EXTRATO DO BANCO"</f>
        <v>RELATORIO DE EXTRATO DO BANCO</v>
      </c>
      <c r="F3220" s="2" t="str">
        <f>"R_EXTRATO_BANCO"</f>
        <v>R_EXTRATO_BANCO</v>
      </c>
      <c r="G3220" s="2" t="str">
        <f>" ()"</f>
        <v xml:space="preserve"> ()</v>
      </c>
    </row>
    <row r="3221" spans="1:7" x14ac:dyDescent="0.3">
      <c r="A3221" s="1" t="s">
        <v>4</v>
      </c>
      <c r="B3221" s="2" t="str">
        <f t="shared" si="275"/>
        <v>SISTEMA FINANCEIRO - CONTROLE BANCÁRIO</v>
      </c>
      <c r="C3221" s="2" t="str">
        <f t="shared" si="276"/>
        <v>FINAN</v>
      </c>
      <c r="D3221" s="2" t="str">
        <f t="shared" si="277"/>
        <v>FNCB</v>
      </c>
      <c r="E3221" s="2" t="str">
        <f>"RELAT. DE EXTRATO CONTA-BANCO"</f>
        <v>RELAT. DE EXTRATO CONTA-BANCO</v>
      </c>
      <c r="F3221" s="2" t="str">
        <f>"R_EXTRATO_CONTA"</f>
        <v>R_EXTRATO_CONTA</v>
      </c>
      <c r="G3221" s="2" t="str">
        <f>" ()"</f>
        <v xml:space="preserve"> ()</v>
      </c>
    </row>
    <row r="3222" spans="1:7" x14ac:dyDescent="0.3">
      <c r="A3222" s="1" t="s">
        <v>4</v>
      </c>
      <c r="B3222" s="2" t="str">
        <f t="shared" si="275"/>
        <v>SISTEMA FINANCEIRO - CONTROLE BANCÁRIO</v>
      </c>
      <c r="C3222" s="2" t="str">
        <f t="shared" si="276"/>
        <v>FINAN</v>
      </c>
      <c r="D3222" s="2" t="str">
        <f t="shared" si="277"/>
        <v>FNCB</v>
      </c>
      <c r="E3222" s="2" t="str">
        <f>"RAZAO BANCARIO"</f>
        <v>RAZAO BANCARIO</v>
      </c>
      <c r="F3222" s="2" t="str">
        <f>"R_RAZAO_BANC"</f>
        <v>R_RAZAO_BANC</v>
      </c>
      <c r="G3222" s="2" t="s">
        <v>10</v>
      </c>
    </row>
    <row r="3223" spans="1:7" x14ac:dyDescent="0.3">
      <c r="A3223" s="1" t="s">
        <v>4</v>
      </c>
      <c r="B3223" s="2" t="str">
        <f t="shared" si="275"/>
        <v>SISTEMA FINANCEIRO - CONTROLE BANCÁRIO</v>
      </c>
      <c r="C3223" s="2" t="str">
        <f t="shared" si="276"/>
        <v>FINAN</v>
      </c>
      <c r="D3223" s="2" t="str">
        <f t="shared" si="277"/>
        <v>FNCB</v>
      </c>
      <c r="E3223" s="2" t="str">
        <f>"LANCAMENTO DE EXTRATO"</f>
        <v>LANCAMENTO DE EXTRATO</v>
      </c>
      <c r="F3223" s="2" t="str">
        <f>"O_LANEXTR"</f>
        <v>O_LANEXTR</v>
      </c>
      <c r="G3223" s="2" t="s">
        <v>10</v>
      </c>
    </row>
    <row r="3224" spans="1:7" x14ac:dyDescent="0.3">
      <c r="A3224" s="1" t="s">
        <v>4</v>
      </c>
      <c r="B3224" s="2" t="str">
        <f t="shared" si="275"/>
        <v>SISTEMA FINANCEIRO - CONTROLE BANCÁRIO</v>
      </c>
      <c r="C3224" s="2" t="str">
        <f t="shared" si="276"/>
        <v>FINAN</v>
      </c>
      <c r="D3224" s="2" t="str">
        <f t="shared" si="277"/>
        <v>FNCB</v>
      </c>
      <c r="E3224" s="2" t="str">
        <f>"CONCILIAÇÃO BANCÁRIA"</f>
        <v>CONCILIAÇÃO BANCÁRIA</v>
      </c>
      <c r="F3224" s="2" t="str">
        <f>"O_CONCBANC"</f>
        <v>O_CONCBANC</v>
      </c>
      <c r="G3224" s="2" t="s">
        <v>10</v>
      </c>
    </row>
    <row r="3225" spans="1:7" x14ac:dyDescent="0.3">
      <c r="A3225" s="1" t="s">
        <v>4</v>
      </c>
      <c r="B3225" s="2" t="str">
        <f t="shared" si="275"/>
        <v>SISTEMA FINANCEIRO - CONTROLE BANCÁRIO</v>
      </c>
      <c r="C3225" s="2" t="str">
        <f t="shared" si="276"/>
        <v>FINAN</v>
      </c>
      <c r="D3225" s="2" t="str">
        <f t="shared" si="277"/>
        <v>FNCB</v>
      </c>
      <c r="E3225" s="2" t="str">
        <f>"RELATORIO DE FINANCIADORA DE CARTAO"</f>
        <v>RELATORIO DE FINANCIADORA DE CARTAO</v>
      </c>
      <c r="F3225" s="2" t="str">
        <f>"R_FINCAR"</f>
        <v>R_FINCAR</v>
      </c>
      <c r="G3225" s="2" t="s">
        <v>10</v>
      </c>
    </row>
    <row r="3226" spans="1:7" x14ac:dyDescent="0.3">
      <c r="A3226" s="1" t="s">
        <v>4</v>
      </c>
      <c r="B3226" s="2" t="str">
        <f t="shared" si="275"/>
        <v>SISTEMA FINANCEIRO - CONTROLE BANCÁRIO</v>
      </c>
      <c r="C3226" s="2" t="str">
        <f t="shared" si="276"/>
        <v>FINAN</v>
      </c>
      <c r="D3226" s="2" t="str">
        <f t="shared" si="277"/>
        <v>FNCB</v>
      </c>
      <c r="E3226" s="2" t="str">
        <f>"CHEQUES COMPENSADOS"</f>
        <v>CHEQUES COMPENSADOS</v>
      </c>
      <c r="F3226" s="2" t="str">
        <f>"R_CHE_COMP"</f>
        <v>R_CHE_COMP</v>
      </c>
      <c r="G3226" s="2" t="s">
        <v>10</v>
      </c>
    </row>
    <row r="3227" spans="1:7" x14ac:dyDescent="0.3">
      <c r="A3227" s="1" t="s">
        <v>4</v>
      </c>
      <c r="B3227" s="2" t="str">
        <f t="shared" si="275"/>
        <v>SISTEMA FINANCEIRO - CONTROLE BANCÁRIO</v>
      </c>
      <c r="C3227" s="2" t="str">
        <f t="shared" si="276"/>
        <v>FINAN</v>
      </c>
      <c r="D3227" s="2" t="str">
        <f t="shared" si="277"/>
        <v>FNCB</v>
      </c>
      <c r="E3227" s="2" t="str">
        <f>"CHEQUES EMITIDOS"</f>
        <v>CHEQUES EMITIDOS</v>
      </c>
      <c r="F3227" s="2" t="str">
        <f>"R_CHEQUE_EMITIDO"</f>
        <v>R_CHEQUE_EMITIDO</v>
      </c>
      <c r="G3227" s="2" t="s">
        <v>10</v>
      </c>
    </row>
    <row r="3228" spans="1:7" x14ac:dyDescent="0.3">
      <c r="A3228" s="1" t="s">
        <v>4</v>
      </c>
      <c r="B3228" s="2" t="str">
        <f t="shared" si="275"/>
        <v>SISTEMA FINANCEIRO - CONTROLE BANCÁRIO</v>
      </c>
      <c r="C3228" s="2" t="str">
        <f t="shared" si="276"/>
        <v>FINAN</v>
      </c>
      <c r="D3228" s="2" t="str">
        <f t="shared" si="277"/>
        <v>FNCB</v>
      </c>
      <c r="E3228" s="2" t="s">
        <v>5</v>
      </c>
      <c r="F3228" s="2" t="s">
        <v>16</v>
      </c>
      <c r="G3228" s="2" t="str">
        <f>"R_EXTRATO_C"</f>
        <v>R_EXTRATO_C</v>
      </c>
    </row>
    <row r="3229" spans="1:7" x14ac:dyDescent="0.3">
      <c r="A3229" s="1" t="s">
        <v>4</v>
      </c>
      <c r="B3229" s="2" t="str">
        <f t="shared" si="275"/>
        <v>SISTEMA FINANCEIRO - CONTROLE BANCÁRIO</v>
      </c>
      <c r="C3229" s="2" t="str">
        <f t="shared" si="276"/>
        <v>FINAN</v>
      </c>
      <c r="D3229" s="2" t="str">
        <f t="shared" si="277"/>
        <v>FNCB</v>
      </c>
      <c r="E3229" s="2" t="str">
        <f>"TRANSFERENCIA"</f>
        <v>TRANSFERENCIA</v>
      </c>
      <c r="F3229" s="2" t="str">
        <f>"O_TRACON"</f>
        <v>O_TRACON</v>
      </c>
      <c r="G3229" s="2" t="s">
        <v>10</v>
      </c>
    </row>
    <row r="3230" spans="1:7" x14ac:dyDescent="0.3">
      <c r="A3230" s="1" t="s">
        <v>4</v>
      </c>
      <c r="B3230" s="2" t="str">
        <f t="shared" si="275"/>
        <v>SISTEMA FINANCEIRO - CONTROLE BANCÁRIO</v>
      </c>
      <c r="C3230" s="2" t="str">
        <f t="shared" si="276"/>
        <v>FINAN</v>
      </c>
      <c r="D3230" s="2" t="str">
        <f t="shared" si="277"/>
        <v>FNCB</v>
      </c>
      <c r="E3230" s="2" t="str">
        <f>"CANCELAMENTO DE CHEQUE"</f>
        <v>CANCELAMENTO DE CHEQUE</v>
      </c>
      <c r="F3230" s="2" t="str">
        <f>"O_CANC_CHEQUE"</f>
        <v>O_CANC_CHEQUE</v>
      </c>
      <c r="G3230" s="2" t="s">
        <v>10</v>
      </c>
    </row>
    <row r="3231" spans="1:7" x14ac:dyDescent="0.3">
      <c r="A3231" s="1" t="s">
        <v>4</v>
      </c>
      <c r="B3231" s="2" t="str">
        <f t="shared" si="275"/>
        <v>SISTEMA FINANCEIRO - CONTROLE BANCÁRIO</v>
      </c>
      <c r="C3231" s="2" t="str">
        <f t="shared" si="276"/>
        <v>FINAN</v>
      </c>
      <c r="D3231" s="2" t="str">
        <f t="shared" si="277"/>
        <v>FNCB</v>
      </c>
      <c r="E3231" s="2" t="str">
        <f>"CANCELAMENTO DE BORDERO"</f>
        <v>CANCELAMENTO DE BORDERO</v>
      </c>
      <c r="F3231" s="2" t="str">
        <f>"O_CANC_BORDER"</f>
        <v>O_CANC_BORDER</v>
      </c>
      <c r="G3231" s="2" t="str">
        <f>" ()"</f>
        <v xml:space="preserve"> ()</v>
      </c>
    </row>
    <row r="3232" spans="1:7" x14ac:dyDescent="0.3">
      <c r="A3232" s="1" t="s">
        <v>4</v>
      </c>
      <c r="B3232" s="2" t="str">
        <f t="shared" si="275"/>
        <v>SISTEMA FINANCEIRO - CONTROLE BANCÁRIO</v>
      </c>
      <c r="C3232" s="2" t="str">
        <f t="shared" si="276"/>
        <v>FINAN</v>
      </c>
      <c r="D3232" s="2" t="str">
        <f t="shared" si="277"/>
        <v>FNCB</v>
      </c>
      <c r="E3232" s="2" t="str">
        <f>"MANUTENCAO DE CHEQUE"</f>
        <v>MANUTENCAO DE CHEQUE</v>
      </c>
      <c r="F3232" s="2" t="str">
        <f>"M_CHEQUE"</f>
        <v>M_CHEQUE</v>
      </c>
      <c r="G3232" s="2" t="s">
        <v>10</v>
      </c>
    </row>
    <row r="3233" spans="1:7" x14ac:dyDescent="0.3">
      <c r="A3233" s="1" t="s">
        <v>4</v>
      </c>
      <c r="B3233" s="2" t="str">
        <f t="shared" si="275"/>
        <v>SISTEMA FINANCEIRO - CONTROLE BANCÁRIO</v>
      </c>
      <c r="C3233" s="2" t="str">
        <f t="shared" si="276"/>
        <v>FINAN</v>
      </c>
      <c r="D3233" s="2" t="str">
        <f t="shared" si="277"/>
        <v>FNCB</v>
      </c>
      <c r="E3233" s="2" t="str">
        <f>"COMPENSACAO DE CHEQUE"</f>
        <v>COMPENSACAO DE CHEQUE</v>
      </c>
      <c r="F3233" s="2" t="str">
        <f>"O_COMPCH"</f>
        <v>O_COMPCH</v>
      </c>
      <c r="G3233" s="2" t="s">
        <v>10</v>
      </c>
    </row>
    <row r="3234" spans="1:7" x14ac:dyDescent="0.3">
      <c r="A3234" s="1" t="s">
        <v>4</v>
      </c>
      <c r="B3234" s="2" t="str">
        <f t="shared" si="275"/>
        <v>SISTEMA FINANCEIRO - CONTROLE BANCÁRIO</v>
      </c>
      <c r="C3234" s="2" t="str">
        <f t="shared" si="276"/>
        <v>FINAN</v>
      </c>
      <c r="D3234" s="2" t="str">
        <f t="shared" si="277"/>
        <v>FNCB</v>
      </c>
      <c r="E3234" s="2" t="str">
        <f>"MOTIVO DE CANCELAMENTO DE CHEQUE"</f>
        <v>MOTIVO DE CANCELAMENTO DE CHEQUE</v>
      </c>
      <c r="F3234" s="2" t="str">
        <f>"M_MOT_CH_CANC"</f>
        <v>M_MOT_CH_CANC</v>
      </c>
      <c r="G3234" s="2" t="s">
        <v>10</v>
      </c>
    </row>
    <row r="3235" spans="1:7" x14ac:dyDescent="0.3">
      <c r="A3235" s="1" t="s">
        <v>4</v>
      </c>
      <c r="B3235" s="2" t="str">
        <f t="shared" si="275"/>
        <v>SISTEMA FINANCEIRO - CONTROLE BANCÁRIO</v>
      </c>
      <c r="C3235" s="2" t="str">
        <f t="shared" si="276"/>
        <v>FINAN</v>
      </c>
      <c r="D3235" s="2" t="str">
        <f t="shared" si="277"/>
        <v>FNCB</v>
      </c>
      <c r="E3235" s="2" t="str">
        <f>"CONFIGURACAO DO SISTEMA FINANCEIRO"</f>
        <v>CONFIGURACAO DO SISTEMA FINANCEIRO</v>
      </c>
      <c r="F3235" s="2" t="str">
        <f>"CONFIG_FINANC"</f>
        <v>CONFIG_FINANC</v>
      </c>
      <c r="G3235" s="2" t="s">
        <v>10</v>
      </c>
    </row>
    <row r="3236" spans="1:7" x14ac:dyDescent="0.3">
      <c r="A3236" s="1" t="s">
        <v>4</v>
      </c>
      <c r="B3236" s="2" t="str">
        <f t="shared" si="275"/>
        <v>SISTEMA FINANCEIRO - CONTROLE BANCÁRIO</v>
      </c>
      <c r="C3236" s="2" t="str">
        <f t="shared" si="276"/>
        <v>FINAN</v>
      </c>
      <c r="D3236" s="2" t="str">
        <f t="shared" si="277"/>
        <v>FNCB</v>
      </c>
      <c r="E3236" s="2" t="str">
        <f>"TIPO DE APLICACAO"</f>
        <v>TIPO DE APLICACAO</v>
      </c>
      <c r="F3236" s="2" t="str">
        <f>"M_TIPAPLI"</f>
        <v>M_TIPAPLI</v>
      </c>
      <c r="G3236" s="2" t="s">
        <v>10</v>
      </c>
    </row>
    <row r="3237" spans="1:7" x14ac:dyDescent="0.3">
      <c r="A3237" s="1" t="s">
        <v>4</v>
      </c>
      <c r="B3237" s="2" t="str">
        <f t="shared" si="275"/>
        <v>SISTEMA FINANCEIRO - CONTROLE BANCÁRIO</v>
      </c>
      <c r="C3237" s="2" t="str">
        <f t="shared" si="276"/>
        <v>FINAN</v>
      </c>
      <c r="D3237" s="2" t="str">
        <f t="shared" si="277"/>
        <v>FNCB</v>
      </c>
      <c r="E3237" s="2" t="str">
        <f>"CONTA CORRENTE"</f>
        <v>CONTA CORRENTE</v>
      </c>
      <c r="F3237" s="2" t="str">
        <f>"M_CONCOR"</f>
        <v>M_CONCOR</v>
      </c>
      <c r="G3237" s="2" t="s">
        <v>10</v>
      </c>
    </row>
    <row r="3238" spans="1:7" x14ac:dyDescent="0.3">
      <c r="A3238" s="1" t="s">
        <v>4</v>
      </c>
      <c r="B3238" s="2" t="str">
        <f t="shared" si="275"/>
        <v>SISTEMA FINANCEIRO - CONTROLE BANCÁRIO</v>
      </c>
      <c r="C3238" s="2" t="str">
        <f t="shared" si="276"/>
        <v>FINAN</v>
      </c>
      <c r="D3238" s="2" t="str">
        <f t="shared" si="277"/>
        <v>FNCB</v>
      </c>
      <c r="E3238" s="2" t="str">
        <f>"ENTREGA DE CHEQUE"</f>
        <v>ENTREGA DE CHEQUE</v>
      </c>
      <c r="F3238" s="2" t="str">
        <f>"R_ENTCHEQUE"</f>
        <v>R_ENTCHEQUE</v>
      </c>
      <c r="G3238" s="2" t="s">
        <v>10</v>
      </c>
    </row>
    <row r="3239" spans="1:7" x14ac:dyDescent="0.3">
      <c r="A3239" s="1" t="s">
        <v>4</v>
      </c>
      <c r="B3239" s="2" t="str">
        <f t="shared" si="275"/>
        <v>SISTEMA FINANCEIRO - CONTROLE BANCÁRIO</v>
      </c>
      <c r="C3239" s="2" t="str">
        <f t="shared" si="276"/>
        <v>FINAN</v>
      </c>
      <c r="D3239" s="2" t="str">
        <f t="shared" si="277"/>
        <v>FNCB</v>
      </c>
      <c r="E3239" s="2" t="str">
        <f>"EXTRATO BANCARIO"</f>
        <v>EXTRATO BANCARIO</v>
      </c>
      <c r="F3239" s="2" t="str">
        <f>"R_EXTRATO"</f>
        <v>R_EXTRATO</v>
      </c>
      <c r="G3239" s="2" t="s">
        <v>10</v>
      </c>
    </row>
    <row r="3240" spans="1:7" x14ac:dyDescent="0.3">
      <c r="A3240" s="1" t="s">
        <v>4</v>
      </c>
      <c r="B3240" s="2" t="str">
        <f t="shared" si="275"/>
        <v>SISTEMA FINANCEIRO - CONTROLE BANCÁRIO</v>
      </c>
      <c r="C3240" s="2" t="str">
        <f t="shared" si="276"/>
        <v>FINAN</v>
      </c>
      <c r="D3240" s="2" t="str">
        <f t="shared" si="277"/>
        <v>FNCB</v>
      </c>
      <c r="E3240" s="2" t="str">
        <f>"R_EXTRATO_110"</f>
        <v>R_EXTRATO_110</v>
      </c>
      <c r="F3240" s="2" t="str">
        <f>"R_EXTRATO_110"</f>
        <v>R_EXTRATO_110</v>
      </c>
      <c r="G3240" s="2" t="str">
        <f>" ()"</f>
        <v xml:space="preserve"> ()</v>
      </c>
    </row>
    <row r="3241" spans="1:7" x14ac:dyDescent="0.3">
      <c r="A3241" s="1" t="s">
        <v>4</v>
      </c>
      <c r="B3241" s="2" t="str">
        <f t="shared" si="275"/>
        <v>SISTEMA FINANCEIRO - CONTROLE BANCÁRIO</v>
      </c>
      <c r="C3241" s="2" t="str">
        <f t="shared" si="276"/>
        <v>FINAN</v>
      </c>
      <c r="D3241" s="2" t="str">
        <f t="shared" si="277"/>
        <v>FNCB</v>
      </c>
      <c r="E3241" s="2" t="str">
        <f>"CONCILIAÇÃO AUTOMÁTICA"</f>
        <v>CONCILIAÇÃO AUTOMÁTICA</v>
      </c>
      <c r="F3241" s="2" t="str">
        <f>"O_CONC_AUTOMATICA"</f>
        <v>O_CONC_AUTOMATICA</v>
      </c>
      <c r="G3241" s="2" t="s">
        <v>10</v>
      </c>
    </row>
    <row r="3242" spans="1:7" x14ac:dyDescent="0.3">
      <c r="A3242" s="1" t="s">
        <v>4</v>
      </c>
      <c r="B3242" s="2" t="str">
        <f t="shared" si="275"/>
        <v>SISTEMA FINANCEIRO - CONTROLE BANCÁRIO</v>
      </c>
      <c r="C3242" s="2" t="str">
        <f t="shared" si="276"/>
        <v>FINAN</v>
      </c>
      <c r="D3242" s="2" t="str">
        <f t="shared" si="277"/>
        <v>FNCB</v>
      </c>
      <c r="E3242" s="2" t="str">
        <f>"LOTES DE REMESSA AUTOMÁTICO"</f>
        <v>LOTES DE REMESSA AUTOMÁTICO</v>
      </c>
      <c r="F3242" s="2" t="str">
        <f>"O_LOTE_REMESSA"</f>
        <v>O_LOTE_REMESSA</v>
      </c>
      <c r="G3242" s="2" t="str">
        <f>"Controladoria / Intercâmbio Eletrônico de Arquivos / Arquivos / Bancos / Lotes de Remessa Automático (O_LOTE_REMESSA)"</f>
        <v>Controladoria / Intercâmbio Eletrônico de Arquivos / Arquivos / Bancos / Lotes de Remessa Automático (O_LOTE_REMESSA)</v>
      </c>
    </row>
    <row r="3243" spans="1:7" x14ac:dyDescent="0.3">
      <c r="A3243" s="1" t="s">
        <v>4</v>
      </c>
      <c r="B3243" s="2" t="str">
        <f t="shared" si="275"/>
        <v>SISTEMA FINANCEIRO - CONTROLE BANCÁRIO</v>
      </c>
      <c r="C3243" s="2" t="str">
        <f t="shared" si="276"/>
        <v>FINAN</v>
      </c>
      <c r="D3243" s="2" t="str">
        <f t="shared" si="277"/>
        <v>FNCB</v>
      </c>
      <c r="E3243" s="2" t="str">
        <f>"ACORDA_PORTA"</f>
        <v>ACORDA_PORTA</v>
      </c>
      <c r="F3243" s="2" t="str">
        <f>"ACORDA_PORTA"</f>
        <v>ACORDA_PORTA</v>
      </c>
      <c r="G3243" s="2" t="str">
        <f>" ()"</f>
        <v xml:space="preserve"> ()</v>
      </c>
    </row>
    <row r="3244" spans="1:7" x14ac:dyDescent="0.3">
      <c r="A3244" s="1" t="s">
        <v>4</v>
      </c>
      <c r="B3244" s="2" t="str">
        <f t="shared" si="275"/>
        <v>SISTEMA FINANCEIRO - CONTROLE BANCÁRIO</v>
      </c>
      <c r="C3244" s="2" t="str">
        <f t="shared" si="276"/>
        <v>FINAN</v>
      </c>
      <c r="D3244" s="2" t="str">
        <f t="shared" si="277"/>
        <v>FNCB</v>
      </c>
      <c r="E3244" s="2" t="str">
        <f>"RELATORIO DE CONTA CORRENTE"</f>
        <v>RELATORIO DE CONTA CORRENTE</v>
      </c>
      <c r="F3244" s="2" t="str">
        <f>"R_CONCORR"</f>
        <v>R_CONCORR</v>
      </c>
      <c r="G3244" s="2" t="s">
        <v>10</v>
      </c>
    </row>
    <row r="3245" spans="1:7" x14ac:dyDescent="0.3">
      <c r="A3245" s="1" t="s">
        <v>4</v>
      </c>
      <c r="B3245" s="2" t="str">
        <f t="shared" si="275"/>
        <v>SISTEMA FINANCEIRO - CONTROLE BANCÁRIO</v>
      </c>
      <c r="C3245" s="2" t="str">
        <f t="shared" si="276"/>
        <v>FINAN</v>
      </c>
      <c r="D3245" s="2" t="str">
        <f t="shared" si="277"/>
        <v>FNCB</v>
      </c>
      <c r="E3245" s="2" t="str">
        <f>"LANCAMENTOS BANCARIOS"</f>
        <v>LANCAMENTOS BANCARIOS</v>
      </c>
      <c r="F3245" s="2" t="str">
        <f>"M_LANBAN"</f>
        <v>M_LANBAN</v>
      </c>
      <c r="G3245" s="2" t="s">
        <v>10</v>
      </c>
    </row>
    <row r="3246" spans="1:7" x14ac:dyDescent="0.3">
      <c r="A3246" s="1" t="s">
        <v>4</v>
      </c>
      <c r="B3246" s="2" t="str">
        <f t="shared" si="275"/>
        <v>SISTEMA FINANCEIRO - CONTROLE BANCÁRIO</v>
      </c>
      <c r="C3246" s="2" t="str">
        <f t="shared" si="276"/>
        <v>FINAN</v>
      </c>
      <c r="D3246" s="2" t="str">
        <f t="shared" si="277"/>
        <v>FNCB</v>
      </c>
      <c r="E3246" s="2" t="str">
        <f>"TALOES DE CHEQUES"</f>
        <v>TALOES DE CHEQUES</v>
      </c>
      <c r="F3246" s="2" t="str">
        <f>"M_TALAO"</f>
        <v>M_TALAO</v>
      </c>
      <c r="G3246" s="2" t="s">
        <v>10</v>
      </c>
    </row>
    <row r="3247" spans="1:7" x14ac:dyDescent="0.3">
      <c r="A3247" s="1" t="s">
        <v>4</v>
      </c>
      <c r="B3247" s="2" t="str">
        <f t="shared" si="275"/>
        <v>SISTEMA FINANCEIRO - CONTROLE BANCÁRIO</v>
      </c>
      <c r="C3247" s="2" t="str">
        <f t="shared" si="276"/>
        <v>FINAN</v>
      </c>
      <c r="D3247" s="2" t="str">
        <f t="shared" si="277"/>
        <v>FNCB</v>
      </c>
      <c r="E3247" s="2" t="str">
        <f>"RELATORIO DE IMPRES. DO VERSO DO CHEQUE"</f>
        <v>RELATORIO DE IMPRES. DO VERSO DO CHEQUE</v>
      </c>
      <c r="F3247" s="2" t="str">
        <f>"R_VERSO_CHEQUE"</f>
        <v>R_VERSO_CHEQUE</v>
      </c>
      <c r="G3247" s="2" t="s">
        <v>10</v>
      </c>
    </row>
    <row r="3248" spans="1:7" x14ac:dyDescent="0.3">
      <c r="A3248" s="1" t="s">
        <v>4</v>
      </c>
      <c r="B3248" s="2" t="str">
        <f t="shared" si="275"/>
        <v>SISTEMA FINANCEIRO - CONTROLE BANCÁRIO</v>
      </c>
      <c r="C3248" s="2" t="str">
        <f t="shared" si="276"/>
        <v>FINAN</v>
      </c>
      <c r="D3248" s="2" t="str">
        <f t="shared" si="277"/>
        <v>FNCB</v>
      </c>
      <c r="E3248" s="2" t="str">
        <f>"RELATÓRIO DE LANÇAMENTO BANCÁRIO"</f>
        <v>RELATÓRIO DE LANÇAMENTO BANCÁRIO</v>
      </c>
      <c r="F3248" s="2" t="str">
        <f>"R_LANEXTR.RDF"</f>
        <v>R_LANEXTR.RDF</v>
      </c>
      <c r="G3248" s="2" t="str">
        <f t="shared" ref="G3248:G3263" si="278">" ()"</f>
        <v xml:space="preserve"> ()</v>
      </c>
    </row>
    <row r="3249" spans="1:7" x14ac:dyDescent="0.3">
      <c r="A3249" s="1" t="s">
        <v>4</v>
      </c>
      <c r="B3249" s="2" t="str">
        <f t="shared" si="275"/>
        <v>SISTEMA FINANCEIRO - CONTROLE BANCÁRIO</v>
      </c>
      <c r="C3249" s="2" t="str">
        <f t="shared" si="276"/>
        <v>FINAN</v>
      </c>
      <c r="D3249" s="2" t="str">
        <f t="shared" si="277"/>
        <v>FNCB</v>
      </c>
      <c r="E3249" s="2" t="str">
        <f>"RELATÓRIO DE EXTRATO BANCÁRIO"</f>
        <v>RELATÓRIO DE EXTRATO BANCÁRIO</v>
      </c>
      <c r="F3249" s="2" t="str">
        <f>"R_EXTRATO.RDF"</f>
        <v>R_EXTRATO.RDF</v>
      </c>
      <c r="G3249" s="2" t="str">
        <f t="shared" si="278"/>
        <v xml:space="preserve"> ()</v>
      </c>
    </row>
    <row r="3250" spans="1:7" x14ac:dyDescent="0.3">
      <c r="A3250" s="1" t="s">
        <v>4</v>
      </c>
      <c r="B3250" s="2" t="str">
        <f t="shared" si="275"/>
        <v>SISTEMA FINANCEIRO - CONTROLE BANCÁRIO</v>
      </c>
      <c r="C3250" s="2" t="str">
        <f t="shared" si="276"/>
        <v>FINAN</v>
      </c>
      <c r="D3250" s="2" t="str">
        <f t="shared" si="277"/>
        <v>FNCB</v>
      </c>
      <c r="E3250" s="2" t="str">
        <f>"RELATÓRIO DE IMPRESSÃO DE CHEQUE"</f>
        <v>RELATÓRIO DE IMPRESSÃO DE CHEQUE</v>
      </c>
      <c r="F3250" s="2" t="str">
        <f>"R_CHEQUE.RDF"</f>
        <v>R_CHEQUE.RDF</v>
      </c>
      <c r="G3250" s="2" t="str">
        <f t="shared" si="278"/>
        <v xml:space="preserve"> ()</v>
      </c>
    </row>
    <row r="3251" spans="1:7" x14ac:dyDescent="0.3">
      <c r="A3251" s="1" t="s">
        <v>4</v>
      </c>
      <c r="B3251" s="2" t="str">
        <f t="shared" si="275"/>
        <v>SISTEMA FINANCEIRO - CONTROLE BANCÁRIO</v>
      </c>
      <c r="C3251" s="2" t="str">
        <f t="shared" si="276"/>
        <v>FINAN</v>
      </c>
      <c r="D3251" s="2" t="str">
        <f t="shared" si="277"/>
        <v>FNCB</v>
      </c>
      <c r="E3251" s="2" t="str">
        <f>"RELATÓRIO DE CHEQUES CANCELADOS"</f>
        <v>RELATÓRIO DE CHEQUES CANCELADOS</v>
      </c>
      <c r="F3251" s="2" t="str">
        <f>"R_CHECANC.RDF"</f>
        <v>R_CHECANC.RDF</v>
      </c>
      <c r="G3251" s="2" t="str">
        <f t="shared" si="278"/>
        <v xml:space="preserve"> ()</v>
      </c>
    </row>
    <row r="3252" spans="1:7" x14ac:dyDescent="0.3">
      <c r="A3252" s="1" t="s">
        <v>4</v>
      </c>
      <c r="B3252" s="2" t="str">
        <f t="shared" si="275"/>
        <v>SISTEMA FINANCEIRO - CONTROLE BANCÁRIO</v>
      </c>
      <c r="C3252" s="2" t="str">
        <f t="shared" si="276"/>
        <v>FINAN</v>
      </c>
      <c r="D3252" s="2" t="str">
        <f t="shared" si="277"/>
        <v>FNCB</v>
      </c>
      <c r="E3252" s="2" t="str">
        <f>"RELATÓRIO DE CHEQUES PENDENTES"</f>
        <v>RELATÓRIO DE CHEQUES PENDENTES</v>
      </c>
      <c r="F3252" s="2" t="str">
        <f>"R_PEDCHEQUE.RDF"</f>
        <v>R_PEDCHEQUE.RDF</v>
      </c>
      <c r="G3252" s="2" t="str">
        <f t="shared" si="278"/>
        <v xml:space="preserve"> ()</v>
      </c>
    </row>
    <row r="3253" spans="1:7" x14ac:dyDescent="0.3">
      <c r="A3253" s="1" t="s">
        <v>4</v>
      </c>
      <c r="B3253" s="2" t="str">
        <f t="shared" si="275"/>
        <v>SISTEMA FINANCEIRO - CONTROLE BANCÁRIO</v>
      </c>
      <c r="C3253" s="2" t="str">
        <f t="shared" si="276"/>
        <v>FINAN</v>
      </c>
      <c r="D3253" s="2" t="str">
        <f t="shared" si="277"/>
        <v>FNCB</v>
      </c>
      <c r="E3253" s="2" t="str">
        <f>"MOTIVOS DE CANCELAMENTO DE CHEQUES"</f>
        <v>MOTIVOS DE CANCELAMENTO DE CHEQUES</v>
      </c>
      <c r="F3253" s="2" t="str">
        <f>"R_MOT_CHE_CAN.RDF"</f>
        <v>R_MOT_CHE_CAN.RDF</v>
      </c>
      <c r="G3253" s="2" t="str">
        <f t="shared" si="278"/>
        <v xml:space="preserve"> ()</v>
      </c>
    </row>
    <row r="3254" spans="1:7" x14ac:dyDescent="0.3">
      <c r="A3254" s="1" t="s">
        <v>4</v>
      </c>
      <c r="B3254" s="2" t="str">
        <f t="shared" si="275"/>
        <v>SISTEMA FINANCEIRO - CONTROLE BANCÁRIO</v>
      </c>
      <c r="C3254" s="2" t="str">
        <f t="shared" si="276"/>
        <v>FINAN</v>
      </c>
      <c r="D3254" s="2" t="str">
        <f t="shared" si="277"/>
        <v>FNCB</v>
      </c>
      <c r="E3254" s="2" t="str">
        <f>"RELATÓRIO DE LANÇAMENTOS BANCÁRIOS"</f>
        <v>RELATÓRIO DE LANÇAMENTOS BANCÁRIOS</v>
      </c>
      <c r="F3254" s="2" t="str">
        <f>"R_LANBAN.RDF"</f>
        <v>R_LANBAN.RDF</v>
      </c>
      <c r="G3254" s="2" t="str">
        <f t="shared" si="278"/>
        <v xml:space="preserve"> ()</v>
      </c>
    </row>
    <row r="3255" spans="1:7" x14ac:dyDescent="0.3">
      <c r="A3255" s="1" t="s">
        <v>4</v>
      </c>
      <c r="B3255" s="2" t="str">
        <f t="shared" si="275"/>
        <v>SISTEMA FINANCEIRO - CONTROLE BANCÁRIO</v>
      </c>
      <c r="C3255" s="2" t="str">
        <f t="shared" si="276"/>
        <v>FINAN</v>
      </c>
      <c r="D3255" s="2" t="str">
        <f t="shared" si="277"/>
        <v>FNCB</v>
      </c>
      <c r="E3255" s="2" t="str">
        <f>"RELATÓRIO DE TALÕES DE CHEQUE"</f>
        <v>RELATÓRIO DE TALÕES DE CHEQUE</v>
      </c>
      <c r="F3255" s="2" t="str">
        <f>"R_TALAO.RDF"</f>
        <v>R_TALAO.RDF</v>
      </c>
      <c r="G3255" s="2" t="str">
        <f t="shared" si="278"/>
        <v xml:space="preserve"> ()</v>
      </c>
    </row>
    <row r="3256" spans="1:7" x14ac:dyDescent="0.3">
      <c r="A3256" s="1" t="s">
        <v>4</v>
      </c>
      <c r="B3256" s="2" t="str">
        <f t="shared" si="275"/>
        <v>SISTEMA FINANCEIRO - CONTROLE BANCÁRIO</v>
      </c>
      <c r="C3256" s="2" t="str">
        <f t="shared" si="276"/>
        <v>FINAN</v>
      </c>
      <c r="D3256" s="2" t="str">
        <f t="shared" si="277"/>
        <v>FNCB</v>
      </c>
      <c r="E3256" s="2" t="str">
        <f>"RELATÓRIO DE CHEQUES ENTREGUES"</f>
        <v>RELATÓRIO DE CHEQUES ENTREGUES</v>
      </c>
      <c r="F3256" s="2" t="str">
        <f>"R_ENTCHEQUE.RDF"</f>
        <v>R_ENTCHEQUE.RDF</v>
      </c>
      <c r="G3256" s="2" t="str">
        <f t="shared" si="278"/>
        <v xml:space="preserve"> ()</v>
      </c>
    </row>
    <row r="3257" spans="1:7" x14ac:dyDescent="0.3">
      <c r="A3257" s="1" t="s">
        <v>4</v>
      </c>
      <c r="B3257" s="2" t="str">
        <f t="shared" si="275"/>
        <v>SISTEMA FINANCEIRO - CONTROLE BANCÁRIO</v>
      </c>
      <c r="C3257" s="2" t="str">
        <f t="shared" si="276"/>
        <v>FINAN</v>
      </c>
      <c r="D3257" s="2" t="str">
        <f t="shared" si="277"/>
        <v>FNCB</v>
      </c>
      <c r="E3257" s="2" t="str">
        <f>"RELATÓRIO DE ARQUIVOS DE ARRECADAÇÃO"</f>
        <v>RELATÓRIO DE ARQUIVOS DE ARRECADAÇÃO</v>
      </c>
      <c r="F3257" s="2" t="str">
        <f>"R_ARQUIVOS.RDF"</f>
        <v>R_ARQUIVOS.RDF</v>
      </c>
      <c r="G3257" s="2" t="str">
        <f t="shared" si="278"/>
        <v xml:space="preserve"> ()</v>
      </c>
    </row>
    <row r="3258" spans="1:7" x14ac:dyDescent="0.3">
      <c r="A3258" s="1" t="s">
        <v>4</v>
      </c>
      <c r="B3258" s="2" t="str">
        <f t="shared" si="275"/>
        <v>SISTEMA FINANCEIRO - CONTROLE BANCÁRIO</v>
      </c>
      <c r="C3258" s="2" t="str">
        <f t="shared" si="276"/>
        <v>FINAN</v>
      </c>
      <c r="D3258" s="2" t="str">
        <f t="shared" si="277"/>
        <v>FNCB</v>
      </c>
      <c r="E3258" s="2" t="str">
        <f>"BOLETOS ENCAMINHADOS AO CONVÊNIO"</f>
        <v>BOLETOS ENCAMINHADOS AO CONVÊNIO</v>
      </c>
      <c r="F3258" s="2" t="str">
        <f>"R_BOLETO_ENVIADO.RDF"</f>
        <v>R_BOLETO_ENVIADO.RDF</v>
      </c>
      <c r="G3258" s="2" t="str">
        <f t="shared" si="278"/>
        <v xml:space="preserve"> ()</v>
      </c>
    </row>
    <row r="3259" spans="1:7" x14ac:dyDescent="0.3">
      <c r="A3259" s="1" t="s">
        <v>4</v>
      </c>
      <c r="B3259" s="2" t="str">
        <f t="shared" si="275"/>
        <v>SISTEMA FINANCEIRO - CONTROLE BANCÁRIO</v>
      </c>
      <c r="C3259" s="2" t="str">
        <f t="shared" si="276"/>
        <v>FINAN</v>
      </c>
      <c r="D3259" s="2" t="str">
        <f t="shared" si="277"/>
        <v>FNCB</v>
      </c>
      <c r="E3259" s="2" t="str">
        <f>"RELATÓRIO DE BOLETOS EMITIDOS"</f>
        <v>RELATÓRIO DE BOLETOS EMITIDOS</v>
      </c>
      <c r="F3259" s="2" t="str">
        <f>"R_BOLETO_EMITIDO.RDF"</f>
        <v>R_BOLETO_EMITIDO.RDF</v>
      </c>
      <c r="G3259" s="2" t="str">
        <f t="shared" si="278"/>
        <v xml:space="preserve"> ()</v>
      </c>
    </row>
    <row r="3260" spans="1:7" x14ac:dyDescent="0.3">
      <c r="A3260" s="1" t="s">
        <v>4</v>
      </c>
      <c r="B3260" s="2" t="str">
        <f t="shared" si="275"/>
        <v>SISTEMA FINANCEIRO - CONTROLE BANCÁRIO</v>
      </c>
      <c r="C3260" s="2" t="str">
        <f t="shared" si="276"/>
        <v>FINAN</v>
      </c>
      <c r="D3260" s="2" t="str">
        <f t="shared" si="277"/>
        <v>FNCB</v>
      </c>
      <c r="E3260" s="2" t="str">
        <f>"RELATÓRIO DOS PAGAMENTOS REALIZADOS"</f>
        <v>RELATÓRIO DOS PAGAMENTOS REALIZADOS</v>
      </c>
      <c r="F3260" s="2" t="str">
        <f>"R_CON_PAG_BANCARIO.RDF"</f>
        <v>R_CON_PAG_BANCARIO.RDF</v>
      </c>
      <c r="G3260" s="2" t="str">
        <f t="shared" si="278"/>
        <v xml:space="preserve"> ()</v>
      </c>
    </row>
    <row r="3261" spans="1:7" x14ac:dyDescent="0.3">
      <c r="A3261" s="1" t="s">
        <v>4</v>
      </c>
      <c r="B3261" s="2" t="str">
        <f t="shared" ref="B3261" si="279">"SISTEMA FINANCEIRO - CONTROLE BANCÁRIO"</f>
        <v>SISTEMA FINANCEIRO - CONTROLE BANCÁRIO</v>
      </c>
      <c r="C3261" s="2" t="str">
        <f t="shared" ref="C3261:C3324" si="280">"FINAN"</f>
        <v>FINAN</v>
      </c>
      <c r="D3261" s="2" t="str">
        <f t="shared" ref="D3261" si="281">"FNCB"</f>
        <v>FNCB</v>
      </c>
      <c r="E3261" s="2" t="str">
        <f>"RELATÓRIO DE JUROS/RESGATE DE APLICAÇÕES"</f>
        <v>RELATÓRIO DE JUROS/RESGATE DE APLICAÇÕES</v>
      </c>
      <c r="F3261" s="2" t="str">
        <f>"R_APLIC_JUROS.RDF"</f>
        <v>R_APLIC_JUROS.RDF</v>
      </c>
      <c r="G3261" s="2" t="str">
        <f t="shared" si="278"/>
        <v xml:space="preserve"> ()</v>
      </c>
    </row>
    <row r="3262" spans="1:7" x14ac:dyDescent="0.3">
      <c r="A3262" s="1" t="s">
        <v>4</v>
      </c>
      <c r="B3262" s="2" t="str">
        <f t="shared" ref="B3262:B3325" si="282">"CONTROLE DO CAIXA"</f>
        <v>CONTROLE DO CAIXA</v>
      </c>
      <c r="C3262" s="2" t="str">
        <f t="shared" si="280"/>
        <v>FINAN</v>
      </c>
      <c r="D3262" s="2" t="str">
        <f t="shared" ref="D3262:D3325" si="283">"FNCC"</f>
        <v>FNCC</v>
      </c>
      <c r="E3262" s="2" t="str">
        <f>"REL. DE CAUÇÃO PACIENTE"</f>
        <v>REL. DE CAUÇÃO PACIENTE</v>
      </c>
      <c r="F3262" s="2" t="str">
        <f>"R_CAUCAO_CAIXA_PACIENTE.RDF"</f>
        <v>R_CAUCAO_CAIXA_PACIENTE.RDF</v>
      </c>
      <c r="G3262" s="2" t="str">
        <f t="shared" si="278"/>
        <v xml:space="preserve"> ()</v>
      </c>
    </row>
    <row r="3263" spans="1:7" x14ac:dyDescent="0.3">
      <c r="A3263" s="1" t="s">
        <v>4</v>
      </c>
      <c r="B3263" s="2" t="str">
        <f t="shared" si="282"/>
        <v>CONTROLE DO CAIXA</v>
      </c>
      <c r="C3263" s="2" t="str">
        <f t="shared" si="280"/>
        <v>FINAN</v>
      </c>
      <c r="D3263" s="2" t="str">
        <f t="shared" si="283"/>
        <v>FNCC</v>
      </c>
      <c r="E3263" s="2" t="str">
        <f>"M_CENTRAL_ANEXO"</f>
        <v>M_CENTRAL_ANEXO</v>
      </c>
      <c r="F3263" s="2" t="str">
        <f>"M_CENTRAL_ANEXO"</f>
        <v>M_CENTRAL_ANEXO</v>
      </c>
      <c r="G3263" s="2" t="str">
        <f t="shared" si="278"/>
        <v xml:space="preserve"> ()</v>
      </c>
    </row>
    <row r="3264" spans="1:7" x14ac:dyDescent="0.3">
      <c r="A3264" s="1" t="s">
        <v>4</v>
      </c>
      <c r="B3264" s="2" t="str">
        <f t="shared" si="282"/>
        <v>CONTROLE DO CAIXA</v>
      </c>
      <c r="C3264" s="2" t="str">
        <f t="shared" si="280"/>
        <v>FINAN</v>
      </c>
      <c r="D3264" s="2" t="str">
        <f t="shared" si="283"/>
        <v>FNCC</v>
      </c>
      <c r="E3264" s="2" t="str">
        <f>"MOVIMENTAÇÕES DE CAIXA"</f>
        <v>MOVIMENTAÇÕES DE CAIXA</v>
      </c>
      <c r="F3264" s="2" t="str">
        <f>"O_CANC_MOV_CAIXA"</f>
        <v>O_CANC_MOV_CAIXA</v>
      </c>
      <c r="G3264" s="2" t="str">
        <f>"Controladoria / Caixa / Caixa / Movimentação / Cancelamento de Lançamentos (O_CANC_MOV_CAIXA)"</f>
        <v>Controladoria / Caixa / Caixa / Movimentação / Cancelamento de Lançamentos (O_CANC_MOV_CAIXA)</v>
      </c>
    </row>
    <row r="3265" spans="1:7" x14ac:dyDescent="0.3">
      <c r="A3265" s="1" t="s">
        <v>4</v>
      </c>
      <c r="B3265" s="2" t="str">
        <f t="shared" si="282"/>
        <v>CONTROLE DO CAIXA</v>
      </c>
      <c r="C3265" s="2" t="str">
        <f t="shared" si="280"/>
        <v>FINAN</v>
      </c>
      <c r="D3265" s="2" t="str">
        <f t="shared" si="283"/>
        <v>FNCC</v>
      </c>
      <c r="E3265" s="2" t="str">
        <f>"O_MOV_CAICA"</f>
        <v>O_MOV_CAICA</v>
      </c>
      <c r="F3265" s="2" t="str">
        <f>"O_MOV_CAICA"</f>
        <v>O_MOV_CAICA</v>
      </c>
      <c r="G3265" s="2" t="str">
        <f>" ()"</f>
        <v xml:space="preserve"> ()</v>
      </c>
    </row>
    <row r="3266" spans="1:7" x14ac:dyDescent="0.3">
      <c r="A3266" s="1" t="s">
        <v>4</v>
      </c>
      <c r="B3266" s="2" t="str">
        <f t="shared" si="282"/>
        <v>CONTROLE DO CAIXA</v>
      </c>
      <c r="C3266" s="2" t="str">
        <f t="shared" si="280"/>
        <v>FINAN</v>
      </c>
      <c r="D3266" s="2" t="str">
        <f t="shared" si="283"/>
        <v>FNCC</v>
      </c>
      <c r="E3266" s="2" t="str">
        <f>"REABERTURA DE LOTES DOS CAIXAS"</f>
        <v>REABERTURA DE LOTES DOS CAIXAS</v>
      </c>
      <c r="F3266" s="2" t="str">
        <f>"O_REABRE_LOTE"</f>
        <v>O_REABRE_LOTE</v>
      </c>
      <c r="G3266" s="2" t="str">
        <f>"Controladoria / Caixa / Caixa / Reabertura de Lotes (O_REABRE_LOTE)"</f>
        <v>Controladoria / Caixa / Caixa / Reabertura de Lotes (O_REABRE_LOTE)</v>
      </c>
    </row>
    <row r="3267" spans="1:7" x14ac:dyDescent="0.3">
      <c r="A3267" s="1" t="s">
        <v>4</v>
      </c>
      <c r="B3267" s="2" t="str">
        <f t="shared" si="282"/>
        <v>CONTROLE DO CAIXA</v>
      </c>
      <c r="C3267" s="2" t="str">
        <f t="shared" si="280"/>
        <v>FINAN</v>
      </c>
      <c r="D3267" s="2" t="str">
        <f t="shared" si="283"/>
        <v>FNCC</v>
      </c>
      <c r="E3267" s="2" t="str">
        <f>"CAIXAS ABERTOS"</f>
        <v>CAIXAS ABERTOS</v>
      </c>
      <c r="F3267" s="2" t="str">
        <f>"C_CAIXA"</f>
        <v>C_CAIXA</v>
      </c>
      <c r="G3267" s="2" t="str">
        <f>"Controladoria / Caixa / Consulta / Caixas Abertos (C_CAIXA)"</f>
        <v>Controladoria / Caixa / Consulta / Caixas Abertos (C_CAIXA)</v>
      </c>
    </row>
    <row r="3268" spans="1:7" x14ac:dyDescent="0.3">
      <c r="A3268" s="1" t="s">
        <v>4</v>
      </c>
      <c r="B3268" s="2" t="str">
        <f t="shared" si="282"/>
        <v>CONTROLE DO CAIXA</v>
      </c>
      <c r="C3268" s="2" t="str">
        <f t="shared" si="280"/>
        <v>FINAN</v>
      </c>
      <c r="D3268" s="2" t="str">
        <f t="shared" si="283"/>
        <v>FNCC</v>
      </c>
      <c r="E3268" s="2" t="str">
        <f>"CAIXAS ABERTOS"</f>
        <v>CAIXAS ABERTOS</v>
      </c>
      <c r="F3268" s="2" t="str">
        <f>"C_CAIXA"</f>
        <v>C_CAIXA</v>
      </c>
      <c r="G3268" s="2" t="str">
        <f>"Materiais e Logística / Farmácia / Consulta / Caixas Abertos (C_CAIXA)"</f>
        <v>Materiais e Logística / Farmácia / Consulta / Caixas Abertos (C_CAIXA)</v>
      </c>
    </row>
    <row r="3269" spans="1:7" x14ac:dyDescent="0.3">
      <c r="A3269" s="1" t="s">
        <v>4</v>
      </c>
      <c r="B3269" s="2" t="str">
        <f t="shared" si="282"/>
        <v>CONTROLE DO CAIXA</v>
      </c>
      <c r="C3269" s="2" t="str">
        <f t="shared" si="280"/>
        <v>FINAN</v>
      </c>
      <c r="D3269" s="2" t="str">
        <f t="shared" si="283"/>
        <v>FNCC</v>
      </c>
      <c r="E3269" s="2" t="str">
        <f>"MOVIMENTAÇÕES DE CAIXA"</f>
        <v>MOVIMENTAÇÕES DE CAIXA</v>
      </c>
      <c r="F3269" s="2" t="str">
        <f>"C_MOV_CAIXA"</f>
        <v>C_MOV_CAIXA</v>
      </c>
      <c r="G3269" s="2" t="str">
        <f>"Controladoria / Caixa / Consulta / Movimentação Caixa (C_MOV_CAIXA)"</f>
        <v>Controladoria / Caixa / Consulta / Movimentação Caixa (C_MOV_CAIXA)</v>
      </c>
    </row>
    <row r="3270" spans="1:7" x14ac:dyDescent="0.3">
      <c r="A3270" s="1" t="s">
        <v>4</v>
      </c>
      <c r="B3270" s="2" t="str">
        <f t="shared" si="282"/>
        <v>CONTROLE DO CAIXA</v>
      </c>
      <c r="C3270" s="2" t="str">
        <f t="shared" si="280"/>
        <v>FINAN</v>
      </c>
      <c r="D3270" s="2" t="str">
        <f t="shared" si="283"/>
        <v>FNCC</v>
      </c>
      <c r="E3270" s="2" t="str">
        <f>"MOVIMENTAÇÕES DE CAIXA"</f>
        <v>MOVIMENTAÇÕES DE CAIXA</v>
      </c>
      <c r="F3270" s="2" t="str">
        <f>"C_MOV_CAIXA"</f>
        <v>C_MOV_CAIXA</v>
      </c>
      <c r="G3270" s="2" t="str">
        <f>"Materiais e Logística / Farmácia / Consulta / Movimentação Caixa (C_MOV_CAIXA)"</f>
        <v>Materiais e Logística / Farmácia / Consulta / Movimentação Caixa (C_MOV_CAIXA)</v>
      </c>
    </row>
    <row r="3271" spans="1:7" x14ac:dyDescent="0.3">
      <c r="A3271" s="1" t="s">
        <v>4</v>
      </c>
      <c r="B3271" s="2" t="str">
        <f t="shared" si="282"/>
        <v>CONTROLE DO CAIXA</v>
      </c>
      <c r="C3271" s="2" t="str">
        <f t="shared" si="280"/>
        <v>FINAN</v>
      </c>
      <c r="D3271" s="2" t="str">
        <f t="shared" si="283"/>
        <v>FNCC</v>
      </c>
      <c r="E3271" s="2" t="str">
        <f>"MOVIMENTAÇÕES DE CAIXA"</f>
        <v>MOVIMENTAÇÕES DE CAIXA</v>
      </c>
      <c r="F3271" s="2" t="str">
        <f>"O_MOV_CAIXA"</f>
        <v>O_MOV_CAIXA</v>
      </c>
      <c r="G3271" s="2" t="str">
        <f>"Controladoria / Caixa / Caixa / Movimentação / Lançamentos/Fechamento (O_MOV_CAIXA)"</f>
        <v>Controladoria / Caixa / Caixa / Movimentação / Lançamentos/Fechamento (O_MOV_CAIXA)</v>
      </c>
    </row>
    <row r="3272" spans="1:7" x14ac:dyDescent="0.3">
      <c r="A3272" s="1" t="s">
        <v>4</v>
      </c>
      <c r="B3272" s="2" t="str">
        <f t="shared" si="282"/>
        <v>CONTROLE DO CAIXA</v>
      </c>
      <c r="C3272" s="2" t="str">
        <f t="shared" si="280"/>
        <v>FINAN</v>
      </c>
      <c r="D3272" s="2" t="str">
        <f t="shared" si="283"/>
        <v>FNCC</v>
      </c>
      <c r="E3272" s="2" t="str">
        <f>"ABERTURA DE CAIXAS"</f>
        <v>ABERTURA DE CAIXAS</v>
      </c>
      <c r="F3272" s="2" t="str">
        <f>"O_CAIXA_ABERT"</f>
        <v>O_CAIXA_ABERT</v>
      </c>
      <c r="G3272" s="2" t="str">
        <f>"Controladoria / Caixa / Caixa / Abertura (O_CAIXA_ABERT)"</f>
        <v>Controladoria / Caixa / Caixa / Abertura (O_CAIXA_ABERT)</v>
      </c>
    </row>
    <row r="3273" spans="1:7" x14ac:dyDescent="0.3">
      <c r="A3273" s="1" t="s">
        <v>4</v>
      </c>
      <c r="B3273" s="2" t="str">
        <f t="shared" si="282"/>
        <v>CONTROLE DO CAIXA</v>
      </c>
      <c r="C3273" s="2" t="str">
        <f t="shared" si="280"/>
        <v>FINAN</v>
      </c>
      <c r="D3273" s="2" t="str">
        <f t="shared" si="283"/>
        <v>FNCC</v>
      </c>
      <c r="E3273" s="2" t="str">
        <f>"CANCELAMENTO DE STATUS DO DOCUMENTO"</f>
        <v>CANCELAMENTO DE STATUS DO DOCUMENTO</v>
      </c>
      <c r="F3273" s="2" t="str">
        <f>"O_CANC_DOC_STATUS"</f>
        <v>O_CANC_DOC_STATUS</v>
      </c>
      <c r="G3273" s="2" t="str">
        <f>"Controladoria / Caixa / Documentos / Cancelamento de Status (O_CANC_DOC_STATUS)"</f>
        <v>Controladoria / Caixa / Documentos / Cancelamento de Status (O_CANC_DOC_STATUS)</v>
      </c>
    </row>
    <row r="3274" spans="1:7" x14ac:dyDescent="0.3">
      <c r="A3274" s="1" t="s">
        <v>4</v>
      </c>
      <c r="B3274" s="2" t="str">
        <f t="shared" si="282"/>
        <v>CONTROLE DO CAIXA</v>
      </c>
      <c r="C3274" s="2" t="str">
        <f t="shared" si="280"/>
        <v>FINAN</v>
      </c>
      <c r="D3274" s="2" t="str">
        <f t="shared" si="283"/>
        <v>FNCC</v>
      </c>
      <c r="E3274" s="2" t="str">
        <f>"PERSONALIZADOS FNCC"</f>
        <v>PERSONALIZADOS FNCC</v>
      </c>
      <c r="F3274" s="2" t="str">
        <f>"R_PERSON_FNCC"</f>
        <v>R_PERSON_FNCC</v>
      </c>
      <c r="G3274" s="2" t="str">
        <f>"Controladoria / Caixa / Relatórios / Personalizados (R_PERSON_FNCC)"</f>
        <v>Controladoria / Caixa / Relatórios / Personalizados (R_PERSON_FNCC)</v>
      </c>
    </row>
    <row r="3275" spans="1:7" x14ac:dyDescent="0.3">
      <c r="A3275" s="1" t="s">
        <v>4</v>
      </c>
      <c r="B3275" s="2" t="str">
        <f t="shared" si="282"/>
        <v>CONTROLE DO CAIXA</v>
      </c>
      <c r="C3275" s="2" t="str">
        <f t="shared" si="280"/>
        <v>FINAN</v>
      </c>
      <c r="D3275" s="2" t="str">
        <f t="shared" si="283"/>
        <v>FNCC</v>
      </c>
      <c r="E3275" s="2" t="str">
        <f>"RELATÓRIO DE EXTRATO CAIXA/BANCO"</f>
        <v>RELATÓRIO DE EXTRATO CAIXA/BANCO</v>
      </c>
      <c r="F3275" s="2" t="str">
        <f>"R_MOV_CAIXA.RDF"</f>
        <v>R_MOV_CAIXA.RDF</v>
      </c>
      <c r="G3275" s="2" t="str">
        <f>" ()"</f>
        <v xml:space="preserve"> ()</v>
      </c>
    </row>
    <row r="3276" spans="1:7" x14ac:dyDescent="0.3">
      <c r="A3276" s="1" t="s">
        <v>4</v>
      </c>
      <c r="B3276" s="2" t="str">
        <f t="shared" si="282"/>
        <v>CONTROLE DO CAIXA</v>
      </c>
      <c r="C3276" s="2" t="str">
        <f t="shared" si="280"/>
        <v>FINAN</v>
      </c>
      <c r="D3276" s="2" t="str">
        <f t="shared" si="283"/>
        <v>FNCC</v>
      </c>
      <c r="E3276" s="2" t="str">
        <f>"C_LOTE_CAIXA"</f>
        <v>C_LOTE_CAIXA</v>
      </c>
      <c r="F3276" s="2" t="str">
        <f>"C_LOTE_CAIXA"</f>
        <v>C_LOTE_CAIXA</v>
      </c>
      <c r="G3276" s="2" t="str">
        <f>" ()"</f>
        <v xml:space="preserve"> ()</v>
      </c>
    </row>
    <row r="3277" spans="1:7" x14ac:dyDescent="0.3">
      <c r="A3277" s="1" t="s">
        <v>4</v>
      </c>
      <c r="B3277" s="2" t="str">
        <f t="shared" si="282"/>
        <v>CONTROLE DO CAIXA</v>
      </c>
      <c r="C3277" s="2" t="str">
        <f t="shared" si="280"/>
        <v>FINAN</v>
      </c>
      <c r="D3277" s="2" t="str">
        <f t="shared" si="283"/>
        <v>FNCC</v>
      </c>
      <c r="E3277" s="2" t="str">
        <f>"STATUS DOCUMENTOS - CAIXA"</f>
        <v>STATUS DOCUMENTOS - CAIXA</v>
      </c>
      <c r="F3277" s="2" t="str">
        <f>"O_DOC_STATUS"</f>
        <v>O_DOC_STATUS</v>
      </c>
      <c r="G3277" s="2" t="str">
        <f>"Controladoria / Caixa / Documentos / Status (O_DOC_STATUS)"</f>
        <v>Controladoria / Caixa / Documentos / Status (O_DOC_STATUS)</v>
      </c>
    </row>
    <row r="3278" spans="1:7" x14ac:dyDescent="0.3">
      <c r="A3278" s="1" t="s">
        <v>4</v>
      </c>
      <c r="B3278" s="2" t="str">
        <f t="shared" si="282"/>
        <v>CONTROLE DO CAIXA</v>
      </c>
      <c r="C3278" s="2" t="str">
        <f t="shared" si="280"/>
        <v>FINAN</v>
      </c>
      <c r="D3278" s="2" t="str">
        <f t="shared" si="283"/>
        <v>FNCC</v>
      </c>
      <c r="E3278" s="2" t="str">
        <f>"RELATÓRIO DE EXTRATO CAIXA/BANCO"</f>
        <v>RELATÓRIO DE EXTRATO CAIXA/BANCO</v>
      </c>
      <c r="F3278" s="2" t="str">
        <f>"R_MOV_CAIXA"</f>
        <v>R_MOV_CAIXA</v>
      </c>
      <c r="G3278" s="2" t="str">
        <f>"Controladoria / Tesouraria / Relatórios / Caixa / Extrato Caixa/Banco (R_MOV_CAIXA)"</f>
        <v>Controladoria / Tesouraria / Relatórios / Caixa / Extrato Caixa/Banco (R_MOV_CAIXA)</v>
      </c>
    </row>
    <row r="3279" spans="1:7" x14ac:dyDescent="0.3">
      <c r="A3279" s="1" t="s">
        <v>4</v>
      </c>
      <c r="B3279" s="2" t="str">
        <f t="shared" si="282"/>
        <v>CONTROLE DO CAIXA</v>
      </c>
      <c r="C3279" s="2" t="str">
        <f t="shared" si="280"/>
        <v>FINAN</v>
      </c>
      <c r="D3279" s="2" t="str">
        <f t="shared" si="283"/>
        <v>FNCC</v>
      </c>
      <c r="E3279" s="2" t="str">
        <f>"RELATÓRIO DE EXTRATO CAIXA/BANCO"</f>
        <v>RELATÓRIO DE EXTRATO CAIXA/BANCO</v>
      </c>
      <c r="F3279" s="2" t="str">
        <f>"R_MOV_CAIXA"</f>
        <v>R_MOV_CAIXA</v>
      </c>
      <c r="G3279" s="2" t="str">
        <f>"Controladoria / Caixa / Relatórios / Extrato Caixa/Banco (R_MOV_CAIXA)"</f>
        <v>Controladoria / Caixa / Relatórios / Extrato Caixa/Banco (R_MOV_CAIXA)</v>
      </c>
    </row>
    <row r="3280" spans="1:7" x14ac:dyDescent="0.3">
      <c r="A3280" s="1" t="s">
        <v>4</v>
      </c>
      <c r="B3280" s="2" t="str">
        <f t="shared" si="282"/>
        <v>CONTROLE DO CAIXA</v>
      </c>
      <c r="C3280" s="2" t="str">
        <f t="shared" si="280"/>
        <v>FINAN</v>
      </c>
      <c r="D3280" s="2" t="str">
        <f t="shared" si="283"/>
        <v>FNCC</v>
      </c>
      <c r="E3280" s="2" t="str">
        <f>"RELATÓRIO DE EXTRATO CAIXA/BANCO"</f>
        <v>RELATÓRIO DE EXTRATO CAIXA/BANCO</v>
      </c>
      <c r="F3280" s="2" t="str">
        <f>"R_MOV_CAIXA"</f>
        <v>R_MOV_CAIXA</v>
      </c>
      <c r="G3280" s="2" t="str">
        <f>"Materiais e Logística / Farmácia / Relatórios / Extrato Caixa/Banco (R_MOV_CAIXA)"</f>
        <v>Materiais e Logística / Farmácia / Relatórios / Extrato Caixa/Banco (R_MOV_CAIXA)</v>
      </c>
    </row>
    <row r="3281" spans="1:7" x14ac:dyDescent="0.3">
      <c r="A3281" s="1" t="s">
        <v>4</v>
      </c>
      <c r="B3281" s="2" t="str">
        <f t="shared" si="282"/>
        <v>CONTROLE DO CAIXA</v>
      </c>
      <c r="C3281" s="2" t="str">
        <f t="shared" si="280"/>
        <v>FINAN</v>
      </c>
      <c r="D3281" s="2" t="str">
        <f t="shared" si="283"/>
        <v>FNCC</v>
      </c>
      <c r="E3281" s="2" t="str">
        <f>"O_CANC_DOC_MOV"</f>
        <v>O_CANC_DOC_MOV</v>
      </c>
      <c r="F3281" s="2" t="str">
        <f>"O_CANC_DOC_MOV"</f>
        <v>O_CANC_DOC_MOV</v>
      </c>
      <c r="G3281" s="2" t="str">
        <f>"Controladoria / Caixa / Documentos / Cancelamento de Status de Documentos (O_CANC_DOC_MOV)"</f>
        <v>Controladoria / Caixa / Documentos / Cancelamento de Status de Documentos (O_CANC_DOC_MOV)</v>
      </c>
    </row>
    <row r="3282" spans="1:7" x14ac:dyDescent="0.3">
      <c r="A3282" s="1" t="s">
        <v>4</v>
      </c>
      <c r="B3282" s="2" t="str">
        <f t="shared" si="282"/>
        <v>CONTROLE DO CAIXA</v>
      </c>
      <c r="C3282" s="2" t="str">
        <f t="shared" si="280"/>
        <v>FINAN</v>
      </c>
      <c r="D3282" s="2" t="str">
        <f t="shared" si="283"/>
        <v>FNCC</v>
      </c>
      <c r="E3282" s="2" t="str">
        <f>"RELATÓRIO DE CONTAS A RECEBER"</f>
        <v>RELATÓRIO DE CONTAS A RECEBER</v>
      </c>
      <c r="F3282" s="2" t="str">
        <f>"R_CON_RECEB_CHQDEV_340"</f>
        <v>R_CON_RECEB_CHQDEV_340</v>
      </c>
      <c r="G3282" s="2" t="str">
        <f>" ()"</f>
        <v xml:space="preserve"> ()</v>
      </c>
    </row>
    <row r="3283" spans="1:7" x14ac:dyDescent="0.3">
      <c r="A3283" s="1" t="s">
        <v>4</v>
      </c>
      <c r="B3283" s="2" t="str">
        <f t="shared" si="282"/>
        <v>CONTROLE DO CAIXA</v>
      </c>
      <c r="C3283" s="2" t="str">
        <f t="shared" si="280"/>
        <v>FINAN</v>
      </c>
      <c r="D3283" s="2" t="str">
        <f t="shared" si="283"/>
        <v>FNCC</v>
      </c>
      <c r="E3283" s="2" t="str">
        <f>"R_MOV_CAIXA_CARACT"</f>
        <v>R_MOV_CAIXA_CARACT</v>
      </c>
      <c r="F3283" s="2" t="str">
        <f>"R_MOV_CAIXA_CARACT"</f>
        <v>R_MOV_CAIXA_CARACT</v>
      </c>
      <c r="G3283" s="2" t="str">
        <f>" ()"</f>
        <v xml:space="preserve"> ()</v>
      </c>
    </row>
    <row r="3284" spans="1:7" x14ac:dyDescent="0.3">
      <c r="A3284" s="1" t="s">
        <v>4</v>
      </c>
      <c r="B3284" s="2" t="str">
        <f t="shared" si="282"/>
        <v>CONTROLE DO CAIXA</v>
      </c>
      <c r="C3284" s="2" t="str">
        <f t="shared" si="280"/>
        <v>FINAN</v>
      </c>
      <c r="D3284" s="2" t="str">
        <f t="shared" si="283"/>
        <v>FNCC</v>
      </c>
      <c r="E3284" s="2" t="str">
        <f>"MANUTENÇÃO DE CAUÇÃO"</f>
        <v>MANUTENÇÃO DE CAUÇÃO</v>
      </c>
      <c r="F3284" s="2" t="str">
        <f>"M_CAUCAO"</f>
        <v>M_CAUCAO</v>
      </c>
      <c r="G3284" s="2" t="str">
        <f>"MVSaude / Atendimento / Autorizações de Guias / Internação / Atendimento / Depósito de Pagamento Antecipado / Manutenção (M_CAUCAO)"</f>
        <v>MVSaude / Atendimento / Autorizações de Guias / Internação / Atendimento / Depósito de Pagamento Antecipado / Manutenção (M_CAUCAO)</v>
      </c>
    </row>
    <row r="3285" spans="1:7" x14ac:dyDescent="0.3">
      <c r="A3285" s="1" t="s">
        <v>4</v>
      </c>
      <c r="B3285" s="2" t="str">
        <f t="shared" si="282"/>
        <v>CONTROLE DO CAIXA</v>
      </c>
      <c r="C3285" s="2" t="str">
        <f t="shared" si="280"/>
        <v>FINAN</v>
      </c>
      <c r="D3285" s="2" t="str">
        <f t="shared" si="283"/>
        <v>FNCC</v>
      </c>
      <c r="E3285" s="2" t="str">
        <f>"MANUTENÇÃO DE CAUÇÃO"</f>
        <v>MANUTENÇÃO DE CAUÇÃO</v>
      </c>
      <c r="F3285" s="2" t="str">
        <f>"M_CAUCAO"</f>
        <v>M_CAUCAO</v>
      </c>
      <c r="G3285" s="2" t="str">
        <f>"Controladoria / Caixa / Caixa / Manutenção Depósito Antecipado (M_CAUCAO)"</f>
        <v>Controladoria / Caixa / Caixa / Manutenção Depósito Antecipado (M_CAUCAO)</v>
      </c>
    </row>
    <row r="3286" spans="1:7" x14ac:dyDescent="0.3">
      <c r="A3286" s="1" t="s">
        <v>4</v>
      </c>
      <c r="B3286" s="2" t="str">
        <f t="shared" si="282"/>
        <v>CONTROLE DO CAIXA</v>
      </c>
      <c r="C3286" s="2" t="str">
        <f t="shared" si="280"/>
        <v>FINAN</v>
      </c>
      <c r="D3286" s="2" t="str">
        <f t="shared" si="283"/>
        <v>FNCC</v>
      </c>
      <c r="E3286" s="2" t="str">
        <f>"MANUTENÇÃO DE CAUÇÃO"</f>
        <v>MANUTENÇÃO DE CAUÇÃO</v>
      </c>
      <c r="F3286" s="2" t="str">
        <f>"M_CAUCAO"</f>
        <v>M_CAUCAO</v>
      </c>
      <c r="G3286" s="2" t="str">
        <f>"Atendimento / Internação / Atendimento / Depósito de Pagamento Antecipado / Manutenção Depósito Antecipado (M_CAUCAO)"</f>
        <v>Atendimento / Internação / Atendimento / Depósito de Pagamento Antecipado / Manutenção Depósito Antecipado (M_CAUCAO)</v>
      </c>
    </row>
    <row r="3287" spans="1:7" x14ac:dyDescent="0.3">
      <c r="A3287" s="1" t="s">
        <v>4</v>
      </c>
      <c r="B3287" s="2" t="str">
        <f t="shared" si="282"/>
        <v>CONTROLE DO CAIXA</v>
      </c>
      <c r="C3287" s="2" t="str">
        <f t="shared" si="280"/>
        <v>FINAN</v>
      </c>
      <c r="D3287" s="2" t="str">
        <f t="shared" si="283"/>
        <v>FNCC</v>
      </c>
      <c r="E3287" s="2" t="str">
        <f>"MANUTENÇÃO DE CAUÇÃO"</f>
        <v>MANUTENÇÃO DE CAUÇÃO</v>
      </c>
      <c r="F3287" s="2" t="str">
        <f>"M_CAUCAO"</f>
        <v>M_CAUCAO</v>
      </c>
      <c r="G3287" s="2" t="str">
        <f>"Outros / Fusam / Atendimentos / Manutenção de Caução (M_CAUCAO)"</f>
        <v>Outros / Fusam / Atendimentos / Manutenção de Caução (M_CAUCAO)</v>
      </c>
    </row>
    <row r="3288" spans="1:7" x14ac:dyDescent="0.3">
      <c r="A3288" s="1" t="s">
        <v>4</v>
      </c>
      <c r="B3288" s="2" t="str">
        <f t="shared" si="282"/>
        <v>CONTROLE DO CAIXA</v>
      </c>
      <c r="C3288" s="2" t="str">
        <f t="shared" si="280"/>
        <v>FINAN</v>
      </c>
      <c r="D3288" s="2" t="str">
        <f t="shared" si="283"/>
        <v>FNCC</v>
      </c>
      <c r="E3288" s="2" t="str">
        <f>"MANUTENÇÃO DE CAUÇÃO"</f>
        <v>MANUTENÇÃO DE CAUÇÃO</v>
      </c>
      <c r="F3288" s="2" t="str">
        <f>"M_CAUCAO"</f>
        <v>M_CAUCAO</v>
      </c>
      <c r="G3288" s="2" t="str">
        <f>"MVSaude / Vendas / Internação / Atendimento / Depósito de Pagamento Antecipado / Manutenção (M_CAUCAO)"</f>
        <v>MVSaude / Vendas / Internação / Atendimento / Depósito de Pagamento Antecipado / Manutenção (M_CAUCAO)</v>
      </c>
    </row>
    <row r="3289" spans="1:7" x14ac:dyDescent="0.3">
      <c r="A3289" s="1" t="s">
        <v>4</v>
      </c>
      <c r="B3289" s="2" t="str">
        <f t="shared" si="282"/>
        <v>CONTROLE DO CAIXA</v>
      </c>
      <c r="C3289" s="2" t="str">
        <f t="shared" si="280"/>
        <v>FINAN</v>
      </c>
      <c r="D3289" s="2" t="str">
        <f t="shared" si="283"/>
        <v>FNCC</v>
      </c>
      <c r="E3289" s="2" t="str">
        <f>"CADASTRO: TIPOS DE APLICAÇÃO"</f>
        <v>CADASTRO: TIPOS DE APLICAÇÃO</v>
      </c>
      <c r="F3289" s="2" t="str">
        <f>"C_RESP_DOC"</f>
        <v>C_RESP_DOC</v>
      </c>
      <c r="G3289" s="2" t="str">
        <f>"Controladoria / Caixa / Consulta / Docum. Por Responsável (C_RESP_DOC)"</f>
        <v>Controladoria / Caixa / Consulta / Docum. Por Responsável (C_RESP_DOC)</v>
      </c>
    </row>
    <row r="3290" spans="1:7" x14ac:dyDescent="0.3">
      <c r="A3290" s="1" t="s">
        <v>4</v>
      </c>
      <c r="B3290" s="2" t="str">
        <f t="shared" si="282"/>
        <v>CONTROLE DO CAIXA</v>
      </c>
      <c r="C3290" s="2" t="str">
        <f t="shared" si="280"/>
        <v>FINAN</v>
      </c>
      <c r="D3290" s="2" t="str">
        <f t="shared" si="283"/>
        <v>FNCC</v>
      </c>
      <c r="E3290" s="2" t="str">
        <f>"CADASTRO: CONFIGURAÇÃO DO CAIXA"</f>
        <v>CADASTRO: CONFIGURAÇÃO DO CAIXA</v>
      </c>
      <c r="F3290" s="2" t="str">
        <f>"CONFIG_CAIXA"</f>
        <v>CONFIG_CAIXA</v>
      </c>
      <c r="G3290" s="2" t="str">
        <f>"Controladoria / Caixa / Configuração / Configuração do Caixa (CONFIG_CAIXA)"</f>
        <v>Controladoria / Caixa / Configuração / Configuração do Caixa (CONFIG_CAIXA)</v>
      </c>
    </row>
    <row r="3291" spans="1:7" x14ac:dyDescent="0.3">
      <c r="A3291" s="1" t="s">
        <v>4</v>
      </c>
      <c r="B3291" s="2" t="str">
        <f t="shared" si="282"/>
        <v>CONTROLE DO CAIXA</v>
      </c>
      <c r="C3291" s="2" t="str">
        <f t="shared" si="280"/>
        <v>FINAN</v>
      </c>
      <c r="D3291" s="2" t="str">
        <f t="shared" si="283"/>
        <v>FNCC</v>
      </c>
      <c r="E3291" s="2" t="str">
        <f>"CADASTRO: TIPOS DE APLICAÇÃO"</f>
        <v>CADASTRO: TIPOS DE APLICAÇÃO</v>
      </c>
      <c r="F3291" s="2" t="str">
        <f>"M_RESPONSAVEL"</f>
        <v>M_RESPONSAVEL</v>
      </c>
      <c r="G3291" s="2" t="str">
        <f>"Controladoria / Caixa / Tabelas / Responsáveis (M_RESPONSAVEL)"</f>
        <v>Controladoria / Caixa / Tabelas / Responsáveis (M_RESPONSAVEL)</v>
      </c>
    </row>
    <row r="3292" spans="1:7" x14ac:dyDescent="0.3">
      <c r="A3292" s="1" t="s">
        <v>4</v>
      </c>
      <c r="B3292" s="2" t="str">
        <f t="shared" si="282"/>
        <v>CONTROLE DO CAIXA</v>
      </c>
      <c r="C3292" s="2" t="str">
        <f t="shared" si="280"/>
        <v>FINAN</v>
      </c>
      <c r="D3292" s="2" t="str">
        <f t="shared" si="283"/>
        <v>FNCC</v>
      </c>
      <c r="E3292" s="2" t="str">
        <f>"RELATÓRIOS GERENCIAIS"</f>
        <v>RELATÓRIOS GERENCIAIS</v>
      </c>
      <c r="F3292" s="2" t="str">
        <f>"R_CON_RECEB_FNCC"</f>
        <v>R_CON_RECEB_FNCC</v>
      </c>
      <c r="G3292" s="2" t="str">
        <f>"Controladoria / Caixa / Relatórios / Gerenciais (R_CON_RECEB_FNCC)"</f>
        <v>Controladoria / Caixa / Relatórios / Gerenciais (R_CON_RECEB_FNCC)</v>
      </c>
    </row>
    <row r="3293" spans="1:7" x14ac:dyDescent="0.3">
      <c r="A3293" s="1" t="s">
        <v>4</v>
      </c>
      <c r="B3293" s="2" t="str">
        <f t="shared" si="282"/>
        <v>CONTROLE DO CAIXA</v>
      </c>
      <c r="C3293" s="2" t="str">
        <f t="shared" si="280"/>
        <v>FINAN</v>
      </c>
      <c r="D3293" s="2" t="str">
        <f t="shared" si="283"/>
        <v>FNCC</v>
      </c>
      <c r="E3293" s="2" t="str">
        <f>"CAIXAS ABERTOS - HOSPITAL MV SISTEMAS"</f>
        <v>CAIXAS ABERTOS - HOSPITAL MV SISTEMAS</v>
      </c>
      <c r="F3293" s="2" t="str">
        <f>"M_OCORRENCIA"</f>
        <v>M_OCORRENCIA</v>
      </c>
      <c r="G3293" s="2" t="str">
        <f>" ()"</f>
        <v xml:space="preserve"> ()</v>
      </c>
    </row>
    <row r="3294" spans="1:7" x14ac:dyDescent="0.3">
      <c r="A3294" s="1" t="s">
        <v>4</v>
      </c>
      <c r="B3294" s="2" t="str">
        <f t="shared" si="282"/>
        <v>CONTROLE DO CAIXA</v>
      </c>
      <c r="C3294" s="2" t="str">
        <f t="shared" si="280"/>
        <v>FINAN</v>
      </c>
      <c r="D3294" s="2" t="str">
        <f t="shared" si="283"/>
        <v>FNCC</v>
      </c>
      <c r="E3294" s="2" t="str">
        <f>"CANCELAMENTO DE MOVIMENTAÇÕES DE CAIXA"</f>
        <v>CANCELAMENTO DE MOVIMENTAÇÕES DE CAIXA</v>
      </c>
      <c r="F3294" s="2" t="str">
        <f>"O_CANC_TROCA_ESPECIE_DOC"</f>
        <v>O_CANC_TROCA_ESPECIE_DOC</v>
      </c>
      <c r="G3294" s="2" t="str">
        <f>"Controladoria / Caixa / Documentos / Cancelamento de Troca de Espécie (O_CANC_TROCA_ESPECIE_DOC)"</f>
        <v>Controladoria / Caixa / Documentos / Cancelamento de Troca de Espécie (O_CANC_TROCA_ESPECIE_DOC)</v>
      </c>
    </row>
    <row r="3295" spans="1:7" x14ac:dyDescent="0.3">
      <c r="A3295" s="1" t="s">
        <v>4</v>
      </c>
      <c r="B3295" s="2" t="str">
        <f t="shared" si="282"/>
        <v>CONTROLE DO CAIXA</v>
      </c>
      <c r="C3295" s="2" t="str">
        <f t="shared" si="280"/>
        <v>FINAN</v>
      </c>
      <c r="D3295" s="2" t="str">
        <f t="shared" si="283"/>
        <v>FNCC</v>
      </c>
      <c r="E3295" s="2" t="str">
        <f>"CANCELAMENTO DE MOVIMENTAÇÕES DE CAIXA"</f>
        <v>CANCELAMENTO DE MOVIMENTAÇÕES DE CAIXA</v>
      </c>
      <c r="F3295" s="2" t="str">
        <f>"O_TROCA_ESPECIE_DOC"</f>
        <v>O_TROCA_ESPECIE_DOC</v>
      </c>
      <c r="G3295" s="2" t="str">
        <f>"Controladoria / Caixa / Documentos / Troca de Espécie (O_TROCA_ESPECIE_DOC)"</f>
        <v>Controladoria / Caixa / Documentos / Troca de Espécie (O_TROCA_ESPECIE_DOC)</v>
      </c>
    </row>
    <row r="3296" spans="1:7" x14ac:dyDescent="0.3">
      <c r="A3296" s="1" t="s">
        <v>4</v>
      </c>
      <c r="B3296" s="2" t="str">
        <f t="shared" si="282"/>
        <v>CONTROLE DO CAIXA</v>
      </c>
      <c r="C3296" s="2" t="str">
        <f t="shared" si="280"/>
        <v>FINAN</v>
      </c>
      <c r="D3296" s="2" t="str">
        <f t="shared" si="283"/>
        <v>FNCC</v>
      </c>
      <c r="E3296" s="2" t="str">
        <f>"RELATÓRIO DE CHEQUES DEVOLVIDOS"</f>
        <v>RELATÓRIO DE CHEQUES DEVOLVIDOS</v>
      </c>
      <c r="F3296" s="2" t="str">
        <f>"R_CON_RECEB_CHQDEV"</f>
        <v>R_CON_RECEB_CHQDEV</v>
      </c>
      <c r="G3296" s="2" t="str">
        <f>"Controladoria / Tesouraria / Relatórios / Caixa / Cheques Devolvidos (R_CON_RECEB_CHQDEV)"</f>
        <v>Controladoria / Tesouraria / Relatórios / Caixa / Cheques Devolvidos (R_CON_RECEB_CHQDEV)</v>
      </c>
    </row>
    <row r="3297" spans="1:7" x14ac:dyDescent="0.3">
      <c r="A3297" s="1" t="s">
        <v>4</v>
      </c>
      <c r="B3297" s="2" t="str">
        <f t="shared" si="282"/>
        <v>CONTROLE DO CAIXA</v>
      </c>
      <c r="C3297" s="2" t="str">
        <f t="shared" si="280"/>
        <v>FINAN</v>
      </c>
      <c r="D3297" s="2" t="str">
        <f t="shared" si="283"/>
        <v>FNCC</v>
      </c>
      <c r="E3297" s="2" t="str">
        <f>"RELATÓRIO DE CHEQUES DEVOLVIDOS"</f>
        <v>RELATÓRIO DE CHEQUES DEVOLVIDOS</v>
      </c>
      <c r="F3297" s="2" t="str">
        <f>"R_CON_RECEB_CHQDEV"</f>
        <v>R_CON_RECEB_CHQDEV</v>
      </c>
      <c r="G3297" s="2" t="str">
        <f>"Controladoria / Caixa / Relatórios / Cheques Devolvidos (R_CON_RECEB_CHQDEV)"</f>
        <v>Controladoria / Caixa / Relatórios / Cheques Devolvidos (R_CON_RECEB_CHQDEV)</v>
      </c>
    </row>
    <row r="3298" spans="1:7" x14ac:dyDescent="0.3">
      <c r="A3298" s="1" t="s">
        <v>4</v>
      </c>
      <c r="B3298" s="2" t="str">
        <f t="shared" si="282"/>
        <v>CONTROLE DO CAIXA</v>
      </c>
      <c r="C3298" s="2" t="str">
        <f t="shared" si="280"/>
        <v>FINAN</v>
      </c>
      <c r="D3298" s="2" t="str">
        <f t="shared" si="283"/>
        <v>FNCC</v>
      </c>
      <c r="E3298" s="2" t="str">
        <f>"MOTIVOS DE LAÇAMENTOS"</f>
        <v>MOTIVOS DE LAÇAMENTOS</v>
      </c>
      <c r="F3298" s="2" t="str">
        <f>"M_MOTIVO_DEV"</f>
        <v>M_MOTIVO_DEV</v>
      </c>
      <c r="G3298" s="2" t="str">
        <f>"Controladoria / Caixa / Tabelas / Motivos Devolução Cheques (M_MOTIVO_DEV)"</f>
        <v>Controladoria / Caixa / Tabelas / Motivos Devolução Cheques (M_MOTIVO_DEV)</v>
      </c>
    </row>
    <row r="3299" spans="1:7" x14ac:dyDescent="0.3">
      <c r="A3299" s="1" t="s">
        <v>4</v>
      </c>
      <c r="B3299" s="2" t="str">
        <f t="shared" si="282"/>
        <v>CONTROLE DO CAIXA</v>
      </c>
      <c r="C3299" s="2" t="str">
        <f t="shared" si="280"/>
        <v>FINAN</v>
      </c>
      <c r="D3299" s="2" t="str">
        <f t="shared" si="283"/>
        <v>FNCC</v>
      </c>
      <c r="E3299" s="2" t="str">
        <f>"R_ETIQUETAS_ATENDIMENTO756"</f>
        <v>R_ETIQUETAS_ATENDIMENTO756</v>
      </c>
      <c r="F3299" s="2" t="str">
        <f>"R_ETIQUETAS_ATENDIMENTO75"</f>
        <v>R_ETIQUETAS_ATENDIMENTO75</v>
      </c>
      <c r="G3299" s="2" t="str">
        <f>" ()"</f>
        <v xml:space="preserve"> ()</v>
      </c>
    </row>
    <row r="3300" spans="1:7" x14ac:dyDescent="0.3">
      <c r="A3300" s="1" t="s">
        <v>4</v>
      </c>
      <c r="B3300" s="2" t="str">
        <f t="shared" si="282"/>
        <v>CONTROLE DO CAIXA</v>
      </c>
      <c r="C3300" s="2" t="str">
        <f t="shared" si="280"/>
        <v>FINAN</v>
      </c>
      <c r="D3300" s="2" t="str">
        <f t="shared" si="283"/>
        <v>FNCC</v>
      </c>
      <c r="E3300" s="2" t="str">
        <f>"USUARIO DOS CAIXAS"</f>
        <v>USUARIO DOS CAIXAS</v>
      </c>
      <c r="F3300" s="2" t="str">
        <f>"M_USUARIO_CAIXA"</f>
        <v>M_USUARIO_CAIXA</v>
      </c>
      <c r="G3300" s="2" t="str">
        <f>"MVSaude / Vendas / Internação / Tabelas / Usuário X Caixa (M_USUARIO_CAIXA)"</f>
        <v>MVSaude / Vendas / Internação / Tabelas / Usuário X Caixa (M_USUARIO_CAIXA)</v>
      </c>
    </row>
    <row r="3301" spans="1:7" x14ac:dyDescent="0.3">
      <c r="A3301" s="1" t="s">
        <v>4</v>
      </c>
      <c r="B3301" s="2" t="str">
        <f t="shared" si="282"/>
        <v>CONTROLE DO CAIXA</v>
      </c>
      <c r="C3301" s="2" t="str">
        <f t="shared" si="280"/>
        <v>FINAN</v>
      </c>
      <c r="D3301" s="2" t="str">
        <f t="shared" si="283"/>
        <v>FNCC</v>
      </c>
      <c r="E3301" s="2" t="str">
        <f>"USUARIO DOS CAIXAS"</f>
        <v>USUARIO DOS CAIXAS</v>
      </c>
      <c r="F3301" s="2" t="str">
        <f>"M_USUARIO_CAIXA"</f>
        <v>M_USUARIO_CAIXA</v>
      </c>
      <c r="G3301" s="2" t="str">
        <f>"MVSaude / Atendimento / Autorizações de Guias / Internação / Tabelas / Usuário X Caixa (M_USUARIO_CAIXA)"</f>
        <v>MVSaude / Atendimento / Autorizações de Guias / Internação / Tabelas / Usuário X Caixa (M_USUARIO_CAIXA)</v>
      </c>
    </row>
    <row r="3302" spans="1:7" x14ac:dyDescent="0.3">
      <c r="A3302" s="1" t="s">
        <v>4</v>
      </c>
      <c r="B3302" s="2" t="str">
        <f t="shared" si="282"/>
        <v>CONTROLE DO CAIXA</v>
      </c>
      <c r="C3302" s="2" t="str">
        <f t="shared" si="280"/>
        <v>FINAN</v>
      </c>
      <c r="D3302" s="2" t="str">
        <f t="shared" si="283"/>
        <v>FNCC</v>
      </c>
      <c r="E3302" s="2" t="str">
        <f>"USUARIO DOS CAIXAS"</f>
        <v>USUARIO DOS CAIXAS</v>
      </c>
      <c r="F3302" s="2" t="str">
        <f>"M_USUARIO_CAIXA"</f>
        <v>M_USUARIO_CAIXA</v>
      </c>
      <c r="G3302" s="2" t="str">
        <f>"Apoio a TI / Gestão de Usuários / Configurações de Acesso / Acessos Controladoria / Usuário X caixa (M_USUARIO_CAIXA)"</f>
        <v>Apoio a TI / Gestão de Usuários / Configurações de Acesso / Acessos Controladoria / Usuário X caixa (M_USUARIO_CAIXA)</v>
      </c>
    </row>
    <row r="3303" spans="1:7" x14ac:dyDescent="0.3">
      <c r="A3303" s="1" t="s">
        <v>4</v>
      </c>
      <c r="B3303" s="2" t="str">
        <f t="shared" si="282"/>
        <v>CONTROLE DO CAIXA</v>
      </c>
      <c r="C3303" s="2" t="str">
        <f t="shared" si="280"/>
        <v>FINAN</v>
      </c>
      <c r="D3303" s="2" t="str">
        <f t="shared" si="283"/>
        <v>FNCC</v>
      </c>
      <c r="E3303" s="2" t="str">
        <f>"USUARIO DOS CAIXAS"</f>
        <v>USUARIO DOS CAIXAS</v>
      </c>
      <c r="F3303" s="2" t="str">
        <f>"M_USUARIO_CAIXA"</f>
        <v>M_USUARIO_CAIXA</v>
      </c>
      <c r="G3303" s="2" t="str">
        <f>"Atendimento / Internação Domiciliar (Home Care) / Tabelas / Usuário X Caixa (M_USUARIO_CAIXA)"</f>
        <v>Atendimento / Internação Domiciliar (Home Care) / Tabelas / Usuário X Caixa (M_USUARIO_CAIXA)</v>
      </c>
    </row>
    <row r="3304" spans="1:7" x14ac:dyDescent="0.3">
      <c r="A3304" s="1" t="s">
        <v>4</v>
      </c>
      <c r="B3304" s="2" t="str">
        <f t="shared" si="282"/>
        <v>CONTROLE DO CAIXA</v>
      </c>
      <c r="C3304" s="2" t="str">
        <f t="shared" si="280"/>
        <v>FINAN</v>
      </c>
      <c r="D3304" s="2" t="str">
        <f t="shared" si="283"/>
        <v>FNCC</v>
      </c>
      <c r="E3304" s="2" t="str">
        <f>"GERAR LOTE DE CARTÃO DE CRÉDITO"</f>
        <v>GERAR LOTE DE CARTÃO DE CRÉDITO</v>
      </c>
      <c r="F3304" s="2" t="str">
        <f>"O_GERA_LOTE_CARTAO"</f>
        <v>O_GERA_LOTE_CARTAO</v>
      </c>
      <c r="G3304" s="2" t="str">
        <f>" ()"</f>
        <v xml:space="preserve"> ()</v>
      </c>
    </row>
    <row r="3305" spans="1:7" x14ac:dyDescent="0.3">
      <c r="A3305" s="1" t="s">
        <v>4</v>
      </c>
      <c r="B3305" s="2" t="str">
        <f t="shared" si="282"/>
        <v>CONTROLE DO CAIXA</v>
      </c>
      <c r="C3305" s="2" t="str">
        <f t="shared" si="280"/>
        <v>FINAN</v>
      </c>
      <c r="D3305" s="2" t="str">
        <f t="shared" si="283"/>
        <v>FNCC</v>
      </c>
      <c r="E3305" s="2" t="str">
        <f>"GERA DEPÓSITO DE CHEQUES"</f>
        <v>GERA DEPÓSITO DE CHEQUES</v>
      </c>
      <c r="F3305" s="2" t="str">
        <f>"O_DEP_CHEQUE"</f>
        <v>O_DEP_CHEQUE</v>
      </c>
      <c r="G3305" s="2" t="str">
        <f>" ()"</f>
        <v xml:space="preserve"> ()</v>
      </c>
    </row>
    <row r="3306" spans="1:7" x14ac:dyDescent="0.3">
      <c r="A3306" s="1" t="s">
        <v>4</v>
      </c>
      <c r="B3306" s="2" t="str">
        <f t="shared" si="282"/>
        <v>CONTROLE DO CAIXA</v>
      </c>
      <c r="C3306" s="2" t="str">
        <f t="shared" si="280"/>
        <v>FINAN</v>
      </c>
      <c r="D3306" s="2" t="str">
        <f t="shared" si="283"/>
        <v>FNCC</v>
      </c>
      <c r="E3306" s="2" t="str">
        <f>"TRANFERÊNCIA ENTRE CAIXAS"</f>
        <v>TRANFERÊNCIA ENTRE CAIXAS</v>
      </c>
      <c r="F3306" s="2" t="str">
        <f>"O_TRAN_CAIXA"</f>
        <v>O_TRAN_CAIXA</v>
      </c>
      <c r="G3306" s="2" t="str">
        <f>" ()"</f>
        <v xml:space="preserve"> ()</v>
      </c>
    </row>
    <row r="3307" spans="1:7" x14ac:dyDescent="0.3">
      <c r="A3307" s="1" t="s">
        <v>4</v>
      </c>
      <c r="B3307" s="2" t="str">
        <f t="shared" si="282"/>
        <v>CONTROLE DO CAIXA</v>
      </c>
      <c r="C3307" s="2" t="str">
        <f t="shared" si="280"/>
        <v>FINAN</v>
      </c>
      <c r="D3307" s="2" t="str">
        <f t="shared" si="283"/>
        <v>FNCC</v>
      </c>
      <c r="E3307" s="2" t="str">
        <f>"FECHAMENTO DO CAIXA"</f>
        <v>FECHAMENTO DO CAIXA</v>
      </c>
      <c r="F3307" s="2" t="str">
        <f>"O_FECHA_CAIXA"</f>
        <v>O_FECHA_CAIXA</v>
      </c>
      <c r="G3307" s="2" t="str">
        <f>" ()"</f>
        <v xml:space="preserve"> ()</v>
      </c>
    </row>
    <row r="3308" spans="1:7" x14ac:dyDescent="0.3">
      <c r="A3308" s="1" t="s">
        <v>4</v>
      </c>
      <c r="B3308" s="2" t="str">
        <f t="shared" si="282"/>
        <v>CONTROLE DO CAIXA</v>
      </c>
      <c r="C3308" s="2" t="str">
        <f t="shared" si="280"/>
        <v>FINAN</v>
      </c>
      <c r="D3308" s="2" t="str">
        <f t="shared" si="283"/>
        <v>FNCC</v>
      </c>
      <c r="E3308" s="2" t="str">
        <f>"ABERTURA DE CAIXA"</f>
        <v>ABERTURA DE CAIXA</v>
      </c>
      <c r="F3308" s="2" t="str">
        <f>"O_ABERT_CAIXA"</f>
        <v>O_ABERT_CAIXA</v>
      </c>
      <c r="G3308" s="2" t="str">
        <f>" ()"</f>
        <v xml:space="preserve"> ()</v>
      </c>
    </row>
    <row r="3309" spans="1:7" x14ac:dyDescent="0.3">
      <c r="A3309" s="1" t="s">
        <v>4</v>
      </c>
      <c r="B3309" s="2" t="str">
        <f t="shared" si="282"/>
        <v>CONTROLE DO CAIXA</v>
      </c>
      <c r="C3309" s="2" t="str">
        <f t="shared" si="280"/>
        <v>FINAN</v>
      </c>
      <c r="D3309" s="2" t="str">
        <f t="shared" si="283"/>
        <v>FNCC</v>
      </c>
      <c r="E3309" s="2" t="str">
        <f>"CADASTRO DE CAIXA"</f>
        <v>CADASTRO DE CAIXA</v>
      </c>
      <c r="F3309" s="2" t="str">
        <f>"M_CAIXA"</f>
        <v>M_CAIXA</v>
      </c>
      <c r="G3309" s="2" t="str">
        <f>"MVSaude / Vendas / Internação / Tabelas / Caixa (M_CAIXA)"</f>
        <v>MVSaude / Vendas / Internação / Tabelas / Caixa (M_CAIXA)</v>
      </c>
    </row>
    <row r="3310" spans="1:7" x14ac:dyDescent="0.3">
      <c r="A3310" s="1" t="s">
        <v>4</v>
      </c>
      <c r="B3310" s="2" t="str">
        <f t="shared" si="282"/>
        <v>CONTROLE DO CAIXA</v>
      </c>
      <c r="C3310" s="2" t="str">
        <f t="shared" si="280"/>
        <v>FINAN</v>
      </c>
      <c r="D3310" s="2" t="str">
        <f t="shared" si="283"/>
        <v>FNCC</v>
      </c>
      <c r="E3310" s="2" t="str">
        <f>"CADASTRO DE CAIXA"</f>
        <v>CADASTRO DE CAIXA</v>
      </c>
      <c r="F3310" s="2" t="str">
        <f>"M_CAIXA"</f>
        <v>M_CAIXA</v>
      </c>
      <c r="G3310" s="2" t="str">
        <f>"MVSaude / Atendimento / Autorizações de Guias / Internação / Tabelas / Caixa (M_CAIXA)"</f>
        <v>MVSaude / Atendimento / Autorizações de Guias / Internação / Tabelas / Caixa (M_CAIXA)</v>
      </c>
    </row>
    <row r="3311" spans="1:7" x14ac:dyDescent="0.3">
      <c r="A3311" s="1" t="s">
        <v>4</v>
      </c>
      <c r="B3311" s="2" t="str">
        <f t="shared" si="282"/>
        <v>CONTROLE DO CAIXA</v>
      </c>
      <c r="C3311" s="2" t="str">
        <f t="shared" si="280"/>
        <v>FINAN</v>
      </c>
      <c r="D3311" s="2" t="str">
        <f t="shared" si="283"/>
        <v>FNCC</v>
      </c>
      <c r="E3311" s="2" t="str">
        <f>"CADASTRO DE CAIXA"</f>
        <v>CADASTRO DE CAIXA</v>
      </c>
      <c r="F3311" s="2" t="str">
        <f>"M_CAIXA"</f>
        <v>M_CAIXA</v>
      </c>
      <c r="G3311" s="2" t="str">
        <f>"Apoio a TI / Gestão de Usuários / Configurações de Acesso / Acessos Controladoria / Cadastro de Caixa X Usuários (M_CAIXA)"</f>
        <v>Apoio a TI / Gestão de Usuários / Configurações de Acesso / Acessos Controladoria / Cadastro de Caixa X Usuários (M_CAIXA)</v>
      </c>
    </row>
    <row r="3312" spans="1:7" x14ac:dyDescent="0.3">
      <c r="A3312" s="1" t="s">
        <v>4</v>
      </c>
      <c r="B3312" s="2" t="str">
        <f t="shared" si="282"/>
        <v>CONTROLE DO CAIXA</v>
      </c>
      <c r="C3312" s="2" t="str">
        <f t="shared" si="280"/>
        <v>FINAN</v>
      </c>
      <c r="D3312" s="2" t="str">
        <f t="shared" si="283"/>
        <v>FNCC</v>
      </c>
      <c r="E3312" s="2" t="str">
        <f>"CADASTRO DE CAIXA"</f>
        <v>CADASTRO DE CAIXA</v>
      </c>
      <c r="F3312" s="2" t="str">
        <f>"M_CAIXA"</f>
        <v>M_CAIXA</v>
      </c>
      <c r="G3312" s="2" t="str">
        <f>"Atendimento / Internação Domiciliar (Home Care) / Tabelas / Caixa (M_CAIXA)"</f>
        <v>Atendimento / Internação Domiciliar (Home Care) / Tabelas / Caixa (M_CAIXA)</v>
      </c>
    </row>
    <row r="3313" spans="1:7" x14ac:dyDescent="0.3">
      <c r="A3313" s="1" t="s">
        <v>4</v>
      </c>
      <c r="B3313" s="2" t="str">
        <f t="shared" si="282"/>
        <v>CONTROLE DO CAIXA</v>
      </c>
      <c r="C3313" s="2" t="str">
        <f t="shared" si="280"/>
        <v>FINAN</v>
      </c>
      <c r="D3313" s="2" t="str">
        <f t="shared" si="283"/>
        <v>FNCC</v>
      </c>
      <c r="E3313" s="2" t="str">
        <f>"CADASTRO DE LANÇAMENTO DE CAIXA"</f>
        <v>CADASTRO DE LANÇAMENTO DE CAIXA</v>
      </c>
      <c r="F3313" s="2" t="str">
        <f>"M_LAN_CAIXA"</f>
        <v>M_LAN_CAIXA</v>
      </c>
      <c r="G3313" s="2" t="str">
        <f>" ()"</f>
        <v xml:space="preserve"> ()</v>
      </c>
    </row>
    <row r="3314" spans="1:7" x14ac:dyDescent="0.3">
      <c r="A3314" s="1" t="s">
        <v>4</v>
      </c>
      <c r="B3314" s="2" t="str">
        <f t="shared" si="282"/>
        <v>CONTROLE DO CAIXA</v>
      </c>
      <c r="C3314" s="2" t="str">
        <f t="shared" si="280"/>
        <v>FINAN</v>
      </c>
      <c r="D3314" s="2" t="str">
        <f t="shared" si="283"/>
        <v>FNCC</v>
      </c>
      <c r="E3314" s="2" t="str">
        <f>"REL.COMPROV.RECEBIMENTO CAUÇÃO"</f>
        <v>REL.COMPROV.RECEBIMENTO CAUÇÃO</v>
      </c>
      <c r="F3314" s="2" t="str">
        <f>"R_RECEBECAUCAO"</f>
        <v>R_RECEBECAUCAO</v>
      </c>
      <c r="G3314" s="2" t="str">
        <f>" ()"</f>
        <v xml:space="preserve"> ()</v>
      </c>
    </row>
    <row r="3315" spans="1:7" x14ac:dyDescent="0.3">
      <c r="A3315" s="1" t="s">
        <v>4</v>
      </c>
      <c r="B3315" s="2" t="str">
        <f t="shared" si="282"/>
        <v>CONTROLE DO CAIXA</v>
      </c>
      <c r="C3315" s="2" t="str">
        <f t="shared" si="280"/>
        <v>FINAN</v>
      </c>
      <c r="D3315" s="2" t="str">
        <f t="shared" si="283"/>
        <v>FNCC</v>
      </c>
      <c r="E3315" s="2" t="str">
        <f>"RELATÓRIO DE CAUÇÃO PACIENTE E CONVÊNIO"</f>
        <v>RELATÓRIO DE CAUÇÃO PACIENTE E CONVÊNIO</v>
      </c>
      <c r="F3315" s="2" t="str">
        <f>"R_CAUCAO_CAIXA_PACIENTE_CONV"</f>
        <v>R_CAUCAO_CAIXA_PACIENTE_CONV</v>
      </c>
      <c r="G3315" s="2" t="str">
        <f>"Controladoria / Caixa / Relatórios / Depósito Antecipado / Paciente e Convênio (R_CAUCAO_CAIXA_PACIENTE_CONV)"</f>
        <v>Controladoria / Caixa / Relatórios / Depósito Antecipado / Paciente e Convênio (R_CAUCAO_CAIXA_PACIENTE_CONV)</v>
      </c>
    </row>
    <row r="3316" spans="1:7" x14ac:dyDescent="0.3">
      <c r="A3316" s="1" t="s">
        <v>4</v>
      </c>
      <c r="B3316" s="2" t="str">
        <f t="shared" si="282"/>
        <v>CONTROLE DO CAIXA</v>
      </c>
      <c r="C3316" s="2" t="str">
        <f t="shared" si="280"/>
        <v>FINAN</v>
      </c>
      <c r="D3316" s="2" t="str">
        <f t="shared" si="283"/>
        <v>FNCC</v>
      </c>
      <c r="E3316" s="2" t="str">
        <f>"REL. CONFERÊNCIA DE LOTES"</f>
        <v>REL. CONFERÊNCIA DE LOTES</v>
      </c>
      <c r="F3316" s="2" t="str">
        <f>"R_AUDITORIA_LOTE"</f>
        <v>R_AUDITORIA_LOTE</v>
      </c>
      <c r="G3316" s="2" t="str">
        <f>"Controladoria / Caixa / Relatórios / Auditoria / Conferencia de Lotes (R_AUDITORIA_LOTE)"</f>
        <v>Controladoria / Caixa / Relatórios / Auditoria / Conferencia de Lotes (R_AUDITORIA_LOTE)</v>
      </c>
    </row>
    <row r="3317" spans="1:7" x14ac:dyDescent="0.3">
      <c r="A3317" s="1" t="s">
        <v>4</v>
      </c>
      <c r="B3317" s="2" t="str">
        <f t="shared" si="282"/>
        <v>CONTROLE DO CAIXA</v>
      </c>
      <c r="C3317" s="2" t="str">
        <f t="shared" si="280"/>
        <v>FINAN</v>
      </c>
      <c r="D3317" s="2" t="str">
        <f t="shared" si="283"/>
        <v>FNCC</v>
      </c>
      <c r="E3317" s="2" t="str">
        <f>"REL. HIST. ABERTURA/REABERTURA DE LOTE"</f>
        <v>REL. HIST. ABERTURA/REABERTURA DE LOTE</v>
      </c>
      <c r="F3317" s="2" t="str">
        <f>"R_HISTORICO_LOTE"</f>
        <v>R_HISTORICO_LOTE</v>
      </c>
      <c r="G3317" s="2" t="str">
        <f>"Controladoria / Caixa / Relatórios / Histórico de Abertura/ Reabertura Lotes Caixa (R_HISTORICO_LOTE)"</f>
        <v>Controladoria / Caixa / Relatórios / Histórico de Abertura/ Reabertura Lotes Caixa (R_HISTORICO_LOTE)</v>
      </c>
    </row>
    <row r="3318" spans="1:7" x14ac:dyDescent="0.3">
      <c r="A3318" s="1" t="s">
        <v>4</v>
      </c>
      <c r="B3318" s="2" t="str">
        <f t="shared" si="282"/>
        <v>CONTROLE DO CAIXA</v>
      </c>
      <c r="C3318" s="2" t="str">
        <f t="shared" si="280"/>
        <v>FINAN</v>
      </c>
      <c r="D3318" s="2" t="str">
        <f t="shared" si="283"/>
        <v>FNCC</v>
      </c>
      <c r="E3318" s="2" t="str">
        <f>"WIN_PRINCIPAL"</f>
        <v>WIN_PRINCIPAL</v>
      </c>
      <c r="F3318" s="2" t="str">
        <f>"C_HISTORICO_LOTE"</f>
        <v>C_HISTORICO_LOTE</v>
      </c>
      <c r="G3318" s="2" t="str">
        <f>"Controladoria / Caixa / Consulta / Histórico de Abertura/ Reabertura Lotes Caixa (C_HISTORICO_LOTE)"</f>
        <v>Controladoria / Caixa / Consulta / Histórico de Abertura/ Reabertura Lotes Caixa (C_HISTORICO_LOTE)</v>
      </c>
    </row>
    <row r="3319" spans="1:7" x14ac:dyDescent="0.3">
      <c r="A3319" s="1" t="s">
        <v>4</v>
      </c>
      <c r="B3319" s="2" t="str">
        <f t="shared" si="282"/>
        <v>CONTROLE DO CAIXA</v>
      </c>
      <c r="C3319" s="2" t="str">
        <f t="shared" si="280"/>
        <v>FINAN</v>
      </c>
      <c r="D3319" s="2" t="str">
        <f t="shared" si="283"/>
        <v>FNCC</v>
      </c>
      <c r="E3319" s="2" t="str">
        <f>"REL. MOVIMENTAÇÕES POR MOTIVOS LANÇA."</f>
        <v>REL. MOVIMENTAÇÕES POR MOTIVOS LANÇA.</v>
      </c>
      <c r="F3319" s="2" t="str">
        <f>"R_APLICACAO_DIRETA_MOTIVO_LCTO"</f>
        <v>R_APLICACAO_DIRETA_MOTIVO_LCTO</v>
      </c>
      <c r="G3319" s="2" t="str">
        <f>"Controladoria / Caixa / Relatórios / Movimentações por Motivos de Lançamento (R_APLICACAO_DIRETA_MOTIVO_LCTO)"</f>
        <v>Controladoria / Caixa / Relatórios / Movimentações por Motivos de Lançamento (R_APLICACAO_DIRETA_MOTIVO_LCTO)</v>
      </c>
    </row>
    <row r="3320" spans="1:7" x14ac:dyDescent="0.3">
      <c r="A3320" s="1" t="s">
        <v>4</v>
      </c>
      <c r="B3320" s="2" t="str">
        <f t="shared" si="282"/>
        <v>CONTROLE DO CAIXA</v>
      </c>
      <c r="C3320" s="2" t="str">
        <f t="shared" si="280"/>
        <v>FINAN</v>
      </c>
      <c r="D3320" s="2" t="str">
        <f t="shared" si="283"/>
        <v>FNCC</v>
      </c>
      <c r="E3320" s="2" t="str">
        <f>"RELATÓRIO MOTIVOS DE LANÇAMENTOS"</f>
        <v>RELATÓRIO MOTIVOS DE LANÇAMENTOS</v>
      </c>
      <c r="F3320" s="2" t="str">
        <f>"R_MOTIVO_LCTO"</f>
        <v>R_MOTIVO_LCTO</v>
      </c>
      <c r="G3320" s="2" t="str">
        <f>"Controladoria / Caixa / Relatórios / Tabelas / Motivos de Lançamentos (R_MOTIVO_LCTO)"</f>
        <v>Controladoria / Caixa / Relatórios / Tabelas / Motivos de Lançamentos (R_MOTIVO_LCTO)</v>
      </c>
    </row>
    <row r="3321" spans="1:7" x14ac:dyDescent="0.3">
      <c r="A3321" s="1" t="s">
        <v>4</v>
      </c>
      <c r="B3321" s="2" t="str">
        <f t="shared" si="282"/>
        <v>CONTROLE DO CAIXA</v>
      </c>
      <c r="C3321" s="2" t="str">
        <f t="shared" si="280"/>
        <v>FINAN</v>
      </c>
      <c r="D3321" s="2" t="str">
        <f t="shared" si="283"/>
        <v>FNCC</v>
      </c>
      <c r="E3321" s="2" t="str">
        <f>"MOTIVOS DE LANÇAMENTO"</f>
        <v>MOTIVOS DE LANÇAMENTO</v>
      </c>
      <c r="F3321" s="2" t="str">
        <f>"M_MOTIVO_LCTO"</f>
        <v>M_MOTIVO_LCTO</v>
      </c>
      <c r="G3321" s="2" t="str">
        <f>"Controladoria / Caixa / Tabelas / Motivos de Lançamentos (M_MOTIVO_LCTO)"</f>
        <v>Controladoria / Caixa / Tabelas / Motivos de Lançamentos (M_MOTIVO_LCTO)</v>
      </c>
    </row>
    <row r="3322" spans="1:7" x14ac:dyDescent="0.3">
      <c r="A3322" s="1" t="s">
        <v>4</v>
      </c>
      <c r="B3322" s="2" t="str">
        <f t="shared" si="282"/>
        <v>CONTROLE DO CAIXA</v>
      </c>
      <c r="C3322" s="2" t="str">
        <f t="shared" si="280"/>
        <v>FINAN</v>
      </c>
      <c r="D3322" s="2" t="str">
        <f t="shared" si="283"/>
        <v>FNCC</v>
      </c>
      <c r="E3322" s="2" t="str">
        <f>"REL. RECIBOS EMITIDOS"</f>
        <v>REL. RECIBOS EMITIDOS</v>
      </c>
      <c r="F3322" s="2" t="str">
        <f>"R_RECIBOS_EMITIDOS"</f>
        <v>R_RECIBOS_EMITIDOS</v>
      </c>
      <c r="G3322" s="2" t="str">
        <f>"Controladoria / Caixa / Relatórios / Recibos Emitidos (R_RECIBOS_EMITIDOS)"</f>
        <v>Controladoria / Caixa / Relatórios / Recibos Emitidos (R_RECIBOS_EMITIDOS)</v>
      </c>
    </row>
    <row r="3323" spans="1:7" x14ac:dyDescent="0.3">
      <c r="A3323" s="1" t="s">
        <v>4</v>
      </c>
      <c r="B3323" s="2" t="str">
        <f t="shared" si="282"/>
        <v>CONTROLE DO CAIXA</v>
      </c>
      <c r="C3323" s="2" t="str">
        <f t="shared" si="280"/>
        <v>FINAN</v>
      </c>
      <c r="D3323" s="2" t="str">
        <f t="shared" si="283"/>
        <v>FNCC</v>
      </c>
      <c r="E3323" s="2" t="str">
        <f>"MANUTENÇÃO DE CONTRATO DE ADIANTAMENTO"</f>
        <v>MANUTENÇÃO DE CONTRATO DE ADIANTAMENTO</v>
      </c>
      <c r="F3323" s="2" t="str">
        <f>"M_CONTRATO_ADIANT_RECEB"</f>
        <v>M_CONTRATO_ADIANT_RECEB</v>
      </c>
      <c r="G3323" s="2" t="str">
        <f>"Controladoria / Caixa / Caixa / Manutenção de Contrato de Adiantamento (M_CONTRATO_ADIANT_RECEB)"</f>
        <v>Controladoria / Caixa / Caixa / Manutenção de Contrato de Adiantamento (M_CONTRATO_ADIANT_RECEB)</v>
      </c>
    </row>
    <row r="3324" spans="1:7" x14ac:dyDescent="0.3">
      <c r="A3324" s="1" t="s">
        <v>4</v>
      </c>
      <c r="B3324" s="2" t="str">
        <f t="shared" si="282"/>
        <v>CONTROLE DO CAIXA</v>
      </c>
      <c r="C3324" s="2" t="str">
        <f t="shared" si="280"/>
        <v>FINAN</v>
      </c>
      <c r="D3324" s="2" t="str">
        <f t="shared" si="283"/>
        <v>FNCC</v>
      </c>
      <c r="E3324" s="2" t="str">
        <f>"RELATÓRIO DE APLICAÇÕES DIRETAS"</f>
        <v>RELATÓRIO DE APLICAÇÕES DIRETAS</v>
      </c>
      <c r="F3324" s="2" t="str">
        <f>"R_APLICACAO_DIRETA"</f>
        <v>R_APLICACAO_DIRETA</v>
      </c>
      <c r="G3324" s="2" t="str">
        <f>"Controladoria / Caixa / Relatórios / Aplicações Diretas (R_APLICACAO_DIRETA)"</f>
        <v>Controladoria / Caixa / Relatórios / Aplicações Diretas (R_APLICACAO_DIRETA)</v>
      </c>
    </row>
    <row r="3325" spans="1:7" x14ac:dyDescent="0.3">
      <c r="A3325" s="1" t="s">
        <v>4</v>
      </c>
      <c r="B3325" s="2" t="str">
        <f t="shared" si="282"/>
        <v>CONTROLE DO CAIXA</v>
      </c>
      <c r="C3325" s="2" t="str">
        <f t="shared" ref="C3325:C3388" si="284">"FINAN"</f>
        <v>FINAN</v>
      </c>
      <c r="D3325" s="2" t="str">
        <f t="shared" si="283"/>
        <v>FNCC</v>
      </c>
      <c r="E3325" s="2" t="str">
        <f>"WIN_PRINCIPAL"</f>
        <v>WIN_PRINCIPAL</v>
      </c>
      <c r="F3325" s="2" t="str">
        <f>"O_IMP_MOV_CAIXA"</f>
        <v>O_IMP_MOV_CAIXA</v>
      </c>
      <c r="G3325" s="2" t="str">
        <f>"Controladoria / Caixa / Caixa / Movimentação / Importação de Aplicações Diretas (O_IMP_MOV_CAIXA)"</f>
        <v>Controladoria / Caixa / Caixa / Movimentação / Importação de Aplicações Diretas (O_IMP_MOV_CAIXA)</v>
      </c>
    </row>
    <row r="3326" spans="1:7" x14ac:dyDescent="0.3">
      <c r="A3326" s="1" t="s">
        <v>4</v>
      </c>
      <c r="B3326" s="2" t="str">
        <f t="shared" ref="B3326:B3332" si="285">"CONTROLE DO CAIXA"</f>
        <v>CONTROLE DO CAIXA</v>
      </c>
      <c r="C3326" s="2" t="str">
        <f t="shared" si="284"/>
        <v>FINAN</v>
      </c>
      <c r="D3326" s="2" t="str">
        <f t="shared" ref="D3326:D3332" si="286">"FNCC"</f>
        <v>FNCC</v>
      </c>
      <c r="E3326" s="2" t="str">
        <f>"FNCC"</f>
        <v>FNCC</v>
      </c>
      <c r="F3326" s="2" t="str">
        <f>"FNCC"</f>
        <v>FNCC</v>
      </c>
      <c r="G3326" s="2" t="str">
        <f>" ()"</f>
        <v xml:space="preserve"> ()</v>
      </c>
    </row>
    <row r="3327" spans="1:7" x14ac:dyDescent="0.3">
      <c r="A3327" s="1" t="s">
        <v>4</v>
      </c>
      <c r="B3327" s="2" t="str">
        <f t="shared" si="285"/>
        <v>CONTROLE DO CAIXA</v>
      </c>
      <c r="C3327" s="2" t="str">
        <f t="shared" si="284"/>
        <v>FINAN</v>
      </c>
      <c r="D3327" s="2" t="str">
        <f t="shared" si="286"/>
        <v>FNCC</v>
      </c>
      <c r="E3327" s="2" t="str">
        <f>"RELATÓRIO DE CAUÇÃO PACIENTE"</f>
        <v>RELATÓRIO DE CAUÇÃO PACIENTE</v>
      </c>
      <c r="F3327" s="2" t="str">
        <f>"R_CAUCAO_CAIXA_PACIENTE"</f>
        <v>R_CAUCAO_CAIXA_PACIENTE</v>
      </c>
      <c r="G3327" s="2" t="str">
        <f>"Controladoria / Caixa / Relatórios / Depósito Antecipado / Paciente (R_CAUCAO_CAIXA_PACIENTE)"</f>
        <v>Controladoria / Caixa / Relatórios / Depósito Antecipado / Paciente (R_CAUCAO_CAIXA_PACIENTE)</v>
      </c>
    </row>
    <row r="3328" spans="1:7" x14ac:dyDescent="0.3">
      <c r="A3328" s="1" t="s">
        <v>4</v>
      </c>
      <c r="B3328" s="2" t="str">
        <f t="shared" si="285"/>
        <v>CONTROLE DO CAIXA</v>
      </c>
      <c r="C3328" s="2" t="str">
        <f t="shared" si="284"/>
        <v>FINAN</v>
      </c>
      <c r="D3328" s="2" t="str">
        <f t="shared" si="286"/>
        <v>FNCC</v>
      </c>
      <c r="E3328" s="2" t="str">
        <f>"MANUTENÇÃO DEPOSITO ANTEC-CAIXA"</f>
        <v>MANUTENÇÃO DEPOSITO ANTEC-CAIXA</v>
      </c>
      <c r="F3328" s="2" t="str">
        <f>"M_CAUCAO_OUTROS"</f>
        <v>M_CAUCAO_OUTROS</v>
      </c>
      <c r="G3328" s="2" t="str">
        <f t="shared" ref="G3328:G3333" si="287">" ()"</f>
        <v xml:space="preserve"> ()</v>
      </c>
    </row>
    <row r="3329" spans="1:7" x14ac:dyDescent="0.3">
      <c r="A3329" s="1" t="s">
        <v>4</v>
      </c>
      <c r="B3329" s="2" t="str">
        <f t="shared" si="285"/>
        <v>CONTROLE DO CAIXA</v>
      </c>
      <c r="C3329" s="2" t="str">
        <f t="shared" si="284"/>
        <v>FINAN</v>
      </c>
      <c r="D3329" s="2" t="str">
        <f t="shared" si="286"/>
        <v>FNCC</v>
      </c>
      <c r="E3329" s="2" t="str">
        <f>"RELATÓRIO DE CHEQUES DEVOLVIDOS"</f>
        <v>RELATÓRIO DE CHEQUES DEVOLVIDOS</v>
      </c>
      <c r="F3329" s="2" t="str">
        <f>"R_CON_RECEB_CHQDEV.RDF"</f>
        <v>R_CON_RECEB_CHQDEV.RDF</v>
      </c>
      <c r="G3329" s="2" t="str">
        <f t="shared" si="287"/>
        <v xml:space="preserve"> ()</v>
      </c>
    </row>
    <row r="3330" spans="1:7" x14ac:dyDescent="0.3">
      <c r="A3330" s="1" t="s">
        <v>4</v>
      </c>
      <c r="B3330" s="2" t="str">
        <f t="shared" si="285"/>
        <v>CONTROLE DO CAIXA</v>
      </c>
      <c r="C3330" s="2" t="str">
        <f t="shared" si="284"/>
        <v>FINAN</v>
      </c>
      <c r="D3330" s="2" t="str">
        <f t="shared" si="286"/>
        <v>FNCC</v>
      </c>
      <c r="E3330" s="2" t="str">
        <f>"REL. EXTRATO CAIXA / BANCO SINT."</f>
        <v>REL. EXTRATO CAIXA / BANCO SINT.</v>
      </c>
      <c r="F3330" s="2" t="str">
        <f>"R_MOV_CAIXA_SINT"</f>
        <v>R_MOV_CAIXA_SINT</v>
      </c>
      <c r="G3330" s="2" t="str">
        <f t="shared" si="287"/>
        <v xml:space="preserve"> ()</v>
      </c>
    </row>
    <row r="3331" spans="1:7" x14ac:dyDescent="0.3">
      <c r="A3331" s="1" t="s">
        <v>4</v>
      </c>
      <c r="B3331" s="2" t="str">
        <f t="shared" si="285"/>
        <v>CONTROLE DO CAIXA</v>
      </c>
      <c r="C3331" s="2" t="str">
        <f t="shared" si="284"/>
        <v>FINAN</v>
      </c>
      <c r="D3331" s="2" t="str">
        <f t="shared" si="286"/>
        <v>FNCC</v>
      </c>
      <c r="E3331" s="2" t="str">
        <f>"RELATÓRIO DE APLICAÇÕES DIRETAS"</f>
        <v>RELATÓRIO DE APLICAÇÕES DIRETAS</v>
      </c>
      <c r="F3331" s="2" t="str">
        <f>"R_APLICACAO_DIRETA.RDF"</f>
        <v>R_APLICACAO_DIRETA.RDF</v>
      </c>
      <c r="G3331" s="2" t="str">
        <f t="shared" si="287"/>
        <v xml:space="preserve"> ()</v>
      </c>
    </row>
    <row r="3332" spans="1:7" x14ac:dyDescent="0.3">
      <c r="A3332" s="1" t="s">
        <v>4</v>
      </c>
      <c r="B3332" s="2" t="str">
        <f t="shared" si="285"/>
        <v>CONTROLE DO CAIXA</v>
      </c>
      <c r="C3332" s="2" t="str">
        <f t="shared" si="284"/>
        <v>FINAN</v>
      </c>
      <c r="D3332" s="2" t="str">
        <f t="shared" si="286"/>
        <v>FNCC</v>
      </c>
      <c r="E3332" s="2" t="str">
        <f>"REL. CAUÇÃO PACIENTE E CONVÊNIO"</f>
        <v>REL. CAUÇÃO PACIENTE E CONVÊNIO</v>
      </c>
      <c r="F3332" s="2" t="str">
        <f>"R_CAUCAO_CAIXA_PACIENTE_CONV.RDF"</f>
        <v>R_CAUCAO_CAIXA_PACIENTE_CONV.RDF</v>
      </c>
      <c r="G3332" s="2" t="str">
        <f t="shared" si="287"/>
        <v xml:space="preserve"> ()</v>
      </c>
    </row>
    <row r="3333" spans="1:7" x14ac:dyDescent="0.3">
      <c r="A3333" s="1" t="s">
        <v>4</v>
      </c>
      <c r="B3333" s="2" t="str">
        <f t="shared" ref="B3333:B3396" si="288">"SISTEMA FINANCEIRO - CONTAS A PAGAR"</f>
        <v>SISTEMA FINANCEIRO - CONTAS A PAGAR</v>
      </c>
      <c r="C3333" s="2" t="str">
        <f t="shared" si="284"/>
        <v>FINAN</v>
      </c>
      <c r="D3333" s="2" t="str">
        <f t="shared" ref="D3333:D3396" si="289">"FNCP"</f>
        <v>FNCP</v>
      </c>
      <c r="E3333" s="2" t="str">
        <f>"RELATÓRIO DE POSIÇÃO DE CONTAS A RECEBER"</f>
        <v>RELATÓRIO DE POSIÇÃO DE CONTAS A RECEBER</v>
      </c>
      <c r="F3333" s="2" t="str">
        <f>"R_CON_ARECEB_POSICAO.RDF"</f>
        <v>R_CON_ARECEB_POSICAO.RDF</v>
      </c>
      <c r="G3333" s="2" t="str">
        <f t="shared" si="287"/>
        <v xml:space="preserve"> ()</v>
      </c>
    </row>
    <row r="3334" spans="1:7" x14ac:dyDescent="0.3">
      <c r="A3334" s="1" t="s">
        <v>4</v>
      </c>
      <c r="B3334" s="2" t="str">
        <f t="shared" si="288"/>
        <v>SISTEMA FINANCEIRO - CONTAS A PAGAR</v>
      </c>
      <c r="C3334" s="2" t="str">
        <f t="shared" si="284"/>
        <v>FINAN</v>
      </c>
      <c r="D3334" s="2" t="str">
        <f t="shared" si="289"/>
        <v>FNCP</v>
      </c>
      <c r="E3334" s="2" t="str">
        <f>"Geração do Livro Eletrônico (DF)"</f>
        <v>Geração do Livro Eletrônico (DF)</v>
      </c>
      <c r="F3334" s="2" t="str">
        <f>"O_LIVRO_ELETRONICO_DF"</f>
        <v>O_LIVRO_ELETRONICO_DF</v>
      </c>
      <c r="G3334" s="2" t="str">
        <f>"Controladoria / Fiscal / Geração / Geração do Livro Eletrônico (DF) (O_LIVRO_ELETRONICO_DF)"</f>
        <v>Controladoria / Fiscal / Geração / Geração do Livro Eletrônico (DF) (O_LIVRO_ELETRONICO_DF)</v>
      </c>
    </row>
    <row r="3335" spans="1:7" x14ac:dyDescent="0.3">
      <c r="A3335" s="1" t="s">
        <v>4</v>
      </c>
      <c r="B3335" s="2" t="str">
        <f t="shared" si="288"/>
        <v>SISTEMA FINANCEIRO - CONTAS A PAGAR</v>
      </c>
      <c r="C3335" s="2" t="str">
        <f t="shared" si="284"/>
        <v>FINAN</v>
      </c>
      <c r="D3335" s="2" t="str">
        <f t="shared" si="289"/>
        <v>FNCP</v>
      </c>
      <c r="E3335" s="2" t="str">
        <f>"Geração da DCTF"</f>
        <v>Geração da DCTF</v>
      </c>
      <c r="F3335" s="2" t="str">
        <f>"O_GERA_DCTF"</f>
        <v>O_GERA_DCTF</v>
      </c>
      <c r="G3335" s="2" t="str">
        <f>"Controladoria / Fiscal / Geração / Geração da DCTF (O_GERA_DCTF)"</f>
        <v>Controladoria / Fiscal / Geração / Geração da DCTF (O_GERA_DCTF)</v>
      </c>
    </row>
    <row r="3336" spans="1:7" x14ac:dyDescent="0.3">
      <c r="A3336" s="1" t="s">
        <v>4</v>
      </c>
      <c r="B3336" s="2" t="str">
        <f t="shared" si="288"/>
        <v>SISTEMA FINANCEIRO - CONTAS A PAGAR</v>
      </c>
      <c r="C3336" s="2" t="str">
        <f t="shared" si="284"/>
        <v>FINAN</v>
      </c>
      <c r="D3336" s="2" t="str">
        <f t="shared" si="289"/>
        <v>FNCP</v>
      </c>
      <c r="E3336" s="2" t="str">
        <f>"Importação de recebimento de convênio"</f>
        <v>Importação de recebimento de convênio</v>
      </c>
      <c r="F3336" s="2" t="str">
        <f>"M_BAIXA_LOTE"</f>
        <v>M_BAIXA_LOTE</v>
      </c>
      <c r="G3336" s="2" t="s">
        <v>10</v>
      </c>
    </row>
    <row r="3337" spans="1:7" x14ac:dyDescent="0.3">
      <c r="A3337" s="1" t="s">
        <v>4</v>
      </c>
      <c r="B3337" s="2" t="str">
        <f t="shared" si="288"/>
        <v>SISTEMA FINANCEIRO - CONTAS A PAGAR</v>
      </c>
      <c r="C3337" s="2" t="str">
        <f t="shared" si="284"/>
        <v>FINAN</v>
      </c>
      <c r="D3337" s="2" t="str">
        <f t="shared" si="289"/>
        <v>FNCP</v>
      </c>
      <c r="E3337" s="2" t="str">
        <f>"Processamento do TEF"</f>
        <v>Processamento do TEF</v>
      </c>
      <c r="F3337" s="2" t="str">
        <f>"O_TEF_PROCESSA"</f>
        <v>O_TEF_PROCESSA</v>
      </c>
      <c r="G3337" s="2" t="str">
        <f>" ()"</f>
        <v xml:space="preserve"> ()</v>
      </c>
    </row>
    <row r="3338" spans="1:7" x14ac:dyDescent="0.3">
      <c r="A3338" s="1" t="s">
        <v>4</v>
      </c>
      <c r="B3338" s="2" t="str">
        <f t="shared" si="288"/>
        <v>SISTEMA FINANCEIRO - CONTAS A PAGAR</v>
      </c>
      <c r="C3338" s="2" t="str">
        <f t="shared" si="284"/>
        <v>FINAN</v>
      </c>
      <c r="D3338" s="2" t="str">
        <f t="shared" si="289"/>
        <v>FNCP</v>
      </c>
      <c r="E3338" s="2" t="str">
        <f>"Relatório da tabela CNAE"</f>
        <v>Relatório da tabela CNAE</v>
      </c>
      <c r="F3338" s="2" t="str">
        <f>"R_FNFI_CNAE"</f>
        <v>R_FNFI_CNAE</v>
      </c>
      <c r="G3338" s="2" t="str">
        <f>"Relatório da tabela CNAE (R_FNFI_CNAE)"</f>
        <v>Relatório da tabela CNAE (R_FNFI_CNAE)</v>
      </c>
    </row>
    <row r="3339" spans="1:7" x14ac:dyDescent="0.3">
      <c r="A3339" s="1" t="s">
        <v>4</v>
      </c>
      <c r="B3339" s="2" t="str">
        <f t="shared" si="288"/>
        <v>SISTEMA FINANCEIRO - CONTAS A PAGAR</v>
      </c>
      <c r="C3339" s="2" t="str">
        <f t="shared" si="284"/>
        <v>FINAN</v>
      </c>
      <c r="D3339" s="2" t="str">
        <f t="shared" si="289"/>
        <v>FNCP</v>
      </c>
      <c r="E3339" s="2" t="str">
        <f>"Tabela CNAE"</f>
        <v>Tabela CNAE</v>
      </c>
      <c r="F3339" s="2" t="str">
        <f>"M_FNFI_CNAE"</f>
        <v>M_FNFI_CNAE</v>
      </c>
      <c r="G3339" s="2" t="s">
        <v>10</v>
      </c>
    </row>
    <row r="3340" spans="1:7" x14ac:dyDescent="0.3">
      <c r="A3340" s="1" t="s">
        <v>4</v>
      </c>
      <c r="B3340" s="2" t="str">
        <f t="shared" si="288"/>
        <v>SISTEMA FINANCEIRO - CONTAS A PAGAR</v>
      </c>
      <c r="C3340" s="2" t="str">
        <f t="shared" si="284"/>
        <v>FINAN</v>
      </c>
      <c r="D3340" s="2" t="str">
        <f t="shared" si="289"/>
        <v>FNCP</v>
      </c>
      <c r="E3340" s="2" t="str">
        <f>"Atividade Usuario x Dados Bancarios PIX"</f>
        <v>Atividade Usuario x Dados Bancarios PIX</v>
      </c>
      <c r="F3340" s="2" t="str">
        <f>"M_USU_AUDIT_PIX"</f>
        <v>M_USU_AUDIT_PIX</v>
      </c>
      <c r="G3340" s="2" t="str">
        <f>"Atividade Usuario x Dados Bancarios PIX (M_USU_AUDIT_PIX)"</f>
        <v>Atividade Usuario x Dados Bancarios PIX (M_USU_AUDIT_PIX)</v>
      </c>
    </row>
    <row r="3341" spans="1:7" x14ac:dyDescent="0.3">
      <c r="A3341" s="1" t="s">
        <v>4</v>
      </c>
      <c r="B3341" s="2" t="str">
        <f t="shared" si="288"/>
        <v>SISTEMA FINANCEIRO - CONTAS A PAGAR</v>
      </c>
      <c r="C3341" s="2" t="str">
        <f t="shared" si="284"/>
        <v>FINAN</v>
      </c>
      <c r="D3341" s="2" t="str">
        <f t="shared" si="289"/>
        <v>FNCP</v>
      </c>
      <c r="E3341" s="2" t="str">
        <f>"Movimentações em PIX"</f>
        <v>Movimentações em PIX</v>
      </c>
      <c r="F3341" s="2" t="str">
        <f>"M_MVTO_DIGITAL"</f>
        <v>M_MVTO_DIGITAL</v>
      </c>
      <c r="G3341" s="2" t="str">
        <f>"Movimentações em PIX (M_MVTO_DIGITAL)"</f>
        <v>Movimentações em PIX (M_MVTO_DIGITAL)</v>
      </c>
    </row>
    <row r="3342" spans="1:7" x14ac:dyDescent="0.3">
      <c r="A3342" s="1" t="s">
        <v>4</v>
      </c>
      <c r="B3342" s="2" t="str">
        <f t="shared" si="288"/>
        <v>SISTEMA FINANCEIRO - CONTAS A PAGAR</v>
      </c>
      <c r="C3342" s="2" t="str">
        <f t="shared" si="284"/>
        <v>FINAN</v>
      </c>
      <c r="D3342" s="2" t="str">
        <f t="shared" si="289"/>
        <v>FNCP</v>
      </c>
      <c r="E3342" s="2" t="str">
        <f>"Movimentação eletrônica (TEF)    "</f>
        <v xml:space="preserve">Movimentação eletrônica (TEF)    </v>
      </c>
      <c r="F3342" s="2" t="str">
        <f>"M_TEF_MOVIMENTO"</f>
        <v>M_TEF_MOVIMENTO</v>
      </c>
      <c r="G3342" s="2" t="str">
        <f t="shared" ref="G3342:G3347" si="290">" ()"</f>
        <v xml:space="preserve"> ()</v>
      </c>
    </row>
    <row r="3343" spans="1:7" x14ac:dyDescent="0.3">
      <c r="A3343" s="1" t="s">
        <v>4</v>
      </c>
      <c r="B3343" s="2" t="str">
        <f t="shared" si="288"/>
        <v>SISTEMA FINANCEIRO - CONTAS A PAGAR</v>
      </c>
      <c r="C3343" s="2" t="str">
        <f t="shared" si="284"/>
        <v>FINAN</v>
      </c>
      <c r="D3343" s="2" t="str">
        <f t="shared" si="289"/>
        <v>FNCP</v>
      </c>
      <c r="E3343" s="2" t="str">
        <f>"Relatorio de Movimentações (TEF)"</f>
        <v>Relatorio de Movimentações (TEF)</v>
      </c>
      <c r="F3343" s="2" t="str">
        <f>"R_TEF_MOVIMENTO"</f>
        <v>R_TEF_MOVIMENTO</v>
      </c>
      <c r="G3343" s="2" t="str">
        <f t="shared" si="290"/>
        <v xml:space="preserve"> ()</v>
      </c>
    </row>
    <row r="3344" spans="1:7" x14ac:dyDescent="0.3">
      <c r="A3344" s="1" t="s">
        <v>4</v>
      </c>
      <c r="B3344" s="2" t="str">
        <f t="shared" si="288"/>
        <v>SISTEMA FINANCEIRO - CONTAS A PAGAR</v>
      </c>
      <c r="C3344" s="2" t="str">
        <f t="shared" si="284"/>
        <v>FINAN</v>
      </c>
      <c r="D3344" s="2" t="str">
        <f t="shared" si="289"/>
        <v>FNCP</v>
      </c>
      <c r="E3344" s="2" t="str">
        <f>"PERSONALIZADO BANDEIRANTES"</f>
        <v>PERSONALIZADO BANDEIRANTES</v>
      </c>
      <c r="F3344" s="2" t="str">
        <f>"R_CAIXA_BAND"</f>
        <v>R_CAIXA_BAND</v>
      </c>
      <c r="G3344" s="2" t="str">
        <f t="shared" si="290"/>
        <v xml:space="preserve"> ()</v>
      </c>
    </row>
    <row r="3345" spans="1:7" x14ac:dyDescent="0.3">
      <c r="A3345" s="1" t="s">
        <v>4</v>
      </c>
      <c r="B3345" s="2" t="str">
        <f t="shared" si="288"/>
        <v>SISTEMA FINANCEIRO - CONTAS A PAGAR</v>
      </c>
      <c r="C3345" s="2" t="str">
        <f t="shared" si="284"/>
        <v>FINAN</v>
      </c>
      <c r="D3345" s="2" t="str">
        <f t="shared" si="289"/>
        <v>FNCP</v>
      </c>
      <c r="E3345" s="2" t="str">
        <f>"RELATÓRIO DE CONTAS A PAGAR E PAGAS"</f>
        <v>RELATÓRIO DE CONTAS A PAGAR E PAGAS</v>
      </c>
      <c r="F3345" s="2" t="str">
        <f>"R_CONTAS_APAG_PAG_CARACT"</f>
        <v>R_CONTAS_APAG_PAG_CARACT</v>
      </c>
      <c r="G3345" s="2" t="str">
        <f t="shared" si="290"/>
        <v xml:space="preserve"> ()</v>
      </c>
    </row>
    <row r="3346" spans="1:7" x14ac:dyDescent="0.3">
      <c r="A3346" s="1" t="s">
        <v>4</v>
      </c>
      <c r="B3346" s="2" t="str">
        <f t="shared" si="288"/>
        <v>SISTEMA FINANCEIRO - CONTAS A PAGAR</v>
      </c>
      <c r="C3346" s="2" t="str">
        <f t="shared" si="284"/>
        <v>FINAN</v>
      </c>
      <c r="D3346" s="2" t="str">
        <f t="shared" si="289"/>
        <v>FNCP</v>
      </c>
      <c r="E3346" s="2" t="str">
        <f>"CONTAS A PAGAR"</f>
        <v>CONTAS A PAGAR</v>
      </c>
      <c r="F3346" s="2" t="str">
        <f>"R_CON_APAG_OLD"</f>
        <v>R_CON_APAG_OLD</v>
      </c>
      <c r="G3346" s="2" t="str">
        <f t="shared" si="290"/>
        <v xml:space="preserve"> ()</v>
      </c>
    </row>
    <row r="3347" spans="1:7" x14ac:dyDescent="0.3">
      <c r="A3347" s="1" t="s">
        <v>4</v>
      </c>
      <c r="B3347" s="2" t="str">
        <f t="shared" si="288"/>
        <v>SISTEMA FINANCEIRO - CONTAS A PAGAR</v>
      </c>
      <c r="C3347" s="2" t="str">
        <f t="shared" si="284"/>
        <v>FINAN</v>
      </c>
      <c r="D3347" s="2" t="str">
        <f t="shared" si="289"/>
        <v>FNCP</v>
      </c>
      <c r="E3347" s="2" t="str">
        <f>"CONCILIAÇÃO ZERO"</f>
        <v>CONCILIAÇÃO ZERO</v>
      </c>
      <c r="F3347" s="2" t="str">
        <f>"C_CONCILIACAO_ZERO"</f>
        <v>C_CONCILIACAO_ZERO</v>
      </c>
      <c r="G3347" s="2" t="str">
        <f t="shared" si="290"/>
        <v xml:space="preserve"> ()</v>
      </c>
    </row>
    <row r="3348" spans="1:7" x14ac:dyDescent="0.3">
      <c r="A3348" s="1" t="s">
        <v>4</v>
      </c>
      <c r="B3348" s="2" t="str">
        <f t="shared" si="288"/>
        <v>SISTEMA FINANCEIRO - CONTAS A PAGAR</v>
      </c>
      <c r="C3348" s="2" t="str">
        <f t="shared" si="284"/>
        <v>FINAN</v>
      </c>
      <c r="D3348" s="2" t="str">
        <f t="shared" si="289"/>
        <v>FNCP</v>
      </c>
      <c r="E3348" s="2" t="str">
        <f>"CADASTRO DE MOTIVO DE SITUAÇÃO CON. REC"</f>
        <v>CADASTRO DE MOTIVO DE SITUAÇÃO CON. REC</v>
      </c>
      <c r="F3348" s="2" t="str">
        <f>"M_MOT_SIT_CON_REC"</f>
        <v>M_MOT_SIT_CON_REC</v>
      </c>
      <c r="G3348" s="2" t="s">
        <v>10</v>
      </c>
    </row>
    <row r="3349" spans="1:7" x14ac:dyDescent="0.3">
      <c r="A3349" s="1" t="s">
        <v>4</v>
      </c>
      <c r="B3349" s="2" t="str">
        <f t="shared" si="288"/>
        <v>SISTEMA FINANCEIRO - CONTAS A PAGAR</v>
      </c>
      <c r="C3349" s="2" t="str">
        <f t="shared" si="284"/>
        <v>FINAN</v>
      </c>
      <c r="D3349" s="2" t="str">
        <f t="shared" si="289"/>
        <v>FNCP</v>
      </c>
      <c r="E3349" s="2" t="str">
        <f>"CADASTROI DE DESCONTOS E ACRESCIMOS"</f>
        <v>CADASTROI DE DESCONTOS E ACRESCIMOS</v>
      </c>
      <c r="F3349" s="2" t="str">
        <f>"M_DESC_ACRES"</f>
        <v>M_DESC_ACRES</v>
      </c>
      <c r="G3349" s="2" t="s">
        <v>10</v>
      </c>
    </row>
    <row r="3350" spans="1:7" x14ac:dyDescent="0.3">
      <c r="A3350" s="1" t="s">
        <v>4</v>
      </c>
      <c r="B3350" s="2" t="str">
        <f t="shared" si="288"/>
        <v>SISTEMA FINANCEIRO - CONTAS A PAGAR</v>
      </c>
      <c r="C3350" s="2" t="str">
        <f t="shared" si="284"/>
        <v>FINAN</v>
      </c>
      <c r="D3350" s="2" t="str">
        <f t="shared" si="289"/>
        <v>FNCP</v>
      </c>
      <c r="E3350" s="2" t="str">
        <f>"RELATÓRIO DE  FORNECEDORES"</f>
        <v>RELATÓRIO DE  FORNECEDORES</v>
      </c>
      <c r="F3350" s="2" t="str">
        <f>"TESTE_MARCELO"</f>
        <v>TESTE_MARCELO</v>
      </c>
      <c r="G3350" s="2" t="str">
        <f>" ()"</f>
        <v xml:space="preserve"> ()</v>
      </c>
    </row>
    <row r="3351" spans="1:7" x14ac:dyDescent="0.3">
      <c r="A3351" s="1" t="s">
        <v>4</v>
      </c>
      <c r="B3351" s="2" t="str">
        <f t="shared" si="288"/>
        <v>SISTEMA FINANCEIRO - CONTAS A PAGAR</v>
      </c>
      <c r="C3351" s="2" t="str">
        <f t="shared" si="284"/>
        <v>FINAN</v>
      </c>
      <c r="D3351" s="2" t="str">
        <f t="shared" si="289"/>
        <v>FNCP</v>
      </c>
      <c r="E3351" s="2" t="str">
        <f>"Previsões de Despesas"</f>
        <v>Previsões de Despesas</v>
      </c>
      <c r="F3351" s="2" t="str">
        <f>"M_PREVISAO"</f>
        <v>M_PREVISAO</v>
      </c>
      <c r="G3351" s="2" t="s">
        <v>10</v>
      </c>
    </row>
    <row r="3352" spans="1:7" x14ac:dyDescent="0.3">
      <c r="A3352" s="1" t="s">
        <v>4</v>
      </c>
      <c r="B3352" s="2" t="str">
        <f t="shared" si="288"/>
        <v>SISTEMA FINANCEIRO - CONTAS A PAGAR</v>
      </c>
      <c r="C3352" s="2" t="str">
        <f t="shared" si="284"/>
        <v>FINAN</v>
      </c>
      <c r="D3352" s="2" t="str">
        <f t="shared" si="289"/>
        <v>FNCP</v>
      </c>
      <c r="E3352" s="2" t="str">
        <f>"Conciliação Con Pag Previsão X Provisão"</f>
        <v>Conciliação Con Pag Previsão X Provisão</v>
      </c>
      <c r="F3352" s="2" t="str">
        <f>"M_CONCILIA_CP_PREV_CP_NF"</f>
        <v>M_CONCILIA_CP_PREV_CP_NF</v>
      </c>
      <c r="G3352" s="2" t="str">
        <f>" ()"</f>
        <v xml:space="preserve"> ()</v>
      </c>
    </row>
    <row r="3353" spans="1:7" x14ac:dyDescent="0.3">
      <c r="A3353" s="1" t="s">
        <v>4</v>
      </c>
      <c r="B3353" s="2" t="str">
        <f t="shared" si="288"/>
        <v>SISTEMA FINANCEIRO - CONTAS A PAGAR</v>
      </c>
      <c r="C3353" s="2" t="str">
        <f t="shared" si="284"/>
        <v>FINAN</v>
      </c>
      <c r="D3353" s="2" t="str">
        <f t="shared" si="289"/>
        <v>FNCP</v>
      </c>
      <c r="E3353" s="2" t="str">
        <f>"M_SEGMENTO_MERCADO"</f>
        <v>M_SEGMENTO_MERCADO</v>
      </c>
      <c r="F3353" s="2" t="str">
        <f>"M_SEGMENTO_MERCADO"</f>
        <v>M_SEGMENTO_MERCADO</v>
      </c>
      <c r="G3353" s="2" t="s">
        <v>10</v>
      </c>
    </row>
    <row r="3354" spans="1:7" x14ac:dyDescent="0.3">
      <c r="A3354" s="1" t="s">
        <v>4</v>
      </c>
      <c r="B3354" s="2" t="str">
        <f t="shared" si="288"/>
        <v>SISTEMA FINANCEIRO - CONTAS A PAGAR</v>
      </c>
      <c r="C3354" s="2" t="str">
        <f t="shared" si="284"/>
        <v>FINAN</v>
      </c>
      <c r="D3354" s="2" t="str">
        <f t="shared" si="289"/>
        <v>FNCP</v>
      </c>
      <c r="E3354" s="2" t="str">
        <f>"M_SEGMENTO_MERCADO"</f>
        <v>M_SEGMENTO_MERCADO</v>
      </c>
      <c r="F3354" s="2" t="str">
        <f>"M_SEGMENTO_MERCADO"</f>
        <v>M_SEGMENTO_MERCADO</v>
      </c>
      <c r="G3354" s="2" t="s">
        <v>10</v>
      </c>
    </row>
    <row r="3355" spans="1:7" x14ac:dyDescent="0.3">
      <c r="A3355" s="1" t="s">
        <v>4</v>
      </c>
      <c r="B3355" s="2" t="str">
        <f t="shared" si="288"/>
        <v>SISTEMA FINANCEIRO - CONTAS A PAGAR</v>
      </c>
      <c r="C3355" s="2" t="str">
        <f t="shared" si="284"/>
        <v>FINAN</v>
      </c>
      <c r="D3355" s="2" t="str">
        <f t="shared" si="289"/>
        <v>FNCP</v>
      </c>
      <c r="E3355" s="2" t="str">
        <f>"Lote de Recebimento"</f>
        <v>Lote de Recebimento</v>
      </c>
      <c r="F3355" s="2" t="str">
        <f>"M_LOTE_RECEBIMENTO"</f>
        <v>M_LOTE_RECEBIMENTO</v>
      </c>
      <c r="G3355" s="2" t="s">
        <v>10</v>
      </c>
    </row>
    <row r="3356" spans="1:7" x14ac:dyDescent="0.3">
      <c r="A3356" s="1" t="s">
        <v>4</v>
      </c>
      <c r="B3356" s="2" t="str">
        <f t="shared" si="288"/>
        <v>SISTEMA FINANCEIRO - CONTAS A PAGAR</v>
      </c>
      <c r="C3356" s="2" t="str">
        <f t="shared" si="284"/>
        <v>FINAN</v>
      </c>
      <c r="D3356" s="2" t="str">
        <f t="shared" si="289"/>
        <v>FNCP</v>
      </c>
      <c r="E3356" s="2" t="str">
        <f>"Bloqueio de Alçada do Financeiro"</f>
        <v>Bloqueio de Alçada do Financeiro</v>
      </c>
      <c r="F3356" s="2" t="str">
        <f>"M_BLOQUEIO_ALCADA_DET"</f>
        <v>M_BLOQUEIO_ALCADA_DET</v>
      </c>
      <c r="G3356" s="2" t="str">
        <f>" ()"</f>
        <v xml:space="preserve"> ()</v>
      </c>
    </row>
    <row r="3357" spans="1:7" x14ac:dyDescent="0.3">
      <c r="A3357" s="1" t="s">
        <v>4</v>
      </c>
      <c r="B3357" s="2" t="str">
        <f t="shared" si="288"/>
        <v>SISTEMA FINANCEIRO - CONTAS A PAGAR</v>
      </c>
      <c r="C3357" s="2" t="str">
        <f t="shared" si="284"/>
        <v>FINAN</v>
      </c>
      <c r="D3357" s="2" t="str">
        <f t="shared" si="289"/>
        <v>FNCP</v>
      </c>
      <c r="E3357" s="2" t="str">
        <f>"RELATORIO IVA"</f>
        <v>RELATORIO IVA</v>
      </c>
      <c r="F3357" s="2" t="str">
        <f>"R_LANCAMENTOS_IVA"</f>
        <v>R_LANCAMENTOS_IVA</v>
      </c>
      <c r="G3357" s="2" t="s">
        <v>10</v>
      </c>
    </row>
    <row r="3358" spans="1:7" x14ac:dyDescent="0.3">
      <c r="A3358" s="1" t="s">
        <v>4</v>
      </c>
      <c r="B3358" s="2" t="str">
        <f t="shared" si="288"/>
        <v>SISTEMA FINANCEIRO - CONTAS A PAGAR</v>
      </c>
      <c r="C3358" s="2" t="str">
        <f t="shared" si="284"/>
        <v>FINAN</v>
      </c>
      <c r="D3358" s="2" t="str">
        <f t="shared" si="289"/>
        <v>FNCP</v>
      </c>
      <c r="E3358" s="2" t="str">
        <f>"MENU CONVENIO FNCP"</f>
        <v>MENU CONVENIO FNCP</v>
      </c>
      <c r="F3358" s="2" t="str">
        <f>"R_MENU_CONVENIO"</f>
        <v>R_MENU_CONVENIO</v>
      </c>
      <c r="G3358" s="2" t="s">
        <v>10</v>
      </c>
    </row>
    <row r="3359" spans="1:7" x14ac:dyDescent="0.3">
      <c r="A3359" s="1" t="s">
        <v>4</v>
      </c>
      <c r="B3359" s="2" t="str">
        <f t="shared" si="288"/>
        <v>SISTEMA FINANCEIRO - CONTAS A PAGAR</v>
      </c>
      <c r="C3359" s="2" t="str">
        <f t="shared" si="284"/>
        <v>FINAN</v>
      </c>
      <c r="D3359" s="2" t="str">
        <f t="shared" si="289"/>
        <v>FNCP</v>
      </c>
      <c r="E3359" s="2" t="str">
        <f>"AUDITORIA FINANCEIRA"</f>
        <v>AUDITORIA FINANCEIRA</v>
      </c>
      <c r="F3359" s="2" t="str">
        <f>"R_FNCP_FINACONV"</f>
        <v>R_FNCP_FINACONV</v>
      </c>
      <c r="G3359" s="2" t="s">
        <v>10</v>
      </c>
    </row>
    <row r="3360" spans="1:7" x14ac:dyDescent="0.3">
      <c r="A3360" s="1" t="s">
        <v>4</v>
      </c>
      <c r="B3360" s="2" t="str">
        <f t="shared" si="288"/>
        <v>SISTEMA FINANCEIRO - CONTAS A PAGAR</v>
      </c>
      <c r="C3360" s="2" t="str">
        <f t="shared" si="284"/>
        <v>FINAN</v>
      </c>
      <c r="D3360" s="2" t="str">
        <f t="shared" si="289"/>
        <v>FNCP</v>
      </c>
      <c r="E3360" s="2" t="str">
        <f>"MV SAÚDE"</f>
        <v>MV SAÚDE</v>
      </c>
      <c r="F3360" s="2" t="str">
        <f>"O_IMP_MVSAUDE_FNFI"</f>
        <v>O_IMP_MVSAUDE_FNFI</v>
      </c>
      <c r="G3360" s="2" t="s">
        <v>10</v>
      </c>
    </row>
    <row r="3361" spans="1:7" x14ac:dyDescent="0.3">
      <c r="A3361" s="1" t="s">
        <v>4</v>
      </c>
      <c r="B3361" s="2" t="str">
        <f t="shared" si="288"/>
        <v>SISTEMA FINANCEIRO - CONTAS A PAGAR</v>
      </c>
      <c r="C3361" s="2" t="str">
        <f t="shared" si="284"/>
        <v>FINAN</v>
      </c>
      <c r="D3361" s="2" t="str">
        <f t="shared" si="289"/>
        <v>FNCP</v>
      </c>
      <c r="E3361" s="2" t="str">
        <f>"CENTRAL DE RECEBIMENTO"</f>
        <v>CENTRAL DE RECEBIMENTO</v>
      </c>
      <c r="F3361" s="2" t="str">
        <f>"M_CENTRAL_RECEBIMENTO"</f>
        <v>M_CENTRAL_RECEBIMENTO</v>
      </c>
      <c r="G3361" s="2" t="s">
        <v>10</v>
      </c>
    </row>
    <row r="3362" spans="1:7" x14ac:dyDescent="0.3">
      <c r="A3362" s="1" t="s">
        <v>4</v>
      </c>
      <c r="B3362" s="2" t="str">
        <f t="shared" si="288"/>
        <v>SISTEMA FINANCEIRO - CONTAS A PAGAR</v>
      </c>
      <c r="C3362" s="2" t="str">
        <f t="shared" si="284"/>
        <v>FINAN</v>
      </c>
      <c r="D3362" s="2" t="str">
        <f t="shared" si="289"/>
        <v>FNCP</v>
      </c>
      <c r="E3362" s="2" t="str">
        <f>"CENTRAL DE PAGAMENTO"</f>
        <v>CENTRAL DE PAGAMENTO</v>
      </c>
      <c r="F3362" s="2" t="str">
        <f>"M_CENTRAL_PAGAMENTO"</f>
        <v>M_CENTRAL_PAGAMENTO</v>
      </c>
      <c r="G3362" s="2" t="s">
        <v>10</v>
      </c>
    </row>
    <row r="3363" spans="1:7" x14ac:dyDescent="0.3">
      <c r="A3363" s="1" t="s">
        <v>4</v>
      </c>
      <c r="B3363" s="2" t="str">
        <f t="shared" si="288"/>
        <v>SISTEMA FINANCEIRO - CONTAS A PAGAR</v>
      </c>
      <c r="C3363" s="2" t="str">
        <f t="shared" si="284"/>
        <v>FINAN</v>
      </c>
      <c r="D3363" s="2" t="str">
        <f t="shared" si="289"/>
        <v>FNCP</v>
      </c>
      <c r="E3363" s="2" t="str">
        <f>"AUDITORIA Em RECURSO DE GLOSAS"</f>
        <v>AUDITORIA Em RECURSO DE GLOSAS</v>
      </c>
      <c r="F3363" s="2" t="str">
        <f>"R_FFAG_RECGLOSA"</f>
        <v>R_FFAG_RECGLOSA</v>
      </c>
      <c r="G3363" s="2" t="s">
        <v>10</v>
      </c>
    </row>
    <row r="3364" spans="1:7" x14ac:dyDescent="0.3">
      <c r="A3364" s="1" t="s">
        <v>4</v>
      </c>
      <c r="B3364" s="2" t="str">
        <f t="shared" si="288"/>
        <v>SISTEMA FINANCEIRO - CONTAS A PAGAR</v>
      </c>
      <c r="C3364" s="2" t="str">
        <f t="shared" si="284"/>
        <v>FINAN</v>
      </c>
      <c r="D3364" s="2" t="str">
        <f t="shared" si="289"/>
        <v>FNCP</v>
      </c>
      <c r="E3364" s="2" t="str">
        <f>"CONSULTA DE CONTAS A RECEBER"</f>
        <v>CONSULTA DE CONTAS A RECEBER</v>
      </c>
      <c r="F3364" s="2" t="str">
        <f>"C_CON_REC_RES"</f>
        <v>C_CON_REC_RES</v>
      </c>
      <c r="G3364" s="2" t="s">
        <v>10</v>
      </c>
    </row>
    <row r="3365" spans="1:7" x14ac:dyDescent="0.3">
      <c r="A3365" s="1" t="s">
        <v>4</v>
      </c>
      <c r="B3365" s="2" t="str">
        <f t="shared" si="288"/>
        <v>SISTEMA FINANCEIRO - CONTAS A PAGAR</v>
      </c>
      <c r="C3365" s="2" t="str">
        <f t="shared" si="284"/>
        <v>FINAN</v>
      </c>
      <c r="D3365" s="2" t="str">
        <f t="shared" si="289"/>
        <v>FNCP</v>
      </c>
      <c r="E3365" s="2" t="str">
        <f>"CONSULTA DE CONTAS A PAGAR"</f>
        <v>CONSULTA DE CONTAS A PAGAR</v>
      </c>
      <c r="F3365" s="2" t="str">
        <f>"C_CONPAG_RES"</f>
        <v>C_CONPAG_RES</v>
      </c>
      <c r="G3365" s="2" t="s">
        <v>10</v>
      </c>
    </row>
    <row r="3366" spans="1:7" x14ac:dyDescent="0.3">
      <c r="A3366" s="1" t="s">
        <v>4</v>
      </c>
      <c r="B3366" s="2" t="str">
        <f t="shared" si="288"/>
        <v>SISTEMA FINANCEIRO - CONTAS A PAGAR</v>
      </c>
      <c r="C3366" s="2" t="str">
        <f t="shared" si="284"/>
        <v>FINAN</v>
      </c>
      <c r="D3366" s="2" t="str">
        <f t="shared" si="289"/>
        <v>FNCP</v>
      </c>
      <c r="E3366" s="2" t="str">
        <f>"RELATORIO DE TIPO DE DOCUMENTO"</f>
        <v>RELATORIO DE TIPO DE DOCUMENTO</v>
      </c>
      <c r="F3366" s="2" t="str">
        <f>"R_TIPDOC"</f>
        <v>R_TIPDOC</v>
      </c>
      <c r="G3366" s="2" t="s">
        <v>10</v>
      </c>
    </row>
    <row r="3367" spans="1:7" x14ac:dyDescent="0.3">
      <c r="A3367" s="1" t="s">
        <v>4</v>
      </c>
      <c r="B3367" s="2" t="str">
        <f t="shared" si="288"/>
        <v>SISTEMA FINANCEIRO - CONTAS A PAGAR</v>
      </c>
      <c r="C3367" s="2" t="str">
        <f t="shared" si="284"/>
        <v>FINAN</v>
      </c>
      <c r="D3367" s="2" t="str">
        <f t="shared" si="289"/>
        <v>FNCP</v>
      </c>
      <c r="E3367" s="2" t="str">
        <f>"RELATORIO DE TIPO DE DOCUMENTO"</f>
        <v>RELATORIO DE TIPO DE DOCUMENTO</v>
      </c>
      <c r="F3367" s="2" t="str">
        <f>"R_TIPDOC"</f>
        <v>R_TIPDOC</v>
      </c>
      <c r="G3367" s="2" t="str">
        <f>"Materiais e Logística / Almoxarifado / Relatórios / Tabelas / Tipos de Documento (R_TIPDOC)"</f>
        <v>Materiais e Logística / Almoxarifado / Relatórios / Tabelas / Tipos de Documento (R_TIPDOC)</v>
      </c>
    </row>
    <row r="3368" spans="1:7" x14ac:dyDescent="0.3">
      <c r="A3368" s="1" t="s">
        <v>4</v>
      </c>
      <c r="B3368" s="2" t="str">
        <f t="shared" si="288"/>
        <v>SISTEMA FINANCEIRO - CONTAS A PAGAR</v>
      </c>
      <c r="C3368" s="2" t="str">
        <f t="shared" si="284"/>
        <v>FINAN</v>
      </c>
      <c r="D3368" s="2" t="str">
        <f t="shared" si="289"/>
        <v>FNCP</v>
      </c>
      <c r="E3368" s="2" t="str">
        <f>"POSIÇÃO DO CONTAS A RECEBER"</f>
        <v>POSIÇÃO DO CONTAS A RECEBER</v>
      </c>
      <c r="F3368" s="2" t="str">
        <f>"R_CON_ARECEB_POSICAO_GLO"</f>
        <v>R_CON_ARECEB_POSICAO_GLO</v>
      </c>
      <c r="G3368" s="2" t="s">
        <v>10</v>
      </c>
    </row>
    <row r="3369" spans="1:7" x14ac:dyDescent="0.3">
      <c r="A3369" s="1" t="s">
        <v>4</v>
      </c>
      <c r="B3369" s="2" t="str">
        <f t="shared" si="288"/>
        <v>SISTEMA FINANCEIRO - CONTAS A PAGAR</v>
      </c>
      <c r="C3369" s="2" t="str">
        <f t="shared" si="284"/>
        <v>FINAN</v>
      </c>
      <c r="D3369" s="2" t="str">
        <f t="shared" si="289"/>
        <v>FNCP</v>
      </c>
      <c r="E3369" s="2" t="str">
        <f>"IMPORTAÇÃO DE TITULOS"</f>
        <v>IMPORTAÇÃO DE TITULOS</v>
      </c>
      <c r="F3369" s="2" t="str">
        <f>"O_IMPORTA_TITULOS"</f>
        <v>O_IMPORTA_TITULOS</v>
      </c>
      <c r="G3369" s="2" t="s">
        <v>10</v>
      </c>
    </row>
    <row r="3370" spans="1:7" x14ac:dyDescent="0.3">
      <c r="A3370" s="1" t="s">
        <v>4</v>
      </c>
      <c r="B3370" s="2" t="str">
        <f t="shared" si="288"/>
        <v>SISTEMA FINANCEIRO - CONTAS A PAGAR</v>
      </c>
      <c r="C3370" s="2" t="str">
        <f t="shared" si="284"/>
        <v>FINAN</v>
      </c>
      <c r="D3370" s="2" t="str">
        <f t="shared" si="289"/>
        <v>FNCP</v>
      </c>
      <c r="E3370" s="2" t="str">
        <f>"RELATÓRIO DE AUDITORIA DE GLOSA"</f>
        <v>RELATÓRIO DE AUDITORIA DE GLOSA</v>
      </c>
      <c r="F3370" s="2" t="str">
        <f>"R_FNCP_AUDGLOSA"</f>
        <v>R_FNCP_AUDGLOSA</v>
      </c>
      <c r="G3370" s="2" t="s">
        <v>10</v>
      </c>
    </row>
    <row r="3371" spans="1:7" x14ac:dyDescent="0.3">
      <c r="A3371" s="1" t="s">
        <v>4</v>
      </c>
      <c r="B3371" s="2" t="str">
        <f t="shared" si="288"/>
        <v>SISTEMA FINANCEIRO - CONTAS A PAGAR</v>
      </c>
      <c r="C3371" s="2" t="str">
        <f t="shared" si="284"/>
        <v>FINAN</v>
      </c>
      <c r="D3371" s="2" t="str">
        <f t="shared" si="289"/>
        <v>FNCP</v>
      </c>
      <c r="E3371" s="2" t="str">
        <f>"RELATÓRIO DE FATURAMENTOS DE CONVÊNIOS"</f>
        <v>RELATÓRIO DE FATURAMENTOS DE CONVÊNIOS</v>
      </c>
      <c r="F3371" s="2" t="str">
        <f>"R_FFAG_FATURAMENTO"</f>
        <v>R_FFAG_FATURAMENTO</v>
      </c>
      <c r="G3371" s="2" t="s">
        <v>10</v>
      </c>
    </row>
    <row r="3372" spans="1:7" x14ac:dyDescent="0.3">
      <c r="A3372" s="1" t="s">
        <v>4</v>
      </c>
      <c r="B3372" s="2" t="str">
        <f t="shared" si="288"/>
        <v>SISTEMA FINANCEIRO - CONTAS A PAGAR</v>
      </c>
      <c r="C3372" s="2" t="str">
        <f t="shared" si="284"/>
        <v>FINAN</v>
      </c>
      <c r="D3372" s="2" t="str">
        <f t="shared" si="289"/>
        <v>FNCP</v>
      </c>
      <c r="E3372" s="2" t="str">
        <f>"GERAÇÃO DE ARQUIVO DMED - CONSOLIDADORA"</f>
        <v>GERAÇÃO DE ARQUIVO DMED - CONSOLIDADORA</v>
      </c>
      <c r="F3372" s="2" t="str">
        <f>"O_DMED_CONSOLIDA"</f>
        <v>O_DMED_CONSOLIDA</v>
      </c>
      <c r="G3372" s="2" t="str">
        <f>"Controladoria / Fiscal / Geração / DMED / Geração de arquivo da DMED (Consolidadora) (O_DMED_CONSOLIDA)"</f>
        <v>Controladoria / Fiscal / Geração / DMED / Geração de arquivo da DMED (Consolidadora) (O_DMED_CONSOLIDA)</v>
      </c>
    </row>
    <row r="3373" spans="1:7" x14ac:dyDescent="0.3">
      <c r="A3373" s="1" t="s">
        <v>4</v>
      </c>
      <c r="B3373" s="2" t="str">
        <f t="shared" si="288"/>
        <v>SISTEMA FINANCEIRO - CONTAS A PAGAR</v>
      </c>
      <c r="C3373" s="2" t="str">
        <f t="shared" si="284"/>
        <v>FINAN</v>
      </c>
      <c r="D3373" s="2" t="str">
        <f t="shared" si="289"/>
        <v>FNCP</v>
      </c>
      <c r="E3373" s="2" t="str">
        <f>"GERAÇÃO DE ARQUIVO DMED - CONSOLIDADORA"</f>
        <v>GERAÇÃO DE ARQUIVO DMED - CONSOLIDADORA</v>
      </c>
      <c r="F3373" s="2" t="str">
        <f>"O_DMED_CONSOLIDA"</f>
        <v>O_DMED_CONSOLIDA</v>
      </c>
      <c r="G3373" s="2" t="s">
        <v>10</v>
      </c>
    </row>
    <row r="3374" spans="1:7" x14ac:dyDescent="0.3">
      <c r="A3374" s="1" t="s">
        <v>4</v>
      </c>
      <c r="B3374" s="2" t="str">
        <f t="shared" si="288"/>
        <v>SISTEMA FINANCEIRO - CONTAS A PAGAR</v>
      </c>
      <c r="C3374" s="2" t="str">
        <f t="shared" si="284"/>
        <v>FINAN</v>
      </c>
      <c r="D3374" s="2" t="str">
        <f t="shared" si="289"/>
        <v>FNCP</v>
      </c>
      <c r="E3374" s="2" t="str">
        <f>"Recibo de Pagamento"</f>
        <v>Recibo de Pagamento</v>
      </c>
      <c r="F3374" s="2" t="str">
        <f>"R_RECIBO_PAG_AGRUP"</f>
        <v>R_RECIBO_PAG_AGRUP</v>
      </c>
      <c r="G3374" s="2" t="str">
        <f>" ()"</f>
        <v xml:space="preserve"> ()</v>
      </c>
    </row>
    <row r="3375" spans="1:7" x14ac:dyDescent="0.3">
      <c r="A3375" s="1" t="s">
        <v>4</v>
      </c>
      <c r="B3375" s="2" t="str">
        <f t="shared" si="288"/>
        <v>SISTEMA FINANCEIRO - CONTAS A PAGAR</v>
      </c>
      <c r="C3375" s="2" t="str">
        <f t="shared" si="284"/>
        <v>FINAN</v>
      </c>
      <c r="D3375" s="2" t="str">
        <f t="shared" si="289"/>
        <v>FNCP</v>
      </c>
      <c r="E3375" s="2" t="str">
        <f>"Recibo de Recebimento"</f>
        <v>Recibo de Recebimento</v>
      </c>
      <c r="F3375" s="2" t="str">
        <f>"R_RECIBO_REC_AGRUP"</f>
        <v>R_RECIBO_REC_AGRUP</v>
      </c>
      <c r="G3375" s="2" t="str">
        <f>" ()"</f>
        <v xml:space="preserve"> ()</v>
      </c>
    </row>
    <row r="3376" spans="1:7" x14ac:dyDescent="0.3">
      <c r="A3376" s="1" t="s">
        <v>4</v>
      </c>
      <c r="B3376" s="2" t="str">
        <f t="shared" si="288"/>
        <v>SISTEMA FINANCEIRO - CONTAS A PAGAR</v>
      </c>
      <c r="C3376" s="2" t="str">
        <f t="shared" si="284"/>
        <v>FINAN</v>
      </c>
      <c r="D3376" s="2" t="str">
        <f t="shared" si="289"/>
        <v>FNCP</v>
      </c>
      <c r="E3376" s="2" t="str">
        <f>"Recibo de Pagamento Autônomo (RPS)"</f>
        <v>Recibo de Pagamento Autônomo (RPS)</v>
      </c>
      <c r="F3376" s="2" t="str">
        <f>"R_FINA_RPA"</f>
        <v>R_FINA_RPA</v>
      </c>
      <c r="G3376" s="2" t="s">
        <v>10</v>
      </c>
    </row>
    <row r="3377" spans="1:7" x14ac:dyDescent="0.3">
      <c r="A3377" s="1" t="s">
        <v>4</v>
      </c>
      <c r="B3377" s="2" t="str">
        <f t="shared" si="288"/>
        <v>SISTEMA FINANCEIRO - CONTAS A PAGAR</v>
      </c>
      <c r="C3377" s="2" t="str">
        <f t="shared" si="284"/>
        <v>FINAN</v>
      </c>
      <c r="D3377" s="2" t="str">
        <f t="shared" si="289"/>
        <v>FNCP</v>
      </c>
      <c r="E3377" s="2" t="str">
        <f>"MENU FNFI RELATÓRIO TÍTULOS FINANCEIROS"</f>
        <v>MENU FNFI RELATÓRIO TÍTULOS FINANCEIROS</v>
      </c>
      <c r="F3377" s="2" t="str">
        <f>"R_FNFI_TITULOS"</f>
        <v>R_FNFI_TITULOS</v>
      </c>
      <c r="G3377" s="2" t="s">
        <v>10</v>
      </c>
    </row>
    <row r="3378" spans="1:7" x14ac:dyDescent="0.3">
      <c r="A3378" s="1" t="s">
        <v>4</v>
      </c>
      <c r="B3378" s="2" t="str">
        <f t="shared" si="288"/>
        <v>SISTEMA FINANCEIRO - CONTAS A PAGAR</v>
      </c>
      <c r="C3378" s="2" t="str">
        <f t="shared" si="284"/>
        <v>FINAN</v>
      </c>
      <c r="D3378" s="2" t="str">
        <f t="shared" si="289"/>
        <v>FNCP</v>
      </c>
      <c r="E3378" s="2" t="str">
        <f>"Cadastro de Enquadramento Tributário"</f>
        <v>Cadastro de Enquadramento Tributário</v>
      </c>
      <c r="F3378" s="2" t="str">
        <f>"M_ENQUA_TRIBU"</f>
        <v>M_ENQUA_TRIBU</v>
      </c>
      <c r="G3378" s="2" t="s">
        <v>10</v>
      </c>
    </row>
    <row r="3379" spans="1:7" x14ac:dyDescent="0.3">
      <c r="A3379" s="1" t="s">
        <v>4</v>
      </c>
      <c r="B3379" s="2" t="str">
        <f t="shared" si="288"/>
        <v>SISTEMA FINANCEIRO - CONTAS A PAGAR</v>
      </c>
      <c r="C3379" s="2" t="str">
        <f t="shared" si="284"/>
        <v>FINAN</v>
      </c>
      <c r="D3379" s="2" t="str">
        <f t="shared" si="289"/>
        <v>FNCP</v>
      </c>
      <c r="E3379" s="2" t="str">
        <f>"Conferência\Consulta DIRF"</f>
        <v>Conferência\Consulta DIRF</v>
      </c>
      <c r="F3379" s="2" t="str">
        <f>"C_CONSULTA_DIRF"</f>
        <v>C_CONSULTA_DIRF</v>
      </c>
      <c r="G3379" s="2" t="str">
        <f>"Controladoria / Fiscal / Geração / DIRF / Consulta DIRF (C_CONSULTA_DIRF)"</f>
        <v>Controladoria / Fiscal / Geração / DIRF / Consulta DIRF (C_CONSULTA_DIRF)</v>
      </c>
    </row>
    <row r="3380" spans="1:7" x14ac:dyDescent="0.3">
      <c r="A3380" s="1" t="s">
        <v>4</v>
      </c>
      <c r="B3380" s="2" t="str">
        <f t="shared" si="288"/>
        <v>SISTEMA FINANCEIRO - CONTAS A PAGAR</v>
      </c>
      <c r="C3380" s="2" t="str">
        <f t="shared" si="284"/>
        <v>FINAN</v>
      </c>
      <c r="D3380" s="2" t="str">
        <f t="shared" si="289"/>
        <v>FNCP</v>
      </c>
      <c r="E3380" s="2" t="str">
        <f>"Conferência\Consulta DIRF"</f>
        <v>Conferência\Consulta DIRF</v>
      </c>
      <c r="F3380" s="2" t="str">
        <f>"C_CONSULTA_DIRF"</f>
        <v>C_CONSULTA_DIRF</v>
      </c>
      <c r="G3380" s="2" t="s">
        <v>10</v>
      </c>
    </row>
    <row r="3381" spans="1:7" x14ac:dyDescent="0.3">
      <c r="A3381" s="1" t="s">
        <v>4</v>
      </c>
      <c r="B3381" s="2" t="str">
        <f t="shared" si="288"/>
        <v>SISTEMA FINANCEIRO - CONTAS A PAGAR</v>
      </c>
      <c r="C3381" s="2" t="str">
        <f t="shared" si="284"/>
        <v>FINAN</v>
      </c>
      <c r="D3381" s="2" t="str">
        <f t="shared" si="289"/>
        <v>FNCP</v>
      </c>
      <c r="E3381" s="2" t="str">
        <f>"Movimentação de Conta Corrente"</f>
        <v>Movimentação de Conta Corrente</v>
      </c>
      <c r="F3381" s="2" t="str">
        <f>"R_MOV_CONCOR"</f>
        <v>R_MOV_CONCOR</v>
      </c>
      <c r="G3381" s="2" t="s">
        <v>10</v>
      </c>
    </row>
    <row r="3382" spans="1:7" x14ac:dyDescent="0.3">
      <c r="A3382" s="1" t="s">
        <v>4</v>
      </c>
      <c r="B3382" s="2" t="str">
        <f t="shared" si="288"/>
        <v>SISTEMA FINANCEIRO - CONTAS A PAGAR</v>
      </c>
      <c r="C3382" s="2" t="str">
        <f t="shared" si="284"/>
        <v>FINAN</v>
      </c>
      <c r="D3382" s="2" t="str">
        <f t="shared" si="289"/>
        <v>FNCP</v>
      </c>
      <c r="E3382" s="2" t="str">
        <f>"CONSULTA DMED"</f>
        <v>CONSULTA DMED</v>
      </c>
      <c r="F3382" s="2" t="str">
        <f>"C_DMED"</f>
        <v>C_DMED</v>
      </c>
      <c r="G3382" s="2" t="str">
        <f>"Controladoria / Fiscal / Geração / DMED / Conferência DMED (C_DMED)"</f>
        <v>Controladoria / Fiscal / Geração / DMED / Conferência DMED (C_DMED)</v>
      </c>
    </row>
    <row r="3383" spans="1:7" x14ac:dyDescent="0.3">
      <c r="A3383" s="1" t="s">
        <v>4</v>
      </c>
      <c r="B3383" s="2" t="str">
        <f t="shared" si="288"/>
        <v>SISTEMA FINANCEIRO - CONTAS A PAGAR</v>
      </c>
      <c r="C3383" s="2" t="str">
        <f t="shared" si="284"/>
        <v>FINAN</v>
      </c>
      <c r="D3383" s="2" t="str">
        <f t="shared" si="289"/>
        <v>FNCP</v>
      </c>
      <c r="E3383" s="2" t="str">
        <f>"CONSULTA DMED"</f>
        <v>CONSULTA DMED</v>
      </c>
      <c r="F3383" s="2" t="str">
        <f>"C_DMED"</f>
        <v>C_DMED</v>
      </c>
      <c r="G3383" s="2" t="s">
        <v>10</v>
      </c>
    </row>
    <row r="3384" spans="1:7" x14ac:dyDescent="0.3">
      <c r="A3384" s="1" t="s">
        <v>4</v>
      </c>
      <c r="B3384" s="2" t="str">
        <f t="shared" si="288"/>
        <v>SISTEMA FINANCEIRO - CONTAS A PAGAR</v>
      </c>
      <c r="C3384" s="2" t="str">
        <f t="shared" si="284"/>
        <v>FINAN</v>
      </c>
      <c r="D3384" s="2" t="str">
        <f t="shared" si="289"/>
        <v>FNCP</v>
      </c>
      <c r="E3384" s="2" t="str">
        <f>"PORTADOR"</f>
        <v>PORTADOR</v>
      </c>
      <c r="F3384" s="2" t="str">
        <f>"R_FNFI_PORTADOR"</f>
        <v>R_FNFI_PORTADOR</v>
      </c>
      <c r="G3384" s="2" t="s">
        <v>10</v>
      </c>
    </row>
    <row r="3385" spans="1:7" x14ac:dyDescent="0.3">
      <c r="A3385" s="1" t="s">
        <v>4</v>
      </c>
      <c r="B3385" s="2" t="str">
        <f t="shared" si="288"/>
        <v>SISTEMA FINANCEIRO - CONTAS A PAGAR</v>
      </c>
      <c r="C3385" s="2" t="str">
        <f t="shared" si="284"/>
        <v>FINAN</v>
      </c>
      <c r="D3385" s="2" t="str">
        <f t="shared" si="289"/>
        <v>FNCP</v>
      </c>
      <c r="E3385" s="2" t="str">
        <f>"CONTAS FINANCEIRAS"</f>
        <v>CONTAS FINANCEIRAS</v>
      </c>
      <c r="F3385" s="2" t="str">
        <f>"R_FNFI_CNTAFINANCEIRA"</f>
        <v>R_FNFI_CNTAFINANCEIRA</v>
      </c>
      <c r="G3385" s="2" t="s">
        <v>10</v>
      </c>
    </row>
    <row r="3386" spans="1:7" x14ac:dyDescent="0.3">
      <c r="A3386" s="1" t="s">
        <v>4</v>
      </c>
      <c r="B3386" s="2" t="str">
        <f t="shared" si="288"/>
        <v>SISTEMA FINANCEIRO - CONTAS A PAGAR</v>
      </c>
      <c r="C3386" s="2" t="str">
        <f t="shared" si="284"/>
        <v>FINAN</v>
      </c>
      <c r="D3386" s="2" t="str">
        <f t="shared" si="289"/>
        <v>FNCP</v>
      </c>
      <c r="E3386" s="2" t="str">
        <f>"ADMINISTRADORAS FINANCEIRAS"</f>
        <v>ADMINISTRADORAS FINANCEIRAS</v>
      </c>
      <c r="F3386" s="2" t="str">
        <f>"R_FNFI_ADMINISTRADORA"</f>
        <v>R_FNFI_ADMINISTRADORA</v>
      </c>
      <c r="G3386" s="2" t="s">
        <v>10</v>
      </c>
    </row>
    <row r="3387" spans="1:7" x14ac:dyDescent="0.3">
      <c r="A3387" s="1" t="s">
        <v>4</v>
      </c>
      <c r="B3387" s="2" t="str">
        <f t="shared" si="288"/>
        <v>SISTEMA FINANCEIRO - CONTAS A PAGAR</v>
      </c>
      <c r="C3387" s="2" t="str">
        <f t="shared" si="284"/>
        <v>FINAN</v>
      </c>
      <c r="D3387" s="2" t="str">
        <f t="shared" si="289"/>
        <v>FNCP</v>
      </c>
      <c r="E3387" s="2" t="str">
        <f>"FATURA DE CARTÃO DE CRÉDITO"</f>
        <v>FATURA DE CARTÃO DE CRÉDITO</v>
      </c>
      <c r="F3387" s="2" t="str">
        <f>"M_FATURA_CARTAO"</f>
        <v>M_FATURA_CARTAO</v>
      </c>
      <c r="G3387" s="2" t="s">
        <v>10</v>
      </c>
    </row>
    <row r="3388" spans="1:7" x14ac:dyDescent="0.3">
      <c r="A3388" s="1" t="s">
        <v>4</v>
      </c>
      <c r="B3388" s="2" t="str">
        <f t="shared" si="288"/>
        <v>SISTEMA FINANCEIRO - CONTAS A PAGAR</v>
      </c>
      <c r="C3388" s="2" t="str">
        <f t="shared" si="284"/>
        <v>FINAN</v>
      </c>
      <c r="D3388" s="2" t="str">
        <f t="shared" si="289"/>
        <v>FNCP</v>
      </c>
      <c r="E3388" s="2" t="str">
        <f>"Gestão de Contas"</f>
        <v>Gestão de Contas</v>
      </c>
      <c r="F3388" s="2" t="str">
        <f>"M_FNFI_GESTAO_CONTAS"</f>
        <v>M_FNFI_GESTAO_CONTAS</v>
      </c>
      <c r="G3388" s="2" t="s">
        <v>10</v>
      </c>
    </row>
    <row r="3389" spans="1:7" x14ac:dyDescent="0.3">
      <c r="A3389" s="1" t="s">
        <v>4</v>
      </c>
      <c r="B3389" s="2" t="str">
        <f t="shared" si="288"/>
        <v>SISTEMA FINANCEIRO - CONTAS A PAGAR</v>
      </c>
      <c r="C3389" s="2" t="str">
        <f t="shared" ref="C3389:C3452" si="291">"FINAN"</f>
        <v>FINAN</v>
      </c>
      <c r="D3389" s="2" t="str">
        <f t="shared" si="289"/>
        <v>FNCP</v>
      </c>
      <c r="E3389" s="2" t="str">
        <f>"CONSULTA HISTÓRICO DE RECEBIMENTO"</f>
        <v>CONSULTA HISTÓRICO DE RECEBIMENTO</v>
      </c>
      <c r="F3389" s="2" t="str">
        <f>"C_CON_REC_HIST"</f>
        <v>C_CON_REC_HIST</v>
      </c>
      <c r="G3389" s="2" t="str">
        <f>" ()"</f>
        <v xml:space="preserve"> ()</v>
      </c>
    </row>
    <row r="3390" spans="1:7" x14ac:dyDescent="0.3">
      <c r="A3390" s="1" t="s">
        <v>4</v>
      </c>
      <c r="B3390" s="2" t="str">
        <f t="shared" si="288"/>
        <v>SISTEMA FINANCEIRO - CONTAS A PAGAR</v>
      </c>
      <c r="C3390" s="2" t="str">
        <f t="shared" si="291"/>
        <v>FINAN</v>
      </c>
      <c r="D3390" s="2" t="str">
        <f t="shared" si="289"/>
        <v>FNCP</v>
      </c>
      <c r="E3390" s="2" t="str">
        <f>"PRORROGAÇÃO DE RECEBIMENTO"</f>
        <v>PRORROGAÇÃO DE RECEBIMENTO</v>
      </c>
      <c r="F3390" s="2" t="str">
        <f>"M_HISTORICO_PRORROGACAO"</f>
        <v>M_HISTORICO_PRORROGACAO</v>
      </c>
      <c r="G3390" s="2" t="str">
        <f>" ()"</f>
        <v xml:space="preserve"> ()</v>
      </c>
    </row>
    <row r="3391" spans="1:7" x14ac:dyDescent="0.3">
      <c r="A3391" s="1" t="s">
        <v>4</v>
      </c>
      <c r="B3391" s="2" t="str">
        <f t="shared" si="288"/>
        <v>SISTEMA FINANCEIRO - CONTAS A PAGAR</v>
      </c>
      <c r="C3391" s="2" t="str">
        <f t="shared" si="291"/>
        <v>FINAN</v>
      </c>
      <c r="D3391" s="2" t="str">
        <f t="shared" si="289"/>
        <v>FNCP</v>
      </c>
      <c r="E3391" s="2" t="str">
        <f>"MOTIVO DE PRORROGAÇÃO/RENEGOCIAÇÃO"</f>
        <v>MOTIVO DE PRORROGAÇÃO/RENEGOCIAÇÃO</v>
      </c>
      <c r="F3391" s="2" t="str">
        <f>"M_MOTIVO_PRORROGACAO"</f>
        <v>M_MOTIVO_PRORROGACAO</v>
      </c>
      <c r="G3391" s="2" t="s">
        <v>10</v>
      </c>
    </row>
    <row r="3392" spans="1:7" x14ac:dyDescent="0.3">
      <c r="A3392" s="1" t="s">
        <v>4</v>
      </c>
      <c r="B3392" s="2" t="str">
        <f t="shared" si="288"/>
        <v>SISTEMA FINANCEIRO - CONTAS A PAGAR</v>
      </c>
      <c r="C3392" s="2" t="str">
        <f t="shared" si="291"/>
        <v>FINAN</v>
      </c>
      <c r="D3392" s="2" t="str">
        <f t="shared" si="289"/>
        <v>FNCP</v>
      </c>
      <c r="E3392" s="2" t="str">
        <f>"RESUMO DE CONVÊNIO"</f>
        <v>RESUMO DE CONVÊNIO</v>
      </c>
      <c r="F3392" s="2" t="str">
        <f>"C_RESUMO_CONVENIO"</f>
        <v>C_RESUMO_CONVENIO</v>
      </c>
      <c r="G3392" s="2" t="s">
        <v>10</v>
      </c>
    </row>
    <row r="3393" spans="1:7" x14ac:dyDescent="0.3">
      <c r="A3393" s="1" t="s">
        <v>4</v>
      </c>
      <c r="B3393" s="2" t="str">
        <f t="shared" si="288"/>
        <v>SISTEMA FINANCEIRO - CONTAS A PAGAR</v>
      </c>
      <c r="C3393" s="2" t="str">
        <f t="shared" si="291"/>
        <v>FINAN</v>
      </c>
      <c r="D3393" s="2" t="str">
        <f t="shared" si="289"/>
        <v>FNCP</v>
      </c>
      <c r="E3393" s="2" t="str">
        <f>"Conciliação DDA"</f>
        <v>Conciliação DDA</v>
      </c>
      <c r="F3393" s="2" t="str">
        <f>"M_CONCILIACAO_DDA"</f>
        <v>M_CONCILIACAO_DDA</v>
      </c>
      <c r="G3393" s="2" t="s">
        <v>10</v>
      </c>
    </row>
    <row r="3394" spans="1:7" x14ac:dyDescent="0.3">
      <c r="A3394" s="1" t="s">
        <v>4</v>
      </c>
      <c r="B3394" s="2" t="str">
        <f t="shared" si="288"/>
        <v>SISTEMA FINANCEIRO - CONTAS A PAGAR</v>
      </c>
      <c r="C3394" s="2" t="str">
        <f t="shared" si="291"/>
        <v>FINAN</v>
      </c>
      <c r="D3394" s="2" t="str">
        <f t="shared" si="289"/>
        <v>FNCP</v>
      </c>
      <c r="E3394" s="2" t="str">
        <f>"Processar Arquivo DDA"</f>
        <v>Processar Arquivo DDA</v>
      </c>
      <c r="F3394" s="2" t="str">
        <f>"O_PROCESSAR_ARQUIVO_DDA"</f>
        <v>O_PROCESSAR_ARQUIVO_DDA</v>
      </c>
      <c r="G3394" s="2" t="s">
        <v>10</v>
      </c>
    </row>
    <row r="3395" spans="1:7" x14ac:dyDescent="0.3">
      <c r="A3395" s="1" t="s">
        <v>4</v>
      </c>
      <c r="B3395" s="2" t="str">
        <f t="shared" si="288"/>
        <v>SISTEMA FINANCEIRO - CONTAS A PAGAR</v>
      </c>
      <c r="C3395" s="2" t="str">
        <f t="shared" si="291"/>
        <v>FINAN</v>
      </c>
      <c r="D3395" s="2" t="str">
        <f t="shared" si="289"/>
        <v>FNCP</v>
      </c>
      <c r="E3395" s="2" t="str">
        <f>"GERAÇÃO DE CONTAS DE IMPOSTO"</f>
        <v>GERAÇÃO DE CONTAS DE IMPOSTO</v>
      </c>
      <c r="F3395" s="2" t="str">
        <f>"M_CON_PAG_IMP"</f>
        <v>M_CON_PAG_IMP</v>
      </c>
      <c r="G3395" s="2" t="str">
        <f>"Controladoria / Fiscal / Geração / Geração Contas de Imposto (M_CON_PAG_IMP)"</f>
        <v>Controladoria / Fiscal / Geração / Geração Contas de Imposto (M_CON_PAG_IMP)</v>
      </c>
    </row>
    <row r="3396" spans="1:7" x14ac:dyDescent="0.3">
      <c r="A3396" s="1" t="s">
        <v>4</v>
      </c>
      <c r="B3396" s="2" t="str">
        <f t="shared" si="288"/>
        <v>SISTEMA FINANCEIRO - CONTAS A PAGAR</v>
      </c>
      <c r="C3396" s="2" t="str">
        <f t="shared" si="291"/>
        <v>FINAN</v>
      </c>
      <c r="D3396" s="2" t="str">
        <f t="shared" si="289"/>
        <v>FNCP</v>
      </c>
      <c r="E3396" s="2" t="str">
        <f>"GERAÇÃO DE CONTAS DE IMPOSTO"</f>
        <v>GERAÇÃO DE CONTAS DE IMPOSTO</v>
      </c>
      <c r="F3396" s="2" t="str">
        <f>"M_CON_PAG_IMP"</f>
        <v>M_CON_PAG_IMP</v>
      </c>
      <c r="G3396" s="2" t="s">
        <v>10</v>
      </c>
    </row>
    <row r="3397" spans="1:7" x14ac:dyDescent="0.3">
      <c r="A3397" s="1" t="s">
        <v>4</v>
      </c>
      <c r="B3397" s="2" t="str">
        <f t="shared" ref="B3397:B3460" si="292">"SISTEMA FINANCEIRO - CONTAS A PAGAR"</f>
        <v>SISTEMA FINANCEIRO - CONTAS A PAGAR</v>
      </c>
      <c r="C3397" s="2" t="str">
        <f t="shared" si="291"/>
        <v>FINAN</v>
      </c>
      <c r="D3397" s="2" t="str">
        <f t="shared" ref="D3397:D3460" si="293">"FNCP"</f>
        <v>FNCP</v>
      </c>
      <c r="E3397" s="2" t="str">
        <f>"RELATÓRIO DE SITUAÇÃO DAS NOTAS FISCAIS"</f>
        <v>RELATÓRIO DE SITUAÇÃO DAS NOTAS FISCAIS</v>
      </c>
      <c r="F3397" s="2" t="str">
        <f>"R_SITUACAO_NF.RDF"</f>
        <v>R_SITUACAO_NF.RDF</v>
      </c>
      <c r="G3397" s="2" t="str">
        <f>" ()"</f>
        <v xml:space="preserve"> ()</v>
      </c>
    </row>
    <row r="3398" spans="1:7" x14ac:dyDescent="0.3">
      <c r="A3398" s="1" t="s">
        <v>4</v>
      </c>
      <c r="B3398" s="2" t="str">
        <f t="shared" si="292"/>
        <v>SISTEMA FINANCEIRO - CONTAS A PAGAR</v>
      </c>
      <c r="C3398" s="2" t="str">
        <f t="shared" si="291"/>
        <v>FINAN</v>
      </c>
      <c r="D3398" s="2" t="str">
        <f t="shared" si="293"/>
        <v>FNCP</v>
      </c>
      <c r="E3398" s="2" t="str">
        <f>"RESUMO FINANCEIRO DE CONVÊNIO"</f>
        <v>RESUMO FINANCEIRO DE CONVÊNIO</v>
      </c>
      <c r="F3398" s="2" t="str">
        <f>"R_RESUMO_FINANC_CONV.RDF"</f>
        <v>R_RESUMO_FINANC_CONV.RDF</v>
      </c>
      <c r="G3398" s="2" t="str">
        <f>" ()"</f>
        <v xml:space="preserve"> ()</v>
      </c>
    </row>
    <row r="3399" spans="1:7" x14ac:dyDescent="0.3">
      <c r="A3399" s="1" t="s">
        <v>4</v>
      </c>
      <c r="B3399" s="2" t="str">
        <f t="shared" si="292"/>
        <v>SISTEMA FINANCEIRO - CONTAS A PAGAR</v>
      </c>
      <c r="C3399" s="2" t="str">
        <f t="shared" si="291"/>
        <v>FINAN</v>
      </c>
      <c r="D3399" s="2" t="str">
        <f t="shared" si="293"/>
        <v>FNCP</v>
      </c>
      <c r="E3399" s="2" t="str">
        <f>"RECIBO DE PAGAMENTO"</f>
        <v>RECIBO DE PAGAMENTO</v>
      </c>
      <c r="F3399" s="2" t="str">
        <f>"R_RECIBO_PAGAMENTO.RDF"</f>
        <v>R_RECIBO_PAGAMENTO.RDF</v>
      </c>
      <c r="G3399" s="2" t="str">
        <f>" ()"</f>
        <v xml:space="preserve"> ()</v>
      </c>
    </row>
    <row r="3400" spans="1:7" x14ac:dyDescent="0.3">
      <c r="A3400" s="1" t="s">
        <v>4</v>
      </c>
      <c r="B3400" s="2" t="str">
        <f t="shared" si="292"/>
        <v>SISTEMA FINANCEIRO - CONTAS A PAGAR</v>
      </c>
      <c r="C3400" s="2" t="str">
        <f t="shared" si="291"/>
        <v>FINAN</v>
      </c>
      <c r="D3400" s="2" t="str">
        <f t="shared" si="293"/>
        <v>FNCP</v>
      </c>
      <c r="E3400" s="2" t="str">
        <f>"RELATORIO DE RECEBIMENTOS COM ATRASO"</f>
        <v>RELATORIO DE RECEBIMENTOS COM ATRASO</v>
      </c>
      <c r="F3400" s="2" t="str">
        <f>"R_RECEB_ATRASO_CARACT"</f>
        <v>R_RECEB_ATRASO_CARACT</v>
      </c>
      <c r="G3400" s="2" t="str">
        <f>" ()"</f>
        <v xml:space="preserve"> ()</v>
      </c>
    </row>
    <row r="3401" spans="1:7" x14ac:dyDescent="0.3">
      <c r="A3401" s="1" t="s">
        <v>4</v>
      </c>
      <c r="B3401" s="2" t="str">
        <f t="shared" si="292"/>
        <v>SISTEMA FINANCEIRO - CONTAS A PAGAR</v>
      </c>
      <c r="C3401" s="2" t="str">
        <f t="shared" si="291"/>
        <v>FINAN</v>
      </c>
      <c r="D3401" s="2" t="str">
        <f t="shared" si="293"/>
        <v>FNCP</v>
      </c>
      <c r="E3401" s="2" t="str">
        <f>"CONTAS RECEBIDAS EM ATRASO"</f>
        <v>CONTAS RECEBIDAS EM ATRASO</v>
      </c>
      <c r="F3401" s="2" t="str">
        <f>"R_RECEB_ATRASO"</f>
        <v>R_RECEB_ATRASO</v>
      </c>
      <c r="G3401" s="2" t="s">
        <v>10</v>
      </c>
    </row>
    <row r="3402" spans="1:7" x14ac:dyDescent="0.3">
      <c r="A3402" s="1" t="s">
        <v>4</v>
      </c>
      <c r="B3402" s="2" t="str">
        <f t="shared" si="292"/>
        <v>SISTEMA FINANCEIRO - CONTAS A PAGAR</v>
      </c>
      <c r="C3402" s="2" t="str">
        <f t="shared" si="291"/>
        <v>FINAN</v>
      </c>
      <c r="D3402" s="2" t="str">
        <f t="shared" si="293"/>
        <v>FNCP</v>
      </c>
      <c r="E3402" s="2" t="str">
        <f>"INFORME DE AUDITORÍA DE COMPARTIMIENTO"</f>
        <v>INFORME DE AUDITORÍA DE COMPARTIMIENTO</v>
      </c>
      <c r="F3402" s="2" t="str">
        <f>"R_RAT_AUDIT"</f>
        <v>R_RAT_AUDIT</v>
      </c>
      <c r="G3402" s="2" t="s">
        <v>10</v>
      </c>
    </row>
    <row r="3403" spans="1:7" x14ac:dyDescent="0.3">
      <c r="A3403" s="1" t="s">
        <v>4</v>
      </c>
      <c r="B3403" s="2" t="str">
        <f t="shared" si="292"/>
        <v>SISTEMA FINANCEIRO - CONTAS A PAGAR</v>
      </c>
      <c r="C3403" s="2" t="str">
        <f t="shared" si="291"/>
        <v>FINAN</v>
      </c>
      <c r="D3403" s="2" t="str">
        <f t="shared" si="293"/>
        <v>FNCP</v>
      </c>
      <c r="E3403" s="2" t="str">
        <f>"RELAT. CONTAS DE ADIANTAMENTO  SINTETICO"</f>
        <v>RELAT. CONTAS DE ADIANTAMENTO  SINTETICO</v>
      </c>
      <c r="F3403" s="2" t="str">
        <f>"R_CON_ADIANT_SINT"</f>
        <v>R_CON_ADIANT_SINT</v>
      </c>
      <c r="G3403" s="2" t="s">
        <v>10</v>
      </c>
    </row>
    <row r="3404" spans="1:7" x14ac:dyDescent="0.3">
      <c r="A3404" s="1" t="s">
        <v>4</v>
      </c>
      <c r="B3404" s="2" t="str">
        <f t="shared" si="292"/>
        <v>SISTEMA FINANCEIRO - CONTAS A PAGAR</v>
      </c>
      <c r="C3404" s="2" t="str">
        <f t="shared" si="291"/>
        <v>FINAN</v>
      </c>
      <c r="D3404" s="2" t="str">
        <f t="shared" si="293"/>
        <v>FNCP</v>
      </c>
      <c r="E3404" s="2" t="str">
        <f>"RELATÓRIO IMPORTACAO DO ARQUIVO DO BANCO"</f>
        <v>RELATÓRIO IMPORTACAO DO ARQUIVO DO BANCO</v>
      </c>
      <c r="F3404" s="2" t="str">
        <f>"R_O_IMP_BANCO"</f>
        <v>R_O_IMP_BANCO</v>
      </c>
      <c r="G3404" s="2" t="str">
        <f t="shared" ref="G3404:G3409" si="294">" ()"</f>
        <v xml:space="preserve"> ()</v>
      </c>
    </row>
    <row r="3405" spans="1:7" x14ac:dyDescent="0.3">
      <c r="A3405" s="1" t="s">
        <v>4</v>
      </c>
      <c r="B3405" s="2" t="str">
        <f t="shared" si="292"/>
        <v>SISTEMA FINANCEIRO - CONTAS A PAGAR</v>
      </c>
      <c r="C3405" s="2" t="str">
        <f t="shared" si="291"/>
        <v>FINAN</v>
      </c>
      <c r="D3405" s="2" t="str">
        <f t="shared" si="293"/>
        <v>FNCP</v>
      </c>
      <c r="E3405" s="2" t="str">
        <f>"IMPORTACAO ARQUIVO DE RETORNO DO BANCO"</f>
        <v>IMPORTACAO ARQUIVO DE RETORNO DO BANCO</v>
      </c>
      <c r="F3405" s="2" t="str">
        <f>"O_IMP_BANCO"</f>
        <v>O_IMP_BANCO</v>
      </c>
      <c r="G3405" s="2" t="str">
        <f t="shared" si="294"/>
        <v xml:space="preserve"> ()</v>
      </c>
    </row>
    <row r="3406" spans="1:7" x14ac:dyDescent="0.3">
      <c r="A3406" s="1" t="s">
        <v>4</v>
      </c>
      <c r="B3406" s="2" t="str">
        <f t="shared" si="292"/>
        <v>SISTEMA FINANCEIRO - CONTAS A PAGAR</v>
      </c>
      <c r="C3406" s="2" t="str">
        <f t="shared" si="291"/>
        <v>FINAN</v>
      </c>
      <c r="D3406" s="2" t="str">
        <f t="shared" si="293"/>
        <v>FNCP</v>
      </c>
      <c r="E3406" s="2" t="str">
        <f>"IMPORTACAO DAS FATURAS DO SIAMED"</f>
        <v>IMPORTACAO DAS FATURAS DO SIAMED</v>
      </c>
      <c r="F3406" s="2" t="str">
        <f>"O_IMP_CON_REC"</f>
        <v>O_IMP_CON_REC</v>
      </c>
      <c r="G3406" s="2" t="str">
        <f t="shared" si="294"/>
        <v xml:space="preserve"> ()</v>
      </c>
    </row>
    <row r="3407" spans="1:7" x14ac:dyDescent="0.3">
      <c r="A3407" s="1" t="s">
        <v>4</v>
      </c>
      <c r="B3407" s="2" t="str">
        <f t="shared" si="292"/>
        <v>SISTEMA FINANCEIRO - CONTAS A PAGAR</v>
      </c>
      <c r="C3407" s="2" t="str">
        <f t="shared" si="291"/>
        <v>FINAN</v>
      </c>
      <c r="D3407" s="2" t="str">
        <f t="shared" si="293"/>
        <v>FNCP</v>
      </c>
      <c r="E3407" s="2" t="str">
        <f>"IMPORTACAO DA EMPRESA DO SIAMED"</f>
        <v>IMPORTACAO DA EMPRESA DO SIAMED</v>
      </c>
      <c r="F3407" s="2" t="str">
        <f>"O_IMP_EMPRESA"</f>
        <v>O_IMP_EMPRESA</v>
      </c>
      <c r="G3407" s="2" t="str">
        <f t="shared" si="294"/>
        <v xml:space="preserve"> ()</v>
      </c>
    </row>
    <row r="3408" spans="1:7" x14ac:dyDescent="0.3">
      <c r="A3408" s="1" t="s">
        <v>4</v>
      </c>
      <c r="B3408" s="2" t="str">
        <f t="shared" si="292"/>
        <v>SISTEMA FINANCEIRO - CONTAS A PAGAR</v>
      </c>
      <c r="C3408" s="2" t="str">
        <f t="shared" si="291"/>
        <v>FINAN</v>
      </c>
      <c r="D3408" s="2" t="str">
        <f t="shared" si="293"/>
        <v>FNCP</v>
      </c>
      <c r="E3408" s="2" t="str">
        <f>"D"</f>
        <v>D</v>
      </c>
      <c r="F3408" s="2" t="str">
        <f>"M_FORN_EMP_INT"</f>
        <v>M_FORN_EMP_INT</v>
      </c>
      <c r="G3408" s="2" t="str">
        <f t="shared" si="294"/>
        <v xml:space="preserve"> ()</v>
      </c>
    </row>
    <row r="3409" spans="1:7" x14ac:dyDescent="0.3">
      <c r="A3409" s="1" t="s">
        <v>4</v>
      </c>
      <c r="B3409" s="2" t="str">
        <f t="shared" si="292"/>
        <v>SISTEMA FINANCEIRO - CONTAS A PAGAR</v>
      </c>
      <c r="C3409" s="2" t="str">
        <f t="shared" si="291"/>
        <v>FINAN</v>
      </c>
      <c r="D3409" s="2" t="str">
        <f t="shared" si="293"/>
        <v>FNCP</v>
      </c>
      <c r="E3409" s="2" t="str">
        <f>"INTERFACE DE FORNECEDOR COM EMPRESA"</f>
        <v>INTERFACE DE FORNECEDOR COM EMPRESA</v>
      </c>
      <c r="F3409" s="2" t="str">
        <f>"FORN_EMP_INTERFACE"</f>
        <v>FORN_EMP_INTERFACE</v>
      </c>
      <c r="G3409" s="2" t="str">
        <f t="shared" si="294"/>
        <v xml:space="preserve"> ()</v>
      </c>
    </row>
    <row r="3410" spans="1:7" x14ac:dyDescent="0.3">
      <c r="A3410" s="1" t="s">
        <v>4</v>
      </c>
      <c r="B3410" s="2" t="str">
        <f t="shared" si="292"/>
        <v>SISTEMA FINANCEIRO - CONTAS A PAGAR</v>
      </c>
      <c r="C3410" s="2" t="str">
        <f t="shared" si="291"/>
        <v>FINAN</v>
      </c>
      <c r="D3410" s="2" t="str">
        <f t="shared" si="293"/>
        <v>FNCP</v>
      </c>
      <c r="E3410" s="2" t="str">
        <f>"RELAT. CONTAS A PAGAR DE AGRUPAMENTO"</f>
        <v>RELAT. CONTAS A PAGAR DE AGRUPAMENTO</v>
      </c>
      <c r="F3410" s="2" t="str">
        <f>"R_CON_APAG_AGRUP"</f>
        <v>R_CON_APAG_AGRUP</v>
      </c>
      <c r="G3410" s="2" t="s">
        <v>10</v>
      </c>
    </row>
    <row r="3411" spans="1:7" x14ac:dyDescent="0.3">
      <c r="A3411" s="1" t="s">
        <v>4</v>
      </c>
      <c r="B3411" s="2" t="str">
        <f t="shared" si="292"/>
        <v>SISTEMA FINANCEIRO - CONTAS A PAGAR</v>
      </c>
      <c r="C3411" s="2" t="str">
        <f t="shared" si="291"/>
        <v>FINAN</v>
      </c>
      <c r="D3411" s="2" t="str">
        <f t="shared" si="293"/>
        <v>FNCP</v>
      </c>
      <c r="E3411" s="2" t="str">
        <f>"RELATÓRIO DE SITUAÇÃO DAS NOTAS FISCAIS"</f>
        <v>RELATÓRIO DE SITUAÇÃO DAS NOTAS FISCAIS</v>
      </c>
      <c r="F3411" s="2" t="str">
        <f>"R_SITUACAO_NF"</f>
        <v>R_SITUACAO_NF</v>
      </c>
      <c r="G3411" s="2" t="s">
        <v>10</v>
      </c>
    </row>
    <row r="3412" spans="1:7" x14ac:dyDescent="0.3">
      <c r="A3412" s="1" t="s">
        <v>4</v>
      </c>
      <c r="B3412" s="2" t="str">
        <f t="shared" si="292"/>
        <v>SISTEMA FINANCEIRO - CONTAS A PAGAR</v>
      </c>
      <c r="C3412" s="2" t="str">
        <f t="shared" si="291"/>
        <v>FINAN</v>
      </c>
      <c r="D3412" s="2" t="str">
        <f t="shared" si="293"/>
        <v>FNCP</v>
      </c>
      <c r="E3412" s="2" t="str">
        <f>"RELATÓRIO DE SITUAÇÃO DAS NOTAS FISCAIS"</f>
        <v>RELATÓRIO DE SITUAÇÃO DAS NOTAS FISCAIS</v>
      </c>
      <c r="F3412" s="2" t="str">
        <f>"R_SITUACAO_NF"</f>
        <v>R_SITUACAO_NF</v>
      </c>
      <c r="G3412" s="2" t="str">
        <f>"Controladoria / Fiscal / Relatórios / Situação das Notas Fiscais (R_SITUACAO_NF)"</f>
        <v>Controladoria / Fiscal / Relatórios / Situação das Notas Fiscais (R_SITUACAO_NF)</v>
      </c>
    </row>
    <row r="3413" spans="1:7" x14ac:dyDescent="0.3">
      <c r="A3413" s="1" t="s">
        <v>4</v>
      </c>
      <c r="B3413" s="2" t="str">
        <f t="shared" si="292"/>
        <v>SISTEMA FINANCEIRO - CONTAS A PAGAR</v>
      </c>
      <c r="C3413" s="2" t="str">
        <f t="shared" si="291"/>
        <v>FINAN</v>
      </c>
      <c r="D3413" s="2" t="str">
        <f t="shared" si="293"/>
        <v>FNCP</v>
      </c>
      <c r="E3413" s="2" t="str">
        <f>"RELATÓRIO DE ENTRADA DE NOTA"</f>
        <v>RELATÓRIO DE ENTRADA DE NOTA</v>
      </c>
      <c r="F3413" s="2" t="str">
        <f>"R_NOTA_ENTRADA"</f>
        <v>R_NOTA_ENTRADA</v>
      </c>
      <c r="G3413" s="2" t="s">
        <v>10</v>
      </c>
    </row>
    <row r="3414" spans="1:7" x14ac:dyDescent="0.3">
      <c r="A3414" s="1" t="s">
        <v>4</v>
      </c>
      <c r="B3414" s="2" t="str">
        <f t="shared" si="292"/>
        <v>SISTEMA FINANCEIRO - CONTAS A PAGAR</v>
      </c>
      <c r="C3414" s="2" t="str">
        <f t="shared" si="291"/>
        <v>FINAN</v>
      </c>
      <c r="D3414" s="2" t="str">
        <f t="shared" si="293"/>
        <v>FNCP</v>
      </c>
      <c r="E3414" s="2" t="str">
        <f>"R_COMP_REND_DIRF"</f>
        <v>R_COMP_REND_DIRF</v>
      </c>
      <c r="F3414" s="2" t="str">
        <f>"R_COMP_REND_DIRF"</f>
        <v>R_COMP_REND_DIRF</v>
      </c>
      <c r="G3414" s="2" t="str">
        <f>" ()"</f>
        <v xml:space="preserve"> ()</v>
      </c>
    </row>
    <row r="3415" spans="1:7" x14ac:dyDescent="0.3">
      <c r="A3415" s="1" t="s">
        <v>4</v>
      </c>
      <c r="B3415" s="2" t="str">
        <f t="shared" si="292"/>
        <v>SISTEMA FINANCEIRO - CONTAS A PAGAR</v>
      </c>
      <c r="C3415" s="2" t="str">
        <f t="shared" si="291"/>
        <v>FINAN</v>
      </c>
      <c r="D3415" s="2" t="str">
        <f t="shared" si="293"/>
        <v>FNCP</v>
      </c>
      <c r="E3415" s="2" t="str">
        <f>"CADASTRO: RETENÇÃO DE TRIBUTOS"</f>
        <v>CADASTRO: RETENÇÃO DE TRIBUTOS</v>
      </c>
      <c r="F3415" s="2" t="str">
        <f>"M_RETENCAO_TRIBUTO"</f>
        <v>M_RETENCAO_TRIBUTO</v>
      </c>
      <c r="G3415" s="2" t="str">
        <f>"Controladoria / Fiscal / Movimentação / Retenção de Tributos (M_RETENCAO_TRIBUTO)"</f>
        <v>Controladoria / Fiscal / Movimentação / Retenção de Tributos (M_RETENCAO_TRIBUTO)</v>
      </c>
    </row>
    <row r="3416" spans="1:7" x14ac:dyDescent="0.3">
      <c r="A3416" s="1" t="s">
        <v>4</v>
      </c>
      <c r="B3416" s="2" t="str">
        <f t="shared" si="292"/>
        <v>SISTEMA FINANCEIRO - CONTAS A PAGAR</v>
      </c>
      <c r="C3416" s="2" t="str">
        <f t="shared" si="291"/>
        <v>FINAN</v>
      </c>
      <c r="D3416" s="2" t="str">
        <f t="shared" si="293"/>
        <v>FNCP</v>
      </c>
      <c r="E3416" s="2" t="str">
        <f>"CADASTRO: RETENÇÃO DE TRIBUTOS"</f>
        <v>CADASTRO: RETENÇÃO DE TRIBUTOS</v>
      </c>
      <c r="F3416" s="2" t="str">
        <f>"M_RETENCAO_TRIBUTO"</f>
        <v>M_RETENCAO_TRIBUTO</v>
      </c>
      <c r="G3416" s="2" t="s">
        <v>10</v>
      </c>
    </row>
    <row r="3417" spans="1:7" x14ac:dyDescent="0.3">
      <c r="A3417" s="1" t="s">
        <v>4</v>
      </c>
      <c r="B3417" s="2" t="str">
        <f t="shared" si="292"/>
        <v>SISTEMA FINANCEIRO - CONTAS A PAGAR</v>
      </c>
      <c r="C3417" s="2" t="str">
        <f t="shared" si="291"/>
        <v>FINAN</v>
      </c>
      <c r="D3417" s="2" t="str">
        <f t="shared" si="293"/>
        <v>FNCP</v>
      </c>
      <c r="E3417" s="2" t="str">
        <f>"R_ACOMP_CONV_451"</f>
        <v>R_ACOMP_CONV_451</v>
      </c>
      <c r="F3417" s="2" t="str">
        <f>"R_ACOMP_CONV_451"</f>
        <v>R_ACOMP_CONV_451</v>
      </c>
      <c r="G3417" s="2" t="str">
        <f>" ()"</f>
        <v xml:space="preserve"> ()</v>
      </c>
    </row>
    <row r="3418" spans="1:7" x14ac:dyDescent="0.3">
      <c r="A3418" s="1" t="s">
        <v>4</v>
      </c>
      <c r="B3418" s="2" t="str">
        <f t="shared" si="292"/>
        <v>SISTEMA FINANCEIRO - CONTAS A PAGAR</v>
      </c>
      <c r="C3418" s="2" t="str">
        <f t="shared" si="291"/>
        <v>FINAN</v>
      </c>
      <c r="D3418" s="2" t="str">
        <f t="shared" si="293"/>
        <v>FNCP</v>
      </c>
      <c r="E3418" s="2" t="str">
        <f>"WIN_PRINCIPAL"</f>
        <v>WIN_PRINCIPAL</v>
      </c>
      <c r="F3418" s="2" t="str">
        <f>"O_CANC_PREV_CON_REC"</f>
        <v>O_CANC_PREV_CON_REC</v>
      </c>
      <c r="G3418" s="2" t="s">
        <v>10</v>
      </c>
    </row>
    <row r="3419" spans="1:7" x14ac:dyDescent="0.3">
      <c r="A3419" s="1" t="s">
        <v>4</v>
      </c>
      <c r="B3419" s="2" t="str">
        <f t="shared" si="292"/>
        <v>SISTEMA FINANCEIRO - CONTAS A PAGAR</v>
      </c>
      <c r="C3419" s="2" t="str">
        <f t="shared" si="291"/>
        <v>FINAN</v>
      </c>
      <c r="D3419" s="2" t="str">
        <f t="shared" si="293"/>
        <v>FNCP</v>
      </c>
      <c r="E3419" s="2" t="str">
        <f>"RELATÓRIO DE RESUMO GERAL DE GLOSA"</f>
        <v>RELATÓRIO DE RESUMO GERAL DE GLOSA</v>
      </c>
      <c r="F3419" s="2" t="str">
        <f>"R_CONTA_REC_CONV_RESUMO"</f>
        <v>R_CONTA_REC_CONV_RESUMO</v>
      </c>
      <c r="G3419" s="2" t="str">
        <f>" ()"</f>
        <v xml:space="preserve"> ()</v>
      </c>
    </row>
    <row r="3420" spans="1:7" x14ac:dyDescent="0.3">
      <c r="A3420" s="1" t="s">
        <v>4</v>
      </c>
      <c r="B3420" s="2" t="str">
        <f t="shared" si="292"/>
        <v>SISTEMA FINANCEIRO - CONTAS A PAGAR</v>
      </c>
      <c r="C3420" s="2" t="str">
        <f t="shared" si="291"/>
        <v>FINAN</v>
      </c>
      <c r="D3420" s="2" t="str">
        <f t="shared" si="293"/>
        <v>FNCP</v>
      </c>
      <c r="E3420" s="2" t="str">
        <f>"R_CONTA_REC_DIV"</f>
        <v>R_CONTA_REC_DIV</v>
      </c>
      <c r="F3420" s="2" t="str">
        <f>"R_CONTA_REC_DIV"</f>
        <v>R_CONTA_REC_DIV</v>
      </c>
      <c r="G3420" s="2" t="str">
        <f>" ()"</f>
        <v xml:space="preserve"> ()</v>
      </c>
    </row>
    <row r="3421" spans="1:7" x14ac:dyDescent="0.3">
      <c r="A3421" s="1" t="s">
        <v>4</v>
      </c>
      <c r="B3421" s="2" t="str">
        <f t="shared" si="292"/>
        <v>SISTEMA FINANCEIRO - CONTAS A PAGAR</v>
      </c>
      <c r="C3421" s="2" t="str">
        <f t="shared" si="291"/>
        <v>FINAN</v>
      </c>
      <c r="D3421" s="2" t="str">
        <f t="shared" si="293"/>
        <v>FNCP</v>
      </c>
      <c r="E3421" s="2" t="str">
        <f>"WIN_PRINCIPAL"</f>
        <v>WIN_PRINCIPAL</v>
      </c>
      <c r="F3421" s="2" t="str">
        <f>"C_DET_FORN"</f>
        <v>C_DET_FORN</v>
      </c>
      <c r="G3421" s="2" t="str">
        <f>"Controladoria / Fiscal / Consultas / Impostos por Fornecedor (C_DET_FORN)"</f>
        <v>Controladoria / Fiscal / Consultas / Impostos por Fornecedor (C_DET_FORN)</v>
      </c>
    </row>
    <row r="3422" spans="1:7" x14ac:dyDescent="0.3">
      <c r="A3422" s="1" t="s">
        <v>4</v>
      </c>
      <c r="B3422" s="2" t="str">
        <f t="shared" si="292"/>
        <v>SISTEMA FINANCEIRO - CONTAS A PAGAR</v>
      </c>
      <c r="C3422" s="2" t="str">
        <f t="shared" si="291"/>
        <v>FINAN</v>
      </c>
      <c r="D3422" s="2" t="str">
        <f t="shared" si="293"/>
        <v>FNCP</v>
      </c>
      <c r="E3422" s="2" t="str">
        <f>"WIN_PRINCIPAL"</f>
        <v>WIN_PRINCIPAL</v>
      </c>
      <c r="F3422" s="2" t="str">
        <f>"C_DET_FORN"</f>
        <v>C_DET_FORN</v>
      </c>
      <c r="G3422" s="2" t="s">
        <v>10</v>
      </c>
    </row>
    <row r="3423" spans="1:7" x14ac:dyDescent="0.3">
      <c r="A3423" s="1" t="s">
        <v>4</v>
      </c>
      <c r="B3423" s="2" t="str">
        <f t="shared" si="292"/>
        <v>SISTEMA FINANCEIRO - CONTAS A PAGAR</v>
      </c>
      <c r="C3423" s="2" t="str">
        <f t="shared" si="291"/>
        <v>FINAN</v>
      </c>
      <c r="D3423" s="2" t="str">
        <f t="shared" si="293"/>
        <v>FNCP</v>
      </c>
      <c r="E3423" s="2" t="str">
        <f>"REL DE EVOLUÇÃO DAS CONTAS A RECEBER"</f>
        <v>REL DE EVOLUÇÃO DAS CONTAS A RECEBER</v>
      </c>
      <c r="F3423" s="2" t="str">
        <f>"R_CON_REC_CENSO"</f>
        <v>R_CON_REC_CENSO</v>
      </c>
      <c r="G3423" s="2" t="s">
        <v>10</v>
      </c>
    </row>
    <row r="3424" spans="1:7" x14ac:dyDescent="0.3">
      <c r="A3424" s="1" t="s">
        <v>4</v>
      </c>
      <c r="B3424" s="2" t="str">
        <f t="shared" si="292"/>
        <v>SISTEMA FINANCEIRO - CONTAS A PAGAR</v>
      </c>
      <c r="C3424" s="2" t="str">
        <f t="shared" si="291"/>
        <v>FINAN</v>
      </c>
      <c r="D3424" s="2" t="str">
        <f t="shared" si="293"/>
        <v>FNCP</v>
      </c>
      <c r="E3424" s="2" t="str">
        <f>"TELA DE ADIANTAMENTO P/ NÃO FORNECEDORES"</f>
        <v>TELA DE ADIANTAMENTO P/ NÃO FORNECEDORES</v>
      </c>
      <c r="F3424" s="2" t="str">
        <f>"M_CONPAG_NAO_FORNEC"</f>
        <v>M_CONPAG_NAO_FORNEC</v>
      </c>
      <c r="G3424" s="2" t="str">
        <f>" ()"</f>
        <v xml:space="preserve"> ()</v>
      </c>
    </row>
    <row r="3425" spans="1:7" x14ac:dyDescent="0.3">
      <c r="A3425" s="1" t="s">
        <v>4</v>
      </c>
      <c r="B3425" s="2" t="str">
        <f t="shared" si="292"/>
        <v>SISTEMA FINANCEIRO - CONTAS A PAGAR</v>
      </c>
      <c r="C3425" s="2" t="str">
        <f t="shared" si="291"/>
        <v>FINAN</v>
      </c>
      <c r="D3425" s="2" t="str">
        <f t="shared" si="293"/>
        <v>FNCP</v>
      </c>
      <c r="E3425" s="2" t="str">
        <f>"CONTROLE DE CAIXA ( BANDEIRANTES)"</f>
        <v>CONTROLE DE CAIXA ( BANDEIRANTES)</v>
      </c>
      <c r="F3425" s="2" t="str">
        <f>" R_CAIXA_BAND"</f>
        <v xml:space="preserve"> R_CAIXA_BAND</v>
      </c>
      <c r="G3425" s="2" t="str">
        <f>" ()"</f>
        <v xml:space="preserve"> ()</v>
      </c>
    </row>
    <row r="3426" spans="1:7" x14ac:dyDescent="0.3">
      <c r="A3426" s="1" t="s">
        <v>4</v>
      </c>
      <c r="B3426" s="2" t="str">
        <f t="shared" si="292"/>
        <v>SISTEMA FINANCEIRO - CONTAS A PAGAR</v>
      </c>
      <c r="C3426" s="2" t="str">
        <f t="shared" si="291"/>
        <v>FINAN</v>
      </c>
      <c r="D3426" s="2" t="str">
        <f t="shared" si="293"/>
        <v>FNCP</v>
      </c>
      <c r="E3426" s="2" t="str">
        <f>"TRIGGER ITORD_PRO AFTER DEL"</f>
        <v>TRIGGER ITORD_PRO AFTER DEL</v>
      </c>
      <c r="F3426" s="2" t="str">
        <f>"TRG_ORD_COM_PREV_AFT_DEL"</f>
        <v>TRG_ORD_COM_PREV_AFT_DEL</v>
      </c>
      <c r="G3426" s="2" t="str">
        <f>" ()"</f>
        <v xml:space="preserve"> ()</v>
      </c>
    </row>
    <row r="3427" spans="1:7" x14ac:dyDescent="0.3">
      <c r="A3427" s="1" t="s">
        <v>4</v>
      </c>
      <c r="B3427" s="2" t="str">
        <f t="shared" si="292"/>
        <v>SISTEMA FINANCEIRO - CONTAS A PAGAR</v>
      </c>
      <c r="C3427" s="2" t="str">
        <f t="shared" si="291"/>
        <v>FINAN</v>
      </c>
      <c r="D3427" s="2" t="str">
        <f t="shared" si="293"/>
        <v>FNCP</v>
      </c>
      <c r="E3427" s="2" t="str">
        <f>"TRIGGER ITORD_PRO AFTER INSERT"</f>
        <v>TRIGGER ITORD_PRO AFTER INSERT</v>
      </c>
      <c r="F3427" s="2" t="str">
        <f>"TRG_ORD_COM_PREV_AFT_INS"</f>
        <v>TRG_ORD_COM_PREV_AFT_INS</v>
      </c>
      <c r="G3427" s="2" t="str">
        <f>" ()"</f>
        <v xml:space="preserve"> ()</v>
      </c>
    </row>
    <row r="3428" spans="1:7" x14ac:dyDescent="0.3">
      <c r="A3428" s="1" t="s">
        <v>4</v>
      </c>
      <c r="B3428" s="2" t="str">
        <f t="shared" si="292"/>
        <v>SISTEMA FINANCEIRO - CONTAS A PAGAR</v>
      </c>
      <c r="C3428" s="2" t="str">
        <f t="shared" si="291"/>
        <v>FINAN</v>
      </c>
      <c r="D3428" s="2" t="str">
        <f t="shared" si="293"/>
        <v>FNCP</v>
      </c>
      <c r="E3428" s="2" t="str">
        <f>"TELA DE CADASTRO/RECEBIMENTO SIMP"</f>
        <v>TELA DE CADASTRO/RECEBIMENTO SIMP</v>
      </c>
      <c r="F3428" s="2" t="str">
        <f>"M_CON_REC_SIMP"</f>
        <v>M_CON_REC_SIMP</v>
      </c>
      <c r="G3428" s="2" t="s">
        <v>10</v>
      </c>
    </row>
    <row r="3429" spans="1:7" x14ac:dyDescent="0.3">
      <c r="A3429" s="1" t="s">
        <v>4</v>
      </c>
      <c r="B3429" s="2" t="str">
        <f t="shared" si="292"/>
        <v>SISTEMA FINANCEIRO - CONTAS A PAGAR</v>
      </c>
      <c r="C3429" s="2" t="str">
        <f t="shared" si="291"/>
        <v>FINAN</v>
      </c>
      <c r="D3429" s="2" t="str">
        <f t="shared" si="293"/>
        <v>FNCP</v>
      </c>
      <c r="E3429" s="2" t="str">
        <f>"RELAT. MAPA FLUXO DE CAIXA ( SINTETICO )"</f>
        <v>RELAT. MAPA FLUXO DE CAIXA ( SINTETICO )</v>
      </c>
      <c r="F3429" s="2" t="str">
        <f>"R_MAPA_FLUXO_CAIXA"</f>
        <v>R_MAPA_FLUXO_CAIXA</v>
      </c>
      <c r="G3429" s="2" t="str">
        <f>" ()"</f>
        <v xml:space="preserve"> ()</v>
      </c>
    </row>
    <row r="3430" spans="1:7" x14ac:dyDescent="0.3">
      <c r="A3430" s="1" t="s">
        <v>4</v>
      </c>
      <c r="B3430" s="2" t="str">
        <f t="shared" si="292"/>
        <v>SISTEMA FINANCEIRO - CONTAS A PAGAR</v>
      </c>
      <c r="C3430" s="2" t="str">
        <f t="shared" si="291"/>
        <v>FINAN</v>
      </c>
      <c r="D3430" s="2" t="str">
        <f t="shared" si="293"/>
        <v>FNCP</v>
      </c>
      <c r="E3430" s="2" t="str">
        <f>"RELATORIO CONTAS RECEBIDAS SIMPLIFICADO"</f>
        <v>RELATORIO CONTAS RECEBIDAS SIMPLIFICADO</v>
      </c>
      <c r="F3430" s="2" t="str">
        <f>"R_CON_RECEP_SIMP"</f>
        <v>R_CON_RECEP_SIMP</v>
      </c>
      <c r="G3430" s="2" t="str">
        <f>" ()"</f>
        <v xml:space="preserve"> ()</v>
      </c>
    </row>
    <row r="3431" spans="1:7" x14ac:dyDescent="0.3">
      <c r="A3431" s="1" t="s">
        <v>4</v>
      </c>
      <c r="B3431" s="2" t="str">
        <f t="shared" si="292"/>
        <v>SISTEMA FINANCEIRO - CONTAS A PAGAR</v>
      </c>
      <c r="C3431" s="2" t="str">
        <f t="shared" si="291"/>
        <v>FINAN</v>
      </c>
      <c r="D3431" s="2" t="str">
        <f t="shared" si="293"/>
        <v>FNCP</v>
      </c>
      <c r="E3431" s="2" t="str">
        <f>"TELA DE ESTORNO DE PAGAMENTOS"</f>
        <v>TELA DE ESTORNO DE PAGAMENTOS</v>
      </c>
      <c r="F3431" s="2" t="str">
        <f>"O_ESTORNO_PAG"</f>
        <v>O_ESTORNO_PAG</v>
      </c>
      <c r="G3431" s="2" t="s">
        <v>10</v>
      </c>
    </row>
    <row r="3432" spans="1:7" x14ac:dyDescent="0.3">
      <c r="A3432" s="1" t="s">
        <v>4</v>
      </c>
      <c r="B3432" s="2" t="str">
        <f t="shared" si="292"/>
        <v>SISTEMA FINANCEIRO - CONTAS A PAGAR</v>
      </c>
      <c r="C3432" s="2" t="str">
        <f t="shared" si="291"/>
        <v>FINAN</v>
      </c>
      <c r="D3432" s="2" t="str">
        <f t="shared" si="293"/>
        <v>FNCP</v>
      </c>
      <c r="E3432" s="2" t="str">
        <f>"REL. TÍTULO EM ATRASO MODO CARACTER"</f>
        <v>REL. TÍTULO EM ATRASO MODO CARACTER</v>
      </c>
      <c r="F3432" s="2" t="str">
        <f>"R_TITULO_ATRASO_CARACT"</f>
        <v>R_TITULO_ATRASO_CARACT</v>
      </c>
      <c r="G3432" s="2" t="str">
        <f>" ()"</f>
        <v xml:space="preserve"> ()</v>
      </c>
    </row>
    <row r="3433" spans="1:7" x14ac:dyDescent="0.3">
      <c r="A3433" s="1" t="s">
        <v>4</v>
      </c>
      <c r="B3433" s="2" t="str">
        <f t="shared" si="292"/>
        <v>SISTEMA FINANCEIRO - CONTAS A PAGAR</v>
      </c>
      <c r="C3433" s="2" t="str">
        <f t="shared" si="291"/>
        <v>FINAN</v>
      </c>
      <c r="D3433" s="2" t="str">
        <f t="shared" si="293"/>
        <v>FNCP</v>
      </c>
      <c r="E3433" s="2" t="str">
        <f>"REL. TÍTULOS EM ATRASO"</f>
        <v>REL. TÍTULOS EM ATRASO</v>
      </c>
      <c r="F3433" s="2" t="str">
        <f>"R_TITULO_ATRASO"</f>
        <v>R_TITULO_ATRASO</v>
      </c>
      <c r="G3433" s="2" t="s">
        <v>10</v>
      </c>
    </row>
    <row r="3434" spans="1:7" x14ac:dyDescent="0.3">
      <c r="A3434" s="1" t="s">
        <v>4</v>
      </c>
      <c r="B3434" s="2" t="str">
        <f t="shared" si="292"/>
        <v>SISTEMA FINANCEIRO - CONTAS A PAGAR</v>
      </c>
      <c r="C3434" s="2" t="str">
        <f t="shared" si="291"/>
        <v>FINAN</v>
      </c>
      <c r="D3434" s="2" t="str">
        <f t="shared" si="293"/>
        <v>FNCP</v>
      </c>
      <c r="E3434" s="2" t="str">
        <f>"CONTA A PGAR IRMA DULCE"</f>
        <v>CONTA A PGAR IRMA DULCE</v>
      </c>
      <c r="F3434" s="2" t="str">
        <f>"M_CONPAG_RES_IRMA_DULCE"</f>
        <v>M_CONPAG_RES_IRMA_DULCE</v>
      </c>
      <c r="G3434" s="2" t="str">
        <f>" ()"</f>
        <v xml:space="preserve"> ()</v>
      </c>
    </row>
    <row r="3435" spans="1:7" x14ac:dyDescent="0.3">
      <c r="A3435" s="1" t="s">
        <v>4</v>
      </c>
      <c r="B3435" s="2" t="str">
        <f t="shared" si="292"/>
        <v>SISTEMA FINANCEIRO - CONTAS A PAGAR</v>
      </c>
      <c r="C3435" s="2" t="str">
        <f t="shared" si="291"/>
        <v>FINAN</v>
      </c>
      <c r="D3435" s="2" t="str">
        <f t="shared" si="293"/>
        <v>FNCP</v>
      </c>
      <c r="E3435" s="2" t="str">
        <f>"RELATÓRIO EMISSÃO DO DAM"</f>
        <v>RELATÓRIO EMISSÃO DO DAM</v>
      </c>
      <c r="F3435" s="2" t="str">
        <f>"R_DAM"</f>
        <v>R_DAM</v>
      </c>
      <c r="G3435" s="2" t="s">
        <v>10</v>
      </c>
    </row>
    <row r="3436" spans="1:7" x14ac:dyDescent="0.3">
      <c r="A3436" s="1" t="s">
        <v>4</v>
      </c>
      <c r="B3436" s="2" t="str">
        <f t="shared" si="292"/>
        <v>SISTEMA FINANCEIRO - CONTAS A PAGAR</v>
      </c>
      <c r="C3436" s="2" t="str">
        <f t="shared" si="291"/>
        <v>FINAN</v>
      </c>
      <c r="D3436" s="2" t="str">
        <f t="shared" si="293"/>
        <v>FNCP</v>
      </c>
      <c r="E3436" s="2" t="str">
        <f>"RELATÓRIO EMISSÃO DO DAM"</f>
        <v>RELATÓRIO EMISSÃO DO DAM</v>
      </c>
      <c r="F3436" s="2" t="str">
        <f>"R_DAM"</f>
        <v>R_DAM</v>
      </c>
      <c r="G3436" s="2" t="str">
        <f>"Controladoria / Fiscal / Relatórios / Emissão do DAM (R_DAM)"</f>
        <v>Controladoria / Fiscal / Relatórios / Emissão do DAM (R_DAM)</v>
      </c>
    </row>
    <row r="3437" spans="1:7" x14ac:dyDescent="0.3">
      <c r="A3437" s="1" t="s">
        <v>4</v>
      </c>
      <c r="B3437" s="2" t="str">
        <f t="shared" si="292"/>
        <v>SISTEMA FINANCEIRO - CONTAS A PAGAR</v>
      </c>
      <c r="C3437" s="2" t="str">
        <f t="shared" si="291"/>
        <v>FINAN</v>
      </c>
      <c r="D3437" s="2" t="str">
        <f t="shared" si="293"/>
        <v>FNCP</v>
      </c>
      <c r="E3437" s="2" t="str">
        <f>"R_GPS"</f>
        <v>R_GPS</v>
      </c>
      <c r="F3437" s="2" t="str">
        <f>"R_GPS"</f>
        <v>R_GPS</v>
      </c>
      <c r="G3437" s="2" t="s">
        <v>10</v>
      </c>
    </row>
    <row r="3438" spans="1:7" x14ac:dyDescent="0.3">
      <c r="A3438" s="1" t="s">
        <v>4</v>
      </c>
      <c r="B3438" s="2" t="str">
        <f t="shared" si="292"/>
        <v>SISTEMA FINANCEIRO - CONTAS A PAGAR</v>
      </c>
      <c r="C3438" s="2" t="str">
        <f t="shared" si="291"/>
        <v>FINAN</v>
      </c>
      <c r="D3438" s="2" t="str">
        <f t="shared" si="293"/>
        <v>FNCP</v>
      </c>
      <c r="E3438" s="2" t="str">
        <f>"R_GPS"</f>
        <v>R_GPS</v>
      </c>
      <c r="F3438" s="2" t="str">
        <f>"R_GPS"</f>
        <v>R_GPS</v>
      </c>
      <c r="G3438" s="2" t="str">
        <f>"Controladoria / Fiscal / Relatórios / Emissão do GPS (R_GPS)"</f>
        <v>Controladoria / Fiscal / Relatórios / Emissão do GPS (R_GPS)</v>
      </c>
    </row>
    <row r="3439" spans="1:7" x14ac:dyDescent="0.3">
      <c r="A3439" s="1" t="s">
        <v>4</v>
      </c>
      <c r="B3439" s="2" t="str">
        <f t="shared" si="292"/>
        <v>SISTEMA FINANCEIRO - CONTAS A PAGAR</v>
      </c>
      <c r="C3439" s="2" t="str">
        <f t="shared" si="291"/>
        <v>FINAN</v>
      </c>
      <c r="D3439" s="2" t="str">
        <f t="shared" si="293"/>
        <v>FNCP</v>
      </c>
      <c r="E3439" s="2" t="str">
        <f>"R_IMP_FFCV_FNFI"</f>
        <v>R_IMP_FFCV_FNFI</v>
      </c>
      <c r="F3439" s="2" t="str">
        <f>"R_IMP_FFCV_FNFI"</f>
        <v>R_IMP_FFCV_FNFI</v>
      </c>
      <c r="G3439" s="2" t="s">
        <v>10</v>
      </c>
    </row>
    <row r="3440" spans="1:7" x14ac:dyDescent="0.3">
      <c r="A3440" s="1" t="s">
        <v>4</v>
      </c>
      <c r="B3440" s="2" t="str">
        <f t="shared" si="292"/>
        <v>SISTEMA FINANCEIRO - CONTAS A PAGAR</v>
      </c>
      <c r="C3440" s="2" t="str">
        <f t="shared" si="291"/>
        <v>FINAN</v>
      </c>
      <c r="D3440" s="2" t="str">
        <f t="shared" si="293"/>
        <v>FNCP</v>
      </c>
      <c r="E3440" s="2" t="str">
        <f>"R_VISAO_CONTA"</f>
        <v>R_VISAO_CONTA</v>
      </c>
      <c r="F3440" s="2" t="str">
        <f>"R_VISAO_CONTA"</f>
        <v>R_VISAO_CONTA</v>
      </c>
      <c r="G3440" s="2" t="s">
        <v>10</v>
      </c>
    </row>
    <row r="3441" spans="1:7" x14ac:dyDescent="0.3">
      <c r="A3441" s="1" t="s">
        <v>4</v>
      </c>
      <c r="B3441" s="2" t="str">
        <f t="shared" si="292"/>
        <v>SISTEMA FINANCEIRO - CONTAS A PAGAR</v>
      </c>
      <c r="C3441" s="2" t="str">
        <f t="shared" si="291"/>
        <v>FINAN</v>
      </c>
      <c r="D3441" s="2" t="str">
        <f t="shared" si="293"/>
        <v>FNCP</v>
      </c>
      <c r="E3441" s="2" t="str">
        <f>"C_RESUMO_FINANCEIRO"</f>
        <v>C_RESUMO_FINANCEIRO</v>
      </c>
      <c r="F3441" s="2" t="str">
        <f>"C_RESUMO_FINANCEIRO"</f>
        <v>C_RESUMO_FINANCEIRO</v>
      </c>
      <c r="G3441" s="2" t="s">
        <v>10</v>
      </c>
    </row>
    <row r="3442" spans="1:7" x14ac:dyDescent="0.3">
      <c r="A3442" s="1" t="s">
        <v>4</v>
      </c>
      <c r="B3442" s="2" t="str">
        <f t="shared" si="292"/>
        <v>SISTEMA FINANCEIRO - CONTAS A PAGAR</v>
      </c>
      <c r="C3442" s="2" t="str">
        <f t="shared" si="291"/>
        <v>FINAN</v>
      </c>
      <c r="D3442" s="2" t="str">
        <f t="shared" si="293"/>
        <v>FNCP</v>
      </c>
      <c r="E3442" s="2" t="str">
        <f>"CANCELAMENTO DE ESTORNO DE PAGAMENTOS"</f>
        <v>CANCELAMENTO DE ESTORNO DE PAGAMENTOS</v>
      </c>
      <c r="F3442" s="2" t="str">
        <f>"O_CANC_ESTORNO_PAG"</f>
        <v>O_CANC_ESTORNO_PAG</v>
      </c>
      <c r="G3442" s="2" t="s">
        <v>10</v>
      </c>
    </row>
    <row r="3443" spans="1:7" x14ac:dyDescent="0.3">
      <c r="A3443" s="1" t="s">
        <v>4</v>
      </c>
      <c r="B3443" s="2" t="str">
        <f t="shared" si="292"/>
        <v>SISTEMA FINANCEIRO - CONTAS A PAGAR</v>
      </c>
      <c r="C3443" s="2" t="str">
        <f t="shared" si="291"/>
        <v>FINAN</v>
      </c>
      <c r="D3443" s="2" t="str">
        <f t="shared" si="293"/>
        <v>FNCP</v>
      </c>
      <c r="E3443" s="2" t="str">
        <f>"IMPORTAÇÃO DO FATURAMENTO X FINANCEIRO"</f>
        <v>IMPORTAÇÃO DO FATURAMENTO X FINANCEIRO</v>
      </c>
      <c r="F3443" s="2" t="str">
        <f>"O_IMP_FFCV_FNFI"</f>
        <v>O_IMP_FFCV_FNFI</v>
      </c>
      <c r="G3443" s="2" t="s">
        <v>10</v>
      </c>
    </row>
    <row r="3444" spans="1:7" x14ac:dyDescent="0.3">
      <c r="A3444" s="1" t="s">
        <v>4</v>
      </c>
      <c r="B3444" s="2" t="str">
        <f t="shared" si="292"/>
        <v>SISTEMA FINANCEIRO - CONTAS A PAGAR</v>
      </c>
      <c r="C3444" s="2" t="str">
        <f t="shared" si="291"/>
        <v>FINAN</v>
      </c>
      <c r="D3444" s="2" t="str">
        <f t="shared" si="293"/>
        <v>FNCP</v>
      </c>
      <c r="E3444" s="2" t="str">
        <f>"RELATÓRIO CONTA CORRENTE DO CLIENTE"</f>
        <v>RELATÓRIO CONTA CORRENTE DO CLIENTE</v>
      </c>
      <c r="F3444" s="2" t="str">
        <f>"R_CONCLI"</f>
        <v>R_CONCLI</v>
      </c>
      <c r="G3444" s="2" t="s">
        <v>10</v>
      </c>
    </row>
    <row r="3445" spans="1:7" x14ac:dyDescent="0.3">
      <c r="A3445" s="1" t="s">
        <v>4</v>
      </c>
      <c r="B3445" s="2" t="str">
        <f t="shared" si="292"/>
        <v>SISTEMA FINANCEIRO - CONTAS A PAGAR</v>
      </c>
      <c r="C3445" s="2" t="str">
        <f t="shared" si="291"/>
        <v>FINAN</v>
      </c>
      <c r="D3445" s="2" t="str">
        <f t="shared" si="293"/>
        <v>FNCP</v>
      </c>
      <c r="E3445" s="2" t="str">
        <f>"R_CUSTO_EMISSAO_200"</f>
        <v>R_CUSTO_EMISSAO_200</v>
      </c>
      <c r="F3445" s="2" t="str">
        <f>"R_CUSTO_EMISSAO_200"</f>
        <v>R_CUSTO_EMISSAO_200</v>
      </c>
      <c r="G3445" s="2" t="str">
        <f>" ()"</f>
        <v xml:space="preserve"> ()</v>
      </c>
    </row>
    <row r="3446" spans="1:7" x14ac:dyDescent="0.3">
      <c r="A3446" s="1" t="s">
        <v>4</v>
      </c>
      <c r="B3446" s="2" t="str">
        <f t="shared" si="292"/>
        <v>SISTEMA FINANCEIRO - CONTAS A PAGAR</v>
      </c>
      <c r="C3446" s="2" t="str">
        <f t="shared" si="291"/>
        <v>FINAN</v>
      </c>
      <c r="D3446" s="2" t="str">
        <f t="shared" si="293"/>
        <v>FNCP</v>
      </c>
      <c r="E3446" s="2" t="str">
        <f>"M_GRU_RES_FNFI"</f>
        <v>M_GRU_RES_FNFI</v>
      </c>
      <c r="F3446" s="2" t="str">
        <f>"M_GRU_RES_FNFI"</f>
        <v>M_GRU_RES_FNFI</v>
      </c>
      <c r="G3446" s="2" t="s">
        <v>10</v>
      </c>
    </row>
    <row r="3447" spans="1:7" x14ac:dyDescent="0.3">
      <c r="A3447" s="1" t="s">
        <v>4</v>
      </c>
      <c r="B3447" s="2" t="str">
        <f t="shared" si="292"/>
        <v>SISTEMA FINANCEIRO - CONTAS A PAGAR</v>
      </c>
      <c r="C3447" s="2" t="str">
        <f t="shared" si="291"/>
        <v>FINAN</v>
      </c>
      <c r="D3447" s="2" t="str">
        <f t="shared" si="293"/>
        <v>FNCP</v>
      </c>
      <c r="E3447" s="2" t="str">
        <f>"RELATORIO CUSTO POR CONTA"</f>
        <v>RELATORIO CUSTO POR CONTA</v>
      </c>
      <c r="F3447" s="2" t="str">
        <f>"R_CUSTO_CONTA_FNFI"</f>
        <v>R_CUSTO_CONTA_FNFI</v>
      </c>
      <c r="G3447" s="2" t="s">
        <v>10</v>
      </c>
    </row>
    <row r="3448" spans="1:7" x14ac:dyDescent="0.3">
      <c r="A3448" s="1" t="s">
        <v>4</v>
      </c>
      <c r="B3448" s="2" t="str">
        <f t="shared" si="292"/>
        <v>SISTEMA FINANCEIRO - CONTAS A PAGAR</v>
      </c>
      <c r="C3448" s="2" t="str">
        <f t="shared" si="291"/>
        <v>FINAN</v>
      </c>
      <c r="D3448" s="2" t="str">
        <f t="shared" si="293"/>
        <v>FNCP</v>
      </c>
      <c r="E3448" s="2" t="str">
        <f>"R. DE CON. RECEB.  P/ GRUPO CONTA RECEIT"</f>
        <v>R. DE CON. RECEB.  P/ GRUPO CONTA RECEIT</v>
      </c>
      <c r="F3448" s="2" t="str">
        <f>"R_RECGRURES"</f>
        <v>R_RECGRURES</v>
      </c>
      <c r="G3448" s="2" t="s">
        <v>10</v>
      </c>
    </row>
    <row r="3449" spans="1:7" x14ac:dyDescent="0.3">
      <c r="A3449" s="1" t="s">
        <v>4</v>
      </c>
      <c r="B3449" s="2" t="str">
        <f t="shared" si="292"/>
        <v>SISTEMA FINANCEIRO - CONTAS A PAGAR</v>
      </c>
      <c r="C3449" s="2" t="str">
        <f t="shared" si="291"/>
        <v>FINAN</v>
      </c>
      <c r="D3449" s="2" t="str">
        <f t="shared" si="293"/>
        <v>FNCP</v>
      </c>
      <c r="E3449" s="2" t="str">
        <f>"TELA DE CADASTRO DE ADIANTAMENTO"</f>
        <v>TELA DE CADASTRO DE ADIANTAMENTO</v>
      </c>
      <c r="F3449" s="2" t="str">
        <f>"M_CONPAG_ADIANTA"</f>
        <v>M_CONPAG_ADIANTA</v>
      </c>
      <c r="G3449" s="2" t="str">
        <f>" ()"</f>
        <v xml:space="preserve"> ()</v>
      </c>
    </row>
    <row r="3450" spans="1:7" x14ac:dyDescent="0.3">
      <c r="A3450" s="1" t="s">
        <v>4</v>
      </c>
      <c r="B3450" s="2" t="str">
        <f t="shared" si="292"/>
        <v>SISTEMA FINANCEIRO - CONTAS A PAGAR</v>
      </c>
      <c r="C3450" s="2" t="str">
        <f t="shared" si="291"/>
        <v>FINAN</v>
      </c>
      <c r="D3450" s="2" t="str">
        <f t="shared" si="293"/>
        <v>FNCP</v>
      </c>
      <c r="E3450" s="2" t="str">
        <f>"CONCILIAÇÃO BANCÁRIA POR DATA"</f>
        <v>CONCILIAÇÃO BANCÁRIA POR DATA</v>
      </c>
      <c r="F3450" s="2" t="str">
        <f>"O_CANCBANC_DATA"</f>
        <v>O_CANCBANC_DATA</v>
      </c>
      <c r="G3450" s="2" t="str">
        <f>" ()"</f>
        <v xml:space="preserve"> ()</v>
      </c>
    </row>
    <row r="3451" spans="1:7" x14ac:dyDescent="0.3">
      <c r="A3451" s="1" t="s">
        <v>4</v>
      </c>
      <c r="B3451" s="2" t="str">
        <f t="shared" si="292"/>
        <v>SISTEMA FINANCEIRO - CONTAS A PAGAR</v>
      </c>
      <c r="C3451" s="2" t="str">
        <f t="shared" si="291"/>
        <v>FINAN</v>
      </c>
      <c r="D3451" s="2" t="str">
        <f t="shared" si="293"/>
        <v>FNCP</v>
      </c>
      <c r="E3451" s="2" t="str">
        <f>"RELAT. CONTAS A RECEBER CANCELADAS"</f>
        <v>RELAT. CONTAS A RECEBER CANCELADAS</v>
      </c>
      <c r="F3451" s="2" t="str">
        <f>"R_CON_RECEB_CANC"</f>
        <v>R_CON_RECEB_CANC</v>
      </c>
      <c r="G3451" s="2" t="s">
        <v>10</v>
      </c>
    </row>
    <row r="3452" spans="1:7" x14ac:dyDescent="0.3">
      <c r="A3452" s="1" t="s">
        <v>4</v>
      </c>
      <c r="B3452" s="2" t="str">
        <f t="shared" si="292"/>
        <v>SISTEMA FINANCEIRO - CONTAS A PAGAR</v>
      </c>
      <c r="C3452" s="2" t="str">
        <f t="shared" si="291"/>
        <v>FINAN</v>
      </c>
      <c r="D3452" s="2" t="str">
        <f t="shared" si="293"/>
        <v>FNCP</v>
      </c>
      <c r="E3452" s="2" t="str">
        <f>"RELATÓRIO CONTAS A PAGAR E PAGAS"</f>
        <v>RELATÓRIO CONTAS A PAGAR E PAGAS</v>
      </c>
      <c r="F3452" s="2" t="str">
        <f>"R_CONTAS_APAG_PAG"</f>
        <v>R_CONTAS_APAG_PAG</v>
      </c>
      <c r="G3452" s="2" t="s">
        <v>10</v>
      </c>
    </row>
    <row r="3453" spans="1:7" x14ac:dyDescent="0.3">
      <c r="A3453" s="1" t="s">
        <v>4</v>
      </c>
      <c r="B3453" s="2" t="str">
        <f t="shared" si="292"/>
        <v>SISTEMA FINANCEIRO - CONTAS A PAGAR</v>
      </c>
      <c r="C3453" s="2" t="str">
        <f t="shared" ref="C3453:C3516" si="295">"FINAN"</f>
        <v>FINAN</v>
      </c>
      <c r="D3453" s="2" t="str">
        <f t="shared" si="293"/>
        <v>FNCP</v>
      </c>
      <c r="E3453" s="2" t="str">
        <f>"DADOS CADASTRAIS"</f>
        <v>DADOS CADASTRAIS</v>
      </c>
      <c r="F3453" s="2" t="str">
        <f>"DADOS_CADASTRAIS"</f>
        <v>DADOS_CADASTRAIS</v>
      </c>
      <c r="G3453" s="2" t="str">
        <f>" ()"</f>
        <v xml:space="preserve"> ()</v>
      </c>
    </row>
    <row r="3454" spans="1:7" x14ac:dyDescent="0.3">
      <c r="A3454" s="1" t="s">
        <v>4</v>
      </c>
      <c r="B3454" s="2" t="str">
        <f t="shared" si="292"/>
        <v>SISTEMA FINANCEIRO - CONTAS A PAGAR</v>
      </c>
      <c r="C3454" s="2" t="str">
        <f t="shared" si="295"/>
        <v>FINAN</v>
      </c>
      <c r="D3454" s="2" t="str">
        <f t="shared" si="293"/>
        <v>FNCP</v>
      </c>
      <c r="E3454" s="2" t="str">
        <f>"CONTAS A PAGAR POR CONTA DE CUSTO"</f>
        <v>CONTAS A PAGAR POR CONTA DE CUSTO</v>
      </c>
      <c r="F3454" s="2" t="str">
        <f>"R_APAGGRU_RES_CARACT"</f>
        <v>R_APAGGRU_RES_CARACT</v>
      </c>
      <c r="G3454" s="2" t="str">
        <f>" ()"</f>
        <v xml:space="preserve"> ()</v>
      </c>
    </row>
    <row r="3455" spans="1:7" x14ac:dyDescent="0.3">
      <c r="A3455" s="1" t="s">
        <v>4</v>
      </c>
      <c r="B3455" s="2" t="str">
        <f t="shared" si="292"/>
        <v>SISTEMA FINANCEIRO - CONTAS A PAGAR</v>
      </c>
      <c r="C3455" s="2" t="str">
        <f t="shared" si="295"/>
        <v>FINAN</v>
      </c>
      <c r="D3455" s="2" t="str">
        <f t="shared" si="293"/>
        <v>FNCP</v>
      </c>
      <c r="E3455" s="2" t="str">
        <f>"CAD. DE PREST. DE CONTAS NAO FORNECEDOR"</f>
        <v>CAD. DE PREST. DE CONTAS NAO FORNECEDOR</v>
      </c>
      <c r="F3455" s="2" t="str">
        <f>"M_PREST_CONTAS_NAO_FORN"</f>
        <v>M_PREST_CONTAS_NAO_FORN</v>
      </c>
      <c r="G3455" s="2" t="s">
        <v>10</v>
      </c>
    </row>
    <row r="3456" spans="1:7" x14ac:dyDescent="0.3">
      <c r="A3456" s="1" t="s">
        <v>4</v>
      </c>
      <c r="B3456" s="2" t="str">
        <f t="shared" si="292"/>
        <v>SISTEMA FINANCEIRO - CONTAS A PAGAR</v>
      </c>
      <c r="C3456" s="2" t="str">
        <f t="shared" si="295"/>
        <v>FINAN</v>
      </c>
      <c r="D3456" s="2" t="str">
        <f t="shared" si="293"/>
        <v>FNCP</v>
      </c>
      <c r="E3456" s="2" t="str">
        <f>"REL CONTAS A RECEBER - EVOLUÇÃO"</f>
        <v>REL CONTAS A RECEBER - EVOLUÇÃO</v>
      </c>
      <c r="F3456" s="2" t="str">
        <f>"R_CON_REC_CENSO_DT_EMI"</f>
        <v>R_CON_REC_CENSO_DT_EMI</v>
      </c>
      <c r="G3456" s="2" t="str">
        <f t="shared" ref="G3456:G3466" si="296">" ()"</f>
        <v xml:space="preserve"> ()</v>
      </c>
    </row>
    <row r="3457" spans="1:7" x14ac:dyDescent="0.3">
      <c r="A3457" s="1" t="s">
        <v>4</v>
      </c>
      <c r="B3457" s="2" t="str">
        <f t="shared" si="292"/>
        <v>SISTEMA FINANCEIRO - CONTAS A PAGAR</v>
      </c>
      <c r="C3457" s="2" t="str">
        <f t="shared" si="295"/>
        <v>FINAN</v>
      </c>
      <c r="D3457" s="2" t="str">
        <f t="shared" si="293"/>
        <v>FNCP</v>
      </c>
      <c r="E3457" s="2" t="str">
        <f>"REL. AUTORIZAÇÃO DE PAGAMENTOS"</f>
        <v>REL. AUTORIZAÇÃO DE PAGAMENTOS</v>
      </c>
      <c r="F3457" s="2" t="str">
        <f>"R_CON_AUTORIZA"</f>
        <v>R_CON_AUTORIZA</v>
      </c>
      <c r="G3457" s="2" t="str">
        <f t="shared" si="296"/>
        <v xml:space="preserve"> ()</v>
      </c>
    </row>
    <row r="3458" spans="1:7" x14ac:dyDescent="0.3">
      <c r="A3458" s="1" t="s">
        <v>4</v>
      </c>
      <c r="B3458" s="2" t="str">
        <f t="shared" si="292"/>
        <v>SISTEMA FINANCEIRO - CONTAS A PAGAR</v>
      </c>
      <c r="C3458" s="2" t="str">
        <f t="shared" si="295"/>
        <v>FINAN</v>
      </c>
      <c r="D3458" s="2" t="str">
        <f t="shared" si="293"/>
        <v>FNCP</v>
      </c>
      <c r="E3458" s="2" t="str">
        <f>"REL CONTAS A RECEBER CARACTER"</f>
        <v>REL CONTAS A RECEBER CARACTER</v>
      </c>
      <c r="F3458" s="2" t="str">
        <f>"R_CON_ARECEB_HSM_CARACT"</f>
        <v>R_CON_ARECEB_HSM_CARACT</v>
      </c>
      <c r="G3458" s="2" t="str">
        <f t="shared" si="296"/>
        <v xml:space="preserve"> ()</v>
      </c>
    </row>
    <row r="3459" spans="1:7" x14ac:dyDescent="0.3">
      <c r="A3459" s="1" t="s">
        <v>4</v>
      </c>
      <c r="B3459" s="2" t="str">
        <f t="shared" si="292"/>
        <v>SISTEMA FINANCEIRO - CONTAS A PAGAR</v>
      </c>
      <c r="C3459" s="2" t="str">
        <f t="shared" si="295"/>
        <v>FINAN</v>
      </c>
      <c r="D3459" s="2" t="str">
        <f t="shared" si="293"/>
        <v>FNCP</v>
      </c>
      <c r="E3459" s="2" t="str">
        <f>"CONTAS A RECEBER HOSP. SÃO MARCOS"</f>
        <v>CONTAS A RECEBER HOSP. SÃO MARCOS</v>
      </c>
      <c r="F3459" s="2" t="str">
        <f>"R_CON_ARECEB_HSM"</f>
        <v>R_CON_ARECEB_HSM</v>
      </c>
      <c r="G3459" s="2" t="str">
        <f t="shared" si="296"/>
        <v xml:space="preserve"> ()</v>
      </c>
    </row>
    <row r="3460" spans="1:7" x14ac:dyDescent="0.3">
      <c r="A3460" s="1" t="s">
        <v>4</v>
      </c>
      <c r="B3460" s="2" t="str">
        <f t="shared" si="292"/>
        <v>SISTEMA FINANCEIRO - CONTAS A PAGAR</v>
      </c>
      <c r="C3460" s="2" t="str">
        <f t="shared" si="295"/>
        <v>FINAN</v>
      </c>
      <c r="D3460" s="2" t="str">
        <f t="shared" si="293"/>
        <v>FNCP</v>
      </c>
      <c r="E3460" s="2" t="str">
        <f>"RELATORIO CONTAS RECEBIDAS SIMP. CARACT"</f>
        <v>RELATORIO CONTAS RECEBIDAS SIMP. CARACT</v>
      </c>
      <c r="F3460" s="2" t="str">
        <f>"R_CON_RECEB_SIMP_CARACT"</f>
        <v>R_CON_RECEB_SIMP_CARACT</v>
      </c>
      <c r="G3460" s="2" t="str">
        <f t="shared" si="296"/>
        <v xml:space="preserve"> ()</v>
      </c>
    </row>
    <row r="3461" spans="1:7" x14ac:dyDescent="0.3">
      <c r="A3461" s="1" t="s">
        <v>4</v>
      </c>
      <c r="B3461" s="2" t="str">
        <f t="shared" ref="B3461:B3524" si="297">"SISTEMA FINANCEIRO - CONTAS A PAGAR"</f>
        <v>SISTEMA FINANCEIRO - CONTAS A PAGAR</v>
      </c>
      <c r="C3461" s="2" t="str">
        <f t="shared" si="295"/>
        <v>FINAN</v>
      </c>
      <c r="D3461" s="2" t="str">
        <f t="shared" ref="D3461:D3524" si="298">"FNCP"</f>
        <v>FNCP</v>
      </c>
      <c r="E3461" s="2" t="str">
        <f>"RELATORIO  CONTAS RECEBIDAS SIMPLIFICADO"</f>
        <v>RELATORIO  CONTAS RECEBIDAS SIMPLIFICADO</v>
      </c>
      <c r="F3461" s="2" t="str">
        <f>"R_CON_RECEB_SIMP"</f>
        <v>R_CON_RECEB_SIMP</v>
      </c>
      <c r="G3461" s="2" t="str">
        <f t="shared" si="296"/>
        <v xml:space="preserve"> ()</v>
      </c>
    </row>
    <row r="3462" spans="1:7" x14ac:dyDescent="0.3">
      <c r="A3462" s="1" t="s">
        <v>4</v>
      </c>
      <c r="B3462" s="2" t="str">
        <f t="shared" si="297"/>
        <v>SISTEMA FINANCEIRO - CONTAS A PAGAR</v>
      </c>
      <c r="C3462" s="2" t="str">
        <f t="shared" si="295"/>
        <v>FINAN</v>
      </c>
      <c r="D3462" s="2" t="str">
        <f t="shared" si="298"/>
        <v>FNCP</v>
      </c>
      <c r="E3462" s="2" t="str">
        <f>"REL CONTAS A RECEBER POR REMESSA"</f>
        <v>REL CONTAS A RECEBER POR REMESSA</v>
      </c>
      <c r="F3462" s="2" t="str">
        <f>"R_CON_ARECEB_REM"</f>
        <v>R_CON_ARECEB_REM</v>
      </c>
      <c r="G3462" s="2" t="str">
        <f t="shared" si="296"/>
        <v xml:space="preserve"> ()</v>
      </c>
    </row>
    <row r="3463" spans="1:7" x14ac:dyDescent="0.3">
      <c r="A3463" s="1" t="s">
        <v>4</v>
      </c>
      <c r="B3463" s="2" t="str">
        <f t="shared" si="297"/>
        <v>SISTEMA FINANCEIRO - CONTAS A PAGAR</v>
      </c>
      <c r="C3463" s="2" t="str">
        <f t="shared" si="295"/>
        <v>FINAN</v>
      </c>
      <c r="D3463" s="2" t="str">
        <f t="shared" si="298"/>
        <v>FNCP</v>
      </c>
      <c r="E3463" s="2" t="str">
        <f>"REL CONTAS A RECEBER POR VENCIMENTO"</f>
        <v>REL CONTAS A RECEBER POR VENCIMENTO</v>
      </c>
      <c r="F3463" s="2" t="str">
        <f>"R_CON_ARECEB_DT_VENC"</f>
        <v>R_CON_ARECEB_DT_VENC</v>
      </c>
      <c r="G3463" s="2" t="str">
        <f t="shared" si="296"/>
        <v xml:space="preserve"> ()</v>
      </c>
    </row>
    <row r="3464" spans="1:7" x14ac:dyDescent="0.3">
      <c r="A3464" s="1" t="s">
        <v>4</v>
      </c>
      <c r="B3464" s="2" t="str">
        <f t="shared" si="297"/>
        <v>SISTEMA FINANCEIRO - CONTAS A PAGAR</v>
      </c>
      <c r="C3464" s="2" t="str">
        <f t="shared" si="295"/>
        <v>FINAN</v>
      </c>
      <c r="D3464" s="2" t="str">
        <f t="shared" si="298"/>
        <v>FNCP</v>
      </c>
      <c r="E3464" s="2" t="str">
        <f>"CADATRO DE CONTAS A RECBER SIMPLIFICADO"</f>
        <v>CADATRO DE CONTAS A RECBER SIMPLIFICADO</v>
      </c>
      <c r="F3464" s="2" t="str">
        <f>"M_CONREC_SIMP_IRMA_DULCE"</f>
        <v>M_CONREC_SIMP_IRMA_DULCE</v>
      </c>
      <c r="G3464" s="2" t="str">
        <f t="shared" si="296"/>
        <v xml:space="preserve"> ()</v>
      </c>
    </row>
    <row r="3465" spans="1:7" x14ac:dyDescent="0.3">
      <c r="A3465" s="1" t="s">
        <v>4</v>
      </c>
      <c r="B3465" s="2" t="str">
        <f t="shared" si="297"/>
        <v>SISTEMA FINANCEIRO - CONTAS A PAGAR</v>
      </c>
      <c r="C3465" s="2" t="str">
        <f t="shared" si="295"/>
        <v>FINAN</v>
      </c>
      <c r="D3465" s="2" t="str">
        <f t="shared" si="298"/>
        <v>FNCP</v>
      </c>
      <c r="E3465" s="2" t="str">
        <f>"CADASTRO DE FORNECEDORES IRMA DULCE"</f>
        <v>CADASTRO DE FORNECEDORES IRMA DULCE</v>
      </c>
      <c r="F3465" s="2" t="str">
        <f>"M_FORNEC_IRMA_DULCE"</f>
        <v>M_FORNEC_IRMA_DULCE</v>
      </c>
      <c r="G3465" s="2" t="str">
        <f t="shared" si="296"/>
        <v xml:space="preserve"> ()</v>
      </c>
    </row>
    <row r="3466" spans="1:7" x14ac:dyDescent="0.3">
      <c r="A3466" s="1" t="s">
        <v>4</v>
      </c>
      <c r="B3466" s="2" t="str">
        <f t="shared" si="297"/>
        <v>SISTEMA FINANCEIRO - CONTAS A PAGAR</v>
      </c>
      <c r="C3466" s="2" t="str">
        <f t="shared" si="295"/>
        <v>FINAN</v>
      </c>
      <c r="D3466" s="2" t="str">
        <f t="shared" si="298"/>
        <v>FNCP</v>
      </c>
      <c r="E3466" s="2" t="str">
        <f>"CONTAS PAGAS E PAGAR POR CONTA DE CUSTO"</f>
        <v>CONTAS PAGAS E PAGAR POR CONTA DE CUSTO</v>
      </c>
      <c r="F3466" s="2" t="str">
        <f>"R_CONTAS_APAG_PAG_CUSTO_CAR"</f>
        <v>R_CONTAS_APAG_PAG_CUSTO_CAR</v>
      </c>
      <c r="G3466" s="2" t="str">
        <f t="shared" si="296"/>
        <v xml:space="preserve"> ()</v>
      </c>
    </row>
    <row r="3467" spans="1:7" x14ac:dyDescent="0.3">
      <c r="A3467" s="1" t="s">
        <v>4</v>
      </c>
      <c r="B3467" s="2" t="str">
        <f t="shared" si="297"/>
        <v>SISTEMA FINANCEIRO - CONTAS A PAGAR</v>
      </c>
      <c r="C3467" s="2" t="str">
        <f t="shared" si="295"/>
        <v>FINAN</v>
      </c>
      <c r="D3467" s="2" t="str">
        <f t="shared" si="298"/>
        <v>FNCP</v>
      </c>
      <c r="E3467" s="2" t="str">
        <f>"CONTAS A PAGAR E PAGAS X CONTA DE CUSTO"</f>
        <v>CONTAS A PAGAR E PAGAS X CONTA DE CUSTO</v>
      </c>
      <c r="F3467" s="2" t="str">
        <f>"R_CONTAS_APAG_PAG_CUSTO"</f>
        <v>R_CONTAS_APAG_PAG_CUSTO</v>
      </c>
      <c r="G3467" s="2" t="s">
        <v>10</v>
      </c>
    </row>
    <row r="3468" spans="1:7" x14ac:dyDescent="0.3">
      <c r="A3468" s="1" t="s">
        <v>4</v>
      </c>
      <c r="B3468" s="2" t="str">
        <f t="shared" si="297"/>
        <v>SISTEMA FINANCEIRO - CONTAS A PAGAR</v>
      </c>
      <c r="C3468" s="2" t="str">
        <f t="shared" si="295"/>
        <v>FINAN</v>
      </c>
      <c r="D3468" s="2" t="str">
        <f t="shared" si="298"/>
        <v>FNCP</v>
      </c>
      <c r="E3468" s="2" t="str">
        <f>"CANCELAMENTO DE CONTA CORRENTE"</f>
        <v>CANCELAMENTO DE CONTA CORRENTE</v>
      </c>
      <c r="F3468" s="2" t="str">
        <f>"O_CANC_CONTA"</f>
        <v>O_CANC_CONTA</v>
      </c>
      <c r="G3468" s="2" t="str">
        <f>" ()"</f>
        <v xml:space="preserve"> ()</v>
      </c>
    </row>
    <row r="3469" spans="1:7" x14ac:dyDescent="0.3">
      <c r="A3469" s="1" t="s">
        <v>4</v>
      </c>
      <c r="B3469" s="2" t="str">
        <f t="shared" si="297"/>
        <v>SISTEMA FINANCEIRO - CONTAS A PAGAR</v>
      </c>
      <c r="C3469" s="2" t="str">
        <f t="shared" si="295"/>
        <v>FINAN</v>
      </c>
      <c r="D3469" s="2" t="str">
        <f t="shared" si="298"/>
        <v>FNCP</v>
      </c>
      <c r="E3469" s="2" t="str">
        <f>"CONTROLE DE EMPRÉSTIMO"</f>
        <v>CONTROLE DE EMPRÉSTIMO</v>
      </c>
      <c r="F3469" s="2" t="str">
        <f>"M_CONTROLE_EMP"</f>
        <v>M_CONTROLE_EMP</v>
      </c>
      <c r="G3469" s="2" t="str">
        <f>" ()"</f>
        <v xml:space="preserve"> ()</v>
      </c>
    </row>
    <row r="3470" spans="1:7" x14ac:dyDescent="0.3">
      <c r="A3470" s="1" t="s">
        <v>4</v>
      </c>
      <c r="B3470" s="2" t="str">
        <f t="shared" si="297"/>
        <v>SISTEMA FINANCEIRO - CONTAS A PAGAR</v>
      </c>
      <c r="C3470" s="2" t="str">
        <f t="shared" si="295"/>
        <v>FINAN</v>
      </c>
      <c r="D3470" s="2" t="str">
        <f t="shared" si="298"/>
        <v>FNCP</v>
      </c>
      <c r="E3470" s="2" t="str">
        <f>"RELAT. DE CONTAS A PAGAR - PREVISTA"</f>
        <v>RELAT. DE CONTAS A PAGAR - PREVISTA</v>
      </c>
      <c r="F3470" s="2" t="str">
        <f>"R_CON_APAG_PREVISTA"</f>
        <v>R_CON_APAG_PREVISTA</v>
      </c>
      <c r="G3470" s="2" t="s">
        <v>10</v>
      </c>
    </row>
    <row r="3471" spans="1:7" x14ac:dyDescent="0.3">
      <c r="A3471" s="1" t="s">
        <v>4</v>
      </c>
      <c r="B3471" s="2" t="str">
        <f t="shared" si="297"/>
        <v>SISTEMA FINANCEIRO - CONTAS A PAGAR</v>
      </c>
      <c r="C3471" s="2" t="str">
        <f t="shared" si="295"/>
        <v>FINAN</v>
      </c>
      <c r="D3471" s="2" t="str">
        <f t="shared" si="298"/>
        <v>FNCP</v>
      </c>
      <c r="E3471" s="2" t="str">
        <f>"RELAT. DE IMPORT. DO ESTOQUE P/ FNFI"</f>
        <v>RELAT. DE IMPORT. DO ESTOQUE P/ FNFI</v>
      </c>
      <c r="F3471" s="2" t="str">
        <f>"R_IMP_MGES_FNFI"</f>
        <v>R_IMP_MGES_FNFI</v>
      </c>
      <c r="G3471" s="2" t="s">
        <v>10</v>
      </c>
    </row>
    <row r="3472" spans="1:7" x14ac:dyDescent="0.3">
      <c r="A3472" s="1" t="s">
        <v>4</v>
      </c>
      <c r="B3472" s="2" t="str">
        <f t="shared" si="297"/>
        <v>SISTEMA FINANCEIRO - CONTAS A PAGAR</v>
      </c>
      <c r="C3472" s="2" t="str">
        <f t="shared" si="295"/>
        <v>FINAN</v>
      </c>
      <c r="D3472" s="2" t="str">
        <f t="shared" si="298"/>
        <v>FNCP</v>
      </c>
      <c r="E3472" s="2" t="str">
        <f>"CONSULTA AGRUPAMENTOS"</f>
        <v>CONSULTA AGRUPAMENTOS</v>
      </c>
      <c r="F3472" s="2" t="str">
        <f>"C_AGRUP_CONTA"</f>
        <v>C_AGRUP_CONTA</v>
      </c>
      <c r="G3472" s="2" t="s">
        <v>10</v>
      </c>
    </row>
    <row r="3473" spans="1:7" x14ac:dyDescent="0.3">
      <c r="A3473" s="1" t="s">
        <v>4</v>
      </c>
      <c r="B3473" s="2" t="str">
        <f t="shared" si="297"/>
        <v>SISTEMA FINANCEIRO - CONTAS A PAGAR</v>
      </c>
      <c r="C3473" s="2" t="str">
        <f t="shared" si="295"/>
        <v>FINAN</v>
      </c>
      <c r="D3473" s="2" t="str">
        <f t="shared" si="298"/>
        <v>FNCP</v>
      </c>
      <c r="E3473" s="2" t="str">
        <f>"REL. DE CONTAS A RECEBER POR EMISSÃO"</f>
        <v>REL. DE CONTAS A RECEBER POR EMISSÃO</v>
      </c>
      <c r="F3473" s="2" t="str">
        <f>"R_CON_ARECEB_DT_EMI"</f>
        <v>R_CON_ARECEB_DT_EMI</v>
      </c>
      <c r="G3473" s="2" t="str">
        <f t="shared" ref="G3473:G3486" si="299">" ()"</f>
        <v xml:space="preserve"> ()</v>
      </c>
    </row>
    <row r="3474" spans="1:7" x14ac:dyDescent="0.3">
      <c r="A3474" s="1" t="s">
        <v>4</v>
      </c>
      <c r="B3474" s="2" t="str">
        <f t="shared" si="297"/>
        <v>SISTEMA FINANCEIRO - CONTAS A PAGAR</v>
      </c>
      <c r="C3474" s="2" t="str">
        <f t="shared" si="295"/>
        <v>FINAN</v>
      </c>
      <c r="D3474" s="2" t="str">
        <f t="shared" si="298"/>
        <v>FNCP</v>
      </c>
      <c r="E3474" s="2" t="str">
        <f>"RELATÓRIO DE CONTAS A RECEBER"</f>
        <v>RELATÓRIO DE CONTAS A RECEBER</v>
      </c>
      <c r="F3474" s="2" t="str">
        <f>"R_CON_ARECEB_CONV"</f>
        <v>R_CON_ARECEB_CONV</v>
      </c>
      <c r="G3474" s="2" t="str">
        <f t="shared" si="299"/>
        <v xml:space="preserve"> ()</v>
      </c>
    </row>
    <row r="3475" spans="1:7" x14ac:dyDescent="0.3">
      <c r="A3475" s="1" t="s">
        <v>4</v>
      </c>
      <c r="B3475" s="2" t="str">
        <f t="shared" si="297"/>
        <v>SISTEMA FINANCEIRO - CONTAS A PAGAR</v>
      </c>
      <c r="C3475" s="2" t="str">
        <f t="shared" si="295"/>
        <v>FINAN</v>
      </c>
      <c r="D3475" s="2" t="str">
        <f t="shared" si="298"/>
        <v>FNCP</v>
      </c>
      <c r="E3475" s="2" t="str">
        <f>"CONTAS RECEBIDAS RESUMIDO CARACTER"</f>
        <v>CONTAS RECEBIDAS RESUMIDO CARACTER</v>
      </c>
      <c r="F3475" s="2" t="str">
        <f>"R_CON_RECEB_RES_CARACT"</f>
        <v>R_CON_RECEB_RES_CARACT</v>
      </c>
      <c r="G3475" s="2" t="str">
        <f t="shared" si="299"/>
        <v xml:space="preserve"> ()</v>
      </c>
    </row>
    <row r="3476" spans="1:7" x14ac:dyDescent="0.3">
      <c r="A3476" s="1" t="s">
        <v>4</v>
      </c>
      <c r="B3476" s="2" t="str">
        <f t="shared" si="297"/>
        <v>SISTEMA FINANCEIRO - CONTAS A PAGAR</v>
      </c>
      <c r="C3476" s="2" t="str">
        <f t="shared" si="295"/>
        <v>FINAN</v>
      </c>
      <c r="D3476" s="2" t="str">
        <f t="shared" si="298"/>
        <v>FNCP</v>
      </c>
      <c r="E3476" s="2" t="str">
        <f>"CONTAS RECEBIDAS RESUMIDO"</f>
        <v>CONTAS RECEBIDAS RESUMIDO</v>
      </c>
      <c r="F3476" s="2" t="str">
        <f>"R_CON_RECEB_RES"</f>
        <v>R_CON_RECEB_RES</v>
      </c>
      <c r="G3476" s="2" t="str">
        <f t="shared" si="299"/>
        <v xml:space="preserve"> ()</v>
      </c>
    </row>
    <row r="3477" spans="1:7" x14ac:dyDescent="0.3">
      <c r="A3477" s="1" t="s">
        <v>4</v>
      </c>
      <c r="B3477" s="2" t="str">
        <f t="shared" si="297"/>
        <v>SISTEMA FINANCEIRO - CONTAS A PAGAR</v>
      </c>
      <c r="C3477" s="2" t="str">
        <f t="shared" si="295"/>
        <v>FINAN</v>
      </c>
      <c r="D3477" s="2" t="str">
        <f t="shared" si="298"/>
        <v>FNCP</v>
      </c>
      <c r="E3477" s="2" t="str">
        <f>"CONTA CUSTO/RECEITA X EMPRESA SIAMED"</f>
        <v>CONTA CUSTO/RECEITA X EMPRESA SIAMED</v>
      </c>
      <c r="F3477" s="2" t="str">
        <f>"M_EMP_SIAMED_ITEM_RES"</f>
        <v>M_EMP_SIAMED_ITEM_RES</v>
      </c>
      <c r="G3477" s="2" t="str">
        <f t="shared" si="299"/>
        <v xml:space="preserve"> ()</v>
      </c>
    </row>
    <row r="3478" spans="1:7" x14ac:dyDescent="0.3">
      <c r="A3478" s="1" t="s">
        <v>4</v>
      </c>
      <c r="B3478" s="2" t="str">
        <f t="shared" si="297"/>
        <v>SISTEMA FINANCEIRO - CONTAS A PAGAR</v>
      </c>
      <c r="C3478" s="2" t="str">
        <f t="shared" si="295"/>
        <v>FINAN</v>
      </c>
      <c r="D3478" s="2" t="str">
        <f t="shared" si="298"/>
        <v>FNCP</v>
      </c>
      <c r="E3478" s="2" t="str">
        <f>"EMPRESAS SIAMED X CONTA DE CUSTO/RECEITA"</f>
        <v>EMPRESAS SIAMED X CONTA DE CUSTO/RECEITA</v>
      </c>
      <c r="F3478" s="2" t="str">
        <f>"M_EMP_SIAMED_CUSTOS"</f>
        <v>M_EMP_SIAMED_CUSTOS</v>
      </c>
      <c r="G3478" s="2" t="str">
        <f t="shared" si="299"/>
        <v xml:space="preserve"> ()</v>
      </c>
    </row>
    <row r="3479" spans="1:7" x14ac:dyDescent="0.3">
      <c r="A3479" s="1" t="s">
        <v>4</v>
      </c>
      <c r="B3479" s="2" t="str">
        <f t="shared" si="297"/>
        <v>SISTEMA FINANCEIRO - CONTAS A PAGAR</v>
      </c>
      <c r="C3479" s="2" t="str">
        <f t="shared" si="295"/>
        <v>FINAN</v>
      </c>
      <c r="D3479" s="2" t="str">
        <f t="shared" si="298"/>
        <v>FNCP</v>
      </c>
      <c r="E3479" s="2" t="str">
        <f>"EMPRESAS DO SIAMED X FORNECEDORES"</f>
        <v>EMPRESAS DO SIAMED X FORNECEDORES</v>
      </c>
      <c r="F3479" s="2" t="str">
        <f>"M_EMP_SIAMED_FORN"</f>
        <v>M_EMP_SIAMED_FORN</v>
      </c>
      <c r="G3479" s="2" t="str">
        <f t="shared" si="299"/>
        <v xml:space="preserve"> ()</v>
      </c>
    </row>
    <row r="3480" spans="1:7" x14ac:dyDescent="0.3">
      <c r="A3480" s="1" t="s">
        <v>4</v>
      </c>
      <c r="B3480" s="2" t="str">
        <f t="shared" si="297"/>
        <v>SISTEMA FINANCEIRO - CONTAS A PAGAR</v>
      </c>
      <c r="C3480" s="2" t="str">
        <f t="shared" si="295"/>
        <v>FINAN</v>
      </c>
      <c r="D3480" s="2" t="str">
        <f t="shared" si="298"/>
        <v>FNCP</v>
      </c>
      <c r="E3480" s="2" t="str">
        <f>"CONTAS PAGAS POR SETOR ORDEM CONTA CUSTO"</f>
        <v>CONTAS PAGAS POR SETOR ORDEM CONTA CUSTO</v>
      </c>
      <c r="F3480" s="2" t="str">
        <f>"R_PAGGRURES_ITEMRES_CARACT"</f>
        <v>R_PAGGRURES_ITEMRES_CARACT</v>
      </c>
      <c r="G3480" s="2" t="str">
        <f t="shared" si="299"/>
        <v xml:space="preserve"> ()</v>
      </c>
    </row>
    <row r="3481" spans="1:7" x14ac:dyDescent="0.3">
      <c r="A3481" s="1" t="s">
        <v>4</v>
      </c>
      <c r="B3481" s="2" t="str">
        <f t="shared" si="297"/>
        <v>SISTEMA FINANCEIRO - CONTAS A PAGAR</v>
      </c>
      <c r="C3481" s="2" t="str">
        <f t="shared" si="295"/>
        <v>FINAN</v>
      </c>
      <c r="D3481" s="2" t="str">
        <f t="shared" si="298"/>
        <v>FNCP</v>
      </c>
      <c r="E3481" s="2" t="str">
        <f>"CONTAS PAGAS POR SETOR ORDEM CONTA CUSTO"</f>
        <v>CONTAS PAGAS POR SETOR ORDEM CONTA CUSTO</v>
      </c>
      <c r="F3481" s="2" t="str">
        <f>"R_PAGGRURES_ITEMRES"</f>
        <v>R_PAGGRURES_ITEMRES</v>
      </c>
      <c r="G3481" s="2" t="str">
        <f t="shared" si="299"/>
        <v xml:space="preserve"> ()</v>
      </c>
    </row>
    <row r="3482" spans="1:7" x14ac:dyDescent="0.3">
      <c r="A3482" s="1" t="s">
        <v>4</v>
      </c>
      <c r="B3482" s="2" t="str">
        <f t="shared" si="297"/>
        <v>SISTEMA FINANCEIRO - CONTAS A PAGAR</v>
      </c>
      <c r="C3482" s="2" t="str">
        <f t="shared" si="295"/>
        <v>FINAN</v>
      </c>
      <c r="D3482" s="2" t="str">
        <f t="shared" si="298"/>
        <v>FNCP</v>
      </c>
      <c r="E3482" s="2" t="str">
        <f>"CONTAS PAGAS POR SETOR ORDEM DT EMISSAO"</f>
        <v>CONTAS PAGAS POR SETOR ORDEM DT EMISSAO</v>
      </c>
      <c r="F3482" s="2" t="str">
        <f>"R_PAGGRURES_EMISSAO_CARACT"</f>
        <v>R_PAGGRURES_EMISSAO_CARACT</v>
      </c>
      <c r="G3482" s="2" t="str">
        <f t="shared" si="299"/>
        <v xml:space="preserve"> ()</v>
      </c>
    </row>
    <row r="3483" spans="1:7" x14ac:dyDescent="0.3">
      <c r="A3483" s="1" t="s">
        <v>4</v>
      </c>
      <c r="B3483" s="2" t="str">
        <f t="shared" si="297"/>
        <v>SISTEMA FINANCEIRO - CONTAS A PAGAR</v>
      </c>
      <c r="C3483" s="2" t="str">
        <f t="shared" si="295"/>
        <v>FINAN</v>
      </c>
      <c r="D3483" s="2" t="str">
        <f t="shared" si="298"/>
        <v>FNCP</v>
      </c>
      <c r="E3483" s="2" t="str">
        <f>"CONTAS PAGAS POR SETOR ORDEM DT EMISSAO"</f>
        <v>CONTAS PAGAS POR SETOR ORDEM DT EMISSAO</v>
      </c>
      <c r="F3483" s="2" t="str">
        <f>"R_PAGGRURES_EMISSAO"</f>
        <v>R_PAGGRURES_EMISSAO</v>
      </c>
      <c r="G3483" s="2" t="str">
        <f t="shared" si="299"/>
        <v xml:space="preserve"> ()</v>
      </c>
    </row>
    <row r="3484" spans="1:7" x14ac:dyDescent="0.3">
      <c r="A3484" s="1" t="s">
        <v>4</v>
      </c>
      <c r="B3484" s="2" t="str">
        <f t="shared" si="297"/>
        <v>SISTEMA FINANCEIRO - CONTAS A PAGAR</v>
      </c>
      <c r="C3484" s="2" t="str">
        <f t="shared" si="295"/>
        <v>FINAN</v>
      </c>
      <c r="D3484" s="2" t="str">
        <f t="shared" si="298"/>
        <v>FNCP</v>
      </c>
      <c r="E3484" s="2" t="str">
        <f>"CONTAS PAGAS POR SETOR ORDEM DT VENCIMEN"</f>
        <v>CONTAS PAGAS POR SETOR ORDEM DT VENCIMEN</v>
      </c>
      <c r="F3484" s="2" t="str">
        <f>"R_PAGGRURES_VENC"</f>
        <v>R_PAGGRURES_VENC</v>
      </c>
      <c r="G3484" s="2" t="str">
        <f t="shared" si="299"/>
        <v xml:space="preserve"> ()</v>
      </c>
    </row>
    <row r="3485" spans="1:7" x14ac:dyDescent="0.3">
      <c r="A3485" s="1" t="s">
        <v>4</v>
      </c>
      <c r="B3485" s="2" t="str">
        <f t="shared" si="297"/>
        <v>SISTEMA FINANCEIRO - CONTAS A PAGAR</v>
      </c>
      <c r="C3485" s="2" t="str">
        <f t="shared" si="295"/>
        <v>FINAN</v>
      </c>
      <c r="D3485" s="2" t="str">
        <f t="shared" si="298"/>
        <v>FNCP</v>
      </c>
      <c r="E3485" s="2" t="str">
        <f>"CONTAS PAGAS POR SETOR ORDEM FORNECEDOR"</f>
        <v>CONTAS PAGAS POR SETOR ORDEM FORNECEDOR</v>
      </c>
      <c r="F3485" s="2" t="str">
        <f>"R_PAGGRURES_FORNEC_CARACT"</f>
        <v>R_PAGGRURES_FORNEC_CARACT</v>
      </c>
      <c r="G3485" s="2" t="str">
        <f t="shared" si="299"/>
        <v xml:space="preserve"> ()</v>
      </c>
    </row>
    <row r="3486" spans="1:7" x14ac:dyDescent="0.3">
      <c r="A3486" s="1" t="s">
        <v>4</v>
      </c>
      <c r="B3486" s="2" t="str">
        <f t="shared" si="297"/>
        <v>SISTEMA FINANCEIRO - CONTAS A PAGAR</v>
      </c>
      <c r="C3486" s="2" t="str">
        <f t="shared" si="295"/>
        <v>FINAN</v>
      </c>
      <c r="D3486" s="2" t="str">
        <f t="shared" si="298"/>
        <v>FNCP</v>
      </c>
      <c r="E3486" s="2" t="str">
        <f>"CONTAS PAGAS POR SETOR ORDEM FORNECEDOR"</f>
        <v>CONTAS PAGAS POR SETOR ORDEM FORNECEDOR</v>
      </c>
      <c r="F3486" s="2" t="str">
        <f>"R_PAGGRURES_FORNEC"</f>
        <v>R_PAGGRURES_FORNEC</v>
      </c>
      <c r="G3486" s="2" t="str">
        <f t="shared" si="299"/>
        <v xml:space="preserve"> ()</v>
      </c>
    </row>
    <row r="3487" spans="1:7" x14ac:dyDescent="0.3">
      <c r="A3487" s="1" t="s">
        <v>4</v>
      </c>
      <c r="B3487" s="2" t="str">
        <f t="shared" si="297"/>
        <v>SISTEMA FINANCEIRO - CONTAS A PAGAR</v>
      </c>
      <c r="C3487" s="2" t="str">
        <f t="shared" si="295"/>
        <v>FINAN</v>
      </c>
      <c r="D3487" s="2" t="str">
        <f t="shared" si="298"/>
        <v>FNCP</v>
      </c>
      <c r="E3487" s="2" t="str">
        <f>"CONTAS PAGAS POR SETOR"</f>
        <v>CONTAS PAGAS POR SETOR</v>
      </c>
      <c r="F3487" s="2" t="str">
        <f>"R_PAGGRURES_SETOR"</f>
        <v>R_PAGGRURES_SETOR</v>
      </c>
      <c r="G3487" s="2" t="s">
        <v>10</v>
      </c>
    </row>
    <row r="3488" spans="1:7" x14ac:dyDescent="0.3">
      <c r="A3488" s="1" t="s">
        <v>4</v>
      </c>
      <c r="B3488" s="2" t="str">
        <f t="shared" si="297"/>
        <v>SISTEMA FINANCEIRO - CONTAS A PAGAR</v>
      </c>
      <c r="C3488" s="2" t="str">
        <f t="shared" si="295"/>
        <v>FINAN</v>
      </c>
      <c r="D3488" s="2" t="str">
        <f t="shared" si="298"/>
        <v>FNCP</v>
      </c>
      <c r="E3488" s="2" t="str">
        <f>"RELA.T DE CONTAS RECEB. CONV. SIMPLIF."</f>
        <v>RELA.T DE CONTAS RECEB. CONV. SIMPLIF.</v>
      </c>
      <c r="F3488" s="2" t="str">
        <f>"R_CONTA_REC_CONV_SIMP"</f>
        <v>R_CONTA_REC_CONV_SIMP</v>
      </c>
      <c r="G3488" s="2" t="str">
        <f>" ()"</f>
        <v xml:space="preserve"> ()</v>
      </c>
    </row>
    <row r="3489" spans="1:7" x14ac:dyDescent="0.3">
      <c r="A3489" s="1" t="s">
        <v>4</v>
      </c>
      <c r="B3489" s="2" t="str">
        <f t="shared" si="297"/>
        <v>SISTEMA FINANCEIRO - CONTAS A PAGAR</v>
      </c>
      <c r="C3489" s="2" t="str">
        <f t="shared" si="295"/>
        <v>FINAN</v>
      </c>
      <c r="D3489" s="2" t="str">
        <f t="shared" si="298"/>
        <v>FNCP</v>
      </c>
      <c r="E3489" s="2" t="str">
        <f>"RELAT. DE CONTA A RECEBER CONV."</f>
        <v>RELAT. DE CONTA A RECEBER CONV.</v>
      </c>
      <c r="F3489" s="2" t="str">
        <f>"R_CONTA_REC_CONV2"</f>
        <v>R_CONTA_REC_CONV2</v>
      </c>
      <c r="G3489" s="2" t="str">
        <f>" ()"</f>
        <v xml:space="preserve"> ()</v>
      </c>
    </row>
    <row r="3490" spans="1:7" x14ac:dyDescent="0.3">
      <c r="A3490" s="1" t="s">
        <v>4</v>
      </c>
      <c r="B3490" s="2" t="str">
        <f t="shared" si="297"/>
        <v>SISTEMA FINANCEIRO - CONTAS A PAGAR</v>
      </c>
      <c r="C3490" s="2" t="str">
        <f t="shared" si="295"/>
        <v>FINAN</v>
      </c>
      <c r="D3490" s="2" t="str">
        <f t="shared" si="298"/>
        <v>FNCP</v>
      </c>
      <c r="E3490" s="2" t="str">
        <f>"RELATÓRIO DE RECEBIMENTOS COM GLOSA"</f>
        <v>RELATÓRIO DE RECEBIMENTOS COM GLOSA</v>
      </c>
      <c r="F3490" s="2" t="str">
        <f>"R_CON_GLOSA"</f>
        <v>R_CON_GLOSA</v>
      </c>
      <c r="G3490" s="2" t="s">
        <v>10</v>
      </c>
    </row>
    <row r="3491" spans="1:7" x14ac:dyDescent="0.3">
      <c r="A3491" s="1" t="s">
        <v>4</v>
      </c>
      <c r="B3491" s="2" t="str">
        <f t="shared" si="297"/>
        <v>SISTEMA FINANCEIRO - CONTAS A PAGAR</v>
      </c>
      <c r="C3491" s="2" t="str">
        <f t="shared" si="295"/>
        <v>FINAN</v>
      </c>
      <c r="D3491" s="2" t="str">
        <f t="shared" si="298"/>
        <v>FNCP</v>
      </c>
      <c r="E3491" s="2" t="str">
        <f>"RELATORIO DE MULTI EMPRESA"</f>
        <v>RELATORIO DE MULTI EMPRESA</v>
      </c>
      <c r="F3491" s="2" t="str">
        <f>"R_MULTI_EMPRESA"</f>
        <v>R_MULTI_EMPRESA</v>
      </c>
      <c r="G3491" s="2" t="s">
        <v>10</v>
      </c>
    </row>
    <row r="3492" spans="1:7" x14ac:dyDescent="0.3">
      <c r="A3492" s="1" t="s">
        <v>4</v>
      </c>
      <c r="B3492" s="2" t="str">
        <f t="shared" si="297"/>
        <v>SISTEMA FINANCEIRO - CONTAS A PAGAR</v>
      </c>
      <c r="C3492" s="2" t="str">
        <f t="shared" si="295"/>
        <v>FINAN</v>
      </c>
      <c r="D3492" s="2" t="str">
        <f t="shared" si="298"/>
        <v>FNCP</v>
      </c>
      <c r="E3492" s="2" t="str">
        <f>"R_INT_PAC200"</f>
        <v>R_INT_PAC200</v>
      </c>
      <c r="F3492" s="2" t="str">
        <f>"R_INT_PAC200"</f>
        <v>R_INT_PAC200</v>
      </c>
      <c r="G3492" s="2" t="str">
        <f>" ()"</f>
        <v xml:space="preserve"> ()</v>
      </c>
    </row>
    <row r="3493" spans="1:7" x14ac:dyDescent="0.3">
      <c r="A3493" s="1" t="s">
        <v>4</v>
      </c>
      <c r="B3493" s="2" t="str">
        <f t="shared" si="297"/>
        <v>SISTEMA FINANCEIRO - CONTAS A PAGAR</v>
      </c>
      <c r="C3493" s="2" t="str">
        <f t="shared" si="295"/>
        <v>FINAN</v>
      </c>
      <c r="D3493" s="2" t="str">
        <f t="shared" si="298"/>
        <v>FNCP</v>
      </c>
      <c r="E3493" s="2" t="str">
        <f>"TRIGGER ITORD_PRO AFTER UPDATE"</f>
        <v>TRIGGER ITORD_PRO AFTER UPDATE</v>
      </c>
      <c r="F3493" s="2" t="str">
        <f>"TRG_ORD_COM_PREV_AFT_UPD"</f>
        <v>TRG_ORD_COM_PREV_AFT_UPD</v>
      </c>
      <c r="G3493" s="2" t="str">
        <f>" ()"</f>
        <v xml:space="preserve"> ()</v>
      </c>
    </row>
    <row r="3494" spans="1:7" x14ac:dyDescent="0.3">
      <c r="A3494" s="1" t="s">
        <v>4</v>
      </c>
      <c r="B3494" s="2" t="str">
        <f t="shared" si="297"/>
        <v>SISTEMA FINANCEIRO - CONTAS A PAGAR</v>
      </c>
      <c r="C3494" s="2" t="str">
        <f t="shared" si="295"/>
        <v>FINAN</v>
      </c>
      <c r="D3494" s="2" t="str">
        <f t="shared" si="298"/>
        <v>FNCP</v>
      </c>
      <c r="E3494" s="2" t="str">
        <f>"TRIGGER ORD_COM AFTER UPDATE"</f>
        <v>TRIGGER ORD_COM AFTER UPDATE</v>
      </c>
      <c r="F3494" s="2" t="str">
        <f>"TRG_PREV_ORD_COM_AFT_UPD"</f>
        <v>TRG_PREV_ORD_COM_AFT_UPD</v>
      </c>
      <c r="G3494" s="2" t="str">
        <f>" ()"</f>
        <v xml:space="preserve"> ()</v>
      </c>
    </row>
    <row r="3495" spans="1:7" x14ac:dyDescent="0.3">
      <c r="A3495" s="1" t="s">
        <v>4</v>
      </c>
      <c r="B3495" s="2" t="str">
        <f t="shared" si="297"/>
        <v>SISTEMA FINANCEIRO - CONTAS A PAGAR</v>
      </c>
      <c r="C3495" s="2" t="str">
        <f t="shared" si="295"/>
        <v>FINAN</v>
      </c>
      <c r="D3495" s="2" t="str">
        <f t="shared" si="298"/>
        <v>FNCP</v>
      </c>
      <c r="E3495" s="2" t="str">
        <f>"TRIGGER ORD_COM AFTER DELETE"</f>
        <v>TRIGGER ORD_COM AFTER DELETE</v>
      </c>
      <c r="F3495" s="2" t="str">
        <f>"TRG_PREV_ORD_COM_AFT_DEL"</f>
        <v>TRG_PREV_ORD_COM_AFT_DEL</v>
      </c>
      <c r="G3495" s="2" t="str">
        <f>" ()"</f>
        <v xml:space="preserve"> ()</v>
      </c>
    </row>
    <row r="3496" spans="1:7" x14ac:dyDescent="0.3">
      <c r="A3496" s="1" t="s">
        <v>4</v>
      </c>
      <c r="B3496" s="2" t="str">
        <f t="shared" si="297"/>
        <v>SISTEMA FINANCEIRO - CONTAS A PAGAR</v>
      </c>
      <c r="C3496" s="2" t="str">
        <f t="shared" si="295"/>
        <v>FINAN</v>
      </c>
      <c r="D3496" s="2" t="str">
        <f t="shared" si="298"/>
        <v>FNCP</v>
      </c>
      <c r="E3496" s="2" t="str">
        <f>"R_CUSTO_EMISSAO_CARACT"</f>
        <v>R_CUSTO_EMISSAO_CARACT</v>
      </c>
      <c r="F3496" s="2" t="str">
        <f>"R_CUSTO_EMISSAO_CARACT"</f>
        <v>R_CUSTO_EMISSAO_CARACT</v>
      </c>
      <c r="G3496" s="2" t="str">
        <f>" ()"</f>
        <v xml:space="preserve"> ()</v>
      </c>
    </row>
    <row r="3497" spans="1:7" x14ac:dyDescent="0.3">
      <c r="A3497" s="1" t="s">
        <v>4</v>
      </c>
      <c r="B3497" s="2" t="str">
        <f t="shared" si="297"/>
        <v>SISTEMA FINANCEIRO - CONTAS A PAGAR</v>
      </c>
      <c r="C3497" s="2" t="str">
        <f t="shared" si="295"/>
        <v>FINAN</v>
      </c>
      <c r="D3497" s="2" t="str">
        <f t="shared" si="298"/>
        <v>FNCP</v>
      </c>
      <c r="E3497" s="2" t="str">
        <f>"GERA PREVISÃO DE RECEBIMENTO"</f>
        <v>GERA PREVISÃO DE RECEBIMENTO</v>
      </c>
      <c r="F3497" s="2" t="str">
        <f>"O_GERA_PREV_REC"</f>
        <v>O_GERA_PREV_REC</v>
      </c>
      <c r="G3497" s="2" t="s">
        <v>10</v>
      </c>
    </row>
    <row r="3498" spans="1:7" x14ac:dyDescent="0.3">
      <c r="A3498" s="1" t="s">
        <v>4</v>
      </c>
      <c r="B3498" s="2" t="str">
        <f t="shared" si="297"/>
        <v>SISTEMA FINANCEIRO - CONTAS A PAGAR</v>
      </c>
      <c r="C3498" s="2" t="str">
        <f t="shared" si="295"/>
        <v>FINAN</v>
      </c>
      <c r="D3498" s="2" t="str">
        <f t="shared" si="298"/>
        <v>FNCP</v>
      </c>
      <c r="E3498" s="2" t="str">
        <f>"CONTA A RECEBER PREVISTA"</f>
        <v>CONTA A RECEBER PREVISTA</v>
      </c>
      <c r="F3498" s="2" t="str">
        <f>"R_CON_REC_PREVISTA"</f>
        <v>R_CON_REC_PREVISTA</v>
      </c>
      <c r="G3498" s="2" t="s">
        <v>10</v>
      </c>
    </row>
    <row r="3499" spans="1:7" x14ac:dyDescent="0.3">
      <c r="A3499" s="1" t="s">
        <v>4</v>
      </c>
      <c r="B3499" s="2" t="str">
        <f t="shared" si="297"/>
        <v>SISTEMA FINANCEIRO - CONTAS A PAGAR</v>
      </c>
      <c r="C3499" s="2" t="str">
        <f t="shared" si="295"/>
        <v>FINAN</v>
      </c>
      <c r="D3499" s="2" t="str">
        <f t="shared" si="298"/>
        <v>FNCP</v>
      </c>
      <c r="E3499" s="2" t="str">
        <f>"RECIBO DE PAGAMENTO"</f>
        <v>RECIBO DE PAGAMENTO</v>
      </c>
      <c r="F3499" s="2" t="str">
        <f>"R_RECIBO_PAGAMENTO"</f>
        <v>R_RECIBO_PAGAMENTO</v>
      </c>
      <c r="G3499" s="2" t="s">
        <v>10</v>
      </c>
    </row>
    <row r="3500" spans="1:7" x14ac:dyDescent="0.3">
      <c r="A3500" s="1" t="s">
        <v>4</v>
      </c>
      <c r="B3500" s="2" t="str">
        <f t="shared" si="297"/>
        <v>SISTEMA FINANCEIRO - CONTAS A PAGAR</v>
      </c>
      <c r="C3500" s="2" t="str">
        <f t="shared" si="295"/>
        <v>FINAN</v>
      </c>
      <c r="D3500" s="2" t="str">
        <f t="shared" si="298"/>
        <v>FNCP</v>
      </c>
      <c r="E3500" s="2" t="str">
        <f>"TELA DE CONSULTA DE PRESTAÇÃO DE CONTAS"</f>
        <v>TELA DE CONSULTA DE PRESTAÇÃO DE CONTAS</v>
      </c>
      <c r="F3500" s="2" t="str">
        <f>"C_PREST_CONTAS"</f>
        <v>C_PREST_CONTAS</v>
      </c>
      <c r="G3500" s="2" t="s">
        <v>10</v>
      </c>
    </row>
    <row r="3501" spans="1:7" x14ac:dyDescent="0.3">
      <c r="A3501" s="1" t="s">
        <v>4</v>
      </c>
      <c r="B3501" s="2" t="str">
        <f t="shared" si="297"/>
        <v>SISTEMA FINANCEIRO - CONTAS A PAGAR</v>
      </c>
      <c r="C3501" s="2" t="str">
        <f t="shared" si="295"/>
        <v>FINAN</v>
      </c>
      <c r="D3501" s="2" t="str">
        <f t="shared" si="298"/>
        <v>FNCP</v>
      </c>
      <c r="E3501" s="2" t="str">
        <f>"R_PAGGRURES_SINTETICO_CARACT"</f>
        <v>R_PAGGRURES_SINTETICO_CARACT</v>
      </c>
      <c r="F3501" s="2" t="str">
        <f>"R_PAGGRURES_SINTETICO_CARACT"</f>
        <v>R_PAGGRURES_SINTETICO_CARACT</v>
      </c>
      <c r="G3501" s="2" t="str">
        <f>" ()"</f>
        <v xml:space="preserve"> ()</v>
      </c>
    </row>
    <row r="3502" spans="1:7" x14ac:dyDescent="0.3">
      <c r="A3502" s="1" t="s">
        <v>4</v>
      </c>
      <c r="B3502" s="2" t="str">
        <f t="shared" si="297"/>
        <v>SISTEMA FINANCEIRO - CONTAS A PAGAR</v>
      </c>
      <c r="C3502" s="2" t="str">
        <f t="shared" si="295"/>
        <v>FINAN</v>
      </c>
      <c r="D3502" s="2" t="str">
        <f t="shared" si="298"/>
        <v>FNCP</v>
      </c>
      <c r="E3502" s="2" t="str">
        <f>"RELATÓRIO CURVA ABC DOS FORNECEDORES"</f>
        <v>RELATÓRIO CURVA ABC DOS FORNECEDORES</v>
      </c>
      <c r="F3502" s="2" t="str">
        <f>"R_CENTRO_CUSTO_ABC"</f>
        <v>R_CENTRO_CUSTO_ABC</v>
      </c>
      <c r="G3502" s="2" t="s">
        <v>10</v>
      </c>
    </row>
    <row r="3503" spans="1:7" x14ac:dyDescent="0.3">
      <c r="A3503" s="1" t="s">
        <v>4</v>
      </c>
      <c r="B3503" s="2" t="str">
        <f t="shared" si="297"/>
        <v>SISTEMA FINANCEIRO - CONTAS A PAGAR</v>
      </c>
      <c r="C3503" s="2" t="str">
        <f t="shared" si="295"/>
        <v>FINAN</v>
      </c>
      <c r="D3503" s="2" t="str">
        <f t="shared" si="298"/>
        <v>FNCP</v>
      </c>
      <c r="E3503" s="2" t="str">
        <f>"R_CURGRURES_GRUPO"</f>
        <v>R_CURGRURES_GRUPO</v>
      </c>
      <c r="F3503" s="2" t="str">
        <f>"R_CURGRURES_GRUPO"</f>
        <v>R_CURGRURES_GRUPO</v>
      </c>
      <c r="G3503" s="2" t="s">
        <v>10</v>
      </c>
    </row>
    <row r="3504" spans="1:7" x14ac:dyDescent="0.3">
      <c r="A3504" s="1" t="s">
        <v>4</v>
      </c>
      <c r="B3504" s="2" t="str">
        <f t="shared" si="297"/>
        <v>SISTEMA FINANCEIRO - CONTAS A PAGAR</v>
      </c>
      <c r="C3504" s="2" t="str">
        <f t="shared" si="295"/>
        <v>FINAN</v>
      </c>
      <c r="D3504" s="2" t="str">
        <f t="shared" si="298"/>
        <v>FNCP</v>
      </c>
      <c r="E3504" s="2" t="str">
        <f>"RELATÓRIO RECURSO DE GLOSA"</f>
        <v>RELATÓRIO RECURSO DE GLOSA</v>
      </c>
      <c r="F3504" s="2" t="str">
        <f>"R_RECURSO_GLOSA"</f>
        <v>R_RECURSO_GLOSA</v>
      </c>
      <c r="G3504" s="2" t="s">
        <v>10</v>
      </c>
    </row>
    <row r="3505" spans="1:7" x14ac:dyDescent="0.3">
      <c r="A3505" s="1" t="s">
        <v>4</v>
      </c>
      <c r="B3505" s="2" t="str">
        <f t="shared" si="297"/>
        <v>SISTEMA FINANCEIRO - CONTAS A PAGAR</v>
      </c>
      <c r="C3505" s="2" t="str">
        <f t="shared" si="295"/>
        <v>FINAN</v>
      </c>
      <c r="D3505" s="2" t="str">
        <f t="shared" si="298"/>
        <v>FNCP</v>
      </c>
      <c r="E3505" s="2" t="str">
        <f>"R_CON_REC_CENSO_DT_PREV"</f>
        <v>R_CON_REC_CENSO_DT_PREV</v>
      </c>
      <c r="F3505" s="2" t="str">
        <f>"R_CON_REC_CENSO_DT_PREV"</f>
        <v>R_CON_REC_CENSO_DT_PREV</v>
      </c>
      <c r="G3505" s="2" t="str">
        <f>" ()"</f>
        <v xml:space="preserve"> ()</v>
      </c>
    </row>
    <row r="3506" spans="1:7" x14ac:dyDescent="0.3">
      <c r="A3506" s="1" t="s">
        <v>4</v>
      </c>
      <c r="B3506" s="2" t="str">
        <f t="shared" si="297"/>
        <v>SISTEMA FINANCEIRO - CONTAS A PAGAR</v>
      </c>
      <c r="C3506" s="2" t="str">
        <f t="shared" si="295"/>
        <v>FINAN</v>
      </c>
      <c r="D3506" s="2" t="str">
        <f t="shared" si="298"/>
        <v>FNCP</v>
      </c>
      <c r="E3506" s="2" t="str">
        <f>"M_PREV_CON_REC"</f>
        <v>M_PREV_CON_REC</v>
      </c>
      <c r="F3506" s="2" t="str">
        <f>"M_PREV_CON_REC"</f>
        <v>M_PREV_CON_REC</v>
      </c>
      <c r="G3506" s="2" t="s">
        <v>10</v>
      </c>
    </row>
    <row r="3507" spans="1:7" x14ac:dyDescent="0.3">
      <c r="A3507" s="1" t="s">
        <v>4</v>
      </c>
      <c r="B3507" s="2" t="str">
        <f t="shared" si="297"/>
        <v>SISTEMA FINANCEIRO - CONTAS A PAGAR</v>
      </c>
      <c r="C3507" s="2" t="str">
        <f t="shared" si="295"/>
        <v>FINAN</v>
      </c>
      <c r="D3507" s="2" t="str">
        <f t="shared" si="298"/>
        <v>FNCP</v>
      </c>
      <c r="E3507" s="2" t="str">
        <f>"R_CUSTO_EMISSAO"</f>
        <v>R_CUSTO_EMISSAO</v>
      </c>
      <c r="F3507" s="2" t="str">
        <f>"R_CUSTO_EMISSAO"</f>
        <v>R_CUSTO_EMISSAO</v>
      </c>
      <c r="G3507" s="2" t="str">
        <f>" ()"</f>
        <v xml:space="preserve"> ()</v>
      </c>
    </row>
    <row r="3508" spans="1:7" x14ac:dyDescent="0.3">
      <c r="A3508" s="1" t="s">
        <v>4</v>
      </c>
      <c r="B3508" s="2" t="str">
        <f t="shared" si="297"/>
        <v>SISTEMA FINANCEIRO - CONTAS A PAGAR</v>
      </c>
      <c r="C3508" s="2" t="str">
        <f t="shared" si="295"/>
        <v>FINAN</v>
      </c>
      <c r="D3508" s="2" t="str">
        <f t="shared" si="298"/>
        <v>FNCP</v>
      </c>
      <c r="E3508" s="2" t="str">
        <f>"CONSULTA DE CONTAS DE DETALHAMENTO"</f>
        <v>CONSULTA DE CONTAS DE DETALHAMENTO</v>
      </c>
      <c r="F3508" s="2" t="str">
        <f>"C_CONDET_RES"</f>
        <v>C_CONDET_RES</v>
      </c>
      <c r="G3508" s="2" t="s">
        <v>10</v>
      </c>
    </row>
    <row r="3509" spans="1:7" x14ac:dyDescent="0.3">
      <c r="A3509" s="1" t="s">
        <v>4</v>
      </c>
      <c r="B3509" s="2" t="str">
        <f t="shared" si="297"/>
        <v>SISTEMA FINANCEIRO - CONTAS A PAGAR</v>
      </c>
      <c r="C3509" s="2" t="str">
        <f t="shared" si="295"/>
        <v>FINAN</v>
      </c>
      <c r="D3509" s="2" t="str">
        <f t="shared" si="298"/>
        <v>FNCP</v>
      </c>
      <c r="E3509" s="2" t="str">
        <f>"CONSULTA DE CONTAS DE DETALHAMENTO"</f>
        <v>CONSULTA DE CONTAS DE DETALHAMENTO</v>
      </c>
      <c r="F3509" s="2" t="str">
        <f>"C_CONDET_RES"</f>
        <v>C_CONDET_RES</v>
      </c>
      <c r="G3509" s="2" t="str">
        <f>"Controladoria / Fiscal / Consultas / Retenção de Impostos (C_CONDET_RES)"</f>
        <v>Controladoria / Fiscal / Consultas / Retenção de Impostos (C_CONDET_RES)</v>
      </c>
    </row>
    <row r="3510" spans="1:7" x14ac:dyDescent="0.3">
      <c r="A3510" s="1" t="s">
        <v>4</v>
      </c>
      <c r="B3510" s="2" t="str">
        <f t="shared" si="297"/>
        <v>SISTEMA FINANCEIRO - CONTAS A PAGAR</v>
      </c>
      <c r="C3510" s="2" t="str">
        <f t="shared" si="295"/>
        <v>FINAN</v>
      </c>
      <c r="D3510" s="2" t="str">
        <f t="shared" si="298"/>
        <v>FNCP</v>
      </c>
      <c r="E3510" s="2" t="str">
        <f>"R_CON_ARECEB_SIMP"</f>
        <v>R_CON_ARECEB_SIMP</v>
      </c>
      <c r="F3510" s="2" t="str">
        <f>"R_CON_ARECEB_SIMP"</f>
        <v>R_CON_ARECEB_SIMP</v>
      </c>
      <c r="G3510" s="2" t="str">
        <f>" ()"</f>
        <v xml:space="preserve"> ()</v>
      </c>
    </row>
    <row r="3511" spans="1:7" x14ac:dyDescent="0.3">
      <c r="A3511" s="1" t="s">
        <v>4</v>
      </c>
      <c r="B3511" s="2" t="str">
        <f t="shared" si="297"/>
        <v>SISTEMA FINANCEIRO - CONTAS A PAGAR</v>
      </c>
      <c r="C3511" s="2" t="str">
        <f t="shared" si="295"/>
        <v>FINAN</v>
      </c>
      <c r="D3511" s="2" t="str">
        <f t="shared" si="298"/>
        <v>FNCP</v>
      </c>
      <c r="E3511" s="2" t="str">
        <f>"R_CON_APAG_SIMP_CARACT"</f>
        <v>R_CON_APAG_SIMP_CARACT</v>
      </c>
      <c r="F3511" s="2" t="str">
        <f>"R_CON_APAG_SIMP_CARACT"</f>
        <v>R_CON_APAG_SIMP_CARACT</v>
      </c>
      <c r="G3511" s="2" t="str">
        <f>" ()"</f>
        <v xml:space="preserve"> ()</v>
      </c>
    </row>
    <row r="3512" spans="1:7" x14ac:dyDescent="0.3">
      <c r="A3512" s="1" t="s">
        <v>4</v>
      </c>
      <c r="B3512" s="2" t="str">
        <f t="shared" si="297"/>
        <v>SISTEMA FINANCEIRO - CONTAS A PAGAR</v>
      </c>
      <c r="C3512" s="2" t="str">
        <f t="shared" si="295"/>
        <v>FINAN</v>
      </c>
      <c r="D3512" s="2" t="str">
        <f t="shared" si="298"/>
        <v>FNCP</v>
      </c>
      <c r="E3512" s="2" t="str">
        <f>"REL. CAIXA DO BANDEIRANTES"</f>
        <v>REL. CAIXA DO BANDEIRANTES</v>
      </c>
      <c r="F3512" s="2" t="str">
        <f>"R_CAIXA_759"</f>
        <v>R_CAIXA_759</v>
      </c>
      <c r="G3512" s="2" t="str">
        <f>" ()"</f>
        <v xml:space="preserve"> ()</v>
      </c>
    </row>
    <row r="3513" spans="1:7" x14ac:dyDescent="0.3">
      <c r="A3513" s="1" t="s">
        <v>4</v>
      </c>
      <c r="B3513" s="2" t="str">
        <f t="shared" si="297"/>
        <v>SISTEMA FINANCEIRO - CONTAS A PAGAR</v>
      </c>
      <c r="C3513" s="2" t="str">
        <f t="shared" si="295"/>
        <v>FINAN</v>
      </c>
      <c r="D3513" s="2" t="str">
        <f t="shared" si="298"/>
        <v>FNCP</v>
      </c>
      <c r="E3513" s="2" t="str">
        <f>"REL. AUTORIZAÇÃO DE PAGAMENTOS"</f>
        <v>REL. AUTORIZAÇÃO DE PAGAMENTOS</v>
      </c>
      <c r="F3513" s="2" t="str">
        <f>"R_CON_AUTORIZA_759"</f>
        <v>R_CON_AUTORIZA_759</v>
      </c>
      <c r="G3513" s="2" t="str">
        <f>" ()"</f>
        <v xml:space="preserve"> ()</v>
      </c>
    </row>
    <row r="3514" spans="1:7" x14ac:dyDescent="0.3">
      <c r="A3514" s="1" t="s">
        <v>4</v>
      </c>
      <c r="B3514" s="2" t="str">
        <f t="shared" si="297"/>
        <v>SISTEMA FINANCEIRO - CONTAS A PAGAR</v>
      </c>
      <c r="C3514" s="2" t="str">
        <f t="shared" si="295"/>
        <v>FINAN</v>
      </c>
      <c r="D3514" s="2" t="str">
        <f t="shared" si="298"/>
        <v>FNCP</v>
      </c>
      <c r="E3514" s="2" t="str">
        <f>"RECIBO DE ADIANTAMENTO"</f>
        <v>RECIBO DE ADIANTAMENTO</v>
      </c>
      <c r="F3514" s="2" t="str">
        <f>"R_RECIBO_ADIANT"</f>
        <v>R_RECIBO_ADIANT</v>
      </c>
      <c r="G3514" s="2" t="s">
        <v>10</v>
      </c>
    </row>
    <row r="3515" spans="1:7" x14ac:dyDescent="0.3">
      <c r="A3515" s="1" t="s">
        <v>4</v>
      </c>
      <c r="B3515" s="2" t="str">
        <f t="shared" si="297"/>
        <v>SISTEMA FINANCEIRO - CONTAS A PAGAR</v>
      </c>
      <c r="C3515" s="2" t="str">
        <f t="shared" si="295"/>
        <v>FINAN</v>
      </c>
      <c r="D3515" s="2" t="str">
        <f t="shared" si="298"/>
        <v>FNCP</v>
      </c>
      <c r="E3515" s="2" t="str">
        <f>"REL. RECEBIMENTOS REALIZADOS"</f>
        <v>REL. RECEBIMENTOS REALIZADOS</v>
      </c>
      <c r="F3515" s="2" t="str">
        <f>"R_CON_RECEB_501"</f>
        <v>R_CON_RECEB_501</v>
      </c>
      <c r="G3515" s="2" t="str">
        <f>" ()"</f>
        <v xml:space="preserve"> ()</v>
      </c>
    </row>
    <row r="3516" spans="1:7" x14ac:dyDescent="0.3">
      <c r="A3516" s="1" t="s">
        <v>4</v>
      </c>
      <c r="B3516" s="2" t="str">
        <f t="shared" si="297"/>
        <v>SISTEMA FINANCEIRO - CONTAS A PAGAR</v>
      </c>
      <c r="C3516" s="2" t="str">
        <f t="shared" si="295"/>
        <v>FINAN</v>
      </c>
      <c r="D3516" s="2" t="str">
        <f t="shared" si="298"/>
        <v>FNCP</v>
      </c>
      <c r="E3516" s="2" t="str">
        <f>"R_APAGGRURES_CARACT"</f>
        <v>R_APAGGRURES_CARACT</v>
      </c>
      <c r="F3516" s="2" t="str">
        <f>"R_APAGGRURES_CARACT"</f>
        <v>R_APAGGRURES_CARACT</v>
      </c>
      <c r="G3516" s="2" t="str">
        <f>" ()"</f>
        <v xml:space="preserve"> ()</v>
      </c>
    </row>
    <row r="3517" spans="1:7" x14ac:dyDescent="0.3">
      <c r="A3517" s="1" t="s">
        <v>4</v>
      </c>
      <c r="B3517" s="2" t="str">
        <f t="shared" si="297"/>
        <v>SISTEMA FINANCEIRO - CONTAS A PAGAR</v>
      </c>
      <c r="C3517" s="2" t="str">
        <f t="shared" ref="C3517:C3580" si="300">"FINAN"</f>
        <v>FINAN</v>
      </c>
      <c r="D3517" s="2" t="str">
        <f t="shared" si="298"/>
        <v>FNCP</v>
      </c>
      <c r="E3517" s="2" t="str">
        <f>"R_APAGGURES_CARACT"</f>
        <v>R_APAGGURES_CARACT</v>
      </c>
      <c r="F3517" s="2" t="str">
        <f>"R_APAGGURES_CARACT"</f>
        <v>R_APAGGURES_CARACT</v>
      </c>
      <c r="G3517" s="2" t="str">
        <f>" ()"</f>
        <v xml:space="preserve"> ()</v>
      </c>
    </row>
    <row r="3518" spans="1:7" x14ac:dyDescent="0.3">
      <c r="A3518" s="1" t="s">
        <v>4</v>
      </c>
      <c r="B3518" s="2" t="str">
        <f t="shared" si="297"/>
        <v>SISTEMA FINANCEIRO - CONTAS A PAGAR</v>
      </c>
      <c r="C3518" s="2" t="str">
        <f t="shared" si="300"/>
        <v>FINAN</v>
      </c>
      <c r="D3518" s="2" t="str">
        <f t="shared" si="298"/>
        <v>FNCP</v>
      </c>
      <c r="E3518" s="2" t="str">
        <f>"CANCELAMENTO PRESTACAO CONTAS"</f>
        <v>CANCELAMENTO PRESTACAO CONTAS</v>
      </c>
      <c r="F3518" s="2" t="str">
        <f>"O_CANC_PREST"</f>
        <v>O_CANC_PREST</v>
      </c>
      <c r="G3518" s="2" t="s">
        <v>10</v>
      </c>
    </row>
    <row r="3519" spans="1:7" x14ac:dyDescent="0.3">
      <c r="A3519" s="1" t="s">
        <v>4</v>
      </c>
      <c r="B3519" s="2" t="str">
        <f t="shared" si="297"/>
        <v>SISTEMA FINANCEIRO - CONTAS A PAGAR</v>
      </c>
      <c r="C3519" s="2" t="str">
        <f t="shared" si="300"/>
        <v>FINAN</v>
      </c>
      <c r="D3519" s="2" t="str">
        <f t="shared" si="298"/>
        <v>FNCP</v>
      </c>
      <c r="E3519" s="2" t="str">
        <f>"ESTORNO DE RECEBIMENTOS"</f>
        <v>ESTORNO DE RECEBIMENTOS</v>
      </c>
      <c r="F3519" s="2" t="str">
        <f>"O_ESTORNO_RECEB"</f>
        <v>O_ESTORNO_RECEB</v>
      </c>
      <c r="G3519" s="2" t="s">
        <v>10</v>
      </c>
    </row>
    <row r="3520" spans="1:7" x14ac:dyDescent="0.3">
      <c r="A3520" s="1" t="s">
        <v>4</v>
      </c>
      <c r="B3520" s="2" t="str">
        <f t="shared" si="297"/>
        <v>SISTEMA FINANCEIRO - CONTAS A PAGAR</v>
      </c>
      <c r="C3520" s="2" t="str">
        <f t="shared" si="300"/>
        <v>FINAN</v>
      </c>
      <c r="D3520" s="2" t="str">
        <f t="shared" si="298"/>
        <v>FNCP</v>
      </c>
      <c r="E3520" s="2" t="str">
        <f>"CONTAS PAGAS POR SETOR ORDEM DT VENCIMEN"</f>
        <v>CONTAS PAGAS POR SETOR ORDEM DT VENCIMEN</v>
      </c>
      <c r="F3520" s="2" t="str">
        <f>"R_PAGGRURES_VENC_CARACT"</f>
        <v>R_PAGGRURES_VENC_CARACT</v>
      </c>
      <c r="G3520" s="2" t="str">
        <f>" ()"</f>
        <v xml:space="preserve"> ()</v>
      </c>
    </row>
    <row r="3521" spans="1:7" x14ac:dyDescent="0.3">
      <c r="A3521" s="1" t="s">
        <v>4</v>
      </c>
      <c r="B3521" s="2" t="str">
        <f t="shared" si="297"/>
        <v>SISTEMA FINANCEIRO - CONTAS A PAGAR</v>
      </c>
      <c r="C3521" s="2" t="str">
        <f t="shared" si="300"/>
        <v>FINAN</v>
      </c>
      <c r="D3521" s="2" t="str">
        <f t="shared" si="298"/>
        <v>FNCP</v>
      </c>
      <c r="E3521" s="2" t="str">
        <f>"RELATÓRIO DE REMESSAS POR EMISSÃO"</f>
        <v>RELATÓRIO DE REMESSAS POR EMISSÃO</v>
      </c>
      <c r="F3521" s="2" t="str">
        <f>"R_NOTA_ARECEB_CONV"</f>
        <v>R_NOTA_ARECEB_CONV</v>
      </c>
      <c r="G3521" s="2" t="s">
        <v>10</v>
      </c>
    </row>
    <row r="3522" spans="1:7" x14ac:dyDescent="0.3">
      <c r="A3522" s="1" t="s">
        <v>4</v>
      </c>
      <c r="B3522" s="2" t="str">
        <f t="shared" si="297"/>
        <v>SISTEMA FINANCEIRO - CONTAS A PAGAR</v>
      </c>
      <c r="C3522" s="2" t="str">
        <f t="shared" si="300"/>
        <v>FINAN</v>
      </c>
      <c r="D3522" s="2" t="str">
        <f t="shared" si="298"/>
        <v>FNCP</v>
      </c>
      <c r="E3522" s="2" t="str">
        <f>"RELATÓRIO DE REMESSAS POR EMISSÃO"</f>
        <v>RELATÓRIO DE REMESSAS POR EMISSÃO</v>
      </c>
      <c r="F3522" s="2" t="str">
        <f>"R_NOTA_ARECEB_CONV"</f>
        <v>R_NOTA_ARECEB_CONV</v>
      </c>
      <c r="G3522" s="2" t="str">
        <f>"Controladoria / Fiscal / Relatórios / Contas em aberto para Convênio (R_NOTA_ARECEB_CONV)"</f>
        <v>Controladoria / Fiscal / Relatórios / Contas em aberto para Convênio (R_NOTA_ARECEB_CONV)</v>
      </c>
    </row>
    <row r="3523" spans="1:7" x14ac:dyDescent="0.3">
      <c r="A3523" s="1" t="s">
        <v>4</v>
      </c>
      <c r="B3523" s="2" t="str">
        <f t="shared" si="297"/>
        <v>SISTEMA FINANCEIRO - CONTAS A PAGAR</v>
      </c>
      <c r="C3523" s="2" t="str">
        <f t="shared" si="300"/>
        <v>FINAN</v>
      </c>
      <c r="D3523" s="2" t="str">
        <f t="shared" si="298"/>
        <v>FNCP</v>
      </c>
      <c r="E3523" s="2" t="str">
        <f>"PERSONALIZADOS FNCP"</f>
        <v>PERSONALIZADOS FNCP</v>
      </c>
      <c r="F3523" s="2" t="str">
        <f>"R_PERSON_FNCP"</f>
        <v>R_PERSON_FNCP</v>
      </c>
      <c r="G3523" s="2" t="str">
        <f>" ()"</f>
        <v xml:space="preserve"> ()</v>
      </c>
    </row>
    <row r="3524" spans="1:7" x14ac:dyDescent="0.3">
      <c r="A3524" s="1" t="s">
        <v>4</v>
      </c>
      <c r="B3524" s="2" t="str">
        <f t="shared" si="297"/>
        <v>SISTEMA FINANCEIRO - CONTAS A PAGAR</v>
      </c>
      <c r="C3524" s="2" t="str">
        <f t="shared" si="300"/>
        <v>FINAN</v>
      </c>
      <c r="D3524" s="2" t="str">
        <f t="shared" si="298"/>
        <v>FNCP</v>
      </c>
      <c r="E3524" s="2" t="str">
        <f>"RELATORIO DE FORNECEDOR"</f>
        <v>RELATORIO DE FORNECEDOR</v>
      </c>
      <c r="F3524" s="2" t="str">
        <f>"R_FORNEC"</f>
        <v>R_FORNEC</v>
      </c>
      <c r="G3524" s="2" t="s">
        <v>10</v>
      </c>
    </row>
    <row r="3525" spans="1:7" x14ac:dyDescent="0.3">
      <c r="A3525" s="1" t="s">
        <v>4</v>
      </c>
      <c r="B3525" s="2" t="str">
        <f t="shared" ref="B3525:B3588" si="301">"SISTEMA FINANCEIRO - CONTAS A PAGAR"</f>
        <v>SISTEMA FINANCEIRO - CONTAS A PAGAR</v>
      </c>
      <c r="C3525" s="2" t="str">
        <f t="shared" si="300"/>
        <v>FINAN</v>
      </c>
      <c r="D3525" s="2" t="str">
        <f t="shared" ref="D3525:D3588" si="302">"FNCP"</f>
        <v>FNCP</v>
      </c>
      <c r="E3525" s="2" t="str">
        <f>"RELATORIO DE FORNECEDOR"</f>
        <v>RELATORIO DE FORNECEDOR</v>
      </c>
      <c r="F3525" s="2" t="str">
        <f>"R_FORNEC"</f>
        <v>R_FORNEC</v>
      </c>
      <c r="G3525" s="2" t="str">
        <f>"Materiais e Logística / Almoxarifado / Relatórios / Tabelas / Fornecedor (R_FORNEC)"</f>
        <v>Materiais e Logística / Almoxarifado / Relatórios / Tabelas / Fornecedor (R_FORNEC)</v>
      </c>
    </row>
    <row r="3526" spans="1:7" x14ac:dyDescent="0.3">
      <c r="A3526" s="1" t="s">
        <v>4</v>
      </c>
      <c r="B3526" s="2" t="str">
        <f t="shared" si="301"/>
        <v>SISTEMA FINANCEIRO - CONTAS A PAGAR</v>
      </c>
      <c r="C3526" s="2" t="str">
        <f t="shared" si="300"/>
        <v>FINAN</v>
      </c>
      <c r="D3526" s="2" t="str">
        <f t="shared" si="302"/>
        <v>FNCP</v>
      </c>
      <c r="E3526" s="2" t="str">
        <f>"RELATORIO DE FORNECEDOR"</f>
        <v>RELATORIO DE FORNECEDOR</v>
      </c>
      <c r="F3526" s="2" t="str">
        <f>"R_FORNEC"</f>
        <v>R_FORNEC</v>
      </c>
      <c r="G3526" s="2" t="str">
        <f>"Materiais e Logística / Compras / Relatórios / Tabelas / Fornecedores (R_FORNEC)"</f>
        <v>Materiais e Logística / Compras / Relatórios / Tabelas / Fornecedores (R_FORNEC)</v>
      </c>
    </row>
    <row r="3527" spans="1:7" x14ac:dyDescent="0.3">
      <c r="A3527" s="1" t="s">
        <v>4</v>
      </c>
      <c r="B3527" s="2" t="str">
        <f t="shared" si="301"/>
        <v>SISTEMA FINANCEIRO - CONTAS A PAGAR</v>
      </c>
      <c r="C3527" s="2" t="str">
        <f t="shared" si="300"/>
        <v>FINAN</v>
      </c>
      <c r="D3527" s="2" t="str">
        <f t="shared" si="302"/>
        <v>FNCP</v>
      </c>
      <c r="E3527" s="2" t="str">
        <f>"RELATORIO DETIPO DE DETALHAMENTO"</f>
        <v>RELATORIO DETIPO DE DETALHAMENTO</v>
      </c>
      <c r="F3527" s="2" t="str">
        <f>"R_TIP_DET"</f>
        <v>R_TIP_DET</v>
      </c>
      <c r="G3527" s="2" t="s">
        <v>10</v>
      </c>
    </row>
    <row r="3528" spans="1:7" x14ac:dyDescent="0.3">
      <c r="A3528" s="1" t="s">
        <v>4</v>
      </c>
      <c r="B3528" s="2" t="str">
        <f t="shared" si="301"/>
        <v>SISTEMA FINANCEIRO - CONTAS A PAGAR</v>
      </c>
      <c r="C3528" s="2" t="str">
        <f t="shared" si="300"/>
        <v>FINAN</v>
      </c>
      <c r="D3528" s="2" t="str">
        <f t="shared" si="302"/>
        <v>FNCP</v>
      </c>
      <c r="E3528" s="2" t="str">
        <f>"RELATORIO DETIPO DE DETALHAMENTO"</f>
        <v>RELATORIO DETIPO DE DETALHAMENTO</v>
      </c>
      <c r="F3528" s="2" t="str">
        <f>"R_TIP_DET"</f>
        <v>R_TIP_DET</v>
      </c>
      <c r="G3528" s="2" t="str">
        <f>"Controladoria / Fiscal / Relatórios / Impostos (R_TIP_DET)"</f>
        <v>Controladoria / Fiscal / Relatórios / Impostos (R_TIP_DET)</v>
      </c>
    </row>
    <row r="3529" spans="1:7" x14ac:dyDescent="0.3">
      <c r="A3529" s="1" t="s">
        <v>4</v>
      </c>
      <c r="B3529" s="2" t="str">
        <f t="shared" si="301"/>
        <v>SISTEMA FINANCEIRO - CONTAS A PAGAR</v>
      </c>
      <c r="C3529" s="2" t="str">
        <f t="shared" si="300"/>
        <v>FINAN</v>
      </c>
      <c r="D3529" s="2" t="str">
        <f t="shared" si="302"/>
        <v>FNCP</v>
      </c>
      <c r="E3529" s="2" t="str">
        <f>"REL. DE PAGAMENTO P/ GRUPO DE RESULTADO"</f>
        <v>REL. DE PAGAMENTO P/ GRUPO DE RESULTADO</v>
      </c>
      <c r="F3529" s="2" t="str">
        <f>"R_PAGGRURES"</f>
        <v>R_PAGGRURES</v>
      </c>
      <c r="G3529" s="2" t="s">
        <v>10</v>
      </c>
    </row>
    <row r="3530" spans="1:7" x14ac:dyDescent="0.3">
      <c r="A3530" s="1" t="s">
        <v>4</v>
      </c>
      <c r="B3530" s="2" t="str">
        <f t="shared" si="301"/>
        <v>SISTEMA FINANCEIRO - CONTAS A PAGAR</v>
      </c>
      <c r="C3530" s="2" t="str">
        <f t="shared" si="300"/>
        <v>FINAN</v>
      </c>
      <c r="D3530" s="2" t="str">
        <f t="shared" si="302"/>
        <v>FNCP</v>
      </c>
      <c r="E3530" s="2" t="str">
        <f>"RELATORIO DE GRUPO DE RESULTADO"</f>
        <v>RELATORIO DE GRUPO DE RESULTADO</v>
      </c>
      <c r="F3530" s="2" t="str">
        <f>"R_GRURES"</f>
        <v>R_GRURES</v>
      </c>
      <c r="G3530" s="2" t="s">
        <v>10</v>
      </c>
    </row>
    <row r="3531" spans="1:7" x14ac:dyDescent="0.3">
      <c r="A3531" s="1" t="s">
        <v>4</v>
      </c>
      <c r="B3531" s="2" t="str">
        <f t="shared" si="301"/>
        <v>SISTEMA FINANCEIRO - CONTAS A PAGAR</v>
      </c>
      <c r="C3531" s="2" t="str">
        <f t="shared" si="300"/>
        <v>FINAN</v>
      </c>
      <c r="D3531" s="2" t="str">
        <f t="shared" si="302"/>
        <v>FNCP</v>
      </c>
      <c r="E3531" s="2" t="str">
        <f>"RELATORIO DE GRUPO DE INVESTIMENTO"</f>
        <v>RELATORIO DE GRUPO DE INVESTIMENTO</v>
      </c>
      <c r="F3531" s="2" t="str">
        <f>"R_GRUINV"</f>
        <v>R_GRUINV</v>
      </c>
      <c r="G3531" s="2" t="str">
        <f>" ()"</f>
        <v xml:space="preserve"> ()</v>
      </c>
    </row>
    <row r="3532" spans="1:7" x14ac:dyDescent="0.3">
      <c r="A3532" s="1" t="s">
        <v>4</v>
      </c>
      <c r="B3532" s="2" t="str">
        <f t="shared" si="301"/>
        <v>SISTEMA FINANCEIRO - CONTAS A PAGAR</v>
      </c>
      <c r="C3532" s="2" t="str">
        <f t="shared" si="300"/>
        <v>FINAN</v>
      </c>
      <c r="D3532" s="2" t="str">
        <f t="shared" si="302"/>
        <v>FNCP</v>
      </c>
      <c r="E3532" s="2" t="str">
        <f>"RELATORIO DE FORNECEDPR RESUMIDO"</f>
        <v>RELATORIO DE FORNECEDPR RESUMIDO</v>
      </c>
      <c r="F3532" s="2" t="str">
        <f>"R_FORNEC_RES"</f>
        <v>R_FORNEC_RES</v>
      </c>
      <c r="G3532" s="2" t="str">
        <f>" ()"</f>
        <v xml:space="preserve"> ()</v>
      </c>
    </row>
    <row r="3533" spans="1:7" x14ac:dyDescent="0.3">
      <c r="A3533" s="1" t="s">
        <v>4</v>
      </c>
      <c r="B3533" s="2" t="str">
        <f t="shared" si="301"/>
        <v>SISTEMA FINANCEIRO - CONTAS A PAGAR</v>
      </c>
      <c r="C3533" s="2" t="str">
        <f t="shared" si="300"/>
        <v>FINAN</v>
      </c>
      <c r="D3533" s="2" t="str">
        <f t="shared" si="302"/>
        <v>FNCP</v>
      </c>
      <c r="E3533" s="2" t="str">
        <f>"LANÇAMENTO DE CONTAS A PAGAR"</f>
        <v>LANÇAMENTO DE CONTAS A PAGAR</v>
      </c>
      <c r="F3533" s="2" t="str">
        <f>"M_CONPAG_RES"</f>
        <v>M_CONPAG_RES</v>
      </c>
      <c r="G3533" s="2" t="s">
        <v>10</v>
      </c>
    </row>
    <row r="3534" spans="1:7" x14ac:dyDescent="0.3">
      <c r="A3534" s="1" t="s">
        <v>4</v>
      </c>
      <c r="B3534" s="2" t="str">
        <f t="shared" si="301"/>
        <v>SISTEMA FINANCEIRO - CONTAS A PAGAR</v>
      </c>
      <c r="C3534" s="2" t="str">
        <f t="shared" si="300"/>
        <v>FINAN</v>
      </c>
      <c r="D3534" s="2" t="str">
        <f t="shared" si="302"/>
        <v>FNCP</v>
      </c>
      <c r="E3534" s="2" t="str">
        <f>"R_AUTORIZA_CON_APAG_970"</f>
        <v>R_AUTORIZA_CON_APAG_970</v>
      </c>
      <c r="F3534" s="2" t="str">
        <f>"R_AUTORIZA_CON_APAG_970"</f>
        <v>R_AUTORIZA_CON_APAG_970</v>
      </c>
      <c r="G3534" s="2" t="str">
        <f t="shared" ref="G3534:G3546" si="303">" ()"</f>
        <v xml:space="preserve"> ()</v>
      </c>
    </row>
    <row r="3535" spans="1:7" x14ac:dyDescent="0.3">
      <c r="A3535" s="1" t="s">
        <v>4</v>
      </c>
      <c r="B3535" s="2" t="str">
        <f t="shared" si="301"/>
        <v>SISTEMA FINANCEIRO - CONTAS A PAGAR</v>
      </c>
      <c r="C3535" s="2" t="str">
        <f t="shared" si="300"/>
        <v>FINAN</v>
      </c>
      <c r="D3535" s="2" t="str">
        <f t="shared" si="302"/>
        <v>FNCP</v>
      </c>
      <c r="E3535" s="2" t="str">
        <f>"R_DOC_968"</f>
        <v>R_DOC_968</v>
      </c>
      <c r="F3535" s="2" t="str">
        <f>"R_DOC_968"</f>
        <v>R_DOC_968</v>
      </c>
      <c r="G3535" s="2" t="str">
        <f t="shared" si="303"/>
        <v xml:space="preserve"> ()</v>
      </c>
    </row>
    <row r="3536" spans="1:7" x14ac:dyDescent="0.3">
      <c r="A3536" s="1" t="s">
        <v>4</v>
      </c>
      <c r="B3536" s="2" t="str">
        <f t="shared" si="301"/>
        <v>SISTEMA FINANCEIRO - CONTAS A PAGAR</v>
      </c>
      <c r="C3536" s="2" t="str">
        <f t="shared" si="300"/>
        <v>FINAN</v>
      </c>
      <c r="D3536" s="2" t="str">
        <f t="shared" si="302"/>
        <v>FNCP</v>
      </c>
      <c r="E3536" s="2" t="str">
        <f>"R_AUTORIZA_CON_APAG_968"</f>
        <v>R_AUTORIZA_CON_APAG_968</v>
      </c>
      <c r="F3536" s="2" t="str">
        <f>"R_AUTORIZA_CON_APAG_968"</f>
        <v>R_AUTORIZA_CON_APAG_968</v>
      </c>
      <c r="G3536" s="2" t="str">
        <f t="shared" si="303"/>
        <v xml:space="preserve"> ()</v>
      </c>
    </row>
    <row r="3537" spans="1:7" x14ac:dyDescent="0.3">
      <c r="A3537" s="1" t="s">
        <v>4</v>
      </c>
      <c r="B3537" s="2" t="str">
        <f t="shared" si="301"/>
        <v>SISTEMA FINANCEIRO - CONTAS A PAGAR</v>
      </c>
      <c r="C3537" s="2" t="str">
        <f t="shared" si="300"/>
        <v>FINAN</v>
      </c>
      <c r="D3537" s="2" t="str">
        <f t="shared" si="302"/>
        <v>FNCP</v>
      </c>
      <c r="E3537" s="2" t="str">
        <f>"R_ARECGRURES_959"</f>
        <v>R_ARECGRURES_959</v>
      </c>
      <c r="F3537" s="2" t="str">
        <f>"R_ARECGRURES_959"</f>
        <v>R_ARECGRURES_959</v>
      </c>
      <c r="G3537" s="2" t="str">
        <f t="shared" si="303"/>
        <v xml:space="preserve"> ()</v>
      </c>
    </row>
    <row r="3538" spans="1:7" x14ac:dyDescent="0.3">
      <c r="A3538" s="1" t="s">
        <v>4</v>
      </c>
      <c r="B3538" s="2" t="str">
        <f t="shared" si="301"/>
        <v>SISTEMA FINANCEIRO - CONTAS A PAGAR</v>
      </c>
      <c r="C3538" s="2" t="str">
        <f t="shared" si="300"/>
        <v>FINAN</v>
      </c>
      <c r="D3538" s="2" t="str">
        <f t="shared" si="302"/>
        <v>FNCP</v>
      </c>
      <c r="E3538" s="2" t="str">
        <f>"R_PREVISAO_MENSAL_860"</f>
        <v>R_PREVISAO_MENSAL_860</v>
      </c>
      <c r="F3538" s="2" t="str">
        <f>"R_PREVISAO_MENSAL_860"</f>
        <v>R_PREVISAO_MENSAL_860</v>
      </c>
      <c r="G3538" s="2" t="str">
        <f t="shared" si="303"/>
        <v xml:space="preserve"> ()</v>
      </c>
    </row>
    <row r="3539" spans="1:7" x14ac:dyDescent="0.3">
      <c r="A3539" s="1" t="s">
        <v>4</v>
      </c>
      <c r="B3539" s="2" t="str">
        <f t="shared" si="301"/>
        <v>SISTEMA FINANCEIRO - CONTAS A PAGAR</v>
      </c>
      <c r="C3539" s="2" t="str">
        <f t="shared" si="300"/>
        <v>FINAN</v>
      </c>
      <c r="D3539" s="2" t="str">
        <f t="shared" si="302"/>
        <v>FNCP</v>
      </c>
      <c r="E3539" s="2" t="str">
        <f>"R_BOLETIM_860"</f>
        <v>R_BOLETIM_860</v>
      </c>
      <c r="F3539" s="2" t="str">
        <f>"R_BOLETIM_860"</f>
        <v>R_BOLETIM_860</v>
      </c>
      <c r="G3539" s="2" t="str">
        <f t="shared" si="303"/>
        <v xml:space="preserve"> ()</v>
      </c>
    </row>
    <row r="3540" spans="1:7" x14ac:dyDescent="0.3">
      <c r="A3540" s="1" t="s">
        <v>4</v>
      </c>
      <c r="B3540" s="2" t="str">
        <f t="shared" si="301"/>
        <v>SISTEMA FINANCEIRO - CONTAS A PAGAR</v>
      </c>
      <c r="C3540" s="2" t="str">
        <f t="shared" si="300"/>
        <v>FINAN</v>
      </c>
      <c r="D3540" s="2" t="str">
        <f t="shared" si="302"/>
        <v>FNCP</v>
      </c>
      <c r="E3540" s="2" t="str">
        <f>"R_RECIBO_RECEB_618"</f>
        <v>R_RECIBO_RECEB_618</v>
      </c>
      <c r="F3540" s="2" t="str">
        <f>"R_RECIBO_RECEB_618"</f>
        <v>R_RECIBO_RECEB_618</v>
      </c>
      <c r="G3540" s="2" t="str">
        <f t="shared" si="303"/>
        <v xml:space="preserve"> ()</v>
      </c>
    </row>
    <row r="3541" spans="1:7" x14ac:dyDescent="0.3">
      <c r="A3541" s="1" t="s">
        <v>4</v>
      </c>
      <c r="B3541" s="2" t="str">
        <f t="shared" si="301"/>
        <v>SISTEMA FINANCEIRO - CONTAS A PAGAR</v>
      </c>
      <c r="C3541" s="2" t="str">
        <f t="shared" si="300"/>
        <v>FINAN</v>
      </c>
      <c r="D3541" s="2" t="str">
        <f t="shared" si="302"/>
        <v>FNCP</v>
      </c>
      <c r="E3541" s="2" t="str">
        <f>"R_CON_APAG_SIMP_340"</f>
        <v>R_CON_APAG_SIMP_340</v>
      </c>
      <c r="F3541" s="2" t="str">
        <f>"R_CON_APAG_SIMP_340"</f>
        <v>R_CON_APAG_SIMP_340</v>
      </c>
      <c r="G3541" s="2" t="str">
        <f t="shared" si="303"/>
        <v xml:space="preserve"> ()</v>
      </c>
    </row>
    <row r="3542" spans="1:7" x14ac:dyDescent="0.3">
      <c r="A3542" s="1" t="s">
        <v>4</v>
      </c>
      <c r="B3542" s="2" t="str">
        <f t="shared" si="301"/>
        <v>SISTEMA FINANCEIRO - CONTAS A PAGAR</v>
      </c>
      <c r="C3542" s="2" t="str">
        <f t="shared" si="300"/>
        <v>FINAN</v>
      </c>
      <c r="D3542" s="2" t="str">
        <f t="shared" si="302"/>
        <v>FNCP</v>
      </c>
      <c r="E3542" s="2" t="str">
        <f>"R_CONTAS_PAG_264"</f>
        <v>R_CONTAS_PAG_264</v>
      </c>
      <c r="F3542" s="2" t="str">
        <f>"R_CONTAS_PAG_264"</f>
        <v>R_CONTAS_PAG_264</v>
      </c>
      <c r="G3542" s="2" t="str">
        <f t="shared" si="303"/>
        <v xml:space="preserve"> ()</v>
      </c>
    </row>
    <row r="3543" spans="1:7" x14ac:dyDescent="0.3">
      <c r="A3543" s="1" t="s">
        <v>4</v>
      </c>
      <c r="B3543" s="2" t="str">
        <f t="shared" si="301"/>
        <v>SISTEMA FINANCEIRO - CONTAS A PAGAR</v>
      </c>
      <c r="C3543" s="2" t="str">
        <f t="shared" si="300"/>
        <v>FINAN</v>
      </c>
      <c r="D3543" s="2" t="str">
        <f t="shared" si="302"/>
        <v>FNCP</v>
      </c>
      <c r="E3543" s="2" t="str">
        <f>"R_RECIBO_PAGAMENTO_1302"</f>
        <v>R_RECIBO_PAGAMENTO_1302</v>
      </c>
      <c r="F3543" s="2" t="str">
        <f>"R_RECIBO_PAGAMENTO_1302"</f>
        <v>R_RECIBO_PAGAMENTO_1302</v>
      </c>
      <c r="G3543" s="2" t="str">
        <f t="shared" si="303"/>
        <v xml:space="preserve"> ()</v>
      </c>
    </row>
    <row r="3544" spans="1:7" x14ac:dyDescent="0.3">
      <c r="A3544" s="1" t="s">
        <v>4</v>
      </c>
      <c r="B3544" s="2" t="str">
        <f t="shared" si="301"/>
        <v>SISTEMA FINANCEIRO - CONTAS A PAGAR</v>
      </c>
      <c r="C3544" s="2" t="str">
        <f t="shared" si="300"/>
        <v>FINAN</v>
      </c>
      <c r="D3544" s="2" t="str">
        <f t="shared" si="302"/>
        <v>FNCP</v>
      </c>
      <c r="E3544" s="2" t="str">
        <f>"R_SFORNEC_959"</f>
        <v>R_SFORNEC_959</v>
      </c>
      <c r="F3544" s="2" t="str">
        <f>"R_SFORNEC_959"</f>
        <v>R_SFORNEC_959</v>
      </c>
      <c r="G3544" s="2" t="str">
        <f t="shared" si="303"/>
        <v xml:space="preserve"> ()</v>
      </c>
    </row>
    <row r="3545" spans="1:7" x14ac:dyDescent="0.3">
      <c r="A3545" s="1" t="s">
        <v>4</v>
      </c>
      <c r="B3545" s="2" t="str">
        <f t="shared" si="301"/>
        <v>SISTEMA FINANCEIRO - CONTAS A PAGAR</v>
      </c>
      <c r="C3545" s="2" t="str">
        <f t="shared" si="300"/>
        <v>FINAN</v>
      </c>
      <c r="D3545" s="2" t="str">
        <f t="shared" si="302"/>
        <v>FNCP</v>
      </c>
      <c r="E3545" s="2" t="str">
        <f>"R_RECEB_DIFERENCA"</f>
        <v>R_RECEB_DIFERENCA</v>
      </c>
      <c r="F3545" s="2" t="str">
        <f>"R_RECEB_DIFERENCA"</f>
        <v>R_RECEB_DIFERENCA</v>
      </c>
      <c r="G3545" s="2" t="str">
        <f t="shared" si="303"/>
        <v xml:space="preserve"> ()</v>
      </c>
    </row>
    <row r="3546" spans="1:7" x14ac:dyDescent="0.3">
      <c r="A3546" s="1" t="s">
        <v>4</v>
      </c>
      <c r="B3546" s="2" t="str">
        <f t="shared" si="301"/>
        <v>SISTEMA FINANCEIRO - CONTAS A PAGAR</v>
      </c>
      <c r="C3546" s="2" t="str">
        <f t="shared" si="300"/>
        <v>FINAN</v>
      </c>
      <c r="D3546" s="2" t="str">
        <f t="shared" si="302"/>
        <v>FNCP</v>
      </c>
      <c r="E3546" s="2" t="str">
        <f>"R_RECEBO_ADIANT"</f>
        <v>R_RECEBO_ADIANT</v>
      </c>
      <c r="F3546" s="2" t="str">
        <f>"R_RECEBO_ADIANT"</f>
        <v>R_RECEBO_ADIANT</v>
      </c>
      <c r="G3546" s="2" t="str">
        <f t="shared" si="303"/>
        <v xml:space="preserve"> ()</v>
      </c>
    </row>
    <row r="3547" spans="1:7" x14ac:dyDescent="0.3">
      <c r="A3547" s="1" t="s">
        <v>4</v>
      </c>
      <c r="B3547" s="2" t="str">
        <f t="shared" si="301"/>
        <v>SISTEMA FINANCEIRO - CONTAS A PAGAR</v>
      </c>
      <c r="C3547" s="2" t="str">
        <f t="shared" si="300"/>
        <v>FINAN</v>
      </c>
      <c r="D3547" s="2" t="str">
        <f t="shared" si="302"/>
        <v>FNCP</v>
      </c>
      <c r="E3547" s="2" t="str">
        <f>"R_POSICAO_CONTAS_ARECEB"</f>
        <v>R_POSICAO_CONTAS_ARECEB</v>
      </c>
      <c r="F3547" s="2" t="str">
        <f>"R_POSICAO_CONTAS_ARECEB"</f>
        <v>R_POSICAO_CONTAS_ARECEB</v>
      </c>
      <c r="G3547" s="2" t="s">
        <v>10</v>
      </c>
    </row>
    <row r="3548" spans="1:7" x14ac:dyDescent="0.3">
      <c r="A3548" s="1" t="s">
        <v>4</v>
      </c>
      <c r="B3548" s="2" t="str">
        <f t="shared" si="301"/>
        <v>SISTEMA FINANCEIRO - CONTAS A PAGAR</v>
      </c>
      <c r="C3548" s="2" t="str">
        <f t="shared" si="300"/>
        <v>FINAN</v>
      </c>
      <c r="D3548" s="2" t="str">
        <f t="shared" si="302"/>
        <v>FNCP</v>
      </c>
      <c r="E3548" s="2" t="str">
        <f>"R_FLUXO"</f>
        <v>R_FLUXO</v>
      </c>
      <c r="F3548" s="2" t="str">
        <f>"R_FLUXO"</f>
        <v>R_FLUXO</v>
      </c>
      <c r="G3548" s="2" t="str">
        <f>" ()"</f>
        <v xml:space="preserve"> ()</v>
      </c>
    </row>
    <row r="3549" spans="1:7" x14ac:dyDescent="0.3">
      <c r="A3549" s="1" t="s">
        <v>4</v>
      </c>
      <c r="B3549" s="2" t="str">
        <f t="shared" si="301"/>
        <v>SISTEMA FINANCEIRO - CONTAS A PAGAR</v>
      </c>
      <c r="C3549" s="2" t="str">
        <f t="shared" si="300"/>
        <v>FINAN</v>
      </c>
      <c r="D3549" s="2" t="str">
        <f t="shared" si="302"/>
        <v>FNCP</v>
      </c>
      <c r="E3549" s="2" t="str">
        <f>"R_DETALHAMENTO_ANUAL"</f>
        <v>R_DETALHAMENTO_ANUAL</v>
      </c>
      <c r="F3549" s="2" t="str">
        <f>"R_DETALHAMENTO_ANUAL"</f>
        <v>R_DETALHAMENTO_ANUAL</v>
      </c>
      <c r="G3549" s="2" t="str">
        <f>"Controladoria / Fiscal / Geração / DIRF / Comprovante de Rendimentos (R_DETALHAMENTO_ANUAL)"</f>
        <v>Controladoria / Fiscal / Geração / DIRF / Comprovante de Rendimentos (R_DETALHAMENTO_ANUAL)</v>
      </c>
    </row>
    <row r="3550" spans="1:7" x14ac:dyDescent="0.3">
      <c r="A3550" s="1" t="s">
        <v>4</v>
      </c>
      <c r="B3550" s="2" t="str">
        <f t="shared" si="301"/>
        <v>SISTEMA FINANCEIRO - CONTAS A PAGAR</v>
      </c>
      <c r="C3550" s="2" t="str">
        <f t="shared" si="300"/>
        <v>FINAN</v>
      </c>
      <c r="D3550" s="2" t="str">
        <f t="shared" si="302"/>
        <v>FNCP</v>
      </c>
      <c r="E3550" s="2" t="str">
        <f>"R_DETALHAMENTO_ANUAL"</f>
        <v>R_DETALHAMENTO_ANUAL</v>
      </c>
      <c r="F3550" s="2" t="str">
        <f>"R_DETALHAMENTO_ANUAL"</f>
        <v>R_DETALHAMENTO_ANUAL</v>
      </c>
      <c r="G3550" s="2" t="s">
        <v>10</v>
      </c>
    </row>
    <row r="3551" spans="1:7" x14ac:dyDescent="0.3">
      <c r="A3551" s="1" t="s">
        <v>4</v>
      </c>
      <c r="B3551" s="2" t="str">
        <f t="shared" si="301"/>
        <v>SISTEMA FINANCEIRO - CONTAS A PAGAR</v>
      </c>
      <c r="C3551" s="2" t="str">
        <f t="shared" si="300"/>
        <v>FINAN</v>
      </c>
      <c r="D3551" s="2" t="str">
        <f t="shared" si="302"/>
        <v>FNCP</v>
      </c>
      <c r="E3551" s="2" t="str">
        <f>"R_CON_PAG_959"</f>
        <v>R_CON_PAG_959</v>
      </c>
      <c r="F3551" s="2" t="str">
        <f>"R_CON_PAG_959"</f>
        <v>R_CON_PAG_959</v>
      </c>
      <c r="G3551" s="2" t="str">
        <f>" ()"</f>
        <v xml:space="preserve"> ()</v>
      </c>
    </row>
    <row r="3552" spans="1:7" x14ac:dyDescent="0.3">
      <c r="A3552" s="1" t="s">
        <v>4</v>
      </c>
      <c r="B3552" s="2" t="str">
        <f t="shared" si="301"/>
        <v>SISTEMA FINANCEIRO - CONTAS A PAGAR</v>
      </c>
      <c r="C3552" s="2" t="str">
        <f t="shared" si="300"/>
        <v>FINAN</v>
      </c>
      <c r="D3552" s="2" t="str">
        <f t="shared" si="302"/>
        <v>FNCP</v>
      </c>
      <c r="E3552" s="2" t="str">
        <f>"R_CONTA_REC_PAC_756"</f>
        <v>R_CONTA_REC_PAC_756</v>
      </c>
      <c r="F3552" s="2" t="str">
        <f>"R_CONTA_REC_PAC_756"</f>
        <v>R_CONTA_REC_PAC_756</v>
      </c>
      <c r="G3552" s="2" t="str">
        <f>" ()"</f>
        <v xml:space="preserve"> ()</v>
      </c>
    </row>
    <row r="3553" spans="1:7" x14ac:dyDescent="0.3">
      <c r="A3553" s="1" t="s">
        <v>4</v>
      </c>
      <c r="B3553" s="2" t="str">
        <f t="shared" si="301"/>
        <v>SISTEMA FINANCEIRO - CONTAS A PAGAR</v>
      </c>
      <c r="C3553" s="2" t="str">
        <f t="shared" si="300"/>
        <v>FINAN</v>
      </c>
      <c r="D3553" s="2" t="str">
        <f t="shared" si="302"/>
        <v>FNCP</v>
      </c>
      <c r="E3553" s="2" t="str">
        <f>"R_COMPRO_REC_CONV"</f>
        <v>R_COMPRO_REC_CONV</v>
      </c>
      <c r="F3553" s="2" t="str">
        <f>"R_COMPRO_REC_CONV"</f>
        <v>R_COMPRO_REC_CONV</v>
      </c>
      <c r="G3553" s="2" t="str">
        <f>" ()"</f>
        <v xml:space="preserve"> ()</v>
      </c>
    </row>
    <row r="3554" spans="1:7" x14ac:dyDescent="0.3">
      <c r="A3554" s="1" t="s">
        <v>4</v>
      </c>
      <c r="B3554" s="2" t="str">
        <f t="shared" si="301"/>
        <v>SISTEMA FINANCEIRO - CONTAS A PAGAR</v>
      </c>
      <c r="C3554" s="2" t="str">
        <f t="shared" si="300"/>
        <v>FINAN</v>
      </c>
      <c r="D3554" s="2" t="str">
        <f t="shared" si="302"/>
        <v>FNCP</v>
      </c>
      <c r="E3554" s="2" t="str">
        <f>"M_CONSTITUICAO_EMPRESA"</f>
        <v>M_CONSTITUICAO_EMPRESA</v>
      </c>
      <c r="F3554" s="2" t="str">
        <f>"M_CONSTITUICAO_EMPRESA"</f>
        <v>M_CONSTITUICAO_EMPRESA</v>
      </c>
      <c r="G3554" s="2" t="s">
        <v>10</v>
      </c>
    </row>
    <row r="3555" spans="1:7" x14ac:dyDescent="0.3">
      <c r="A3555" s="1" t="s">
        <v>4</v>
      </c>
      <c r="B3555" s="2" t="str">
        <f t="shared" si="301"/>
        <v>SISTEMA FINANCEIRO - CONTAS A PAGAR</v>
      </c>
      <c r="C3555" s="2" t="str">
        <f t="shared" si="300"/>
        <v>FINAN</v>
      </c>
      <c r="D3555" s="2" t="str">
        <f t="shared" si="302"/>
        <v>FNCP</v>
      </c>
      <c r="E3555" s="2" t="str">
        <f>"M_CFOP"</f>
        <v>M_CFOP</v>
      </c>
      <c r="F3555" s="2" t="str">
        <f>"M_CFOP"</f>
        <v>M_CFOP</v>
      </c>
      <c r="G3555" s="2" t="str">
        <f>"Controladoria / Fiscal / Tabelas / CFOP (M_CFOP)"</f>
        <v>Controladoria / Fiscal / Tabelas / CFOP (M_CFOP)</v>
      </c>
    </row>
    <row r="3556" spans="1:7" x14ac:dyDescent="0.3">
      <c r="A3556" s="1" t="s">
        <v>4</v>
      </c>
      <c r="B3556" s="2" t="str">
        <f t="shared" si="301"/>
        <v>SISTEMA FINANCEIRO - CONTAS A PAGAR</v>
      </c>
      <c r="C3556" s="2" t="str">
        <f t="shared" si="300"/>
        <v>FINAN</v>
      </c>
      <c r="D3556" s="2" t="str">
        <f t="shared" si="302"/>
        <v>FNCP</v>
      </c>
      <c r="E3556" s="2" t="str">
        <f>"M_CFOP"</f>
        <v>M_CFOP</v>
      </c>
      <c r="F3556" s="2" t="str">
        <f>"M_CFOP"</f>
        <v>M_CFOP</v>
      </c>
      <c r="G3556" s="2" t="s">
        <v>10</v>
      </c>
    </row>
    <row r="3557" spans="1:7" x14ac:dyDescent="0.3">
      <c r="A3557" s="1" t="s">
        <v>4</v>
      </c>
      <c r="B3557" s="2" t="str">
        <f t="shared" si="301"/>
        <v>SISTEMA FINANCEIRO - CONTAS A PAGAR</v>
      </c>
      <c r="C3557" s="2" t="str">
        <f t="shared" si="300"/>
        <v>FINAN</v>
      </c>
      <c r="D3557" s="2" t="str">
        <f t="shared" si="302"/>
        <v>FNCP</v>
      </c>
      <c r="E3557" s="2" t="str">
        <f>"MOV_CONCOR"</f>
        <v>MOV_CONCOR</v>
      </c>
      <c r="F3557" s="2" t="str">
        <f>"MOV_CONCOR"</f>
        <v>MOV_CONCOR</v>
      </c>
      <c r="G3557" s="2" t="str">
        <f>" ()"</f>
        <v xml:space="preserve"> ()</v>
      </c>
    </row>
    <row r="3558" spans="1:7" x14ac:dyDescent="0.3">
      <c r="A3558" s="1" t="s">
        <v>4</v>
      </c>
      <c r="B3558" s="2" t="str">
        <f t="shared" si="301"/>
        <v>SISTEMA FINANCEIRO - CONTAS A PAGAR</v>
      </c>
      <c r="C3558" s="2" t="str">
        <f t="shared" si="300"/>
        <v>FINAN</v>
      </c>
      <c r="D3558" s="2" t="str">
        <f t="shared" si="302"/>
        <v>FNCP</v>
      </c>
      <c r="E3558" s="2" t="str">
        <f>"WIN_MODAL"</f>
        <v>WIN_MODAL</v>
      </c>
      <c r="F3558" s="2" t="str">
        <f>"M_LOTE_PAGAMENTO"</f>
        <v>M_LOTE_PAGAMENTO</v>
      </c>
      <c r="G3558" s="2" t="s">
        <v>10</v>
      </c>
    </row>
    <row r="3559" spans="1:7" x14ac:dyDescent="0.3">
      <c r="A3559" s="1" t="s">
        <v>4</v>
      </c>
      <c r="B3559" s="2" t="str">
        <f t="shared" si="301"/>
        <v>SISTEMA FINANCEIRO - CONTAS A PAGAR</v>
      </c>
      <c r="C3559" s="2" t="str">
        <f t="shared" si="300"/>
        <v>FINAN</v>
      </c>
      <c r="D3559" s="2" t="str">
        <f t="shared" si="302"/>
        <v>FNCP</v>
      </c>
      <c r="E3559" s="2" t="str">
        <f>"USUARIOS AUTORIZADORES"</f>
        <v>USUARIOS AUTORIZADORES</v>
      </c>
      <c r="F3559" s="2" t="str">
        <f>"M_USUARIOS_AUTORIZADORES"</f>
        <v>M_USUARIOS_AUTORIZADORES</v>
      </c>
      <c r="G3559" s="2" t="str">
        <f>"Apoio a TI / Gestão de Usuários / Configurações de Acesso / Acessos Controladoria / Usuários Autorizadores-Financeiro (M_USUARIOS_AUTORIZADORES)"</f>
        <v>Apoio a TI / Gestão de Usuários / Configurações de Acesso / Acessos Controladoria / Usuários Autorizadores-Financeiro (M_USUARIOS_AUTORIZADORES)</v>
      </c>
    </row>
    <row r="3560" spans="1:7" x14ac:dyDescent="0.3">
      <c r="A3560" s="1" t="s">
        <v>4</v>
      </c>
      <c r="B3560" s="2" t="str">
        <f t="shared" si="301"/>
        <v>SISTEMA FINANCEIRO - CONTAS A PAGAR</v>
      </c>
      <c r="C3560" s="2" t="str">
        <f t="shared" si="300"/>
        <v>FINAN</v>
      </c>
      <c r="D3560" s="2" t="str">
        <f t="shared" si="302"/>
        <v>FNCP</v>
      </c>
      <c r="E3560" s="2" t="str">
        <f>"RELATÓRIO CONTAS A PAGAR"</f>
        <v>RELATÓRIO CONTAS A PAGAR</v>
      </c>
      <c r="F3560" s="2" t="str">
        <f>"R_BOR_UNIB_264"</f>
        <v>R_BOR_UNIB_264</v>
      </c>
      <c r="G3560" s="2" t="str">
        <f>" ()"</f>
        <v xml:space="preserve"> ()</v>
      </c>
    </row>
    <row r="3561" spans="1:7" x14ac:dyDescent="0.3">
      <c r="A3561" s="1" t="s">
        <v>4</v>
      </c>
      <c r="B3561" s="2" t="str">
        <f t="shared" si="301"/>
        <v>SISTEMA FINANCEIRO - CONTAS A PAGAR</v>
      </c>
      <c r="C3561" s="2" t="str">
        <f t="shared" si="300"/>
        <v>FINAN</v>
      </c>
      <c r="D3561" s="2" t="str">
        <f t="shared" si="302"/>
        <v>FNCP</v>
      </c>
      <c r="E3561" s="2" t="str">
        <f>"R_RECIBO"</f>
        <v>R_RECIBO</v>
      </c>
      <c r="F3561" s="2" t="str">
        <f>"R_RECIBO"</f>
        <v>R_RECIBO</v>
      </c>
      <c r="G3561" s="2" t="str">
        <f>" ()"</f>
        <v xml:space="preserve"> ()</v>
      </c>
    </row>
    <row r="3562" spans="1:7" x14ac:dyDescent="0.3">
      <c r="A3562" s="1" t="s">
        <v>4</v>
      </c>
      <c r="B3562" s="2" t="str">
        <f t="shared" si="301"/>
        <v>SISTEMA FINANCEIRO - CONTAS A PAGAR</v>
      </c>
      <c r="C3562" s="2" t="str">
        <f t="shared" si="300"/>
        <v>FINAN</v>
      </c>
      <c r="D3562" s="2" t="str">
        <f t="shared" si="302"/>
        <v>FNCP</v>
      </c>
      <c r="E3562" s="2" t="str">
        <f>"R_CUS_CONTA_PS_GER"</f>
        <v>R_CUS_CONTA_PS_GER</v>
      </c>
      <c r="F3562" s="2" t="str">
        <f>"R_CUS_CONTA_PS_GER"</f>
        <v>R_CUS_CONTA_PS_GER</v>
      </c>
      <c r="G3562" s="2" t="str">
        <f>" ()"</f>
        <v xml:space="preserve"> ()</v>
      </c>
    </row>
    <row r="3563" spans="1:7" x14ac:dyDescent="0.3">
      <c r="A3563" s="1" t="s">
        <v>4</v>
      </c>
      <c r="B3563" s="2" t="str">
        <f t="shared" si="301"/>
        <v>SISTEMA FINANCEIRO - CONTAS A PAGAR</v>
      </c>
      <c r="C3563" s="2" t="str">
        <f t="shared" si="300"/>
        <v>FINAN</v>
      </c>
      <c r="D3563" s="2" t="str">
        <f t="shared" si="302"/>
        <v>FNCP</v>
      </c>
      <c r="E3563" s="2" t="str">
        <f>"R_CUSTO_CONTA_CARACT"</f>
        <v>R_CUSTO_CONTA_CARACT</v>
      </c>
      <c r="F3563" s="2" t="str">
        <f>"R_CUSTO_CONTA_CARACT"</f>
        <v>R_CUSTO_CONTA_CARACT</v>
      </c>
      <c r="G3563" s="2" t="str">
        <f>" ()"</f>
        <v xml:space="preserve"> ()</v>
      </c>
    </row>
    <row r="3564" spans="1:7" x14ac:dyDescent="0.3">
      <c r="A3564" s="1" t="s">
        <v>4</v>
      </c>
      <c r="B3564" s="2" t="str">
        <f t="shared" si="301"/>
        <v>SISTEMA FINANCEIRO - CONTAS A PAGAR</v>
      </c>
      <c r="C3564" s="2" t="str">
        <f t="shared" si="300"/>
        <v>FINAN</v>
      </c>
      <c r="D3564" s="2" t="str">
        <f t="shared" si="302"/>
        <v>FNCP</v>
      </c>
      <c r="E3564" s="2" t="str">
        <f>"RECEBIMENTOS"</f>
        <v>RECEBIMENTOS</v>
      </c>
      <c r="F3564" s="2" t="str">
        <f>"O_REC"</f>
        <v>O_REC</v>
      </c>
      <c r="G3564" s="2" t="s">
        <v>10</v>
      </c>
    </row>
    <row r="3565" spans="1:7" x14ac:dyDescent="0.3">
      <c r="A3565" s="1" t="s">
        <v>4</v>
      </c>
      <c r="B3565" s="2" t="str">
        <f t="shared" si="301"/>
        <v>SISTEMA FINANCEIRO - CONTAS A PAGAR</v>
      </c>
      <c r="C3565" s="2" t="str">
        <f t="shared" si="300"/>
        <v>FINAN</v>
      </c>
      <c r="D3565" s="2" t="str">
        <f t="shared" si="302"/>
        <v>FNCP</v>
      </c>
      <c r="E3565" s="2" t="str">
        <f>"RELATÓRIO ANALÍTICO DE FLUXO DE CAIXA"</f>
        <v>RELATÓRIO ANALÍTICO DE FLUXO DE CAIXA</v>
      </c>
      <c r="F3565" s="2" t="str">
        <f>"R_FLUXO_CAIXA_DIA"</f>
        <v>R_FLUXO_CAIXA_DIA</v>
      </c>
      <c r="G3565" s="2" t="str">
        <f>" ()"</f>
        <v xml:space="preserve"> ()</v>
      </c>
    </row>
    <row r="3566" spans="1:7" x14ac:dyDescent="0.3">
      <c r="A3566" s="1" t="s">
        <v>4</v>
      </c>
      <c r="B3566" s="2" t="str">
        <f t="shared" si="301"/>
        <v>SISTEMA FINANCEIRO - CONTAS A PAGAR</v>
      </c>
      <c r="C3566" s="2" t="str">
        <f t="shared" si="300"/>
        <v>FINAN</v>
      </c>
      <c r="D3566" s="2" t="str">
        <f t="shared" si="302"/>
        <v>FNCP</v>
      </c>
      <c r="E3566" s="2" t="str">
        <f>"R_RECURSO_PREVISAO_GLOSA"</f>
        <v>R_RECURSO_PREVISAO_GLOSA</v>
      </c>
      <c r="F3566" s="2" t="str">
        <f>"R_RECURSO_PREVISAO_GLOSA"</f>
        <v>R_RECURSO_PREVISAO_GLOSA</v>
      </c>
      <c r="G3566" s="2" t="s">
        <v>10</v>
      </c>
    </row>
    <row r="3567" spans="1:7" x14ac:dyDescent="0.3">
      <c r="A3567" s="1" t="s">
        <v>4</v>
      </c>
      <c r="B3567" s="2" t="str">
        <f t="shared" si="301"/>
        <v>SISTEMA FINANCEIRO - CONTAS A PAGAR</v>
      </c>
      <c r="C3567" s="2" t="str">
        <f t="shared" si="300"/>
        <v>FINAN</v>
      </c>
      <c r="D3567" s="2" t="str">
        <f t="shared" si="302"/>
        <v>FNCP</v>
      </c>
      <c r="E3567" s="2" t="str">
        <f>"R_PAGGRURES_SITETICO"</f>
        <v>R_PAGGRURES_SITETICO</v>
      </c>
      <c r="F3567" s="2" t="str">
        <f>"R_PAGGRURES_SITETICO"</f>
        <v>R_PAGGRURES_SITETICO</v>
      </c>
      <c r="G3567" s="2" t="str">
        <f>" ()"</f>
        <v xml:space="preserve"> ()</v>
      </c>
    </row>
    <row r="3568" spans="1:7" x14ac:dyDescent="0.3">
      <c r="A3568" s="1" t="s">
        <v>4</v>
      </c>
      <c r="B3568" s="2" t="str">
        <f t="shared" si="301"/>
        <v>SISTEMA FINANCEIRO - CONTAS A PAGAR</v>
      </c>
      <c r="C3568" s="2" t="str">
        <f t="shared" si="300"/>
        <v>FINAN</v>
      </c>
      <c r="D3568" s="2" t="str">
        <f t="shared" si="302"/>
        <v>FNCP</v>
      </c>
      <c r="E3568" s="2" t="str">
        <f>"WIN_PRINCIPAL - HOSPITAL MV SISTEMAS"</f>
        <v>WIN_PRINCIPAL - HOSPITAL MV SISTEMAS</v>
      </c>
      <c r="F3568" s="2" t="str">
        <f>"R_GESTAO_CAIXA"</f>
        <v>R_GESTAO_CAIXA</v>
      </c>
      <c r="G3568" s="2" t="s">
        <v>10</v>
      </c>
    </row>
    <row r="3569" spans="1:7" x14ac:dyDescent="0.3">
      <c r="A3569" s="1" t="s">
        <v>4</v>
      </c>
      <c r="B3569" s="2" t="str">
        <f t="shared" si="301"/>
        <v>SISTEMA FINANCEIRO - CONTAS A PAGAR</v>
      </c>
      <c r="C3569" s="2" t="str">
        <f t="shared" si="300"/>
        <v>FINAN</v>
      </c>
      <c r="D3569" s="2" t="str">
        <f t="shared" si="302"/>
        <v>FNCP</v>
      </c>
      <c r="E3569" s="2" t="str">
        <f>"RELATÓRIO RAZÃO BANCÁRIO"</f>
        <v>RELATÓRIO RAZÃO BANCÁRIO</v>
      </c>
      <c r="F3569" s="2" t="str">
        <f>"R_FLU_CAI_GER_754"</f>
        <v>R_FLU_CAI_GER_754</v>
      </c>
      <c r="G3569" s="2" t="str">
        <f>" ()"</f>
        <v xml:space="preserve"> ()</v>
      </c>
    </row>
    <row r="3570" spans="1:7" x14ac:dyDescent="0.3">
      <c r="A3570" s="1" t="s">
        <v>4</v>
      </c>
      <c r="B3570" s="2" t="str">
        <f t="shared" si="301"/>
        <v>SISTEMA FINANCEIRO - CONTAS A PAGAR</v>
      </c>
      <c r="C3570" s="2" t="str">
        <f t="shared" si="300"/>
        <v>FINAN</v>
      </c>
      <c r="D3570" s="2" t="str">
        <f t="shared" si="302"/>
        <v>FNCP</v>
      </c>
      <c r="E3570" s="2" t="str">
        <f>"LANÇAMENTOS: LANÇAMENTOS RESUMIDOS"</f>
        <v>LANÇAMENTOS: LANÇAMENTOS RESUMIDOS</v>
      </c>
      <c r="F3570" s="2" t="str">
        <f>"O_CANC_DEV"</f>
        <v>O_CANC_DEV</v>
      </c>
      <c r="G3570" s="2" t="s">
        <v>10</v>
      </c>
    </row>
    <row r="3571" spans="1:7" x14ac:dyDescent="0.3">
      <c r="A3571" s="1" t="s">
        <v>4</v>
      </c>
      <c r="B3571" s="2" t="str">
        <f t="shared" si="301"/>
        <v>SISTEMA FINANCEIRO - CONTAS A PAGAR</v>
      </c>
      <c r="C3571" s="2" t="str">
        <f t="shared" si="300"/>
        <v>FINAN</v>
      </c>
      <c r="D3571" s="2" t="str">
        <f t="shared" si="302"/>
        <v>FNCP</v>
      </c>
      <c r="E3571" s="2" t="str">
        <f>"R_CONTAS_APAG_PAG_CUSTO_CAR_203"</f>
        <v>R_CONTAS_APAG_PAG_CUSTO_CAR_203</v>
      </c>
      <c r="F3571" s="2" t="str">
        <f>"R_CONTAS_APAG_PAG_CUSTO_CAR_203"</f>
        <v>R_CONTAS_APAG_PAG_CUSTO_CAR_203</v>
      </c>
      <c r="G3571" s="2" t="str">
        <f t="shared" ref="G3571:G3590" si="304">" ()"</f>
        <v xml:space="preserve"> ()</v>
      </c>
    </row>
    <row r="3572" spans="1:7" x14ac:dyDescent="0.3">
      <c r="A3572" s="1" t="s">
        <v>4</v>
      </c>
      <c r="B3572" s="2" t="str">
        <f t="shared" si="301"/>
        <v>SISTEMA FINANCEIRO - CONTAS A PAGAR</v>
      </c>
      <c r="C3572" s="2" t="str">
        <f t="shared" si="300"/>
        <v>FINAN</v>
      </c>
      <c r="D3572" s="2" t="str">
        <f t="shared" si="302"/>
        <v>FNCP</v>
      </c>
      <c r="E3572" s="2" t="str">
        <f>"CADASTRO DE CONTA A RECEBER PARTICULAR"</f>
        <v>CADASTRO DE CONTA A RECEBER PARTICULAR</v>
      </c>
      <c r="F3572" s="2" t="str">
        <f>"M_CON_REC_PART"</f>
        <v>M_CON_REC_PART</v>
      </c>
      <c r="G3572" s="2" t="str">
        <f t="shared" si="304"/>
        <v xml:space="preserve"> ()</v>
      </c>
    </row>
    <row r="3573" spans="1:7" x14ac:dyDescent="0.3">
      <c r="A3573" s="1" t="s">
        <v>4</v>
      </c>
      <c r="B3573" s="2" t="str">
        <f t="shared" si="301"/>
        <v>SISTEMA FINANCEIRO - CONTAS A PAGAR</v>
      </c>
      <c r="C3573" s="2" t="str">
        <f t="shared" si="300"/>
        <v>FINAN</v>
      </c>
      <c r="D3573" s="2" t="str">
        <f t="shared" si="302"/>
        <v>FNCP</v>
      </c>
      <c r="E3573" s="2" t="str">
        <f>"R_CONREC_PACCA_444"</f>
        <v>R_CONREC_PACCA_444</v>
      </c>
      <c r="F3573" s="2" t="str">
        <f>"R_CONREC_PACCA_444"</f>
        <v>R_CONREC_PACCA_444</v>
      </c>
      <c r="G3573" s="2" t="str">
        <f t="shared" si="304"/>
        <v xml:space="preserve"> ()</v>
      </c>
    </row>
    <row r="3574" spans="1:7" x14ac:dyDescent="0.3">
      <c r="A3574" s="1" t="s">
        <v>4</v>
      </c>
      <c r="B3574" s="2" t="str">
        <f t="shared" si="301"/>
        <v>SISTEMA FINANCEIRO - CONTAS A PAGAR</v>
      </c>
      <c r="C3574" s="2" t="str">
        <f t="shared" si="300"/>
        <v>FINAN</v>
      </c>
      <c r="D3574" s="2" t="str">
        <f t="shared" si="302"/>
        <v>FNCP</v>
      </c>
      <c r="E3574" s="2" t="str">
        <f>"R_CONTA_PAC_445"</f>
        <v>R_CONTA_PAC_445</v>
      </c>
      <c r="F3574" s="2" t="str">
        <f>"R_CONTA_PAC_445"</f>
        <v>R_CONTA_PAC_445</v>
      </c>
      <c r="G3574" s="2" t="str">
        <f t="shared" si="304"/>
        <v xml:space="preserve"> ()</v>
      </c>
    </row>
    <row r="3575" spans="1:7" x14ac:dyDescent="0.3">
      <c r="A3575" s="1" t="s">
        <v>4</v>
      </c>
      <c r="B3575" s="2" t="str">
        <f t="shared" si="301"/>
        <v>SISTEMA FINANCEIRO - CONTAS A PAGAR</v>
      </c>
      <c r="C3575" s="2" t="str">
        <f t="shared" si="300"/>
        <v>FINAN</v>
      </c>
      <c r="D3575" s="2" t="str">
        <f t="shared" si="302"/>
        <v>FNCP</v>
      </c>
      <c r="E3575" s="2" t="str">
        <f>"R_CONFOR_CARACT_203"</f>
        <v>R_CONFOR_CARACT_203</v>
      </c>
      <c r="F3575" s="2" t="str">
        <f>"R_CONFOR_CARACT_203"</f>
        <v>R_CONFOR_CARACT_203</v>
      </c>
      <c r="G3575" s="2" t="str">
        <f t="shared" si="304"/>
        <v xml:space="preserve"> ()</v>
      </c>
    </row>
    <row r="3576" spans="1:7" x14ac:dyDescent="0.3">
      <c r="A3576" s="1" t="s">
        <v>4</v>
      </c>
      <c r="B3576" s="2" t="str">
        <f t="shared" si="301"/>
        <v>SISTEMA FINANCEIRO - CONTAS A PAGAR</v>
      </c>
      <c r="C3576" s="2" t="str">
        <f t="shared" si="300"/>
        <v>FINAN</v>
      </c>
      <c r="D3576" s="2" t="str">
        <f t="shared" si="302"/>
        <v>FNCP</v>
      </c>
      <c r="E3576" s="2" t="str">
        <f>"R_CONFOR_203"</f>
        <v>R_CONFOR_203</v>
      </c>
      <c r="F3576" s="2" t="str">
        <f>"R_CONFOR_203"</f>
        <v>R_CONFOR_203</v>
      </c>
      <c r="G3576" s="2" t="str">
        <f t="shared" si="304"/>
        <v xml:space="preserve"> ()</v>
      </c>
    </row>
    <row r="3577" spans="1:7" x14ac:dyDescent="0.3">
      <c r="A3577" s="1" t="s">
        <v>4</v>
      </c>
      <c r="B3577" s="2" t="str">
        <f t="shared" si="301"/>
        <v>SISTEMA FINANCEIRO - CONTAS A PAGAR</v>
      </c>
      <c r="C3577" s="2" t="str">
        <f t="shared" si="300"/>
        <v>FINAN</v>
      </c>
      <c r="D3577" s="2" t="str">
        <f t="shared" si="302"/>
        <v>FNCP</v>
      </c>
      <c r="E3577" s="2" t="str">
        <f>"RELATÓRIO DE EXTRATO CAIXA/BANCO"</f>
        <v>RELATÓRIO DE EXTRATO CAIXA/BANCO</v>
      </c>
      <c r="F3577" s="2" t="str">
        <f>"R_AUTORIZA_CON_APAG_360"</f>
        <v>R_AUTORIZA_CON_APAG_360</v>
      </c>
      <c r="G3577" s="2" t="str">
        <f t="shared" si="304"/>
        <v xml:space="preserve"> ()</v>
      </c>
    </row>
    <row r="3578" spans="1:7" x14ac:dyDescent="0.3">
      <c r="A3578" s="1" t="s">
        <v>4</v>
      </c>
      <c r="B3578" s="2" t="str">
        <f t="shared" si="301"/>
        <v>SISTEMA FINANCEIRO - CONTAS A PAGAR</v>
      </c>
      <c r="C3578" s="2" t="str">
        <f t="shared" si="300"/>
        <v>FINAN</v>
      </c>
      <c r="D3578" s="2" t="str">
        <f t="shared" si="302"/>
        <v>FNCP</v>
      </c>
      <c r="E3578" s="2" t="str">
        <f>"R_CUSTO_CENCUS_PREV"</f>
        <v>R_CUSTO_CENCUS_PREV</v>
      </c>
      <c r="F3578" s="2" t="str">
        <f>"R_CUSTO_CENCUS_PREV"</f>
        <v>R_CUSTO_CENCUS_PREV</v>
      </c>
      <c r="G3578" s="2" t="str">
        <f t="shared" si="304"/>
        <v xml:space="preserve"> ()</v>
      </c>
    </row>
    <row r="3579" spans="1:7" x14ac:dyDescent="0.3">
      <c r="A3579" s="1" t="s">
        <v>4</v>
      </c>
      <c r="B3579" s="2" t="str">
        <f t="shared" si="301"/>
        <v>SISTEMA FINANCEIRO - CONTAS A PAGAR</v>
      </c>
      <c r="C3579" s="2" t="str">
        <f t="shared" si="300"/>
        <v>FINAN</v>
      </c>
      <c r="D3579" s="2" t="str">
        <f t="shared" si="302"/>
        <v>FNCP</v>
      </c>
      <c r="E3579" s="2" t="str">
        <f>"R_CUS_CONTA_PS_PREV"</f>
        <v>R_CUS_CONTA_PS_PREV</v>
      </c>
      <c r="F3579" s="2" t="str">
        <f>"R_CUS_CONTA_PS_PREV"</f>
        <v>R_CUS_CONTA_PS_PREV</v>
      </c>
      <c r="G3579" s="2" t="str">
        <f t="shared" si="304"/>
        <v xml:space="preserve"> ()</v>
      </c>
    </row>
    <row r="3580" spans="1:7" x14ac:dyDescent="0.3">
      <c r="A3580" s="1" t="s">
        <v>4</v>
      </c>
      <c r="B3580" s="2" t="str">
        <f t="shared" si="301"/>
        <v>SISTEMA FINANCEIRO - CONTAS A PAGAR</v>
      </c>
      <c r="C3580" s="2" t="str">
        <f t="shared" si="300"/>
        <v>FINAN</v>
      </c>
      <c r="D3580" s="2" t="str">
        <f t="shared" si="302"/>
        <v>FNCP</v>
      </c>
      <c r="E3580" s="2" t="str">
        <f>"R_CONTAS_APAG_PAG_CARACT_SFORN"</f>
        <v>R_CONTAS_APAG_PAG_CARACT_SFORN</v>
      </c>
      <c r="F3580" s="2" t="str">
        <f>"R_CONTAS_APAG_PAG_CARACT_SFORN"</f>
        <v>R_CONTAS_APAG_PAG_CARACT_SFORN</v>
      </c>
      <c r="G3580" s="2" t="str">
        <f t="shared" si="304"/>
        <v xml:space="preserve"> ()</v>
      </c>
    </row>
    <row r="3581" spans="1:7" x14ac:dyDescent="0.3">
      <c r="A3581" s="1" t="s">
        <v>4</v>
      </c>
      <c r="B3581" s="2" t="str">
        <f t="shared" si="301"/>
        <v>SISTEMA FINANCEIRO - CONTAS A PAGAR</v>
      </c>
      <c r="C3581" s="2" t="str">
        <f t="shared" ref="C3581:C3644" si="305">"FINAN"</f>
        <v>FINAN</v>
      </c>
      <c r="D3581" s="2" t="str">
        <f t="shared" si="302"/>
        <v>FNCP</v>
      </c>
      <c r="E3581" s="2" t="str">
        <f>"R_CONTAS_APAG_PAG_SFORNEC"</f>
        <v>R_CONTAS_APAG_PAG_SFORNEC</v>
      </c>
      <c r="F3581" s="2" t="str">
        <f>"R_CONTAS_APAG_PAG_SFORNEC"</f>
        <v>R_CONTAS_APAG_PAG_SFORNEC</v>
      </c>
      <c r="G3581" s="2" t="str">
        <f t="shared" si="304"/>
        <v xml:space="preserve"> ()</v>
      </c>
    </row>
    <row r="3582" spans="1:7" x14ac:dyDescent="0.3">
      <c r="A3582" s="1" t="s">
        <v>4</v>
      </c>
      <c r="B3582" s="2" t="str">
        <f t="shared" si="301"/>
        <v>SISTEMA FINANCEIRO - CONTAS A PAGAR</v>
      </c>
      <c r="C3582" s="2" t="str">
        <f t="shared" si="305"/>
        <v>FINAN</v>
      </c>
      <c r="D3582" s="2" t="str">
        <f t="shared" si="302"/>
        <v>FNCP</v>
      </c>
      <c r="E3582" s="2" t="str">
        <f>"R_VERSO_CHEQUE_612"</f>
        <v>R_VERSO_CHEQUE_612</v>
      </c>
      <c r="F3582" s="2" t="str">
        <f>"R_VERSO_CHEQUE_612"</f>
        <v>R_VERSO_CHEQUE_612</v>
      </c>
      <c r="G3582" s="2" t="str">
        <f t="shared" si="304"/>
        <v xml:space="preserve"> ()</v>
      </c>
    </row>
    <row r="3583" spans="1:7" x14ac:dyDescent="0.3">
      <c r="A3583" s="1" t="s">
        <v>4</v>
      </c>
      <c r="B3583" s="2" t="str">
        <f t="shared" si="301"/>
        <v>SISTEMA FINANCEIRO - CONTAS A PAGAR</v>
      </c>
      <c r="C3583" s="2" t="str">
        <f t="shared" si="305"/>
        <v>FINAN</v>
      </c>
      <c r="D3583" s="2" t="str">
        <f t="shared" si="302"/>
        <v>FNCP</v>
      </c>
      <c r="E3583" s="2" t="str">
        <f>"M_CON_REC_PREST_SIMP"</f>
        <v>M_CON_REC_PREST_SIMP</v>
      </c>
      <c r="F3583" s="2" t="str">
        <f>"M_CON_REC_PREST_SIMP"</f>
        <v>M_CON_REC_PREST_SIMP</v>
      </c>
      <c r="G3583" s="2" t="str">
        <f t="shared" si="304"/>
        <v xml:space="preserve"> ()</v>
      </c>
    </row>
    <row r="3584" spans="1:7" x14ac:dyDescent="0.3">
      <c r="A3584" s="1" t="s">
        <v>4</v>
      </c>
      <c r="B3584" s="2" t="str">
        <f t="shared" si="301"/>
        <v>SISTEMA FINANCEIRO - CONTAS A PAGAR</v>
      </c>
      <c r="C3584" s="2" t="str">
        <f t="shared" si="305"/>
        <v>FINAN</v>
      </c>
      <c r="D3584" s="2" t="str">
        <f t="shared" si="302"/>
        <v>FNCP</v>
      </c>
      <c r="E3584" s="2" t="str">
        <f>"RELATÓRIO DE GLOSA"</f>
        <v>RELATÓRIO DE GLOSA</v>
      </c>
      <c r="F3584" s="2" t="str">
        <f>"R_CONPAG_IMP_301"</f>
        <v>R_CONPAG_IMP_301</v>
      </c>
      <c r="G3584" s="2" t="str">
        <f t="shared" si="304"/>
        <v xml:space="preserve"> ()</v>
      </c>
    </row>
    <row r="3585" spans="1:7" x14ac:dyDescent="0.3">
      <c r="A3585" s="1" t="s">
        <v>4</v>
      </c>
      <c r="B3585" s="2" t="str">
        <f t="shared" si="301"/>
        <v>SISTEMA FINANCEIRO - CONTAS A PAGAR</v>
      </c>
      <c r="C3585" s="2" t="str">
        <f t="shared" si="305"/>
        <v>FINAN</v>
      </c>
      <c r="D3585" s="2" t="str">
        <f t="shared" si="302"/>
        <v>FNCP</v>
      </c>
      <c r="E3585" s="2" t="str">
        <f>"RELATÓRIO DE FLUXO DE CAIXA"</f>
        <v>RELATÓRIO DE FLUXO DE CAIXA</v>
      </c>
      <c r="F3585" s="2" t="str">
        <f>"R_FLUXO_CAIXA_REALIZ_860"</f>
        <v>R_FLUXO_CAIXA_REALIZ_860</v>
      </c>
      <c r="G3585" s="2" t="str">
        <f t="shared" si="304"/>
        <v xml:space="preserve"> ()</v>
      </c>
    </row>
    <row r="3586" spans="1:7" x14ac:dyDescent="0.3">
      <c r="A3586" s="1" t="s">
        <v>4</v>
      </c>
      <c r="B3586" s="2" t="str">
        <f t="shared" si="301"/>
        <v>SISTEMA FINANCEIRO - CONTAS A PAGAR</v>
      </c>
      <c r="C3586" s="2" t="str">
        <f t="shared" si="305"/>
        <v>FINAN</v>
      </c>
      <c r="D3586" s="2" t="str">
        <f t="shared" si="302"/>
        <v>FNCP</v>
      </c>
      <c r="E3586" s="2" t="str">
        <f>"R_CONTAS_APAG_PAG_CUSTO_203"</f>
        <v>R_CONTAS_APAG_PAG_CUSTO_203</v>
      </c>
      <c r="F3586" s="2" t="str">
        <f>"R_CONTAS_APAG_PAG_CUSTO_203"</f>
        <v>R_CONTAS_APAG_PAG_CUSTO_203</v>
      </c>
      <c r="G3586" s="2" t="str">
        <f t="shared" si="304"/>
        <v xml:space="preserve"> ()</v>
      </c>
    </row>
    <row r="3587" spans="1:7" x14ac:dyDescent="0.3">
      <c r="A3587" s="1" t="s">
        <v>4</v>
      </c>
      <c r="B3587" s="2" t="str">
        <f t="shared" si="301"/>
        <v>SISTEMA FINANCEIRO - CONTAS A PAGAR</v>
      </c>
      <c r="C3587" s="2" t="str">
        <f t="shared" si="305"/>
        <v>FINAN</v>
      </c>
      <c r="D3587" s="2" t="str">
        <f t="shared" si="302"/>
        <v>FNCP</v>
      </c>
      <c r="E3587" s="2" t="str">
        <f>"R_CON_PAG_SIMP_CARACT_203"</f>
        <v>R_CON_PAG_SIMP_CARACT_203</v>
      </c>
      <c r="F3587" s="2" t="str">
        <f>"R_CON_PAG_SIMP_CARACT_203"</f>
        <v>R_CON_PAG_SIMP_CARACT_203</v>
      </c>
      <c r="G3587" s="2" t="str">
        <f t="shared" si="304"/>
        <v xml:space="preserve"> ()</v>
      </c>
    </row>
    <row r="3588" spans="1:7" x14ac:dyDescent="0.3">
      <c r="A3588" s="1" t="s">
        <v>4</v>
      </c>
      <c r="B3588" s="2" t="str">
        <f t="shared" si="301"/>
        <v>SISTEMA FINANCEIRO - CONTAS A PAGAR</v>
      </c>
      <c r="C3588" s="2" t="str">
        <f t="shared" si="305"/>
        <v>FINAN</v>
      </c>
      <c r="D3588" s="2" t="str">
        <f t="shared" si="302"/>
        <v>FNCP</v>
      </c>
      <c r="E3588" s="2" t="str">
        <f>"R_CON_PAG_SIMP_203"</f>
        <v>R_CON_PAG_SIMP_203</v>
      </c>
      <c r="F3588" s="2" t="str">
        <f>"R_CON_PAG_SIMP_203"</f>
        <v>R_CON_PAG_SIMP_203</v>
      </c>
      <c r="G3588" s="2" t="str">
        <f t="shared" si="304"/>
        <v xml:space="preserve"> ()</v>
      </c>
    </row>
    <row r="3589" spans="1:7" x14ac:dyDescent="0.3">
      <c r="A3589" s="1" t="s">
        <v>4</v>
      </c>
      <c r="B3589" s="2" t="str">
        <f t="shared" ref="B3589:B3652" si="306">"SISTEMA FINANCEIRO - CONTAS A PAGAR"</f>
        <v>SISTEMA FINANCEIRO - CONTAS A PAGAR</v>
      </c>
      <c r="C3589" s="2" t="str">
        <f t="shared" si="305"/>
        <v>FINAN</v>
      </c>
      <c r="D3589" s="2" t="str">
        <f t="shared" ref="D3589:D3652" si="307">"FNCP"</f>
        <v>FNCP</v>
      </c>
      <c r="E3589" s="2" t="str">
        <f>"R_CON_PAG_CARACT_203"</f>
        <v>R_CON_PAG_CARACT_203</v>
      </c>
      <c r="F3589" s="2" t="str">
        <f>"R_CON_PAG_CARACT_203"</f>
        <v>R_CON_PAG_CARACT_203</v>
      </c>
      <c r="G3589" s="2" t="str">
        <f t="shared" si="304"/>
        <v xml:space="preserve"> ()</v>
      </c>
    </row>
    <row r="3590" spans="1:7" x14ac:dyDescent="0.3">
      <c r="A3590" s="1" t="s">
        <v>4</v>
      </c>
      <c r="B3590" s="2" t="str">
        <f t="shared" si="306"/>
        <v>SISTEMA FINANCEIRO - CONTAS A PAGAR</v>
      </c>
      <c r="C3590" s="2" t="str">
        <f t="shared" si="305"/>
        <v>FINAN</v>
      </c>
      <c r="D3590" s="2" t="str">
        <f t="shared" si="307"/>
        <v>FNCP</v>
      </c>
      <c r="E3590" s="2" t="str">
        <f>"R_CON_PAG_203"</f>
        <v>R_CON_PAG_203</v>
      </c>
      <c r="F3590" s="2" t="str">
        <f>"R_CON_PAG_203"</f>
        <v>R_CON_PAG_203</v>
      </c>
      <c r="G3590" s="2" t="str">
        <f t="shared" si="304"/>
        <v xml:space="preserve"> ()</v>
      </c>
    </row>
    <row r="3591" spans="1:7" x14ac:dyDescent="0.3">
      <c r="A3591" s="1" t="s">
        <v>4</v>
      </c>
      <c r="B3591" s="2" t="str">
        <f t="shared" si="306"/>
        <v>SISTEMA FINANCEIRO - CONTAS A PAGAR</v>
      </c>
      <c r="C3591" s="2" t="str">
        <f t="shared" si="305"/>
        <v>FINAN</v>
      </c>
      <c r="D3591" s="2" t="str">
        <f t="shared" si="307"/>
        <v>FNCP</v>
      </c>
      <c r="E3591" s="2" t="str">
        <f>"RELATÓRIO DE FLUXO DE CAIXA"</f>
        <v>RELATÓRIO DE FLUXO DE CAIXA</v>
      </c>
      <c r="F3591" s="2" t="str">
        <f>"R_FLUXO_CAIXA"</f>
        <v>R_FLUXO_CAIXA</v>
      </c>
      <c r="G3591" s="2" t="s">
        <v>10</v>
      </c>
    </row>
    <row r="3592" spans="1:7" x14ac:dyDescent="0.3">
      <c r="A3592" s="1" t="s">
        <v>4</v>
      </c>
      <c r="B3592" s="2" t="str">
        <f t="shared" si="306"/>
        <v>SISTEMA FINANCEIRO - CONTAS A PAGAR</v>
      </c>
      <c r="C3592" s="2" t="str">
        <f t="shared" si="305"/>
        <v>FINAN</v>
      </c>
      <c r="D3592" s="2" t="str">
        <f t="shared" si="307"/>
        <v>FNCP</v>
      </c>
      <c r="E3592" s="2" t="str">
        <f>"R_CONFOR_CARACT_959"</f>
        <v>R_CONFOR_CARACT_959</v>
      </c>
      <c r="F3592" s="2" t="str">
        <f>"R_CONFOR_CARACT_959"</f>
        <v>R_CONFOR_CARACT_959</v>
      </c>
      <c r="G3592" s="2" t="str">
        <f>" ()"</f>
        <v xml:space="preserve"> ()</v>
      </c>
    </row>
    <row r="3593" spans="1:7" x14ac:dyDescent="0.3">
      <c r="A3593" s="1" t="s">
        <v>4</v>
      </c>
      <c r="B3593" s="2" t="str">
        <f t="shared" si="306"/>
        <v>SISTEMA FINANCEIRO - CONTAS A PAGAR</v>
      </c>
      <c r="C3593" s="2" t="str">
        <f t="shared" si="305"/>
        <v>FINAN</v>
      </c>
      <c r="D3593" s="2" t="str">
        <f t="shared" si="307"/>
        <v>FNCP</v>
      </c>
      <c r="E3593" s="2" t="str">
        <f>"RELATÓRIO CONTA CORRENTE DO FORNECEDOR"</f>
        <v>RELATÓRIO CONTA CORRENTE DO FORNECEDOR</v>
      </c>
      <c r="F3593" s="2" t="str">
        <f>"R_CONFOR_959"</f>
        <v>R_CONFOR_959</v>
      </c>
      <c r="G3593" s="2" t="str">
        <f>" ()"</f>
        <v xml:space="preserve"> ()</v>
      </c>
    </row>
    <row r="3594" spans="1:7" x14ac:dyDescent="0.3">
      <c r="A3594" s="1" t="s">
        <v>4</v>
      </c>
      <c r="B3594" s="2" t="str">
        <f t="shared" si="306"/>
        <v>SISTEMA FINANCEIRO - CONTAS A PAGAR</v>
      </c>
      <c r="C3594" s="2" t="str">
        <f t="shared" si="305"/>
        <v>FINAN</v>
      </c>
      <c r="D3594" s="2" t="str">
        <f t="shared" si="307"/>
        <v>FNCP</v>
      </c>
      <c r="E3594" s="2" t="str">
        <f>"1"</f>
        <v>1</v>
      </c>
      <c r="F3594" s="2" t="str">
        <f>"1"</f>
        <v>1</v>
      </c>
      <c r="G3594" s="2" t="str">
        <f>" ()"</f>
        <v xml:space="preserve"> ()</v>
      </c>
    </row>
    <row r="3595" spans="1:7" x14ac:dyDescent="0.3">
      <c r="A3595" s="1" t="s">
        <v>4</v>
      </c>
      <c r="B3595" s="2" t="str">
        <f t="shared" si="306"/>
        <v>SISTEMA FINANCEIRO - CONTAS A PAGAR</v>
      </c>
      <c r="C3595" s="2" t="str">
        <f t="shared" si="305"/>
        <v>FINAN</v>
      </c>
      <c r="D3595" s="2" t="str">
        <f t="shared" si="307"/>
        <v>FNCP</v>
      </c>
      <c r="E3595" s="2" t="str">
        <f>"R_DET_ANUAL_959"</f>
        <v>R_DET_ANUAL_959</v>
      </c>
      <c r="F3595" s="2" t="str">
        <f>"R_DET_ANUAL_959"</f>
        <v>R_DET_ANUAL_959</v>
      </c>
      <c r="G3595" s="2" t="str">
        <f>" ()"</f>
        <v xml:space="preserve"> ()</v>
      </c>
    </row>
    <row r="3596" spans="1:7" x14ac:dyDescent="0.3">
      <c r="A3596" s="1" t="s">
        <v>4</v>
      </c>
      <c r="B3596" s="2" t="str">
        <f t="shared" si="306"/>
        <v>SISTEMA FINANCEIRO - CONTAS A PAGAR</v>
      </c>
      <c r="C3596" s="2" t="str">
        <f t="shared" si="305"/>
        <v>FINAN</v>
      </c>
      <c r="D3596" s="2" t="str">
        <f t="shared" si="307"/>
        <v>FNCP</v>
      </c>
      <c r="E3596" s="2" t="str">
        <f>"CADASTRO: FORNECEDOR/CLIENTE"</f>
        <v>CADASTRO: FORNECEDOR/CLIENTE</v>
      </c>
      <c r="F3596" s="2" t="str">
        <f>"C_MOEDA"</f>
        <v>C_MOEDA</v>
      </c>
      <c r="G3596" s="2" t="s">
        <v>10</v>
      </c>
    </row>
    <row r="3597" spans="1:7" x14ac:dyDescent="0.3">
      <c r="A3597" s="1" t="s">
        <v>4</v>
      </c>
      <c r="B3597" s="2" t="str">
        <f t="shared" si="306"/>
        <v>SISTEMA FINANCEIRO - CONTAS A PAGAR</v>
      </c>
      <c r="C3597" s="2" t="str">
        <f t="shared" si="305"/>
        <v>FINAN</v>
      </c>
      <c r="D3597" s="2" t="str">
        <f t="shared" si="307"/>
        <v>FNCP</v>
      </c>
      <c r="E3597" s="2" t="str">
        <f>"R_CONFOR_961"</f>
        <v>R_CONFOR_961</v>
      </c>
      <c r="F3597" s="2" t="str">
        <f>"R_CONFOR_961"</f>
        <v>R_CONFOR_961</v>
      </c>
      <c r="G3597" s="2" t="str">
        <f t="shared" ref="G3597:G3602" si="308">" ()"</f>
        <v xml:space="preserve"> ()</v>
      </c>
    </row>
    <row r="3598" spans="1:7" x14ac:dyDescent="0.3">
      <c r="A3598" s="1" t="s">
        <v>4</v>
      </c>
      <c r="B3598" s="2" t="str">
        <f t="shared" si="306"/>
        <v>SISTEMA FINANCEIRO - CONTAS A PAGAR</v>
      </c>
      <c r="C3598" s="2" t="str">
        <f t="shared" si="305"/>
        <v>FINAN</v>
      </c>
      <c r="D3598" s="2" t="str">
        <f t="shared" si="307"/>
        <v>FNCP</v>
      </c>
      <c r="E3598" s="2" t="str">
        <f>"RELATÓRIO EXTRATO BANCÁRIO"</f>
        <v>RELATÓRIO EXTRATO BANCÁRIO</v>
      </c>
      <c r="F3598" s="2" t="str">
        <f>"R_FLU_CAI_GER_755"</f>
        <v>R_FLU_CAI_GER_755</v>
      </c>
      <c r="G3598" s="2" t="str">
        <f t="shared" si="308"/>
        <v xml:space="preserve"> ()</v>
      </c>
    </row>
    <row r="3599" spans="1:7" x14ac:dyDescent="0.3">
      <c r="A3599" s="1" t="s">
        <v>4</v>
      </c>
      <c r="B3599" s="2" t="str">
        <f t="shared" si="306"/>
        <v>SISTEMA FINANCEIRO - CONTAS A PAGAR</v>
      </c>
      <c r="C3599" s="2" t="str">
        <f t="shared" si="305"/>
        <v>FINAN</v>
      </c>
      <c r="D3599" s="2" t="str">
        <f t="shared" si="307"/>
        <v>FNCP</v>
      </c>
      <c r="E3599" s="2" t="str">
        <f>"CALCELAMENTO DE RECEBIMENTOS EM DINHEIRO"</f>
        <v>CALCELAMENTO DE RECEBIMENTOS EM DINHEIRO</v>
      </c>
      <c r="F3599" s="2" t="str">
        <f>"O_CANC_DINH_RECEB"</f>
        <v>O_CANC_DINH_RECEB</v>
      </c>
      <c r="G3599" s="2" t="str">
        <f t="shared" si="308"/>
        <v xml:space="preserve"> ()</v>
      </c>
    </row>
    <row r="3600" spans="1:7" x14ac:dyDescent="0.3">
      <c r="A3600" s="1" t="s">
        <v>4</v>
      </c>
      <c r="B3600" s="2" t="str">
        <f t="shared" si="306"/>
        <v>SISTEMA FINANCEIRO - CONTAS A PAGAR</v>
      </c>
      <c r="C3600" s="2" t="str">
        <f t="shared" si="305"/>
        <v>FINAN</v>
      </c>
      <c r="D3600" s="2" t="str">
        <f t="shared" si="307"/>
        <v>FNCP</v>
      </c>
      <c r="E3600" s="2" t="str">
        <f>"R_CON_RECEB_CARACT_340"</f>
        <v>R_CON_RECEB_CARACT_340</v>
      </c>
      <c r="F3600" s="2" t="str">
        <f>"R_CON_RECEB_CARACT_340"</f>
        <v>R_CON_RECEB_CARACT_340</v>
      </c>
      <c r="G3600" s="2" t="str">
        <f t="shared" si="308"/>
        <v xml:space="preserve"> ()</v>
      </c>
    </row>
    <row r="3601" spans="1:7" x14ac:dyDescent="0.3">
      <c r="A3601" s="1" t="s">
        <v>4</v>
      </c>
      <c r="B3601" s="2" t="str">
        <f t="shared" si="306"/>
        <v>SISTEMA FINANCEIRO - CONTAS A PAGAR</v>
      </c>
      <c r="C3601" s="2" t="str">
        <f t="shared" si="305"/>
        <v>FINAN</v>
      </c>
      <c r="D3601" s="2" t="str">
        <f t="shared" si="307"/>
        <v>FNCP</v>
      </c>
      <c r="E3601" s="2" t="str">
        <f>"O_IMP_FAT"</f>
        <v>O_IMP_FAT</v>
      </c>
      <c r="F3601" s="2" t="str">
        <f>"O_IMP_FAT"</f>
        <v>O_IMP_FAT</v>
      </c>
      <c r="G3601" s="2" t="str">
        <f t="shared" si="308"/>
        <v xml:space="preserve"> ()</v>
      </c>
    </row>
    <row r="3602" spans="1:7" x14ac:dyDescent="0.3">
      <c r="A3602" s="1" t="s">
        <v>4</v>
      </c>
      <c r="B3602" s="2" t="str">
        <f t="shared" si="306"/>
        <v>SISTEMA FINANCEIRO - CONTAS A PAGAR</v>
      </c>
      <c r="C3602" s="2" t="str">
        <f t="shared" si="305"/>
        <v>FINAN</v>
      </c>
      <c r="D3602" s="2" t="str">
        <f t="shared" si="307"/>
        <v>FNCP</v>
      </c>
      <c r="E3602" s="2" t="str">
        <f>"MANUTENÇÃO: RETIRADA DE CHEQUES"</f>
        <v>MANUTENÇÃO: RETIRADA DE CHEQUES</v>
      </c>
      <c r="F3602" s="2" t="str">
        <f>"C_ENTCHEQUE"</f>
        <v>C_ENTCHEQUE</v>
      </c>
      <c r="G3602" s="2" t="str">
        <f t="shared" si="308"/>
        <v xml:space="preserve"> ()</v>
      </c>
    </row>
    <row r="3603" spans="1:7" x14ac:dyDescent="0.3">
      <c r="A3603" s="1" t="s">
        <v>4</v>
      </c>
      <c r="B3603" s="2" t="str">
        <f t="shared" si="306"/>
        <v>SISTEMA FINANCEIRO - CONTAS A PAGAR</v>
      </c>
      <c r="C3603" s="2" t="str">
        <f t="shared" si="305"/>
        <v>FINAN</v>
      </c>
      <c r="D3603" s="2" t="str">
        <f t="shared" si="307"/>
        <v>FNCP</v>
      </c>
      <c r="E3603" s="2" t="str">
        <f>"RELATÓRIO CONTAS A PAGAR"</f>
        <v>RELATÓRIO CONTAS A PAGAR</v>
      </c>
      <c r="F3603" s="2" t="str">
        <f>"R_CON_APAGAR_POSICAO"</f>
        <v>R_CON_APAGAR_POSICAO</v>
      </c>
      <c r="G3603" s="2" t="s">
        <v>10</v>
      </c>
    </row>
    <row r="3604" spans="1:7" x14ac:dyDescent="0.3">
      <c r="A3604" s="1" t="s">
        <v>4</v>
      </c>
      <c r="B3604" s="2" t="str">
        <f t="shared" si="306"/>
        <v>SISTEMA FINANCEIRO - CONTAS A PAGAR</v>
      </c>
      <c r="C3604" s="2" t="str">
        <f t="shared" si="305"/>
        <v>FINAN</v>
      </c>
      <c r="D3604" s="2" t="str">
        <f t="shared" si="307"/>
        <v>FNCP</v>
      </c>
      <c r="E3604" s="2" t="str">
        <f>"R_CON_ARECEB_POSICAO"</f>
        <v>R_CON_ARECEB_POSICAO</v>
      </c>
      <c r="F3604" s="2" t="str">
        <f>"R_CON_ARECEB_POSICAO"</f>
        <v>R_CON_ARECEB_POSICAO</v>
      </c>
      <c r="G3604" s="2" t="s">
        <v>10</v>
      </c>
    </row>
    <row r="3605" spans="1:7" x14ac:dyDescent="0.3">
      <c r="A3605" s="1" t="s">
        <v>4</v>
      </c>
      <c r="B3605" s="2" t="str">
        <f t="shared" si="306"/>
        <v>SISTEMA FINANCEIRO - CONTAS A PAGAR</v>
      </c>
      <c r="C3605" s="2" t="str">
        <f t="shared" si="305"/>
        <v>FINAN</v>
      </c>
      <c r="D3605" s="2" t="str">
        <f t="shared" si="307"/>
        <v>FNCP</v>
      </c>
      <c r="E3605" s="2" t="str">
        <f>"M_FORNEC_IRMA_DULCE_ORIGINAL"</f>
        <v>M_FORNEC_IRMA_DULCE_ORIGINAL</v>
      </c>
      <c r="F3605" s="2" t="str">
        <f>"M_FORNEC_IRMA_DULCE_ORIGINAL"</f>
        <v>M_FORNEC_IRMA_DULCE_ORIGINAL</v>
      </c>
      <c r="G3605" s="2" t="str">
        <f>" ()"</f>
        <v xml:space="preserve"> ()</v>
      </c>
    </row>
    <row r="3606" spans="1:7" x14ac:dyDescent="0.3">
      <c r="A3606" s="1" t="s">
        <v>4</v>
      </c>
      <c r="B3606" s="2" t="str">
        <f t="shared" si="306"/>
        <v>SISTEMA FINANCEIRO - CONTAS A PAGAR</v>
      </c>
      <c r="C3606" s="2" t="str">
        <f t="shared" si="305"/>
        <v>FINAN</v>
      </c>
      <c r="D3606" s="2" t="str">
        <f t="shared" si="307"/>
        <v>FNCP</v>
      </c>
      <c r="E3606" s="2" t="str">
        <f>"WIN_PRINCIPAL"</f>
        <v>WIN_PRINCIPAL</v>
      </c>
      <c r="F3606" s="2" t="str">
        <f>"R_CONTA_RECEB_CONV_CONCOR"</f>
        <v>R_CONTA_RECEB_CONV_CONCOR</v>
      </c>
      <c r="G3606" s="2" t="s">
        <v>10</v>
      </c>
    </row>
    <row r="3607" spans="1:7" x14ac:dyDescent="0.3">
      <c r="A3607" s="1" t="s">
        <v>4</v>
      </c>
      <c r="B3607" s="2" t="str">
        <f t="shared" si="306"/>
        <v>SISTEMA FINANCEIRO - CONTAS A PAGAR</v>
      </c>
      <c r="C3607" s="2" t="str">
        <f t="shared" si="305"/>
        <v>FINAN</v>
      </c>
      <c r="D3607" s="2" t="str">
        <f t="shared" si="307"/>
        <v>FNCP</v>
      </c>
      <c r="E3607" s="2" t="str">
        <f>"ESTORNO DE RECEBIMENTOS"</f>
        <v>ESTORNO DE RECEBIMENTOS</v>
      </c>
      <c r="F3607" s="2" t="str">
        <f>"O_CANC_ESTORNO_RECEB"</f>
        <v>O_CANC_ESTORNO_RECEB</v>
      </c>
      <c r="G3607" s="2" t="s">
        <v>10</v>
      </c>
    </row>
    <row r="3608" spans="1:7" x14ac:dyDescent="0.3">
      <c r="A3608" s="1" t="s">
        <v>4</v>
      </c>
      <c r="B3608" s="2" t="str">
        <f t="shared" si="306"/>
        <v>SISTEMA FINANCEIRO - CONTAS A PAGAR</v>
      </c>
      <c r="C3608" s="2" t="str">
        <f t="shared" si="305"/>
        <v>FINAN</v>
      </c>
      <c r="D3608" s="2" t="str">
        <f t="shared" si="307"/>
        <v>FNCP</v>
      </c>
      <c r="E3608" s="2" t="str">
        <f>"R_PAGGRURES_SINTETICO"</f>
        <v>R_PAGGRURES_SINTETICO</v>
      </c>
      <c r="F3608" s="2" t="str">
        <f>"R_PAGGRURES_SINTETICO"</f>
        <v>R_PAGGRURES_SINTETICO</v>
      </c>
      <c r="G3608" s="2" t="str">
        <f>" ()"</f>
        <v xml:space="preserve"> ()</v>
      </c>
    </row>
    <row r="3609" spans="1:7" x14ac:dyDescent="0.3">
      <c r="A3609" s="1" t="s">
        <v>4</v>
      </c>
      <c r="B3609" s="2" t="str">
        <f t="shared" si="306"/>
        <v>SISTEMA FINANCEIRO - CONTAS A PAGAR</v>
      </c>
      <c r="C3609" s="2" t="str">
        <f t="shared" si="305"/>
        <v>FINAN</v>
      </c>
      <c r="D3609" s="2" t="str">
        <f t="shared" si="307"/>
        <v>FNCP</v>
      </c>
      <c r="E3609" s="2" t="str">
        <f>"CONVERTER PREVISÃO PARA CONTA A PAGAR"</f>
        <v>CONVERTER PREVISÃO PARA CONTA A PAGAR</v>
      </c>
      <c r="F3609" s="2" t="str">
        <f>"M_PREV_CON_PAG"</f>
        <v>M_PREV_CON_PAG</v>
      </c>
      <c r="G3609" s="2" t="s">
        <v>10</v>
      </c>
    </row>
    <row r="3610" spans="1:7" x14ac:dyDescent="0.3">
      <c r="A3610" s="1" t="s">
        <v>4</v>
      </c>
      <c r="B3610" s="2" t="str">
        <f t="shared" si="306"/>
        <v>SISTEMA FINANCEIRO - CONTAS A PAGAR</v>
      </c>
      <c r="C3610" s="2" t="str">
        <f t="shared" si="305"/>
        <v>FINAN</v>
      </c>
      <c r="D3610" s="2" t="str">
        <f t="shared" si="307"/>
        <v>FNCP</v>
      </c>
      <c r="E3610" s="2" t="str">
        <f>"R_CUSTO_EMISSAO_CARACT_200"</f>
        <v>R_CUSTO_EMISSAO_CARACT_200</v>
      </c>
      <c r="F3610" s="2" t="str">
        <f>"R_CUSTO_EMISSAO_CARACT_200"</f>
        <v>R_CUSTO_EMISSAO_CARACT_200</v>
      </c>
      <c r="G3610" s="2" t="str">
        <f>" ()"</f>
        <v xml:space="preserve"> ()</v>
      </c>
    </row>
    <row r="3611" spans="1:7" x14ac:dyDescent="0.3">
      <c r="A3611" s="1" t="s">
        <v>4</v>
      </c>
      <c r="B3611" s="2" t="str">
        <f t="shared" si="306"/>
        <v>SISTEMA FINANCEIRO - CONTAS A PAGAR</v>
      </c>
      <c r="C3611" s="2" t="str">
        <f t="shared" si="305"/>
        <v>FINAN</v>
      </c>
      <c r="D3611" s="2" t="str">
        <f t="shared" si="307"/>
        <v>FNCP</v>
      </c>
      <c r="E3611" s="2" t="str">
        <f>"RELATÓRIO CONTAS A PAGAR"</f>
        <v>RELATÓRIO CONTAS A PAGAR</v>
      </c>
      <c r="F3611" s="2" t="str">
        <f>"R_CON_APAG_CENSO"</f>
        <v>R_CON_APAG_CENSO</v>
      </c>
      <c r="G3611" s="2" t="str">
        <f>" ()"</f>
        <v xml:space="preserve"> ()</v>
      </c>
    </row>
    <row r="3612" spans="1:7" x14ac:dyDescent="0.3">
      <c r="A3612" s="1" t="s">
        <v>4</v>
      </c>
      <c r="B3612" s="2" t="str">
        <f t="shared" si="306"/>
        <v>SISTEMA FINANCEIRO - CONTAS A PAGAR</v>
      </c>
      <c r="C3612" s="2" t="str">
        <f t="shared" si="305"/>
        <v>FINAN</v>
      </c>
      <c r="D3612" s="2" t="str">
        <f t="shared" si="307"/>
        <v>FNCP</v>
      </c>
      <c r="E3612" s="2" t="str">
        <f>"R_APAG_PAG_CUSTO_CAR_200"</f>
        <v>R_APAG_PAG_CUSTO_CAR_200</v>
      </c>
      <c r="F3612" s="2" t="str">
        <f>"R_APAG_PAG_CUSTO_CAR_200"</f>
        <v>R_APAG_PAG_CUSTO_CAR_200</v>
      </c>
      <c r="G3612" s="2" t="str">
        <f>" ()"</f>
        <v xml:space="preserve"> ()</v>
      </c>
    </row>
    <row r="3613" spans="1:7" x14ac:dyDescent="0.3">
      <c r="A3613" s="1" t="s">
        <v>4</v>
      </c>
      <c r="B3613" s="2" t="str">
        <f t="shared" si="306"/>
        <v>SISTEMA FINANCEIRO - CONTAS A PAGAR</v>
      </c>
      <c r="C3613" s="2" t="str">
        <f t="shared" si="305"/>
        <v>FINAN</v>
      </c>
      <c r="D3613" s="2" t="str">
        <f t="shared" si="307"/>
        <v>FNCP</v>
      </c>
      <c r="E3613" s="2" t="str">
        <f>"R_APAG_PAG_CUSTO_200"</f>
        <v>R_APAG_PAG_CUSTO_200</v>
      </c>
      <c r="F3613" s="2" t="str">
        <f>"R_APAG_PAG_CUSTO_200"</f>
        <v>R_APAG_PAG_CUSTO_200</v>
      </c>
      <c r="G3613" s="2" t="str">
        <f>" ()"</f>
        <v xml:space="preserve"> ()</v>
      </c>
    </row>
    <row r="3614" spans="1:7" x14ac:dyDescent="0.3">
      <c r="A3614" s="1" t="s">
        <v>4</v>
      </c>
      <c r="B3614" s="2" t="str">
        <f t="shared" si="306"/>
        <v>SISTEMA FINANCEIRO - CONTAS A PAGAR</v>
      </c>
      <c r="C3614" s="2" t="str">
        <f t="shared" si="305"/>
        <v>FINAN</v>
      </c>
      <c r="D3614" s="2" t="str">
        <f t="shared" si="307"/>
        <v>FNCP</v>
      </c>
      <c r="E3614" s="2" t="str">
        <f>"LANÇAMENTOS: LANÇAMENTOS RESUMIDOS"</f>
        <v>LANÇAMENTOS: LANÇAMENTOS RESUMIDOS</v>
      </c>
      <c r="F3614" s="2" t="str">
        <f>"O_CANC_REC"</f>
        <v>O_CANC_REC</v>
      </c>
      <c r="G3614" s="2" t="s">
        <v>10</v>
      </c>
    </row>
    <row r="3615" spans="1:7" x14ac:dyDescent="0.3">
      <c r="A3615" s="1" t="s">
        <v>4</v>
      </c>
      <c r="B3615" s="2" t="str">
        <f t="shared" si="306"/>
        <v>SISTEMA FINANCEIRO - CONTAS A PAGAR</v>
      </c>
      <c r="C3615" s="2" t="str">
        <f t="shared" si="305"/>
        <v>FINAN</v>
      </c>
      <c r="D3615" s="2" t="str">
        <f t="shared" si="307"/>
        <v>FNCP</v>
      </c>
      <c r="E3615" s="2" t="str">
        <f>"RELATÓRIO RECEBIMENTOS REALIZADOS"</f>
        <v>RELATÓRIO RECEBIMENTOS REALIZADOS</v>
      </c>
      <c r="F3615" s="2" t="str">
        <f>"R_CON_RECEB_959"</f>
        <v>R_CON_RECEB_959</v>
      </c>
      <c r="G3615" s="2" t="str">
        <f t="shared" ref="G3615:G3623" si="309">" ()"</f>
        <v xml:space="preserve"> ()</v>
      </c>
    </row>
    <row r="3616" spans="1:7" x14ac:dyDescent="0.3">
      <c r="A3616" s="1" t="s">
        <v>4</v>
      </c>
      <c r="B3616" s="2" t="str">
        <f t="shared" si="306"/>
        <v>SISTEMA FINANCEIRO - CONTAS A PAGAR</v>
      </c>
      <c r="C3616" s="2" t="str">
        <f t="shared" si="305"/>
        <v>FINAN</v>
      </c>
      <c r="D3616" s="2" t="str">
        <f t="shared" si="307"/>
        <v>FNCP</v>
      </c>
      <c r="E3616" s="2" t="str">
        <f>"CANCELAMENTO DE AUTORIZAÇÃO DE COTAS"</f>
        <v>CANCELAMENTO DE AUTORIZAÇÃO DE COTAS</v>
      </c>
      <c r="F3616" s="2" t="str">
        <f>"M_COTA_NAO_AUTORIZA1"</f>
        <v>M_COTA_NAO_AUTORIZA1</v>
      </c>
      <c r="G3616" s="2" t="str">
        <f t="shared" si="309"/>
        <v xml:space="preserve"> ()</v>
      </c>
    </row>
    <row r="3617" spans="1:7" x14ac:dyDescent="0.3">
      <c r="A3617" s="1" t="s">
        <v>4</v>
      </c>
      <c r="B3617" s="2" t="str">
        <f t="shared" si="306"/>
        <v>SISTEMA FINANCEIRO - CONTAS A PAGAR</v>
      </c>
      <c r="C3617" s="2" t="str">
        <f t="shared" si="305"/>
        <v>FINAN</v>
      </c>
      <c r="D3617" s="2" t="str">
        <f t="shared" si="307"/>
        <v>FNCP</v>
      </c>
      <c r="E3617" s="2" t="str">
        <f>"DESAUTORIZAÇÃO DE CONTAS"</f>
        <v>DESAUTORIZAÇÃO DE CONTAS</v>
      </c>
      <c r="F3617" s="2" t="str">
        <f>"M_CONTA_NAO_AUTORIZA"</f>
        <v>M_CONTA_NAO_AUTORIZA</v>
      </c>
      <c r="G3617" s="2" t="str">
        <f t="shared" si="309"/>
        <v xml:space="preserve"> ()</v>
      </c>
    </row>
    <row r="3618" spans="1:7" x14ac:dyDescent="0.3">
      <c r="A3618" s="1" t="s">
        <v>4</v>
      </c>
      <c r="B3618" s="2" t="str">
        <f t="shared" si="306"/>
        <v>SISTEMA FINANCEIRO - CONTAS A PAGAR</v>
      </c>
      <c r="C3618" s="2" t="str">
        <f t="shared" si="305"/>
        <v>FINAN</v>
      </c>
      <c r="D3618" s="2" t="str">
        <f t="shared" si="307"/>
        <v>FNCP</v>
      </c>
      <c r="E3618" s="2" t="str">
        <f>"RELATÓRIO CONTAS A PAGAR DE REPASSE"</f>
        <v>RELATÓRIO CONTAS A PAGAR DE REPASSE</v>
      </c>
      <c r="F3618" s="2" t="str">
        <f>"R_CON_APAG_REP"</f>
        <v>R_CON_APAG_REP</v>
      </c>
      <c r="G3618" s="2" t="str">
        <f t="shared" si="309"/>
        <v xml:space="preserve"> ()</v>
      </c>
    </row>
    <row r="3619" spans="1:7" x14ac:dyDescent="0.3">
      <c r="A3619" s="1" t="s">
        <v>4</v>
      </c>
      <c r="B3619" s="2" t="str">
        <f t="shared" si="306"/>
        <v>SISTEMA FINANCEIRO - CONTAS A PAGAR</v>
      </c>
      <c r="C3619" s="2" t="str">
        <f t="shared" si="305"/>
        <v>FINAN</v>
      </c>
      <c r="D3619" s="2" t="str">
        <f t="shared" si="307"/>
        <v>FNCP</v>
      </c>
      <c r="E3619" s="2" t="str">
        <f>"R_RAT_AUDIT_CARACT"</f>
        <v>R_RAT_AUDIT_CARACT</v>
      </c>
      <c r="F3619" s="2" t="str">
        <f>"R_RAT_AUDIT_CARACT"</f>
        <v>R_RAT_AUDIT_CARACT</v>
      </c>
      <c r="G3619" s="2" t="str">
        <f t="shared" si="309"/>
        <v xml:space="preserve"> ()</v>
      </c>
    </row>
    <row r="3620" spans="1:7" x14ac:dyDescent="0.3">
      <c r="A3620" s="1" t="s">
        <v>4</v>
      </c>
      <c r="B3620" s="2" t="str">
        <f t="shared" si="306"/>
        <v>SISTEMA FINANCEIRO - CONTAS A PAGAR</v>
      </c>
      <c r="C3620" s="2" t="str">
        <f t="shared" si="305"/>
        <v>FINAN</v>
      </c>
      <c r="D3620" s="2" t="str">
        <f t="shared" si="307"/>
        <v>FNCP</v>
      </c>
      <c r="E3620" s="2" t="str">
        <f>"R_CUSTO_CENCUS_GER_CARACT"</f>
        <v>R_CUSTO_CENCUS_GER_CARACT</v>
      </c>
      <c r="F3620" s="2" t="str">
        <f>"R_CUSTO_CENCUS_GER_CARACT"</f>
        <v>R_CUSTO_CENCUS_GER_CARACT</v>
      </c>
      <c r="G3620" s="2" t="str">
        <f t="shared" si="309"/>
        <v xml:space="preserve"> ()</v>
      </c>
    </row>
    <row r="3621" spans="1:7" x14ac:dyDescent="0.3">
      <c r="A3621" s="1" t="s">
        <v>4</v>
      </c>
      <c r="B3621" s="2" t="str">
        <f t="shared" si="306"/>
        <v>SISTEMA FINANCEIRO - CONTAS A PAGAR</v>
      </c>
      <c r="C3621" s="2" t="str">
        <f t="shared" si="305"/>
        <v>FINAN</v>
      </c>
      <c r="D3621" s="2" t="str">
        <f t="shared" si="307"/>
        <v>FNCP</v>
      </c>
      <c r="E3621" s="2" t="str">
        <f>"R_CUSTO_CENCUS_GER"</f>
        <v>R_CUSTO_CENCUS_GER</v>
      </c>
      <c r="F3621" s="2" t="str">
        <f>"R_CUSTO_CENCUS_GER"</f>
        <v>R_CUSTO_CENCUS_GER</v>
      </c>
      <c r="G3621" s="2" t="str">
        <f t="shared" si="309"/>
        <v xml:space="preserve"> ()</v>
      </c>
    </row>
    <row r="3622" spans="1:7" x14ac:dyDescent="0.3">
      <c r="A3622" s="1" t="s">
        <v>4</v>
      </c>
      <c r="B3622" s="2" t="str">
        <f t="shared" si="306"/>
        <v>SISTEMA FINANCEIRO - CONTAS A PAGAR</v>
      </c>
      <c r="C3622" s="2" t="str">
        <f t="shared" si="305"/>
        <v>FINAN</v>
      </c>
      <c r="D3622" s="2" t="str">
        <f t="shared" si="307"/>
        <v>FNCP</v>
      </c>
      <c r="E3622" s="2" t="str">
        <f>"R_CUS_CENCUS_PS_GER"</f>
        <v>R_CUS_CENCUS_PS_GER</v>
      </c>
      <c r="F3622" s="2" t="str">
        <f>"R_CUS_CENCUS_PS_GER"</f>
        <v>R_CUS_CENCUS_PS_GER</v>
      </c>
      <c r="G3622" s="2" t="str">
        <f t="shared" si="309"/>
        <v xml:space="preserve"> ()</v>
      </c>
    </row>
    <row r="3623" spans="1:7" x14ac:dyDescent="0.3">
      <c r="A3623" s="1" t="s">
        <v>4</v>
      </c>
      <c r="B3623" s="2" t="str">
        <f t="shared" si="306"/>
        <v>SISTEMA FINANCEIRO - CONTAS A PAGAR</v>
      </c>
      <c r="C3623" s="2" t="str">
        <f t="shared" si="305"/>
        <v>FINAN</v>
      </c>
      <c r="D3623" s="2" t="str">
        <f t="shared" si="307"/>
        <v>FNCP</v>
      </c>
      <c r="E3623" s="2" t="str">
        <f>"AUTORIZAÇÃO DE CONTAS"</f>
        <v>AUTORIZAÇÃO DE CONTAS</v>
      </c>
      <c r="F3623" s="2" t="str">
        <f>"C_CONTA_AUTORIZA"</f>
        <v>C_CONTA_AUTORIZA</v>
      </c>
      <c r="G3623" s="2" t="str">
        <f t="shared" si="309"/>
        <v xml:space="preserve"> ()</v>
      </c>
    </row>
    <row r="3624" spans="1:7" x14ac:dyDescent="0.3">
      <c r="A3624" s="1" t="s">
        <v>4</v>
      </c>
      <c r="B3624" s="2" t="str">
        <f t="shared" si="306"/>
        <v>SISTEMA FINANCEIRO - CONTAS A PAGAR</v>
      </c>
      <c r="C3624" s="2" t="str">
        <f t="shared" si="305"/>
        <v>FINAN</v>
      </c>
      <c r="D3624" s="2" t="str">
        <f t="shared" si="307"/>
        <v>FNCP</v>
      </c>
      <c r="E3624" s="2" t="str">
        <f>"MOEDA X EMPRESA"</f>
        <v>MOEDA X EMPRESA</v>
      </c>
      <c r="F3624" s="2" t="str">
        <f>"M_MOEDA_MULTI_EMPRESA"</f>
        <v>M_MOEDA_MULTI_EMPRESA</v>
      </c>
      <c r="G3624" s="2" t="s">
        <v>10</v>
      </c>
    </row>
    <row r="3625" spans="1:7" x14ac:dyDescent="0.3">
      <c r="A3625" s="1" t="s">
        <v>4</v>
      </c>
      <c r="B3625" s="2" t="str">
        <f t="shared" si="306"/>
        <v>SISTEMA FINANCEIRO - CONTAS A PAGAR</v>
      </c>
      <c r="C3625" s="2" t="str">
        <f t="shared" si="305"/>
        <v>FINAN</v>
      </c>
      <c r="D3625" s="2" t="str">
        <f t="shared" si="307"/>
        <v>FNCP</v>
      </c>
      <c r="E3625" s="2" t="str">
        <f>"CADASTRO: MOEDAS  / INDICES"</f>
        <v>CADASTRO: MOEDAS  / INDICES</v>
      </c>
      <c r="F3625" s="2" t="str">
        <f>"M_MOEDA"</f>
        <v>M_MOEDA</v>
      </c>
      <c r="G3625" s="2" t="s">
        <v>10</v>
      </c>
    </row>
    <row r="3626" spans="1:7" x14ac:dyDescent="0.3">
      <c r="A3626" s="1" t="s">
        <v>4</v>
      </c>
      <c r="B3626" s="2" t="str">
        <f t="shared" si="306"/>
        <v>SISTEMA FINANCEIRO - CONTAS A PAGAR</v>
      </c>
      <c r="C3626" s="2" t="str">
        <f t="shared" si="305"/>
        <v>FINAN</v>
      </c>
      <c r="D3626" s="2" t="str">
        <f t="shared" si="307"/>
        <v>FNCP</v>
      </c>
      <c r="E3626" s="2" t="str">
        <f>"R_CUSTO_CENCUS_CARACT"</f>
        <v>R_CUSTO_CENCUS_CARACT</v>
      </c>
      <c r="F3626" s="2" t="str">
        <f>"R_CUSTO_CENCUS_CARACT"</f>
        <v>R_CUSTO_CENCUS_CARACT</v>
      </c>
      <c r="G3626" s="2" t="str">
        <f>" ()"</f>
        <v xml:space="preserve"> ()</v>
      </c>
    </row>
    <row r="3627" spans="1:7" x14ac:dyDescent="0.3">
      <c r="A3627" s="1" t="s">
        <v>4</v>
      </c>
      <c r="B3627" s="2" t="str">
        <f t="shared" si="306"/>
        <v>SISTEMA FINANCEIRO - CONTAS A PAGAR</v>
      </c>
      <c r="C3627" s="2" t="str">
        <f t="shared" si="305"/>
        <v>FINAN</v>
      </c>
      <c r="D3627" s="2" t="str">
        <f t="shared" si="307"/>
        <v>FNCP</v>
      </c>
      <c r="E3627" s="2" t="str">
        <f>"R_CUS_CENCUS_PS_PREV"</f>
        <v>R_CUS_CENCUS_PS_PREV</v>
      </c>
      <c r="F3627" s="2" t="str">
        <f>"R_CUS_CENCUS_PS_PREV"</f>
        <v>R_CUS_CENCUS_PS_PREV</v>
      </c>
      <c r="G3627" s="2" t="str">
        <f>" ()"</f>
        <v xml:space="preserve"> ()</v>
      </c>
    </row>
    <row r="3628" spans="1:7" x14ac:dyDescent="0.3">
      <c r="A3628" s="1" t="s">
        <v>4</v>
      </c>
      <c r="B3628" s="2" t="str">
        <f t="shared" si="306"/>
        <v>SISTEMA FINANCEIRO - CONTAS A PAGAR</v>
      </c>
      <c r="C3628" s="2" t="str">
        <f t="shared" si="305"/>
        <v>FINAN</v>
      </c>
      <c r="D3628" s="2" t="str">
        <f t="shared" si="307"/>
        <v>FNCP</v>
      </c>
      <c r="E3628" s="2" t="str">
        <f>"R_CUSTO_CENCUS_PREV_CARACT"</f>
        <v>R_CUSTO_CENCUS_PREV_CARACT</v>
      </c>
      <c r="F3628" s="2" t="str">
        <f>"R_CUSTO_CENCUS_PREV_CARACT"</f>
        <v>R_CUSTO_CENCUS_PREV_CARACT</v>
      </c>
      <c r="G3628" s="2" t="str">
        <f>" ()"</f>
        <v xml:space="preserve"> ()</v>
      </c>
    </row>
    <row r="3629" spans="1:7" x14ac:dyDescent="0.3">
      <c r="A3629" s="1" t="s">
        <v>4</v>
      </c>
      <c r="B3629" s="2" t="str">
        <f t="shared" si="306"/>
        <v>SISTEMA FINANCEIRO - CONTAS A PAGAR</v>
      </c>
      <c r="C3629" s="2" t="str">
        <f t="shared" si="305"/>
        <v>FINAN</v>
      </c>
      <c r="D3629" s="2" t="str">
        <f t="shared" si="307"/>
        <v>FNCP</v>
      </c>
      <c r="E3629" s="2" t="str">
        <f>"CONCILIAÇÃO FINANC. CRÉDITOS DE CONVÊNIO"</f>
        <v>CONCILIAÇÃO FINANC. CRÉDITOS DE CONVÊNIO</v>
      </c>
      <c r="F3629" s="2" t="str">
        <f>"C_CON_FIN_CONV"</f>
        <v>C_CON_FIN_CONV</v>
      </c>
      <c r="G3629" s="2" t="str">
        <f>" ()"</f>
        <v xml:space="preserve"> ()</v>
      </c>
    </row>
    <row r="3630" spans="1:7" x14ac:dyDescent="0.3">
      <c r="A3630" s="1" t="s">
        <v>4</v>
      </c>
      <c r="B3630" s="2" t="str">
        <f t="shared" si="306"/>
        <v>SISTEMA FINANCEIRO - CONTAS A PAGAR</v>
      </c>
      <c r="C3630" s="2" t="str">
        <f t="shared" si="305"/>
        <v>FINAN</v>
      </c>
      <c r="D3630" s="2" t="str">
        <f t="shared" si="307"/>
        <v>FNCP</v>
      </c>
      <c r="E3630" s="2" t="str">
        <f>"R_CT_REC_CONV_RS"</f>
        <v>R_CT_REC_CONV_RS</v>
      </c>
      <c r="F3630" s="2" t="str">
        <f>"R_CT_REC_CONV_RS"</f>
        <v>R_CT_REC_CONV_RS</v>
      </c>
      <c r="G3630" s="2" t="s">
        <v>10</v>
      </c>
    </row>
    <row r="3631" spans="1:7" x14ac:dyDescent="0.3">
      <c r="A3631" s="1" t="s">
        <v>4</v>
      </c>
      <c r="B3631" s="2" t="str">
        <f t="shared" si="306"/>
        <v>SISTEMA FINANCEIRO - CONTAS A PAGAR</v>
      </c>
      <c r="C3631" s="2" t="str">
        <f t="shared" si="305"/>
        <v>FINAN</v>
      </c>
      <c r="D3631" s="2" t="str">
        <f t="shared" si="307"/>
        <v>FNCP</v>
      </c>
      <c r="E3631" s="2" t="str">
        <f>"CADASTRO: FORNECEDOR/CLIENTE"</f>
        <v>CADASTRO: FORNECEDOR/CLIENTE</v>
      </c>
      <c r="F3631" s="2" t="str">
        <f>"C_FORNEC"</f>
        <v>C_FORNEC</v>
      </c>
      <c r="G3631" s="2" t="s">
        <v>10</v>
      </c>
    </row>
    <row r="3632" spans="1:7" x14ac:dyDescent="0.3">
      <c r="A3632" s="1" t="s">
        <v>4</v>
      </c>
      <c r="B3632" s="2" t="str">
        <f t="shared" si="306"/>
        <v>SISTEMA FINANCEIRO - CONTAS A PAGAR</v>
      </c>
      <c r="C3632" s="2" t="str">
        <f t="shared" si="305"/>
        <v>FINAN</v>
      </c>
      <c r="D3632" s="2" t="str">
        <f t="shared" si="307"/>
        <v>FNCP</v>
      </c>
      <c r="E3632" s="2" t="str">
        <f>"R_CON_ADIANT_SINT_340"</f>
        <v>R_CON_ADIANT_SINT_340</v>
      </c>
      <c r="F3632" s="2" t="str">
        <f>"R_CON_ADIANT_SINT_340"</f>
        <v>R_CON_ADIANT_SINT_340</v>
      </c>
      <c r="G3632" s="2" t="str">
        <f>" ()"</f>
        <v xml:space="preserve"> ()</v>
      </c>
    </row>
    <row r="3633" spans="1:7" x14ac:dyDescent="0.3">
      <c r="A3633" s="1" t="s">
        <v>4</v>
      </c>
      <c r="B3633" s="2" t="str">
        <f t="shared" si="306"/>
        <v>SISTEMA FINANCEIRO - CONTAS A PAGAR</v>
      </c>
      <c r="C3633" s="2" t="str">
        <f t="shared" si="305"/>
        <v>FINAN</v>
      </c>
      <c r="D3633" s="2" t="str">
        <f t="shared" si="307"/>
        <v>FNCP</v>
      </c>
      <c r="E3633" s="2" t="str">
        <f>"CADASTRO DE REGRA DE RATEIO"</f>
        <v>CADASTRO DE REGRA DE RATEIO</v>
      </c>
      <c r="F3633" s="2" t="str">
        <f>"M_REGRA_RATEIO"</f>
        <v>M_REGRA_RATEIO</v>
      </c>
      <c r="G3633" s="2" t="s">
        <v>10</v>
      </c>
    </row>
    <row r="3634" spans="1:7" x14ac:dyDescent="0.3">
      <c r="A3634" s="1" t="s">
        <v>4</v>
      </c>
      <c r="B3634" s="2" t="str">
        <f t="shared" si="306"/>
        <v>SISTEMA FINANCEIRO - CONTAS A PAGAR</v>
      </c>
      <c r="C3634" s="2" t="str">
        <f t="shared" si="305"/>
        <v>FINAN</v>
      </c>
      <c r="D3634" s="2" t="str">
        <f t="shared" si="307"/>
        <v>FNCP</v>
      </c>
      <c r="E3634" s="2" t="str">
        <f>"WIN_PRINCIPAL"</f>
        <v>WIN_PRINCIPAL</v>
      </c>
      <c r="F3634" s="2" t="str">
        <f>"M_FECH_FINANC"</f>
        <v>M_FECH_FINANC</v>
      </c>
      <c r="G3634" s="2" t="s">
        <v>10</v>
      </c>
    </row>
    <row r="3635" spans="1:7" x14ac:dyDescent="0.3">
      <c r="A3635" s="1" t="s">
        <v>4</v>
      </c>
      <c r="B3635" s="2" t="str">
        <f t="shared" si="306"/>
        <v>SISTEMA FINANCEIRO - CONTAS A PAGAR</v>
      </c>
      <c r="C3635" s="2" t="str">
        <f t="shared" si="305"/>
        <v>FINAN</v>
      </c>
      <c r="D3635" s="2" t="str">
        <f t="shared" si="307"/>
        <v>FNCP</v>
      </c>
      <c r="E3635" s="2" t="str">
        <f>"WIN_PRINCIPAL"</f>
        <v>WIN_PRINCIPAL</v>
      </c>
      <c r="F3635" s="2" t="str">
        <f>"M_ABERT_FINANC"</f>
        <v>M_ABERT_FINANC</v>
      </c>
      <c r="G3635" s="2" t="s">
        <v>10</v>
      </c>
    </row>
    <row r="3636" spans="1:7" x14ac:dyDescent="0.3">
      <c r="A3636" s="1" t="s">
        <v>4</v>
      </c>
      <c r="B3636" s="2" t="str">
        <f t="shared" si="306"/>
        <v>SISTEMA FINANCEIRO - CONTAS A PAGAR</v>
      </c>
      <c r="C3636" s="2" t="str">
        <f t="shared" si="305"/>
        <v>FINAN</v>
      </c>
      <c r="D3636" s="2" t="str">
        <f t="shared" si="307"/>
        <v>FNCP</v>
      </c>
      <c r="E3636" s="2" t="str">
        <f>"RELATÓRIO BOLETO BANCÁRIO REAL"</f>
        <v>RELATÓRIO BOLETO BANCÁRIO REAL</v>
      </c>
      <c r="F3636" s="2" t="str">
        <f>"R_BOLETO_BANCARIO_REAL_429"</f>
        <v>R_BOLETO_BANCARIO_REAL_429</v>
      </c>
      <c r="G3636" s="2" t="str">
        <f>" ()"</f>
        <v xml:space="preserve"> ()</v>
      </c>
    </row>
    <row r="3637" spans="1:7" x14ac:dyDescent="0.3">
      <c r="A3637" s="1" t="s">
        <v>4</v>
      </c>
      <c r="B3637" s="2" t="str">
        <f t="shared" si="306"/>
        <v>SISTEMA FINANCEIRO - CONTAS A PAGAR</v>
      </c>
      <c r="C3637" s="2" t="str">
        <f t="shared" si="305"/>
        <v>FINAN</v>
      </c>
      <c r="D3637" s="2" t="str">
        <f t="shared" si="307"/>
        <v>FNCP</v>
      </c>
      <c r="E3637" s="2" t="str">
        <f>"LANÇAMENTOS: LANÇAMENTOS RESUMIDOS"</f>
        <v>LANÇAMENTOS: LANÇAMENTOS RESUMIDOS</v>
      </c>
      <c r="F3637" s="2" t="str">
        <f>"O_CANC_BAIXA"</f>
        <v>O_CANC_BAIXA</v>
      </c>
      <c r="G3637" s="2" t="str">
        <f>" ()"</f>
        <v xml:space="preserve"> ()</v>
      </c>
    </row>
    <row r="3638" spans="1:7" x14ac:dyDescent="0.3">
      <c r="A3638" s="1" t="s">
        <v>4</v>
      </c>
      <c r="B3638" s="2" t="str">
        <f t="shared" si="306"/>
        <v>SISTEMA FINANCEIRO - CONTAS A PAGAR</v>
      </c>
      <c r="C3638" s="2" t="str">
        <f t="shared" si="305"/>
        <v>FINAN</v>
      </c>
      <c r="D3638" s="2" t="str">
        <f t="shared" si="307"/>
        <v>FNCP</v>
      </c>
      <c r="E3638" s="2" t="str">
        <f>"CONSULTA PARAMETRIZADA DE NOTAS FISCAIS"</f>
        <v>CONSULTA PARAMETRIZADA DE NOTAS FISCAIS</v>
      </c>
      <c r="F3638" s="2" t="str">
        <f>"C_CONS_NF_ATEND"</f>
        <v>C_CONS_NF_ATEND</v>
      </c>
      <c r="G3638" s="2" t="s">
        <v>10</v>
      </c>
    </row>
    <row r="3639" spans="1:7" x14ac:dyDescent="0.3">
      <c r="A3639" s="1" t="s">
        <v>4</v>
      </c>
      <c r="B3639" s="2" t="str">
        <f t="shared" si="306"/>
        <v>SISTEMA FINANCEIRO - CONTAS A PAGAR</v>
      </c>
      <c r="C3639" s="2" t="str">
        <f t="shared" si="305"/>
        <v>FINAN</v>
      </c>
      <c r="D3639" s="2" t="str">
        <f t="shared" si="307"/>
        <v>FNCP</v>
      </c>
      <c r="E3639" s="2" t="str">
        <f>"GERAÇÃO DE ARQUIVO - DMS"</f>
        <v>GERAÇÃO DE ARQUIVO - DMS</v>
      </c>
      <c r="F3639" s="2" t="str">
        <f>"O_GERA_DMS_970"</f>
        <v>O_GERA_DMS_970</v>
      </c>
      <c r="G3639" s="2" t="str">
        <f>" ()"</f>
        <v xml:space="preserve"> ()</v>
      </c>
    </row>
    <row r="3640" spans="1:7" x14ac:dyDescent="0.3">
      <c r="A3640" s="1" t="s">
        <v>4</v>
      </c>
      <c r="B3640" s="2" t="str">
        <f t="shared" si="306"/>
        <v>SISTEMA FINANCEIRO - CONTAS A PAGAR</v>
      </c>
      <c r="C3640" s="2" t="str">
        <f t="shared" si="305"/>
        <v>FINAN</v>
      </c>
      <c r="D3640" s="2" t="str">
        <f t="shared" si="307"/>
        <v>FNCP</v>
      </c>
      <c r="E3640" s="2" t="str">
        <f>"RELATÓRIO DE LOTES DE PAGAMENTO"</f>
        <v>RELATÓRIO DE LOTES DE PAGAMENTO</v>
      </c>
      <c r="F3640" s="2" t="str">
        <f>"R_LOTE_PAGAMENTO"</f>
        <v>R_LOTE_PAGAMENTO</v>
      </c>
      <c r="G3640" s="2" t="s">
        <v>10</v>
      </c>
    </row>
    <row r="3641" spans="1:7" x14ac:dyDescent="0.3">
      <c r="A3641" s="1" t="s">
        <v>4</v>
      </c>
      <c r="B3641" s="2" t="str">
        <f t="shared" si="306"/>
        <v>SISTEMA FINANCEIRO - CONTAS A PAGAR</v>
      </c>
      <c r="C3641" s="2" t="str">
        <f t="shared" si="305"/>
        <v>FINAN</v>
      </c>
      <c r="D3641" s="2" t="str">
        <f t="shared" si="307"/>
        <v>FNCP</v>
      </c>
      <c r="E3641" s="2" t="str">
        <f>"R_COP_CHEQ_264"</f>
        <v>R_COP_CHEQ_264</v>
      </c>
      <c r="F3641" s="2" t="str">
        <f>"R_COP_CHEQ_264"</f>
        <v>R_COP_CHEQ_264</v>
      </c>
      <c r="G3641" s="2" t="str">
        <f>" ()"</f>
        <v xml:space="preserve"> ()</v>
      </c>
    </row>
    <row r="3642" spans="1:7" x14ac:dyDescent="0.3">
      <c r="A3642" s="1" t="s">
        <v>4</v>
      </c>
      <c r="B3642" s="2" t="str">
        <f t="shared" si="306"/>
        <v>SISTEMA FINANCEIRO - CONTAS A PAGAR</v>
      </c>
      <c r="C3642" s="2" t="str">
        <f t="shared" si="305"/>
        <v>FINAN</v>
      </c>
      <c r="D3642" s="2" t="str">
        <f t="shared" si="307"/>
        <v>FNCP</v>
      </c>
      <c r="E3642" s="2" t="str">
        <f>"MENU DE CONTAS A PAGAR"</f>
        <v>MENU DE CONTAS A PAGAR</v>
      </c>
      <c r="F3642" s="2" t="str">
        <f>"M_FNCP"</f>
        <v>M_FNCP</v>
      </c>
      <c r="G3642" s="2" t="str">
        <f>" ()"</f>
        <v xml:space="preserve"> ()</v>
      </c>
    </row>
    <row r="3643" spans="1:7" x14ac:dyDescent="0.3">
      <c r="A3643" s="1" t="s">
        <v>4</v>
      </c>
      <c r="B3643" s="2" t="str">
        <f t="shared" si="306"/>
        <v>SISTEMA FINANCEIRO - CONTAS A PAGAR</v>
      </c>
      <c r="C3643" s="2" t="str">
        <f t="shared" si="305"/>
        <v>FINAN</v>
      </c>
      <c r="D3643" s="2" t="str">
        <f t="shared" si="307"/>
        <v>FNCP</v>
      </c>
      <c r="E3643" s="2" t="str">
        <f>"RELATORIO DE UNIDADE DE NEGOCIO"</f>
        <v>RELATORIO DE UNIDADE DE NEGOCIO</v>
      </c>
      <c r="F3643" s="2" t="str">
        <f>"R_UNDNEG"</f>
        <v>R_UNDNEG</v>
      </c>
      <c r="G3643" s="2" t="str">
        <f>" ()"</f>
        <v xml:space="preserve"> ()</v>
      </c>
    </row>
    <row r="3644" spans="1:7" x14ac:dyDescent="0.3">
      <c r="A3644" s="1" t="s">
        <v>4</v>
      </c>
      <c r="B3644" s="2" t="str">
        <f t="shared" si="306"/>
        <v>SISTEMA FINANCEIRO - CONTAS A PAGAR</v>
      </c>
      <c r="C3644" s="2" t="str">
        <f t="shared" si="305"/>
        <v>FINAN</v>
      </c>
      <c r="D3644" s="2" t="str">
        <f t="shared" si="307"/>
        <v>FNCP</v>
      </c>
      <c r="E3644" s="2" t="str">
        <f>"PAGAMENTOS"</f>
        <v>PAGAMENTOS</v>
      </c>
      <c r="F3644" s="2" t="str">
        <f>"O_PAG"</f>
        <v>O_PAG</v>
      </c>
      <c r="G3644" s="2" t="s">
        <v>10</v>
      </c>
    </row>
    <row r="3645" spans="1:7" x14ac:dyDescent="0.3">
      <c r="A3645" s="1" t="s">
        <v>4</v>
      </c>
      <c r="B3645" s="2" t="str">
        <f t="shared" si="306"/>
        <v>SISTEMA FINANCEIRO - CONTAS A PAGAR</v>
      </c>
      <c r="C3645" s="2" t="str">
        <f t="shared" ref="C3645:C3708" si="310">"FINAN"</f>
        <v>FINAN</v>
      </c>
      <c r="D3645" s="2" t="str">
        <f t="shared" si="307"/>
        <v>FNCP</v>
      </c>
      <c r="E3645" s="2" t="str">
        <f>"TIPO DE DOCUMENTO"</f>
        <v>TIPO DE DOCUMENTO</v>
      </c>
      <c r="F3645" s="2" t="str">
        <f>"M_TIPDOC"</f>
        <v>M_TIPDOC</v>
      </c>
      <c r="G3645" s="2" t="s">
        <v>10</v>
      </c>
    </row>
    <row r="3646" spans="1:7" x14ac:dyDescent="0.3">
      <c r="A3646" s="1" t="s">
        <v>4</v>
      </c>
      <c r="B3646" s="2" t="str">
        <f t="shared" si="306"/>
        <v>SISTEMA FINANCEIRO - CONTAS A PAGAR</v>
      </c>
      <c r="C3646" s="2" t="str">
        <f t="shared" si="310"/>
        <v>FINAN</v>
      </c>
      <c r="D3646" s="2" t="str">
        <f t="shared" si="307"/>
        <v>FNCP</v>
      </c>
      <c r="E3646" s="2" t="str">
        <f>"CONSULTA DE PREVISÃO DE PAGAMENTO"</f>
        <v>CONSULTA DE PREVISÃO DE PAGAMENTO</v>
      </c>
      <c r="F3646" s="2" t="str">
        <f>"C_PREVISAO"</f>
        <v>C_PREVISAO</v>
      </c>
      <c r="G3646" s="2" t="s">
        <v>10</v>
      </c>
    </row>
    <row r="3647" spans="1:7" x14ac:dyDescent="0.3">
      <c r="A3647" s="1" t="s">
        <v>4</v>
      </c>
      <c r="B3647" s="2" t="str">
        <f t="shared" si="306"/>
        <v>SISTEMA FINANCEIRO - CONTAS A PAGAR</v>
      </c>
      <c r="C3647" s="2" t="str">
        <f t="shared" si="310"/>
        <v>FINAN</v>
      </c>
      <c r="D3647" s="2" t="str">
        <f t="shared" si="307"/>
        <v>FNCP</v>
      </c>
      <c r="E3647" s="2" t="str">
        <f>"DEMONSTRATIVO DE CONTA POR CUSTO - PS"</f>
        <v>DEMONSTRATIVO DE CONTA POR CUSTO - PS</v>
      </c>
      <c r="F3647" s="2" t="str">
        <f>"R_CUS_CONTA_PS"</f>
        <v>R_CUS_CONTA_PS</v>
      </c>
      <c r="G3647" s="2" t="s">
        <v>10</v>
      </c>
    </row>
    <row r="3648" spans="1:7" x14ac:dyDescent="0.3">
      <c r="A3648" s="1" t="s">
        <v>4</v>
      </c>
      <c r="B3648" s="2" t="str">
        <f t="shared" si="306"/>
        <v>SISTEMA FINANCEIRO - CONTAS A PAGAR</v>
      </c>
      <c r="C3648" s="2" t="str">
        <f t="shared" si="310"/>
        <v>FINAN</v>
      </c>
      <c r="D3648" s="2" t="str">
        <f t="shared" si="307"/>
        <v>FNCP</v>
      </c>
      <c r="E3648" s="2" t="str">
        <f>"DEMONSTRATIVO DE CONTA POR CEN CUS - PS"</f>
        <v>DEMONSTRATIVO DE CONTA POR CEN CUS - PS</v>
      </c>
      <c r="F3648" s="2" t="str">
        <f>"R_CUS_CENCUS_PS"</f>
        <v>R_CUS_CENCUS_PS</v>
      </c>
      <c r="G3648" s="2" t="s">
        <v>10</v>
      </c>
    </row>
    <row r="3649" spans="1:7" x14ac:dyDescent="0.3">
      <c r="A3649" s="1" t="s">
        <v>4</v>
      </c>
      <c r="B3649" s="2" t="str">
        <f t="shared" si="306"/>
        <v>SISTEMA FINANCEIRO - CONTAS A PAGAR</v>
      </c>
      <c r="C3649" s="2" t="str">
        <f t="shared" si="310"/>
        <v>FINAN</v>
      </c>
      <c r="D3649" s="2" t="str">
        <f t="shared" si="307"/>
        <v>FNCP</v>
      </c>
      <c r="E3649" s="2" t="str">
        <f>"R. DE CON. A REC.  P/ GRUPO CONTA RECEIT"</f>
        <v>R. DE CON. A REC.  P/ GRUPO CONTA RECEIT</v>
      </c>
      <c r="F3649" s="2" t="str">
        <f>"R_ARECGRURES"</f>
        <v>R_ARECGRURES</v>
      </c>
      <c r="G3649" s="2" t="s">
        <v>10</v>
      </c>
    </row>
    <row r="3650" spans="1:7" x14ac:dyDescent="0.3">
      <c r="A3650" s="1" t="s">
        <v>4</v>
      </c>
      <c r="B3650" s="2" t="str">
        <f t="shared" si="306"/>
        <v>SISTEMA FINANCEIRO - CONTAS A PAGAR</v>
      </c>
      <c r="C3650" s="2" t="str">
        <f t="shared" si="310"/>
        <v>FINAN</v>
      </c>
      <c r="D3650" s="2" t="str">
        <f t="shared" si="307"/>
        <v>FNCP</v>
      </c>
      <c r="E3650" s="2" t="str">
        <f>"CONTAS RECEBIDAS MODO CARACTER"</f>
        <v>CONTAS RECEBIDAS MODO CARACTER</v>
      </c>
      <c r="F3650" s="2" t="str">
        <f>"R_RECGRURES_CARACT"</f>
        <v>R_RECGRURES_CARACT</v>
      </c>
      <c r="G3650" s="2" t="str">
        <f>" ()"</f>
        <v xml:space="preserve"> ()</v>
      </c>
    </row>
    <row r="3651" spans="1:7" x14ac:dyDescent="0.3">
      <c r="A3651" s="1" t="s">
        <v>4</v>
      </c>
      <c r="B3651" s="2" t="str">
        <f t="shared" si="306"/>
        <v>SISTEMA FINANCEIRO - CONTAS A PAGAR</v>
      </c>
      <c r="C3651" s="2" t="str">
        <f t="shared" si="310"/>
        <v>FINAN</v>
      </c>
      <c r="D3651" s="2" t="str">
        <f t="shared" si="307"/>
        <v>FNCP</v>
      </c>
      <c r="E3651" s="2" t="str">
        <f>"IMPORTACAO DO ESTOQUE COM O FINANCEIRO"</f>
        <v>IMPORTACAO DO ESTOQUE COM O FINANCEIRO</v>
      </c>
      <c r="F3651" s="2" t="str">
        <f>"O_IMP_MGES_FNFI"</f>
        <v>O_IMP_MGES_FNFI</v>
      </c>
      <c r="G3651" s="2" t="s">
        <v>10</v>
      </c>
    </row>
    <row r="3652" spans="1:7" x14ac:dyDescent="0.3">
      <c r="A3652" s="1" t="s">
        <v>4</v>
      </c>
      <c r="B3652" s="2" t="str">
        <f t="shared" si="306"/>
        <v>SISTEMA FINANCEIRO - CONTAS A PAGAR</v>
      </c>
      <c r="C3652" s="2" t="str">
        <f t="shared" si="310"/>
        <v>FINAN</v>
      </c>
      <c r="D3652" s="2" t="str">
        <f t="shared" si="307"/>
        <v>FNCP</v>
      </c>
      <c r="E3652" s="2" t="str">
        <f>"GUIA DE RECOLHIMENTO"</f>
        <v>GUIA DE RECOLHIMENTO</v>
      </c>
      <c r="F3652" s="2" t="str">
        <f>"R_AGRUP_CONTA_CARACT"</f>
        <v>R_AGRUP_CONTA_CARACT</v>
      </c>
      <c r="G3652" s="2" t="str">
        <f t="shared" ref="G3652:G3658" si="311">" ()"</f>
        <v xml:space="preserve"> ()</v>
      </c>
    </row>
    <row r="3653" spans="1:7" x14ac:dyDescent="0.3">
      <c r="A3653" s="1" t="s">
        <v>4</v>
      </c>
      <c r="B3653" s="2" t="str">
        <f t="shared" ref="B3653:B3716" si="312">"SISTEMA FINANCEIRO - CONTAS A PAGAR"</f>
        <v>SISTEMA FINANCEIRO - CONTAS A PAGAR</v>
      </c>
      <c r="C3653" s="2" t="str">
        <f t="shared" si="310"/>
        <v>FINAN</v>
      </c>
      <c r="D3653" s="2" t="str">
        <f t="shared" ref="D3653:D3716" si="313">"FNCP"</f>
        <v>FNCP</v>
      </c>
      <c r="E3653" s="2" t="str">
        <f>" CONTAS PAGAS POR CONTA DE CUSTO"</f>
        <v xml:space="preserve"> CONTAS PAGAS POR CONTA DE CUSTO</v>
      </c>
      <c r="F3653" s="2" t="str">
        <f>"R_PAGGRURES_CARACT"</f>
        <v>R_PAGGRURES_CARACT</v>
      </c>
      <c r="G3653" s="2" t="str">
        <f t="shared" si="311"/>
        <v xml:space="preserve"> ()</v>
      </c>
    </row>
    <row r="3654" spans="1:7" x14ac:dyDescent="0.3">
      <c r="A3654" s="1" t="s">
        <v>4</v>
      </c>
      <c r="B3654" s="2" t="str">
        <f t="shared" si="312"/>
        <v>SISTEMA FINANCEIRO - CONTAS A PAGAR</v>
      </c>
      <c r="C3654" s="2" t="str">
        <f t="shared" si="310"/>
        <v>FINAN</v>
      </c>
      <c r="D3654" s="2" t="str">
        <f t="shared" si="313"/>
        <v>FNCP</v>
      </c>
      <c r="E3654" s="2" t="str">
        <f>"C/C DO FORNECEDOR"</f>
        <v>C/C DO FORNECEDOR</v>
      </c>
      <c r="F3654" s="2" t="str">
        <f>"R_CONFOR_CARACT"</f>
        <v>R_CONFOR_CARACT</v>
      </c>
      <c r="G3654" s="2" t="str">
        <f t="shared" si="311"/>
        <v xml:space="preserve"> ()</v>
      </c>
    </row>
    <row r="3655" spans="1:7" x14ac:dyDescent="0.3">
      <c r="A3655" s="1" t="s">
        <v>4</v>
      </c>
      <c r="B3655" s="2" t="str">
        <f t="shared" si="312"/>
        <v>SISTEMA FINANCEIRO - CONTAS A PAGAR</v>
      </c>
      <c r="C3655" s="2" t="str">
        <f t="shared" si="310"/>
        <v>FINAN</v>
      </c>
      <c r="D3655" s="2" t="str">
        <f t="shared" si="313"/>
        <v>FNCP</v>
      </c>
      <c r="E3655" s="2" t="str">
        <f>"PAGAS EM ATRASO"</f>
        <v>PAGAS EM ATRASO</v>
      </c>
      <c r="F3655" s="2" t="str">
        <f>"R_PAGATR_CARACT"</f>
        <v>R_PAGATR_CARACT</v>
      </c>
      <c r="G3655" s="2" t="str">
        <f t="shared" si="311"/>
        <v xml:space="preserve"> ()</v>
      </c>
    </row>
    <row r="3656" spans="1:7" x14ac:dyDescent="0.3">
      <c r="A3656" s="1" t="s">
        <v>4</v>
      </c>
      <c r="B3656" s="2" t="str">
        <f t="shared" si="312"/>
        <v>SISTEMA FINANCEIRO - CONTAS A PAGAR</v>
      </c>
      <c r="C3656" s="2" t="str">
        <f t="shared" si="310"/>
        <v>FINAN</v>
      </c>
      <c r="D3656" s="2" t="str">
        <f t="shared" si="313"/>
        <v>FNCP</v>
      </c>
      <c r="E3656" s="2" t="str">
        <f>"PAGAS"</f>
        <v>PAGAS</v>
      </c>
      <c r="F3656" s="2" t="str">
        <f>"R_CON_PAG_CARACT"</f>
        <v>R_CON_PAG_CARACT</v>
      </c>
      <c r="G3656" s="2" t="str">
        <f t="shared" si="311"/>
        <v xml:space="preserve"> ()</v>
      </c>
    </row>
    <row r="3657" spans="1:7" x14ac:dyDescent="0.3">
      <c r="A3657" s="1" t="s">
        <v>4</v>
      </c>
      <c r="B3657" s="2" t="str">
        <f t="shared" si="312"/>
        <v>SISTEMA FINANCEIRO - CONTAS A PAGAR</v>
      </c>
      <c r="C3657" s="2" t="str">
        <f t="shared" si="310"/>
        <v>FINAN</v>
      </c>
      <c r="D3657" s="2" t="str">
        <f t="shared" si="313"/>
        <v>FNCP</v>
      </c>
      <c r="E3657" s="2" t="str">
        <f>"RELATORIO TIPO CARACTER"</f>
        <v>RELATORIO TIPO CARACTER</v>
      </c>
      <c r="F3657" s="2" t="str">
        <f>"R_CON_RECEB_CARACT"</f>
        <v>R_CON_RECEB_CARACT</v>
      </c>
      <c r="G3657" s="2" t="str">
        <f t="shared" si="311"/>
        <v xml:space="preserve"> ()</v>
      </c>
    </row>
    <row r="3658" spans="1:7" x14ac:dyDescent="0.3">
      <c r="A3658" s="1" t="s">
        <v>4</v>
      </c>
      <c r="B3658" s="2" t="str">
        <f t="shared" si="312"/>
        <v>SISTEMA FINANCEIRO - CONTAS A PAGAR</v>
      </c>
      <c r="C3658" s="2" t="str">
        <f t="shared" si="310"/>
        <v>FINAN</v>
      </c>
      <c r="D3658" s="2" t="str">
        <f t="shared" si="313"/>
        <v>FNCP</v>
      </c>
      <c r="E3658" s="2" t="str">
        <f>"CONTAS A RECEBER"</f>
        <v>CONTAS A RECEBER</v>
      </c>
      <c r="F3658" s="2" t="str">
        <f>"R_CON_ARECEB_CARACT"</f>
        <v>R_CON_ARECEB_CARACT</v>
      </c>
      <c r="G3658" s="2" t="str">
        <f t="shared" si="311"/>
        <v xml:space="preserve"> ()</v>
      </c>
    </row>
    <row r="3659" spans="1:7" x14ac:dyDescent="0.3">
      <c r="A3659" s="1" t="s">
        <v>4</v>
      </c>
      <c r="B3659" s="2" t="str">
        <f t="shared" si="312"/>
        <v>SISTEMA FINANCEIRO - CONTAS A PAGAR</v>
      </c>
      <c r="C3659" s="2" t="str">
        <f t="shared" si="310"/>
        <v>FINAN</v>
      </c>
      <c r="D3659" s="2" t="str">
        <f t="shared" si="313"/>
        <v>FNCP</v>
      </c>
      <c r="E3659" s="2" t="str">
        <f>"CONSULTA DOS RECEBIMENTOS"</f>
        <v>CONSULTA DOS RECEBIMENTOS</v>
      </c>
      <c r="F3659" s="2" t="str">
        <f>"C_CON_REC"</f>
        <v>C_CON_REC</v>
      </c>
      <c r="G3659" s="2" t="s">
        <v>10</v>
      </c>
    </row>
    <row r="3660" spans="1:7" x14ac:dyDescent="0.3">
      <c r="A3660" s="1" t="s">
        <v>4</v>
      </c>
      <c r="B3660" s="2" t="str">
        <f t="shared" si="312"/>
        <v>SISTEMA FINANCEIRO - CONTAS A PAGAR</v>
      </c>
      <c r="C3660" s="2" t="str">
        <f t="shared" si="310"/>
        <v>FINAN</v>
      </c>
      <c r="D3660" s="2" t="str">
        <f t="shared" si="313"/>
        <v>FNCP</v>
      </c>
      <c r="E3660" s="2" t="str">
        <f>"RECEBIMENTO DE CONTAS A RECEBER"</f>
        <v>RECEBIMENTO DE CONTAS A RECEBER</v>
      </c>
      <c r="F3660" s="2" t="str">
        <f>"O_CON_REC"</f>
        <v>O_CON_REC</v>
      </c>
      <c r="G3660" s="2" t="str">
        <f>" ()"</f>
        <v xml:space="preserve"> ()</v>
      </c>
    </row>
    <row r="3661" spans="1:7" x14ac:dyDescent="0.3">
      <c r="A3661" s="1" t="s">
        <v>4</v>
      </c>
      <c r="B3661" s="2" t="str">
        <f t="shared" si="312"/>
        <v>SISTEMA FINANCEIRO - CONTAS A PAGAR</v>
      </c>
      <c r="C3661" s="2" t="str">
        <f t="shared" si="310"/>
        <v>FINAN</v>
      </c>
      <c r="D3661" s="2" t="str">
        <f t="shared" si="313"/>
        <v>FNCP</v>
      </c>
      <c r="E3661" s="2" t="str">
        <f>"RELATÓRIO QUE IMPRIME DARF"</f>
        <v>RELATÓRIO QUE IMPRIME DARF</v>
      </c>
      <c r="F3661" s="2" t="str">
        <f>"R_DARF"</f>
        <v>R_DARF</v>
      </c>
      <c r="G3661" s="2" t="s">
        <v>10</v>
      </c>
    </row>
    <row r="3662" spans="1:7" x14ac:dyDescent="0.3">
      <c r="A3662" s="1" t="s">
        <v>4</v>
      </c>
      <c r="B3662" s="2" t="str">
        <f t="shared" si="312"/>
        <v>SISTEMA FINANCEIRO - CONTAS A PAGAR</v>
      </c>
      <c r="C3662" s="2" t="str">
        <f t="shared" si="310"/>
        <v>FINAN</v>
      </c>
      <c r="D3662" s="2" t="str">
        <f t="shared" si="313"/>
        <v>FNCP</v>
      </c>
      <c r="E3662" s="2" t="str">
        <f>"RELATÓRIO QUE IMPRIME DARF"</f>
        <v>RELATÓRIO QUE IMPRIME DARF</v>
      </c>
      <c r="F3662" s="2" t="str">
        <f>"R_DARF"</f>
        <v>R_DARF</v>
      </c>
      <c r="G3662" s="2" t="str">
        <f>"Controladoria / Fiscal / Relatórios / Emissão do DARF (R_DARF)"</f>
        <v>Controladoria / Fiscal / Relatórios / Emissão do DARF (R_DARF)</v>
      </c>
    </row>
    <row r="3663" spans="1:7" x14ac:dyDescent="0.3">
      <c r="A3663" s="1" t="s">
        <v>4</v>
      </c>
      <c r="B3663" s="2" t="str">
        <f t="shared" si="312"/>
        <v>SISTEMA FINANCEIRO - CONTAS A PAGAR</v>
      </c>
      <c r="C3663" s="2" t="str">
        <f t="shared" si="310"/>
        <v>FINAN</v>
      </c>
      <c r="D3663" s="2" t="str">
        <f t="shared" si="313"/>
        <v>FNCP</v>
      </c>
      <c r="E3663" s="2" t="str">
        <f>"DOC. DE TRANSFERENCIA"</f>
        <v>DOC. DE TRANSFERENCIA</v>
      </c>
      <c r="F3663" s="2" t="str">
        <f>"R_DOC_TRANSF"</f>
        <v>R_DOC_TRANSF</v>
      </c>
      <c r="G3663" s="2" t="s">
        <v>10</v>
      </c>
    </row>
    <row r="3664" spans="1:7" x14ac:dyDescent="0.3">
      <c r="A3664" s="1" t="s">
        <v>4</v>
      </c>
      <c r="B3664" s="2" t="str">
        <f t="shared" si="312"/>
        <v>SISTEMA FINANCEIRO - CONTAS A PAGAR</v>
      </c>
      <c r="C3664" s="2" t="str">
        <f t="shared" si="310"/>
        <v>FINAN</v>
      </c>
      <c r="D3664" s="2" t="str">
        <f t="shared" si="313"/>
        <v>FNCP</v>
      </c>
      <c r="E3664" s="2" t="str">
        <f>"CANCELAMENTO DE AGRUPAMENTO"</f>
        <v>CANCELAMENTO DE AGRUPAMENTO</v>
      </c>
      <c r="F3664" s="2" t="str">
        <f>"0_CANC_AGRUP"</f>
        <v>0_CANC_AGRUP</v>
      </c>
      <c r="G3664" s="2" t="str">
        <f>" ()"</f>
        <v xml:space="preserve"> ()</v>
      </c>
    </row>
    <row r="3665" spans="1:7" x14ac:dyDescent="0.3">
      <c r="A3665" s="1" t="s">
        <v>4</v>
      </c>
      <c r="B3665" s="2" t="str">
        <f t="shared" si="312"/>
        <v>SISTEMA FINANCEIRO - CONTAS A PAGAR</v>
      </c>
      <c r="C3665" s="2" t="str">
        <f t="shared" si="310"/>
        <v>FINAN</v>
      </c>
      <c r="D3665" s="2" t="str">
        <f t="shared" si="313"/>
        <v>FNCP</v>
      </c>
      <c r="E3665" s="2" t="str">
        <f>"CANCELAMENTO DE AGRUPAMENTO"</f>
        <v>CANCELAMENTO DE AGRUPAMENTO</v>
      </c>
      <c r="F3665" s="2" t="str">
        <f>"O_CANC_AGRUP"</f>
        <v>O_CANC_AGRUP</v>
      </c>
      <c r="G3665" s="2" t="str">
        <f>" ()"</f>
        <v xml:space="preserve"> ()</v>
      </c>
    </row>
    <row r="3666" spans="1:7" x14ac:dyDescent="0.3">
      <c r="A3666" s="1" t="s">
        <v>4</v>
      </c>
      <c r="B3666" s="2" t="str">
        <f t="shared" si="312"/>
        <v>SISTEMA FINANCEIRO - CONTAS A PAGAR</v>
      </c>
      <c r="C3666" s="2" t="str">
        <f t="shared" si="310"/>
        <v>FINAN</v>
      </c>
      <c r="D3666" s="2" t="str">
        <f t="shared" si="313"/>
        <v>FNCP</v>
      </c>
      <c r="E3666" s="2" t="str">
        <f>"PREVISÃO DE RECEITA CARACTER"</f>
        <v>PREVISÃO DE RECEITA CARACTER</v>
      </c>
      <c r="F3666" s="2" t="str">
        <f>"R_PREV_RECEITA_CARACT"</f>
        <v>R_PREV_RECEITA_CARACT</v>
      </c>
      <c r="G3666" s="2" t="str">
        <f>" ()"</f>
        <v xml:space="preserve"> ()</v>
      </c>
    </row>
    <row r="3667" spans="1:7" x14ac:dyDescent="0.3">
      <c r="A3667" s="1" t="s">
        <v>4</v>
      </c>
      <c r="B3667" s="2" t="str">
        <f t="shared" si="312"/>
        <v>SISTEMA FINANCEIRO - CONTAS A PAGAR</v>
      </c>
      <c r="C3667" s="2" t="str">
        <f t="shared" si="310"/>
        <v>FINAN</v>
      </c>
      <c r="D3667" s="2" t="str">
        <f t="shared" si="313"/>
        <v>FNCP</v>
      </c>
      <c r="E3667" s="2" t="str">
        <f>"PREVISAO DE RECEITA"</f>
        <v>PREVISAO DE RECEITA</v>
      </c>
      <c r="F3667" s="2" t="str">
        <f>"R_PREV_RECEITA"</f>
        <v>R_PREV_RECEITA</v>
      </c>
      <c r="G3667" s="2" t="s">
        <v>10</v>
      </c>
    </row>
    <row r="3668" spans="1:7" x14ac:dyDescent="0.3">
      <c r="A3668" s="1" t="s">
        <v>4</v>
      </c>
      <c r="B3668" s="2" t="str">
        <f t="shared" si="312"/>
        <v>SISTEMA FINANCEIRO - CONTAS A PAGAR</v>
      </c>
      <c r="C3668" s="2" t="str">
        <f t="shared" si="310"/>
        <v>FINAN</v>
      </c>
      <c r="D3668" s="2" t="str">
        <f t="shared" si="313"/>
        <v>FNCP</v>
      </c>
      <c r="E3668" s="2" t="str">
        <f>" A PAGAR POR CONTA DE CUSTO CARACTER"</f>
        <v xml:space="preserve"> A PAGAR POR CONTA DE CUSTO CARACTER</v>
      </c>
      <c r="F3668" s="2" t="str">
        <f>"R_APAGRURES_CARACT"</f>
        <v>R_APAGRURES_CARACT</v>
      </c>
      <c r="G3668" s="2" t="str">
        <f>" ()"</f>
        <v xml:space="preserve"> ()</v>
      </c>
    </row>
    <row r="3669" spans="1:7" x14ac:dyDescent="0.3">
      <c r="A3669" s="1" t="s">
        <v>4</v>
      </c>
      <c r="B3669" s="2" t="str">
        <f t="shared" si="312"/>
        <v>SISTEMA FINANCEIRO - CONTAS A PAGAR</v>
      </c>
      <c r="C3669" s="2" t="str">
        <f t="shared" si="310"/>
        <v>FINAN</v>
      </c>
      <c r="D3669" s="2" t="str">
        <f t="shared" si="313"/>
        <v>FNCP</v>
      </c>
      <c r="E3669" s="2" t="str">
        <f>"A PAGAR"</f>
        <v>A PAGAR</v>
      </c>
      <c r="F3669" s="2" t="str">
        <f>"R_CON_APAG_CARACT"</f>
        <v>R_CON_APAG_CARACT</v>
      </c>
      <c r="G3669" s="2" t="str">
        <f>" ()"</f>
        <v xml:space="preserve"> ()</v>
      </c>
    </row>
    <row r="3670" spans="1:7" x14ac:dyDescent="0.3">
      <c r="A3670" s="1" t="s">
        <v>4</v>
      </c>
      <c r="B3670" s="2" t="str">
        <f t="shared" si="312"/>
        <v>SISTEMA FINANCEIRO - CONTAS A PAGAR</v>
      </c>
      <c r="C3670" s="2" t="str">
        <f t="shared" si="310"/>
        <v>FINAN</v>
      </c>
      <c r="D3670" s="2" t="str">
        <f t="shared" si="313"/>
        <v>FNCP</v>
      </c>
      <c r="E3670" s="2" t="str">
        <f>"CONSULTA DE CONTAS A PAGAR / PAGAS"</f>
        <v>CONSULTA DE CONTAS A PAGAR / PAGAS</v>
      </c>
      <c r="F3670" s="2" t="str">
        <f>"C_CONTAS_APAG_PAG"</f>
        <v>C_CONTAS_APAG_PAG</v>
      </c>
      <c r="G3670" s="2" t="s">
        <v>10</v>
      </c>
    </row>
    <row r="3671" spans="1:7" x14ac:dyDescent="0.3">
      <c r="A3671" s="1" t="s">
        <v>4</v>
      </c>
      <c r="B3671" s="2" t="str">
        <f t="shared" si="312"/>
        <v>SISTEMA FINANCEIRO - CONTAS A PAGAR</v>
      </c>
      <c r="C3671" s="2" t="str">
        <f t="shared" si="310"/>
        <v>FINAN</v>
      </c>
      <c r="D3671" s="2" t="str">
        <f t="shared" si="313"/>
        <v>FNCP</v>
      </c>
      <c r="E3671" s="2" t="str">
        <f>"PRESTAÇÃO DE CONTAS"</f>
        <v>PRESTAÇÃO DE CONTAS</v>
      </c>
      <c r="F3671" s="2" t="str">
        <f>"R_PREST_CONTAS"</f>
        <v>R_PREST_CONTAS</v>
      </c>
      <c r="G3671" s="2" t="s">
        <v>10</v>
      </c>
    </row>
    <row r="3672" spans="1:7" x14ac:dyDescent="0.3">
      <c r="A3672" s="1" t="s">
        <v>4</v>
      </c>
      <c r="B3672" s="2" t="str">
        <f t="shared" si="312"/>
        <v>SISTEMA FINANCEIRO - CONTAS A PAGAR</v>
      </c>
      <c r="C3672" s="2" t="str">
        <f t="shared" si="310"/>
        <v>FINAN</v>
      </c>
      <c r="D3672" s="2" t="str">
        <f t="shared" si="313"/>
        <v>FNCP</v>
      </c>
      <c r="E3672" s="2" t="str">
        <f>"RELATORIO IMPORTACAO  EMPRESAS DO SIAMED"</f>
        <v>RELATORIO IMPORTACAO  EMPRESAS DO SIAMED</v>
      </c>
      <c r="F3672" s="2" t="str">
        <f>"R_O_IMP_EMPRESA"</f>
        <v>R_O_IMP_EMPRESA</v>
      </c>
      <c r="G3672" s="2" t="str">
        <f>" ()"</f>
        <v xml:space="preserve"> ()</v>
      </c>
    </row>
    <row r="3673" spans="1:7" x14ac:dyDescent="0.3">
      <c r="A3673" s="1" t="s">
        <v>4</v>
      </c>
      <c r="B3673" s="2" t="str">
        <f t="shared" si="312"/>
        <v>SISTEMA FINANCEIRO - CONTAS A PAGAR</v>
      </c>
      <c r="C3673" s="2" t="str">
        <f t="shared" si="310"/>
        <v>FINAN</v>
      </c>
      <c r="D3673" s="2" t="str">
        <f t="shared" si="313"/>
        <v>FNCP</v>
      </c>
      <c r="E3673" s="2" t="str">
        <f>"RELATÓRIO IMPORTACAO  FATURAS DO SIAMED"</f>
        <v>RELATÓRIO IMPORTACAO  FATURAS DO SIAMED</v>
      </c>
      <c r="F3673" s="2" t="str">
        <f>"R_O_IMP_CON_REC"</f>
        <v>R_O_IMP_CON_REC</v>
      </c>
      <c r="G3673" s="2" t="str">
        <f>" ()"</f>
        <v xml:space="preserve"> ()</v>
      </c>
    </row>
    <row r="3674" spans="1:7" x14ac:dyDescent="0.3">
      <c r="A3674" s="1" t="s">
        <v>4</v>
      </c>
      <c r="B3674" s="2" t="str">
        <f t="shared" si="312"/>
        <v>SISTEMA FINANCEIRO - CONTAS A PAGAR</v>
      </c>
      <c r="C3674" s="2" t="str">
        <f t="shared" si="310"/>
        <v>FINAN</v>
      </c>
      <c r="D3674" s="2" t="str">
        <f t="shared" si="313"/>
        <v>FNCP</v>
      </c>
      <c r="E3674" s="2" t="str">
        <f>"CONSULTA DE CHEQUES RETIRADOS"</f>
        <v>CONSULTA DE CHEQUES RETIRADOS</v>
      </c>
      <c r="F3674" s="2" t="str">
        <f>"C_CHE_RETIRADO"</f>
        <v>C_CHE_RETIRADO</v>
      </c>
      <c r="G3674" s="2" t="s">
        <v>10</v>
      </c>
    </row>
    <row r="3675" spans="1:7" x14ac:dyDescent="0.3">
      <c r="A3675" s="1" t="s">
        <v>4</v>
      </c>
      <c r="B3675" s="2" t="str">
        <f t="shared" si="312"/>
        <v>SISTEMA FINANCEIRO - CONTAS A PAGAR</v>
      </c>
      <c r="C3675" s="2" t="str">
        <f t="shared" si="310"/>
        <v>FINAN</v>
      </c>
      <c r="D3675" s="2" t="str">
        <f t="shared" si="313"/>
        <v>FNCP</v>
      </c>
      <c r="E3675" s="2" t="str">
        <f>"ANEXO DE GUIA DE RECOLHIIMENTO"</f>
        <v>ANEXO DE GUIA DE RECOLHIIMENTO</v>
      </c>
      <c r="F3675" s="2" t="str">
        <f>"R_AGRUP_CONTA"</f>
        <v>R_AGRUP_CONTA</v>
      </c>
      <c r="G3675" s="2" t="s">
        <v>10</v>
      </c>
    </row>
    <row r="3676" spans="1:7" x14ac:dyDescent="0.3">
      <c r="A3676" s="1" t="s">
        <v>4</v>
      </c>
      <c r="B3676" s="2" t="str">
        <f t="shared" si="312"/>
        <v>SISTEMA FINANCEIRO - CONTAS A PAGAR</v>
      </c>
      <c r="C3676" s="2" t="str">
        <f t="shared" si="310"/>
        <v>FINAN</v>
      </c>
      <c r="D3676" s="2" t="str">
        <f t="shared" si="313"/>
        <v>FNCP</v>
      </c>
      <c r="E3676" s="2" t="str">
        <f>"ANEXO DE GUIA DE RECOLHIIMENTO"</f>
        <v>ANEXO DE GUIA DE RECOLHIIMENTO</v>
      </c>
      <c r="F3676" s="2" t="str">
        <f>"R_AGRUP_CONTA"</f>
        <v>R_AGRUP_CONTA</v>
      </c>
      <c r="G3676" s="2" t="str">
        <f>"Controladoria / Fiscal / Relatórios / Guia de Recolhimento (R_AGRUP_CONTA)"</f>
        <v>Controladoria / Fiscal / Relatórios / Guia de Recolhimento (R_AGRUP_CONTA)</v>
      </c>
    </row>
    <row r="3677" spans="1:7" x14ac:dyDescent="0.3">
      <c r="A3677" s="1" t="s">
        <v>4</v>
      </c>
      <c r="B3677" s="2" t="str">
        <f t="shared" si="312"/>
        <v>SISTEMA FINANCEIRO - CONTAS A PAGAR</v>
      </c>
      <c r="C3677" s="2" t="str">
        <f t="shared" si="310"/>
        <v>FINAN</v>
      </c>
      <c r="D3677" s="2" t="str">
        <f t="shared" si="313"/>
        <v>FNCP</v>
      </c>
      <c r="E3677" s="2" t="str">
        <f>"RELATORIO DE CONTAS A RECEBER"</f>
        <v>RELATORIO DE CONTAS A RECEBER</v>
      </c>
      <c r="F3677" s="2" t="str">
        <f>"R_CON_ARECEB"</f>
        <v>R_CON_ARECEB</v>
      </c>
      <c r="G3677" s="2" t="s">
        <v>10</v>
      </c>
    </row>
    <row r="3678" spans="1:7" x14ac:dyDescent="0.3">
      <c r="A3678" s="1" t="s">
        <v>4</v>
      </c>
      <c r="B3678" s="2" t="str">
        <f t="shared" si="312"/>
        <v>SISTEMA FINANCEIRO - CONTAS A PAGAR</v>
      </c>
      <c r="C3678" s="2" t="str">
        <f t="shared" si="310"/>
        <v>FINAN</v>
      </c>
      <c r="D3678" s="2" t="str">
        <f t="shared" si="313"/>
        <v>FNCP</v>
      </c>
      <c r="E3678" s="2" t="str">
        <f>"RELATORIO  DE CONTAS RECEBIDAS"</f>
        <v>RELATORIO  DE CONTAS RECEBIDAS</v>
      </c>
      <c r="F3678" s="2" t="str">
        <f>"R_CON_RECEB"</f>
        <v>R_CON_RECEB</v>
      </c>
      <c r="G3678" s="2" t="str">
        <f>"Materiais e Logística / Farmácia / Relatórios / Gerenciais / Contas a Receber (R_CON_RECEB)"</f>
        <v>Materiais e Logística / Farmácia / Relatórios / Gerenciais / Contas a Receber (R_CON_RECEB)</v>
      </c>
    </row>
    <row r="3679" spans="1:7" x14ac:dyDescent="0.3">
      <c r="A3679" s="1" t="s">
        <v>4</v>
      </c>
      <c r="B3679" s="2" t="str">
        <f t="shared" si="312"/>
        <v>SISTEMA FINANCEIRO - CONTAS A PAGAR</v>
      </c>
      <c r="C3679" s="2" t="str">
        <f t="shared" si="310"/>
        <v>FINAN</v>
      </c>
      <c r="D3679" s="2" t="str">
        <f t="shared" si="313"/>
        <v>FNCP</v>
      </c>
      <c r="E3679" s="2" t="str">
        <f>"RELATORIO  DE CONTAS RECEBIDAS"</f>
        <v>RELATORIO  DE CONTAS RECEBIDAS</v>
      </c>
      <c r="F3679" s="2" t="str">
        <f>"R_CON_RECEB"</f>
        <v>R_CON_RECEB</v>
      </c>
      <c r="G3679" s="2" t="s">
        <v>10</v>
      </c>
    </row>
    <row r="3680" spans="1:7" x14ac:dyDescent="0.3">
      <c r="A3680" s="1" t="s">
        <v>4</v>
      </c>
      <c r="B3680" s="2" t="str">
        <f t="shared" si="312"/>
        <v>SISTEMA FINANCEIRO - CONTAS A PAGAR</v>
      </c>
      <c r="C3680" s="2" t="str">
        <f t="shared" si="310"/>
        <v>FINAN</v>
      </c>
      <c r="D3680" s="2" t="str">
        <f t="shared" si="313"/>
        <v>FNCP</v>
      </c>
      <c r="E3680" s="2" t="str">
        <f>"CONTA CORRENTE DE ADIANTAMENTO DE FORNE"</f>
        <v>CONTA CORRENTE DE ADIANTAMENTO DE FORNE</v>
      </c>
      <c r="F3680" s="2" t="str">
        <f>"R_CON_ADIANT_FOR"</f>
        <v>R_CON_ADIANT_FOR</v>
      </c>
      <c r="G3680" s="2" t="str">
        <f>" ()"</f>
        <v xml:space="preserve"> ()</v>
      </c>
    </row>
    <row r="3681" spans="1:7" x14ac:dyDescent="0.3">
      <c r="A3681" s="1" t="s">
        <v>4</v>
      </c>
      <c r="B3681" s="2" t="str">
        <f t="shared" si="312"/>
        <v>SISTEMA FINANCEIRO - CONTAS A PAGAR</v>
      </c>
      <c r="C3681" s="2" t="str">
        <f t="shared" si="310"/>
        <v>FINAN</v>
      </c>
      <c r="D3681" s="2" t="str">
        <f t="shared" si="313"/>
        <v>FNCP</v>
      </c>
      <c r="E3681" s="2" t="str">
        <f>"PRESTAÇÃO DE CONTAS"</f>
        <v>PRESTAÇÃO DE CONTAS</v>
      </c>
      <c r="F3681" s="2" t="str">
        <f>"M_PREST_CONTAS"</f>
        <v>M_PREST_CONTAS</v>
      </c>
      <c r="G3681" s="2" t="s">
        <v>10</v>
      </c>
    </row>
    <row r="3682" spans="1:7" x14ac:dyDescent="0.3">
      <c r="A3682" s="1" t="s">
        <v>4</v>
      </c>
      <c r="B3682" s="2" t="str">
        <f t="shared" si="312"/>
        <v>SISTEMA FINANCEIRO - CONTAS A PAGAR</v>
      </c>
      <c r="C3682" s="2" t="str">
        <f t="shared" si="310"/>
        <v>FINAN</v>
      </c>
      <c r="D3682" s="2" t="str">
        <f t="shared" si="313"/>
        <v>FNCP</v>
      </c>
      <c r="E3682" s="2" t="str">
        <f>"RECEBIMENTOS REALIZADOS"</f>
        <v>RECEBIMENTOS REALIZADOS</v>
      </c>
      <c r="F3682" s="2" t="str">
        <f>"R_REC_REALIZ"</f>
        <v>R_REC_REALIZ</v>
      </c>
      <c r="G3682" s="2" t="str">
        <f>" ()"</f>
        <v xml:space="preserve"> ()</v>
      </c>
    </row>
    <row r="3683" spans="1:7" x14ac:dyDescent="0.3">
      <c r="A3683" s="1" t="s">
        <v>4</v>
      </c>
      <c r="B3683" s="2" t="str">
        <f t="shared" si="312"/>
        <v>SISTEMA FINANCEIRO - CONTAS A PAGAR</v>
      </c>
      <c r="C3683" s="2" t="str">
        <f t="shared" si="310"/>
        <v>FINAN</v>
      </c>
      <c r="D3683" s="2" t="str">
        <f t="shared" si="313"/>
        <v>FNCP</v>
      </c>
      <c r="E3683" s="2" t="str">
        <f>"REL DE CONTAS À RECEBER - CONVÊNIOS"</f>
        <v>REL DE CONTAS À RECEBER - CONVÊNIOS</v>
      </c>
      <c r="F3683" s="2" t="str">
        <f>"R_CONTA_REC_CONV"</f>
        <v>R_CONTA_REC_CONV</v>
      </c>
      <c r="G3683" s="2" t="str">
        <f>"Faturamento / Faturamento de Convênios e Particulares / Relatórios / Tesouraria / Contas à Receber / Convênios (R_CONTA_REC_CONV)"</f>
        <v>Faturamento / Faturamento de Convênios e Particulares / Relatórios / Tesouraria / Contas à Receber / Convênios (R_CONTA_REC_CONV)</v>
      </c>
    </row>
    <row r="3684" spans="1:7" x14ac:dyDescent="0.3">
      <c r="A3684" s="1" t="s">
        <v>4</v>
      </c>
      <c r="B3684" s="2" t="str">
        <f t="shared" si="312"/>
        <v>SISTEMA FINANCEIRO - CONTAS A PAGAR</v>
      </c>
      <c r="C3684" s="2" t="str">
        <f t="shared" si="310"/>
        <v>FINAN</v>
      </c>
      <c r="D3684" s="2" t="str">
        <f t="shared" si="313"/>
        <v>FNCP</v>
      </c>
      <c r="E3684" s="2" t="str">
        <f>"REL DE CONTAS À RECEBER - CONVÊNIOS"</f>
        <v>REL DE CONTAS À RECEBER - CONVÊNIOS</v>
      </c>
      <c r="F3684" s="2" t="str">
        <f>"R_CONTA_REC_CONV"</f>
        <v>R_CONTA_REC_CONV</v>
      </c>
      <c r="G3684" s="2" t="str">
        <f>"Controladoria / Repasse Médico / Contas à Receber / Convênios (R_CONTA_REC_CONV)"</f>
        <v>Controladoria / Repasse Médico / Contas à Receber / Convênios (R_CONTA_REC_CONV)</v>
      </c>
    </row>
    <row r="3685" spans="1:7" x14ac:dyDescent="0.3">
      <c r="A3685" s="1" t="s">
        <v>4</v>
      </c>
      <c r="B3685" s="2" t="str">
        <f t="shared" si="312"/>
        <v>SISTEMA FINANCEIRO - CONTAS A PAGAR</v>
      </c>
      <c r="C3685" s="2" t="str">
        <f t="shared" si="310"/>
        <v>FINAN</v>
      </c>
      <c r="D3685" s="2" t="str">
        <f t="shared" si="313"/>
        <v>FNCP</v>
      </c>
      <c r="E3685" s="2" t="str">
        <f>"REL DE CONTAS À RECEBER - CONVÊNIOS"</f>
        <v>REL DE CONTAS À RECEBER - CONVÊNIOS</v>
      </c>
      <c r="F3685" s="2" t="str">
        <f>"R_CONTA_REC_CONV"</f>
        <v>R_CONTA_REC_CONV</v>
      </c>
      <c r="G3685" s="2" t="str">
        <f>"Controladoria / Tesouraria / Relatórios / Faturamento / Contas a Receber de Convenios (R_CONTA_REC_CONV)"</f>
        <v>Controladoria / Tesouraria / Relatórios / Faturamento / Contas a Receber de Convenios (R_CONTA_REC_CONV)</v>
      </c>
    </row>
    <row r="3686" spans="1:7" x14ac:dyDescent="0.3">
      <c r="A3686" s="1" t="s">
        <v>4</v>
      </c>
      <c r="B3686" s="2" t="str">
        <f t="shared" si="312"/>
        <v>SISTEMA FINANCEIRO - CONTAS A PAGAR</v>
      </c>
      <c r="C3686" s="2" t="str">
        <f t="shared" si="310"/>
        <v>FINAN</v>
      </c>
      <c r="D3686" s="2" t="str">
        <f t="shared" si="313"/>
        <v>FNCP</v>
      </c>
      <c r="E3686" s="2" t="str">
        <f>"REL DE CONTAS À RECEBER - CONVÊNIOS"</f>
        <v>REL DE CONTAS À RECEBER - CONVÊNIOS</v>
      </c>
      <c r="F3686" s="2" t="str">
        <f>"R_CONTA_REC_CONV"</f>
        <v>R_CONTA_REC_CONV</v>
      </c>
      <c r="G3686" s="2" t="str">
        <f>"Controladoria / Repasse Médico / Relatórios / Administrativos / Contas à Receber Convênios (R_CONTA_REC_CONV)"</f>
        <v>Controladoria / Repasse Médico / Relatórios / Administrativos / Contas à Receber Convênios (R_CONTA_REC_CONV)</v>
      </c>
    </row>
    <row r="3687" spans="1:7" x14ac:dyDescent="0.3">
      <c r="A3687" s="1" t="s">
        <v>4</v>
      </c>
      <c r="B3687" s="2" t="str">
        <f t="shared" si="312"/>
        <v>SISTEMA FINANCEIRO - CONTAS A PAGAR</v>
      </c>
      <c r="C3687" s="2" t="str">
        <f t="shared" si="310"/>
        <v>FINAN</v>
      </c>
      <c r="D3687" s="2" t="str">
        <f t="shared" si="313"/>
        <v>FNCP</v>
      </c>
      <c r="E3687" s="2" t="str">
        <f>"REL DE CONTAS À RECEBER - CONVÊNIOS"</f>
        <v>REL DE CONTAS À RECEBER - CONVÊNIOS</v>
      </c>
      <c r="F3687" s="2" t="str">
        <f>"R_CONTA_REC_CONV"</f>
        <v>R_CONTA_REC_CONV</v>
      </c>
      <c r="G3687" s="2" t="s">
        <v>10</v>
      </c>
    </row>
    <row r="3688" spans="1:7" x14ac:dyDescent="0.3">
      <c r="A3688" s="1" t="s">
        <v>4</v>
      </c>
      <c r="B3688" s="2" t="str">
        <f t="shared" si="312"/>
        <v>SISTEMA FINANCEIRO - CONTAS A PAGAR</v>
      </c>
      <c r="C3688" s="2" t="str">
        <f t="shared" si="310"/>
        <v>FINAN</v>
      </c>
      <c r="D3688" s="2" t="str">
        <f t="shared" si="313"/>
        <v>FNCP</v>
      </c>
      <c r="E3688" s="2" t="str">
        <f>"REL DE CONTAS À RECEBER - PACIENTES PART"</f>
        <v>REL DE CONTAS À RECEBER - PACIENTES PART</v>
      </c>
      <c r="F3688" s="2" t="str">
        <f>"R_CONTA_REC_PAC"</f>
        <v>R_CONTA_REC_PAC</v>
      </c>
      <c r="G3688" s="2" t="str">
        <f>"Faturamento / Faturamento de Convênios e Particulares / Relatórios / Tesouraria / Contas à Receber / Pacientes (R_CONTA_REC_PAC)"</f>
        <v>Faturamento / Faturamento de Convênios e Particulares / Relatórios / Tesouraria / Contas à Receber / Pacientes (R_CONTA_REC_PAC)</v>
      </c>
    </row>
    <row r="3689" spans="1:7" x14ac:dyDescent="0.3">
      <c r="A3689" s="1" t="s">
        <v>4</v>
      </c>
      <c r="B3689" s="2" t="str">
        <f t="shared" si="312"/>
        <v>SISTEMA FINANCEIRO - CONTAS A PAGAR</v>
      </c>
      <c r="C3689" s="2" t="str">
        <f t="shared" si="310"/>
        <v>FINAN</v>
      </c>
      <c r="D3689" s="2" t="str">
        <f t="shared" si="313"/>
        <v>FNCP</v>
      </c>
      <c r="E3689" s="2" t="str">
        <f>"REL DE CONTAS À RECEBER - PACIENTES PART"</f>
        <v>REL DE CONTAS À RECEBER - PACIENTES PART</v>
      </c>
      <c r="F3689" s="2" t="str">
        <f>"R_CONTA_REC_PAC"</f>
        <v>R_CONTA_REC_PAC</v>
      </c>
      <c r="G3689" s="2" t="str">
        <f>"Controladoria / Repasse Médico / Contas à Receber / Pacientes (R_CONTA_REC_PAC)"</f>
        <v>Controladoria / Repasse Médico / Contas à Receber / Pacientes (R_CONTA_REC_PAC)</v>
      </c>
    </row>
    <row r="3690" spans="1:7" x14ac:dyDescent="0.3">
      <c r="A3690" s="1" t="s">
        <v>4</v>
      </c>
      <c r="B3690" s="2" t="str">
        <f t="shared" si="312"/>
        <v>SISTEMA FINANCEIRO - CONTAS A PAGAR</v>
      </c>
      <c r="C3690" s="2" t="str">
        <f t="shared" si="310"/>
        <v>FINAN</v>
      </c>
      <c r="D3690" s="2" t="str">
        <f t="shared" si="313"/>
        <v>FNCP</v>
      </c>
      <c r="E3690" s="2" t="str">
        <f>"REL DE CONTAS À RECEBER - PACIENTES PART"</f>
        <v>REL DE CONTAS À RECEBER - PACIENTES PART</v>
      </c>
      <c r="F3690" s="2" t="str">
        <f>"R_CONTA_REC_PAC"</f>
        <v>R_CONTA_REC_PAC</v>
      </c>
      <c r="G3690" s="2" t="str">
        <f>"Controladoria / Tesouraria / Relatórios / Faturamento / Contas a Receber de Pacientes (R_CONTA_REC_PAC)"</f>
        <v>Controladoria / Tesouraria / Relatórios / Faturamento / Contas a Receber de Pacientes (R_CONTA_REC_PAC)</v>
      </c>
    </row>
    <row r="3691" spans="1:7" x14ac:dyDescent="0.3">
      <c r="A3691" s="1" t="s">
        <v>4</v>
      </c>
      <c r="B3691" s="2" t="str">
        <f t="shared" si="312"/>
        <v>SISTEMA FINANCEIRO - CONTAS A PAGAR</v>
      </c>
      <c r="C3691" s="2" t="str">
        <f t="shared" si="310"/>
        <v>FINAN</v>
      </c>
      <c r="D3691" s="2" t="str">
        <f t="shared" si="313"/>
        <v>FNCP</v>
      </c>
      <c r="E3691" s="2" t="str">
        <f>"REL DE CONTAS À RECEBER - PACIENTES PART"</f>
        <v>REL DE CONTAS À RECEBER - PACIENTES PART</v>
      </c>
      <c r="F3691" s="2" t="str">
        <f>"R_CONTA_REC_PAC"</f>
        <v>R_CONTA_REC_PAC</v>
      </c>
      <c r="G3691" s="2" t="str">
        <f>"Controladoria / Repasse Médico / Relatórios / Administrativos / Contas à Receber Pacientes (R_CONTA_REC_PAC)"</f>
        <v>Controladoria / Repasse Médico / Relatórios / Administrativos / Contas à Receber Pacientes (R_CONTA_REC_PAC)</v>
      </c>
    </row>
    <row r="3692" spans="1:7" x14ac:dyDescent="0.3">
      <c r="A3692" s="1" t="s">
        <v>4</v>
      </c>
      <c r="B3692" s="2" t="str">
        <f t="shared" si="312"/>
        <v>SISTEMA FINANCEIRO - CONTAS A PAGAR</v>
      </c>
      <c r="C3692" s="2" t="str">
        <f t="shared" si="310"/>
        <v>FINAN</v>
      </c>
      <c r="D3692" s="2" t="str">
        <f t="shared" si="313"/>
        <v>FNCP</v>
      </c>
      <c r="E3692" s="2" t="str">
        <f>"REL DE CONTAS À RECEBER - PACIENTES PART"</f>
        <v>REL DE CONTAS À RECEBER - PACIENTES PART</v>
      </c>
      <c r="F3692" s="2" t="str">
        <f>"R_CONTA_REC_PAC"</f>
        <v>R_CONTA_REC_PAC</v>
      </c>
      <c r="G3692" s="2" t="s">
        <v>10</v>
      </c>
    </row>
    <row r="3693" spans="1:7" x14ac:dyDescent="0.3">
      <c r="A3693" s="1" t="s">
        <v>4</v>
      </c>
      <c r="B3693" s="2" t="str">
        <f t="shared" si="312"/>
        <v>SISTEMA FINANCEIRO - CONTAS A PAGAR</v>
      </c>
      <c r="C3693" s="2" t="str">
        <f t="shared" si="310"/>
        <v>FINAN</v>
      </c>
      <c r="D3693" s="2" t="str">
        <f t="shared" si="313"/>
        <v>FNCP</v>
      </c>
      <c r="E3693" s="2" t="str">
        <f>"CADASTRO DE PAGAMENTOS"</f>
        <v>CADASTRO DE PAGAMENTOS</v>
      </c>
      <c r="F3693" s="2" t="str">
        <f>"M_PAG"</f>
        <v>M_PAG</v>
      </c>
      <c r="G3693" s="2" t="str">
        <f>" ()"</f>
        <v xml:space="preserve"> ()</v>
      </c>
    </row>
    <row r="3694" spans="1:7" x14ac:dyDescent="0.3">
      <c r="A3694" s="1" t="s">
        <v>4</v>
      </c>
      <c r="B3694" s="2" t="str">
        <f t="shared" si="312"/>
        <v>SISTEMA FINANCEIRO - CONTAS A PAGAR</v>
      </c>
      <c r="C3694" s="2" t="str">
        <f t="shared" si="310"/>
        <v>FINAN</v>
      </c>
      <c r="D3694" s="2" t="str">
        <f t="shared" si="313"/>
        <v>FNCP</v>
      </c>
      <c r="E3694" s="2" t="str">
        <f>"RELATORIO DE CONTAS APAGAR SIMPLIFICADO"</f>
        <v>RELATORIO DE CONTAS APAGAR SIMPLIFICADO</v>
      </c>
      <c r="F3694" s="2" t="str">
        <f>"R_CON_APAG_SIMP"</f>
        <v>R_CON_APAG_SIMP</v>
      </c>
      <c r="G3694" s="2" t="str">
        <f>" ()"</f>
        <v xml:space="preserve"> ()</v>
      </c>
    </row>
    <row r="3695" spans="1:7" x14ac:dyDescent="0.3">
      <c r="A3695" s="1" t="s">
        <v>4</v>
      </c>
      <c r="B3695" s="2" t="str">
        <f t="shared" si="312"/>
        <v>SISTEMA FINANCEIRO - CONTAS A PAGAR</v>
      </c>
      <c r="C3695" s="2" t="str">
        <f t="shared" si="310"/>
        <v>FINAN</v>
      </c>
      <c r="D3695" s="2" t="str">
        <f t="shared" si="313"/>
        <v>FNCP</v>
      </c>
      <c r="E3695" s="2" t="str">
        <f>"BAIXA DE CONTAS"</f>
        <v>BAIXA DE CONTAS</v>
      </c>
      <c r="F3695" s="2" t="str">
        <f>"M_BAIXA_CONTAS"</f>
        <v>M_BAIXA_CONTAS</v>
      </c>
      <c r="G3695" s="2" t="s">
        <v>10</v>
      </c>
    </row>
    <row r="3696" spans="1:7" x14ac:dyDescent="0.3">
      <c r="A3696" s="1" t="s">
        <v>4</v>
      </c>
      <c r="B3696" s="2" t="str">
        <f t="shared" si="312"/>
        <v>SISTEMA FINANCEIRO - CONTAS A PAGAR</v>
      </c>
      <c r="C3696" s="2" t="str">
        <f t="shared" si="310"/>
        <v>FINAN</v>
      </c>
      <c r="D3696" s="2" t="str">
        <f t="shared" si="313"/>
        <v>FNCP</v>
      </c>
      <c r="E3696" s="2" t="str">
        <f>"CONTAS PAGAS SIMPLIFICADO CARACTER"</f>
        <v>CONTAS PAGAS SIMPLIFICADO CARACTER</v>
      </c>
      <c r="F3696" s="2" t="str">
        <f>"R_CON_PAG_SIMP_CARACT"</f>
        <v>R_CON_PAG_SIMP_CARACT</v>
      </c>
      <c r="G3696" s="2" t="str">
        <f>" ()"</f>
        <v xml:space="preserve"> ()</v>
      </c>
    </row>
    <row r="3697" spans="1:7" x14ac:dyDescent="0.3">
      <c r="A3697" s="1" t="s">
        <v>4</v>
      </c>
      <c r="B3697" s="2" t="str">
        <f t="shared" si="312"/>
        <v>SISTEMA FINANCEIRO - CONTAS A PAGAR</v>
      </c>
      <c r="C3697" s="2" t="str">
        <f t="shared" si="310"/>
        <v>FINAN</v>
      </c>
      <c r="D3697" s="2" t="str">
        <f t="shared" si="313"/>
        <v>FNCP</v>
      </c>
      <c r="E3697" s="2" t="str">
        <f>"CONTAS PAGAS SIMPLIFICADO"</f>
        <v>CONTAS PAGAS SIMPLIFICADO</v>
      </c>
      <c r="F3697" s="2" t="str">
        <f>"R_CON_PAG_SIMP"</f>
        <v>R_CON_PAG_SIMP</v>
      </c>
      <c r="G3697" s="2" t="str">
        <f>" ()"</f>
        <v xml:space="preserve"> ()</v>
      </c>
    </row>
    <row r="3698" spans="1:7" x14ac:dyDescent="0.3">
      <c r="A3698" s="1" t="s">
        <v>4</v>
      </c>
      <c r="B3698" s="2" t="str">
        <f t="shared" si="312"/>
        <v>SISTEMA FINANCEIRO - CONTAS A PAGAR</v>
      </c>
      <c r="C3698" s="2" t="str">
        <f t="shared" si="310"/>
        <v>FINAN</v>
      </c>
      <c r="D3698" s="2" t="str">
        <f t="shared" si="313"/>
        <v>FNCP</v>
      </c>
      <c r="E3698" s="2" t="str">
        <f>"FLUXO DE CAIXA GRAFICO"</f>
        <v>FLUXO DE CAIXA GRAFICO</v>
      </c>
      <c r="F3698" s="2" t="str">
        <f>"R_FLU_CAI_GER.OGD"</f>
        <v>R_FLU_CAI_GER.OGD</v>
      </c>
      <c r="G3698" s="2" t="str">
        <f>" ()"</f>
        <v xml:space="preserve"> ()</v>
      </c>
    </row>
    <row r="3699" spans="1:7" x14ac:dyDescent="0.3">
      <c r="A3699" s="1" t="s">
        <v>4</v>
      </c>
      <c r="B3699" s="2" t="str">
        <f t="shared" si="312"/>
        <v>SISTEMA FINANCEIRO - CONTAS A PAGAR</v>
      </c>
      <c r="C3699" s="2" t="str">
        <f t="shared" si="310"/>
        <v>FINAN</v>
      </c>
      <c r="D3699" s="2" t="str">
        <f t="shared" si="313"/>
        <v>FNCP</v>
      </c>
      <c r="E3699" s="2" t="str">
        <f>"RELATÓRIO DE DETALHAMENTO A PAGAR"</f>
        <v>RELATÓRIO DE DETALHAMENTO A PAGAR</v>
      </c>
      <c r="F3699" s="2" t="str">
        <f>"R_DET_APAGAR"</f>
        <v>R_DET_APAGAR</v>
      </c>
      <c r="G3699" s="2" t="str">
        <f>"Controladoria / Fiscal / Relatórios / Contas a Pagar de Impostos (R_DET_APAGAR)"</f>
        <v>Controladoria / Fiscal / Relatórios / Contas a Pagar de Impostos (R_DET_APAGAR)</v>
      </c>
    </row>
    <row r="3700" spans="1:7" x14ac:dyDescent="0.3">
      <c r="A3700" s="1" t="s">
        <v>4</v>
      </c>
      <c r="B3700" s="2" t="str">
        <f t="shared" si="312"/>
        <v>SISTEMA FINANCEIRO - CONTAS A PAGAR</v>
      </c>
      <c r="C3700" s="2" t="str">
        <f t="shared" si="310"/>
        <v>FINAN</v>
      </c>
      <c r="D3700" s="2" t="str">
        <f t="shared" si="313"/>
        <v>FNCP</v>
      </c>
      <c r="E3700" s="2" t="str">
        <f>"RELATÓRIO DE DETALHAMENTO A PAGAR"</f>
        <v>RELATÓRIO DE DETALHAMENTO A PAGAR</v>
      </c>
      <c r="F3700" s="2" t="str">
        <f>"R_DET_APAGAR"</f>
        <v>R_DET_APAGAR</v>
      </c>
      <c r="G3700" s="2" t="s">
        <v>10</v>
      </c>
    </row>
    <row r="3701" spans="1:7" x14ac:dyDescent="0.3">
      <c r="A3701" s="1" t="s">
        <v>4</v>
      </c>
      <c r="B3701" s="2" t="str">
        <f t="shared" si="312"/>
        <v>SISTEMA FINANCEIRO - CONTAS A PAGAR</v>
      </c>
      <c r="C3701" s="2" t="str">
        <f t="shared" si="310"/>
        <v>FINAN</v>
      </c>
      <c r="D3701" s="2" t="str">
        <f t="shared" si="313"/>
        <v>FNCP</v>
      </c>
      <c r="E3701" s="2" t="str">
        <f>"R. DE CON. A PAGAR  P/ GRUPO CONTA CUSTO"</f>
        <v>R. DE CON. A PAGAR  P/ GRUPO CONTA CUSTO</v>
      </c>
      <c r="F3701" s="2" t="str">
        <f>"R_APAGGRURES"</f>
        <v>R_APAGGRURES</v>
      </c>
      <c r="G3701" s="2" t="s">
        <v>10</v>
      </c>
    </row>
    <row r="3702" spans="1:7" x14ac:dyDescent="0.3">
      <c r="A3702" s="1" t="s">
        <v>4</v>
      </c>
      <c r="B3702" s="2" t="str">
        <f t="shared" si="312"/>
        <v>SISTEMA FINANCEIRO - CONTAS A PAGAR</v>
      </c>
      <c r="C3702" s="2" t="str">
        <f t="shared" si="310"/>
        <v>FINAN</v>
      </c>
      <c r="D3702" s="2" t="str">
        <f t="shared" si="313"/>
        <v>FNCP</v>
      </c>
      <c r="E3702" s="2" t="str">
        <f>"AGRUPAMENTO DE CONTAS"</f>
        <v>AGRUPAMENTO DE CONTAS</v>
      </c>
      <c r="F3702" s="2" t="str">
        <f>"M_AGRUP_CONTA"</f>
        <v>M_AGRUP_CONTA</v>
      </c>
      <c r="G3702" s="2" t="str">
        <f>" ()"</f>
        <v xml:space="preserve"> ()</v>
      </c>
    </row>
    <row r="3703" spans="1:7" x14ac:dyDescent="0.3">
      <c r="A3703" s="1" t="s">
        <v>4</v>
      </c>
      <c r="B3703" s="2" t="str">
        <f t="shared" si="312"/>
        <v>SISTEMA FINANCEIRO - CONTAS A PAGAR</v>
      </c>
      <c r="C3703" s="2" t="str">
        <f t="shared" si="310"/>
        <v>FINAN</v>
      </c>
      <c r="D3703" s="2" t="str">
        <f t="shared" si="313"/>
        <v>FNCP</v>
      </c>
      <c r="E3703" s="2" t="str">
        <f>"RELATÓRIO DE BORDERÔ TIPO DOC"</f>
        <v>RELATÓRIO DE BORDERÔ TIPO DOC</v>
      </c>
      <c r="F3703" s="2" t="str">
        <f>"R_DOC"</f>
        <v>R_DOC</v>
      </c>
      <c r="G3703" s="2" t="s">
        <v>10</v>
      </c>
    </row>
    <row r="3704" spans="1:7" x14ac:dyDescent="0.3">
      <c r="A3704" s="1" t="s">
        <v>4</v>
      </c>
      <c r="B3704" s="2" t="str">
        <f t="shared" si="312"/>
        <v>SISTEMA FINANCEIRO - CONTAS A PAGAR</v>
      </c>
      <c r="C3704" s="2" t="str">
        <f t="shared" si="310"/>
        <v>FINAN</v>
      </c>
      <c r="D3704" s="2" t="str">
        <f t="shared" si="313"/>
        <v>FNCP</v>
      </c>
      <c r="E3704" s="2" t="str">
        <f>"REL. CURVA ABC DE GRUPO DE RESULTADO"</f>
        <v>REL. CURVA ABC DE GRUPO DE RESULTADO</v>
      </c>
      <c r="F3704" s="2" t="str">
        <f>"R_CURGRURES"</f>
        <v>R_CURGRURES</v>
      </c>
      <c r="G3704" s="2" t="s">
        <v>10</v>
      </c>
    </row>
    <row r="3705" spans="1:7" x14ac:dyDescent="0.3">
      <c r="A3705" s="1" t="s">
        <v>4</v>
      </c>
      <c r="B3705" s="2" t="str">
        <f t="shared" si="312"/>
        <v>SISTEMA FINANCEIRO - CONTAS A PAGAR</v>
      </c>
      <c r="C3705" s="2" t="str">
        <f t="shared" si="310"/>
        <v>FINAN</v>
      </c>
      <c r="D3705" s="2" t="str">
        <f t="shared" si="313"/>
        <v>FNCP</v>
      </c>
      <c r="E3705" s="2" t="str">
        <f>"REL. CURVA ABC DE GRUPO DE INVESTIMENTO"</f>
        <v>REL. CURVA ABC DE GRUPO DE INVESTIMENTO</v>
      </c>
      <c r="F3705" s="2" t="str">
        <f>"R_CURGRUINV"</f>
        <v>R_CURGRUINV</v>
      </c>
      <c r="G3705" s="2" t="str">
        <f>" ()"</f>
        <v xml:space="preserve"> ()</v>
      </c>
    </row>
    <row r="3706" spans="1:7" x14ac:dyDescent="0.3">
      <c r="A3706" s="1" t="s">
        <v>4</v>
      </c>
      <c r="B3706" s="2" t="str">
        <f t="shared" si="312"/>
        <v>SISTEMA FINANCEIRO - CONTAS A PAGAR</v>
      </c>
      <c r="C3706" s="2" t="str">
        <f t="shared" si="310"/>
        <v>FINAN</v>
      </c>
      <c r="D3706" s="2" t="str">
        <f t="shared" si="313"/>
        <v>FNCP</v>
      </c>
      <c r="E3706" s="2" t="str">
        <f>"RELATORIO CURVA ABC DE FORNECEDOR"</f>
        <v>RELATORIO CURVA ABC DE FORNECEDOR</v>
      </c>
      <c r="F3706" s="2" t="str">
        <f>"R_CURFOR"</f>
        <v>R_CURFOR</v>
      </c>
      <c r="G3706" s="2" t="s">
        <v>10</v>
      </c>
    </row>
    <row r="3707" spans="1:7" x14ac:dyDescent="0.3">
      <c r="A3707" s="1" t="s">
        <v>4</v>
      </c>
      <c r="B3707" s="2" t="str">
        <f t="shared" si="312"/>
        <v>SISTEMA FINANCEIRO - CONTAS A PAGAR</v>
      </c>
      <c r="C3707" s="2" t="str">
        <f t="shared" si="310"/>
        <v>FINAN</v>
      </c>
      <c r="D3707" s="2" t="str">
        <f t="shared" si="313"/>
        <v>FNCP</v>
      </c>
      <c r="E3707" s="2" t="str">
        <f>"RELATORIO DE CONTA CORRENTE DE FORNECEDO"</f>
        <v>RELATORIO DE CONTA CORRENTE DE FORNECEDO</v>
      </c>
      <c r="F3707" s="2" t="str">
        <f>"R_CONFOR"</f>
        <v>R_CONFOR</v>
      </c>
      <c r="G3707" s="2" t="s">
        <v>10</v>
      </c>
    </row>
    <row r="3708" spans="1:7" x14ac:dyDescent="0.3">
      <c r="A3708" s="1" t="s">
        <v>4</v>
      </c>
      <c r="B3708" s="2" t="str">
        <f t="shared" si="312"/>
        <v>SISTEMA FINANCEIRO - CONTAS A PAGAR</v>
      </c>
      <c r="C3708" s="2" t="str">
        <f t="shared" si="310"/>
        <v>FINAN</v>
      </c>
      <c r="D3708" s="2" t="str">
        <f t="shared" si="313"/>
        <v>FNCP</v>
      </c>
      <c r="E3708" s="2" t="str">
        <f>"RELATORIO DE CONTAS PAGAS"</f>
        <v>RELATORIO DE CONTAS PAGAS</v>
      </c>
      <c r="F3708" s="2" t="str">
        <f>"R_CON_PAG"</f>
        <v>R_CON_PAG</v>
      </c>
      <c r="G3708" s="2" t="s">
        <v>10</v>
      </c>
    </row>
    <row r="3709" spans="1:7" x14ac:dyDescent="0.3">
      <c r="A3709" s="1" t="s">
        <v>4</v>
      </c>
      <c r="B3709" s="2" t="str">
        <f t="shared" si="312"/>
        <v>SISTEMA FINANCEIRO - CONTAS A PAGAR</v>
      </c>
      <c r="C3709" s="2" t="str">
        <f t="shared" ref="C3709:C3772" si="314">"FINAN"</f>
        <v>FINAN</v>
      </c>
      <c r="D3709" s="2" t="str">
        <f t="shared" si="313"/>
        <v>FNCP</v>
      </c>
      <c r="E3709" s="2" t="str">
        <f>"RELATORIO DE CONTAS APAGAR"</f>
        <v>RELATORIO DE CONTAS APAGAR</v>
      </c>
      <c r="F3709" s="2" t="str">
        <f>"R_CON_APAG"</f>
        <v>R_CON_APAG</v>
      </c>
      <c r="G3709" s="2" t="s">
        <v>10</v>
      </c>
    </row>
    <row r="3710" spans="1:7" x14ac:dyDescent="0.3">
      <c r="A3710" s="1" t="s">
        <v>4</v>
      </c>
      <c r="B3710" s="2" t="str">
        <f t="shared" si="312"/>
        <v>SISTEMA FINANCEIRO - CONTAS A PAGAR</v>
      </c>
      <c r="C3710" s="2" t="str">
        <f t="shared" si="314"/>
        <v>FINAN</v>
      </c>
      <c r="D3710" s="2" t="str">
        <f t="shared" si="313"/>
        <v>FNCP</v>
      </c>
      <c r="E3710" s="2" t="str">
        <f>"RELATORIO DE BOLETO"</f>
        <v>RELATORIO DE BOLETO</v>
      </c>
      <c r="F3710" s="2" t="str">
        <f>"R_BOLETO"</f>
        <v>R_BOLETO</v>
      </c>
      <c r="G3710" s="2" t="s">
        <v>10</v>
      </c>
    </row>
    <row r="3711" spans="1:7" x14ac:dyDescent="0.3">
      <c r="A3711" s="1" t="s">
        <v>4</v>
      </c>
      <c r="B3711" s="2" t="str">
        <f t="shared" si="312"/>
        <v>SISTEMA FINANCEIRO - CONTAS A PAGAR</v>
      </c>
      <c r="C3711" s="2" t="str">
        <f t="shared" si="314"/>
        <v>FINAN</v>
      </c>
      <c r="D3711" s="2" t="str">
        <f t="shared" si="313"/>
        <v>FNCP</v>
      </c>
      <c r="E3711" s="2" t="str">
        <f>"RELATORIO DE BALANCO FINANCEIRO"</f>
        <v>RELATORIO DE BALANCO FINANCEIRO</v>
      </c>
      <c r="F3711" s="2" t="str">
        <f>"R_BALFIN"</f>
        <v>R_BALFIN</v>
      </c>
      <c r="G3711" s="2" t="s">
        <v>10</v>
      </c>
    </row>
    <row r="3712" spans="1:7" x14ac:dyDescent="0.3">
      <c r="A3712" s="1" t="s">
        <v>4</v>
      </c>
      <c r="B3712" s="2" t="str">
        <f t="shared" si="312"/>
        <v>SISTEMA FINANCEIRO - CONTAS A PAGAR</v>
      </c>
      <c r="C3712" s="2" t="str">
        <f t="shared" si="314"/>
        <v>FINAN</v>
      </c>
      <c r="D3712" s="2" t="str">
        <f t="shared" si="313"/>
        <v>FNCP</v>
      </c>
      <c r="E3712" s="2" t="str">
        <f>"RELATORIO DE PAGAMENTOS ATRAZADOS"</f>
        <v>RELATORIO DE PAGAMENTOS ATRAZADOS</v>
      </c>
      <c r="F3712" s="2" t="str">
        <f>"R_PAGATR"</f>
        <v>R_PAGATR</v>
      </c>
      <c r="G3712" s="2" t="s">
        <v>10</v>
      </c>
    </row>
    <row r="3713" spans="1:7" x14ac:dyDescent="0.3">
      <c r="A3713" s="1" t="s">
        <v>4</v>
      </c>
      <c r="B3713" s="2" t="str">
        <f t="shared" si="312"/>
        <v>SISTEMA FINANCEIRO - CONTAS A PAGAR</v>
      </c>
      <c r="C3713" s="2" t="str">
        <f t="shared" si="314"/>
        <v>FINAN</v>
      </c>
      <c r="D3713" s="2" t="str">
        <f t="shared" si="313"/>
        <v>FNCP</v>
      </c>
      <c r="E3713" s="2" t="str">
        <f>"GERAÇÃO DE PREVISÃO"</f>
        <v>GERAÇÃO DE PREVISÃO</v>
      </c>
      <c r="F3713" s="2" t="str">
        <f>"O_GERA_PROG"</f>
        <v>O_GERA_PROG</v>
      </c>
      <c r="G3713" s="2" t="s">
        <v>10</v>
      </c>
    </row>
    <row r="3714" spans="1:7" x14ac:dyDescent="0.3">
      <c r="A3714" s="1" t="s">
        <v>4</v>
      </c>
      <c r="B3714" s="2" t="str">
        <f t="shared" si="312"/>
        <v>SISTEMA FINANCEIRO - CONTAS A PAGAR</v>
      </c>
      <c r="C3714" s="2" t="str">
        <f t="shared" si="314"/>
        <v>FINAN</v>
      </c>
      <c r="D3714" s="2" t="str">
        <f t="shared" si="313"/>
        <v>FNCP</v>
      </c>
      <c r="E3714" s="2" t="str">
        <f>"UNIDADE DE NEGOCIO"</f>
        <v>UNIDADE DE NEGOCIO</v>
      </c>
      <c r="F3714" s="2" t="str">
        <f>"M_UNINEG"</f>
        <v>M_UNINEG</v>
      </c>
      <c r="G3714" s="2" t="str">
        <f>" ()"</f>
        <v xml:space="preserve"> ()</v>
      </c>
    </row>
    <row r="3715" spans="1:7" x14ac:dyDescent="0.3">
      <c r="A3715" s="1" t="s">
        <v>4</v>
      </c>
      <c r="B3715" s="2" t="str">
        <f t="shared" si="312"/>
        <v>SISTEMA FINANCEIRO - CONTAS A PAGAR</v>
      </c>
      <c r="C3715" s="2" t="str">
        <f t="shared" si="314"/>
        <v>FINAN</v>
      </c>
      <c r="D3715" s="2" t="str">
        <f t="shared" si="313"/>
        <v>FNCP</v>
      </c>
      <c r="E3715" s="2" t="str">
        <f>"CADASTRO DE PORTADOR"</f>
        <v>CADASTRO DE PORTADOR</v>
      </c>
      <c r="F3715" s="2" t="str">
        <f>"M_PORTADOR"</f>
        <v>M_PORTADOR</v>
      </c>
      <c r="G3715" s="2" t="s">
        <v>10</v>
      </c>
    </row>
    <row r="3716" spans="1:7" x14ac:dyDescent="0.3">
      <c r="A3716" s="1" t="s">
        <v>4</v>
      </c>
      <c r="B3716" s="2" t="str">
        <f t="shared" si="312"/>
        <v>SISTEMA FINANCEIRO - CONTAS A PAGAR</v>
      </c>
      <c r="C3716" s="2" t="str">
        <f t="shared" si="314"/>
        <v>FINAN</v>
      </c>
      <c r="D3716" s="2" t="str">
        <f t="shared" si="313"/>
        <v>FNCP</v>
      </c>
      <c r="E3716" s="2" t="str">
        <f>"GRUPO DE INVESTIMENTO"</f>
        <v>GRUPO DE INVESTIMENTO</v>
      </c>
      <c r="F3716" s="2" t="str">
        <f>"M_GRU_INV"</f>
        <v>M_GRU_INV</v>
      </c>
      <c r="G3716" s="2" t="str">
        <f>" ()"</f>
        <v xml:space="preserve"> ()</v>
      </c>
    </row>
    <row r="3717" spans="1:7" x14ac:dyDescent="0.3">
      <c r="A3717" s="1" t="s">
        <v>4</v>
      </c>
      <c r="B3717" s="2" t="str">
        <f t="shared" ref="B3717:B3780" si="315">"SISTEMA FINANCEIRO - CONTAS A PAGAR"</f>
        <v>SISTEMA FINANCEIRO - CONTAS A PAGAR</v>
      </c>
      <c r="C3717" s="2" t="str">
        <f t="shared" si="314"/>
        <v>FINAN</v>
      </c>
      <c r="D3717" s="2" t="str">
        <f t="shared" ref="D3717:D3780" si="316">"FNCP"</f>
        <v>FNCP</v>
      </c>
      <c r="E3717" s="2" t="str">
        <f>"ENTREGA DE CHEQUE"</f>
        <v>ENTREGA DE CHEQUE</v>
      </c>
      <c r="F3717" s="2" t="str">
        <f>"M_ENTCHEQUE"</f>
        <v>M_ENTCHEQUE</v>
      </c>
      <c r="G3717" s="2" t="s">
        <v>10</v>
      </c>
    </row>
    <row r="3718" spans="1:7" x14ac:dyDescent="0.3">
      <c r="A3718" s="1" t="s">
        <v>4</v>
      </c>
      <c r="B3718" s="2" t="str">
        <f t="shared" si="315"/>
        <v>SISTEMA FINANCEIRO - CONTAS A PAGAR</v>
      </c>
      <c r="C3718" s="2" t="str">
        <f t="shared" si="314"/>
        <v>FINAN</v>
      </c>
      <c r="D3718" s="2" t="str">
        <f t="shared" si="316"/>
        <v>FNCP</v>
      </c>
      <c r="E3718" s="2" t="str">
        <f>"CADASTRO DE CONTAS A RECEBER"</f>
        <v>CADASTRO DE CONTAS A RECEBER</v>
      </c>
      <c r="F3718" s="2" t="str">
        <f>"M_CON_REC"</f>
        <v>M_CON_REC</v>
      </c>
      <c r="G3718" s="2" t="s">
        <v>10</v>
      </c>
    </row>
    <row r="3719" spans="1:7" x14ac:dyDescent="0.3">
      <c r="A3719" s="1" t="s">
        <v>4</v>
      </c>
      <c r="B3719" s="2" t="str">
        <f t="shared" si="315"/>
        <v>SISTEMA FINANCEIRO - CONTAS A PAGAR</v>
      </c>
      <c r="C3719" s="2" t="str">
        <f t="shared" si="314"/>
        <v>FINAN</v>
      </c>
      <c r="D3719" s="2" t="str">
        <f t="shared" si="316"/>
        <v>FNCP</v>
      </c>
      <c r="E3719" s="2" t="str">
        <f>"PAGAMENTO REALIZADO"</f>
        <v>PAGAMENTO REALIZADO</v>
      </c>
      <c r="F3719" s="2" t="str">
        <f>"C_PAGTO_REALIZ"</f>
        <v>C_PAGTO_REALIZ</v>
      </c>
      <c r="G3719" s="2" t="s">
        <v>10</v>
      </c>
    </row>
    <row r="3720" spans="1:7" x14ac:dyDescent="0.3">
      <c r="A3720" s="1" t="s">
        <v>4</v>
      </c>
      <c r="B3720" s="2" t="str">
        <f t="shared" si="315"/>
        <v>SISTEMA FINANCEIRO - CONTAS A PAGAR</v>
      </c>
      <c r="C3720" s="2" t="str">
        <f t="shared" si="314"/>
        <v>FINAN</v>
      </c>
      <c r="D3720" s="2" t="str">
        <f t="shared" si="316"/>
        <v>FNCP</v>
      </c>
      <c r="E3720" s="2" t="str">
        <f>"R_CON_PAG_CONTA_CARACT"</f>
        <v>R_CON_PAG_CONTA_CARACT</v>
      </c>
      <c r="F3720" s="2" t="str">
        <f>"R_CON_PAG_CONTA_CARACT"</f>
        <v>R_CON_PAG_CONTA_CARACT</v>
      </c>
      <c r="G3720" s="2" t="str">
        <f>" ()"</f>
        <v xml:space="preserve"> ()</v>
      </c>
    </row>
    <row r="3721" spans="1:7" x14ac:dyDescent="0.3">
      <c r="A3721" s="1" t="s">
        <v>4</v>
      </c>
      <c r="B3721" s="2" t="str">
        <f t="shared" si="315"/>
        <v>SISTEMA FINANCEIRO - CONTAS A PAGAR</v>
      </c>
      <c r="C3721" s="2" t="str">
        <f t="shared" si="314"/>
        <v>FINAN</v>
      </c>
      <c r="D3721" s="2" t="str">
        <f t="shared" si="316"/>
        <v>FNCP</v>
      </c>
      <c r="E3721" s="2" t="str">
        <f>"R_CON_PAG_CONTA"</f>
        <v>R_CON_PAG_CONTA</v>
      </c>
      <c r="F3721" s="2" t="str">
        <f>"R_CON_PAG_CONTA"</f>
        <v>R_CON_PAG_CONTA</v>
      </c>
      <c r="G3721" s="2" t="str">
        <f>" ()"</f>
        <v xml:space="preserve"> ()</v>
      </c>
    </row>
    <row r="3722" spans="1:7" x14ac:dyDescent="0.3">
      <c r="A3722" s="1" t="s">
        <v>4</v>
      </c>
      <c r="B3722" s="2" t="str">
        <f t="shared" si="315"/>
        <v>SISTEMA FINANCEIRO - CONTAS A PAGAR</v>
      </c>
      <c r="C3722" s="2" t="str">
        <f t="shared" si="314"/>
        <v>FINAN</v>
      </c>
      <c r="D3722" s="2" t="str">
        <f t="shared" si="316"/>
        <v>FNCP</v>
      </c>
      <c r="E3722" s="2" t="str">
        <f>"R_FLUXO_CAIXA_DIA_REALIZ_SINT"</f>
        <v>R_FLUXO_CAIXA_DIA_REALIZ_SINT</v>
      </c>
      <c r="F3722" s="2" t="str">
        <f>"R_FLUXO_CAIXA_DIA_REALIZ_SINT"</f>
        <v>R_FLUXO_CAIXA_DIA_REALIZ_SINT</v>
      </c>
      <c r="G3722" s="2" t="str">
        <f>" ()"</f>
        <v xml:space="preserve"> ()</v>
      </c>
    </row>
    <row r="3723" spans="1:7" x14ac:dyDescent="0.3">
      <c r="A3723" s="1" t="s">
        <v>4</v>
      </c>
      <c r="B3723" s="2" t="str">
        <f t="shared" si="315"/>
        <v>SISTEMA FINANCEIRO - CONTAS A PAGAR</v>
      </c>
      <c r="C3723" s="2" t="str">
        <f t="shared" si="314"/>
        <v>FINAN</v>
      </c>
      <c r="D3723" s="2" t="str">
        <f t="shared" si="316"/>
        <v>FNCP</v>
      </c>
      <c r="E3723" s="2" t="str">
        <f>"R_FLUXO_CAIXA_DIA_REALIZ"</f>
        <v>R_FLUXO_CAIXA_DIA_REALIZ</v>
      </c>
      <c r="F3723" s="2" t="str">
        <f>"R_FLUXO_CAIXA_DIA_REALIZ"</f>
        <v>R_FLUXO_CAIXA_DIA_REALIZ</v>
      </c>
      <c r="G3723" s="2" t="str">
        <f>" ()"</f>
        <v xml:space="preserve"> ()</v>
      </c>
    </row>
    <row r="3724" spans="1:7" x14ac:dyDescent="0.3">
      <c r="A3724" s="1" t="s">
        <v>4</v>
      </c>
      <c r="B3724" s="2" t="str">
        <f t="shared" si="315"/>
        <v>SISTEMA FINANCEIRO - CONTAS A PAGAR</v>
      </c>
      <c r="C3724" s="2" t="str">
        <f t="shared" si="314"/>
        <v>FINAN</v>
      </c>
      <c r="D3724" s="2" t="str">
        <f t="shared" si="316"/>
        <v>FNCP</v>
      </c>
      <c r="E3724" s="2" t="str">
        <f>"CANCELAMENTO DE PAGAMENTOS"</f>
        <v>CANCELAMENTO DE PAGAMENTOS</v>
      </c>
      <c r="F3724" s="2" t="str">
        <f>"O_CANC_PAG"</f>
        <v>O_CANC_PAG</v>
      </c>
      <c r="G3724" s="2" t="s">
        <v>10</v>
      </c>
    </row>
    <row r="3725" spans="1:7" x14ac:dyDescent="0.3">
      <c r="A3725" s="1" t="s">
        <v>4</v>
      </c>
      <c r="B3725" s="2" t="str">
        <f t="shared" si="315"/>
        <v>SISTEMA FINANCEIRO - CONTAS A PAGAR</v>
      </c>
      <c r="C3725" s="2" t="str">
        <f t="shared" si="314"/>
        <v>FINAN</v>
      </c>
      <c r="D3725" s="2" t="str">
        <f t="shared" si="316"/>
        <v>FNCP</v>
      </c>
      <c r="E3725" s="2" t="str">
        <f>"R_DESC_ACRES"</f>
        <v>R_DESC_ACRES</v>
      </c>
      <c r="F3725" s="2" t="str">
        <f>"R_DESC_ACRES"</f>
        <v>R_DESC_ACRES</v>
      </c>
      <c r="G3725" s="2" t="s">
        <v>10</v>
      </c>
    </row>
    <row r="3726" spans="1:7" x14ac:dyDescent="0.3">
      <c r="A3726" s="1" t="s">
        <v>4</v>
      </c>
      <c r="B3726" s="2" t="str">
        <f t="shared" si="315"/>
        <v>SISTEMA FINANCEIRO - CONTAS A PAGAR</v>
      </c>
      <c r="C3726" s="2" t="str">
        <f t="shared" si="314"/>
        <v>FINAN</v>
      </c>
      <c r="D3726" s="2" t="str">
        <f t="shared" si="316"/>
        <v>FNCP</v>
      </c>
      <c r="E3726" s="2" t="str">
        <f>"WIN_PRINCIPAL"</f>
        <v>WIN_PRINCIPAL</v>
      </c>
      <c r="F3726" s="2" t="str">
        <f>"R_AUDITORIA_OPER"</f>
        <v>R_AUDITORIA_OPER</v>
      </c>
      <c r="G3726" s="2" t="s">
        <v>10</v>
      </c>
    </row>
    <row r="3727" spans="1:7" x14ac:dyDescent="0.3">
      <c r="A3727" s="1" t="s">
        <v>4</v>
      </c>
      <c r="B3727" s="2" t="str">
        <f t="shared" si="315"/>
        <v>SISTEMA FINANCEIRO - CONTAS A PAGAR</v>
      </c>
      <c r="C3727" s="2" t="str">
        <f t="shared" si="314"/>
        <v>FINAN</v>
      </c>
      <c r="D3727" s="2" t="str">
        <f t="shared" si="316"/>
        <v>FNCP</v>
      </c>
      <c r="E3727" s="2" t="str">
        <f>"AUDITORIA DE OPERAÇÕES FINANCEIRAS"</f>
        <v>AUDITORIA DE OPERAÇÕES FINANCEIRAS</v>
      </c>
      <c r="F3727" s="2" t="str">
        <f>"C_AUDITORIA_OPER"</f>
        <v>C_AUDITORIA_OPER</v>
      </c>
      <c r="G3727" s="2" t="s">
        <v>10</v>
      </c>
    </row>
    <row r="3728" spans="1:7" x14ac:dyDescent="0.3">
      <c r="A3728" s="1" t="s">
        <v>4</v>
      </c>
      <c r="B3728" s="2" t="str">
        <f t="shared" si="315"/>
        <v>SISTEMA FINANCEIRO - CONTAS A PAGAR</v>
      </c>
      <c r="C3728" s="2" t="str">
        <f t="shared" si="314"/>
        <v>FINAN</v>
      </c>
      <c r="D3728" s="2" t="str">
        <f t="shared" si="316"/>
        <v>FNCP</v>
      </c>
      <c r="E3728" s="2" t="str">
        <f>"PERFIL GRUPOS DE USUÁRIOS E USUÁRIOS"</f>
        <v>PERFIL GRUPOS DE USUÁRIOS E USUÁRIOS</v>
      </c>
      <c r="F3728" s="2" t="str">
        <f>"M_PERFIL_USU"</f>
        <v>M_PERFIL_USU</v>
      </c>
      <c r="G3728" s="2" t="str">
        <f>"Apoio a TI / Gestão de Usuários / Configurações de Acesso / Acessos Controladoria / Perfil de Grupo de Usuários-Financeiro (M_PERFIL_USU)"</f>
        <v>Apoio a TI / Gestão de Usuários / Configurações de Acesso / Acessos Controladoria / Perfil de Grupo de Usuários-Financeiro (M_PERFIL_USU)</v>
      </c>
    </row>
    <row r="3729" spans="1:7" x14ac:dyDescent="0.3">
      <c r="A3729" s="1" t="s">
        <v>4</v>
      </c>
      <c r="B3729" s="2" t="str">
        <f t="shared" si="315"/>
        <v>SISTEMA FINANCEIRO - CONTAS A PAGAR</v>
      </c>
      <c r="C3729" s="2" t="str">
        <f t="shared" si="314"/>
        <v>FINAN</v>
      </c>
      <c r="D3729" s="2" t="str">
        <f t="shared" si="316"/>
        <v>FNCP</v>
      </c>
      <c r="E3729" s="2" t="str">
        <f>"MOTIVOS DE BAIXA DE BENS"</f>
        <v>MOTIVOS DE BAIXA DE BENS</v>
      </c>
      <c r="F3729" s="2" t="str">
        <f>"M_SERVICOS_PRESTADOS"</f>
        <v>M_SERVICOS_PRESTADOS</v>
      </c>
      <c r="G3729" s="2" t="str">
        <f>" ()"</f>
        <v xml:space="preserve"> ()</v>
      </c>
    </row>
    <row r="3730" spans="1:7" x14ac:dyDescent="0.3">
      <c r="A3730" s="1" t="s">
        <v>4</v>
      </c>
      <c r="B3730" s="2" t="str">
        <f t="shared" si="315"/>
        <v>SISTEMA FINANCEIRO - CONTAS A PAGAR</v>
      </c>
      <c r="C3730" s="2" t="str">
        <f t="shared" si="314"/>
        <v>FINAN</v>
      </c>
      <c r="D3730" s="2" t="str">
        <f t="shared" si="316"/>
        <v>FNCP</v>
      </c>
      <c r="E3730" s="2" t="str">
        <f>"WIN_PRINCIPAL"</f>
        <v>WIN_PRINCIPAL</v>
      </c>
      <c r="F3730" s="2" t="str">
        <f>"M_GRUPOS_USUARIOS"</f>
        <v>M_GRUPOS_USUARIOS</v>
      </c>
      <c r="G3730" s="2" t="str">
        <f>"Apoio a TI / Gestão de Usuários / Configurações de Acesso / Acessos Controladoria / Grupos e Usuários-Financeiro (M_GRUPOS_USUARIOS)"</f>
        <v>Apoio a TI / Gestão de Usuários / Configurações de Acesso / Acessos Controladoria / Grupos e Usuários-Financeiro (M_GRUPOS_USUARIOS)</v>
      </c>
    </row>
    <row r="3731" spans="1:7" x14ac:dyDescent="0.3">
      <c r="A3731" s="1" t="s">
        <v>4</v>
      </c>
      <c r="B3731" s="2" t="str">
        <f t="shared" si="315"/>
        <v>SISTEMA FINANCEIRO - CONTAS A PAGAR</v>
      </c>
      <c r="C3731" s="2" t="str">
        <f t="shared" si="314"/>
        <v>FINAN</v>
      </c>
      <c r="D3731" s="2" t="str">
        <f t="shared" si="316"/>
        <v>FNCP</v>
      </c>
      <c r="E3731" s="2" t="str">
        <f>"ALIQUOTAS DE ICMS"</f>
        <v>ALIQUOTAS DE ICMS</v>
      </c>
      <c r="F3731" s="2" t="str">
        <f>"M_ALIQUOTA_ICMS"</f>
        <v>M_ALIQUOTA_ICMS</v>
      </c>
      <c r="G3731" s="2" t="str">
        <f>"Controladoria / Fiscal / Tabelas / Alíquotas de ICMS (M_ALIQUOTA_ICMS)"</f>
        <v>Controladoria / Fiscal / Tabelas / Alíquotas de ICMS (M_ALIQUOTA_ICMS)</v>
      </c>
    </row>
    <row r="3732" spans="1:7" x14ac:dyDescent="0.3">
      <c r="A3732" s="1" t="s">
        <v>4</v>
      </c>
      <c r="B3732" s="2" t="str">
        <f t="shared" si="315"/>
        <v>SISTEMA FINANCEIRO - CONTAS A PAGAR</v>
      </c>
      <c r="C3732" s="2" t="str">
        <f t="shared" si="314"/>
        <v>FINAN</v>
      </c>
      <c r="D3732" s="2" t="str">
        <f t="shared" si="316"/>
        <v>FNCP</v>
      </c>
      <c r="E3732" s="2" t="str">
        <f>"ALIQUOTAS DE ICMS"</f>
        <v>ALIQUOTAS DE ICMS</v>
      </c>
      <c r="F3732" s="2" t="str">
        <f>"M_ALIQUOTA_ICMS"</f>
        <v>M_ALIQUOTA_ICMS</v>
      </c>
      <c r="G3732" s="2" t="s">
        <v>10</v>
      </c>
    </row>
    <row r="3733" spans="1:7" x14ac:dyDescent="0.3">
      <c r="A3733" s="1" t="s">
        <v>4</v>
      </c>
      <c r="B3733" s="2" t="str">
        <f t="shared" si="315"/>
        <v>SISTEMA FINANCEIRO - CONTAS A PAGAR</v>
      </c>
      <c r="C3733" s="2" t="str">
        <f t="shared" si="314"/>
        <v>FINAN</v>
      </c>
      <c r="D3733" s="2" t="str">
        <f t="shared" si="316"/>
        <v>FNCP</v>
      </c>
      <c r="E3733" s="2" t="str">
        <f>"WIN_PRINCIPAL"</f>
        <v>WIN_PRINCIPAL</v>
      </c>
      <c r="F3733" s="2" t="str">
        <f>"C_RECIBO"</f>
        <v>C_RECIBO</v>
      </c>
      <c r="G3733" s="2" t="s">
        <v>10</v>
      </c>
    </row>
    <row r="3734" spans="1:7" x14ac:dyDescent="0.3">
      <c r="A3734" s="1" t="s">
        <v>4</v>
      </c>
      <c r="B3734" s="2" t="str">
        <f t="shared" si="315"/>
        <v>SISTEMA FINANCEIRO - CONTAS A PAGAR</v>
      </c>
      <c r="C3734" s="2" t="str">
        <f t="shared" si="314"/>
        <v>FINAN</v>
      </c>
      <c r="D3734" s="2" t="str">
        <f t="shared" si="316"/>
        <v>FNCP</v>
      </c>
      <c r="E3734" s="2" t="str">
        <f>"C_CONC_FIN_CONV"</f>
        <v>C_CONC_FIN_CONV</v>
      </c>
      <c r="F3734" s="2" t="str">
        <f>"C_CONC_FIN_CONV"</f>
        <v>C_CONC_FIN_CONV</v>
      </c>
      <c r="G3734" s="2" t="s">
        <v>10</v>
      </c>
    </row>
    <row r="3735" spans="1:7" x14ac:dyDescent="0.3">
      <c r="A3735" s="1" t="s">
        <v>4</v>
      </c>
      <c r="B3735" s="2" t="str">
        <f t="shared" si="315"/>
        <v>SISTEMA FINANCEIRO - CONTAS A PAGAR</v>
      </c>
      <c r="C3735" s="2" t="str">
        <f t="shared" si="314"/>
        <v>FINAN</v>
      </c>
      <c r="D3735" s="2" t="str">
        <f t="shared" si="316"/>
        <v>FNCP</v>
      </c>
      <c r="E3735" s="2" t="str">
        <f>"RELATÓRIO EXTRATO BANCÁRIO"</f>
        <v>RELATÓRIO EXTRATO BANCÁRIO</v>
      </c>
      <c r="F3735" s="2" t="str">
        <f>"R_PROCESSO"</f>
        <v>R_PROCESSO</v>
      </c>
      <c r="G3735" s="2" t="s">
        <v>10</v>
      </c>
    </row>
    <row r="3736" spans="1:7" x14ac:dyDescent="0.3">
      <c r="A3736" s="1" t="s">
        <v>4</v>
      </c>
      <c r="B3736" s="2" t="str">
        <f t="shared" si="315"/>
        <v>SISTEMA FINANCEIRO - CONTAS A PAGAR</v>
      </c>
      <c r="C3736" s="2" t="str">
        <f t="shared" si="314"/>
        <v>FINAN</v>
      </c>
      <c r="D3736" s="2" t="str">
        <f t="shared" si="316"/>
        <v>FNCP</v>
      </c>
      <c r="E3736" s="2" t="str">
        <f>"RELATÓRIO DE FLUXO DE CAIXA"</f>
        <v>RELATÓRIO DE FLUXO DE CAIXA</v>
      </c>
      <c r="F3736" s="2" t="str">
        <f>"R_FLU_CAI_FORNCLI_410"</f>
        <v>R_FLU_CAI_FORNCLI_410</v>
      </c>
      <c r="G3736" s="2" t="str">
        <f>" ()"</f>
        <v xml:space="preserve"> ()</v>
      </c>
    </row>
    <row r="3737" spans="1:7" x14ac:dyDescent="0.3">
      <c r="A3737" s="1" t="s">
        <v>4</v>
      </c>
      <c r="B3737" s="2" t="str">
        <f t="shared" si="315"/>
        <v>SISTEMA FINANCEIRO - CONTAS A PAGAR</v>
      </c>
      <c r="C3737" s="2" t="str">
        <f t="shared" si="314"/>
        <v>FINAN</v>
      </c>
      <c r="D3737" s="2" t="str">
        <f t="shared" si="316"/>
        <v>FNCP</v>
      </c>
      <c r="E3737" s="2" t="str">
        <f>"IMPORTAÇÃO DO FATURAMENTO X FINANCEIRO"</f>
        <v>IMPORTAÇÃO DO FATURAMENTO X FINANCEIRO</v>
      </c>
      <c r="F3737" s="2" t="str">
        <f>"O_IMP_FFCV_FNFI_REM"</f>
        <v>O_IMP_FFCV_FNFI_REM</v>
      </c>
      <c r="G3737" s="2" t="s">
        <v>10</v>
      </c>
    </row>
    <row r="3738" spans="1:7" x14ac:dyDescent="0.3">
      <c r="A3738" s="1" t="s">
        <v>4</v>
      </c>
      <c r="B3738" s="2" t="str">
        <f t="shared" si="315"/>
        <v>SISTEMA FINANCEIRO - CONTAS A PAGAR</v>
      </c>
      <c r="C3738" s="2" t="str">
        <f t="shared" si="314"/>
        <v>FINAN</v>
      </c>
      <c r="D3738" s="2" t="str">
        <f t="shared" si="316"/>
        <v>FNCP</v>
      </c>
      <c r="E3738" s="2" t="str">
        <f>"DIRF"</f>
        <v>DIRF</v>
      </c>
      <c r="F3738" s="2" t="str">
        <f>"O_DIRF"</f>
        <v>O_DIRF</v>
      </c>
      <c r="G3738" s="2" t="str">
        <f>"Controladoria / Fiscal / Geração / DIRF / Geração DIRF (O_DIRF)"</f>
        <v>Controladoria / Fiscal / Geração / DIRF / Geração DIRF (O_DIRF)</v>
      </c>
    </row>
    <row r="3739" spans="1:7" x14ac:dyDescent="0.3">
      <c r="A3739" s="1" t="s">
        <v>4</v>
      </c>
      <c r="B3739" s="2" t="str">
        <f t="shared" si="315"/>
        <v>SISTEMA FINANCEIRO - CONTAS A PAGAR</v>
      </c>
      <c r="C3739" s="2" t="str">
        <f t="shared" si="314"/>
        <v>FINAN</v>
      </c>
      <c r="D3739" s="2" t="str">
        <f t="shared" si="316"/>
        <v>FNCP</v>
      </c>
      <c r="E3739" s="2" t="str">
        <f>"DIRF"</f>
        <v>DIRF</v>
      </c>
      <c r="F3739" s="2" t="str">
        <f>"O_DIRF"</f>
        <v>O_DIRF</v>
      </c>
      <c r="G3739" s="2" t="s">
        <v>10</v>
      </c>
    </row>
    <row r="3740" spans="1:7" x14ac:dyDescent="0.3">
      <c r="A3740" s="1" t="s">
        <v>4</v>
      </c>
      <c r="B3740" s="2" t="str">
        <f t="shared" si="315"/>
        <v>SISTEMA FINANCEIRO - CONTAS A PAGAR</v>
      </c>
      <c r="C3740" s="2" t="str">
        <f t="shared" si="314"/>
        <v>FINAN</v>
      </c>
      <c r="D3740" s="2" t="str">
        <f t="shared" si="316"/>
        <v>FNCP</v>
      </c>
      <c r="E3740" s="2" t="str">
        <f>"POSIÇÃO DO CONTAS A RECEBER"</f>
        <v>POSIÇÃO DO CONTAS A RECEBER</v>
      </c>
      <c r="F3740" s="2" t="str">
        <f>"R_FLUXO_PREV_REALIZ_DIA"</f>
        <v>R_FLUXO_PREV_REALIZ_DIA</v>
      </c>
      <c r="G3740" s="2" t="str">
        <f>" ()"</f>
        <v xml:space="preserve"> ()</v>
      </c>
    </row>
    <row r="3741" spans="1:7" x14ac:dyDescent="0.3">
      <c r="A3741" s="1" t="s">
        <v>4</v>
      </c>
      <c r="B3741" s="2" t="str">
        <f t="shared" si="315"/>
        <v>SISTEMA FINANCEIRO - CONTAS A PAGAR</v>
      </c>
      <c r="C3741" s="2" t="str">
        <f t="shared" si="314"/>
        <v>FINAN</v>
      </c>
      <c r="D3741" s="2" t="str">
        <f t="shared" si="316"/>
        <v>FNCP</v>
      </c>
      <c r="E3741" s="2" t="str">
        <f>"WIN_PRINCIPAL"</f>
        <v>WIN_PRINCIPAL</v>
      </c>
      <c r="F3741" s="2" t="str">
        <f>"R_CURVA_ABCD_ARECEB_CONV"</f>
        <v>R_CURVA_ABCD_ARECEB_CONV</v>
      </c>
      <c r="G3741" s="2" t="str">
        <f>" ()"</f>
        <v xml:space="preserve"> ()</v>
      </c>
    </row>
    <row r="3742" spans="1:7" x14ac:dyDescent="0.3">
      <c r="A3742" s="1" t="s">
        <v>4</v>
      </c>
      <c r="B3742" s="2" t="str">
        <f t="shared" si="315"/>
        <v>SISTEMA FINANCEIRO - CONTAS A PAGAR</v>
      </c>
      <c r="C3742" s="2" t="str">
        <f t="shared" si="314"/>
        <v>FINAN</v>
      </c>
      <c r="D3742" s="2" t="str">
        <f t="shared" si="316"/>
        <v>FNCP</v>
      </c>
      <c r="E3742" s="2" t="str">
        <f>"WIN_PRINCIPAL"</f>
        <v>WIN_PRINCIPAL</v>
      </c>
      <c r="F3742" s="2" t="str">
        <f>"M_LEGENDA_CURVA_ABCD"</f>
        <v>M_LEGENDA_CURVA_ABCD</v>
      </c>
      <c r="G3742" s="2" t="str">
        <f>" ()"</f>
        <v xml:space="preserve"> ()</v>
      </c>
    </row>
    <row r="3743" spans="1:7" x14ac:dyDescent="0.3">
      <c r="A3743" s="1" t="s">
        <v>4</v>
      </c>
      <c r="B3743" s="2" t="str">
        <f t="shared" si="315"/>
        <v>SISTEMA FINANCEIRO - CONTAS A PAGAR</v>
      </c>
      <c r="C3743" s="2" t="str">
        <f t="shared" si="314"/>
        <v>FINAN</v>
      </c>
      <c r="D3743" s="2" t="str">
        <f t="shared" si="316"/>
        <v>FNCP</v>
      </c>
      <c r="E3743" s="2" t="str">
        <f>"RELATÓRIO DE POSICAO DE CONTAS A PAGAR"</f>
        <v>RELATÓRIO DE POSICAO DE CONTAS A PAGAR</v>
      </c>
      <c r="F3743" s="2" t="str">
        <f>"R_POSICAO_CONTAS_APAG"</f>
        <v>R_POSICAO_CONTAS_APAG</v>
      </c>
      <c r="G3743" s="2" t="s">
        <v>10</v>
      </c>
    </row>
    <row r="3744" spans="1:7" x14ac:dyDescent="0.3">
      <c r="A3744" s="1" t="s">
        <v>4</v>
      </c>
      <c r="B3744" s="2" t="str">
        <f t="shared" si="315"/>
        <v>SISTEMA FINANCEIRO - CONTAS A PAGAR</v>
      </c>
      <c r="C3744" s="2" t="str">
        <f t="shared" si="314"/>
        <v>FINAN</v>
      </c>
      <c r="D3744" s="2" t="str">
        <f t="shared" si="316"/>
        <v>FNCP</v>
      </c>
      <c r="E3744" s="2" t="str">
        <f>"BAIXA DE CONTAS"</f>
        <v>BAIXA DE CONTAS</v>
      </c>
      <c r="F3744" s="2" t="str">
        <f>"M_CANC_BAIXA_CONTAS"</f>
        <v>M_CANC_BAIXA_CONTAS</v>
      </c>
      <c r="G3744" s="2" t="s">
        <v>10</v>
      </c>
    </row>
    <row r="3745" spans="1:7" x14ac:dyDescent="0.3">
      <c r="A3745" s="1" t="s">
        <v>4</v>
      </c>
      <c r="B3745" s="2" t="str">
        <f t="shared" si="315"/>
        <v>SISTEMA FINANCEIRO - CONTAS A PAGAR</v>
      </c>
      <c r="C3745" s="2" t="str">
        <f t="shared" si="314"/>
        <v>FINAN</v>
      </c>
      <c r="D3745" s="2" t="str">
        <f t="shared" si="316"/>
        <v>FNCP</v>
      </c>
      <c r="E3745" s="2" t="str">
        <f>"WIN_PRINCIPAL"</f>
        <v>WIN_PRINCIPAL</v>
      </c>
      <c r="F3745" s="2" t="str">
        <f>"M_FORMA_PAGTO"</f>
        <v>M_FORMA_PAGTO</v>
      </c>
      <c r="G3745" s="2" t="s">
        <v>10</v>
      </c>
    </row>
    <row r="3746" spans="1:7" x14ac:dyDescent="0.3">
      <c r="A3746" s="1" t="s">
        <v>4</v>
      </c>
      <c r="B3746" s="2" t="str">
        <f t="shared" si="315"/>
        <v>SISTEMA FINANCEIRO - CONTAS A PAGAR</v>
      </c>
      <c r="C3746" s="2" t="str">
        <f t="shared" si="314"/>
        <v>FINAN</v>
      </c>
      <c r="D3746" s="2" t="str">
        <f t="shared" si="316"/>
        <v>FNCP</v>
      </c>
      <c r="E3746" s="2" t="str">
        <f>"LANÇAMENTOS: LANÇAMENTOS RESUMIDOS"</f>
        <v>LANÇAMENTOS: LANÇAMENTOS RESUMIDOS</v>
      </c>
      <c r="F3746" s="2" t="str">
        <f>"O_CONREC_CANCELADA"</f>
        <v>O_CONREC_CANCELADA</v>
      </c>
      <c r="G3746" s="2" t="s">
        <v>10</v>
      </c>
    </row>
    <row r="3747" spans="1:7" x14ac:dyDescent="0.3">
      <c r="A3747" s="1" t="s">
        <v>4</v>
      </c>
      <c r="B3747" s="2" t="str">
        <f t="shared" si="315"/>
        <v>SISTEMA FINANCEIRO - CONTAS A PAGAR</v>
      </c>
      <c r="C3747" s="2" t="str">
        <f t="shared" si="314"/>
        <v>FINAN</v>
      </c>
      <c r="D3747" s="2" t="str">
        <f t="shared" si="316"/>
        <v>FNCP</v>
      </c>
      <c r="E3747" s="2" t="str">
        <f>"WIN_PRINCIPAL - HOSPITAL MV SISTEMAS"</f>
        <v>WIN_PRINCIPAL - HOSPITAL MV SISTEMAS</v>
      </c>
      <c r="F3747" s="2" t="str">
        <f>"O_IMP_RETENCAO_TRIBUTO"</f>
        <v>O_IMP_RETENCAO_TRIBUTO</v>
      </c>
      <c r="G3747" s="2" t="str">
        <f>"Controladoria / Fiscal / Movimentação / Importação e Exportação de Tributos (O_IMP_RETENCAO_TRIBUTO)"</f>
        <v>Controladoria / Fiscal / Movimentação / Importação e Exportação de Tributos (O_IMP_RETENCAO_TRIBUTO)</v>
      </c>
    </row>
    <row r="3748" spans="1:7" x14ac:dyDescent="0.3">
      <c r="A3748" s="1" t="s">
        <v>4</v>
      </c>
      <c r="B3748" s="2" t="str">
        <f t="shared" si="315"/>
        <v>SISTEMA FINANCEIRO - CONTAS A PAGAR</v>
      </c>
      <c r="C3748" s="2" t="str">
        <f t="shared" si="314"/>
        <v>FINAN</v>
      </c>
      <c r="D3748" s="2" t="str">
        <f t="shared" si="316"/>
        <v>FNCP</v>
      </c>
      <c r="E3748" s="2" t="str">
        <f>"WIN_PRINCIPAL - HOSPITAL MV SISTEMAS"</f>
        <v>WIN_PRINCIPAL - HOSPITAL MV SISTEMAS</v>
      </c>
      <c r="F3748" s="2" t="str">
        <f>"O_IMP_RETENCAO_TRIBUTO"</f>
        <v>O_IMP_RETENCAO_TRIBUTO</v>
      </c>
      <c r="G3748" s="2" t="s">
        <v>10</v>
      </c>
    </row>
    <row r="3749" spans="1:7" x14ac:dyDescent="0.3">
      <c r="A3749" s="1" t="s">
        <v>4</v>
      </c>
      <c r="B3749" s="2" t="str">
        <f t="shared" si="315"/>
        <v>SISTEMA FINANCEIRO - CONTAS A PAGAR</v>
      </c>
      <c r="C3749" s="2" t="str">
        <f t="shared" si="314"/>
        <v>FINAN</v>
      </c>
      <c r="D3749" s="2" t="str">
        <f t="shared" si="316"/>
        <v>FNCP</v>
      </c>
      <c r="E3749" s="2" t="str">
        <f>"LANÇAMENTOS: LANÇAMENTOS RESUMIDOS"</f>
        <v>LANÇAMENTOS: LANÇAMENTOS RESUMIDOS</v>
      </c>
      <c r="F3749" s="2" t="str">
        <f>"O_CONREC_RENEGOCIADA"</f>
        <v>O_CONREC_RENEGOCIADA</v>
      </c>
      <c r="G3749" s="2" t="s">
        <v>10</v>
      </c>
    </row>
    <row r="3750" spans="1:7" x14ac:dyDescent="0.3">
      <c r="A3750" s="1" t="s">
        <v>4</v>
      </c>
      <c r="B3750" s="2" t="str">
        <f t="shared" si="315"/>
        <v>SISTEMA FINANCEIRO - CONTAS A PAGAR</v>
      </c>
      <c r="C3750" s="2" t="str">
        <f t="shared" si="314"/>
        <v>FINAN</v>
      </c>
      <c r="D3750" s="2" t="str">
        <f t="shared" si="316"/>
        <v>FNCP</v>
      </c>
      <c r="E3750" s="2" t="str">
        <f>"WIN_PRINCIPAL"</f>
        <v>WIN_PRINCIPAL</v>
      </c>
      <c r="F3750" s="2" t="str">
        <f>"M_PRESTADOR_DE_PARA"</f>
        <v>M_PRESTADOR_DE_PARA</v>
      </c>
      <c r="G3750" s="2" t="str">
        <f>" ()"</f>
        <v xml:space="preserve"> ()</v>
      </c>
    </row>
    <row r="3751" spans="1:7" x14ac:dyDescent="0.3">
      <c r="A3751" s="1" t="s">
        <v>4</v>
      </c>
      <c r="B3751" s="2" t="str">
        <f t="shared" si="315"/>
        <v>SISTEMA FINANCEIRO - CONTAS A PAGAR</v>
      </c>
      <c r="C3751" s="2" t="str">
        <f t="shared" si="314"/>
        <v>FINAN</v>
      </c>
      <c r="D3751" s="2" t="str">
        <f t="shared" si="316"/>
        <v>FNCP</v>
      </c>
      <c r="E3751" s="2" t="str">
        <f>"RELATÓRIO PAGAMENTOS REALIZADOS"</f>
        <v>RELATÓRIO PAGAMENTOS REALIZADOS</v>
      </c>
      <c r="F3751" s="2" t="str">
        <f>"R_POISCAO_CONTAS_ARECEB"</f>
        <v>R_POISCAO_CONTAS_ARECEB</v>
      </c>
      <c r="G3751" s="2" t="str">
        <f>" ()"</f>
        <v xml:space="preserve"> ()</v>
      </c>
    </row>
    <row r="3752" spans="1:7" x14ac:dyDescent="0.3">
      <c r="A3752" s="1" t="s">
        <v>4</v>
      </c>
      <c r="B3752" s="2" t="str">
        <f t="shared" si="315"/>
        <v>SISTEMA FINANCEIRO - CONTAS A PAGAR</v>
      </c>
      <c r="C3752" s="2" t="str">
        <f t="shared" si="314"/>
        <v>FINAN</v>
      </c>
      <c r="D3752" s="2" t="str">
        <f t="shared" si="316"/>
        <v>FNCP</v>
      </c>
      <c r="E3752" s="2" t="str">
        <f>"CADASTRO: FORNECEDOR/CLIENTE"</f>
        <v>CADASTRO: FORNECEDOR/CLIENTE</v>
      </c>
      <c r="F3752" s="2" t="str">
        <f>"M_FORNEC_CBO_1150"</f>
        <v>M_FORNEC_CBO_1150</v>
      </c>
      <c r="G3752" s="2" t="str">
        <f>" ()"</f>
        <v xml:space="preserve"> ()</v>
      </c>
    </row>
    <row r="3753" spans="1:7" x14ac:dyDescent="0.3">
      <c r="A3753" s="1" t="s">
        <v>4</v>
      </c>
      <c r="B3753" s="2" t="str">
        <f t="shared" si="315"/>
        <v>SISTEMA FINANCEIRO - CONTAS A PAGAR</v>
      </c>
      <c r="C3753" s="2" t="str">
        <f t="shared" si="314"/>
        <v>FINAN</v>
      </c>
      <c r="D3753" s="2" t="str">
        <f t="shared" si="316"/>
        <v>FNCP</v>
      </c>
      <c r="E3753" s="2" t="str">
        <f>"RELATÓRIO BOLETO BANCÁRIO BB"</f>
        <v>RELATÓRIO BOLETO BANCÁRIO BB</v>
      </c>
      <c r="F3753" s="2" t="str">
        <f>"R_BOLETO_BANCARIO_BB_703"</f>
        <v>R_BOLETO_BANCARIO_BB_703</v>
      </c>
      <c r="G3753" s="2" t="str">
        <f>" ()"</f>
        <v xml:space="preserve"> ()</v>
      </c>
    </row>
    <row r="3754" spans="1:7" x14ac:dyDescent="0.3">
      <c r="A3754" s="1" t="s">
        <v>4</v>
      </c>
      <c r="B3754" s="2" t="str">
        <f t="shared" si="315"/>
        <v>SISTEMA FINANCEIRO - CONTAS A PAGAR</v>
      </c>
      <c r="C3754" s="2" t="str">
        <f t="shared" si="314"/>
        <v>FINAN</v>
      </c>
      <c r="D3754" s="2" t="str">
        <f t="shared" si="316"/>
        <v>FNCP</v>
      </c>
      <c r="E3754" s="2" t="str">
        <f>"WIN_PRINCIPAL"</f>
        <v>WIN_PRINCIPAL</v>
      </c>
      <c r="F3754" s="2" t="str">
        <f>"M_ITEM_DEVOLUCAO"</f>
        <v>M_ITEM_DEVOLUCAO</v>
      </c>
      <c r="G3754" s="2" t="s">
        <v>10</v>
      </c>
    </row>
    <row r="3755" spans="1:7" x14ac:dyDescent="0.3">
      <c r="A3755" s="1" t="s">
        <v>4</v>
      </c>
      <c r="B3755" s="2" t="str">
        <f t="shared" si="315"/>
        <v>SISTEMA FINANCEIRO - CONTAS A PAGAR</v>
      </c>
      <c r="C3755" s="2" t="str">
        <f t="shared" si="314"/>
        <v>FINAN</v>
      </c>
      <c r="D3755" s="2" t="str">
        <f t="shared" si="316"/>
        <v>FNCP</v>
      </c>
      <c r="E3755" s="2" t="str">
        <f>" RESUMO FINANCEIRO DE CONVENIO"</f>
        <v xml:space="preserve"> RESUMO FINANCEIRO DE CONVENIO</v>
      </c>
      <c r="F3755" s="2" t="str">
        <f>"R_RESUMO_FINANC_CONV"</f>
        <v>R_RESUMO_FINANC_CONV</v>
      </c>
      <c r="G3755" s="2" t="s">
        <v>10</v>
      </c>
    </row>
    <row r="3756" spans="1:7" x14ac:dyDescent="0.3">
      <c r="A3756" s="1" t="s">
        <v>4</v>
      </c>
      <c r="B3756" s="2" t="str">
        <f t="shared" si="315"/>
        <v>SISTEMA FINANCEIRO - CONTAS A PAGAR</v>
      </c>
      <c r="C3756" s="2" t="str">
        <f t="shared" si="314"/>
        <v>FINAN</v>
      </c>
      <c r="D3756" s="2" t="str">
        <f t="shared" si="316"/>
        <v>FNCP</v>
      </c>
      <c r="E3756" s="2" t="str">
        <f>"R_RECURSO_PREVISAO_GLOSA_S"</f>
        <v>R_RECURSO_PREVISAO_GLOSA_S</v>
      </c>
      <c r="F3756" s="2" t="str">
        <f>"R_RECURSO_PREVISAO_GLOSA_S"</f>
        <v>R_RECURSO_PREVISAO_GLOSA_S</v>
      </c>
      <c r="G3756" s="2" t="str">
        <f>" ()"</f>
        <v xml:space="preserve"> ()</v>
      </c>
    </row>
    <row r="3757" spans="1:7" x14ac:dyDescent="0.3">
      <c r="A3757" s="1" t="s">
        <v>4</v>
      </c>
      <c r="B3757" s="2" t="str">
        <f t="shared" si="315"/>
        <v>SISTEMA FINANCEIRO - CONTAS A PAGAR</v>
      </c>
      <c r="C3757" s="2" t="str">
        <f t="shared" si="314"/>
        <v>FINAN</v>
      </c>
      <c r="D3757" s="2" t="str">
        <f t="shared" si="316"/>
        <v>FNCP</v>
      </c>
      <c r="E3757" s="2" t="str">
        <f>"LANÇAMENTOS: LANÇAMENTOS RESUMIDOS"</f>
        <v>LANÇAMENTOS: LANÇAMENTOS RESUMIDOS</v>
      </c>
      <c r="F3757" s="2" t="str">
        <f>"O_CANC_CONTA_RECEB"</f>
        <v>O_CANC_CONTA_RECEB</v>
      </c>
      <c r="G3757" s="2" t="str">
        <f>" ()"</f>
        <v xml:space="preserve"> ()</v>
      </c>
    </row>
    <row r="3758" spans="1:7" x14ac:dyDescent="0.3">
      <c r="A3758" s="1" t="s">
        <v>4</v>
      </c>
      <c r="B3758" s="2" t="str">
        <f t="shared" si="315"/>
        <v>SISTEMA FINANCEIRO - CONTAS A PAGAR</v>
      </c>
      <c r="C3758" s="2" t="str">
        <f t="shared" si="314"/>
        <v>FINAN</v>
      </c>
      <c r="D3758" s="2" t="str">
        <f t="shared" si="316"/>
        <v>FNCP</v>
      </c>
      <c r="E3758" s="2" t="str">
        <f>"R_CON_APAG_SINT_CARACT"</f>
        <v>R_CON_APAG_SINT_CARACT</v>
      </c>
      <c r="F3758" s="2" t="str">
        <f>"R_CON_APAG_SINT_CARACT"</f>
        <v>R_CON_APAG_SINT_CARACT</v>
      </c>
      <c r="G3758" s="2" t="str">
        <f>" ()"</f>
        <v xml:space="preserve"> ()</v>
      </c>
    </row>
    <row r="3759" spans="1:7" x14ac:dyDescent="0.3">
      <c r="A3759" s="1" t="s">
        <v>4</v>
      </c>
      <c r="B3759" s="2" t="str">
        <f t="shared" si="315"/>
        <v>SISTEMA FINANCEIRO - CONTAS A PAGAR</v>
      </c>
      <c r="C3759" s="2" t="str">
        <f t="shared" si="314"/>
        <v>FINAN</v>
      </c>
      <c r="D3759" s="2" t="str">
        <f t="shared" si="316"/>
        <v>FNCP</v>
      </c>
      <c r="E3759" s="2" t="str">
        <f>"RELATÓRIO DE  FORNECEDORES"</f>
        <v>RELATÓRIO DE  FORNECEDORES</v>
      </c>
      <c r="F3759" s="2" t="str">
        <f>"R_ETIQ_FORNEC"</f>
        <v>R_ETIQ_FORNEC</v>
      </c>
      <c r="G3759" s="2" t="s">
        <v>10</v>
      </c>
    </row>
    <row r="3760" spans="1:7" x14ac:dyDescent="0.3">
      <c r="A3760" s="1" t="s">
        <v>4</v>
      </c>
      <c r="B3760" s="2" t="str">
        <f t="shared" si="315"/>
        <v>SISTEMA FINANCEIRO - CONTAS A PAGAR</v>
      </c>
      <c r="C3760" s="2" t="str">
        <f t="shared" si="314"/>
        <v>FINAN</v>
      </c>
      <c r="D3760" s="2" t="str">
        <f t="shared" si="316"/>
        <v>FNCP</v>
      </c>
      <c r="E3760" s="2" t="str">
        <f>"RELATÓRIO DE  FORNECEDORES"</f>
        <v>RELATÓRIO DE  FORNECEDORES</v>
      </c>
      <c r="F3760" s="2" t="str">
        <f>"R_ETIQ_FORNEC"</f>
        <v>R_ETIQ_FORNEC</v>
      </c>
      <c r="G3760" s="2" t="str">
        <f>"Materiais e Logística / Almoxarifado / Relatórios / Tabelas / Etiquetas de Fornecedor/Cliente (R_ETIQ_FORNEC)"</f>
        <v>Materiais e Logística / Almoxarifado / Relatórios / Tabelas / Etiquetas de Fornecedor/Cliente (R_ETIQ_FORNEC)</v>
      </c>
    </row>
    <row r="3761" spans="1:7" x14ac:dyDescent="0.3">
      <c r="A3761" s="1" t="s">
        <v>4</v>
      </c>
      <c r="B3761" s="2" t="str">
        <f t="shared" si="315"/>
        <v>SISTEMA FINANCEIRO - CONTAS A PAGAR</v>
      </c>
      <c r="C3761" s="2" t="str">
        <f t="shared" si="314"/>
        <v>FINAN</v>
      </c>
      <c r="D3761" s="2" t="str">
        <f t="shared" si="316"/>
        <v>FNCP</v>
      </c>
      <c r="E3761" s="2" t="str">
        <f>"RELATÓRIO DE  FORNECEDORES"</f>
        <v>RELATÓRIO DE  FORNECEDORES</v>
      </c>
      <c r="F3761" s="2" t="str">
        <f>"R_ETIQ_FORNEC"</f>
        <v>R_ETIQ_FORNEC</v>
      </c>
      <c r="G3761" s="2" t="str">
        <f>"Materiais e Logística / Compras / Relatórios / Tabelas / Etiquetas de Fornecedor/Cliente (R_ETIQ_FORNEC)"</f>
        <v>Materiais e Logística / Compras / Relatórios / Tabelas / Etiquetas de Fornecedor/Cliente (R_ETIQ_FORNEC)</v>
      </c>
    </row>
    <row r="3762" spans="1:7" x14ac:dyDescent="0.3">
      <c r="A3762" s="1" t="s">
        <v>4</v>
      </c>
      <c r="B3762" s="2" t="str">
        <f t="shared" si="315"/>
        <v>SISTEMA FINANCEIRO - CONTAS A PAGAR</v>
      </c>
      <c r="C3762" s="2" t="str">
        <f t="shared" si="314"/>
        <v>FINAN</v>
      </c>
      <c r="D3762" s="2" t="str">
        <f t="shared" si="316"/>
        <v>FNCP</v>
      </c>
      <c r="E3762" s="2" t="str">
        <f>"CONTA ADIANTAMENTO SINTETICO"</f>
        <v>CONTA ADIANTAMENTO SINTETICO</v>
      </c>
      <c r="F3762" s="2" t="str">
        <f>"R_SALDO_ADIANTAMENTO"</f>
        <v>R_SALDO_ADIANTAMENTO</v>
      </c>
      <c r="G3762" s="2" t="s">
        <v>10</v>
      </c>
    </row>
    <row r="3763" spans="1:7" x14ac:dyDescent="0.3">
      <c r="A3763" s="1" t="s">
        <v>4</v>
      </c>
      <c r="B3763" s="2" t="str">
        <f t="shared" si="315"/>
        <v>SISTEMA FINANCEIRO - CONTAS A PAGAR</v>
      </c>
      <c r="C3763" s="2" t="str">
        <f t="shared" si="314"/>
        <v>FINAN</v>
      </c>
      <c r="D3763" s="2" t="str">
        <f t="shared" si="316"/>
        <v>FNCP</v>
      </c>
      <c r="E3763" s="2" t="str">
        <f>"O_IMP_FFIS_FNFI"</f>
        <v>O_IMP_FFIS_FNFI</v>
      </c>
      <c r="F3763" s="2" t="str">
        <f>"O_IMP_FFIS_FNFI"</f>
        <v>O_IMP_FFIS_FNFI</v>
      </c>
      <c r="G3763" s="2" t="s">
        <v>10</v>
      </c>
    </row>
    <row r="3764" spans="1:7" x14ac:dyDescent="0.3">
      <c r="A3764" s="1" t="s">
        <v>4</v>
      </c>
      <c r="B3764" s="2" t="str">
        <f t="shared" si="315"/>
        <v>SISTEMA FINANCEIRO - CONTAS A PAGAR</v>
      </c>
      <c r="C3764" s="2" t="str">
        <f t="shared" si="314"/>
        <v>FINAN</v>
      </c>
      <c r="D3764" s="2" t="str">
        <f t="shared" si="316"/>
        <v>FNCP</v>
      </c>
      <c r="E3764" s="2" t="str">
        <f>"WIN_PRINCIPAL"</f>
        <v>WIN_PRINCIPAL</v>
      </c>
      <c r="F3764" s="2" t="str">
        <f>"R_DEMO_DESP_CCUSTO"</f>
        <v>R_DEMO_DESP_CCUSTO</v>
      </c>
      <c r="G3764" s="2" t="s">
        <v>10</v>
      </c>
    </row>
    <row r="3765" spans="1:7" x14ac:dyDescent="0.3">
      <c r="A3765" s="1" t="s">
        <v>4</v>
      </c>
      <c r="B3765" s="2" t="str">
        <f t="shared" si="315"/>
        <v>SISTEMA FINANCEIRO - CONTAS A PAGAR</v>
      </c>
      <c r="C3765" s="2" t="str">
        <f t="shared" si="314"/>
        <v>FINAN</v>
      </c>
      <c r="D3765" s="2" t="str">
        <f t="shared" si="316"/>
        <v>FNCP</v>
      </c>
      <c r="E3765" s="2" t="str">
        <f>"COMPROVANTE DE PAGAMENTO"</f>
        <v>COMPROVANTE DE PAGAMENTO</v>
      </c>
      <c r="F3765" s="2" t="str">
        <f>"R_COMPRO_PAGAMENTO"</f>
        <v>R_COMPRO_PAGAMENTO</v>
      </c>
      <c r="G3765" s="2" t="s">
        <v>10</v>
      </c>
    </row>
    <row r="3766" spans="1:7" x14ac:dyDescent="0.3">
      <c r="A3766" s="1" t="s">
        <v>4</v>
      </c>
      <c r="B3766" s="2" t="str">
        <f t="shared" si="315"/>
        <v>SISTEMA FINANCEIRO - CONTAS A PAGAR</v>
      </c>
      <c r="C3766" s="2" t="str">
        <f t="shared" si="314"/>
        <v>FINAN</v>
      </c>
      <c r="D3766" s="2" t="str">
        <f t="shared" si="316"/>
        <v>FNCP</v>
      </c>
      <c r="E3766" s="2" t="str">
        <f>"PROCESSOS"</f>
        <v>PROCESSOS</v>
      </c>
      <c r="F3766" s="2" t="str">
        <f>"M_PROCESSOS"</f>
        <v>M_PROCESSOS</v>
      </c>
      <c r="G3766" s="2" t="s">
        <v>10</v>
      </c>
    </row>
    <row r="3767" spans="1:7" x14ac:dyDescent="0.3">
      <c r="A3767" s="1" t="s">
        <v>4</v>
      </c>
      <c r="B3767" s="2" t="str">
        <f t="shared" si="315"/>
        <v>SISTEMA FINANCEIRO - CONTAS A PAGAR</v>
      </c>
      <c r="C3767" s="2" t="str">
        <f t="shared" si="314"/>
        <v>FINAN</v>
      </c>
      <c r="D3767" s="2" t="str">
        <f t="shared" si="316"/>
        <v>FNCP</v>
      </c>
      <c r="E3767" s="2" t="str">
        <f>"CANCELAMENTO DE ENCONTRO DE CONTAS"</f>
        <v>CANCELAMENTO DE ENCONTRO DE CONTAS</v>
      </c>
      <c r="F3767" s="2" t="str">
        <f>"O_CANC_ENC_CONTAS"</f>
        <v>O_CANC_ENC_CONTAS</v>
      </c>
      <c r="G3767" s="2" t="s">
        <v>10</v>
      </c>
    </row>
    <row r="3768" spans="1:7" x14ac:dyDescent="0.3">
      <c r="A3768" s="1" t="s">
        <v>4</v>
      </c>
      <c r="B3768" s="2" t="str">
        <f t="shared" si="315"/>
        <v>SISTEMA FINANCEIRO - CONTAS A PAGAR</v>
      </c>
      <c r="C3768" s="2" t="str">
        <f t="shared" si="314"/>
        <v>FINAN</v>
      </c>
      <c r="D3768" s="2" t="str">
        <f t="shared" si="316"/>
        <v>FNCP</v>
      </c>
      <c r="E3768" s="2" t="str">
        <f>"ENCONTRO DE CONTAS"</f>
        <v>ENCONTRO DE CONTAS</v>
      </c>
      <c r="F3768" s="2" t="str">
        <f>"M_ENCONTRO_CONTAS"</f>
        <v>M_ENCONTRO_CONTAS</v>
      </c>
      <c r="G3768" s="2" t="s">
        <v>10</v>
      </c>
    </row>
    <row r="3769" spans="1:7" x14ac:dyDescent="0.3">
      <c r="A3769" s="1" t="s">
        <v>4</v>
      </c>
      <c r="B3769" s="2" t="str">
        <f t="shared" si="315"/>
        <v>SISTEMA FINANCEIRO - CONTAS A PAGAR</v>
      </c>
      <c r="C3769" s="2" t="str">
        <f t="shared" si="314"/>
        <v>FINAN</v>
      </c>
      <c r="D3769" s="2" t="str">
        <f t="shared" si="316"/>
        <v>FNCP</v>
      </c>
      <c r="E3769" s="2" t="str">
        <f>"RELATÓRIO RAZÃO FINANCEIRO"</f>
        <v>RELATÓRIO RAZÃO FINANCEIRO</v>
      </c>
      <c r="F3769" s="2" t="str">
        <f>"R_RAZAO_FINANCEIRO"</f>
        <v>R_RAZAO_FINANCEIRO</v>
      </c>
      <c r="G3769" s="2" t="s">
        <v>10</v>
      </c>
    </row>
    <row r="3770" spans="1:7" x14ac:dyDescent="0.3">
      <c r="A3770" s="1" t="s">
        <v>4</v>
      </c>
      <c r="B3770" s="2" t="str">
        <f t="shared" si="315"/>
        <v>SISTEMA FINANCEIRO - CONTAS A PAGAR</v>
      </c>
      <c r="C3770" s="2" t="str">
        <f t="shared" si="314"/>
        <v>FINAN</v>
      </c>
      <c r="D3770" s="2" t="str">
        <f t="shared" si="316"/>
        <v>FNCP</v>
      </c>
      <c r="E3770" s="2" t="str">
        <f>"CONSULTA DE IMPOSTOS POR FORNECEDOR"</f>
        <v>CONSULTA DE IMPOSTOS POR FORNECEDOR</v>
      </c>
      <c r="F3770" s="2" t="str">
        <f>"R_DET_FORN"</f>
        <v>R_DET_FORN</v>
      </c>
      <c r="G3770" s="2" t="s">
        <v>10</v>
      </c>
    </row>
    <row r="3771" spans="1:7" x14ac:dyDescent="0.3">
      <c r="A3771" s="1" t="s">
        <v>4</v>
      </c>
      <c r="B3771" s="2" t="str">
        <f t="shared" si="315"/>
        <v>SISTEMA FINANCEIRO - CONTAS A PAGAR</v>
      </c>
      <c r="C3771" s="2" t="str">
        <f t="shared" si="314"/>
        <v>FINAN</v>
      </c>
      <c r="D3771" s="2" t="str">
        <f t="shared" si="316"/>
        <v>FNCP</v>
      </c>
      <c r="E3771" s="2" t="str">
        <f>"CONSULTA DE IMPOSTOS POR FORNECEDOR"</f>
        <v>CONSULTA DE IMPOSTOS POR FORNECEDOR</v>
      </c>
      <c r="F3771" s="2" t="str">
        <f>"R_DET_FORN"</f>
        <v>R_DET_FORN</v>
      </c>
      <c r="G3771" s="2" t="str">
        <f>"Controladoria / Fiscal / Relatórios / Impostos por Fornecedor (R_DET_FORN)"</f>
        <v>Controladoria / Fiscal / Relatórios / Impostos por Fornecedor (R_DET_FORN)</v>
      </c>
    </row>
    <row r="3772" spans="1:7" x14ac:dyDescent="0.3">
      <c r="A3772" s="1" t="s">
        <v>4</v>
      </c>
      <c r="B3772" s="2" t="str">
        <f t="shared" si="315"/>
        <v>SISTEMA FINANCEIRO - CONTAS A PAGAR</v>
      </c>
      <c r="C3772" s="2" t="str">
        <f t="shared" si="314"/>
        <v>FINAN</v>
      </c>
      <c r="D3772" s="2" t="str">
        <f t="shared" si="316"/>
        <v>FNCP</v>
      </c>
      <c r="E3772" s="2" t="str">
        <f>"O_CANCA_PREVISAO"</f>
        <v>O_CANCA_PREVISAO</v>
      </c>
      <c r="F3772" s="2" t="str">
        <f>"O_CANCA_PREVISAO"</f>
        <v>O_CANCA_PREVISAO</v>
      </c>
      <c r="G3772" s="2" t="str">
        <f>" ()"</f>
        <v xml:space="preserve"> ()</v>
      </c>
    </row>
    <row r="3773" spans="1:7" x14ac:dyDescent="0.3">
      <c r="A3773" s="1" t="s">
        <v>4</v>
      </c>
      <c r="B3773" s="2" t="str">
        <f t="shared" si="315"/>
        <v>SISTEMA FINANCEIRO - CONTAS A PAGAR</v>
      </c>
      <c r="C3773" s="2" t="str">
        <f t="shared" ref="C3773:C3836" si="317">"FINAN"</f>
        <v>FINAN</v>
      </c>
      <c r="D3773" s="2" t="str">
        <f t="shared" si="316"/>
        <v>FNCP</v>
      </c>
      <c r="E3773" s="2" t="str">
        <f>"CONSULTA: PREVISIÓN DE PAGOS PROGRAMADOS"</f>
        <v>CONSULTA: PREVISIÓN DE PAGOS PROGRAMADOS</v>
      </c>
      <c r="F3773" s="2" t="str">
        <f>"O_CANC_PREVISAO"</f>
        <v>O_CANC_PREVISAO</v>
      </c>
      <c r="G3773" s="2" t="s">
        <v>10</v>
      </c>
    </row>
    <row r="3774" spans="1:7" x14ac:dyDescent="0.3">
      <c r="A3774" s="1" t="s">
        <v>4</v>
      </c>
      <c r="B3774" s="2" t="str">
        <f t="shared" si="315"/>
        <v>SISTEMA FINANCEIRO - CONTAS A PAGAR</v>
      </c>
      <c r="C3774" s="2" t="str">
        <f t="shared" si="317"/>
        <v>FINAN</v>
      </c>
      <c r="D3774" s="2" t="str">
        <f t="shared" si="316"/>
        <v>FNCP</v>
      </c>
      <c r="E3774" s="2" t="str">
        <f>"RELATORIO DE GRUPO DE RESULTADO"</f>
        <v>RELATORIO DE GRUPO DE RESULTADO</v>
      </c>
      <c r="F3774" s="2" t="str">
        <f>"R_ANAGRURES"</f>
        <v>R_ANAGRURES</v>
      </c>
      <c r="G3774" s="2" t="s">
        <v>10</v>
      </c>
    </row>
    <row r="3775" spans="1:7" x14ac:dyDescent="0.3">
      <c r="A3775" s="1" t="s">
        <v>4</v>
      </c>
      <c r="B3775" s="2" t="str">
        <f t="shared" si="315"/>
        <v>SISTEMA FINANCEIRO - CONTAS A PAGAR</v>
      </c>
      <c r="C3775" s="2" t="str">
        <f t="shared" si="317"/>
        <v>FINAN</v>
      </c>
      <c r="D3775" s="2" t="str">
        <f t="shared" si="316"/>
        <v>FNCP</v>
      </c>
      <c r="E3775" s="2" t="str">
        <f>"DEMONSTRATIVO DE CUSTO POR CONTA"</f>
        <v>DEMONSTRATIVO DE CUSTO POR CONTA</v>
      </c>
      <c r="F3775" s="2" t="str">
        <f>"R_CUSTO_CONTA"</f>
        <v>R_CUSTO_CONTA</v>
      </c>
      <c r="G3775" s="2" t="str">
        <f>"Controladoria / Contabilidade / Relatórios / Custos / Conta de Resultado / Mensal (R_CUSTO_CONTA)"</f>
        <v>Controladoria / Contabilidade / Relatórios / Custos / Conta de Resultado / Mensal (R_CUSTO_CONTA)</v>
      </c>
    </row>
    <row r="3776" spans="1:7" x14ac:dyDescent="0.3">
      <c r="A3776" s="1" t="s">
        <v>4</v>
      </c>
      <c r="B3776" s="2" t="str">
        <f t="shared" si="315"/>
        <v>SISTEMA FINANCEIRO - CONTAS A PAGAR</v>
      </c>
      <c r="C3776" s="2" t="str">
        <f t="shared" si="317"/>
        <v>FINAN</v>
      </c>
      <c r="D3776" s="2" t="str">
        <f t="shared" si="316"/>
        <v>FNCP</v>
      </c>
      <c r="E3776" s="2" t="str">
        <f>"DEMONSTRATIVO DE CUSTO POR CC"</f>
        <v>DEMONSTRATIVO DE CUSTO POR CC</v>
      </c>
      <c r="F3776" s="2" t="str">
        <f>"R_CUSTO_CENCUS"</f>
        <v>R_CUSTO_CENCUS</v>
      </c>
      <c r="G3776" s="2" t="s">
        <v>10</v>
      </c>
    </row>
    <row r="3777" spans="1:7" x14ac:dyDescent="0.3">
      <c r="A3777" s="1" t="s">
        <v>4</v>
      </c>
      <c r="B3777" s="2" t="str">
        <f t="shared" si="315"/>
        <v>SISTEMA FINANCEIRO - CONTAS A PAGAR</v>
      </c>
      <c r="C3777" s="2" t="str">
        <f t="shared" si="317"/>
        <v>FINAN</v>
      </c>
      <c r="D3777" s="2" t="str">
        <f t="shared" si="316"/>
        <v>FNCP</v>
      </c>
      <c r="E3777" s="2" t="str">
        <f>"CADASTRO DE FORNECEDORES"</f>
        <v>CADASTRO DE FORNECEDORES</v>
      </c>
      <c r="F3777" s="2" t="str">
        <f>"M_FORNEC"</f>
        <v>M_FORNEC</v>
      </c>
      <c r="G3777" s="2" t="s">
        <v>10</v>
      </c>
    </row>
    <row r="3778" spans="1:7" x14ac:dyDescent="0.3">
      <c r="A3778" s="1" t="s">
        <v>4</v>
      </c>
      <c r="B3778" s="2" t="str">
        <f t="shared" si="315"/>
        <v>SISTEMA FINANCEIRO - CONTAS A PAGAR</v>
      </c>
      <c r="C3778" s="2" t="str">
        <f t="shared" si="317"/>
        <v>FINAN</v>
      </c>
      <c r="D3778" s="2" t="str">
        <f t="shared" si="316"/>
        <v>FNCP</v>
      </c>
      <c r="E3778" s="2" t="str">
        <f>"RECIBO PARA IMIP"</f>
        <v>RECIBO PARA IMIP</v>
      </c>
      <c r="F3778" s="2" t="str">
        <f>"R_RECIBO_RECEB_110"</f>
        <v>R_RECIBO_RECEB_110</v>
      </c>
      <c r="G3778" s="2" t="str">
        <f>" ()"</f>
        <v xml:space="preserve"> ()</v>
      </c>
    </row>
    <row r="3779" spans="1:7" x14ac:dyDescent="0.3">
      <c r="A3779" s="1" t="s">
        <v>4</v>
      </c>
      <c r="B3779" s="2" t="str">
        <f t="shared" si="315"/>
        <v>SISTEMA FINANCEIRO - CONTAS A PAGAR</v>
      </c>
      <c r="C3779" s="2" t="str">
        <f t="shared" si="317"/>
        <v>FINAN</v>
      </c>
      <c r="D3779" s="2" t="str">
        <f t="shared" si="316"/>
        <v>FNCP</v>
      </c>
      <c r="E3779" s="2" t="str">
        <f>"AJUSTE DE RECEBIMENTO PARTICULAR"</f>
        <v>AJUSTE DE RECEBIMENTO PARTICULAR</v>
      </c>
      <c r="F3779" s="2" t="str">
        <f>"M_AJUSTE_RECEB_PART"</f>
        <v>M_AJUSTE_RECEB_PART</v>
      </c>
      <c r="G3779" s="2" t="str">
        <f>"Controladoria / Fiscal / Geração / DMED / Ajuste de Recebimento de Particular (M_AJUSTE_RECEB_PART)"</f>
        <v>Controladoria / Fiscal / Geração / DMED / Ajuste de Recebimento de Particular (M_AJUSTE_RECEB_PART)</v>
      </c>
    </row>
    <row r="3780" spans="1:7" x14ac:dyDescent="0.3">
      <c r="A3780" s="1" t="s">
        <v>4</v>
      </c>
      <c r="B3780" s="2" t="str">
        <f t="shared" si="315"/>
        <v>SISTEMA FINANCEIRO - CONTAS A PAGAR</v>
      </c>
      <c r="C3780" s="2" t="str">
        <f t="shared" si="317"/>
        <v>FINAN</v>
      </c>
      <c r="D3780" s="2" t="str">
        <f t="shared" si="316"/>
        <v>FNCP</v>
      </c>
      <c r="E3780" s="2" t="str">
        <f>"AJUSTE DE RECEBIMENTO PARTICULAR"</f>
        <v>AJUSTE DE RECEBIMENTO PARTICULAR</v>
      </c>
      <c r="F3780" s="2" t="str">
        <f>"M_AJUSTE_RECEB_PART"</f>
        <v>M_AJUSTE_RECEB_PART</v>
      </c>
      <c r="G3780" s="2" t="s">
        <v>10</v>
      </c>
    </row>
    <row r="3781" spans="1:7" x14ac:dyDescent="0.3">
      <c r="A3781" s="1" t="s">
        <v>4</v>
      </c>
      <c r="B3781" s="2" t="str">
        <f t="shared" ref="B3781:B3842" si="318">"SISTEMA FINANCEIRO - CONTAS A PAGAR"</f>
        <v>SISTEMA FINANCEIRO - CONTAS A PAGAR</v>
      </c>
      <c r="C3781" s="2" t="str">
        <f t="shared" si="317"/>
        <v>FINAN</v>
      </c>
      <c r="D3781" s="2" t="str">
        <f t="shared" ref="D3781:D3842" si="319">"FNCP"</f>
        <v>FNCP</v>
      </c>
      <c r="E3781" s="2" t="str">
        <f>"COMPROVANTE DE RENDIMENTOS"</f>
        <v>COMPROVANTE DE RENDIMENTOS</v>
      </c>
      <c r="F3781" s="2" t="str">
        <f>"R_DETALHAMENTO_ANUAL.RDF"</f>
        <v>R_DETALHAMENTO_ANUAL.RDF</v>
      </c>
      <c r="G3781" s="2" t="str">
        <f t="shared" ref="G3781:G3799" si="320">" ()"</f>
        <v xml:space="preserve"> ()</v>
      </c>
    </row>
    <row r="3782" spans="1:7" x14ac:dyDescent="0.3">
      <c r="A3782" s="1" t="s">
        <v>4</v>
      </c>
      <c r="B3782" s="2" t="str">
        <f t="shared" si="318"/>
        <v>SISTEMA FINANCEIRO - CONTAS A PAGAR</v>
      </c>
      <c r="C3782" s="2" t="str">
        <f t="shared" si="317"/>
        <v>FINAN</v>
      </c>
      <c r="D3782" s="2" t="str">
        <f t="shared" si="319"/>
        <v>FNCP</v>
      </c>
      <c r="E3782" s="2" t="str">
        <f>"RELATÓRIO DE AUDITORIA DE OPERAÇÕES"</f>
        <v>RELATÓRIO DE AUDITORIA DE OPERAÇÕES</v>
      </c>
      <c r="F3782" s="2" t="str">
        <f>"R_AUDITORIA_OPER.RDF"</f>
        <v>R_AUDITORIA_OPER.RDF</v>
      </c>
      <c r="G3782" s="2" t="str">
        <f t="shared" si="320"/>
        <v xml:space="preserve"> ()</v>
      </c>
    </row>
    <row r="3783" spans="1:7" x14ac:dyDescent="0.3">
      <c r="A3783" s="1" t="s">
        <v>4</v>
      </c>
      <c r="B3783" s="2" t="str">
        <f t="shared" si="318"/>
        <v>SISTEMA FINANCEIRO - CONTAS A PAGAR</v>
      </c>
      <c r="C3783" s="2" t="str">
        <f t="shared" si="317"/>
        <v>FINAN</v>
      </c>
      <c r="D3783" s="2" t="str">
        <f t="shared" si="319"/>
        <v>FNCP</v>
      </c>
      <c r="E3783" s="2" t="str">
        <f>"RELATÓRIO AUDITORIA DE COMPARTILHAMENTO"</f>
        <v>RELATÓRIO AUDITORIA DE COMPARTILHAMENTO</v>
      </c>
      <c r="F3783" s="2" t="str">
        <f>"R_RAT_AUDIT.RDF"</f>
        <v>R_RAT_AUDIT.RDF</v>
      </c>
      <c r="G3783" s="2" t="str">
        <f t="shared" si="320"/>
        <v xml:space="preserve"> ()</v>
      </c>
    </row>
    <row r="3784" spans="1:7" x14ac:dyDescent="0.3">
      <c r="A3784" s="1" t="s">
        <v>4</v>
      </c>
      <c r="B3784" s="2" t="str">
        <f t="shared" si="318"/>
        <v>SISTEMA FINANCEIRO - CONTAS A PAGAR</v>
      </c>
      <c r="C3784" s="2" t="str">
        <f t="shared" si="317"/>
        <v>FINAN</v>
      </c>
      <c r="D3784" s="2" t="str">
        <f t="shared" si="319"/>
        <v>FNCP</v>
      </c>
      <c r="E3784" s="2" t="str">
        <f>"DOCUMENTOS IMPORTADOS DO FATURAMENTO"</f>
        <v>DOCUMENTOS IMPORTADOS DO FATURAMENTO</v>
      </c>
      <c r="F3784" s="2" t="str">
        <f>"R_IMP_FFCV_FNFI.RDF"</f>
        <v>R_IMP_FFCV_FNFI.RDF</v>
      </c>
      <c r="G3784" s="2" t="str">
        <f t="shared" si="320"/>
        <v xml:space="preserve"> ()</v>
      </c>
    </row>
    <row r="3785" spans="1:7" x14ac:dyDescent="0.3">
      <c r="A3785" s="1" t="s">
        <v>4</v>
      </c>
      <c r="B3785" s="2" t="str">
        <f t="shared" si="318"/>
        <v>SISTEMA FINANCEIRO - CONTAS A PAGAR</v>
      </c>
      <c r="C3785" s="2" t="str">
        <f t="shared" si="317"/>
        <v>FINAN</v>
      </c>
      <c r="D3785" s="2" t="str">
        <f t="shared" si="319"/>
        <v>FNCP</v>
      </c>
      <c r="E3785" s="2" t="str">
        <f>"RELATÓRIO DE RAZÃO FINANCEIRO"</f>
        <v>RELATÓRIO DE RAZÃO FINANCEIRO</v>
      </c>
      <c r="F3785" s="2" t="str">
        <f>"R_RAZAO_FINANCEIRO.RDF"</f>
        <v>R_RAZAO_FINANCEIRO.RDF</v>
      </c>
      <c r="G3785" s="2" t="str">
        <f t="shared" si="320"/>
        <v xml:space="preserve"> ()</v>
      </c>
    </row>
    <row r="3786" spans="1:7" x14ac:dyDescent="0.3">
      <c r="A3786" s="1" t="s">
        <v>4</v>
      </c>
      <c r="B3786" s="2" t="str">
        <f t="shared" si="318"/>
        <v>SISTEMA FINANCEIRO - CONTAS A PAGAR</v>
      </c>
      <c r="C3786" s="2" t="str">
        <f t="shared" si="317"/>
        <v>FINAN</v>
      </c>
      <c r="D3786" s="2" t="str">
        <f t="shared" si="319"/>
        <v>FNCP</v>
      </c>
      <c r="E3786" s="2" t="str">
        <f>"DESCONTOS E ACRÉSCIMOS POR SETOR/C CUSTO"</f>
        <v>DESCONTOS E ACRÉSCIMOS POR SETOR/C CUSTO</v>
      </c>
      <c r="F3786" s="2" t="str">
        <f>"R_DESC_ACRES.RDF"</f>
        <v>R_DESC_ACRES.RDF</v>
      </c>
      <c r="G3786" s="2" t="str">
        <f t="shared" si="320"/>
        <v xml:space="preserve"> ()</v>
      </c>
    </row>
    <row r="3787" spans="1:7" x14ac:dyDescent="0.3">
      <c r="A3787" s="1" t="s">
        <v>4</v>
      </c>
      <c r="B3787" s="2" t="str">
        <f t="shared" si="318"/>
        <v>SISTEMA FINANCEIRO - CONTAS A PAGAR</v>
      </c>
      <c r="C3787" s="2" t="str">
        <f t="shared" si="317"/>
        <v>FINAN</v>
      </c>
      <c r="D3787" s="2" t="str">
        <f t="shared" si="319"/>
        <v>FNCP</v>
      </c>
      <c r="E3787" s="2" t="str">
        <f>"RELATÓRIO DE DESPESAS POR CONTA DE CUSTO"</f>
        <v>RELATÓRIO DE DESPESAS POR CONTA DE CUSTO</v>
      </c>
      <c r="F3787" s="2" t="str">
        <f>"R_DEMO_DESP_CCUSTO.RDF"</f>
        <v>R_DEMO_DESP_CCUSTO.RDF</v>
      </c>
      <c r="G3787" s="2" t="str">
        <f t="shared" si="320"/>
        <v xml:space="preserve"> ()</v>
      </c>
    </row>
    <row r="3788" spans="1:7" x14ac:dyDescent="0.3">
      <c r="A3788" s="1" t="s">
        <v>4</v>
      </c>
      <c r="B3788" s="2" t="str">
        <f t="shared" si="318"/>
        <v>SISTEMA FINANCEIRO - CONTAS A PAGAR</v>
      </c>
      <c r="C3788" s="2" t="str">
        <f t="shared" si="317"/>
        <v>FINAN</v>
      </c>
      <c r="D3788" s="2" t="str">
        <f t="shared" si="319"/>
        <v>FNCP</v>
      </c>
      <c r="E3788" s="2" t="str">
        <f>"RELATÓRIO DE POSIÇÃO DE CONTAS A RECEBER"</f>
        <v>RELATÓRIO DE POSIÇÃO DE CONTAS A RECEBER</v>
      </c>
      <c r="F3788" s="2" t="str">
        <f>"R_POISCAO_CONTAS_ARECEB_SINT"</f>
        <v>R_POISCAO_CONTAS_ARECEB_SINT</v>
      </c>
      <c r="G3788" s="2" t="str">
        <f t="shared" si="320"/>
        <v xml:space="preserve"> ()</v>
      </c>
    </row>
    <row r="3789" spans="1:7" x14ac:dyDescent="0.3">
      <c r="A3789" s="1" t="s">
        <v>4</v>
      </c>
      <c r="B3789" s="2" t="str">
        <f t="shared" si="318"/>
        <v>SISTEMA FINANCEIRO - CONTAS A PAGAR</v>
      </c>
      <c r="C3789" s="2" t="str">
        <f t="shared" si="317"/>
        <v>FINAN</v>
      </c>
      <c r="D3789" s="2" t="str">
        <f t="shared" si="319"/>
        <v>FNCP</v>
      </c>
      <c r="E3789" s="2" t="str">
        <f>"RELATÓRIO DE POSIÇÃO DE CONTAS A RECEBER"</f>
        <v>RELATÓRIO DE POSIÇÃO DE CONTAS A RECEBER</v>
      </c>
      <c r="F3789" s="2" t="str">
        <f>"R_POISCAO_CONTAS_ARECEB.RDF"</f>
        <v>R_POISCAO_CONTAS_ARECEB.RDF</v>
      </c>
      <c r="G3789" s="2" t="str">
        <f t="shared" si="320"/>
        <v xml:space="preserve"> ()</v>
      </c>
    </row>
    <row r="3790" spans="1:7" x14ac:dyDescent="0.3">
      <c r="A3790" s="1" t="s">
        <v>4</v>
      </c>
      <c r="B3790" s="2" t="str">
        <f t="shared" si="318"/>
        <v>SISTEMA FINANCEIRO - CONTAS A PAGAR</v>
      </c>
      <c r="C3790" s="2" t="str">
        <f t="shared" si="317"/>
        <v>FINAN</v>
      </c>
      <c r="D3790" s="2" t="str">
        <f t="shared" si="319"/>
        <v>FNCP</v>
      </c>
      <c r="E3790" s="2" t="str">
        <f>"RELATÓRIO DE GERAÇÃO DE ARQUIVO DIRF"</f>
        <v>RELATÓRIO DE GERAÇÃO DE ARQUIVO DIRF</v>
      </c>
      <c r="F3790" s="2" t="str">
        <f>"O_DIRF.RDF"</f>
        <v>O_DIRF.RDF</v>
      </c>
      <c r="G3790" s="2" t="str">
        <f t="shared" si="320"/>
        <v xml:space="preserve"> ()</v>
      </c>
    </row>
    <row r="3791" spans="1:7" x14ac:dyDescent="0.3">
      <c r="A3791" s="1" t="s">
        <v>4</v>
      </c>
      <c r="B3791" s="2" t="str">
        <f t="shared" si="318"/>
        <v>SISTEMA FINANCEIRO - CONTAS A PAGAR</v>
      </c>
      <c r="C3791" s="2" t="str">
        <f t="shared" si="317"/>
        <v>FINAN</v>
      </c>
      <c r="D3791" s="2" t="str">
        <f t="shared" si="319"/>
        <v>FNCP</v>
      </c>
      <c r="E3791" s="2" t="str">
        <f>"POSIÇÃO DE CONTAS A PAGAR"</f>
        <v>POSIÇÃO DE CONTAS A PAGAR</v>
      </c>
      <c r="F3791" s="2" t="str">
        <f>"R_CON_APAGAR_POSICAO.SINT"</f>
        <v>R_CON_APAGAR_POSICAO.SINT</v>
      </c>
      <c r="G3791" s="2" t="str">
        <f t="shared" si="320"/>
        <v xml:space="preserve"> ()</v>
      </c>
    </row>
    <row r="3792" spans="1:7" x14ac:dyDescent="0.3">
      <c r="A3792" s="1" t="s">
        <v>4</v>
      </c>
      <c r="B3792" s="2" t="str">
        <f t="shared" si="318"/>
        <v>SISTEMA FINANCEIRO - CONTAS A PAGAR</v>
      </c>
      <c r="C3792" s="2" t="str">
        <f t="shared" si="317"/>
        <v>FINAN</v>
      </c>
      <c r="D3792" s="2" t="str">
        <f t="shared" si="319"/>
        <v>FNCP</v>
      </c>
      <c r="E3792" s="2" t="str">
        <f>"POSIÇÃO DE CONTAS A PAGAR"</f>
        <v>POSIÇÃO DE CONTAS A PAGAR</v>
      </c>
      <c r="F3792" s="2" t="str">
        <f>"R_CON_APAGAR_POSICAO.RDF"</f>
        <v>R_CON_APAGAR_POSICAO.RDF</v>
      </c>
      <c r="G3792" s="2" t="str">
        <f t="shared" si="320"/>
        <v xml:space="preserve"> ()</v>
      </c>
    </row>
    <row r="3793" spans="1:7" x14ac:dyDescent="0.3">
      <c r="A3793" s="1" t="s">
        <v>4</v>
      </c>
      <c r="B3793" s="2" t="str">
        <f t="shared" si="318"/>
        <v>SISTEMA FINANCEIRO - CONTAS A PAGAR</v>
      </c>
      <c r="C3793" s="2" t="str">
        <f t="shared" si="317"/>
        <v>FINAN</v>
      </c>
      <c r="D3793" s="2" t="str">
        <f t="shared" si="319"/>
        <v>FNCP</v>
      </c>
      <c r="E3793" s="2" t="str">
        <f>"RELATÓRIO DE NOTA DE ENTRADA"</f>
        <v>RELATÓRIO DE NOTA DE ENTRADA</v>
      </c>
      <c r="F3793" s="2" t="str">
        <f>"R_NOTA_ENTRADA.RDF"</f>
        <v>R_NOTA_ENTRADA.RDF</v>
      </c>
      <c r="G3793" s="2" t="str">
        <f t="shared" si="320"/>
        <v xml:space="preserve"> ()</v>
      </c>
    </row>
    <row r="3794" spans="1:7" x14ac:dyDescent="0.3">
      <c r="A3794" s="1" t="s">
        <v>4</v>
      </c>
      <c r="B3794" s="2" t="str">
        <f t="shared" si="318"/>
        <v>SISTEMA FINANCEIRO - CONTAS A PAGAR</v>
      </c>
      <c r="C3794" s="2" t="str">
        <f t="shared" si="317"/>
        <v>FINAN</v>
      </c>
      <c r="D3794" s="2" t="str">
        <f t="shared" si="319"/>
        <v>FNCP</v>
      </c>
      <c r="E3794" s="2" t="str">
        <f>"CONTAS A PAGAR DE DETALHAMENTO"</f>
        <v>CONTAS A PAGAR DE DETALHAMENTO</v>
      </c>
      <c r="F3794" s="2" t="str">
        <f>"R_DET_APAGAR.RDF"</f>
        <v>R_DET_APAGAR.RDF</v>
      </c>
      <c r="G3794" s="2" t="str">
        <f t="shared" si="320"/>
        <v xml:space="preserve"> ()</v>
      </c>
    </row>
    <row r="3795" spans="1:7" x14ac:dyDescent="0.3">
      <c r="A3795" s="1" t="s">
        <v>4</v>
      </c>
      <c r="B3795" s="2" t="str">
        <f t="shared" si="318"/>
        <v>SISTEMA FINANCEIRO - CONTAS A PAGAR</v>
      </c>
      <c r="C3795" s="2" t="str">
        <f t="shared" si="317"/>
        <v>FINAN</v>
      </c>
      <c r="D3795" s="2" t="str">
        <f t="shared" si="319"/>
        <v>FNCP</v>
      </c>
      <c r="E3795" s="2" t="str">
        <f>"RELATÓRIO DE PROCESSOS SINTÉTICO"</f>
        <v>RELATÓRIO DE PROCESSOS SINTÉTICO</v>
      </c>
      <c r="F3795" s="2" t="str">
        <f>"R_PROCESSO.SINT"</f>
        <v>R_PROCESSO.SINT</v>
      </c>
      <c r="G3795" s="2" t="str">
        <f t="shared" si="320"/>
        <v xml:space="preserve"> ()</v>
      </c>
    </row>
    <row r="3796" spans="1:7" x14ac:dyDescent="0.3">
      <c r="A3796" s="1" t="s">
        <v>4</v>
      </c>
      <c r="B3796" s="2" t="str">
        <f t="shared" si="318"/>
        <v>SISTEMA FINANCEIRO - CONTAS A PAGAR</v>
      </c>
      <c r="C3796" s="2" t="str">
        <f t="shared" si="317"/>
        <v>FINAN</v>
      </c>
      <c r="D3796" s="2" t="str">
        <f t="shared" si="319"/>
        <v>FNCP</v>
      </c>
      <c r="E3796" s="2" t="str">
        <f>"RELATÓRIO DE PROCESSOS"</f>
        <v>RELATÓRIO DE PROCESSOS</v>
      </c>
      <c r="F3796" s="2" t="str">
        <f>"R_PROCESSO.RDF"</f>
        <v>R_PROCESSO.RDF</v>
      </c>
      <c r="G3796" s="2" t="str">
        <f t="shared" si="320"/>
        <v xml:space="preserve"> ()</v>
      </c>
    </row>
    <row r="3797" spans="1:7" x14ac:dyDescent="0.3">
      <c r="A3797" s="1" t="s">
        <v>4</v>
      </c>
      <c r="B3797" s="2" t="str">
        <f t="shared" si="318"/>
        <v>SISTEMA FINANCEIRO - CONTAS A PAGAR</v>
      </c>
      <c r="C3797" s="2" t="str">
        <f t="shared" si="317"/>
        <v>FINAN</v>
      </c>
      <c r="D3797" s="2" t="str">
        <f t="shared" si="319"/>
        <v>FNCP</v>
      </c>
      <c r="E3797" s="2" t="str">
        <f>"VISÃO FINANCEIRO X CONTÁBIL E CONTAS"</f>
        <v>VISÃO FINANCEIRO X CONTÁBIL E CONTAS</v>
      </c>
      <c r="F3797" s="2" t="str">
        <f>"R_VISAO_CONTA.RDF"</f>
        <v>R_VISAO_CONTA.RDF</v>
      </c>
      <c r="G3797" s="2" t="str">
        <f t="shared" si="320"/>
        <v xml:space="preserve"> ()</v>
      </c>
    </row>
    <row r="3798" spans="1:7" x14ac:dyDescent="0.3">
      <c r="A3798" s="1" t="s">
        <v>4</v>
      </c>
      <c r="B3798" s="2" t="str">
        <f t="shared" si="318"/>
        <v>SISTEMA FINANCEIRO - CONTAS A PAGAR</v>
      </c>
      <c r="C3798" s="2" t="str">
        <f t="shared" si="317"/>
        <v>FINAN</v>
      </c>
      <c r="D3798" s="2" t="str">
        <f t="shared" si="319"/>
        <v>FNCP</v>
      </c>
      <c r="E3798" s="2" t="str">
        <f>"RELATÓRIO DE EMPRESAS"</f>
        <v>RELATÓRIO DE EMPRESAS</v>
      </c>
      <c r="F3798" s="2" t="str">
        <f>"R_MULTI_EMPRESA.RDF"</f>
        <v>R_MULTI_EMPRESA.RDF</v>
      </c>
      <c r="G3798" s="2" t="str">
        <f t="shared" si="320"/>
        <v xml:space="preserve"> ()</v>
      </c>
    </row>
    <row r="3799" spans="1:7" x14ac:dyDescent="0.3">
      <c r="A3799" s="1" t="s">
        <v>4</v>
      </c>
      <c r="B3799" s="2" t="str">
        <f t="shared" si="318"/>
        <v>SISTEMA FINANCEIRO - CONTAS A PAGAR</v>
      </c>
      <c r="C3799" s="2" t="str">
        <f t="shared" si="317"/>
        <v>FINAN</v>
      </c>
      <c r="D3799" s="2" t="str">
        <f t="shared" si="319"/>
        <v>FNCP</v>
      </c>
      <c r="E3799" s="2" t="str">
        <f>"RELATÓRIO DE CONTAS PAGAS POR SETOR"</f>
        <v>RELATÓRIO DE CONTAS PAGAS POR SETOR</v>
      </c>
      <c r="F3799" s="2" t="str">
        <f>"R_PAGGRURES_SETOR.RDF"</f>
        <v>R_PAGGRURES_SETOR.RDF</v>
      </c>
      <c r="G3799" s="2" t="str">
        <f t="shared" si="320"/>
        <v xml:space="preserve"> ()</v>
      </c>
    </row>
    <row r="3800" spans="1:7" x14ac:dyDescent="0.3">
      <c r="A3800" s="1" t="s">
        <v>4</v>
      </c>
      <c r="B3800" s="2" t="str">
        <f t="shared" si="318"/>
        <v>SISTEMA FINANCEIRO - CONTAS A PAGAR</v>
      </c>
      <c r="C3800" s="2" t="str">
        <f t="shared" si="317"/>
        <v>FINAN</v>
      </c>
      <c r="D3800" s="2" t="str">
        <f t="shared" si="319"/>
        <v>FNCP</v>
      </c>
      <c r="E3800" s="2" t="str">
        <f>"C_PREVISAO_REC"</f>
        <v>C_PREVISAO_REC</v>
      </c>
      <c r="F3800" s="2" t="str">
        <f>"C_PREVISAO_REC"</f>
        <v>C_PREVISAO_REC</v>
      </c>
      <c r="G3800" s="2" t="s">
        <v>10</v>
      </c>
    </row>
    <row r="3801" spans="1:7" x14ac:dyDescent="0.3">
      <c r="A3801" s="1" t="s">
        <v>4</v>
      </c>
      <c r="B3801" s="2" t="str">
        <f t="shared" si="318"/>
        <v>SISTEMA FINANCEIRO - CONTAS A PAGAR</v>
      </c>
      <c r="C3801" s="2" t="str">
        <f t="shared" si="317"/>
        <v>FINAN</v>
      </c>
      <c r="D3801" s="2" t="str">
        <f t="shared" si="319"/>
        <v>FNCP</v>
      </c>
      <c r="E3801" s="2" t="str">
        <f>"R_COTAS_APAG_PAG_CUSTO_CARACT"</f>
        <v>R_COTAS_APAG_PAG_CUSTO_CARACT</v>
      </c>
      <c r="F3801" s="2" t="str">
        <f>"R_COTAS_APAG_PAG_CUSTO_CARACT"</f>
        <v>R_COTAS_APAG_PAG_CUSTO_CARACT</v>
      </c>
      <c r="G3801" s="2" t="str">
        <f t="shared" ref="G3801:G3843" si="321">" ()"</f>
        <v xml:space="preserve"> ()</v>
      </c>
    </row>
    <row r="3802" spans="1:7" x14ac:dyDescent="0.3">
      <c r="A3802" s="1" t="s">
        <v>4</v>
      </c>
      <c r="B3802" s="2" t="str">
        <f t="shared" si="318"/>
        <v>SISTEMA FINANCEIRO - CONTAS A PAGAR</v>
      </c>
      <c r="C3802" s="2" t="str">
        <f t="shared" si="317"/>
        <v>FINAN</v>
      </c>
      <c r="D3802" s="2" t="str">
        <f t="shared" si="319"/>
        <v>FNCP</v>
      </c>
      <c r="E3802" s="2" t="str">
        <f>"R_APAGRURES"</f>
        <v>R_APAGRURES</v>
      </c>
      <c r="F3802" s="2" t="str">
        <f>"R_APAGRURES"</f>
        <v>R_APAGRURES</v>
      </c>
      <c r="G3802" s="2" t="str">
        <f t="shared" si="321"/>
        <v xml:space="preserve"> ()</v>
      </c>
    </row>
    <row r="3803" spans="1:7" x14ac:dyDescent="0.3">
      <c r="A3803" s="1" t="s">
        <v>4</v>
      </c>
      <c r="B3803" s="2" t="str">
        <f t="shared" si="318"/>
        <v>SISTEMA FINANCEIRO - CONTAS A PAGAR</v>
      </c>
      <c r="C3803" s="2" t="str">
        <f t="shared" si="317"/>
        <v>FINAN</v>
      </c>
      <c r="D3803" s="2" t="str">
        <f t="shared" si="319"/>
        <v>FNCP</v>
      </c>
      <c r="E3803" s="2" t="str">
        <f>"R_CON_PAG_SFORNEC_C"</f>
        <v>R_CON_PAG_SFORNEC_C</v>
      </c>
      <c r="F3803" s="2" t="str">
        <f>"R_CON_PAG_SFORNEC_C"</f>
        <v>R_CON_PAG_SFORNEC_C</v>
      </c>
      <c r="G3803" s="2" t="str">
        <f t="shared" si="321"/>
        <v xml:space="preserve"> ()</v>
      </c>
    </row>
    <row r="3804" spans="1:7" x14ac:dyDescent="0.3">
      <c r="A3804" s="1" t="s">
        <v>4</v>
      </c>
      <c r="B3804" s="2" t="str">
        <f t="shared" si="318"/>
        <v>SISTEMA FINANCEIRO - CONTAS A PAGAR</v>
      </c>
      <c r="C3804" s="2" t="str">
        <f t="shared" si="317"/>
        <v>FINAN</v>
      </c>
      <c r="D3804" s="2" t="str">
        <f t="shared" si="319"/>
        <v>FNCP</v>
      </c>
      <c r="E3804" s="2" t="str">
        <f>"R_CON_PAG_SIMP_SFORNEC_C"</f>
        <v>R_CON_PAG_SIMP_SFORNEC_C</v>
      </c>
      <c r="F3804" s="2" t="str">
        <f>"R_CON_PAG_SIMP_SFORNEC_C"</f>
        <v>R_CON_PAG_SIMP_SFORNEC_C</v>
      </c>
      <c r="G3804" s="2" t="str">
        <f t="shared" si="321"/>
        <v xml:space="preserve"> ()</v>
      </c>
    </row>
    <row r="3805" spans="1:7" x14ac:dyDescent="0.3">
      <c r="A3805" s="1" t="s">
        <v>4</v>
      </c>
      <c r="B3805" s="2" t="str">
        <f t="shared" si="318"/>
        <v>SISTEMA FINANCEIRO - CONTAS A PAGAR</v>
      </c>
      <c r="C3805" s="2" t="str">
        <f t="shared" si="317"/>
        <v>FINAN</v>
      </c>
      <c r="D3805" s="2" t="str">
        <f t="shared" si="319"/>
        <v>FNCP</v>
      </c>
      <c r="E3805" s="2" t="str">
        <f>"R_CON_PAG_SIMP_SFORNEC"</f>
        <v>R_CON_PAG_SIMP_SFORNEC</v>
      </c>
      <c r="F3805" s="2" t="str">
        <f>"R_CON_PAG_SIMP_SFORNEC"</f>
        <v>R_CON_PAG_SIMP_SFORNEC</v>
      </c>
      <c r="G3805" s="2" t="str">
        <f t="shared" si="321"/>
        <v xml:space="preserve"> ()</v>
      </c>
    </row>
    <row r="3806" spans="1:7" x14ac:dyDescent="0.3">
      <c r="A3806" s="1" t="s">
        <v>4</v>
      </c>
      <c r="B3806" s="2" t="str">
        <f t="shared" si="318"/>
        <v>SISTEMA FINANCEIRO - CONTAS A PAGAR</v>
      </c>
      <c r="C3806" s="2" t="str">
        <f t="shared" si="317"/>
        <v>FINAN</v>
      </c>
      <c r="D3806" s="2" t="str">
        <f t="shared" si="319"/>
        <v>FNCP</v>
      </c>
      <c r="E3806" s="2" t="str">
        <f>"R_CON_PAG_SFORNEC"</f>
        <v>R_CON_PAG_SFORNEC</v>
      </c>
      <c r="F3806" s="2" t="str">
        <f>"R_CON_PAG_SFORNEC"</f>
        <v>R_CON_PAG_SFORNEC</v>
      </c>
      <c r="G3806" s="2" t="str">
        <f t="shared" si="321"/>
        <v xml:space="preserve"> ()</v>
      </c>
    </row>
    <row r="3807" spans="1:7" x14ac:dyDescent="0.3">
      <c r="A3807" s="1" t="s">
        <v>4</v>
      </c>
      <c r="B3807" s="2" t="str">
        <f t="shared" si="318"/>
        <v>SISTEMA FINANCEIRO - CONTAS A PAGAR</v>
      </c>
      <c r="C3807" s="2" t="str">
        <f t="shared" si="317"/>
        <v>FINAN</v>
      </c>
      <c r="D3807" s="2" t="str">
        <f t="shared" si="319"/>
        <v>FNCP</v>
      </c>
      <c r="E3807" s="2" t="str">
        <f>"R-CON_PAG_SFORNEC"</f>
        <v>R-CON_PAG_SFORNEC</v>
      </c>
      <c r="F3807" s="2" t="str">
        <f>"R-CON_PAG_SFORNEC"</f>
        <v>R-CON_PAG_SFORNEC</v>
      </c>
      <c r="G3807" s="2" t="str">
        <f t="shared" si="321"/>
        <v xml:space="preserve"> ()</v>
      </c>
    </row>
    <row r="3808" spans="1:7" x14ac:dyDescent="0.3">
      <c r="A3808" s="1" t="s">
        <v>4</v>
      </c>
      <c r="B3808" s="2" t="str">
        <f t="shared" si="318"/>
        <v>SISTEMA FINANCEIRO - CONTAS A PAGAR</v>
      </c>
      <c r="C3808" s="2" t="str">
        <f t="shared" si="317"/>
        <v>FINAN</v>
      </c>
      <c r="D3808" s="2" t="str">
        <f t="shared" si="319"/>
        <v>FNCP</v>
      </c>
      <c r="E3808" s="2" t="str">
        <f>"RELATÓRIO DE FLUXO DE CAIXA"</f>
        <v>RELATÓRIO DE FLUXO DE CAIXA</v>
      </c>
      <c r="F3808" s="2" t="str">
        <f>"R_FLUXO_CAIXA_261"</f>
        <v>R_FLUXO_CAIXA_261</v>
      </c>
      <c r="G3808" s="2" t="str">
        <f t="shared" si="321"/>
        <v xml:space="preserve"> ()</v>
      </c>
    </row>
    <row r="3809" spans="1:7" x14ac:dyDescent="0.3">
      <c r="A3809" s="1" t="s">
        <v>4</v>
      </c>
      <c r="B3809" s="2" t="str">
        <f t="shared" si="318"/>
        <v>SISTEMA FINANCEIRO - CONTAS A PAGAR</v>
      </c>
      <c r="C3809" s="2" t="str">
        <f t="shared" si="317"/>
        <v>FINAN</v>
      </c>
      <c r="D3809" s="2" t="str">
        <f t="shared" si="319"/>
        <v>FNCP</v>
      </c>
      <c r="E3809" s="2" t="str">
        <f>"LISTAGEM DE VISÃO FINANCEIRO X CONTÁBIL"</f>
        <v>LISTAGEM DE VISÃO FINANCEIRO X CONTÁBIL</v>
      </c>
      <c r="F3809" s="2" t="str">
        <f>"R_VISAO"</f>
        <v>R_VISAO</v>
      </c>
      <c r="G3809" s="2" t="str">
        <f t="shared" si="321"/>
        <v xml:space="preserve"> ()</v>
      </c>
    </row>
    <row r="3810" spans="1:7" x14ac:dyDescent="0.3">
      <c r="A3810" s="1" t="s">
        <v>4</v>
      </c>
      <c r="B3810" s="2" t="str">
        <f t="shared" si="318"/>
        <v>SISTEMA FINANCEIRO - CONTAS A PAGAR</v>
      </c>
      <c r="C3810" s="2" t="str">
        <f t="shared" si="317"/>
        <v>FINAN</v>
      </c>
      <c r="D3810" s="2" t="str">
        <f t="shared" si="319"/>
        <v>FNCP</v>
      </c>
      <c r="E3810" s="2" t="str">
        <f>"CADASTRO: VISÃO FINANCEIRO E CONTÁBIL"</f>
        <v>CADASTRO: VISÃO FINANCEIRO E CONTÁBIL</v>
      </c>
      <c r="F3810" s="2" t="str">
        <f>"M_VISAO_FINANC"</f>
        <v>M_VISAO_FINANC</v>
      </c>
      <c r="G3810" s="2" t="str">
        <f t="shared" si="321"/>
        <v xml:space="preserve"> ()</v>
      </c>
    </row>
    <row r="3811" spans="1:7" x14ac:dyDescent="0.3">
      <c r="A3811" s="1" t="s">
        <v>4</v>
      </c>
      <c r="B3811" s="2" t="str">
        <f t="shared" si="318"/>
        <v>SISTEMA FINANCEIRO - CONTAS A PAGAR</v>
      </c>
      <c r="C3811" s="2" t="str">
        <f t="shared" si="317"/>
        <v>FINAN</v>
      </c>
      <c r="D3811" s="2" t="str">
        <f t="shared" si="319"/>
        <v>FNCP</v>
      </c>
      <c r="E3811" s="2" t="str">
        <f>"R_CON_APAG_SFORNEC_959"</f>
        <v>R_CON_APAG_SFORNEC_959</v>
      </c>
      <c r="F3811" s="2" t="str">
        <f>"R_CON_APAG_SFORNEC_959"</f>
        <v>R_CON_APAG_SFORNEC_959</v>
      </c>
      <c r="G3811" s="2" t="str">
        <f t="shared" si="321"/>
        <v xml:space="preserve"> ()</v>
      </c>
    </row>
    <row r="3812" spans="1:7" x14ac:dyDescent="0.3">
      <c r="A3812" s="1" t="s">
        <v>4</v>
      </c>
      <c r="B3812" s="2" t="str">
        <f t="shared" si="318"/>
        <v>SISTEMA FINANCEIRO - CONTAS A PAGAR</v>
      </c>
      <c r="C3812" s="2" t="str">
        <f t="shared" si="317"/>
        <v>FINAN</v>
      </c>
      <c r="D3812" s="2" t="str">
        <f t="shared" si="319"/>
        <v>FNCP</v>
      </c>
      <c r="E3812" s="2" t="str">
        <f>"R_CON_PAG_SFORNEC_959"</f>
        <v>R_CON_PAG_SFORNEC_959</v>
      </c>
      <c r="F3812" s="2" t="str">
        <f>"R_CON_PAG_SFORNEC_959"</f>
        <v>R_CON_PAG_SFORNEC_959</v>
      </c>
      <c r="G3812" s="2" t="str">
        <f t="shared" si="321"/>
        <v xml:space="preserve"> ()</v>
      </c>
    </row>
    <row r="3813" spans="1:7" x14ac:dyDescent="0.3">
      <c r="A3813" s="1" t="s">
        <v>4</v>
      </c>
      <c r="B3813" s="2" t="str">
        <f t="shared" si="318"/>
        <v>SISTEMA FINANCEIRO - CONTAS A PAGAR</v>
      </c>
      <c r="C3813" s="2" t="str">
        <f t="shared" si="317"/>
        <v>FINAN</v>
      </c>
      <c r="D3813" s="2" t="str">
        <f t="shared" si="319"/>
        <v>FNCP</v>
      </c>
      <c r="E3813" s="2" t="str">
        <f>"R_RECGRURES_959"</f>
        <v>R_RECGRURES_959</v>
      </c>
      <c r="F3813" s="2" t="str">
        <f>"R_RECGRURES_959"</f>
        <v>R_RECGRURES_959</v>
      </c>
      <c r="G3813" s="2" t="str">
        <f t="shared" si="321"/>
        <v xml:space="preserve"> ()</v>
      </c>
    </row>
    <row r="3814" spans="1:7" x14ac:dyDescent="0.3">
      <c r="A3814" s="1" t="s">
        <v>4</v>
      </c>
      <c r="B3814" s="2" t="str">
        <f t="shared" si="318"/>
        <v>SISTEMA FINANCEIRO - CONTAS A PAGAR</v>
      </c>
      <c r="C3814" s="2" t="str">
        <f t="shared" si="317"/>
        <v>FINAN</v>
      </c>
      <c r="D3814" s="2" t="str">
        <f t="shared" si="319"/>
        <v>FNCP</v>
      </c>
      <c r="E3814" s="2" t="str">
        <f>"RELATÓRIO CONTAS A PAGAR SINTÉTICO"</f>
        <v>RELATÓRIO CONTAS A PAGAR SINTÉTICO</v>
      </c>
      <c r="F3814" s="2" t="str">
        <f>"R_CON_APAG_SINT"</f>
        <v>R_CON_APAG_SINT</v>
      </c>
      <c r="G3814" s="2" t="str">
        <f t="shared" si="321"/>
        <v xml:space="preserve"> ()</v>
      </c>
    </row>
    <row r="3815" spans="1:7" x14ac:dyDescent="0.3">
      <c r="A3815" s="1" t="s">
        <v>4</v>
      </c>
      <c r="B3815" s="2" t="str">
        <f t="shared" si="318"/>
        <v>SISTEMA FINANCEIRO - CONTAS A PAGAR</v>
      </c>
      <c r="C3815" s="2" t="str">
        <f t="shared" si="317"/>
        <v>FINAN</v>
      </c>
      <c r="D3815" s="2" t="str">
        <f t="shared" si="319"/>
        <v>FNCP</v>
      </c>
      <c r="E3815" s="2" t="str">
        <f>"R_CONTA_REC_PAC_PERS"</f>
        <v>R_CONTA_REC_PAC_PERS</v>
      </c>
      <c r="F3815" s="2" t="str">
        <f>"R_CONTA_REC_PAC_PERS"</f>
        <v>R_CONTA_REC_PAC_PERS</v>
      </c>
      <c r="G3815" s="2" t="str">
        <f t="shared" si="321"/>
        <v xml:space="preserve"> ()</v>
      </c>
    </row>
    <row r="3816" spans="1:7" x14ac:dyDescent="0.3">
      <c r="A3816" s="1" t="s">
        <v>4</v>
      </c>
      <c r="B3816" s="2" t="str">
        <f t="shared" si="318"/>
        <v>SISTEMA FINANCEIRO - CONTAS A PAGAR</v>
      </c>
      <c r="C3816" s="2" t="str">
        <f t="shared" si="317"/>
        <v>FINAN</v>
      </c>
      <c r="D3816" s="2" t="str">
        <f t="shared" si="319"/>
        <v>FNCP</v>
      </c>
      <c r="E3816" s="2" t="str">
        <f>"O_CANC_ETORNO_PAG"</f>
        <v>O_CANC_ETORNO_PAG</v>
      </c>
      <c r="F3816" s="2" t="str">
        <f>"O_CANC_ETORNO_PAG"</f>
        <v>O_CANC_ETORNO_PAG</v>
      </c>
      <c r="G3816" s="2" t="str">
        <f t="shared" si="321"/>
        <v xml:space="preserve"> ()</v>
      </c>
    </row>
    <row r="3817" spans="1:7" x14ac:dyDescent="0.3">
      <c r="A3817" s="1" t="s">
        <v>4</v>
      </c>
      <c r="B3817" s="2" t="str">
        <f t="shared" si="318"/>
        <v>SISTEMA FINANCEIRO - CONTAS A PAGAR</v>
      </c>
      <c r="C3817" s="2" t="str">
        <f t="shared" si="317"/>
        <v>FINAN</v>
      </c>
      <c r="D3817" s="2" t="str">
        <f t="shared" si="319"/>
        <v>FNCP</v>
      </c>
      <c r="E3817" s="2" t="str">
        <f>"DEMONSTRATIVO DE CUSTO POR CENTRO CUSTO"</f>
        <v>DEMONSTRATIVO DE CUSTO POR CENTRO CUSTO</v>
      </c>
      <c r="F3817" s="2" t="str">
        <f>"R_CUSTO_CENCUS_CONSOL"</f>
        <v>R_CUSTO_CENCUS_CONSOL</v>
      </c>
      <c r="G3817" s="2" t="str">
        <f t="shared" si="321"/>
        <v xml:space="preserve"> ()</v>
      </c>
    </row>
    <row r="3818" spans="1:7" x14ac:dyDescent="0.3">
      <c r="A3818" s="1" t="s">
        <v>4</v>
      </c>
      <c r="B3818" s="2" t="str">
        <f t="shared" si="318"/>
        <v>SISTEMA FINANCEIRO - CONTAS A PAGAR</v>
      </c>
      <c r="C3818" s="2" t="str">
        <f t="shared" si="317"/>
        <v>FINAN</v>
      </c>
      <c r="D3818" s="2" t="str">
        <f t="shared" si="319"/>
        <v>FNCP</v>
      </c>
      <c r="E3818" s="2" t="str">
        <f>"REL. DE FLUXO DE CAIXA GERENCIAL"</f>
        <v>REL. DE FLUXO DE CAIXA GERENCIAL</v>
      </c>
      <c r="F3818" s="2" t="str">
        <f>"R_FLUXO_CAIXA.RDF"</f>
        <v>R_FLUXO_CAIXA.RDF</v>
      </c>
      <c r="G3818" s="2" t="str">
        <f t="shared" si="321"/>
        <v xml:space="preserve"> ()</v>
      </c>
    </row>
    <row r="3819" spans="1:7" x14ac:dyDescent="0.3">
      <c r="A3819" s="1" t="s">
        <v>4</v>
      </c>
      <c r="B3819" s="2" t="str">
        <f t="shared" si="318"/>
        <v>SISTEMA FINANCEIRO - CONTAS A PAGAR</v>
      </c>
      <c r="C3819" s="2" t="str">
        <f t="shared" si="317"/>
        <v>FINAN</v>
      </c>
      <c r="D3819" s="2" t="str">
        <f t="shared" si="319"/>
        <v>FNCP</v>
      </c>
      <c r="E3819" s="2" t="str">
        <f>"GESTÃO DE CAIXA ANALÍTICA"</f>
        <v>GESTÃO DE CAIXA ANALÍTICA</v>
      </c>
      <c r="F3819" s="2" t="str">
        <f>"R_GESTAO_CAIXA.RDF"</f>
        <v>R_GESTAO_CAIXA.RDF</v>
      </c>
      <c r="G3819" s="2" t="str">
        <f t="shared" si="321"/>
        <v xml:space="preserve"> ()</v>
      </c>
    </row>
    <row r="3820" spans="1:7" x14ac:dyDescent="0.3">
      <c r="A3820" s="1" t="s">
        <v>4</v>
      </c>
      <c r="B3820" s="2" t="str">
        <f t="shared" si="318"/>
        <v>SISTEMA FINANCEIRO - CONTAS A PAGAR</v>
      </c>
      <c r="C3820" s="2" t="str">
        <f t="shared" si="317"/>
        <v>FINAN</v>
      </c>
      <c r="D3820" s="2" t="str">
        <f t="shared" si="319"/>
        <v>FNCP</v>
      </c>
      <c r="E3820" s="2" t="str">
        <f>"CONTAS RECEBIDAS DE CONVÊNIO/CONTA CORR."</f>
        <v>CONTAS RECEBIDAS DE CONVÊNIO/CONTA CORR.</v>
      </c>
      <c r="F3820" s="2" t="str">
        <f>"R_CONTA_RECEB_CONV_CONCOR.RDF"</f>
        <v>R_CONTA_RECEB_CONV_CONCOR.RDF</v>
      </c>
      <c r="G3820" s="2" t="str">
        <f t="shared" si="321"/>
        <v xml:space="preserve"> ()</v>
      </c>
    </row>
    <row r="3821" spans="1:7" x14ac:dyDescent="0.3">
      <c r="A3821" s="1" t="s">
        <v>4</v>
      </c>
      <c r="B3821" s="2" t="str">
        <f t="shared" si="318"/>
        <v>SISTEMA FINANCEIRO - CONTAS A PAGAR</v>
      </c>
      <c r="C3821" s="2" t="str">
        <f t="shared" si="317"/>
        <v>FINAN</v>
      </c>
      <c r="D3821" s="2" t="str">
        <f t="shared" si="319"/>
        <v>FNCP</v>
      </c>
      <c r="E3821" s="2" t="str">
        <f>"NOTAS/CONTAS EM ABERTO PARA CONVÊNIO"</f>
        <v>NOTAS/CONTAS EM ABERTO PARA CONVÊNIO</v>
      </c>
      <c r="F3821" s="2" t="str">
        <f>"R_NOTA_ARECEB_CONV.RDF"</f>
        <v>R_NOTA_ARECEB_CONV.RDF</v>
      </c>
      <c r="G3821" s="2" t="str">
        <f t="shared" si="321"/>
        <v xml:space="preserve"> ()</v>
      </c>
    </row>
    <row r="3822" spans="1:7" x14ac:dyDescent="0.3">
      <c r="A3822" s="1" t="s">
        <v>4</v>
      </c>
      <c r="B3822" s="2" t="str">
        <f t="shared" si="318"/>
        <v>SISTEMA FINANCEIRO - CONTAS A PAGAR</v>
      </c>
      <c r="C3822" s="2" t="str">
        <f t="shared" si="317"/>
        <v>FINAN</v>
      </c>
      <c r="D3822" s="2" t="str">
        <f t="shared" si="319"/>
        <v>FNCP</v>
      </c>
      <c r="E3822" s="2" t="str">
        <f>"RECURSO E RECUPERAÇÃO DE GLOSA"</f>
        <v>RECURSO E RECUPERAÇÃO DE GLOSA</v>
      </c>
      <c r="F3822" s="2" t="str">
        <f>"R_RECURSO_PREVISAO_GLOSA.RDF"</f>
        <v>R_RECURSO_PREVISAO_GLOSA.RDF</v>
      </c>
      <c r="G3822" s="2" t="str">
        <f t="shared" si="321"/>
        <v xml:space="preserve"> ()</v>
      </c>
    </row>
    <row r="3823" spans="1:7" x14ac:dyDescent="0.3">
      <c r="A3823" s="1" t="s">
        <v>4</v>
      </c>
      <c r="B3823" s="2" t="str">
        <f t="shared" si="318"/>
        <v>SISTEMA FINANCEIRO - CONTAS A PAGAR</v>
      </c>
      <c r="C3823" s="2" t="str">
        <f t="shared" si="317"/>
        <v>FINAN</v>
      </c>
      <c r="D3823" s="2" t="str">
        <f t="shared" si="319"/>
        <v>FNCP</v>
      </c>
      <c r="E3823" s="2" t="str">
        <f>"RESUMO GERAL DE CONTAS A RECEBER"</f>
        <v>RESUMO GERAL DE CONTAS A RECEBER</v>
      </c>
      <c r="F3823" s="2" t="str">
        <f>"R_CT_REC_CONV_RS_SINT"</f>
        <v>R_CT_REC_CONV_RS_SINT</v>
      </c>
      <c r="G3823" s="2" t="str">
        <f t="shared" si="321"/>
        <v xml:space="preserve"> ()</v>
      </c>
    </row>
    <row r="3824" spans="1:7" x14ac:dyDescent="0.3">
      <c r="A3824" s="1" t="s">
        <v>4</v>
      </c>
      <c r="B3824" s="2" t="str">
        <f t="shared" si="318"/>
        <v>SISTEMA FINANCEIRO - CONTAS A PAGAR</v>
      </c>
      <c r="C3824" s="2" t="str">
        <f t="shared" si="317"/>
        <v>FINAN</v>
      </c>
      <c r="D3824" s="2" t="str">
        <f t="shared" si="319"/>
        <v>FNCP</v>
      </c>
      <c r="E3824" s="2" t="str">
        <f>"RESUMO GERAL DE CONTAS A RECEBER"</f>
        <v>RESUMO GERAL DE CONTAS A RECEBER</v>
      </c>
      <c r="F3824" s="2" t="str">
        <f>"R_CT_REC_CONV_RS.RDF"</f>
        <v>R_CT_REC_CONV_RS.RDF</v>
      </c>
      <c r="G3824" s="2" t="str">
        <f t="shared" si="321"/>
        <v xml:space="preserve"> ()</v>
      </c>
    </row>
    <row r="3825" spans="1:7" x14ac:dyDescent="0.3">
      <c r="A3825" s="1" t="s">
        <v>4</v>
      </c>
      <c r="B3825" s="2" t="str">
        <f t="shared" si="318"/>
        <v>SISTEMA FINANCEIRO - CONTAS A PAGAR</v>
      </c>
      <c r="C3825" s="2" t="str">
        <f t="shared" si="317"/>
        <v>FINAN</v>
      </c>
      <c r="D3825" s="2" t="str">
        <f t="shared" si="319"/>
        <v>FNCP</v>
      </c>
      <c r="E3825" s="2" t="str">
        <f>"RELATÓRIO DE RECUPERAÇÃO DE GLOSA"</f>
        <v>RELATÓRIO DE RECUPERAÇÃO DE GLOSA</v>
      </c>
      <c r="F3825" s="2" t="str">
        <f>"R_RECURSO_GLOSA.RDF"</f>
        <v>R_RECURSO_GLOSA.RDF</v>
      </c>
      <c r="G3825" s="2" t="str">
        <f t="shared" si="321"/>
        <v xml:space="preserve"> ()</v>
      </c>
    </row>
    <row r="3826" spans="1:7" x14ac:dyDescent="0.3">
      <c r="A3826" s="1" t="s">
        <v>4</v>
      </c>
      <c r="B3826" s="2" t="str">
        <f t="shared" si="318"/>
        <v>SISTEMA FINANCEIRO - CONTAS A PAGAR</v>
      </c>
      <c r="C3826" s="2" t="str">
        <f t="shared" si="317"/>
        <v>FINAN</v>
      </c>
      <c r="D3826" s="2" t="str">
        <f t="shared" si="319"/>
        <v>FNCP</v>
      </c>
      <c r="E3826" s="2" t="str">
        <f>"RELATÓRIO DE RECEBIMENTOS ESTORNADOS"</f>
        <v>RELATÓRIO DE RECEBIMENTOS ESTORNADOS</v>
      </c>
      <c r="F3826" s="2" t="str">
        <f>"R_CON_RECEB_CANC.RDF"</f>
        <v>R_CON_RECEB_CANC.RDF</v>
      </c>
      <c r="G3826" s="2" t="str">
        <f t="shared" si="321"/>
        <v xml:space="preserve"> ()</v>
      </c>
    </row>
    <row r="3827" spans="1:7" x14ac:dyDescent="0.3">
      <c r="A3827" s="1" t="s">
        <v>4</v>
      </c>
      <c r="B3827" s="2" t="str">
        <f t="shared" si="318"/>
        <v>SISTEMA FINANCEIRO - CONTAS A PAGAR</v>
      </c>
      <c r="C3827" s="2" t="str">
        <f t="shared" si="317"/>
        <v>FINAN</v>
      </c>
      <c r="D3827" s="2" t="str">
        <f t="shared" si="319"/>
        <v>FNCP</v>
      </c>
      <c r="E3827" s="2" t="str">
        <f>"RELATÓRIO DE PREVISÃO DE RECEITA"</f>
        <v>RELATÓRIO DE PREVISÃO DE RECEITA</v>
      </c>
      <c r="F3827" s="2" t="str">
        <f>"R_PREV_RECEITA.RDF"</f>
        <v>R_PREV_RECEITA.RDF</v>
      </c>
      <c r="G3827" s="2" t="str">
        <f t="shared" si="321"/>
        <v xml:space="preserve"> ()</v>
      </c>
    </row>
    <row r="3828" spans="1:7" x14ac:dyDescent="0.3">
      <c r="A3828" s="1" t="s">
        <v>4</v>
      </c>
      <c r="B3828" s="2" t="str">
        <f t="shared" si="318"/>
        <v>SISTEMA FINANCEIRO - CONTAS A PAGAR</v>
      </c>
      <c r="C3828" s="2" t="str">
        <f t="shared" si="317"/>
        <v>FINAN</v>
      </c>
      <c r="D3828" s="2" t="str">
        <f t="shared" si="319"/>
        <v>FNCP</v>
      </c>
      <c r="E3828" s="2" t="str">
        <f>"RELATÓRIO DE CONTAS A RECEBER"</f>
        <v>RELATÓRIO DE CONTAS A RECEBER</v>
      </c>
      <c r="F3828" s="2" t="str">
        <f>"R_CON_ARECEB_SINT"</f>
        <v>R_CON_ARECEB_SINT</v>
      </c>
      <c r="G3828" s="2" t="str">
        <f t="shared" si="321"/>
        <v xml:space="preserve"> ()</v>
      </c>
    </row>
    <row r="3829" spans="1:7" x14ac:dyDescent="0.3">
      <c r="A3829" s="1" t="s">
        <v>4</v>
      </c>
      <c r="B3829" s="2" t="str">
        <f t="shared" si="318"/>
        <v>SISTEMA FINANCEIRO - CONTAS A PAGAR</v>
      </c>
      <c r="C3829" s="2" t="str">
        <f t="shared" si="317"/>
        <v>FINAN</v>
      </c>
      <c r="D3829" s="2" t="str">
        <f t="shared" si="319"/>
        <v>FNCP</v>
      </c>
      <c r="E3829" s="2" t="str">
        <f>"RELATÓRIO DE LOTES DE PAGAMENTO"</f>
        <v>RELATÓRIO DE LOTES DE PAGAMENTO</v>
      </c>
      <c r="F3829" s="2" t="str">
        <f>"R_LOTE_PAGAMENTO.RDF"</f>
        <v>R_LOTE_PAGAMENTO.RDF</v>
      </c>
      <c r="G3829" s="2" t="str">
        <f t="shared" si="321"/>
        <v xml:space="preserve"> ()</v>
      </c>
    </row>
    <row r="3830" spans="1:7" x14ac:dyDescent="0.3">
      <c r="A3830" s="1" t="s">
        <v>4</v>
      </c>
      <c r="B3830" s="2" t="str">
        <f t="shared" si="318"/>
        <v>SISTEMA FINANCEIRO - CONTAS A PAGAR</v>
      </c>
      <c r="C3830" s="2" t="str">
        <f t="shared" si="317"/>
        <v>FINAN</v>
      </c>
      <c r="D3830" s="2" t="str">
        <f t="shared" si="319"/>
        <v>FNCP</v>
      </c>
      <c r="E3830" s="2" t="str">
        <f>"COMPROVANTE DE PAGAMENTO"</f>
        <v>COMPROVANTE DE PAGAMENTO</v>
      </c>
      <c r="F3830" s="2" t="str">
        <f>"R_COMPRO_PAGAMENTO.RDF"</f>
        <v>R_COMPRO_PAGAMENTO.RDF</v>
      </c>
      <c r="G3830" s="2" t="str">
        <f t="shared" si="321"/>
        <v xml:space="preserve"> ()</v>
      </c>
    </row>
    <row r="3831" spans="1:7" x14ac:dyDescent="0.3">
      <c r="A3831" s="1" t="s">
        <v>4</v>
      </c>
      <c r="B3831" s="2" t="str">
        <f t="shared" si="318"/>
        <v>SISTEMA FINANCEIRO - CONTAS A PAGAR</v>
      </c>
      <c r="C3831" s="2" t="str">
        <f t="shared" si="317"/>
        <v>FINAN</v>
      </c>
      <c r="D3831" s="2" t="str">
        <f t="shared" si="319"/>
        <v>FNCP</v>
      </c>
      <c r="E3831" s="2" t="str">
        <f>"RELATÓRIO DE IMPOSTO POR FORNECEDOR"</f>
        <v>RELATÓRIO DE IMPOSTO POR FORNECEDOR</v>
      </c>
      <c r="F3831" s="2" t="str">
        <f>"R_DET_FORN.RDF"</f>
        <v>R_DET_FORN.RDF</v>
      </c>
      <c r="G3831" s="2" t="str">
        <f t="shared" si="321"/>
        <v xml:space="preserve"> ()</v>
      </c>
    </row>
    <row r="3832" spans="1:7" x14ac:dyDescent="0.3">
      <c r="A3832" s="1" t="s">
        <v>4</v>
      </c>
      <c r="B3832" s="2" t="str">
        <f t="shared" si="318"/>
        <v>SISTEMA FINANCEIRO - CONTAS A PAGAR</v>
      </c>
      <c r="C3832" s="2" t="str">
        <f t="shared" si="317"/>
        <v>FINAN</v>
      </c>
      <c r="D3832" s="2" t="str">
        <f t="shared" si="319"/>
        <v>FNCP</v>
      </c>
      <c r="E3832" s="2" t="str">
        <f>"EMISSÃO DO DAM"</f>
        <v>EMISSÃO DO DAM</v>
      </c>
      <c r="F3832" s="2" t="str">
        <f>"R_DAM.RDF"</f>
        <v>R_DAM.RDF</v>
      </c>
      <c r="G3832" s="2" t="str">
        <f t="shared" si="321"/>
        <v xml:space="preserve"> ()</v>
      </c>
    </row>
    <row r="3833" spans="1:7" x14ac:dyDescent="0.3">
      <c r="A3833" s="1" t="s">
        <v>4</v>
      </c>
      <c r="B3833" s="2" t="str">
        <f t="shared" si="318"/>
        <v>SISTEMA FINANCEIRO - CONTAS A PAGAR</v>
      </c>
      <c r="C3833" s="2" t="str">
        <f t="shared" si="317"/>
        <v>FINAN</v>
      </c>
      <c r="D3833" s="2" t="str">
        <f t="shared" si="319"/>
        <v>FNCP</v>
      </c>
      <c r="E3833" s="2" t="str">
        <f>"EMISSÃO DO GPS"</f>
        <v>EMISSÃO DO GPS</v>
      </c>
      <c r="F3833" s="2" t="str">
        <f>"R_GPS.RDF"</f>
        <v>R_GPS.RDF</v>
      </c>
      <c r="G3833" s="2" t="str">
        <f t="shared" si="321"/>
        <v xml:space="preserve"> ()</v>
      </c>
    </row>
    <row r="3834" spans="1:7" x14ac:dyDescent="0.3">
      <c r="A3834" s="1" t="s">
        <v>4</v>
      </c>
      <c r="B3834" s="2" t="str">
        <f t="shared" si="318"/>
        <v>SISTEMA FINANCEIRO - CONTAS A PAGAR</v>
      </c>
      <c r="C3834" s="2" t="str">
        <f t="shared" si="317"/>
        <v>FINAN</v>
      </c>
      <c r="D3834" s="2" t="str">
        <f t="shared" si="319"/>
        <v>FNCP</v>
      </c>
      <c r="E3834" s="2" t="str">
        <f>"EMISSÃO DO DARF"</f>
        <v>EMISSÃO DO DARF</v>
      </c>
      <c r="F3834" s="2" t="str">
        <f>"R_DARF.RDF"</f>
        <v>R_DARF.RDF</v>
      </c>
      <c r="G3834" s="2" t="str">
        <f t="shared" si="321"/>
        <v xml:space="preserve"> ()</v>
      </c>
    </row>
    <row r="3835" spans="1:7" x14ac:dyDescent="0.3">
      <c r="A3835" s="1" t="s">
        <v>4</v>
      </c>
      <c r="B3835" s="2" t="str">
        <f t="shared" si="318"/>
        <v>SISTEMA FINANCEIRO - CONTAS A PAGAR</v>
      </c>
      <c r="C3835" s="2" t="str">
        <f t="shared" si="317"/>
        <v>FINAN</v>
      </c>
      <c r="D3835" s="2" t="str">
        <f t="shared" si="319"/>
        <v>FNCP</v>
      </c>
      <c r="E3835" s="2" t="str">
        <f>"SALDO DE ADIANTAMENTOS"</f>
        <v>SALDO DE ADIANTAMENTOS</v>
      </c>
      <c r="F3835" s="2" t="str">
        <f>"R_SALDO_ADIANTAMENTO.RDF"</f>
        <v>R_SALDO_ADIANTAMENTO.RDF</v>
      </c>
      <c r="G3835" s="2" t="str">
        <f t="shared" si="321"/>
        <v xml:space="preserve"> ()</v>
      </c>
    </row>
    <row r="3836" spans="1:7" x14ac:dyDescent="0.3">
      <c r="A3836" s="1" t="s">
        <v>4</v>
      </c>
      <c r="B3836" s="2" t="str">
        <f t="shared" si="318"/>
        <v>SISTEMA FINANCEIRO - CONTAS A PAGAR</v>
      </c>
      <c r="C3836" s="2" t="str">
        <f t="shared" si="317"/>
        <v>FINAN</v>
      </c>
      <c r="D3836" s="2" t="str">
        <f t="shared" si="319"/>
        <v>FNCP</v>
      </c>
      <c r="E3836" s="2" t="str">
        <f>"RECIBO DE ADIANTAMENTO"</f>
        <v>RECIBO DE ADIANTAMENTO</v>
      </c>
      <c r="F3836" s="2" t="str">
        <f>"R_RECIBO_ADIANT.RDF"</f>
        <v>R_RECIBO_ADIANT.RDF</v>
      </c>
      <c r="G3836" s="2" t="str">
        <f t="shared" si="321"/>
        <v xml:space="preserve"> ()</v>
      </c>
    </row>
    <row r="3837" spans="1:7" x14ac:dyDescent="0.3">
      <c r="A3837" s="1" t="s">
        <v>4</v>
      </c>
      <c r="B3837" s="2" t="str">
        <f t="shared" si="318"/>
        <v>SISTEMA FINANCEIRO - CONTAS A PAGAR</v>
      </c>
      <c r="C3837" s="2" t="str">
        <f t="shared" ref="C3837:C3900" si="322">"FINAN"</f>
        <v>FINAN</v>
      </c>
      <c r="D3837" s="2" t="str">
        <f t="shared" si="319"/>
        <v>FNCP</v>
      </c>
      <c r="E3837" s="2" t="str">
        <f>"REL. DE ETIQUETAS DE FORNECEDOR/CLIENTE"</f>
        <v>REL. DE ETIQUETAS DE FORNECEDOR/CLIENTE</v>
      </c>
      <c r="F3837" s="2" t="str">
        <f>"R_ETIQ_FORNEC.RDF"</f>
        <v>R_ETIQ_FORNEC.RDF</v>
      </c>
      <c r="G3837" s="2" t="str">
        <f t="shared" si="321"/>
        <v xml:space="preserve"> ()</v>
      </c>
    </row>
    <row r="3838" spans="1:7" x14ac:dyDescent="0.3">
      <c r="A3838" s="1" t="s">
        <v>4</v>
      </c>
      <c r="B3838" s="2" t="str">
        <f t="shared" si="318"/>
        <v>SISTEMA FINANCEIRO - CONTAS A PAGAR</v>
      </c>
      <c r="C3838" s="2" t="str">
        <f t="shared" si="322"/>
        <v>FINAN</v>
      </c>
      <c r="D3838" s="2" t="str">
        <f t="shared" si="319"/>
        <v>FNCP</v>
      </c>
      <c r="E3838" s="2" t="str">
        <f>"CURVA ABC DOS CENTROS DE CUSTO"</f>
        <v>CURVA ABC DOS CENTROS DE CUSTO</v>
      </c>
      <c r="F3838" s="2" t="str">
        <f>"R_CENTRO_CUSTO_ABC.RDF"</f>
        <v>R_CENTRO_CUSTO_ABC.RDF</v>
      </c>
      <c r="G3838" s="2" t="str">
        <f t="shared" si="321"/>
        <v xml:space="preserve"> ()</v>
      </c>
    </row>
    <row r="3839" spans="1:7" x14ac:dyDescent="0.3">
      <c r="A3839" s="1" t="s">
        <v>4</v>
      </c>
      <c r="B3839" s="2" t="str">
        <f t="shared" si="318"/>
        <v>SISTEMA FINANCEIRO - CONTAS A PAGAR</v>
      </c>
      <c r="C3839" s="2" t="str">
        <f t="shared" si="322"/>
        <v>FINAN</v>
      </c>
      <c r="D3839" s="2" t="str">
        <f t="shared" si="319"/>
        <v>FNCP</v>
      </c>
      <c r="E3839" s="2" t="str">
        <f>"CURVA ABC DOS GRUPOS DAS CONTAS DE CUSTO"</f>
        <v>CURVA ABC DOS GRUPOS DAS CONTAS DE CUSTO</v>
      </c>
      <c r="F3839" s="2" t="str">
        <f>"R_CURGRURES_GRUPO.RDF"</f>
        <v>R_CURGRURES_GRUPO.RDF</v>
      </c>
      <c r="G3839" s="2" t="str">
        <f t="shared" si="321"/>
        <v xml:space="preserve"> ()</v>
      </c>
    </row>
    <row r="3840" spans="1:7" x14ac:dyDescent="0.3">
      <c r="A3840" s="1" t="s">
        <v>4</v>
      </c>
      <c r="B3840" s="2" t="str">
        <f t="shared" si="318"/>
        <v>SISTEMA FINANCEIRO - CONTAS A PAGAR</v>
      </c>
      <c r="C3840" s="2" t="str">
        <f t="shared" si="322"/>
        <v>FINAN</v>
      </c>
      <c r="D3840" s="2" t="str">
        <f t="shared" si="319"/>
        <v>FNCP</v>
      </c>
      <c r="E3840" s="2" t="str">
        <f>"RELATÓRIO DE CONTA CORRENTE DO CLIENTE"</f>
        <v>RELATÓRIO DE CONTA CORRENTE DO CLIENTE</v>
      </c>
      <c r="F3840" s="2" t="str">
        <f>"R_CONCLI.RDF"</f>
        <v>R_CONCLI.RDF</v>
      </c>
      <c r="G3840" s="2" t="str">
        <f t="shared" si="321"/>
        <v xml:space="preserve"> ()</v>
      </c>
    </row>
    <row r="3841" spans="1:7" x14ac:dyDescent="0.3">
      <c r="A3841" s="1" t="s">
        <v>4</v>
      </c>
      <c r="B3841" s="2" t="str">
        <f t="shared" si="318"/>
        <v>SISTEMA FINANCEIRO - CONTAS A PAGAR</v>
      </c>
      <c r="C3841" s="2" t="str">
        <f t="shared" si="322"/>
        <v>FINAN</v>
      </c>
      <c r="D3841" s="2" t="str">
        <f t="shared" si="319"/>
        <v>FNCP</v>
      </c>
      <c r="E3841" s="2" t="str">
        <f>"RECEBIMENTOS REALIZADOS COM ATRASO"</f>
        <v>RECEBIMENTOS REALIZADOS COM ATRASO</v>
      </c>
      <c r="F3841" s="2" t="str">
        <f>"R_RECEB_ATRASO.RDF"</f>
        <v>R_RECEB_ATRASO.RDF</v>
      </c>
      <c r="G3841" s="2" t="str">
        <f t="shared" si="321"/>
        <v xml:space="preserve"> ()</v>
      </c>
    </row>
    <row r="3842" spans="1:7" x14ac:dyDescent="0.3">
      <c r="A3842" s="1" t="s">
        <v>4</v>
      </c>
      <c r="B3842" s="2" t="str">
        <f t="shared" si="318"/>
        <v>SISTEMA FINANCEIRO - CONTAS A PAGAR</v>
      </c>
      <c r="C3842" s="2" t="str">
        <f t="shared" si="322"/>
        <v>FINAN</v>
      </c>
      <c r="D3842" s="2" t="str">
        <f t="shared" si="319"/>
        <v>FNCP</v>
      </c>
      <c r="E3842" s="2" t="str">
        <f>"POSIÇÃO DE CONTAS A RECEBER SINTÉTICO"</f>
        <v>POSIÇÃO DE CONTAS A RECEBER SINTÉTICO</v>
      </c>
      <c r="F3842" s="2" t="str">
        <f>"R_CON_ARECEB_POSICAO_SINT"</f>
        <v>R_CON_ARECEB_POSICAO_SINT</v>
      </c>
      <c r="G3842" s="2" t="str">
        <f t="shared" si="321"/>
        <v xml:space="preserve"> ()</v>
      </c>
    </row>
    <row r="3843" spans="1:7" x14ac:dyDescent="0.3">
      <c r="A3843" s="1" t="s">
        <v>4</v>
      </c>
      <c r="B3843" s="2" t="str">
        <f t="shared" ref="B3843:B3878" si="323">"SISTEMA DE TESOURARIA"</f>
        <v>SISTEMA DE TESOURARIA</v>
      </c>
      <c r="C3843" s="2" t="str">
        <f t="shared" si="322"/>
        <v>FINAN</v>
      </c>
      <c r="D3843" s="2" t="str">
        <f t="shared" ref="D3843:D3878" si="324">"FNCT"</f>
        <v>FNCT</v>
      </c>
      <c r="E3843" s="2" t="str">
        <f>"WIN_PRINCIPAL"</f>
        <v>WIN_PRINCIPAL</v>
      </c>
      <c r="F3843" s="2" t="str">
        <f>"M_CON_REC_FNCT"</f>
        <v>M_CON_REC_FNCT</v>
      </c>
      <c r="G3843" s="2" t="str">
        <f t="shared" si="321"/>
        <v xml:space="preserve"> ()</v>
      </c>
    </row>
    <row r="3844" spans="1:7" x14ac:dyDescent="0.3">
      <c r="A3844" s="1" t="s">
        <v>4</v>
      </c>
      <c r="B3844" s="2" t="str">
        <f t="shared" si="323"/>
        <v>SISTEMA DE TESOURARIA</v>
      </c>
      <c r="C3844" s="2" t="str">
        <f t="shared" si="322"/>
        <v>FINAN</v>
      </c>
      <c r="D3844" s="2" t="str">
        <f t="shared" si="324"/>
        <v>FNCT</v>
      </c>
      <c r="E3844" s="2" t="str">
        <f>"Recibo Tesouraria Terceiros"</f>
        <v>Recibo Tesouraria Terceiros</v>
      </c>
      <c r="F3844" s="2" t="str">
        <f>"O_RECIBO_TESOURA_TERCEIRO"</f>
        <v>O_RECIBO_TESOURA_TERCEIRO</v>
      </c>
      <c r="G3844" s="2" t="str">
        <f>"Controladoria / Tesouraria / Relatórios / Recibos / Recibo Tesouraria Terceiros (O_RECIBO_TESOURA_TERCEIRO)"</f>
        <v>Controladoria / Tesouraria / Relatórios / Recibos / Recibo Tesouraria Terceiros (O_RECIBO_TESOURA_TERCEIRO)</v>
      </c>
    </row>
    <row r="3845" spans="1:7" x14ac:dyDescent="0.3">
      <c r="A3845" s="1" t="s">
        <v>4</v>
      </c>
      <c r="B3845" s="2" t="str">
        <f t="shared" si="323"/>
        <v>SISTEMA DE TESOURARIA</v>
      </c>
      <c r="C3845" s="2" t="str">
        <f t="shared" si="322"/>
        <v>FINAN</v>
      </c>
      <c r="D3845" s="2" t="str">
        <f t="shared" si="324"/>
        <v>FNCT</v>
      </c>
      <c r="E3845" s="2" t="str">
        <f>"Recibo Tesouraria"</f>
        <v>Recibo Tesouraria</v>
      </c>
      <c r="F3845" s="2" t="str">
        <f>"O_RECIBO_TESOURA"</f>
        <v>O_RECIBO_TESOURA</v>
      </c>
      <c r="G3845" s="2" t="str">
        <f>"Controladoria / Tesouraria / Relatórios / Recibos / Recibo Tesouraria (O_RECIBO_TESOURA)"</f>
        <v>Controladoria / Tesouraria / Relatórios / Recibos / Recibo Tesouraria (O_RECIBO_TESOURA)</v>
      </c>
    </row>
    <row r="3846" spans="1:7" x14ac:dyDescent="0.3">
      <c r="A3846" s="1" t="s">
        <v>4</v>
      </c>
      <c r="B3846" s="2" t="str">
        <f t="shared" si="323"/>
        <v>SISTEMA DE TESOURARIA</v>
      </c>
      <c r="C3846" s="2" t="str">
        <f t="shared" si="322"/>
        <v>FINAN</v>
      </c>
      <c r="D3846" s="2" t="str">
        <f t="shared" si="324"/>
        <v>FNCT</v>
      </c>
      <c r="E3846" s="2" t="str">
        <f>"R_RECEBECAUCAO_750"</f>
        <v>R_RECEBECAUCAO_750</v>
      </c>
      <c r="F3846" s="2" t="str">
        <f>"R_RECEBECAUCAO_750"</f>
        <v>R_RECEBECAUCAO_750</v>
      </c>
      <c r="G3846" s="2" t="str">
        <f>" ()"</f>
        <v xml:space="preserve"> ()</v>
      </c>
    </row>
    <row r="3847" spans="1:7" x14ac:dyDescent="0.3">
      <c r="A3847" s="1" t="s">
        <v>4</v>
      </c>
      <c r="B3847" s="2" t="str">
        <f t="shared" si="323"/>
        <v>SISTEMA DE TESOURARIA</v>
      </c>
      <c r="C3847" s="2" t="str">
        <f t="shared" si="322"/>
        <v>FINAN</v>
      </c>
      <c r="D3847" s="2" t="str">
        <f t="shared" si="324"/>
        <v>FNCT</v>
      </c>
      <c r="E3847" s="2" t="str">
        <f>"RESTITUIÇÃO DAS CAUÇÕES"</f>
        <v>RESTITUIÇÃO DAS CAUÇÕES</v>
      </c>
      <c r="F3847" s="2" t="str">
        <f>"R_REST_CAUCAO"</f>
        <v>R_REST_CAUCAO</v>
      </c>
      <c r="G3847" s="2" t="str">
        <f>"Controladoria / Tesouraria / Relatórios / Internação / Restituição de Dep. Antecipado (R_REST_CAUCAO)"</f>
        <v>Controladoria / Tesouraria / Relatórios / Internação / Restituição de Dep. Antecipado (R_REST_CAUCAO)</v>
      </c>
    </row>
    <row r="3848" spans="1:7" x14ac:dyDescent="0.3">
      <c r="A3848" s="1" t="s">
        <v>4</v>
      </c>
      <c r="B3848" s="2" t="str">
        <f t="shared" si="323"/>
        <v>SISTEMA DE TESOURARIA</v>
      </c>
      <c r="C3848" s="2" t="str">
        <f t="shared" si="322"/>
        <v>FINAN</v>
      </c>
      <c r="D3848" s="2" t="str">
        <f t="shared" si="324"/>
        <v>FNCT</v>
      </c>
      <c r="E3848" s="2" t="str">
        <f>"C_CONTAS_PARTICULAR"</f>
        <v>C_CONTAS_PARTICULAR</v>
      </c>
      <c r="F3848" s="2" t="str">
        <f>"C_CONTAS_PARTICULAR"</f>
        <v>C_CONTAS_PARTICULAR</v>
      </c>
      <c r="G3848" s="2" t="str">
        <f>" ()"</f>
        <v xml:space="preserve"> ()</v>
      </c>
    </row>
    <row r="3849" spans="1:7" x14ac:dyDescent="0.3">
      <c r="A3849" s="1" t="s">
        <v>4</v>
      </c>
      <c r="B3849" s="2" t="str">
        <f t="shared" si="323"/>
        <v>SISTEMA DE TESOURARIA</v>
      </c>
      <c r="C3849" s="2" t="str">
        <f t="shared" si="322"/>
        <v>FINAN</v>
      </c>
      <c r="D3849" s="2" t="str">
        <f t="shared" si="324"/>
        <v>FNCT</v>
      </c>
      <c r="E3849" s="2" t="str">
        <f>"M_CON_REC_PART_1302"</f>
        <v>M_CON_REC_PART_1302</v>
      </c>
      <c r="F3849" s="2" t="str">
        <f>"M_CON_REC_PART_1302"</f>
        <v>M_CON_REC_PART_1302</v>
      </c>
      <c r="G3849" s="2" t="str">
        <f>" ()"</f>
        <v xml:space="preserve"> ()</v>
      </c>
    </row>
    <row r="3850" spans="1:7" x14ac:dyDescent="0.3">
      <c r="A3850" s="1" t="s">
        <v>4</v>
      </c>
      <c r="B3850" s="2" t="str">
        <f t="shared" si="323"/>
        <v>SISTEMA DE TESOURARIA</v>
      </c>
      <c r="C3850" s="2" t="str">
        <f t="shared" si="322"/>
        <v>FINAN</v>
      </c>
      <c r="D3850" s="2" t="str">
        <f t="shared" si="324"/>
        <v>FNCT</v>
      </c>
      <c r="E3850" s="2" t="str">
        <f>"R_RECIBO_RECEBIMENTO"</f>
        <v>R_RECIBO_RECEBIMENTO</v>
      </c>
      <c r="F3850" s="2" t="str">
        <f>"R_RECIBO_RECEBIMENTO"</f>
        <v>R_RECIBO_RECEBIMENTO</v>
      </c>
      <c r="G3850" s="2" t="str">
        <f>" ()"</f>
        <v xml:space="preserve"> ()</v>
      </c>
    </row>
    <row r="3851" spans="1:7" x14ac:dyDescent="0.3">
      <c r="A3851" s="1" t="s">
        <v>4</v>
      </c>
      <c r="B3851" s="2" t="str">
        <f t="shared" si="323"/>
        <v>SISTEMA DE TESOURARIA</v>
      </c>
      <c r="C3851" s="2" t="str">
        <f t="shared" si="322"/>
        <v>FINAN</v>
      </c>
      <c r="D3851" s="2" t="str">
        <f t="shared" si="324"/>
        <v>FNCT</v>
      </c>
      <c r="E3851" s="2" t="str">
        <f>"CANCELAMENTO DE PAGAMENTOS EM DINHEIRO"</f>
        <v>CANCELAMENTO DE PAGAMENTOS EM DINHEIRO</v>
      </c>
      <c r="F3851" s="2" t="str">
        <f>"O_CANC_DINH"</f>
        <v>O_CANC_DINH</v>
      </c>
      <c r="G3851" s="2" t="str">
        <f>"Controladoria / Tesouraria / Tesouraria / Cancelamento Pagamento Dinheiro (O_CANC_DINH)"</f>
        <v>Controladoria / Tesouraria / Tesouraria / Cancelamento Pagamento Dinheiro (O_CANC_DINH)</v>
      </c>
    </row>
    <row r="3852" spans="1:7" x14ac:dyDescent="0.3">
      <c r="A3852" s="1" t="s">
        <v>4</v>
      </c>
      <c r="B3852" s="2" t="str">
        <f t="shared" si="323"/>
        <v>SISTEMA DE TESOURARIA</v>
      </c>
      <c r="C3852" s="2" t="str">
        <f t="shared" si="322"/>
        <v>FINAN</v>
      </c>
      <c r="D3852" s="2" t="str">
        <f t="shared" si="324"/>
        <v>FNCT</v>
      </c>
      <c r="E3852" s="2" t="str">
        <f>"R_NOTA_FISCAL_CONV_661"</f>
        <v>R_NOTA_FISCAL_CONV_661</v>
      </c>
      <c r="F3852" s="2" t="str">
        <f>"R_NOTA_FISCAL_CONV_661"</f>
        <v>R_NOTA_FISCAL_CONV_661</v>
      </c>
      <c r="G3852" s="2" t="str">
        <f>" ()"</f>
        <v xml:space="preserve"> ()</v>
      </c>
    </row>
    <row r="3853" spans="1:7" x14ac:dyDescent="0.3">
      <c r="A3853" s="1" t="s">
        <v>4</v>
      </c>
      <c r="B3853" s="2" t="str">
        <f t="shared" si="323"/>
        <v>SISTEMA DE TESOURARIA</v>
      </c>
      <c r="C3853" s="2" t="str">
        <f t="shared" si="322"/>
        <v>FINAN</v>
      </c>
      <c r="D3853" s="2" t="str">
        <f t="shared" si="324"/>
        <v>FNCT</v>
      </c>
      <c r="E3853" s="2" t="str">
        <f>"PERSONALIZADOS FNCT"</f>
        <v>PERSONALIZADOS FNCT</v>
      </c>
      <c r="F3853" s="2" t="str">
        <f>"R_PERSON_FNCT"</f>
        <v>R_PERSON_FNCT</v>
      </c>
      <c r="G3853" s="2" t="str">
        <f>"Controladoria / Tesouraria / Relatórios / Personalizados (R_PERSON_FNCT)"</f>
        <v>Controladoria / Tesouraria / Relatórios / Personalizados (R_PERSON_FNCT)</v>
      </c>
    </row>
    <row r="3854" spans="1:7" x14ac:dyDescent="0.3">
      <c r="A3854" s="1" t="s">
        <v>4</v>
      </c>
      <c r="B3854" s="2" t="str">
        <f t="shared" si="323"/>
        <v>SISTEMA DE TESOURARIA</v>
      </c>
      <c r="C3854" s="2" t="str">
        <f t="shared" si="322"/>
        <v>FINAN</v>
      </c>
      <c r="D3854" s="2" t="str">
        <f t="shared" si="324"/>
        <v>FNCT</v>
      </c>
      <c r="E3854" s="2" t="str">
        <f>"R_CONTA_REC_PAC_263"</f>
        <v>R_CONTA_REC_PAC_263</v>
      </c>
      <c r="F3854" s="2" t="str">
        <f>"R_CONTA_REC_PAC_263"</f>
        <v>R_CONTA_REC_PAC_263</v>
      </c>
      <c r="G3854" s="2" t="str">
        <f>" ()"</f>
        <v xml:space="preserve"> ()</v>
      </c>
    </row>
    <row r="3855" spans="1:7" x14ac:dyDescent="0.3">
      <c r="A3855" s="1" t="s">
        <v>4</v>
      </c>
      <c r="B3855" s="2" t="str">
        <f t="shared" si="323"/>
        <v>SISTEMA DE TESOURARIA</v>
      </c>
      <c r="C3855" s="2" t="str">
        <f t="shared" si="322"/>
        <v>FINAN</v>
      </c>
      <c r="D3855" s="2" t="str">
        <f t="shared" si="324"/>
        <v>FNCT</v>
      </c>
      <c r="E3855" s="2" t="str">
        <f>"R_NOTA_FISC_PART_661"</f>
        <v>R_NOTA_FISC_PART_661</v>
      </c>
      <c r="F3855" s="2" t="str">
        <f>"R_NOTA_FISC_PART_661"</f>
        <v>R_NOTA_FISC_PART_661</v>
      </c>
      <c r="G3855" s="2" t="str">
        <f>" ()"</f>
        <v xml:space="preserve"> ()</v>
      </c>
    </row>
    <row r="3856" spans="1:7" x14ac:dyDescent="0.3">
      <c r="A3856" s="1" t="s">
        <v>4</v>
      </c>
      <c r="B3856" s="2" t="str">
        <f t="shared" si="323"/>
        <v>SISTEMA DE TESOURARIA</v>
      </c>
      <c r="C3856" s="2" t="str">
        <f t="shared" si="322"/>
        <v>FINAN</v>
      </c>
      <c r="D3856" s="2" t="str">
        <f t="shared" si="324"/>
        <v>FNCT</v>
      </c>
      <c r="E3856" s="2" t="str">
        <f>"M_CONTA_PARC_PART"</f>
        <v>M_CONTA_PARC_PART</v>
      </c>
      <c r="F3856" s="2" t="str">
        <f>"M_CONTA_PARC_PART"</f>
        <v>M_CONTA_PARC_PART</v>
      </c>
      <c r="G3856" s="2" t="str">
        <f>" ()"</f>
        <v xml:space="preserve"> ()</v>
      </c>
    </row>
    <row r="3857" spans="1:7" x14ac:dyDescent="0.3">
      <c r="A3857" s="1" t="s">
        <v>4</v>
      </c>
      <c r="B3857" s="2" t="str">
        <f t="shared" si="323"/>
        <v>SISTEMA DE TESOURARIA</v>
      </c>
      <c r="C3857" s="2" t="str">
        <f t="shared" si="322"/>
        <v>FINAN</v>
      </c>
      <c r="D3857" s="2" t="str">
        <f t="shared" si="324"/>
        <v>FNCT</v>
      </c>
      <c r="E3857" s="2" t="str">
        <f>"M_CONTA_REC_PART"</f>
        <v>M_CONTA_REC_PART</v>
      </c>
      <c r="F3857" s="2" t="str">
        <f>"M_CONTA_REC_PART"</f>
        <v>M_CONTA_REC_PART</v>
      </c>
      <c r="G3857" s="2" t="str">
        <f>" ()"</f>
        <v xml:space="preserve"> ()</v>
      </c>
    </row>
    <row r="3858" spans="1:7" x14ac:dyDescent="0.3">
      <c r="A3858" s="1" t="s">
        <v>4</v>
      </c>
      <c r="B3858" s="2" t="str">
        <f t="shared" si="323"/>
        <v>SISTEMA DE TESOURARIA</v>
      </c>
      <c r="C3858" s="2" t="str">
        <f t="shared" si="322"/>
        <v>FINAN</v>
      </c>
      <c r="D3858" s="2" t="str">
        <f t="shared" si="324"/>
        <v>FNCT</v>
      </c>
      <c r="E3858" s="2" t="str">
        <f>"R_NOTA_FISC_388"</f>
        <v>R_NOTA_FISC_388</v>
      </c>
      <c r="F3858" s="2" t="str">
        <f>"R_NOTA_FISC_388"</f>
        <v>R_NOTA_FISC_388</v>
      </c>
      <c r="G3858" s="2" t="str">
        <f>" ()"</f>
        <v xml:space="preserve"> ()</v>
      </c>
    </row>
    <row r="3859" spans="1:7" x14ac:dyDescent="0.3">
      <c r="A3859" s="1" t="s">
        <v>4</v>
      </c>
      <c r="B3859" s="2" t="str">
        <f t="shared" si="323"/>
        <v>SISTEMA DE TESOURARIA</v>
      </c>
      <c r="C3859" s="2" t="str">
        <f t="shared" si="322"/>
        <v>FINAN</v>
      </c>
      <c r="D3859" s="2" t="str">
        <f t="shared" si="324"/>
        <v>FNCT</v>
      </c>
      <c r="E3859" s="2" t="str">
        <f>"CONTA HOSPITALAR"</f>
        <v>CONTA HOSPITALAR</v>
      </c>
      <c r="F3859" s="2" t="str">
        <f>"M_LAN_HOS_OUTROS"</f>
        <v>M_LAN_HOS_OUTROS</v>
      </c>
      <c r="G3859" s="2" t="str">
        <f>"Controladoria / Tesouraria / Tesouraria / Conta Hospitalar (M_LAN_HOS_OUTROS)"</f>
        <v>Controladoria / Tesouraria / Tesouraria / Conta Hospitalar (M_LAN_HOS_OUTROS)</v>
      </c>
    </row>
    <row r="3860" spans="1:7" x14ac:dyDescent="0.3">
      <c r="A3860" s="1" t="s">
        <v>4</v>
      </c>
      <c r="B3860" s="2" t="str">
        <f t="shared" si="323"/>
        <v>SISTEMA DE TESOURARIA</v>
      </c>
      <c r="C3860" s="2" t="str">
        <f t="shared" si="322"/>
        <v>FINAN</v>
      </c>
      <c r="D3860" s="2" t="str">
        <f t="shared" si="324"/>
        <v>FNCT</v>
      </c>
      <c r="E3860" s="2" t="str">
        <f>"CONTA HOSPITALAR"</f>
        <v>CONTA HOSPITALAR</v>
      </c>
      <c r="F3860" s="2" t="str">
        <f>"M_LAN_HOS_OUTROS"</f>
        <v>M_LAN_HOS_OUTROS</v>
      </c>
      <c r="G3860" s="2" t="str">
        <f>"Controladoria / Caixa / Faturamento / Conta hospitalar (M_LAN_HOS_OUTROS)"</f>
        <v>Controladoria / Caixa / Faturamento / Conta hospitalar (M_LAN_HOS_OUTROS)</v>
      </c>
    </row>
    <row r="3861" spans="1:7" x14ac:dyDescent="0.3">
      <c r="A3861" s="1" t="s">
        <v>4</v>
      </c>
      <c r="B3861" s="2" t="str">
        <f t="shared" si="323"/>
        <v>SISTEMA DE TESOURARIA</v>
      </c>
      <c r="C3861" s="2" t="str">
        <f t="shared" si="322"/>
        <v>FINAN</v>
      </c>
      <c r="D3861" s="2" t="str">
        <f t="shared" si="324"/>
        <v>FNCT</v>
      </c>
      <c r="E3861" s="2" t="str">
        <f>"CONTA HOSPITALAR"</f>
        <v>CONTA HOSPITALAR</v>
      </c>
      <c r="F3861" s="2" t="str">
        <f>"M_LAN_HOS_OUTROS"</f>
        <v>M_LAN_HOS_OUTROS</v>
      </c>
      <c r="G3861" s="2" t="str">
        <f>"Faturamento Distribuído de Convênios e Particulares / Lançamentos / Conta Hospitalar / Conta do Atendimento (M_LAN_HOS_OUTROS)"</f>
        <v>Faturamento Distribuído de Convênios e Particulares / Lançamentos / Conta Hospitalar / Conta do Atendimento (M_LAN_HOS_OUTROS)</v>
      </c>
    </row>
    <row r="3862" spans="1:7" x14ac:dyDescent="0.3">
      <c r="A3862" s="1" t="s">
        <v>4</v>
      </c>
      <c r="B3862" s="2" t="str">
        <f t="shared" si="323"/>
        <v>SISTEMA DE TESOURARIA</v>
      </c>
      <c r="C3862" s="2" t="str">
        <f t="shared" si="322"/>
        <v>FINAN</v>
      </c>
      <c r="D3862" s="2" t="str">
        <f t="shared" si="324"/>
        <v>FNCT</v>
      </c>
      <c r="E3862" s="2" t="str">
        <f>"CONTA HOSPITALAR"</f>
        <v>CONTA HOSPITALAR</v>
      </c>
      <c r="F3862" s="2" t="str">
        <f>"M_LAN_HOS_OUTROS"</f>
        <v>M_LAN_HOS_OUTROS</v>
      </c>
      <c r="G3862" s="2" t="str">
        <f>"Faturamento / Faturamento de Convênios e Particulares / Lançamentos / Distribuído / Conta Hospitalar / Conta do Atendimento (M_LAN_HOS_OUTROS)"</f>
        <v>Faturamento / Faturamento de Convênios e Particulares / Lançamentos / Distribuído / Conta Hospitalar / Conta do Atendimento (M_LAN_HOS_OUTROS)</v>
      </c>
    </row>
    <row r="3863" spans="1:7" x14ac:dyDescent="0.3">
      <c r="A3863" s="1" t="s">
        <v>4</v>
      </c>
      <c r="B3863" s="2" t="str">
        <f t="shared" si="323"/>
        <v>SISTEMA DE TESOURARIA</v>
      </c>
      <c r="C3863" s="2" t="str">
        <f t="shared" si="322"/>
        <v>FINAN</v>
      </c>
      <c r="D3863" s="2" t="str">
        <f t="shared" si="324"/>
        <v>FNCT</v>
      </c>
      <c r="E3863" s="2" t="str">
        <f>"MENU DO FNCT"</f>
        <v>MENU DO FNCT</v>
      </c>
      <c r="F3863" s="2" t="str">
        <f>"M_FNCT"</f>
        <v>M_FNCT</v>
      </c>
      <c r="G3863" s="2" t="str">
        <f>" ()"</f>
        <v xml:space="preserve"> ()</v>
      </c>
    </row>
    <row r="3864" spans="1:7" x14ac:dyDescent="0.3">
      <c r="A3864" s="1" t="s">
        <v>4</v>
      </c>
      <c r="B3864" s="2" t="str">
        <f t="shared" si="323"/>
        <v>SISTEMA DE TESOURARIA</v>
      </c>
      <c r="C3864" s="2" t="str">
        <f t="shared" si="322"/>
        <v>FINAN</v>
      </c>
      <c r="D3864" s="2" t="str">
        <f t="shared" si="324"/>
        <v>FNCT</v>
      </c>
      <c r="E3864" s="2" t="str">
        <f>"MÓDULO PRINCIPAL DO FNCT"</f>
        <v>MÓDULO PRINCIPAL DO FNCT</v>
      </c>
      <c r="F3864" s="2" t="str">
        <f>"FNCT"</f>
        <v>FNCT</v>
      </c>
      <c r="G3864" s="2" t="str">
        <f>" ()"</f>
        <v xml:space="preserve"> ()</v>
      </c>
    </row>
    <row r="3865" spans="1:7" x14ac:dyDescent="0.3">
      <c r="A3865" s="1" t="s">
        <v>4</v>
      </c>
      <c r="B3865" s="2" t="str">
        <f t="shared" si="323"/>
        <v>SISTEMA DE TESOURARIA</v>
      </c>
      <c r="C3865" s="2" t="str">
        <f t="shared" si="322"/>
        <v>FINAN</v>
      </c>
      <c r="D3865" s="2" t="str">
        <f t="shared" si="324"/>
        <v>FNCT</v>
      </c>
      <c r="E3865" s="2" t="str">
        <f>"R_NOTA_FISC_CONV_661"</f>
        <v>R_NOTA_FISC_CONV_661</v>
      </c>
      <c r="F3865" s="2" t="str">
        <f>"R_NOTA_FISC_CONV_661"</f>
        <v>R_NOTA_FISC_CONV_661</v>
      </c>
      <c r="G3865" s="2" t="str">
        <f>" ()"</f>
        <v xml:space="preserve"> ()</v>
      </c>
    </row>
    <row r="3866" spans="1:7" x14ac:dyDescent="0.3">
      <c r="A3866" s="1" t="s">
        <v>4</v>
      </c>
      <c r="B3866" s="2" t="str">
        <f t="shared" si="323"/>
        <v>SISTEMA DE TESOURARIA</v>
      </c>
      <c r="C3866" s="2" t="str">
        <f t="shared" si="322"/>
        <v>FINAN</v>
      </c>
      <c r="D3866" s="2" t="str">
        <f t="shared" si="324"/>
        <v>FNCT</v>
      </c>
      <c r="E3866" s="2" t="str">
        <f>"R_NOTA_FISC_406"</f>
        <v>R_NOTA_FISC_406</v>
      </c>
      <c r="F3866" s="2" t="str">
        <f>"R_NOTA_FISC_406"</f>
        <v>R_NOTA_FISC_406</v>
      </c>
      <c r="G3866" s="2" t="str">
        <f>" ()"</f>
        <v xml:space="preserve"> ()</v>
      </c>
    </row>
    <row r="3867" spans="1:7" x14ac:dyDescent="0.3">
      <c r="A3867" s="1" t="s">
        <v>4</v>
      </c>
      <c r="B3867" s="2" t="str">
        <f t="shared" si="323"/>
        <v>SISTEMA DE TESOURARIA</v>
      </c>
      <c r="C3867" s="2" t="str">
        <f t="shared" si="322"/>
        <v>FINAN</v>
      </c>
      <c r="D3867" s="2" t="str">
        <f t="shared" si="324"/>
        <v>FNCT</v>
      </c>
      <c r="E3867" s="2" t="str">
        <f>"R_NOTA_FISCAL_380"</f>
        <v>R_NOTA_FISCAL_380</v>
      </c>
      <c r="F3867" s="2" t="str">
        <f>"R_NOTA_FISCAL_380"</f>
        <v>R_NOTA_FISCAL_380</v>
      </c>
      <c r="G3867" s="2" t="str">
        <f>" ()"</f>
        <v xml:space="preserve"> ()</v>
      </c>
    </row>
    <row r="3868" spans="1:7" x14ac:dyDescent="0.3">
      <c r="A3868" s="1" t="s">
        <v>4</v>
      </c>
      <c r="B3868" s="2" t="str">
        <f t="shared" si="323"/>
        <v>SISTEMA DE TESOURARIA</v>
      </c>
      <c r="C3868" s="2" t="str">
        <f t="shared" si="322"/>
        <v>FINAN</v>
      </c>
      <c r="D3868" s="2" t="str">
        <f t="shared" si="324"/>
        <v>FNCT</v>
      </c>
      <c r="E3868" s="2" t="str">
        <f>"WIN_PRINCIPAL"</f>
        <v>WIN_PRINCIPAL</v>
      </c>
      <c r="F3868" s="2" t="str">
        <f>"C_CONTA_PARTICULAR"</f>
        <v>C_CONTA_PARTICULAR</v>
      </c>
      <c r="G3868" s="2" t="str">
        <f>"Controladoria / Tesouraria / Tesouraria / Conta Particular - NF a emitir (C_CONTA_PARTICULAR)"</f>
        <v>Controladoria / Tesouraria / Tesouraria / Conta Particular - NF a emitir (C_CONTA_PARTICULAR)</v>
      </c>
    </row>
    <row r="3869" spans="1:7" x14ac:dyDescent="0.3">
      <c r="A3869" s="1" t="s">
        <v>4</v>
      </c>
      <c r="B3869" s="2" t="str">
        <f t="shared" si="323"/>
        <v>SISTEMA DE TESOURARIA</v>
      </c>
      <c r="C3869" s="2" t="str">
        <f t="shared" si="322"/>
        <v>FINAN</v>
      </c>
      <c r="D3869" s="2" t="str">
        <f t="shared" si="324"/>
        <v>FNCT</v>
      </c>
      <c r="E3869" s="2" t="str">
        <f>"REL. DE AUDITORIA DE CONTRATO DE ADIANT."</f>
        <v>REL. DE AUDITORIA DE CONTRATO DE ADIANT.</v>
      </c>
      <c r="F3869" s="2" t="str">
        <f>"R_AUDIT_CONTRATO_ADIANT"</f>
        <v>R_AUDIT_CONTRATO_ADIANT</v>
      </c>
      <c r="G3869" s="2" t="str">
        <f>"Controladoria / Tesouraria / Relatórios / Financeiro / Auditoria de Contrato de Adiantamento (R_AUDIT_CONTRATO_ADIANT)"</f>
        <v>Controladoria / Tesouraria / Relatórios / Financeiro / Auditoria de Contrato de Adiantamento (R_AUDIT_CONTRATO_ADIANT)</v>
      </c>
    </row>
    <row r="3870" spans="1:7" x14ac:dyDescent="0.3">
      <c r="A3870" s="1" t="s">
        <v>4</v>
      </c>
      <c r="B3870" s="2" t="str">
        <f t="shared" si="323"/>
        <v>SISTEMA DE TESOURARIA</v>
      </c>
      <c r="C3870" s="2" t="str">
        <f t="shared" si="322"/>
        <v>FINAN</v>
      </c>
      <c r="D3870" s="2" t="str">
        <f t="shared" si="324"/>
        <v>FNCT</v>
      </c>
      <c r="E3870" s="2" t="str">
        <f>"REL. DE AUDITORIA DE CONTRATO DE ADIANT."</f>
        <v>REL. DE AUDITORIA DE CONTRATO DE ADIANT.</v>
      </c>
      <c r="F3870" s="2" t="str">
        <f>"R_AUDIT_CONTRATO_ADIANT"</f>
        <v>R_AUDIT_CONTRATO_ADIANT</v>
      </c>
      <c r="G3870" s="2" t="s">
        <v>10</v>
      </c>
    </row>
    <row r="3871" spans="1:7" x14ac:dyDescent="0.3">
      <c r="A3871" s="1" t="s">
        <v>4</v>
      </c>
      <c r="B3871" s="2" t="str">
        <f t="shared" si="323"/>
        <v>SISTEMA DE TESOURARIA</v>
      </c>
      <c r="C3871" s="2" t="str">
        <f t="shared" si="322"/>
        <v>FINAN</v>
      </c>
      <c r="D3871" s="2" t="str">
        <f t="shared" si="324"/>
        <v>FNCT</v>
      </c>
      <c r="E3871" s="2" t="str">
        <f>"REL. DE CONTRATO DE ADIANTAMENTO"</f>
        <v>REL. DE CONTRATO DE ADIANTAMENTO</v>
      </c>
      <c r="F3871" s="2" t="str">
        <f>"R_CONTRATO_ADIANT"</f>
        <v>R_CONTRATO_ADIANT</v>
      </c>
      <c r="G3871" s="2" t="str">
        <f>"Controladoria / Tesouraria / Relatórios / Financeiro / Contrato Adiantamento (R_CONTRATO_ADIANT)"</f>
        <v>Controladoria / Tesouraria / Relatórios / Financeiro / Contrato Adiantamento (R_CONTRATO_ADIANT)</v>
      </c>
    </row>
    <row r="3872" spans="1:7" x14ac:dyDescent="0.3">
      <c r="A3872" s="1" t="s">
        <v>4</v>
      </c>
      <c r="B3872" s="2" t="str">
        <f t="shared" si="323"/>
        <v>SISTEMA DE TESOURARIA</v>
      </c>
      <c r="C3872" s="2" t="str">
        <f t="shared" si="322"/>
        <v>FINAN</v>
      </c>
      <c r="D3872" s="2" t="str">
        <f t="shared" si="324"/>
        <v>FNCT</v>
      </c>
      <c r="E3872" s="2" t="str">
        <f>"REL. DE CONTRATO DE ADIANTAMENTO"</f>
        <v>REL. DE CONTRATO DE ADIANTAMENTO</v>
      </c>
      <c r="F3872" s="2" t="str">
        <f>"R_CONTRATO_ADIANT"</f>
        <v>R_CONTRATO_ADIANT</v>
      </c>
      <c r="G3872" s="2" t="s">
        <v>10</v>
      </c>
    </row>
    <row r="3873" spans="1:7" x14ac:dyDescent="0.3">
      <c r="A3873" s="1" t="s">
        <v>4</v>
      </c>
      <c r="B3873" s="2" t="str">
        <f t="shared" si="323"/>
        <v>SISTEMA DE TESOURARIA</v>
      </c>
      <c r="C3873" s="2" t="str">
        <f t="shared" si="322"/>
        <v>FINAN</v>
      </c>
      <c r="D3873" s="2" t="str">
        <f t="shared" si="324"/>
        <v>FNCT</v>
      </c>
      <c r="E3873" s="2" t="str">
        <f>"R_RECEBE_PAC_PADRAO"</f>
        <v>R_RECEBE_PAC_PADRAO</v>
      </c>
      <c r="F3873" s="2" t="str">
        <f>"R_RECEBE_PAC_PADRAO"</f>
        <v>R_RECEBE_PAC_PADRAO</v>
      </c>
      <c r="G3873" s="2" t="str">
        <f t="shared" ref="G3873:G3879" si="325">" ()"</f>
        <v xml:space="preserve"> ()</v>
      </c>
    </row>
    <row r="3874" spans="1:7" x14ac:dyDescent="0.3">
      <c r="A3874" s="1" t="s">
        <v>4</v>
      </c>
      <c r="B3874" s="2" t="str">
        <f t="shared" si="323"/>
        <v>SISTEMA DE TESOURARIA</v>
      </c>
      <c r="C3874" s="2" t="str">
        <f t="shared" si="322"/>
        <v>FINAN</v>
      </c>
      <c r="D3874" s="2" t="str">
        <f t="shared" si="324"/>
        <v>FNCT</v>
      </c>
      <c r="E3874" s="2" t="str">
        <f>" M_CON_REC_FNCT"</f>
        <v xml:space="preserve"> M_CON_REC_FNCT</v>
      </c>
      <c r="F3874" s="2" t="str">
        <f>" M_CON_REC_FNCT"</f>
        <v xml:space="preserve"> M_CON_REC_FNCT</v>
      </c>
      <c r="G3874" s="2" t="str">
        <f t="shared" si="325"/>
        <v xml:space="preserve"> ()</v>
      </c>
    </row>
    <row r="3875" spans="1:7" x14ac:dyDescent="0.3">
      <c r="A3875" s="1" t="s">
        <v>4</v>
      </c>
      <c r="B3875" s="2" t="str">
        <f t="shared" si="323"/>
        <v>SISTEMA DE TESOURARIA</v>
      </c>
      <c r="C3875" s="2" t="str">
        <f t="shared" si="322"/>
        <v>FINAN</v>
      </c>
      <c r="D3875" s="2" t="str">
        <f t="shared" si="324"/>
        <v>FNCT</v>
      </c>
      <c r="E3875" s="2" t="str">
        <f>"R_NOTA_FISCAL_PART_661"</f>
        <v>R_NOTA_FISCAL_PART_661</v>
      </c>
      <c r="F3875" s="2" t="str">
        <f>"R_NOTA_FISCAL_PART_661"</f>
        <v>R_NOTA_FISCAL_PART_661</v>
      </c>
      <c r="G3875" s="2" t="str">
        <f t="shared" si="325"/>
        <v xml:space="preserve"> ()</v>
      </c>
    </row>
    <row r="3876" spans="1:7" x14ac:dyDescent="0.3">
      <c r="A3876" s="1" t="s">
        <v>4</v>
      </c>
      <c r="B3876" s="2" t="str">
        <f t="shared" si="323"/>
        <v>SISTEMA DE TESOURARIA</v>
      </c>
      <c r="C3876" s="2" t="str">
        <f t="shared" si="322"/>
        <v>FINAN</v>
      </c>
      <c r="D3876" s="2" t="str">
        <f t="shared" si="324"/>
        <v>FNCT</v>
      </c>
      <c r="E3876" s="2" t="str">
        <f>"R_NOTA_FISCAL_PART_661.RDF"</f>
        <v>R_NOTA_FISCAL_PART_661.RDF</v>
      </c>
      <c r="F3876" s="2" t="str">
        <f>"R_NOTA_FISCAL_PART_661.RDF"</f>
        <v>R_NOTA_FISCAL_PART_661.RDF</v>
      </c>
      <c r="G3876" s="2" t="str">
        <f t="shared" si="325"/>
        <v xml:space="preserve"> ()</v>
      </c>
    </row>
    <row r="3877" spans="1:7" x14ac:dyDescent="0.3">
      <c r="A3877" s="1" t="s">
        <v>4</v>
      </c>
      <c r="B3877" s="2" t="str">
        <f t="shared" si="323"/>
        <v>SISTEMA DE TESOURARIA</v>
      </c>
      <c r="C3877" s="2" t="str">
        <f t="shared" si="322"/>
        <v>FINAN</v>
      </c>
      <c r="D3877" s="2" t="str">
        <f t="shared" si="324"/>
        <v>FNCT</v>
      </c>
      <c r="E3877" s="2" t="str">
        <f>"R_NOTA_FISCAL_961"</f>
        <v>R_NOTA_FISCAL_961</v>
      </c>
      <c r="F3877" s="2" t="str">
        <f>"R_NOTA_FISCAL_961"</f>
        <v>R_NOTA_FISCAL_961</v>
      </c>
      <c r="G3877" s="2" t="str">
        <f t="shared" si="325"/>
        <v xml:space="preserve"> ()</v>
      </c>
    </row>
    <row r="3878" spans="1:7" x14ac:dyDescent="0.3">
      <c r="A3878" s="1" t="s">
        <v>4</v>
      </c>
      <c r="B3878" s="2" t="str">
        <f t="shared" si="323"/>
        <v>SISTEMA DE TESOURARIA</v>
      </c>
      <c r="C3878" s="2" t="str">
        <f t="shared" si="322"/>
        <v>FINAN</v>
      </c>
      <c r="D3878" s="2" t="str">
        <f t="shared" si="324"/>
        <v>FNCT</v>
      </c>
      <c r="E3878" s="2" t="str">
        <f>"R_CONTA_REC_PAC_USUARIO"</f>
        <v>R_CONTA_REC_PAC_USUARIO</v>
      </c>
      <c r="F3878" s="2" t="str">
        <f>"R_CONTA_REC_PAC_USUARIO"</f>
        <v>R_CONTA_REC_PAC_USUARIO</v>
      </c>
      <c r="G3878" s="2" t="str">
        <f t="shared" si="325"/>
        <v xml:space="preserve"> ()</v>
      </c>
    </row>
    <row r="3879" spans="1:7" x14ac:dyDescent="0.3">
      <c r="A3879" s="1" t="s">
        <v>4</v>
      </c>
      <c r="B3879" s="2" t="str">
        <f t="shared" ref="B3879:B3942" si="326">"SISTEMA FINANCEIRO"</f>
        <v>SISTEMA FINANCEIRO</v>
      </c>
      <c r="C3879" s="2" t="str">
        <f t="shared" si="322"/>
        <v>FINAN</v>
      </c>
      <c r="D3879" s="2" t="str">
        <f t="shared" ref="D3879:D3942" si="327">"FNFI"</f>
        <v>FNFI</v>
      </c>
      <c r="E3879" s="2" t="str">
        <f>"RESUMO DE ATIVIDADES - FINANCEIRO"</f>
        <v>RESUMO DE ATIVIDADES - FINANCEIRO</v>
      </c>
      <c r="F3879" s="2" t="str">
        <f>"R_RESUMO_SEMESTRAL_FINANCEIRO.RDF"</f>
        <v>R_RESUMO_SEMESTRAL_FINANCEIRO.RDF</v>
      </c>
      <c r="G3879" s="2" t="str">
        <f t="shared" si="325"/>
        <v xml:space="preserve"> ()</v>
      </c>
    </row>
    <row r="3880" spans="1:7" x14ac:dyDescent="0.3">
      <c r="A3880" s="1" t="s">
        <v>4</v>
      </c>
      <c r="B3880" s="2" t="str">
        <f t="shared" si="326"/>
        <v>SISTEMA FINANCEIRO</v>
      </c>
      <c r="C3880" s="2" t="str">
        <f t="shared" si="322"/>
        <v>FINAN</v>
      </c>
      <c r="D3880" s="2" t="str">
        <f t="shared" si="327"/>
        <v>FNFI</v>
      </c>
      <c r="E3880" s="2" t="str">
        <f>"Geração do arquivo SISCOSERV"</f>
        <v>Geração do arquivo SISCOSERV</v>
      </c>
      <c r="F3880" s="2" t="str">
        <f>"M_SISCOSERV"</f>
        <v>M_SISCOSERV</v>
      </c>
      <c r="G3880" s="2" t="str">
        <f>"Controladoria / Fiscal / Geração / SISCOSERV / Geração do arquivo SISCOSERV (M_SISCOSERV)"</f>
        <v>Controladoria / Fiscal / Geração / SISCOSERV / Geração do arquivo SISCOSERV (M_SISCOSERV)</v>
      </c>
    </row>
    <row r="3881" spans="1:7" x14ac:dyDescent="0.3">
      <c r="A3881" s="1" t="s">
        <v>4</v>
      </c>
      <c r="B3881" s="2" t="str">
        <f t="shared" si="326"/>
        <v>SISTEMA FINANCEIRO</v>
      </c>
      <c r="C3881" s="2" t="str">
        <f t="shared" si="322"/>
        <v>FINAN</v>
      </c>
      <c r="D3881" s="2" t="str">
        <f t="shared" si="327"/>
        <v>FNFI</v>
      </c>
      <c r="E3881" s="2" t="str">
        <f>"Países Siscoserv"</f>
        <v>Países Siscoserv</v>
      </c>
      <c r="F3881" s="2" t="str">
        <f>"M_SISCOSERV_PAIS"</f>
        <v>M_SISCOSERV_PAIS</v>
      </c>
      <c r="G3881" s="2" t="str">
        <f>"Controladoria / Fiscal / Geração / SISCOSERV / Países Siscoserv (M_SISCOSERV_PAIS)"</f>
        <v>Controladoria / Fiscal / Geração / SISCOSERV / Países Siscoserv (M_SISCOSERV_PAIS)</v>
      </c>
    </row>
    <row r="3882" spans="1:7" x14ac:dyDescent="0.3">
      <c r="A3882" s="1" t="s">
        <v>4</v>
      </c>
      <c r="B3882" s="2" t="str">
        <f t="shared" si="326"/>
        <v>SISTEMA FINANCEIRO</v>
      </c>
      <c r="C3882" s="2" t="str">
        <f t="shared" si="322"/>
        <v>FINAN</v>
      </c>
      <c r="D3882" s="2" t="str">
        <f t="shared" si="327"/>
        <v>FNFI</v>
      </c>
      <c r="E3882" s="2" t="str">
        <f>"Moedas Siscoserv"</f>
        <v>Moedas Siscoserv</v>
      </c>
      <c r="F3882" s="2" t="str">
        <f>"M_SISCOSERV_MOEDA"</f>
        <v>M_SISCOSERV_MOEDA</v>
      </c>
      <c r="G3882" s="2" t="str">
        <f>"Controladoria / Fiscal / Geração / SISCOSERV / Moedas Siscoserv (M_SISCOSERV_MOEDA)"</f>
        <v>Controladoria / Fiscal / Geração / SISCOSERV / Moedas Siscoserv (M_SISCOSERV_MOEDA)</v>
      </c>
    </row>
    <row r="3883" spans="1:7" x14ac:dyDescent="0.3">
      <c r="A3883" s="1" t="s">
        <v>4</v>
      </c>
      <c r="B3883" s="2" t="str">
        <f t="shared" si="326"/>
        <v>SISTEMA FINANCEIRO</v>
      </c>
      <c r="C3883" s="2" t="str">
        <f t="shared" si="322"/>
        <v>FINAN</v>
      </c>
      <c r="D3883" s="2" t="str">
        <f t="shared" si="327"/>
        <v>FNFI</v>
      </c>
      <c r="E3883" s="2" t="str">
        <f>"Baixas Financeiras"</f>
        <v>Baixas Financeiras</v>
      </c>
      <c r="F3883" s="2" t="str">
        <f>"R_FNFI_BAIXAS"</f>
        <v>R_FNFI_BAIXAS</v>
      </c>
      <c r="G3883" s="2" t="str">
        <f>"Baixas Financeiras (R_FNFI_BAIXAS)"</f>
        <v>Baixas Financeiras (R_FNFI_BAIXAS)</v>
      </c>
    </row>
    <row r="3884" spans="1:7" x14ac:dyDescent="0.3">
      <c r="A3884" s="1" t="s">
        <v>4</v>
      </c>
      <c r="B3884" s="2" t="str">
        <f t="shared" si="326"/>
        <v>SISTEMA FINANCEIRO</v>
      </c>
      <c r="C3884" s="2" t="str">
        <f t="shared" si="322"/>
        <v>FINAN</v>
      </c>
      <c r="D3884" s="2" t="str">
        <f t="shared" si="327"/>
        <v>FNFI</v>
      </c>
      <c r="E3884" s="2" t="str">
        <f>"R_CON_RECEB_SIMP_959"</f>
        <v>R_CON_RECEB_SIMP_959</v>
      </c>
      <c r="F3884" s="2" t="str">
        <f>"R_CON_RECEB_SIMP_959"</f>
        <v>R_CON_RECEB_SIMP_959</v>
      </c>
      <c r="G3884" s="2" t="str">
        <f>" ()"</f>
        <v xml:space="preserve"> ()</v>
      </c>
    </row>
    <row r="3885" spans="1:7" x14ac:dyDescent="0.3">
      <c r="A3885" s="1" t="s">
        <v>4</v>
      </c>
      <c r="B3885" s="2" t="str">
        <f t="shared" si="326"/>
        <v>SISTEMA FINANCEIRO</v>
      </c>
      <c r="C3885" s="2" t="str">
        <f t="shared" si="322"/>
        <v>FINAN</v>
      </c>
      <c r="D3885" s="2" t="str">
        <f t="shared" si="327"/>
        <v>FNFI</v>
      </c>
      <c r="E3885" s="2" t="str">
        <f>"WIN_PRINCIPAL"</f>
        <v>WIN_PRINCIPAL</v>
      </c>
      <c r="F3885" s="2" t="str">
        <f>"M_CAD_CONV_BANC"</f>
        <v>M_CAD_CONV_BANC</v>
      </c>
      <c r="G3885" s="2" t="str">
        <f>" ()"</f>
        <v xml:space="preserve"> ()</v>
      </c>
    </row>
    <row r="3886" spans="1:7" x14ac:dyDescent="0.3">
      <c r="A3886" s="1" t="s">
        <v>4</v>
      </c>
      <c r="B3886" s="2" t="str">
        <f t="shared" si="326"/>
        <v>SISTEMA FINANCEIRO</v>
      </c>
      <c r="C3886" s="2" t="str">
        <f t="shared" si="322"/>
        <v>FINAN</v>
      </c>
      <c r="D3886" s="2" t="str">
        <f t="shared" si="327"/>
        <v>FNFI</v>
      </c>
      <c r="E3886" s="2" t="str">
        <f>"TELA DE CONSULTA DE CENTRO DE CUSTOS"</f>
        <v>TELA DE CONSULTA DE CENTRO DE CUSTOS</v>
      </c>
      <c r="F3886" s="2" t="str">
        <f>"M_CENTRO_CUSTO_CONSULTA"</f>
        <v>M_CENTRO_CUSTO_CONSULTA</v>
      </c>
      <c r="G3886" s="2" t="s">
        <v>10</v>
      </c>
    </row>
    <row r="3887" spans="1:7" x14ac:dyDescent="0.3">
      <c r="A3887" s="1" t="s">
        <v>4</v>
      </c>
      <c r="B3887" s="2" t="str">
        <f t="shared" si="326"/>
        <v>SISTEMA FINANCEIRO</v>
      </c>
      <c r="C3887" s="2" t="str">
        <f t="shared" si="322"/>
        <v>FINAN</v>
      </c>
      <c r="D3887" s="2" t="str">
        <f t="shared" si="327"/>
        <v>FNFI</v>
      </c>
      <c r="E3887" s="2" t="str">
        <f>"Recibos Personalizados"</f>
        <v>Recibos Personalizados</v>
      </c>
      <c r="F3887" s="2" t="str">
        <f>"C_RELATO_PERSONA"</f>
        <v>C_RELATO_PERSONA</v>
      </c>
      <c r="G3887" s="2" t="str">
        <f>"Recibos Personalizados (C_RELATO_PERSONA)"</f>
        <v>Recibos Personalizados (C_RELATO_PERSONA)</v>
      </c>
    </row>
    <row r="3888" spans="1:7" x14ac:dyDescent="0.3">
      <c r="A3888" s="1" t="s">
        <v>4</v>
      </c>
      <c r="B3888" s="2" t="str">
        <f t="shared" si="326"/>
        <v>SISTEMA FINANCEIRO</v>
      </c>
      <c r="C3888" s="2" t="str">
        <f t="shared" si="322"/>
        <v>FINAN</v>
      </c>
      <c r="D3888" s="2" t="str">
        <f t="shared" si="327"/>
        <v>FNFI</v>
      </c>
      <c r="E3888" s="2" t="str">
        <f>"O_CCOR_FINANCEIRA"</f>
        <v>O_CCOR_FINANCEIRA</v>
      </c>
      <c r="F3888" s="2" t="str">
        <f>"O_CCOR_FINANCEIRA"</f>
        <v>O_CCOR_FINANCEIRA</v>
      </c>
      <c r="G3888" s="2" t="str">
        <f>" ()"</f>
        <v xml:space="preserve"> ()</v>
      </c>
    </row>
    <row r="3889" spans="1:7" x14ac:dyDescent="0.3">
      <c r="A3889" s="1" t="s">
        <v>4</v>
      </c>
      <c r="B3889" s="2" t="str">
        <f t="shared" si="326"/>
        <v>SISTEMA FINANCEIRO</v>
      </c>
      <c r="C3889" s="2" t="str">
        <f t="shared" si="322"/>
        <v>FINAN</v>
      </c>
      <c r="D3889" s="2" t="str">
        <f t="shared" si="327"/>
        <v>FNFI</v>
      </c>
      <c r="E3889" s="2" t="str">
        <f>"M_CCOR_CONFIG"</f>
        <v>M_CCOR_CONFIG</v>
      </c>
      <c r="F3889" s="2" t="str">
        <f>"M_CCOR_CONFIG"</f>
        <v>M_CCOR_CONFIG</v>
      </c>
      <c r="G3889" s="2" t="str">
        <f>" ()"</f>
        <v xml:space="preserve"> ()</v>
      </c>
    </row>
    <row r="3890" spans="1:7" x14ac:dyDescent="0.3">
      <c r="A3890" s="1" t="s">
        <v>4</v>
      </c>
      <c r="B3890" s="2" t="str">
        <f t="shared" si="326"/>
        <v>SISTEMA FINANCEIRO</v>
      </c>
      <c r="C3890" s="2" t="str">
        <f t="shared" si="322"/>
        <v>FINAN</v>
      </c>
      <c r="D3890" s="2" t="str">
        <f t="shared" si="327"/>
        <v>FNFI</v>
      </c>
      <c r="E3890" s="2" t="str">
        <f>"M_CCOR_GESTAO"</f>
        <v>M_CCOR_GESTAO</v>
      </c>
      <c r="F3890" s="2" t="str">
        <f>"M_CCOR_GESTAO"</f>
        <v>M_CCOR_GESTAO</v>
      </c>
      <c r="G3890" s="2" t="str">
        <f>" ()"</f>
        <v xml:space="preserve"> ()</v>
      </c>
    </row>
    <row r="3891" spans="1:7" x14ac:dyDescent="0.3">
      <c r="A3891" s="1" t="s">
        <v>4</v>
      </c>
      <c r="B3891" s="2" t="str">
        <f t="shared" si="326"/>
        <v>SISTEMA FINANCEIRO</v>
      </c>
      <c r="C3891" s="2" t="str">
        <f t="shared" si="322"/>
        <v>FINAN</v>
      </c>
      <c r="D3891" s="2" t="str">
        <f t="shared" si="327"/>
        <v>FNFI</v>
      </c>
      <c r="E3891" s="2" t="str">
        <f>"Projetos"</f>
        <v>Projetos</v>
      </c>
      <c r="F3891" s="2" t="str">
        <f>"M_PROJETO"</f>
        <v>M_PROJETO</v>
      </c>
      <c r="G3891" s="2" t="str">
        <f>" ()"</f>
        <v xml:space="preserve"> ()</v>
      </c>
    </row>
    <row r="3892" spans="1:7" x14ac:dyDescent="0.3">
      <c r="A3892" s="1" t="s">
        <v>4</v>
      </c>
      <c r="B3892" s="2" t="str">
        <f t="shared" si="326"/>
        <v>SISTEMA FINANCEIRO</v>
      </c>
      <c r="C3892" s="2" t="str">
        <f t="shared" si="322"/>
        <v>FINAN</v>
      </c>
      <c r="D3892" s="2" t="str">
        <f t="shared" si="327"/>
        <v>FNFI</v>
      </c>
      <c r="E3892" s="2" t="str">
        <f>"Carga Inicial"</f>
        <v>Carga Inicial</v>
      </c>
      <c r="F3892" s="2" t="str">
        <f>"M_CARGA_FLUXO_CAIXA"</f>
        <v>M_CARGA_FLUXO_CAIXA</v>
      </c>
      <c r="G3892" s="2" t="s">
        <v>10</v>
      </c>
    </row>
    <row r="3893" spans="1:7" x14ac:dyDescent="0.3">
      <c r="A3893" s="1" t="s">
        <v>4</v>
      </c>
      <c r="B3893" s="2" t="str">
        <f t="shared" si="326"/>
        <v>SISTEMA FINANCEIRO</v>
      </c>
      <c r="C3893" s="2" t="str">
        <f t="shared" si="322"/>
        <v>FINAN</v>
      </c>
      <c r="D3893" s="2" t="str">
        <f t="shared" si="327"/>
        <v>FNFI</v>
      </c>
      <c r="E3893" s="2" t="str">
        <f>"Fluxo de Caixa"</f>
        <v>Fluxo de Caixa</v>
      </c>
      <c r="F3893" s="2" t="str">
        <f>"O_FLUXO_CAIXA"</f>
        <v>O_FLUXO_CAIXA</v>
      </c>
      <c r="G3893" s="2" t="s">
        <v>10</v>
      </c>
    </row>
    <row r="3894" spans="1:7" x14ac:dyDescent="0.3">
      <c r="A3894" s="1" t="s">
        <v>4</v>
      </c>
      <c r="B3894" s="2" t="str">
        <f t="shared" si="326"/>
        <v>SISTEMA FINANCEIRO</v>
      </c>
      <c r="C3894" s="2" t="str">
        <f t="shared" si="322"/>
        <v>FINAN</v>
      </c>
      <c r="D3894" s="2" t="str">
        <f t="shared" si="327"/>
        <v>FNFI</v>
      </c>
      <c r="E3894" s="2" t="str">
        <f>"Conta Financeira"</f>
        <v>Conta Financeira</v>
      </c>
      <c r="F3894" s="2" t="str">
        <f>"M_CONTA_FINANC"</f>
        <v>M_CONTA_FINANC</v>
      </c>
      <c r="G3894" s="2" t="s">
        <v>10</v>
      </c>
    </row>
    <row r="3895" spans="1:7" x14ac:dyDescent="0.3">
      <c r="A3895" s="1" t="s">
        <v>4</v>
      </c>
      <c r="B3895" s="2" t="str">
        <f t="shared" si="326"/>
        <v>SISTEMA FINANCEIRO</v>
      </c>
      <c r="C3895" s="2" t="str">
        <f t="shared" si="322"/>
        <v>FINAN</v>
      </c>
      <c r="D3895" s="2" t="str">
        <f t="shared" si="327"/>
        <v>FNFI</v>
      </c>
      <c r="E3895" s="2" t="str">
        <f>"Dados Externos"</f>
        <v>Dados Externos</v>
      </c>
      <c r="F3895" s="2" t="str">
        <f>"M_DADOS_EXTERNOS"</f>
        <v>M_DADOS_EXTERNOS</v>
      </c>
      <c r="G3895" s="2" t="s">
        <v>10</v>
      </c>
    </row>
    <row r="3896" spans="1:7" x14ac:dyDescent="0.3">
      <c r="A3896" s="1" t="s">
        <v>4</v>
      </c>
      <c r="B3896" s="2" t="str">
        <f t="shared" si="326"/>
        <v>SISTEMA FINANCEIRO</v>
      </c>
      <c r="C3896" s="2" t="str">
        <f t="shared" si="322"/>
        <v>FINAN</v>
      </c>
      <c r="D3896" s="2" t="str">
        <f t="shared" si="327"/>
        <v>FNFI</v>
      </c>
      <c r="E3896" s="2" t="str">
        <f>"Lote Movimentação Financeira"</f>
        <v>Lote Movimentação Financeira</v>
      </c>
      <c r="F3896" s="2" t="str">
        <f>"O_LOTE_FINANCEIRO"</f>
        <v>O_LOTE_FINANCEIRO</v>
      </c>
      <c r="G3896" s="2" t="str">
        <f>"Lote Movimentação Financeira (O_LOTE_FINANCEIRO)"</f>
        <v>Lote Movimentação Financeira (O_LOTE_FINANCEIRO)</v>
      </c>
    </row>
    <row r="3897" spans="1:7" x14ac:dyDescent="0.3">
      <c r="A3897" s="1" t="s">
        <v>4</v>
      </c>
      <c r="B3897" s="2" t="str">
        <f t="shared" si="326"/>
        <v>SISTEMA FINANCEIRO</v>
      </c>
      <c r="C3897" s="2" t="str">
        <f t="shared" si="322"/>
        <v>FINAN</v>
      </c>
      <c r="D3897" s="2" t="str">
        <f t="shared" si="327"/>
        <v>FNFI</v>
      </c>
      <c r="E3897" s="2" t="str">
        <f>"Manutenção de Câmara de Compensação"</f>
        <v>Manutenção de Câmara de Compensação</v>
      </c>
      <c r="F3897" s="2" t="str">
        <f>"M_CAMARA_FINANCEIRA"</f>
        <v>M_CAMARA_FINANCEIRA</v>
      </c>
      <c r="G3897" s="2" t="str">
        <f>"Manutenção de Câmara de Compensação (M_CAMARA_FINANCEIRA)"</f>
        <v>Manutenção de Câmara de Compensação (M_CAMARA_FINANCEIRA)</v>
      </c>
    </row>
    <row r="3898" spans="1:7" x14ac:dyDescent="0.3">
      <c r="A3898" s="1" t="s">
        <v>4</v>
      </c>
      <c r="B3898" s="2" t="str">
        <f t="shared" si="326"/>
        <v>SISTEMA FINANCEIRO</v>
      </c>
      <c r="C3898" s="2" t="str">
        <f t="shared" si="322"/>
        <v>FINAN</v>
      </c>
      <c r="D3898" s="2" t="str">
        <f t="shared" si="327"/>
        <v>FNFI</v>
      </c>
      <c r="E3898" s="2" t="str">
        <f>"Gestão de Alçada"</f>
        <v>Gestão de Alçada</v>
      </c>
      <c r="F3898" s="2" t="str">
        <f>"M_ALCADA_GESTAO"</f>
        <v>M_ALCADA_GESTAO</v>
      </c>
      <c r="G3898" s="2" t="s">
        <v>10</v>
      </c>
    </row>
    <row r="3899" spans="1:7" x14ac:dyDescent="0.3">
      <c r="A3899" s="1" t="s">
        <v>4</v>
      </c>
      <c r="B3899" s="2" t="str">
        <f t="shared" si="326"/>
        <v>SISTEMA FINANCEIRO</v>
      </c>
      <c r="C3899" s="2" t="str">
        <f t="shared" si="322"/>
        <v>FINAN</v>
      </c>
      <c r="D3899" s="2" t="str">
        <f t="shared" si="327"/>
        <v>FNFI</v>
      </c>
      <c r="E3899" s="2" t="str">
        <f>"Gestão de Alçada"</f>
        <v>Gestão de Alçada</v>
      </c>
      <c r="F3899" s="2" t="str">
        <f>"M_ALCADA_GESTAO"</f>
        <v>M_ALCADA_GESTAO</v>
      </c>
      <c r="G3899" s="2" t="s">
        <v>10</v>
      </c>
    </row>
    <row r="3900" spans="1:7" x14ac:dyDescent="0.3">
      <c r="A3900" s="1" t="s">
        <v>4</v>
      </c>
      <c r="B3900" s="2" t="str">
        <f t="shared" si="326"/>
        <v>SISTEMA FINANCEIRO</v>
      </c>
      <c r="C3900" s="2" t="str">
        <f t="shared" si="322"/>
        <v>FINAN</v>
      </c>
      <c r="D3900" s="2" t="str">
        <f t="shared" si="327"/>
        <v>FNFI</v>
      </c>
      <c r="E3900" s="2" t="str">
        <f>"Cancelamento de Lote de Análise"</f>
        <v>Cancelamento de Lote de Análise</v>
      </c>
      <c r="F3900" s="2" t="str">
        <f>"O_CANC_LOTE_ANALISE"</f>
        <v>O_CANC_LOTE_ANALISE</v>
      </c>
      <c r="G3900" s="2" t="s">
        <v>10</v>
      </c>
    </row>
    <row r="3901" spans="1:7" x14ac:dyDescent="0.3">
      <c r="A3901" s="1" t="s">
        <v>4</v>
      </c>
      <c r="B3901" s="2" t="str">
        <f t="shared" si="326"/>
        <v>SISTEMA FINANCEIRO</v>
      </c>
      <c r="C3901" s="2" t="str">
        <f t="shared" ref="C3901:C3964" si="328">"FINAN"</f>
        <v>FINAN</v>
      </c>
      <c r="D3901" s="2" t="str">
        <f t="shared" si="327"/>
        <v>FNFI</v>
      </c>
      <c r="E3901" s="2" t="str">
        <f>"MENU FNFI RELAÓRIO CONTAS"</f>
        <v>MENU FNFI RELAÓRIO CONTAS</v>
      </c>
      <c r="F3901" s="2" t="str">
        <f>"M_MENU_FNFI_REL_CONTAS"</f>
        <v>M_MENU_FNFI_REL_CONTAS</v>
      </c>
      <c r="G3901" s="2" t="s">
        <v>10</v>
      </c>
    </row>
    <row r="3902" spans="1:7" x14ac:dyDescent="0.3">
      <c r="A3902" s="1" t="s">
        <v>4</v>
      </c>
      <c r="B3902" s="2" t="str">
        <f t="shared" si="326"/>
        <v>SISTEMA FINANCEIRO</v>
      </c>
      <c r="C3902" s="2" t="str">
        <f t="shared" si="328"/>
        <v>FINAN</v>
      </c>
      <c r="D3902" s="2" t="str">
        <f t="shared" si="327"/>
        <v>FNFI</v>
      </c>
      <c r="E3902" s="2" t="str">
        <f>"MENI FNFI NOVIDADES"</f>
        <v>MENI FNFI NOVIDADES</v>
      </c>
      <c r="F3902" s="2" t="str">
        <f>"M_MENU_FNFI_NOVIDADE"</f>
        <v>M_MENU_FNFI_NOVIDADE</v>
      </c>
      <c r="G3902" s="2" t="s">
        <v>10</v>
      </c>
    </row>
    <row r="3903" spans="1:7" x14ac:dyDescent="0.3">
      <c r="A3903" s="1" t="s">
        <v>4</v>
      </c>
      <c r="B3903" s="2" t="str">
        <f t="shared" si="326"/>
        <v>SISTEMA FINANCEIRO</v>
      </c>
      <c r="C3903" s="2" t="str">
        <f t="shared" si="328"/>
        <v>FINAN</v>
      </c>
      <c r="D3903" s="2" t="str">
        <f t="shared" si="327"/>
        <v>FNFI</v>
      </c>
      <c r="E3903" s="2" t="str">
        <f>"R_RESUMO_SEMESTRAL_FINANCEIRO"</f>
        <v>R_RESUMO_SEMESTRAL_FINANCEIRO</v>
      </c>
      <c r="F3903" s="2" t="str">
        <f>"R_RESUMO_SEMESTRAL_FINANCEIRO"</f>
        <v>R_RESUMO_SEMESTRAL_FINANCEIRO</v>
      </c>
      <c r="G3903" s="2" t="s">
        <v>10</v>
      </c>
    </row>
    <row r="3904" spans="1:7" x14ac:dyDescent="0.3">
      <c r="A3904" s="1" t="s">
        <v>4</v>
      </c>
      <c r="B3904" s="2" t="str">
        <f t="shared" si="326"/>
        <v>SISTEMA FINANCEIRO</v>
      </c>
      <c r="C3904" s="2" t="str">
        <f t="shared" si="328"/>
        <v>FINAN</v>
      </c>
      <c r="D3904" s="2" t="str">
        <f t="shared" si="327"/>
        <v>FNFI</v>
      </c>
      <c r="E3904" s="2" t="str">
        <f>"R_RECEB_ATRASO_CARAC"</f>
        <v>R_RECEB_ATRASO_CARAC</v>
      </c>
      <c r="F3904" s="2" t="str">
        <f>"R_RECEB_ATRASO_CARAC"</f>
        <v>R_RECEB_ATRASO_CARAC</v>
      </c>
      <c r="G3904" s="2" t="str">
        <f t="shared" ref="G3904:G3917" si="329">" ()"</f>
        <v xml:space="preserve"> ()</v>
      </c>
    </row>
    <row r="3905" spans="1:7" x14ac:dyDescent="0.3">
      <c r="A3905" s="1" t="s">
        <v>4</v>
      </c>
      <c r="B3905" s="2" t="str">
        <f t="shared" si="326"/>
        <v>SISTEMA FINANCEIRO</v>
      </c>
      <c r="C3905" s="2" t="str">
        <f t="shared" si="328"/>
        <v>FINAN</v>
      </c>
      <c r="D3905" s="2" t="str">
        <f t="shared" si="327"/>
        <v>FNFI</v>
      </c>
      <c r="E3905" s="2" t="str">
        <f>"O_ESTRONO_PAG"</f>
        <v>O_ESTRONO_PAG</v>
      </c>
      <c r="F3905" s="2" t="str">
        <f>"O_ESTRONO_PAG"</f>
        <v>O_ESTRONO_PAG</v>
      </c>
      <c r="G3905" s="2" t="str">
        <f t="shared" si="329"/>
        <v xml:space="preserve"> ()</v>
      </c>
    </row>
    <row r="3906" spans="1:7" x14ac:dyDescent="0.3">
      <c r="A3906" s="1" t="s">
        <v>4</v>
      </c>
      <c r="B3906" s="2" t="str">
        <f t="shared" si="326"/>
        <v>SISTEMA FINANCEIRO</v>
      </c>
      <c r="C3906" s="2" t="str">
        <f t="shared" si="328"/>
        <v>FINAN</v>
      </c>
      <c r="D3906" s="2" t="str">
        <f t="shared" si="327"/>
        <v>FNFI</v>
      </c>
      <c r="E3906" s="2" t="str">
        <f>"R_RECIBO_RECEB_297"</f>
        <v>R_RECIBO_RECEB_297</v>
      </c>
      <c r="F3906" s="2" t="str">
        <f>"R_RECIBO_RECEB_297"</f>
        <v>R_RECIBO_RECEB_297</v>
      </c>
      <c r="G3906" s="2" t="str">
        <f t="shared" si="329"/>
        <v xml:space="preserve"> ()</v>
      </c>
    </row>
    <row r="3907" spans="1:7" x14ac:dyDescent="0.3">
      <c r="A3907" s="1" t="s">
        <v>4</v>
      </c>
      <c r="B3907" s="2" t="str">
        <f t="shared" si="326"/>
        <v>SISTEMA FINANCEIRO</v>
      </c>
      <c r="C3907" s="2" t="str">
        <f t="shared" si="328"/>
        <v>FINAN</v>
      </c>
      <c r="D3907" s="2" t="str">
        <f t="shared" si="327"/>
        <v>FNFI</v>
      </c>
      <c r="E3907" s="2" t="str">
        <f>"R_COPIA_CHEQUE_451"</f>
        <v>R_COPIA_CHEQUE_451</v>
      </c>
      <c r="F3907" s="2" t="str">
        <f>"R_COPIA_CHEQUE_451"</f>
        <v>R_COPIA_CHEQUE_451</v>
      </c>
      <c r="G3907" s="2" t="str">
        <f t="shared" si="329"/>
        <v xml:space="preserve"> ()</v>
      </c>
    </row>
    <row r="3908" spans="1:7" x14ac:dyDescent="0.3">
      <c r="A3908" s="1" t="s">
        <v>4</v>
      </c>
      <c r="B3908" s="2" t="str">
        <f t="shared" si="326"/>
        <v>SISTEMA FINANCEIRO</v>
      </c>
      <c r="C3908" s="2" t="str">
        <f t="shared" si="328"/>
        <v>FINAN</v>
      </c>
      <c r="D3908" s="2" t="str">
        <f t="shared" si="327"/>
        <v>FNFI</v>
      </c>
      <c r="E3908" s="2" t="str">
        <f>"ESPÉCIE MV2000 X DATASUL"</f>
        <v>ESPÉCIE MV2000 X DATASUL</v>
      </c>
      <c r="F3908" s="2" t="str">
        <f>"M_IMVDATASUL_ESPECIE"</f>
        <v>M_IMVDATASUL_ESPECIE</v>
      </c>
      <c r="G3908" s="2" t="str">
        <f t="shared" si="329"/>
        <v xml:space="preserve"> ()</v>
      </c>
    </row>
    <row r="3909" spans="1:7" x14ac:dyDescent="0.3">
      <c r="A3909" s="1" t="s">
        <v>4</v>
      </c>
      <c r="B3909" s="2" t="str">
        <f t="shared" si="326"/>
        <v>SISTEMA FINANCEIRO</v>
      </c>
      <c r="C3909" s="2" t="str">
        <f t="shared" si="328"/>
        <v>FINAN</v>
      </c>
      <c r="D3909" s="2" t="str">
        <f t="shared" si="327"/>
        <v>FNFI</v>
      </c>
      <c r="E3909" s="2" t="str">
        <f>"R_MAPA_FLUXO_CAIXA_ANA"</f>
        <v>R_MAPA_FLUXO_CAIXA_ANA</v>
      </c>
      <c r="F3909" s="2" t="str">
        <f>"R_MAPA_FLUXO_CAIXA_ANA"</f>
        <v>R_MAPA_FLUXO_CAIXA_ANA</v>
      </c>
      <c r="G3909" s="2" t="str">
        <f t="shared" si="329"/>
        <v xml:space="preserve"> ()</v>
      </c>
    </row>
    <row r="3910" spans="1:7" x14ac:dyDescent="0.3">
      <c r="A3910" s="1" t="s">
        <v>4</v>
      </c>
      <c r="B3910" s="2" t="str">
        <f t="shared" si="326"/>
        <v>SISTEMA FINANCEIRO</v>
      </c>
      <c r="C3910" s="2" t="str">
        <f t="shared" si="328"/>
        <v>FINAN</v>
      </c>
      <c r="D3910" s="2" t="str">
        <f t="shared" si="327"/>
        <v>FNFI</v>
      </c>
      <c r="E3910" s="2" t="str">
        <f>"R_FLUXO_CAIXA_REALIZ_SINT_860"</f>
        <v>R_FLUXO_CAIXA_REALIZ_SINT_860</v>
      </c>
      <c r="F3910" s="2" t="str">
        <f>"R_FLUXO_CAIXA_REALIZ_SINT_860"</f>
        <v>R_FLUXO_CAIXA_REALIZ_SINT_860</v>
      </c>
      <c r="G3910" s="2" t="str">
        <f t="shared" si="329"/>
        <v xml:space="preserve"> ()</v>
      </c>
    </row>
    <row r="3911" spans="1:7" x14ac:dyDescent="0.3">
      <c r="A3911" s="1" t="s">
        <v>4</v>
      </c>
      <c r="B3911" s="2" t="str">
        <f t="shared" si="326"/>
        <v>SISTEMA FINANCEIRO</v>
      </c>
      <c r="C3911" s="2" t="str">
        <f t="shared" si="328"/>
        <v>FINAN</v>
      </c>
      <c r="D3911" s="2" t="str">
        <f t="shared" si="327"/>
        <v>FNFI</v>
      </c>
      <c r="E3911" s="2" t="str">
        <f>"R_CONTA_REC_PAC_661"</f>
        <v>R_CONTA_REC_PAC_661</v>
      </c>
      <c r="F3911" s="2" t="str">
        <f>"R_CONTA_REC_PAC_661"</f>
        <v>R_CONTA_REC_PAC_661</v>
      </c>
      <c r="G3911" s="2" t="str">
        <f t="shared" si="329"/>
        <v xml:space="preserve"> ()</v>
      </c>
    </row>
    <row r="3912" spans="1:7" x14ac:dyDescent="0.3">
      <c r="A3912" s="1" t="s">
        <v>4</v>
      </c>
      <c r="B3912" s="2" t="str">
        <f t="shared" si="326"/>
        <v>SISTEMA FINANCEIRO</v>
      </c>
      <c r="C3912" s="2" t="str">
        <f t="shared" si="328"/>
        <v>FINAN</v>
      </c>
      <c r="D3912" s="2" t="str">
        <f t="shared" si="327"/>
        <v>FNFI</v>
      </c>
      <c r="E3912" s="2" t="str">
        <f>"R_CONTA_REC_PAC_612"</f>
        <v>R_CONTA_REC_PAC_612</v>
      </c>
      <c r="F3912" s="2" t="str">
        <f>"R_CONTA_REC_PAC_612"</f>
        <v>R_CONTA_REC_PAC_612</v>
      </c>
      <c r="G3912" s="2" t="str">
        <f t="shared" si="329"/>
        <v xml:space="preserve"> ()</v>
      </c>
    </row>
    <row r="3913" spans="1:7" x14ac:dyDescent="0.3">
      <c r="A3913" s="1" t="s">
        <v>4</v>
      </c>
      <c r="B3913" s="2" t="str">
        <f t="shared" si="326"/>
        <v>SISTEMA FINANCEIRO</v>
      </c>
      <c r="C3913" s="2" t="str">
        <f t="shared" si="328"/>
        <v>FINAN</v>
      </c>
      <c r="D3913" s="2" t="str">
        <f t="shared" si="327"/>
        <v>FNFI</v>
      </c>
      <c r="E3913" s="2" t="str">
        <f>"R_ACOMP_CONV"</f>
        <v>R_ACOMP_CONV</v>
      </c>
      <c r="F3913" s="2" t="str">
        <f>"R_ACOMP_CONV"</f>
        <v>R_ACOMP_CONV</v>
      </c>
      <c r="G3913" s="2" t="str">
        <f t="shared" si="329"/>
        <v xml:space="preserve"> ()</v>
      </c>
    </row>
    <row r="3914" spans="1:7" x14ac:dyDescent="0.3">
      <c r="A3914" s="1" t="s">
        <v>4</v>
      </c>
      <c r="B3914" s="2" t="str">
        <f t="shared" si="326"/>
        <v>SISTEMA FINANCEIRO</v>
      </c>
      <c r="C3914" s="2" t="str">
        <f t="shared" si="328"/>
        <v>FINAN</v>
      </c>
      <c r="D3914" s="2" t="str">
        <f t="shared" si="327"/>
        <v>FNFI</v>
      </c>
      <c r="E3914" s="2" t="str">
        <f>"TELA PRINCIPAL SIST. FINANCEIRO X SIAMED"</f>
        <v>TELA PRINCIPAL SIST. FINANCEIRO X SIAMED</v>
      </c>
      <c r="F3914" s="2" t="str">
        <f>"FNFI_SIAMED_UNIMEDJP"</f>
        <v>FNFI_SIAMED_UNIMEDJP</v>
      </c>
      <c r="G3914" s="2" t="str">
        <f t="shared" si="329"/>
        <v xml:space="preserve"> ()</v>
      </c>
    </row>
    <row r="3915" spans="1:7" x14ac:dyDescent="0.3">
      <c r="A3915" s="1" t="s">
        <v>4</v>
      </c>
      <c r="B3915" s="2" t="str">
        <f t="shared" si="326"/>
        <v>SISTEMA FINANCEIRO</v>
      </c>
      <c r="C3915" s="2" t="str">
        <f t="shared" si="328"/>
        <v>FINAN</v>
      </c>
      <c r="D3915" s="2" t="str">
        <f t="shared" si="327"/>
        <v>FNFI</v>
      </c>
      <c r="E3915" s="2" t="str">
        <f>"MENU SIST. FINANCEIRO X SIAMED UNIMEDJP"</f>
        <v>MENU SIST. FINANCEIRO X SIAMED UNIMEDJP</v>
      </c>
      <c r="F3915" s="2" t="str">
        <f>"M_FNFI_SIAMED"</f>
        <v>M_FNFI_SIAMED</v>
      </c>
      <c r="G3915" s="2" t="str">
        <f t="shared" si="329"/>
        <v xml:space="preserve"> ()</v>
      </c>
    </row>
    <row r="3916" spans="1:7" x14ac:dyDescent="0.3">
      <c r="A3916" s="1" t="s">
        <v>4</v>
      </c>
      <c r="B3916" s="2" t="str">
        <f t="shared" si="326"/>
        <v>SISTEMA FINANCEIRO</v>
      </c>
      <c r="C3916" s="2" t="str">
        <f t="shared" si="328"/>
        <v>FINAN</v>
      </c>
      <c r="D3916" s="2" t="str">
        <f t="shared" si="327"/>
        <v>FNFI</v>
      </c>
      <c r="E3916" s="2" t="str">
        <f>"R_GRU_RES"</f>
        <v>R_GRU_RES</v>
      </c>
      <c r="F3916" s="2" t="str">
        <f>"R_GRU_RES"</f>
        <v>R_GRU_RES</v>
      </c>
      <c r="G3916" s="2" t="str">
        <f t="shared" si="329"/>
        <v xml:space="preserve"> ()</v>
      </c>
    </row>
    <row r="3917" spans="1:7" x14ac:dyDescent="0.3">
      <c r="A3917" s="1" t="s">
        <v>4</v>
      </c>
      <c r="B3917" s="2" t="str">
        <f t="shared" si="326"/>
        <v>SISTEMA FINANCEIRO</v>
      </c>
      <c r="C3917" s="2" t="str">
        <f t="shared" si="328"/>
        <v>FINAN</v>
      </c>
      <c r="D3917" s="2" t="str">
        <f t="shared" si="327"/>
        <v>FNFI</v>
      </c>
      <c r="E3917" s="2" t="str">
        <f>"R_TIP_DOC"</f>
        <v>R_TIP_DOC</v>
      </c>
      <c r="F3917" s="2" t="str">
        <f>"R_TIP_DOC"</f>
        <v>R_TIP_DOC</v>
      </c>
      <c r="G3917" s="2" t="str">
        <f t="shared" si="329"/>
        <v xml:space="preserve"> ()</v>
      </c>
    </row>
    <row r="3918" spans="1:7" x14ac:dyDescent="0.3">
      <c r="A3918" s="1" t="s">
        <v>4</v>
      </c>
      <c r="B3918" s="2" t="str">
        <f t="shared" si="326"/>
        <v>SISTEMA FINANCEIRO</v>
      </c>
      <c r="C3918" s="2" t="str">
        <f t="shared" si="328"/>
        <v>FINAN</v>
      </c>
      <c r="D3918" s="2" t="str">
        <f t="shared" si="327"/>
        <v>FNFI</v>
      </c>
      <c r="E3918" s="2" t="str">
        <f>"PERSONALIZADO FINANCEIRO"</f>
        <v>PERSONALIZADO FINANCEIRO</v>
      </c>
      <c r="F3918" s="2" t="str">
        <f>"R_PERSON_FNFI"</f>
        <v>R_PERSON_FNFI</v>
      </c>
      <c r="G3918" s="2" t="s">
        <v>10</v>
      </c>
    </row>
    <row r="3919" spans="1:7" x14ac:dyDescent="0.3">
      <c r="A3919" s="1" t="s">
        <v>4</v>
      </c>
      <c r="B3919" s="2" t="str">
        <f t="shared" si="326"/>
        <v>SISTEMA FINANCEIRO</v>
      </c>
      <c r="C3919" s="2" t="str">
        <f t="shared" si="328"/>
        <v>FINAN</v>
      </c>
      <c r="D3919" s="2" t="str">
        <f t="shared" si="327"/>
        <v>FNFI</v>
      </c>
      <c r="E3919" s="2" t="str">
        <f>"M_ORCADO_CUSTO"</f>
        <v>M_ORCADO_CUSTO</v>
      </c>
      <c r="F3919" s="2" t="str">
        <f>"M_ORCADO_CUSTO"</f>
        <v>M_ORCADO_CUSTO</v>
      </c>
      <c r="G3919" s="2" t="str">
        <f>" ()"</f>
        <v xml:space="preserve"> ()</v>
      </c>
    </row>
    <row r="3920" spans="1:7" x14ac:dyDescent="0.3">
      <c r="A3920" s="1" t="s">
        <v>4</v>
      </c>
      <c r="B3920" s="2" t="str">
        <f t="shared" si="326"/>
        <v>SISTEMA FINANCEIRO</v>
      </c>
      <c r="C3920" s="2" t="str">
        <f t="shared" si="328"/>
        <v>FINAN</v>
      </c>
      <c r="D3920" s="2" t="str">
        <f t="shared" si="327"/>
        <v>FNFI</v>
      </c>
      <c r="E3920" s="2" t="str">
        <f>"R_EXTRATO_CONTA_CARACTER"</f>
        <v>R_EXTRATO_CONTA_CARACTER</v>
      </c>
      <c r="F3920" s="2" t="str">
        <f>"R_EXTRATO_CONTA_CARACTER"</f>
        <v>R_EXTRATO_CONTA_CARACTER</v>
      </c>
      <c r="G3920" s="2" t="str">
        <f>" ()"</f>
        <v xml:space="preserve"> ()</v>
      </c>
    </row>
    <row r="3921" spans="1:7" x14ac:dyDescent="0.3">
      <c r="A3921" s="1" t="s">
        <v>4</v>
      </c>
      <c r="B3921" s="2" t="str">
        <f t="shared" si="326"/>
        <v>SISTEMA FINANCEIRO</v>
      </c>
      <c r="C3921" s="2" t="str">
        <f t="shared" si="328"/>
        <v>FINAN</v>
      </c>
      <c r="D3921" s="2" t="str">
        <f t="shared" si="327"/>
        <v>FNFI</v>
      </c>
      <c r="E3921" s="2" t="str">
        <f>"R_NOTA_FISC_PART_377"</f>
        <v>R_NOTA_FISC_PART_377</v>
      </c>
      <c r="F3921" s="2" t="str">
        <f>"R_NOTA_FISC_PART_377"</f>
        <v>R_NOTA_FISC_PART_377</v>
      </c>
      <c r="G3921" s="2" t="str">
        <f>" ()"</f>
        <v xml:space="preserve"> ()</v>
      </c>
    </row>
    <row r="3922" spans="1:7" x14ac:dyDescent="0.3">
      <c r="A3922" s="1" t="s">
        <v>4</v>
      </c>
      <c r="B3922" s="2" t="str">
        <f t="shared" si="326"/>
        <v>SISTEMA FINANCEIRO</v>
      </c>
      <c r="C3922" s="2" t="str">
        <f t="shared" si="328"/>
        <v>FINAN</v>
      </c>
      <c r="D3922" s="2" t="str">
        <f t="shared" si="327"/>
        <v>FNFI</v>
      </c>
      <c r="E3922" s="2" t="str">
        <f>"M_ISS_FACIL_1102"</f>
        <v>M_ISS_FACIL_1102</v>
      </c>
      <c r="F3922" s="2" t="str">
        <f>"M_ISS_FACIL_1102"</f>
        <v>M_ISS_FACIL_1102</v>
      </c>
      <c r="G3922" s="2" t="str">
        <f>" ()"</f>
        <v xml:space="preserve"> ()</v>
      </c>
    </row>
    <row r="3923" spans="1:7" x14ac:dyDescent="0.3">
      <c r="A3923" s="1" t="s">
        <v>4</v>
      </c>
      <c r="B3923" s="2" t="str">
        <f t="shared" si="326"/>
        <v>SISTEMA FINANCEIRO</v>
      </c>
      <c r="C3923" s="2" t="str">
        <f t="shared" si="328"/>
        <v>FINAN</v>
      </c>
      <c r="D3923" s="2" t="str">
        <f t="shared" si="327"/>
        <v>FNFI</v>
      </c>
      <c r="E3923" s="2" t="str">
        <f>"R_CON_PAG_BANCARIO_CARACT"</f>
        <v>R_CON_PAG_BANCARIO_CARACT</v>
      </c>
      <c r="F3923" s="2" t="str">
        <f>"R_CON_PAG_BANCARIO_CARACT"</f>
        <v>R_CON_PAG_BANCARIO_CARACT</v>
      </c>
      <c r="G3923" s="2" t="str">
        <f>" ()"</f>
        <v xml:space="preserve"> ()</v>
      </c>
    </row>
    <row r="3924" spans="1:7" x14ac:dyDescent="0.3">
      <c r="A3924" s="1" t="s">
        <v>4</v>
      </c>
      <c r="B3924" s="2" t="str">
        <f t="shared" si="326"/>
        <v>SISTEMA FINANCEIRO</v>
      </c>
      <c r="C3924" s="2" t="str">
        <f t="shared" si="328"/>
        <v>FINAN</v>
      </c>
      <c r="D3924" s="2" t="str">
        <f t="shared" si="327"/>
        <v>FNFI</v>
      </c>
      <c r="E3924" s="2" t="str">
        <f>"AJUSTE RECEBIMENTO DE CONVÊNIO"</f>
        <v>AJUSTE RECEBIMENTO DE CONVÊNIO</v>
      </c>
      <c r="F3924" s="2" t="str">
        <f>"O_AJUST_REC_CONV"</f>
        <v>O_AJUST_REC_CONV</v>
      </c>
      <c r="G3924" s="2" t="s">
        <v>10</v>
      </c>
    </row>
    <row r="3925" spans="1:7" x14ac:dyDescent="0.3">
      <c r="A3925" s="1" t="s">
        <v>4</v>
      </c>
      <c r="B3925" s="2" t="str">
        <f t="shared" si="326"/>
        <v>SISTEMA FINANCEIRO</v>
      </c>
      <c r="C3925" s="2" t="str">
        <f t="shared" si="328"/>
        <v>FINAN</v>
      </c>
      <c r="D3925" s="2" t="str">
        <f t="shared" si="327"/>
        <v>FNFI</v>
      </c>
      <c r="E3925" s="2" t="str">
        <f>"RECEBIMENTO DE CONVÊNIO"</f>
        <v>RECEBIMENTO DE CONVÊNIO</v>
      </c>
      <c r="F3925" s="2" t="str">
        <f>"O_REC_CONV"</f>
        <v>O_REC_CONV</v>
      </c>
      <c r="G3925" s="2" t="s">
        <v>10</v>
      </c>
    </row>
    <row r="3926" spans="1:7" x14ac:dyDescent="0.3">
      <c r="A3926" s="1" t="s">
        <v>4</v>
      </c>
      <c r="B3926" s="2" t="str">
        <f t="shared" si="326"/>
        <v>SISTEMA FINANCEIRO</v>
      </c>
      <c r="C3926" s="2" t="str">
        <f t="shared" si="328"/>
        <v>FINAN</v>
      </c>
      <c r="D3926" s="2" t="str">
        <f t="shared" si="327"/>
        <v>FNFI</v>
      </c>
      <c r="E3926" s="2" t="str">
        <f>"R_CON_ARECEB_CONV_CARACT"</f>
        <v>R_CON_ARECEB_CONV_CARACT</v>
      </c>
      <c r="F3926" s="2" t="str">
        <f>"R_CON_ARECEB_CONV_CARACT"</f>
        <v>R_CON_ARECEB_CONV_CARACT</v>
      </c>
      <c r="G3926" s="2" t="str">
        <f t="shared" ref="G3926:G3954" si="330">" ()"</f>
        <v xml:space="preserve"> ()</v>
      </c>
    </row>
    <row r="3927" spans="1:7" x14ac:dyDescent="0.3">
      <c r="A3927" s="1" t="s">
        <v>4</v>
      </c>
      <c r="B3927" s="2" t="str">
        <f t="shared" si="326"/>
        <v>SISTEMA FINANCEIRO</v>
      </c>
      <c r="C3927" s="2" t="str">
        <f t="shared" si="328"/>
        <v>FINAN</v>
      </c>
      <c r="D3927" s="2" t="str">
        <f t="shared" si="327"/>
        <v>FNFI</v>
      </c>
      <c r="E3927" s="2" t="str">
        <f>"R_RECIBO_PAGAMENTO_612"</f>
        <v>R_RECIBO_PAGAMENTO_612</v>
      </c>
      <c r="F3927" s="2" t="str">
        <f>"R_RECIBO_PAGAMENTO_612"</f>
        <v>R_RECIBO_PAGAMENTO_612</v>
      </c>
      <c r="G3927" s="2" t="str">
        <f t="shared" si="330"/>
        <v xml:space="preserve"> ()</v>
      </c>
    </row>
    <row r="3928" spans="1:7" x14ac:dyDescent="0.3">
      <c r="A3928" s="1" t="s">
        <v>4</v>
      </c>
      <c r="B3928" s="2" t="str">
        <f t="shared" si="326"/>
        <v>SISTEMA FINANCEIRO</v>
      </c>
      <c r="C3928" s="2" t="str">
        <f t="shared" si="328"/>
        <v>FINAN</v>
      </c>
      <c r="D3928" s="2" t="str">
        <f t="shared" si="327"/>
        <v>FNFI</v>
      </c>
      <c r="E3928" s="2" t="str">
        <f>"R_APLIC_CARACT_755"</f>
        <v>R_APLIC_CARACT_755</v>
      </c>
      <c r="F3928" s="2" t="str">
        <f>"R_APLIC_CARACT_755"</f>
        <v>R_APLIC_CARACT_755</v>
      </c>
      <c r="G3928" s="2" t="str">
        <f t="shared" si="330"/>
        <v xml:space="preserve"> ()</v>
      </c>
    </row>
    <row r="3929" spans="1:7" x14ac:dyDescent="0.3">
      <c r="A3929" s="1" t="s">
        <v>4</v>
      </c>
      <c r="B3929" s="2" t="str">
        <f t="shared" si="326"/>
        <v>SISTEMA FINANCEIRO</v>
      </c>
      <c r="C3929" s="2" t="str">
        <f t="shared" si="328"/>
        <v>FINAN</v>
      </c>
      <c r="D3929" s="2" t="str">
        <f t="shared" si="327"/>
        <v>FNFI</v>
      </c>
      <c r="E3929" s="2" t="str">
        <f>"RELATÓRIO DE APLICAÇÕES ABERTAS"</f>
        <v>RELATÓRIO DE APLICAÇÕES ABERTAS</v>
      </c>
      <c r="F3929" s="2" t="str">
        <f>"R_APLIC_755"</f>
        <v>R_APLIC_755</v>
      </c>
      <c r="G3929" s="2" t="str">
        <f t="shared" si="330"/>
        <v xml:space="preserve"> ()</v>
      </c>
    </row>
    <row r="3930" spans="1:7" x14ac:dyDescent="0.3">
      <c r="A3930" s="1" t="s">
        <v>4</v>
      </c>
      <c r="B3930" s="2" t="str">
        <f t="shared" si="326"/>
        <v>SISTEMA FINANCEIRO</v>
      </c>
      <c r="C3930" s="2" t="str">
        <f t="shared" si="328"/>
        <v>FINAN</v>
      </c>
      <c r="D3930" s="2" t="str">
        <f t="shared" si="327"/>
        <v>FNFI</v>
      </c>
      <c r="E3930" s="2" t="str">
        <f>"R_CONTA_CONV"</f>
        <v>R_CONTA_CONV</v>
      </c>
      <c r="F3930" s="2" t="str">
        <f>"R_CONTA_CONV"</f>
        <v>R_CONTA_CONV</v>
      </c>
      <c r="G3930" s="2" t="str">
        <f t="shared" si="330"/>
        <v xml:space="preserve"> ()</v>
      </c>
    </row>
    <row r="3931" spans="1:7" x14ac:dyDescent="0.3">
      <c r="A3931" s="1" t="s">
        <v>4</v>
      </c>
      <c r="B3931" s="2" t="str">
        <f t="shared" si="326"/>
        <v>SISTEMA FINANCEIRO</v>
      </c>
      <c r="C3931" s="2" t="str">
        <f t="shared" si="328"/>
        <v>FINAN</v>
      </c>
      <c r="D3931" s="2" t="str">
        <f t="shared" si="327"/>
        <v>FNFI</v>
      </c>
      <c r="E3931" s="2" t="str">
        <f>"R_FLUXO_CAIXA_755"</f>
        <v>R_FLUXO_CAIXA_755</v>
      </c>
      <c r="F3931" s="2" t="str">
        <f>"R_FLUXO_CAIXA_755"</f>
        <v>R_FLUXO_CAIXA_755</v>
      </c>
      <c r="G3931" s="2" t="str">
        <f t="shared" si="330"/>
        <v xml:space="preserve"> ()</v>
      </c>
    </row>
    <row r="3932" spans="1:7" x14ac:dyDescent="0.3">
      <c r="A3932" s="1" t="s">
        <v>4</v>
      </c>
      <c r="B3932" s="2" t="str">
        <f t="shared" si="326"/>
        <v>SISTEMA FINANCEIRO</v>
      </c>
      <c r="C3932" s="2" t="str">
        <f t="shared" si="328"/>
        <v>FINAN</v>
      </c>
      <c r="D3932" s="2" t="str">
        <f t="shared" si="327"/>
        <v>FNFI</v>
      </c>
      <c r="E3932" s="2" t="str">
        <f>"R_CONTA_REC_PAC_448"</f>
        <v>R_CONTA_REC_PAC_448</v>
      </c>
      <c r="F3932" s="2" t="str">
        <f>"R_CONTA_REC_PAC_448"</f>
        <v>R_CONTA_REC_PAC_448</v>
      </c>
      <c r="G3932" s="2" t="str">
        <f t="shared" si="330"/>
        <v xml:space="preserve"> ()</v>
      </c>
    </row>
    <row r="3933" spans="1:7" x14ac:dyDescent="0.3">
      <c r="A3933" s="1" t="s">
        <v>4</v>
      </c>
      <c r="B3933" s="2" t="str">
        <f t="shared" si="326"/>
        <v>SISTEMA FINANCEIRO</v>
      </c>
      <c r="C3933" s="2" t="str">
        <f t="shared" si="328"/>
        <v>FINAN</v>
      </c>
      <c r="D3933" s="2" t="str">
        <f t="shared" si="327"/>
        <v>FNFI</v>
      </c>
      <c r="E3933" s="2" t="str">
        <f>"R_NOTA_FISC_CONV_340"</f>
        <v>R_NOTA_FISC_CONV_340</v>
      </c>
      <c r="F3933" s="2" t="str">
        <f>"R_NOTA_FISC_CONV_340"</f>
        <v>R_NOTA_FISC_CONV_340</v>
      </c>
      <c r="G3933" s="2" t="str">
        <f t="shared" si="330"/>
        <v xml:space="preserve"> ()</v>
      </c>
    </row>
    <row r="3934" spans="1:7" x14ac:dyDescent="0.3">
      <c r="A3934" s="1" t="s">
        <v>4</v>
      </c>
      <c r="B3934" s="2" t="str">
        <f t="shared" si="326"/>
        <v>SISTEMA FINANCEIRO</v>
      </c>
      <c r="C3934" s="2" t="str">
        <f t="shared" si="328"/>
        <v>FINAN</v>
      </c>
      <c r="D3934" s="2" t="str">
        <f t="shared" si="327"/>
        <v>FNFI</v>
      </c>
      <c r="E3934" s="2" t="str">
        <f>"R_FLU_CAI_GER_CARACT_754"</f>
        <v>R_FLU_CAI_GER_CARACT_754</v>
      </c>
      <c r="F3934" s="2" t="str">
        <f>"R_FLU_CAI_GER_CARACT_754"</f>
        <v>R_FLU_CAI_GER_CARACT_754</v>
      </c>
      <c r="G3934" s="2" t="str">
        <f t="shared" si="330"/>
        <v xml:space="preserve"> ()</v>
      </c>
    </row>
    <row r="3935" spans="1:7" x14ac:dyDescent="0.3">
      <c r="A3935" s="1" t="s">
        <v>4</v>
      </c>
      <c r="B3935" s="2" t="str">
        <f t="shared" si="326"/>
        <v>SISTEMA FINANCEIRO</v>
      </c>
      <c r="C3935" s="2" t="str">
        <f t="shared" si="328"/>
        <v>FINAN</v>
      </c>
      <c r="D3935" s="2" t="str">
        <f t="shared" si="327"/>
        <v>FNFI</v>
      </c>
      <c r="E3935" s="2" t="str">
        <f>"R_FLUXO_CAI_GER_754"</f>
        <v>R_FLUXO_CAI_GER_754</v>
      </c>
      <c r="F3935" s="2" t="str">
        <f>"R_FLUXO_CAI_GER_754"</f>
        <v>R_FLUXO_CAI_GER_754</v>
      </c>
      <c r="G3935" s="2" t="str">
        <f t="shared" si="330"/>
        <v xml:space="preserve"> ()</v>
      </c>
    </row>
    <row r="3936" spans="1:7" x14ac:dyDescent="0.3">
      <c r="A3936" s="1" t="s">
        <v>4</v>
      </c>
      <c r="B3936" s="2" t="str">
        <f t="shared" si="326"/>
        <v>SISTEMA FINANCEIRO</v>
      </c>
      <c r="C3936" s="2" t="str">
        <f t="shared" si="328"/>
        <v>FINAN</v>
      </c>
      <c r="D3936" s="2" t="str">
        <f t="shared" si="327"/>
        <v>FNFI</v>
      </c>
      <c r="E3936" s="2" t="str">
        <f>"M_CONPAG_RES_749"</f>
        <v>M_CONPAG_RES_749</v>
      </c>
      <c r="F3936" s="2" t="str">
        <f>"M_CONPAG_RES_749"</f>
        <v>M_CONPAG_RES_749</v>
      </c>
      <c r="G3936" s="2" t="str">
        <f t="shared" si="330"/>
        <v xml:space="preserve"> ()</v>
      </c>
    </row>
    <row r="3937" spans="1:7" x14ac:dyDescent="0.3">
      <c r="A3937" s="1" t="s">
        <v>4</v>
      </c>
      <c r="B3937" s="2" t="str">
        <f t="shared" si="326"/>
        <v>SISTEMA FINANCEIRO</v>
      </c>
      <c r="C3937" s="2" t="str">
        <f t="shared" si="328"/>
        <v>FINAN</v>
      </c>
      <c r="D3937" s="2" t="str">
        <f t="shared" si="327"/>
        <v>FNFI</v>
      </c>
      <c r="E3937" s="2" t="str">
        <f>"M_CON_REC_749"</f>
        <v>M_CON_REC_749</v>
      </c>
      <c r="F3937" s="2" t="str">
        <f>"M_CON_REC_749"</f>
        <v>M_CON_REC_749</v>
      </c>
      <c r="G3937" s="2" t="str">
        <f t="shared" si="330"/>
        <v xml:space="preserve"> ()</v>
      </c>
    </row>
    <row r="3938" spans="1:7" x14ac:dyDescent="0.3">
      <c r="A3938" s="1" t="s">
        <v>4</v>
      </c>
      <c r="B3938" s="2" t="str">
        <f t="shared" si="326"/>
        <v>SISTEMA FINANCEIRO</v>
      </c>
      <c r="C3938" s="2" t="str">
        <f t="shared" si="328"/>
        <v>FINAN</v>
      </c>
      <c r="D3938" s="2" t="str">
        <f t="shared" si="327"/>
        <v>FNFI</v>
      </c>
      <c r="E3938" s="2" t="str">
        <f>"R_NOTA_FISC_PART_340"</f>
        <v>R_NOTA_FISC_PART_340</v>
      </c>
      <c r="F3938" s="2" t="str">
        <f>"R_NOTA_FISC_PART_340"</f>
        <v>R_NOTA_FISC_PART_340</v>
      </c>
      <c r="G3938" s="2" t="str">
        <f t="shared" si="330"/>
        <v xml:space="preserve"> ()</v>
      </c>
    </row>
    <row r="3939" spans="1:7" x14ac:dyDescent="0.3">
      <c r="A3939" s="1" t="s">
        <v>4</v>
      </c>
      <c r="B3939" s="2" t="str">
        <f t="shared" si="326"/>
        <v>SISTEMA FINANCEIRO</v>
      </c>
      <c r="C3939" s="2" t="str">
        <f t="shared" si="328"/>
        <v>FINAN</v>
      </c>
      <c r="D3939" s="2" t="str">
        <f t="shared" si="327"/>
        <v>FNFI</v>
      </c>
      <c r="E3939" s="2" t="str">
        <f>"R_FLUXO_CAIXA_CARACT_755"</f>
        <v>R_FLUXO_CAIXA_CARACT_755</v>
      </c>
      <c r="F3939" s="2" t="str">
        <f>"R_FLUXO_CAIXA_CARACT_755"</f>
        <v>R_FLUXO_CAIXA_CARACT_755</v>
      </c>
      <c r="G3939" s="2" t="str">
        <f t="shared" si="330"/>
        <v xml:space="preserve"> ()</v>
      </c>
    </row>
    <row r="3940" spans="1:7" x14ac:dyDescent="0.3">
      <c r="A3940" s="1" t="s">
        <v>4</v>
      </c>
      <c r="B3940" s="2" t="str">
        <f t="shared" si="326"/>
        <v>SISTEMA FINANCEIRO</v>
      </c>
      <c r="C3940" s="2" t="str">
        <f t="shared" si="328"/>
        <v>FINAN</v>
      </c>
      <c r="D3940" s="2" t="str">
        <f t="shared" si="327"/>
        <v>FNFI</v>
      </c>
      <c r="E3940" s="2" t="str">
        <f>"R_NOTA_FISCAL_1700"</f>
        <v>R_NOTA_FISCAL_1700</v>
      </c>
      <c r="F3940" s="2" t="str">
        <f>"R_NOTA_FISCAL_1700"</f>
        <v>R_NOTA_FISCAL_1700</v>
      </c>
      <c r="G3940" s="2" t="str">
        <f t="shared" si="330"/>
        <v xml:space="preserve"> ()</v>
      </c>
    </row>
    <row r="3941" spans="1:7" x14ac:dyDescent="0.3">
      <c r="A3941" s="1" t="s">
        <v>4</v>
      </c>
      <c r="B3941" s="2" t="str">
        <f t="shared" si="326"/>
        <v>SISTEMA FINANCEIRO</v>
      </c>
      <c r="C3941" s="2" t="str">
        <f t="shared" si="328"/>
        <v>FINAN</v>
      </c>
      <c r="D3941" s="2" t="str">
        <f t="shared" si="327"/>
        <v>FNFI</v>
      </c>
      <c r="E3941" s="2" t="str">
        <f>"R_CONCLI_CARACT"</f>
        <v>R_CONCLI_CARACT</v>
      </c>
      <c r="F3941" s="2" t="str">
        <f>"R_CONCLI_CARACT"</f>
        <v>R_CONCLI_CARACT</v>
      </c>
      <c r="G3941" s="2" t="str">
        <f t="shared" si="330"/>
        <v xml:space="preserve"> ()</v>
      </c>
    </row>
    <row r="3942" spans="1:7" x14ac:dyDescent="0.3">
      <c r="A3942" s="1" t="s">
        <v>4</v>
      </c>
      <c r="B3942" s="2" t="str">
        <f t="shared" si="326"/>
        <v>SISTEMA FINANCEIRO</v>
      </c>
      <c r="C3942" s="2" t="str">
        <f t="shared" si="328"/>
        <v>FINAN</v>
      </c>
      <c r="D3942" s="2" t="str">
        <f t="shared" si="327"/>
        <v>FNFI</v>
      </c>
      <c r="E3942" s="2" t="str">
        <f>"R_CON_GLOSA_200"</f>
        <v>R_CON_GLOSA_200</v>
      </c>
      <c r="F3942" s="2" t="str">
        <f>"R_CON_GLOSA_200"</f>
        <v>R_CON_GLOSA_200</v>
      </c>
      <c r="G3942" s="2" t="str">
        <f t="shared" si="330"/>
        <v xml:space="preserve"> ()</v>
      </c>
    </row>
    <row r="3943" spans="1:7" x14ac:dyDescent="0.3">
      <c r="A3943" s="1" t="s">
        <v>4</v>
      </c>
      <c r="B3943" s="2" t="str">
        <f t="shared" ref="B3943:B3976" si="331">"SISTEMA FINANCEIRO"</f>
        <v>SISTEMA FINANCEIRO</v>
      </c>
      <c r="C3943" s="2" t="str">
        <f t="shared" si="328"/>
        <v>FINAN</v>
      </c>
      <c r="D3943" s="2" t="str">
        <f t="shared" ref="D3943:D3976" si="332">"FNFI"</f>
        <v>FNFI</v>
      </c>
      <c r="E3943" s="2" t="str">
        <f>"R_ENTCHEQUE_755"</f>
        <v>R_ENTCHEQUE_755</v>
      </c>
      <c r="F3943" s="2" t="str">
        <f>"R_ENTCHEQUE_755"</f>
        <v>R_ENTCHEQUE_755</v>
      </c>
      <c r="G3943" s="2" t="str">
        <f t="shared" si="330"/>
        <v xml:space="preserve"> ()</v>
      </c>
    </row>
    <row r="3944" spans="1:7" x14ac:dyDescent="0.3">
      <c r="A3944" s="1" t="s">
        <v>4</v>
      </c>
      <c r="B3944" s="2" t="str">
        <f t="shared" si="331"/>
        <v>SISTEMA FINANCEIRO</v>
      </c>
      <c r="C3944" s="2" t="str">
        <f t="shared" si="328"/>
        <v>FINAN</v>
      </c>
      <c r="D3944" s="2" t="str">
        <f t="shared" si="332"/>
        <v>FNFI</v>
      </c>
      <c r="E3944" s="2" t="str">
        <f>"R_NOTA_FISCAL_612"</f>
        <v>R_NOTA_FISCAL_612</v>
      </c>
      <c r="F3944" s="2" t="str">
        <f>"R_NOTA_FISCAL_612"</f>
        <v>R_NOTA_FISCAL_612</v>
      </c>
      <c r="G3944" s="2" t="str">
        <f t="shared" si="330"/>
        <v xml:space="preserve"> ()</v>
      </c>
    </row>
    <row r="3945" spans="1:7" x14ac:dyDescent="0.3">
      <c r="A3945" s="1" t="s">
        <v>4</v>
      </c>
      <c r="B3945" s="2" t="str">
        <f t="shared" si="331"/>
        <v>SISTEMA FINANCEIRO</v>
      </c>
      <c r="C3945" s="2" t="str">
        <f t="shared" si="328"/>
        <v>FINAN</v>
      </c>
      <c r="D3945" s="2" t="str">
        <f t="shared" si="332"/>
        <v>FNFI</v>
      </c>
      <c r="E3945" s="2" t="str">
        <f>"R_CON_RECEB_CARACT_501"</f>
        <v>R_CON_RECEB_CARACT_501</v>
      </c>
      <c r="F3945" s="2" t="str">
        <f>"R_CON_RECEB_CARACT_501"</f>
        <v>R_CON_RECEB_CARACT_501</v>
      </c>
      <c r="G3945" s="2" t="str">
        <f t="shared" si="330"/>
        <v xml:space="preserve"> ()</v>
      </c>
    </row>
    <row r="3946" spans="1:7" x14ac:dyDescent="0.3">
      <c r="A3946" s="1" t="s">
        <v>4</v>
      </c>
      <c r="B3946" s="2" t="str">
        <f t="shared" si="331"/>
        <v>SISTEMA FINANCEIRO</v>
      </c>
      <c r="C3946" s="2" t="str">
        <f t="shared" si="328"/>
        <v>FINAN</v>
      </c>
      <c r="D3946" s="2" t="str">
        <f t="shared" si="332"/>
        <v>FNFI</v>
      </c>
      <c r="E3946" s="2" t="str">
        <f>"R_CON_RECEB_SIMP_CARACT_959"</f>
        <v>R_CON_RECEB_SIMP_CARACT_959</v>
      </c>
      <c r="F3946" s="2" t="str">
        <f>"R_CON_RECEB_SIMP_CARACT_959"</f>
        <v>R_CON_RECEB_SIMP_CARACT_959</v>
      </c>
      <c r="G3946" s="2" t="str">
        <f t="shared" si="330"/>
        <v xml:space="preserve"> ()</v>
      </c>
    </row>
    <row r="3947" spans="1:7" x14ac:dyDescent="0.3">
      <c r="A3947" s="1" t="s">
        <v>4</v>
      </c>
      <c r="B3947" s="2" t="str">
        <f t="shared" si="331"/>
        <v>SISTEMA FINANCEIRO</v>
      </c>
      <c r="C3947" s="2" t="str">
        <f t="shared" si="328"/>
        <v>FINAN</v>
      </c>
      <c r="D3947" s="2" t="str">
        <f t="shared" si="332"/>
        <v>FNFI</v>
      </c>
      <c r="E3947" s="2" t="str">
        <f>"R_RECURSO_GLOSA_ANALITICO"</f>
        <v>R_RECURSO_GLOSA_ANALITICO</v>
      </c>
      <c r="F3947" s="2" t="str">
        <f>"R_RECURSO_GLOSA_ANALITICO"</f>
        <v>R_RECURSO_GLOSA_ANALITICO</v>
      </c>
      <c r="G3947" s="2" t="str">
        <f t="shared" si="330"/>
        <v xml:space="preserve"> ()</v>
      </c>
    </row>
    <row r="3948" spans="1:7" x14ac:dyDescent="0.3">
      <c r="A3948" s="1" t="s">
        <v>4</v>
      </c>
      <c r="B3948" s="2" t="str">
        <f t="shared" si="331"/>
        <v>SISTEMA FINANCEIRO</v>
      </c>
      <c r="C3948" s="2" t="str">
        <f t="shared" si="328"/>
        <v>FINAN</v>
      </c>
      <c r="D3948" s="2" t="str">
        <f t="shared" si="332"/>
        <v>FNFI</v>
      </c>
      <c r="E3948" s="2" t="str">
        <f>"R_PREVISAO_GLOSA"</f>
        <v>R_PREVISAO_GLOSA</v>
      </c>
      <c r="F3948" s="2" t="str">
        <f>"R_PREVISAO_GLOSA"</f>
        <v>R_PREVISAO_GLOSA</v>
      </c>
      <c r="G3948" s="2" t="str">
        <f t="shared" si="330"/>
        <v xml:space="preserve"> ()</v>
      </c>
    </row>
    <row r="3949" spans="1:7" x14ac:dyDescent="0.3">
      <c r="A3949" s="1" t="s">
        <v>4</v>
      </c>
      <c r="B3949" s="2" t="str">
        <f t="shared" si="331"/>
        <v>SISTEMA FINANCEIRO</v>
      </c>
      <c r="C3949" s="2" t="str">
        <f t="shared" si="328"/>
        <v>FINAN</v>
      </c>
      <c r="D3949" s="2" t="str">
        <f t="shared" si="332"/>
        <v>FNFI</v>
      </c>
      <c r="E3949" s="2" t="str">
        <f>"R_NOTA_FISCAL_750"</f>
        <v>R_NOTA_FISCAL_750</v>
      </c>
      <c r="F3949" s="2" t="str">
        <f>"R_NOTA_FISCAL_750"</f>
        <v>R_NOTA_FISCAL_750</v>
      </c>
      <c r="G3949" s="2" t="str">
        <f t="shared" si="330"/>
        <v xml:space="preserve"> ()</v>
      </c>
    </row>
    <row r="3950" spans="1:7" x14ac:dyDescent="0.3">
      <c r="A3950" s="1" t="s">
        <v>4</v>
      </c>
      <c r="B3950" s="2" t="str">
        <f t="shared" si="331"/>
        <v>SISTEMA FINANCEIRO</v>
      </c>
      <c r="C3950" s="2" t="str">
        <f t="shared" si="328"/>
        <v>FINAN</v>
      </c>
      <c r="D3950" s="2" t="str">
        <f t="shared" si="332"/>
        <v>FNFI</v>
      </c>
      <c r="E3950" s="2" t="str">
        <f>"RELATÓRIO CONTA CORRENTE DO CLIENTE"</f>
        <v>RELATÓRIO CONTA CORRENTE DO CLIENTE</v>
      </c>
      <c r="F3950" s="2" t="str">
        <f>"R_CONCLI_429"</f>
        <v>R_CONCLI_429</v>
      </c>
      <c r="G3950" s="2" t="str">
        <f t="shared" si="330"/>
        <v xml:space="preserve"> ()</v>
      </c>
    </row>
    <row r="3951" spans="1:7" x14ac:dyDescent="0.3">
      <c r="A3951" s="1" t="s">
        <v>4</v>
      </c>
      <c r="B3951" s="2" t="str">
        <f t="shared" si="331"/>
        <v>SISTEMA FINANCEIRO</v>
      </c>
      <c r="C3951" s="2" t="str">
        <f t="shared" si="328"/>
        <v>FINAN</v>
      </c>
      <c r="D3951" s="2" t="str">
        <f t="shared" si="332"/>
        <v>FNFI</v>
      </c>
      <c r="E3951" s="2" t="str">
        <f>"RELATÓRIO DE ARQUIVOS"</f>
        <v>RELATÓRIO DE ARQUIVOS</v>
      </c>
      <c r="F3951" s="2" t="str">
        <f>"R_ARQUIVO"</f>
        <v>R_ARQUIVO</v>
      </c>
      <c r="G3951" s="2" t="str">
        <f t="shared" si="330"/>
        <v xml:space="preserve"> ()</v>
      </c>
    </row>
    <row r="3952" spans="1:7" x14ac:dyDescent="0.3">
      <c r="A3952" s="1" t="s">
        <v>4</v>
      </c>
      <c r="B3952" s="2" t="str">
        <f t="shared" si="331"/>
        <v>SISTEMA FINANCEIRO</v>
      </c>
      <c r="C3952" s="2" t="str">
        <f t="shared" si="328"/>
        <v>FINAN</v>
      </c>
      <c r="D3952" s="2" t="str">
        <f t="shared" si="332"/>
        <v>FNFI</v>
      </c>
      <c r="E3952" s="2" t="str">
        <f>"MEDICAO"</f>
        <v>MEDICAO</v>
      </c>
      <c r="F3952" s="2" t="str">
        <f>"MEDICAO"</f>
        <v>MEDICAO</v>
      </c>
      <c r="G3952" s="2" t="str">
        <f t="shared" si="330"/>
        <v xml:space="preserve"> ()</v>
      </c>
    </row>
    <row r="3953" spans="1:7" x14ac:dyDescent="0.3">
      <c r="A3953" s="1" t="s">
        <v>4</v>
      </c>
      <c r="B3953" s="2" t="str">
        <f t="shared" si="331"/>
        <v>SISTEMA FINANCEIRO</v>
      </c>
      <c r="C3953" s="2" t="str">
        <f t="shared" si="328"/>
        <v>FINAN</v>
      </c>
      <c r="D3953" s="2" t="str">
        <f t="shared" si="332"/>
        <v>FNFI</v>
      </c>
      <c r="E3953" s="2" t="str">
        <f>"MENU DO SISTEMA FINANCEIRO"</f>
        <v>MENU DO SISTEMA FINANCEIRO</v>
      </c>
      <c r="F3953" s="2" t="str">
        <f>"M_FNFI"</f>
        <v>M_FNFI</v>
      </c>
      <c r="G3953" s="2" t="str">
        <f t="shared" si="330"/>
        <v xml:space="preserve"> ()</v>
      </c>
    </row>
    <row r="3954" spans="1:7" x14ac:dyDescent="0.3">
      <c r="A3954" s="1" t="s">
        <v>4</v>
      </c>
      <c r="B3954" s="2" t="str">
        <f t="shared" si="331"/>
        <v>SISTEMA FINANCEIRO</v>
      </c>
      <c r="C3954" s="2" t="str">
        <f t="shared" si="328"/>
        <v>FINAN</v>
      </c>
      <c r="D3954" s="2" t="str">
        <f t="shared" si="332"/>
        <v>FNFI</v>
      </c>
      <c r="E3954" s="2" t="str">
        <f>"TELA PRINCIPAL DO SISTEMA FINANCEIRO"</f>
        <v>TELA PRINCIPAL DO SISTEMA FINANCEIRO</v>
      </c>
      <c r="F3954" s="2" t="str">
        <f>"FNFI"</f>
        <v>FNFI</v>
      </c>
      <c r="G3954" s="2" t="str">
        <f t="shared" si="330"/>
        <v xml:space="preserve"> ()</v>
      </c>
    </row>
    <row r="3955" spans="1:7" x14ac:dyDescent="0.3">
      <c r="A3955" s="1" t="s">
        <v>4</v>
      </c>
      <c r="B3955" s="2" t="str">
        <f t="shared" si="331"/>
        <v>SISTEMA FINANCEIRO</v>
      </c>
      <c r="C3955" s="2" t="str">
        <f t="shared" si="328"/>
        <v>FINAN</v>
      </c>
      <c r="D3955" s="2" t="str">
        <f t="shared" si="332"/>
        <v>FNFI</v>
      </c>
      <c r="E3955" s="2" t="str">
        <f>"TABELAS - TIPO DE DETALHAMENTO"</f>
        <v>TABELAS - TIPO DE DETALHAMENTO</v>
      </c>
      <c r="F3955" s="2" t="str">
        <f>"M_TIP_DET"</f>
        <v>M_TIP_DET</v>
      </c>
      <c r="G3955" s="2" t="s">
        <v>10</v>
      </c>
    </row>
    <row r="3956" spans="1:7" x14ac:dyDescent="0.3">
      <c r="A3956" s="1" t="s">
        <v>4</v>
      </c>
      <c r="B3956" s="2" t="str">
        <f t="shared" si="331"/>
        <v>SISTEMA FINANCEIRO</v>
      </c>
      <c r="C3956" s="2" t="str">
        <f t="shared" si="328"/>
        <v>FINAN</v>
      </c>
      <c r="D3956" s="2" t="str">
        <f t="shared" si="332"/>
        <v>FNFI</v>
      </c>
      <c r="E3956" s="2" t="str">
        <f>"TABELAS - TIPO DE DETALHAMENTO"</f>
        <v>TABELAS - TIPO DE DETALHAMENTO</v>
      </c>
      <c r="F3956" s="2" t="str">
        <f>"M_TIP_DET"</f>
        <v>M_TIP_DET</v>
      </c>
      <c r="G3956" s="2" t="str">
        <f>"Controladoria / Fiscal / Tabelas / Impostos (M_TIP_DET)"</f>
        <v>Controladoria / Fiscal / Tabelas / Impostos (M_TIP_DET)</v>
      </c>
    </row>
    <row r="3957" spans="1:7" x14ac:dyDescent="0.3">
      <c r="A3957" s="1" t="s">
        <v>4</v>
      </c>
      <c r="B3957" s="2" t="str">
        <f t="shared" si="331"/>
        <v>SISTEMA FINANCEIRO</v>
      </c>
      <c r="C3957" s="2" t="str">
        <f t="shared" si="328"/>
        <v>FINAN</v>
      </c>
      <c r="D3957" s="2" t="str">
        <f t="shared" si="332"/>
        <v>FNFI</v>
      </c>
      <c r="E3957" s="2" t="str">
        <f>"RELATÓRIO DE CONTAS PAGAS POR SETOR"</f>
        <v>RELATÓRIO DE CONTAS PAGAS POR SETOR</v>
      </c>
      <c r="F3957" s="2" t="str">
        <f>"R_PAGGRURES_SETOR_969"</f>
        <v>R_PAGGRURES_SETOR_969</v>
      </c>
      <c r="G3957" s="2" t="str">
        <f t="shared" ref="G3957:G3964" si="333">" ()"</f>
        <v xml:space="preserve"> ()</v>
      </c>
    </row>
    <row r="3958" spans="1:7" x14ac:dyDescent="0.3">
      <c r="A3958" s="1" t="s">
        <v>4</v>
      </c>
      <c r="B3958" s="2" t="str">
        <f t="shared" si="331"/>
        <v>SISTEMA FINANCEIRO</v>
      </c>
      <c r="C3958" s="2" t="str">
        <f t="shared" si="328"/>
        <v>FINAN</v>
      </c>
      <c r="D3958" s="2" t="str">
        <f t="shared" si="332"/>
        <v>FNFI</v>
      </c>
      <c r="E3958" s="2" t="str">
        <f>"M_CON_REC_338"</f>
        <v>M_CON_REC_338</v>
      </c>
      <c r="F3958" s="2" t="str">
        <f>"M_CON_REC_338"</f>
        <v>M_CON_REC_338</v>
      </c>
      <c r="G3958" s="2" t="str">
        <f t="shared" si="333"/>
        <v xml:space="preserve"> ()</v>
      </c>
    </row>
    <row r="3959" spans="1:7" x14ac:dyDescent="0.3">
      <c r="A3959" s="1" t="s">
        <v>4</v>
      </c>
      <c r="B3959" s="2" t="str">
        <f t="shared" si="331"/>
        <v>SISTEMA FINANCEIRO</v>
      </c>
      <c r="C3959" s="2" t="str">
        <f t="shared" si="328"/>
        <v>FINAN</v>
      </c>
      <c r="D3959" s="2" t="str">
        <f t="shared" si="332"/>
        <v>FNFI</v>
      </c>
      <c r="E3959" s="2" t="str">
        <f>"R_CONTA_REC_CONV_900"</f>
        <v>R_CONTA_REC_CONV_900</v>
      </c>
      <c r="F3959" s="2" t="str">
        <f>"R_CONTA_REC_CONV_900"</f>
        <v>R_CONTA_REC_CONV_900</v>
      </c>
      <c r="G3959" s="2" t="str">
        <f t="shared" si="333"/>
        <v xml:space="preserve"> ()</v>
      </c>
    </row>
    <row r="3960" spans="1:7" x14ac:dyDescent="0.3">
      <c r="A3960" s="1" t="s">
        <v>4</v>
      </c>
      <c r="B3960" s="2" t="str">
        <f t="shared" si="331"/>
        <v>SISTEMA FINANCEIRO</v>
      </c>
      <c r="C3960" s="2" t="str">
        <f t="shared" si="328"/>
        <v>FINAN</v>
      </c>
      <c r="D3960" s="2" t="str">
        <f t="shared" si="332"/>
        <v>FNFI</v>
      </c>
      <c r="E3960" s="2" t="str">
        <f>"R_CONTAS_APAG_PAG_SFORNEC_203"</f>
        <v>R_CONTAS_APAG_PAG_SFORNEC_203</v>
      </c>
      <c r="F3960" s="2" t="str">
        <f>"R_CONTAS_APAG_PAG_SFORNEC_203"</f>
        <v>R_CONTAS_APAG_PAG_SFORNEC_203</v>
      </c>
      <c r="G3960" s="2" t="str">
        <f t="shared" si="333"/>
        <v xml:space="preserve"> ()</v>
      </c>
    </row>
    <row r="3961" spans="1:7" x14ac:dyDescent="0.3">
      <c r="A3961" s="1" t="s">
        <v>4</v>
      </c>
      <c r="B3961" s="2" t="str">
        <f t="shared" si="331"/>
        <v>SISTEMA FINANCEIRO</v>
      </c>
      <c r="C3961" s="2" t="str">
        <f t="shared" si="328"/>
        <v>FINAN</v>
      </c>
      <c r="D3961" s="2" t="str">
        <f t="shared" si="332"/>
        <v>FNFI</v>
      </c>
      <c r="E3961" s="2" t="str">
        <f>"R_CONTAS_APAG_PAG_CARACT_SFORN_203"</f>
        <v>R_CONTAS_APAG_PAG_CARACT_SFORN_203</v>
      </c>
      <c r="F3961" s="2" t="str">
        <f>"R_CONTAS_APAG_PAG_CARACT_SFORN_203"</f>
        <v>R_CONTAS_APAG_PAG_CARACT_SFORN_203</v>
      </c>
      <c r="G3961" s="2" t="str">
        <f t="shared" si="333"/>
        <v xml:space="preserve"> ()</v>
      </c>
    </row>
    <row r="3962" spans="1:7" x14ac:dyDescent="0.3">
      <c r="A3962" s="1" t="s">
        <v>4</v>
      </c>
      <c r="B3962" s="2" t="str">
        <f t="shared" si="331"/>
        <v>SISTEMA FINANCEIRO</v>
      </c>
      <c r="C3962" s="2" t="str">
        <f t="shared" si="328"/>
        <v>FINAN</v>
      </c>
      <c r="D3962" s="2" t="str">
        <f t="shared" si="332"/>
        <v>FNFI</v>
      </c>
      <c r="E3962" s="2" t="str">
        <f>"R_CONTAS_APAG_PAG_CARACT_203"</f>
        <v>R_CONTAS_APAG_PAG_CARACT_203</v>
      </c>
      <c r="F3962" s="2" t="str">
        <f>"R_CONTAS_APAG_PAG_CARACT_203"</f>
        <v>R_CONTAS_APAG_PAG_CARACT_203</v>
      </c>
      <c r="G3962" s="2" t="str">
        <f t="shared" si="333"/>
        <v xml:space="preserve"> ()</v>
      </c>
    </row>
    <row r="3963" spans="1:7" x14ac:dyDescent="0.3">
      <c r="A3963" s="1" t="s">
        <v>4</v>
      </c>
      <c r="B3963" s="2" t="str">
        <f t="shared" si="331"/>
        <v>SISTEMA FINANCEIRO</v>
      </c>
      <c r="C3963" s="2" t="str">
        <f t="shared" si="328"/>
        <v>FINAN</v>
      </c>
      <c r="D3963" s="2" t="str">
        <f t="shared" si="332"/>
        <v>FNFI</v>
      </c>
      <c r="E3963" s="2" t="str">
        <f>"R_CONTAS_APAG_PAG_203"</f>
        <v>R_CONTAS_APAG_PAG_203</v>
      </c>
      <c r="F3963" s="2" t="str">
        <f>"R_CONTAS_APAG_PAG_203"</f>
        <v>R_CONTAS_APAG_PAG_203</v>
      </c>
      <c r="G3963" s="2" t="str">
        <f t="shared" si="333"/>
        <v xml:space="preserve"> ()</v>
      </c>
    </row>
    <row r="3964" spans="1:7" x14ac:dyDescent="0.3">
      <c r="A3964" s="1" t="s">
        <v>4</v>
      </c>
      <c r="B3964" s="2" t="str">
        <f t="shared" si="331"/>
        <v>SISTEMA FINANCEIRO</v>
      </c>
      <c r="C3964" s="2" t="str">
        <f t="shared" si="328"/>
        <v>FINAN</v>
      </c>
      <c r="D3964" s="2" t="str">
        <f t="shared" si="332"/>
        <v>FNFI</v>
      </c>
      <c r="E3964" s="2" t="str">
        <f>"R_CUSTO_CONTA_GER"</f>
        <v>R_CUSTO_CONTA_GER</v>
      </c>
      <c r="F3964" s="2" t="str">
        <f>"R_CUSTO_CONTA_GER"</f>
        <v>R_CUSTO_CONTA_GER</v>
      </c>
      <c r="G3964" s="2" t="str">
        <f t="shared" si="333"/>
        <v xml:space="preserve"> ()</v>
      </c>
    </row>
    <row r="3965" spans="1:7" x14ac:dyDescent="0.3">
      <c r="A3965" s="1" t="s">
        <v>4</v>
      </c>
      <c r="B3965" s="2" t="str">
        <f t="shared" si="331"/>
        <v>SISTEMA FINANCEIRO</v>
      </c>
      <c r="C3965" s="2" t="str">
        <f t="shared" ref="C3965:C3976" si="334">"FINAN"</f>
        <v>FINAN</v>
      </c>
      <c r="D3965" s="2" t="str">
        <f t="shared" si="332"/>
        <v>FNFI</v>
      </c>
      <c r="E3965" s="2" t="str">
        <f>"WIN_PRINCIPAL"</f>
        <v>WIN_PRINCIPAL</v>
      </c>
      <c r="F3965" s="2" t="str">
        <f>"M_TIPO_EMPRESA"</f>
        <v>M_TIPO_EMPRESA</v>
      </c>
      <c r="G3965" s="2" t="s">
        <v>10</v>
      </c>
    </row>
    <row r="3966" spans="1:7" x14ac:dyDescent="0.3">
      <c r="A3966" s="1" t="s">
        <v>4</v>
      </c>
      <c r="B3966" s="2" t="str">
        <f t="shared" si="331"/>
        <v>SISTEMA FINANCEIRO</v>
      </c>
      <c r="C3966" s="2" t="str">
        <f t="shared" si="334"/>
        <v>FINAN</v>
      </c>
      <c r="D3966" s="2" t="str">
        <f t="shared" si="332"/>
        <v>FNFI</v>
      </c>
      <c r="E3966" s="2" t="str">
        <f>"WIN_PRINCIPAL"</f>
        <v>WIN_PRINCIPAL</v>
      </c>
      <c r="F3966" s="2" t="str">
        <f>"M_TIPO_"</f>
        <v>M_TIPO_</v>
      </c>
      <c r="G3966" s="2" t="str">
        <f>" ()"</f>
        <v xml:space="preserve"> ()</v>
      </c>
    </row>
    <row r="3967" spans="1:7" x14ac:dyDescent="0.3">
      <c r="A3967" s="1" t="s">
        <v>4</v>
      </c>
      <c r="B3967" s="2" t="str">
        <f t="shared" si="331"/>
        <v>SISTEMA FINANCEIRO</v>
      </c>
      <c r="C3967" s="2" t="str">
        <f t="shared" si="334"/>
        <v>FINAN</v>
      </c>
      <c r="D3967" s="2" t="str">
        <f t="shared" si="332"/>
        <v>FNFI</v>
      </c>
      <c r="E3967" s="2" t="str">
        <f>"RELATÓRIO EXTRATO BANCÁRIO"</f>
        <v>RELATÓRIO EXTRATO BANCÁRIO</v>
      </c>
      <c r="F3967" s="2" t="str">
        <f>"R_LANEXT"</f>
        <v>R_LANEXT</v>
      </c>
      <c r="G3967" s="2" t="str">
        <f>" ()"</f>
        <v xml:space="preserve"> ()</v>
      </c>
    </row>
    <row r="3968" spans="1:7" x14ac:dyDescent="0.3">
      <c r="A3968" s="1" t="s">
        <v>4</v>
      </c>
      <c r="B3968" s="2" t="str">
        <f t="shared" si="331"/>
        <v>SISTEMA FINANCEIRO</v>
      </c>
      <c r="C3968" s="2" t="str">
        <f t="shared" si="334"/>
        <v>FINAN</v>
      </c>
      <c r="D3968" s="2" t="str">
        <f t="shared" si="332"/>
        <v>FNFI</v>
      </c>
      <c r="E3968" s="2" t="str">
        <f>"WIN_PRINCIPAL"</f>
        <v>WIN_PRINCIPAL</v>
      </c>
      <c r="F3968" s="2" t="str">
        <f>"O_IMP_RETENCAO_TRIBUTO_720"</f>
        <v>O_IMP_RETENCAO_TRIBUTO_720</v>
      </c>
      <c r="G3968" s="2" t="str">
        <f>" ()"</f>
        <v xml:space="preserve"> ()</v>
      </c>
    </row>
    <row r="3969" spans="1:7" x14ac:dyDescent="0.3">
      <c r="A3969" s="1" t="s">
        <v>4</v>
      </c>
      <c r="B3969" s="2" t="str">
        <f t="shared" si="331"/>
        <v>SISTEMA FINANCEIRO</v>
      </c>
      <c r="C3969" s="2" t="str">
        <f t="shared" si="334"/>
        <v>FINAN</v>
      </c>
      <c r="D3969" s="2" t="str">
        <f t="shared" si="332"/>
        <v>FNFI</v>
      </c>
      <c r="E3969" s="2" t="str">
        <f>"M_CTRL_ACESSO_FORCLI"</f>
        <v>M_CTRL_ACESSO_FORCLI</v>
      </c>
      <c r="F3969" s="2" t="str">
        <f>"M_CTRL_ACESSO_FORCLI"</f>
        <v>M_CTRL_ACESSO_FORCLI</v>
      </c>
      <c r="G3969" s="2" t="s">
        <v>10</v>
      </c>
    </row>
    <row r="3970" spans="1:7" x14ac:dyDescent="0.3">
      <c r="A3970" s="1" t="s">
        <v>4</v>
      </c>
      <c r="B3970" s="2" t="str">
        <f t="shared" si="331"/>
        <v>SISTEMA FINANCEIRO</v>
      </c>
      <c r="C3970" s="2" t="str">
        <f t="shared" si="334"/>
        <v>FINAN</v>
      </c>
      <c r="D3970" s="2" t="str">
        <f t="shared" si="332"/>
        <v>FNFI</v>
      </c>
      <c r="E3970" s="2" t="str">
        <f>" M_CON_REC_SIMP"</f>
        <v xml:space="preserve"> M_CON_REC_SIMP</v>
      </c>
      <c r="F3970" s="2" t="str">
        <f>" M_CON_REC_SIMP"</f>
        <v xml:space="preserve"> M_CON_REC_SIMP</v>
      </c>
      <c r="G3970" s="2" t="str">
        <f t="shared" ref="G3970:G3980" si="335">" ()"</f>
        <v xml:space="preserve"> ()</v>
      </c>
    </row>
    <row r="3971" spans="1:7" x14ac:dyDescent="0.3">
      <c r="A3971" s="1" t="s">
        <v>4</v>
      </c>
      <c r="B3971" s="2" t="str">
        <f t="shared" si="331"/>
        <v>SISTEMA FINANCEIRO</v>
      </c>
      <c r="C3971" s="2" t="str">
        <f t="shared" si="334"/>
        <v>FINAN</v>
      </c>
      <c r="D3971" s="2" t="str">
        <f t="shared" si="332"/>
        <v>FNFI</v>
      </c>
      <c r="E3971" s="2" t="str">
        <f>"R_CON_APAG_POSICAO"</f>
        <v>R_CON_APAG_POSICAO</v>
      </c>
      <c r="F3971" s="2" t="str">
        <f>"R_CON_APAG_POSICAO"</f>
        <v>R_CON_APAG_POSICAO</v>
      </c>
      <c r="G3971" s="2" t="str">
        <f t="shared" si="335"/>
        <v xml:space="preserve"> ()</v>
      </c>
    </row>
    <row r="3972" spans="1:7" x14ac:dyDescent="0.3">
      <c r="A3972" s="1" t="s">
        <v>4</v>
      </c>
      <c r="B3972" s="2" t="str">
        <f t="shared" si="331"/>
        <v>SISTEMA FINANCEIRO</v>
      </c>
      <c r="C3972" s="2" t="str">
        <f t="shared" si="334"/>
        <v>FINAN</v>
      </c>
      <c r="D3972" s="2" t="str">
        <f t="shared" si="332"/>
        <v>FNFI</v>
      </c>
      <c r="E3972" s="2" t="str">
        <f>"R_BOLETO_747"</f>
        <v>R_BOLETO_747</v>
      </c>
      <c r="F3972" s="2" t="str">
        <f>"R_BOLETO_747"</f>
        <v>R_BOLETO_747</v>
      </c>
      <c r="G3972" s="2" t="str">
        <f t="shared" si="335"/>
        <v xml:space="preserve"> ()</v>
      </c>
    </row>
    <row r="3973" spans="1:7" x14ac:dyDescent="0.3">
      <c r="A3973" s="1" t="s">
        <v>4</v>
      </c>
      <c r="B3973" s="2" t="str">
        <f t="shared" si="331"/>
        <v>SISTEMA FINANCEIRO</v>
      </c>
      <c r="C3973" s="2" t="str">
        <f t="shared" si="334"/>
        <v>FINAN</v>
      </c>
      <c r="D3973" s="2" t="str">
        <f t="shared" si="332"/>
        <v>FNFI</v>
      </c>
      <c r="E3973" s="2" t="str">
        <f>"R_CONTA_REC_CONV2_900"</f>
        <v>R_CONTA_REC_CONV2_900</v>
      </c>
      <c r="F3973" s="2" t="str">
        <f>"R_CONTA_REC_CONV2_900"</f>
        <v>R_CONTA_REC_CONV2_900</v>
      </c>
      <c r="G3973" s="2" t="str">
        <f t="shared" si="335"/>
        <v xml:space="preserve"> ()</v>
      </c>
    </row>
    <row r="3974" spans="1:7" x14ac:dyDescent="0.3">
      <c r="A3974" s="1" t="s">
        <v>4</v>
      </c>
      <c r="B3974" s="2" t="str">
        <f t="shared" si="331"/>
        <v>SISTEMA FINANCEIRO</v>
      </c>
      <c r="C3974" s="2" t="str">
        <f t="shared" si="334"/>
        <v>FINAN</v>
      </c>
      <c r="D3974" s="2" t="str">
        <f t="shared" si="332"/>
        <v>FNFI</v>
      </c>
      <c r="E3974" s="2" t="str">
        <f>"R_CONTA_REC_CONV_SIMP_900"</f>
        <v>R_CONTA_REC_CONV_SIMP_900</v>
      </c>
      <c r="F3974" s="2" t="str">
        <f>"R_CONTA_REC_CONV_SIMP_900"</f>
        <v>R_CONTA_REC_CONV_SIMP_900</v>
      </c>
      <c r="G3974" s="2" t="str">
        <f t="shared" si="335"/>
        <v xml:space="preserve"> ()</v>
      </c>
    </row>
    <row r="3975" spans="1:7" x14ac:dyDescent="0.3">
      <c r="A3975" s="1" t="s">
        <v>4</v>
      </c>
      <c r="B3975" s="2" t="str">
        <f t="shared" si="331"/>
        <v>SISTEMA FINANCEIRO</v>
      </c>
      <c r="C3975" s="2" t="str">
        <f t="shared" si="334"/>
        <v>FINAN</v>
      </c>
      <c r="D3975" s="2" t="str">
        <f t="shared" si="332"/>
        <v>FNFI</v>
      </c>
      <c r="E3975" s="2" t="str">
        <f>"M_TIP_DOC"</f>
        <v>M_TIP_DOC</v>
      </c>
      <c r="F3975" s="2" t="str">
        <f>"M_TIP_DOC"</f>
        <v>M_TIP_DOC</v>
      </c>
      <c r="G3975" s="2" t="str">
        <f t="shared" si="335"/>
        <v xml:space="preserve"> ()</v>
      </c>
    </row>
    <row r="3976" spans="1:7" x14ac:dyDescent="0.3">
      <c r="A3976" s="1" t="s">
        <v>4</v>
      </c>
      <c r="B3976" s="2" t="str">
        <f t="shared" si="331"/>
        <v>SISTEMA FINANCEIRO</v>
      </c>
      <c r="C3976" s="2" t="str">
        <f t="shared" si="334"/>
        <v>FINAN</v>
      </c>
      <c r="D3976" s="2" t="str">
        <f t="shared" si="332"/>
        <v>FNFI</v>
      </c>
      <c r="E3976" s="2" t="str">
        <f>"R_BOLETO_BANCARIO_750"</f>
        <v>R_BOLETO_BANCARIO_750</v>
      </c>
      <c r="F3976" s="2" t="str">
        <f>"R_BOLETO_BANCARIO_750"</f>
        <v>R_BOLETO_BANCARIO_750</v>
      </c>
      <c r="G3976" s="2" t="str">
        <f t="shared" si="335"/>
        <v xml:space="preserve"> ()</v>
      </c>
    </row>
    <row r="3977" spans="1:7" x14ac:dyDescent="0.3">
      <c r="A3977" s="1" t="s">
        <v>4</v>
      </c>
      <c r="B3977" s="2" t="str">
        <f t="shared" ref="B3977:B4040" si="336">"SISTEMA DE REPASSE MÉDICO"</f>
        <v>SISTEMA DE REPASSE MÉDICO</v>
      </c>
      <c r="C3977" s="2" t="str">
        <f t="shared" ref="C3977:C4040" si="337">"FATUR-CONV"</f>
        <v>FATUR-CONV</v>
      </c>
      <c r="D3977" s="2" t="str">
        <f t="shared" ref="D3977:D4040" si="338">"FNRM"</f>
        <v>FNRM</v>
      </c>
      <c r="E3977" s="2" t="str">
        <f>"COMPETÊNCIA DO FATURAMENTO"</f>
        <v>COMPETÊNCIA DO FATURAMENTO</v>
      </c>
      <c r="F3977" s="2" t="str">
        <f>"R_REPASSE_REMESSA_SINT"</f>
        <v>R_REPASSE_REMESSA_SINT</v>
      </c>
      <c r="G3977" s="2" t="str">
        <f t="shared" si="335"/>
        <v xml:space="preserve"> ()</v>
      </c>
    </row>
    <row r="3978" spans="1:7" x14ac:dyDescent="0.3">
      <c r="A3978" s="1" t="s">
        <v>4</v>
      </c>
      <c r="B3978" s="2" t="str">
        <f t="shared" si="336"/>
        <v>SISTEMA DE REPASSE MÉDICO</v>
      </c>
      <c r="C3978" s="2" t="str">
        <f t="shared" si="337"/>
        <v>FATUR-CONV</v>
      </c>
      <c r="D3978" s="2" t="str">
        <f t="shared" si="338"/>
        <v>FNRM</v>
      </c>
      <c r="E3978" s="2" t="str">
        <f>"Conferência do Repasse"</f>
        <v>Conferência do Repasse</v>
      </c>
      <c r="F3978" s="2" t="str">
        <f>"R_REV_REPASSE"</f>
        <v>R_REV_REPASSE</v>
      </c>
      <c r="G3978" s="2" t="str">
        <f t="shared" si="335"/>
        <v xml:space="preserve"> ()</v>
      </c>
    </row>
    <row r="3979" spans="1:7" x14ac:dyDescent="0.3">
      <c r="A3979" s="1" t="s">
        <v>4</v>
      </c>
      <c r="B3979" s="2" t="str">
        <f t="shared" si="336"/>
        <v>SISTEMA DE REPASSE MÉDICO</v>
      </c>
      <c r="C3979" s="2" t="str">
        <f t="shared" si="337"/>
        <v>FATUR-CONV</v>
      </c>
      <c r="D3979" s="2" t="str">
        <f t="shared" si="338"/>
        <v>FNRM</v>
      </c>
      <c r="E3979" s="2" t="str">
        <f>"FNRM_H9J"</f>
        <v>FNRM_H9J</v>
      </c>
      <c r="F3979" s="2" t="str">
        <f>"FNRM_H9J"</f>
        <v>FNRM_H9J</v>
      </c>
      <c r="G3979" s="2" t="str">
        <f t="shared" si="335"/>
        <v xml:space="preserve"> ()</v>
      </c>
    </row>
    <row r="3980" spans="1:7" x14ac:dyDescent="0.3">
      <c r="A3980" s="1" t="s">
        <v>4</v>
      </c>
      <c r="B3980" s="2" t="str">
        <f t="shared" si="336"/>
        <v>SISTEMA DE REPASSE MÉDICO</v>
      </c>
      <c r="C3980" s="2" t="str">
        <f t="shared" si="337"/>
        <v>FATUR-CONV</v>
      </c>
      <c r="D3980" s="2" t="str">
        <f t="shared" si="338"/>
        <v>FNRM</v>
      </c>
      <c r="E3980" s="2" t="str">
        <f>"DADOS DO REPASSE DO PRESTADOR"</f>
        <v>DADOS DO REPASSE DO PRESTADOR</v>
      </c>
      <c r="F3980" s="2" t="str">
        <f>"M_PREST_REP_PADRAO"</f>
        <v>M_PREST_REP_PADRAO</v>
      </c>
      <c r="G3980" s="2" t="str">
        <f t="shared" si="335"/>
        <v xml:space="preserve"> ()</v>
      </c>
    </row>
    <row r="3981" spans="1:7" x14ac:dyDescent="0.3">
      <c r="A3981" s="1" t="s">
        <v>4</v>
      </c>
      <c r="B3981" s="2" t="str">
        <f t="shared" si="336"/>
        <v>SISTEMA DE REPASSE MÉDICO</v>
      </c>
      <c r="C3981" s="2" t="str">
        <f t="shared" si="337"/>
        <v>FATUR-CONV</v>
      </c>
      <c r="D3981" s="2" t="str">
        <f t="shared" si="338"/>
        <v>FNRM</v>
      </c>
      <c r="E3981" s="2" t="str">
        <f>"R_REPASSE_CREDENCIADO"</f>
        <v>R_REPASSE_CREDENCIADO</v>
      </c>
      <c r="F3981" s="2" t="str">
        <f>"R_REPASSE_CREDENCIADO"</f>
        <v>R_REPASSE_CREDENCIADO</v>
      </c>
      <c r="G3981" s="2" t="str">
        <f>"Controladoria / Repasse Médico / Relatórios / Administrativos / Repasse sobre Credenciados (R_REPASSE_CREDENCIADO)"</f>
        <v>Controladoria / Repasse Médico / Relatórios / Administrativos / Repasse sobre Credenciados (R_REPASSE_CREDENCIADO)</v>
      </c>
    </row>
    <row r="3982" spans="1:7" x14ac:dyDescent="0.3">
      <c r="A3982" s="1" t="s">
        <v>4</v>
      </c>
      <c r="B3982" s="2" t="str">
        <f t="shared" si="336"/>
        <v>SISTEMA DE REPASSE MÉDICO</v>
      </c>
      <c r="C3982" s="2" t="str">
        <f t="shared" si="337"/>
        <v>FATUR-CONV</v>
      </c>
      <c r="D3982" s="2" t="str">
        <f t="shared" si="338"/>
        <v>FNRM</v>
      </c>
      <c r="E3982" s="2" t="str">
        <f>"Ajuste pós Análise/Escalonamento"</f>
        <v>Ajuste pós Análise/Escalonamento</v>
      </c>
      <c r="F3982" s="2" t="str">
        <f>"M_PREST_REP_ESCALONADO"</f>
        <v>M_PREST_REP_ESCALONADO</v>
      </c>
      <c r="G3982" s="2" t="str">
        <f>" ()"</f>
        <v xml:space="preserve"> ()</v>
      </c>
    </row>
    <row r="3983" spans="1:7" x14ac:dyDescent="0.3">
      <c r="A3983" s="1" t="s">
        <v>4</v>
      </c>
      <c r="B3983" s="2" t="str">
        <f t="shared" si="336"/>
        <v>SISTEMA DE REPASSE MÉDICO</v>
      </c>
      <c r="C3983" s="2" t="str">
        <f t="shared" si="337"/>
        <v>FATUR-CONV</v>
      </c>
      <c r="D3983" s="2" t="str">
        <f t="shared" si="338"/>
        <v>FNRM</v>
      </c>
      <c r="E3983" s="2" t="str">
        <f>"Geração de Repasse por Produtividade"</f>
        <v>Geração de Repasse por Produtividade</v>
      </c>
      <c r="F3983" s="2" t="str">
        <f>"M_REP_PROD"</f>
        <v>M_REP_PROD</v>
      </c>
      <c r="G3983" s="2" t="str">
        <f>" ()"</f>
        <v xml:space="preserve"> ()</v>
      </c>
    </row>
    <row r="3984" spans="1:7" x14ac:dyDescent="0.3">
      <c r="A3984" s="1" t="s">
        <v>4</v>
      </c>
      <c r="B3984" s="2" t="str">
        <f t="shared" si="336"/>
        <v>SISTEMA DE REPASSE MÉDICO</v>
      </c>
      <c r="C3984" s="2" t="str">
        <f t="shared" si="337"/>
        <v>FATUR-CONV</v>
      </c>
      <c r="D3984" s="2" t="str">
        <f t="shared" si="338"/>
        <v>FNRM</v>
      </c>
      <c r="E3984" s="2" t="str">
        <f>"Porte Anestésico"</f>
        <v>Porte Anestésico</v>
      </c>
      <c r="F3984" s="2" t="str">
        <f>"M_PORTE_ANEST_SIH"</f>
        <v>M_PORTE_ANEST_SIH</v>
      </c>
      <c r="G3984" s="2" t="str">
        <f>" ()"</f>
        <v xml:space="preserve"> ()</v>
      </c>
    </row>
    <row r="3985" spans="1:7" x14ac:dyDescent="0.3">
      <c r="A3985" s="1" t="s">
        <v>4</v>
      </c>
      <c r="B3985" s="2" t="str">
        <f t="shared" si="336"/>
        <v>SISTEMA DE REPASSE MÉDICO</v>
      </c>
      <c r="C3985" s="2" t="str">
        <f t="shared" si="337"/>
        <v>FATUR-CONV</v>
      </c>
      <c r="D3985" s="2" t="str">
        <f t="shared" si="338"/>
        <v>FNRM</v>
      </c>
      <c r="E3985" s="2" t="str">
        <f>"Teto de SADT para Rateio no Repasse"</f>
        <v>Teto de SADT para Rateio no Repasse</v>
      </c>
      <c r="F3985" s="2" t="str">
        <f>"M_SADT_TETO"</f>
        <v>M_SADT_TETO</v>
      </c>
      <c r="G3985" s="2" t="str">
        <f>" ()"</f>
        <v xml:space="preserve"> ()</v>
      </c>
    </row>
    <row r="3986" spans="1:7" x14ac:dyDescent="0.3">
      <c r="A3986" s="1" t="s">
        <v>4</v>
      </c>
      <c r="B3986" s="2" t="str">
        <f t="shared" si="336"/>
        <v>SISTEMA DE REPASSE MÉDICO</v>
      </c>
      <c r="C3986" s="2" t="str">
        <f t="shared" si="337"/>
        <v>FATUR-CONV</v>
      </c>
      <c r="D3986" s="2" t="str">
        <f t="shared" si="338"/>
        <v>FNRM</v>
      </c>
      <c r="E3986" s="2" t="str">
        <f>"Configuração de Repasse Produtividade"</f>
        <v>Configuração de Repasse Produtividade</v>
      </c>
      <c r="F3986" s="2" t="str">
        <f>"M_REG_REP_PROD"</f>
        <v>M_REG_REP_PROD</v>
      </c>
      <c r="G3986" s="2" t="str">
        <f>"Controladoria / Repasse Médico / Tabelas / Regras  / Configuração de Repasse Produtividade (M_REG_REP_PROD)"</f>
        <v>Controladoria / Repasse Médico / Tabelas / Regras  / Configuração de Repasse Produtividade (M_REG_REP_PROD)</v>
      </c>
    </row>
    <row r="3987" spans="1:7" x14ac:dyDescent="0.3">
      <c r="A3987" s="1" t="s">
        <v>4</v>
      </c>
      <c r="B3987" s="2" t="str">
        <f t="shared" si="336"/>
        <v>SISTEMA DE REPASSE MÉDICO</v>
      </c>
      <c r="C3987" s="2" t="str">
        <f t="shared" si="337"/>
        <v>FATUR-CONV</v>
      </c>
      <c r="D3987" s="2" t="str">
        <f t="shared" si="338"/>
        <v>FNRM</v>
      </c>
      <c r="E3987" s="2" t="str">
        <f>"WIN_PRINCIPAL"</f>
        <v>WIN_PRINCIPAL</v>
      </c>
      <c r="F3987" s="2" t="str">
        <f>"M_REG_REPASSE_RATEIO"</f>
        <v>M_REG_REPASSE_RATEIO</v>
      </c>
      <c r="G3987" s="2" t="str">
        <f>"Controladoria / Repasse Médico / Tabelas / Rateio de Pagamento (M_REG_REPASSE_RATEIO)"</f>
        <v>Controladoria / Repasse Médico / Tabelas / Rateio de Pagamento (M_REG_REPASSE_RATEIO)</v>
      </c>
    </row>
    <row r="3988" spans="1:7" x14ac:dyDescent="0.3">
      <c r="A3988" s="1" t="s">
        <v>4</v>
      </c>
      <c r="B3988" s="2" t="str">
        <f t="shared" si="336"/>
        <v>SISTEMA DE REPASSE MÉDICO</v>
      </c>
      <c r="C3988" s="2" t="str">
        <f t="shared" si="337"/>
        <v>FATUR-CONV</v>
      </c>
      <c r="D3988" s="2" t="str">
        <f t="shared" si="338"/>
        <v>FNRM</v>
      </c>
      <c r="E3988" s="2" t="str">
        <f>"Controle de Auditoria de Repasse"</f>
        <v>Controle de Auditoria de Repasse</v>
      </c>
      <c r="F3988" s="2" t="str">
        <f>"M_REPASSE_AUDITORIA"</f>
        <v>M_REPASSE_AUDITORIA</v>
      </c>
      <c r="G3988" s="2" t="str">
        <f>"Controladoria / Repasse Médico / Repasse / Auditoria de Repasse (M_REPASSE_AUDITORIA)"</f>
        <v>Controladoria / Repasse Médico / Repasse / Auditoria de Repasse (M_REPASSE_AUDITORIA)</v>
      </c>
    </row>
    <row r="3989" spans="1:7" x14ac:dyDescent="0.3">
      <c r="A3989" s="1" t="s">
        <v>4</v>
      </c>
      <c r="B3989" s="2" t="str">
        <f t="shared" si="336"/>
        <v>SISTEMA DE REPASSE MÉDICO</v>
      </c>
      <c r="C3989" s="2" t="str">
        <f t="shared" si="337"/>
        <v>FATUR-CONV</v>
      </c>
      <c r="D3989" s="2" t="str">
        <f t="shared" si="338"/>
        <v>FNRM</v>
      </c>
      <c r="E3989" s="2" t="str">
        <f>"Resultado"</f>
        <v>Resultado</v>
      </c>
      <c r="F3989" s="2" t="str">
        <f>"M_REPASSE_RESULTADO"</f>
        <v>M_REPASSE_RESULTADO</v>
      </c>
      <c r="G3989" s="2" t="str">
        <f>"Controladoria / Repasse Médico / Repasse / Geração / Resultado (M_REPASSE_RESULTADO)"</f>
        <v>Controladoria / Repasse Médico / Repasse / Geração / Resultado (M_REPASSE_RESULTADO)</v>
      </c>
    </row>
    <row r="3990" spans="1:7" x14ac:dyDescent="0.3">
      <c r="A3990" s="1" t="s">
        <v>4</v>
      </c>
      <c r="B3990" s="2" t="str">
        <f t="shared" si="336"/>
        <v>SISTEMA DE REPASSE MÉDICO</v>
      </c>
      <c r="C3990" s="2" t="str">
        <f t="shared" si="337"/>
        <v>FATUR-CONV</v>
      </c>
      <c r="D3990" s="2" t="str">
        <f t="shared" si="338"/>
        <v>FNRM</v>
      </c>
      <c r="E3990" s="2" t="str">
        <f>"Remuneração Variável"</f>
        <v>Remuneração Variável</v>
      </c>
      <c r="F3990" s="2" t="str">
        <f>"M_REPASSE_REM_VARIAVEL"</f>
        <v>M_REPASSE_REM_VARIAVEL</v>
      </c>
      <c r="G3990" s="2" t="str">
        <f>"Controladoria / Repasse Médico / Repasse / Geração / Remuneração Variável (M_REPASSE_REM_VARIAVEL)"</f>
        <v>Controladoria / Repasse Médico / Repasse / Geração / Remuneração Variável (M_REPASSE_REM_VARIAVEL)</v>
      </c>
    </row>
    <row r="3991" spans="1:7" x14ac:dyDescent="0.3">
      <c r="A3991" s="1" t="s">
        <v>4</v>
      </c>
      <c r="B3991" s="2" t="str">
        <f t="shared" si="336"/>
        <v>SISTEMA DE REPASSE MÉDICO</v>
      </c>
      <c r="C3991" s="2" t="str">
        <f t="shared" si="337"/>
        <v>FATUR-CONV</v>
      </c>
      <c r="D3991" s="2" t="str">
        <f t="shared" si="338"/>
        <v>FNRM</v>
      </c>
      <c r="E3991" s="2" t="str">
        <f>"Cadastro de Regras"</f>
        <v>Cadastro de Regras</v>
      </c>
      <c r="F3991" s="2" t="str">
        <f>"M_REG_REP_VARIAVEL"</f>
        <v>M_REG_REP_VARIAVEL</v>
      </c>
      <c r="G3991" s="2" t="str">
        <f>"Controladoria / Repasse Médico / Tabelas / Regras  / Remuneração Variável / Cadastro de Regras (M_REG_REP_VARIAVEL)"</f>
        <v>Controladoria / Repasse Médico / Tabelas / Regras  / Remuneração Variável / Cadastro de Regras (M_REG_REP_VARIAVEL)</v>
      </c>
    </row>
    <row r="3992" spans="1:7" x14ac:dyDescent="0.3">
      <c r="A3992" s="1" t="s">
        <v>4</v>
      </c>
      <c r="B3992" s="2" t="str">
        <f t="shared" si="336"/>
        <v>SISTEMA DE REPASSE MÉDICO</v>
      </c>
      <c r="C3992" s="2" t="str">
        <f t="shared" si="337"/>
        <v>FATUR-CONV</v>
      </c>
      <c r="D3992" s="2" t="str">
        <f t="shared" si="338"/>
        <v>FNRM</v>
      </c>
      <c r="E3992" s="2" t="str">
        <f>"Cadastro de Faixas"</f>
        <v>Cadastro de Faixas</v>
      </c>
      <c r="F3992" s="2" t="str">
        <f>"M_FAIXA_REP_VARIAVEL"</f>
        <v>M_FAIXA_REP_VARIAVEL</v>
      </c>
      <c r="G3992" s="2" t="str">
        <f>"Controladoria / Repasse Médico / Tabelas / Regras  / Remuneração Variável / Cadastro de Faixas (M_FAIXA_REP_VARIAVEL)"</f>
        <v>Controladoria / Repasse Médico / Tabelas / Regras  / Remuneração Variável / Cadastro de Faixas (M_FAIXA_REP_VARIAVEL)</v>
      </c>
    </row>
    <row r="3993" spans="1:7" x14ac:dyDescent="0.3">
      <c r="A3993" s="1" t="s">
        <v>4</v>
      </c>
      <c r="B3993" s="2" t="str">
        <f t="shared" si="336"/>
        <v>SISTEMA DE REPASSE MÉDICO</v>
      </c>
      <c r="C3993" s="2" t="str">
        <f t="shared" si="337"/>
        <v>FATUR-CONV</v>
      </c>
      <c r="D3993" s="2" t="str">
        <f t="shared" si="338"/>
        <v>FNRM</v>
      </c>
      <c r="E3993" s="2" t="str">
        <f>"Cadastro de Equipes"</f>
        <v>Cadastro de Equipes</v>
      </c>
      <c r="F3993" s="2" t="str">
        <f>"M_EQUIPE_REP_VARIAVEL"</f>
        <v>M_EQUIPE_REP_VARIAVEL</v>
      </c>
      <c r="G3993" s="2" t="str">
        <f>"Controladoria / Repasse Médico / Tabelas / Regras  / Remuneração Variável / Cadastro de Equipes (M_EQUIPE_REP_VARIAVEL)"</f>
        <v>Controladoria / Repasse Médico / Tabelas / Regras  / Remuneração Variável / Cadastro de Equipes (M_EQUIPE_REP_VARIAVEL)</v>
      </c>
    </row>
    <row r="3994" spans="1:7" x14ac:dyDescent="0.3">
      <c r="A3994" s="1" t="s">
        <v>4</v>
      </c>
      <c r="B3994" s="2" t="str">
        <f t="shared" si="336"/>
        <v>SISTEMA DE REPASSE MÉDICO</v>
      </c>
      <c r="C3994" s="2" t="str">
        <f t="shared" si="337"/>
        <v>FATUR-CONV</v>
      </c>
      <c r="D3994" s="2" t="str">
        <f t="shared" si="338"/>
        <v>FNRM</v>
      </c>
      <c r="E3994" s="2" t="str">
        <f>"Autorização do Repasse"</f>
        <v>Autorização do Repasse</v>
      </c>
      <c r="F3994" s="2" t="str">
        <f>"M_AUTORIZA_REP_PLANTAO"</f>
        <v>M_AUTORIZA_REP_PLANTAO</v>
      </c>
      <c r="G3994" s="2" t="str">
        <f>"Controladoria / Repasse Médico / Repasse / Gestão Repasse de Plantão por Setor / Autorização do Repasse (M_AUTORIZA_REP_PLANTAO)"</f>
        <v>Controladoria / Repasse Médico / Repasse / Gestão Repasse de Plantão por Setor / Autorização do Repasse (M_AUTORIZA_REP_PLANTAO)</v>
      </c>
    </row>
    <row r="3995" spans="1:7" x14ac:dyDescent="0.3">
      <c r="A3995" s="1" t="s">
        <v>4</v>
      </c>
      <c r="B3995" s="2" t="str">
        <f t="shared" si="336"/>
        <v>SISTEMA DE REPASSE MÉDICO</v>
      </c>
      <c r="C3995" s="2" t="str">
        <f t="shared" si="337"/>
        <v>FATUR-CONV</v>
      </c>
      <c r="D3995" s="2" t="str">
        <f t="shared" si="338"/>
        <v>FNRM</v>
      </c>
      <c r="E3995" s="2" t="str">
        <f>"Revisão dos Plantões"</f>
        <v>Revisão dos Plantões</v>
      </c>
      <c r="F3995" s="2" t="str">
        <f>"M_REVISAO_REP_PLANTAO"</f>
        <v>M_REVISAO_REP_PLANTAO</v>
      </c>
      <c r="G3995" s="2" t="str">
        <f>"Controladoria / Repasse Médico / Repasse / Gestão Repasse de Plantão por Setor / Revisão dos Plantões (M_REVISAO_REP_PLANTAO)"</f>
        <v>Controladoria / Repasse Médico / Repasse / Gestão Repasse de Plantão por Setor / Revisão dos Plantões (M_REVISAO_REP_PLANTAO)</v>
      </c>
    </row>
    <row r="3996" spans="1:7" x14ac:dyDescent="0.3">
      <c r="A3996" s="1" t="s">
        <v>4</v>
      </c>
      <c r="B3996" s="2" t="str">
        <f t="shared" si="336"/>
        <v>SISTEMA DE REPASSE MÉDICO</v>
      </c>
      <c r="C3996" s="2" t="str">
        <f t="shared" si="337"/>
        <v>FATUR-CONV</v>
      </c>
      <c r="D3996" s="2" t="str">
        <f t="shared" si="338"/>
        <v>FNRM</v>
      </c>
      <c r="E3996" s="2" t="str">
        <f>"Registro de Presença"</f>
        <v>Registro de Presença</v>
      </c>
      <c r="F3996" s="2" t="str">
        <f>"M_REGISTRO_REP_PLANTAO_SETOR"</f>
        <v>M_REGISTRO_REP_PLANTAO_SETOR</v>
      </c>
      <c r="G3996" s="2" t="str">
        <f>"Controladoria / Repasse Médico / Repasse / Gestão Repasse de Plantão por Setor / Registro de Presença (M_REGISTRO_REP_PLANTAO_SETOR)"</f>
        <v>Controladoria / Repasse Médico / Repasse / Gestão Repasse de Plantão por Setor / Registro de Presença (M_REGISTRO_REP_PLANTAO_SETOR)</v>
      </c>
    </row>
    <row r="3997" spans="1:7" x14ac:dyDescent="0.3">
      <c r="A3997" s="1" t="s">
        <v>4</v>
      </c>
      <c r="B3997" s="2" t="str">
        <f t="shared" si="336"/>
        <v>SISTEMA DE REPASSE MÉDICO</v>
      </c>
      <c r="C3997" s="2" t="str">
        <f t="shared" si="337"/>
        <v>FATUR-CONV</v>
      </c>
      <c r="D3997" s="2" t="str">
        <f t="shared" si="338"/>
        <v>FNRM</v>
      </c>
      <c r="E3997" s="2" t="str">
        <f>"Escala de Anestesistas"</f>
        <v>Escala de Anestesistas</v>
      </c>
      <c r="F3997" s="2" t="str">
        <f>"M_ESCALA_REP_PLANTAO_A"</f>
        <v>M_ESCALA_REP_PLANTAO_A</v>
      </c>
      <c r="G3997" s="2" t="str">
        <f>"Controladoria / Repasse Médico / Repasse / Gestão Repasse de Plantão por Setor / Escala de Anestesistas (M_ESCALA_REP_PLANTAO_A)"</f>
        <v>Controladoria / Repasse Médico / Repasse / Gestão Repasse de Plantão por Setor / Escala de Anestesistas (M_ESCALA_REP_PLANTAO_A)</v>
      </c>
    </row>
    <row r="3998" spans="1:7" x14ac:dyDescent="0.3">
      <c r="A3998" s="1" t="s">
        <v>4</v>
      </c>
      <c r="B3998" s="2" t="str">
        <f t="shared" si="336"/>
        <v>SISTEMA DE REPASSE MÉDICO</v>
      </c>
      <c r="C3998" s="2" t="str">
        <f t="shared" si="337"/>
        <v>FATUR-CONV</v>
      </c>
      <c r="D3998" s="2" t="str">
        <f t="shared" si="338"/>
        <v>FNRM</v>
      </c>
      <c r="E3998" s="2" t="str">
        <f>"Escala de Plantonistas"</f>
        <v>Escala de Plantonistas</v>
      </c>
      <c r="F3998" s="2" t="str">
        <f>"M_ESCALA_REP_PLANTAO_P"</f>
        <v>M_ESCALA_REP_PLANTAO_P</v>
      </c>
      <c r="G3998" s="2" t="str">
        <f>"Controladoria / Repasse Médico / Repasse / Gestão Repasse de Plantão por Setor / Escala de Plantonistas (M_ESCALA_REP_PLANTAO_P)"</f>
        <v>Controladoria / Repasse Médico / Repasse / Gestão Repasse de Plantão por Setor / Escala de Plantonistas (M_ESCALA_REP_PLANTAO_P)</v>
      </c>
    </row>
    <row r="3999" spans="1:7" x14ac:dyDescent="0.3">
      <c r="A3999" s="1" t="s">
        <v>4</v>
      </c>
      <c r="B3999" s="2" t="str">
        <f t="shared" si="336"/>
        <v>SISTEMA DE REPASSE MÉDICO</v>
      </c>
      <c r="C3999" s="2" t="str">
        <f t="shared" si="337"/>
        <v>FATUR-CONV</v>
      </c>
      <c r="D3999" s="2" t="str">
        <f t="shared" si="338"/>
        <v>FNRM</v>
      </c>
      <c r="E3999" s="2" t="str">
        <f>"Escala de Plantonistas e Anestesistas"</f>
        <v>Escala de Plantonistas e Anestesistas</v>
      </c>
      <c r="F3999" s="2" t="str">
        <f>"M_ESCALA_REP_PLANTAO"</f>
        <v>M_ESCALA_REP_PLANTAO</v>
      </c>
      <c r="G3999" s="2" t="str">
        <f>" ()"</f>
        <v xml:space="preserve"> ()</v>
      </c>
    </row>
    <row r="4000" spans="1:7" x14ac:dyDescent="0.3">
      <c r="A4000" s="1" t="s">
        <v>4</v>
      </c>
      <c r="B4000" s="2" t="str">
        <f t="shared" si="336"/>
        <v>SISTEMA DE REPASSE MÉDICO</v>
      </c>
      <c r="C4000" s="2" t="str">
        <f t="shared" si="337"/>
        <v>FATUR-CONV</v>
      </c>
      <c r="D4000" s="2" t="str">
        <f t="shared" si="338"/>
        <v>FNRM</v>
      </c>
      <c r="E4000" s="2" t="str">
        <f>"Regras de Valorização"</f>
        <v>Regras de Valorização</v>
      </c>
      <c r="F4000" s="2" t="str">
        <f>"M_REGRA_VALOR_PLANTAO"</f>
        <v>M_REGRA_VALOR_PLANTAO</v>
      </c>
      <c r="G4000" s="2" t="str">
        <f>"Controladoria / Repasse Médico / Repasse / Gestão Repasse de Plantão por Setor / Regras de Valorização (M_REGRA_VALOR_PLANTAO)"</f>
        <v>Controladoria / Repasse Médico / Repasse / Gestão Repasse de Plantão por Setor / Regras de Valorização (M_REGRA_VALOR_PLANTAO)</v>
      </c>
    </row>
    <row r="4001" spans="1:7" x14ac:dyDescent="0.3">
      <c r="A4001" s="1" t="s">
        <v>4</v>
      </c>
      <c r="B4001" s="2" t="str">
        <f t="shared" si="336"/>
        <v>SISTEMA DE REPASSE MÉDICO</v>
      </c>
      <c r="C4001" s="2" t="str">
        <f t="shared" si="337"/>
        <v>FATUR-CONV</v>
      </c>
      <c r="D4001" s="2" t="str">
        <f t="shared" si="338"/>
        <v>FNRM</v>
      </c>
      <c r="E4001" s="2" t="str">
        <f>"Grupos de Setor"</f>
        <v>Grupos de Setor</v>
      </c>
      <c r="F4001" s="2" t="str">
        <f>"M_GRU_SETOR_REP_PLANTAO"</f>
        <v>M_GRU_SETOR_REP_PLANTAO</v>
      </c>
      <c r="G4001" s="2" t="str">
        <f>"Controladoria / Repasse Médico / Repasse / Gestão Repasse de Plantão por Setor / Grupos de Setor (M_GRU_SETOR_REP_PLANTAO)"</f>
        <v>Controladoria / Repasse Médico / Repasse / Gestão Repasse de Plantão por Setor / Grupos de Setor (M_GRU_SETOR_REP_PLANTAO)</v>
      </c>
    </row>
    <row r="4002" spans="1:7" x14ac:dyDescent="0.3">
      <c r="A4002" s="1" t="s">
        <v>4</v>
      </c>
      <c r="B4002" s="2" t="str">
        <f t="shared" si="336"/>
        <v>SISTEMA DE REPASSE MÉDICO</v>
      </c>
      <c r="C4002" s="2" t="str">
        <f t="shared" si="337"/>
        <v>FATUR-CONV</v>
      </c>
      <c r="D4002" s="2" t="str">
        <f t="shared" si="338"/>
        <v>FNRM</v>
      </c>
      <c r="E4002" s="2" t="str">
        <f>"Configuração de Permissões"</f>
        <v>Configuração de Permissões</v>
      </c>
      <c r="F4002" s="2" t="str">
        <f>"M_CONF_PERM_REP_PLANTAO"</f>
        <v>M_CONF_PERM_REP_PLANTAO</v>
      </c>
      <c r="G4002" s="2" t="str">
        <f>"Controladoria / Repasse Médico / Repasse / Gestão Repasse de Plantão por Setor / Configuração de Permissões (M_CONF_PERM_REP_PLANTAO)"</f>
        <v>Controladoria / Repasse Médico / Repasse / Gestão Repasse de Plantão por Setor / Configuração de Permissões (M_CONF_PERM_REP_PLANTAO)</v>
      </c>
    </row>
    <row r="4003" spans="1:7" x14ac:dyDescent="0.3">
      <c r="A4003" s="1" t="s">
        <v>4</v>
      </c>
      <c r="B4003" s="2" t="str">
        <f t="shared" si="336"/>
        <v>SISTEMA DE REPASSE MÉDICO</v>
      </c>
      <c r="C4003" s="2" t="str">
        <f t="shared" si="337"/>
        <v>FATUR-CONV</v>
      </c>
      <c r="D4003" s="2" t="str">
        <f t="shared" si="338"/>
        <v>FNRM</v>
      </c>
      <c r="E4003" s="2" t="str">
        <f>"Repasse Percentual"</f>
        <v>Repasse Percentual</v>
      </c>
      <c r="F4003" s="2" t="str">
        <f>"M_REPASSE_PERCENTUAL"</f>
        <v>M_REPASSE_PERCENTUAL</v>
      </c>
      <c r="G4003" s="2" t="str">
        <f>"Controladoria / Repasse Médico / Repasse / Geração / Repasse Percentual (M_REPASSE_PERCENTUAL)"</f>
        <v>Controladoria / Repasse Médico / Repasse / Geração / Repasse Percentual (M_REPASSE_PERCENTUAL)</v>
      </c>
    </row>
    <row r="4004" spans="1:7" x14ac:dyDescent="0.3">
      <c r="A4004" s="1" t="s">
        <v>4</v>
      </c>
      <c r="B4004" s="2" t="str">
        <f t="shared" si="336"/>
        <v>SISTEMA DE REPASSE MÉDICO</v>
      </c>
      <c r="C4004" s="2" t="str">
        <f t="shared" si="337"/>
        <v>FATUR-CONV</v>
      </c>
      <c r="D4004" s="2" t="str">
        <f t="shared" si="338"/>
        <v>FNRM</v>
      </c>
      <c r="E4004" s="2" t="str">
        <f>"Grupo de Repasse"</f>
        <v>Grupo de Repasse</v>
      </c>
      <c r="F4004" s="2" t="str">
        <f>"M_REPASSE_GRUPO"</f>
        <v>M_REPASSE_GRUPO</v>
      </c>
      <c r="G4004" s="2" t="str">
        <f>"Controladoria / Repasse Médico / Repasse / Geração / Grupo de Repasse (M_REPASSE_GRUPO)"</f>
        <v>Controladoria / Repasse Médico / Repasse / Geração / Grupo de Repasse (M_REPASSE_GRUPO)</v>
      </c>
    </row>
    <row r="4005" spans="1:7" x14ac:dyDescent="0.3">
      <c r="A4005" s="1" t="s">
        <v>4</v>
      </c>
      <c r="B4005" s="2" t="str">
        <f t="shared" si="336"/>
        <v>SISTEMA DE REPASSE MÉDICO</v>
      </c>
      <c r="C4005" s="2" t="str">
        <f t="shared" si="337"/>
        <v>FATUR-CONV</v>
      </c>
      <c r="D4005" s="2" t="str">
        <f t="shared" si="338"/>
        <v>FNRM</v>
      </c>
      <c r="E4005" s="2" t="str">
        <f>"Regras por Grupo de Repasse"</f>
        <v>Regras por Grupo de Repasse</v>
      </c>
      <c r="F4005" s="2" t="str">
        <f>"M_REG_REP_GRUPO"</f>
        <v>M_REG_REP_GRUPO</v>
      </c>
      <c r="G4005" s="2" t="str">
        <f>"Controladoria / Repasse Médico / Tabelas / Regras  / Regras por Grupo de Repasse (M_REG_REP_GRUPO)"</f>
        <v>Controladoria / Repasse Médico / Tabelas / Regras  / Regras por Grupo de Repasse (M_REG_REP_GRUPO)</v>
      </c>
    </row>
    <row r="4006" spans="1:7" x14ac:dyDescent="0.3">
      <c r="A4006" s="1" t="s">
        <v>4</v>
      </c>
      <c r="B4006" s="2" t="str">
        <f t="shared" si="336"/>
        <v>SISTEMA DE REPASSE MÉDICO</v>
      </c>
      <c r="C4006" s="2" t="str">
        <f t="shared" si="337"/>
        <v>FATUR-CONV</v>
      </c>
      <c r="D4006" s="2" t="str">
        <f t="shared" si="338"/>
        <v>FNRM</v>
      </c>
      <c r="E4006" s="2" t="str">
        <f>"O_RETORNO_ARQMAG_GERAL"</f>
        <v>O_RETORNO_ARQMAG_GERAL</v>
      </c>
      <c r="F4006" s="2" t="str">
        <f>"IMPORTAÇÃO RETORNO DE GLOSA"</f>
        <v>IMPORTAÇÃO RETORNO DE GLOSA</v>
      </c>
      <c r="G4006" s="2" t="str">
        <f>" ()"</f>
        <v xml:space="preserve"> ()</v>
      </c>
    </row>
    <row r="4007" spans="1:7" x14ac:dyDescent="0.3">
      <c r="A4007" s="1" t="s">
        <v>4</v>
      </c>
      <c r="B4007" s="2" t="str">
        <f t="shared" si="336"/>
        <v>SISTEMA DE REPASSE MÉDICO</v>
      </c>
      <c r="C4007" s="2" t="str">
        <f t="shared" si="337"/>
        <v>FATUR-CONV</v>
      </c>
      <c r="D4007" s="2" t="str">
        <f t="shared" si="338"/>
        <v>FNRM</v>
      </c>
      <c r="E4007" s="2" t="str">
        <f>"Custos"</f>
        <v>Custos</v>
      </c>
      <c r="F4007" s="2" t="str">
        <f>"O_GERA_HONORARIOS_CUSTOS"</f>
        <v>O_GERA_HONORARIOS_CUSTOS</v>
      </c>
      <c r="G4007" s="2" t="str">
        <f>"Controladoria / Repasse Médico / Repasse / Geração / Custos (O_GERA_HONORARIOS_CUSTOS)"</f>
        <v>Controladoria / Repasse Médico / Repasse / Geração / Custos (O_GERA_HONORARIOS_CUSTOS)</v>
      </c>
    </row>
    <row r="4008" spans="1:7" x14ac:dyDescent="0.3">
      <c r="A4008" s="1" t="s">
        <v>4</v>
      </c>
      <c r="B4008" s="2" t="str">
        <f t="shared" si="336"/>
        <v>SISTEMA DE REPASSE MÉDICO</v>
      </c>
      <c r="C4008" s="2" t="str">
        <f t="shared" si="337"/>
        <v>FATUR-CONV</v>
      </c>
      <c r="D4008" s="2" t="str">
        <f t="shared" si="338"/>
        <v>FNRM</v>
      </c>
      <c r="E4008" s="2" t="str">
        <f>"VIEW DE REPASSE MÉDICO"</f>
        <v>VIEW DE REPASSE MÉDICO</v>
      </c>
      <c r="F4008" s="2" t="str">
        <f>"V_REPASSE_PRESTADOR"</f>
        <v>V_REPASSE_PRESTADOR</v>
      </c>
      <c r="G4008" s="2" t="str">
        <f>" ()"</f>
        <v xml:space="preserve"> ()</v>
      </c>
    </row>
    <row r="4009" spans="1:7" x14ac:dyDescent="0.3">
      <c r="A4009" s="1" t="s">
        <v>4</v>
      </c>
      <c r="B4009" s="2" t="str">
        <f t="shared" si="336"/>
        <v>SISTEMA DE REPASSE MÉDICO</v>
      </c>
      <c r="C4009" s="2" t="str">
        <f t="shared" si="337"/>
        <v>FATUR-CONV</v>
      </c>
      <c r="D4009" s="2" t="str">
        <f t="shared" si="338"/>
        <v>FNRM</v>
      </c>
      <c r="E4009" s="2" t="str">
        <f>"REL. - GER. - REPASSE GLOBAL SINTÉTICO"</f>
        <v>REL. - GER. - REPASSE GLOBAL SINTÉTICO</v>
      </c>
      <c r="F4009" s="2" t="str">
        <f>"R_REP_GER_SINT"</f>
        <v>R_REP_GER_SINT</v>
      </c>
      <c r="G4009" s="2" t="str">
        <f>" ()"</f>
        <v xml:space="preserve"> ()</v>
      </c>
    </row>
    <row r="4010" spans="1:7" x14ac:dyDescent="0.3">
      <c r="A4010" s="1" t="s">
        <v>4</v>
      </c>
      <c r="B4010" s="2" t="str">
        <f t="shared" si="336"/>
        <v>SISTEMA DE REPASSE MÉDICO</v>
      </c>
      <c r="C4010" s="2" t="str">
        <f t="shared" si="337"/>
        <v>FATUR-CONV</v>
      </c>
      <c r="D4010" s="2" t="str">
        <f t="shared" si="338"/>
        <v>FNRM</v>
      </c>
      <c r="E4010" s="2" t="str">
        <f>"REL. DE REPASSE POR REMESSA"</f>
        <v>REL. DE REPASSE POR REMESSA</v>
      </c>
      <c r="F4010" s="2" t="str">
        <f>"R_REPASSE_REMESSA"</f>
        <v>R_REPASSE_REMESSA</v>
      </c>
      <c r="G4010" s="2" t="str">
        <f>"Controladoria / Repasse Médico / Relatórios / Administrativos / Repasse por Remessa / Competência do Faturamento (R_REPASSE_REMESSA)"</f>
        <v>Controladoria / Repasse Médico / Relatórios / Administrativos / Repasse por Remessa / Competência do Faturamento (R_REPASSE_REMESSA)</v>
      </c>
    </row>
    <row r="4011" spans="1:7" x14ac:dyDescent="0.3">
      <c r="A4011" s="1" t="s">
        <v>4</v>
      </c>
      <c r="B4011" s="2" t="str">
        <f t="shared" si="336"/>
        <v>SISTEMA DE REPASSE MÉDICO</v>
      </c>
      <c r="C4011" s="2" t="str">
        <f t="shared" si="337"/>
        <v>FATUR-CONV</v>
      </c>
      <c r="D4011" s="2" t="str">
        <f t="shared" si="338"/>
        <v>FNRM</v>
      </c>
      <c r="E4011" s="2" t="str">
        <f>"RECIBO DE PAGAMENTO DE AUTÔNOMO"</f>
        <v>RECIBO DE PAGAMENTO DE AUTÔNOMO</v>
      </c>
      <c r="F4011" s="2" t="str">
        <f>"R_RPA"</f>
        <v>R_RPA</v>
      </c>
      <c r="G4011" s="2" t="str">
        <f>"Controladoria / Repasse Médico / Relatórios / Operacionais / Recibo de Pagamento a Autônomo (R_RPA)"</f>
        <v>Controladoria / Repasse Médico / Relatórios / Operacionais / Recibo de Pagamento a Autônomo (R_RPA)</v>
      </c>
    </row>
    <row r="4012" spans="1:7" x14ac:dyDescent="0.3">
      <c r="A4012" s="1" t="s">
        <v>4</v>
      </c>
      <c r="B4012" s="2" t="str">
        <f t="shared" si="336"/>
        <v>SISTEMA DE REPASSE MÉDICO</v>
      </c>
      <c r="C4012" s="2" t="str">
        <f t="shared" si="337"/>
        <v>FATUR-CONV</v>
      </c>
      <c r="D4012" s="2" t="str">
        <f t="shared" si="338"/>
        <v>FNRM</v>
      </c>
      <c r="E4012" s="2" t="str">
        <f>"REL. ANÁLISE EVOLUTIVA DE REPASSE"</f>
        <v>REL. ANÁLISE EVOLUTIVA DE REPASSE</v>
      </c>
      <c r="F4012" s="2" t="str">
        <f>"R_13_REPASSE"</f>
        <v>R_13_REPASSE</v>
      </c>
      <c r="G4012" s="2" t="str">
        <f>"Controladoria / Repasse Médico / Relatórios / Gerenciais / Análise Evolutiva de Repasse (R_13_REPASSE)"</f>
        <v>Controladoria / Repasse Médico / Relatórios / Gerenciais / Análise Evolutiva de Repasse (R_13_REPASSE)</v>
      </c>
    </row>
    <row r="4013" spans="1:7" x14ac:dyDescent="0.3">
      <c r="A4013" s="1" t="s">
        <v>4</v>
      </c>
      <c r="B4013" s="2" t="str">
        <f t="shared" si="336"/>
        <v>SISTEMA DE REPASSE MÉDICO</v>
      </c>
      <c r="C4013" s="2" t="str">
        <f t="shared" si="337"/>
        <v>FATUR-CONV</v>
      </c>
      <c r="D4013" s="2" t="str">
        <f t="shared" si="338"/>
        <v>FNRM</v>
      </c>
      <c r="E4013" s="2" t="str">
        <f>"TABELAS - REGRAS DE REPASSE  - CONVENIO"</f>
        <v>TABELAS - REGRAS DE REPASSE  - CONVENIO</v>
      </c>
      <c r="F4013" s="2" t="str">
        <f>"M_REG_REP"</f>
        <v>M_REG_REP</v>
      </c>
      <c r="G4013" s="2" t="str">
        <f>"Controladoria / Repasse Médico / Tabelas / Regras  / Convênio (M_REG_REP)"</f>
        <v>Controladoria / Repasse Médico / Tabelas / Regras  / Convênio (M_REG_REP)</v>
      </c>
    </row>
    <row r="4014" spans="1:7" x14ac:dyDescent="0.3">
      <c r="A4014" s="1" t="s">
        <v>4</v>
      </c>
      <c r="B4014" s="2" t="str">
        <f t="shared" si="336"/>
        <v>SISTEMA DE REPASSE MÉDICO</v>
      </c>
      <c r="C4014" s="2" t="str">
        <f t="shared" si="337"/>
        <v>FATUR-CONV</v>
      </c>
      <c r="D4014" s="2" t="str">
        <f t="shared" si="338"/>
        <v>FNRM</v>
      </c>
      <c r="E4014" s="2" t="str">
        <f>"DADOS DO REPASSE DO PRESTADOR"</f>
        <v>DADOS DO REPASSE DO PRESTADOR</v>
      </c>
      <c r="F4014" s="2" t="str">
        <f>"M_PREST_REP"</f>
        <v>M_PREST_REP</v>
      </c>
      <c r="G4014" s="2" t="str">
        <f>"Controladoria / Repasse Médico / Tabelas / Regras  / Dados do Repasse do Prestador (M_PREST_REP)"</f>
        <v>Controladoria / Repasse Médico / Tabelas / Regras  / Dados do Repasse do Prestador (M_PREST_REP)</v>
      </c>
    </row>
    <row r="4015" spans="1:7" x14ac:dyDescent="0.3">
      <c r="A4015" s="1" t="s">
        <v>4</v>
      </c>
      <c r="B4015" s="2" t="str">
        <f t="shared" si="336"/>
        <v>SISTEMA DE REPASSE MÉDICO</v>
      </c>
      <c r="C4015" s="2" t="str">
        <f t="shared" si="337"/>
        <v>FATUR-CONV</v>
      </c>
      <c r="D4015" s="2" t="str">
        <f t="shared" si="338"/>
        <v>FNRM</v>
      </c>
      <c r="E4015" s="2" t="str">
        <f>"M_REG_REP_SOLICITANTE"</f>
        <v>M_REG_REP_SOLICITANTE</v>
      </c>
      <c r="F4015" s="2" t="str">
        <f>"M_REG_REP_SOLICITANTE"</f>
        <v>M_REG_REP_SOLICITANTE</v>
      </c>
      <c r="G4015" s="2" t="str">
        <f>"Controladoria / Repasse Médico / Tabelas / Regras  / Terceiros / Prestador Solicitante (M_REG_REP_SOLICITANTE)"</f>
        <v>Controladoria / Repasse Médico / Tabelas / Regras  / Terceiros / Prestador Solicitante (M_REG_REP_SOLICITANTE)</v>
      </c>
    </row>
    <row r="4016" spans="1:7" x14ac:dyDescent="0.3">
      <c r="A4016" s="1" t="s">
        <v>4</v>
      </c>
      <c r="B4016" s="2" t="str">
        <f t="shared" si="336"/>
        <v>SISTEMA DE REPASSE MÉDICO</v>
      </c>
      <c r="C4016" s="2" t="str">
        <f t="shared" si="337"/>
        <v>FATUR-CONV</v>
      </c>
      <c r="D4016" s="2" t="str">
        <f t="shared" si="338"/>
        <v>FNRM</v>
      </c>
      <c r="E4016" s="2" t="str">
        <f>"V_REPASSE_PRESTADOR_SEM_REGRA"</f>
        <v>V_REPASSE_PRESTADOR_SEM_REGRA</v>
      </c>
      <c r="F4016" s="2" t="str">
        <f>"V_REPASSE_PRESTADOR_SEM_REGRA"</f>
        <v>V_REPASSE_PRESTADOR_SEM_REGRA</v>
      </c>
      <c r="G4016" s="2" t="str">
        <f>" ()"</f>
        <v xml:space="preserve"> ()</v>
      </c>
    </row>
    <row r="4017" spans="1:7" x14ac:dyDescent="0.3">
      <c r="A4017" s="1" t="s">
        <v>4</v>
      </c>
      <c r="B4017" s="2" t="str">
        <f t="shared" si="336"/>
        <v>SISTEMA DE REPASSE MÉDICO</v>
      </c>
      <c r="C4017" s="2" t="str">
        <f t="shared" si="337"/>
        <v>FATUR-CONV</v>
      </c>
      <c r="D4017" s="2" t="str">
        <f t="shared" si="338"/>
        <v>FNRM</v>
      </c>
      <c r="E4017" s="2" t="str">
        <f>"V_REPASSE_PRESTADOR2"</f>
        <v>V_REPASSE_PRESTADOR2</v>
      </c>
      <c r="F4017" s="2" t="str">
        <f>"V_REPASSE_PRESTADOR2"</f>
        <v>V_REPASSE_PRESTADOR2</v>
      </c>
      <c r="G4017" s="2" t="str">
        <f>" ()"</f>
        <v xml:space="preserve"> ()</v>
      </c>
    </row>
    <row r="4018" spans="1:7" x14ac:dyDescent="0.3">
      <c r="A4018" s="1" t="s">
        <v>4</v>
      </c>
      <c r="B4018" s="2" t="str">
        <f t="shared" si="336"/>
        <v>SISTEMA DE REPASSE MÉDICO</v>
      </c>
      <c r="C4018" s="2" t="str">
        <f t="shared" si="337"/>
        <v>FATUR-CONV</v>
      </c>
      <c r="D4018" s="2" t="str">
        <f t="shared" si="338"/>
        <v>FNRM</v>
      </c>
      <c r="E4018" s="2" t="str">
        <f>"REL. REP. POR REMESSA POR COMPET. REPASS"</f>
        <v>REL. REP. POR REMESSA POR COMPET. REPASS</v>
      </c>
      <c r="F4018" s="2" t="str">
        <f>"R_REPASSE_REMESSA_COMP_REP"</f>
        <v>R_REPASSE_REMESSA_COMP_REP</v>
      </c>
      <c r="G4018" s="2" t="str">
        <f>"Controladoria / Repasse Médico / Relatórios / Administrativos / Repasse por Remessa / Competência do Repasse (R_REPASSE_REMESSA_COMP_REP)"</f>
        <v>Controladoria / Repasse Médico / Relatórios / Administrativos / Repasse por Remessa / Competência do Repasse (R_REPASSE_REMESSA_COMP_REP)</v>
      </c>
    </row>
    <row r="4019" spans="1:7" x14ac:dyDescent="0.3">
      <c r="A4019" s="1" t="s">
        <v>4</v>
      </c>
      <c r="B4019" s="2" t="str">
        <f t="shared" si="336"/>
        <v>SISTEMA DE REPASSE MÉDICO</v>
      </c>
      <c r="C4019" s="2" t="str">
        <f t="shared" si="337"/>
        <v>FATUR-CONV</v>
      </c>
      <c r="D4019" s="2" t="str">
        <f t="shared" si="338"/>
        <v>FNRM</v>
      </c>
      <c r="E4019" s="2" t="str">
        <f>"CONSULTA DE GERACAO DE REPASSES"</f>
        <v>CONSULTA DE GERACAO DE REPASSES</v>
      </c>
      <c r="F4019" s="2" t="str">
        <f>"C_LOG_REPASSE"</f>
        <v>C_LOG_REPASSE</v>
      </c>
      <c r="G4019" s="2" t="str">
        <f>"Controladoria / Repasse Médico / Consultas / Repasses gerados (C_LOG_REPASSE)"</f>
        <v>Controladoria / Repasse Médico / Consultas / Repasses gerados (C_LOG_REPASSE)</v>
      </c>
    </row>
    <row r="4020" spans="1:7" x14ac:dyDescent="0.3">
      <c r="A4020" s="1" t="s">
        <v>4</v>
      </c>
      <c r="B4020" s="2" t="str">
        <f t="shared" si="336"/>
        <v>SISTEMA DE REPASSE MÉDICO</v>
      </c>
      <c r="C4020" s="2" t="str">
        <f t="shared" si="337"/>
        <v>FATUR-CONV</v>
      </c>
      <c r="D4020" s="2" t="str">
        <f t="shared" si="338"/>
        <v>FNRM</v>
      </c>
      <c r="E4020" s="2" t="str">
        <f>"TABELAS - ACRESCIMOS E DESCONTOS"</f>
        <v>TABELAS - ACRESCIMOS E DESCONTOS</v>
      </c>
      <c r="F4020" s="2" t="str">
        <f>"M_REG_REP_DESC"</f>
        <v>M_REG_REP_DESC</v>
      </c>
      <c r="G4020" s="2" t="str">
        <f>"Controladoria / Repasse Médico / Tabelas / Acréscimos e Descontos (M_REG_REP_DESC)"</f>
        <v>Controladoria / Repasse Médico / Tabelas / Acréscimos e Descontos (M_REG_REP_DESC)</v>
      </c>
    </row>
    <row r="4021" spans="1:7" x14ac:dyDescent="0.3">
      <c r="A4021" s="1" t="s">
        <v>4</v>
      </c>
      <c r="B4021" s="2" t="str">
        <f t="shared" si="336"/>
        <v>SISTEMA DE REPASSE MÉDICO</v>
      </c>
      <c r="C4021" s="2" t="str">
        <f t="shared" si="337"/>
        <v>FATUR-CONV</v>
      </c>
      <c r="D4021" s="2" t="str">
        <f t="shared" si="338"/>
        <v>FNRM</v>
      </c>
      <c r="E4021" s="2" t="str">
        <f>"RELATÓRIO DE REPASSE INTEGRAL"</f>
        <v>RELATÓRIO DE REPASSE INTEGRAL</v>
      </c>
      <c r="F4021" s="2" t="str">
        <f>"R_REPASSE_INTEGRAL"</f>
        <v>R_REPASSE_INTEGRAL</v>
      </c>
      <c r="G4021" s="2" t="str">
        <f>"Controladoria / Repasse Médico / Relatórios / Operacionais / Repasse Integral (R_REPASSE_INTEGRAL)"</f>
        <v>Controladoria / Repasse Médico / Relatórios / Operacionais / Repasse Integral (R_REPASSE_INTEGRAL)</v>
      </c>
    </row>
    <row r="4022" spans="1:7" x14ac:dyDescent="0.3">
      <c r="A4022" s="1" t="s">
        <v>4</v>
      </c>
      <c r="B4022" s="2" t="str">
        <f t="shared" si="336"/>
        <v>SISTEMA DE REPASSE MÉDICO</v>
      </c>
      <c r="C4022" s="2" t="str">
        <f t="shared" si="337"/>
        <v>FATUR-CONV</v>
      </c>
      <c r="D4022" s="2" t="str">
        <f t="shared" si="338"/>
        <v>FNRM</v>
      </c>
      <c r="E4022" s="2" t="str">
        <f>"GERAÇÃO DE DESCONTO DE GLOSAS DO REPASSE"</f>
        <v>GERAÇÃO DE DESCONTO DE GLOSAS DO REPASSE</v>
      </c>
      <c r="F4022" s="2" t="str">
        <f>"M_REPASSE_GLOSA"</f>
        <v>M_REPASSE_GLOSA</v>
      </c>
      <c r="G4022" s="2" t="str">
        <f>"Controladoria / Repasse Médico / Repasse / Geração / Glosas (M_REPASSE_GLOSA)"</f>
        <v>Controladoria / Repasse Médico / Repasse / Geração / Glosas (M_REPASSE_GLOSA)</v>
      </c>
    </row>
    <row r="4023" spans="1:7" x14ac:dyDescent="0.3">
      <c r="A4023" s="1" t="s">
        <v>4</v>
      </c>
      <c r="B4023" s="2" t="str">
        <f t="shared" si="336"/>
        <v>SISTEMA DE REPASSE MÉDICO</v>
      </c>
      <c r="C4023" s="2" t="str">
        <f t="shared" si="337"/>
        <v>FATUR-CONV</v>
      </c>
      <c r="D4023" s="2" t="str">
        <f t="shared" si="338"/>
        <v>FNRM</v>
      </c>
      <c r="E4023" s="2" t="str">
        <f>"REGRA - REPASSE SIA"</f>
        <v>REGRA - REPASSE SIA</v>
      </c>
      <c r="F4023" s="2" t="str">
        <f>"M_REG_REP_SIA"</f>
        <v>M_REG_REP_SIA</v>
      </c>
      <c r="G4023" s="2" t="str">
        <f>"Controladoria / Repasse Médico / Tabelas / Regras  / SIA (M_REG_REP_SIA)"</f>
        <v>Controladoria / Repasse Médico / Tabelas / Regras  / SIA (M_REG_REP_SIA)</v>
      </c>
    </row>
    <row r="4024" spans="1:7" x14ac:dyDescent="0.3">
      <c r="A4024" s="1" t="s">
        <v>4</v>
      </c>
      <c r="B4024" s="2" t="str">
        <f t="shared" si="336"/>
        <v>SISTEMA DE REPASSE MÉDICO</v>
      </c>
      <c r="C4024" s="2" t="str">
        <f t="shared" si="337"/>
        <v>FATUR-CONV</v>
      </c>
      <c r="D4024" s="2" t="str">
        <f t="shared" si="338"/>
        <v>FNRM</v>
      </c>
      <c r="E4024" s="2" t="str">
        <f>"REPASSE GERAÇÃO SIA"</f>
        <v>REPASSE GERAÇÃO SIA</v>
      </c>
      <c r="F4024" s="2" t="str">
        <f>"M_REPASSE_SIA"</f>
        <v>M_REPASSE_SIA</v>
      </c>
      <c r="G4024" s="2" t="str">
        <f>"Controladoria / Repasse Médico / Repasse / Geração / SIA (M_REPASSE_SIA)"</f>
        <v>Controladoria / Repasse Médico / Repasse / Geração / SIA (M_REPASSE_SIA)</v>
      </c>
    </row>
    <row r="4025" spans="1:7" x14ac:dyDescent="0.3">
      <c r="A4025" s="1" t="s">
        <v>4</v>
      </c>
      <c r="B4025" s="2" t="str">
        <f t="shared" si="336"/>
        <v>SISTEMA DE REPASSE MÉDICO</v>
      </c>
      <c r="C4025" s="2" t="str">
        <f t="shared" si="337"/>
        <v>FATUR-CONV</v>
      </c>
      <c r="D4025" s="2" t="str">
        <f t="shared" si="338"/>
        <v>FNRM</v>
      </c>
      <c r="E4025" s="2" t="str">
        <f>"REPASSE POR CENTRO DE CUSTO X PRESTADOR"</f>
        <v>REPASSE POR CENTRO DE CUSTO X PRESTADOR</v>
      </c>
      <c r="F4025" s="2" t="str">
        <f>"R_REPASSE_CC_PRESTADOR"</f>
        <v>R_REPASSE_CC_PRESTADOR</v>
      </c>
      <c r="G4025" s="2" t="str">
        <f>"Controladoria / Repasse Médico / Relatórios / Gerenciais / Repasse por Centro de Custo X Prestador (R_REPASSE_CC_PRESTADOR)"</f>
        <v>Controladoria / Repasse Médico / Relatórios / Gerenciais / Repasse por Centro de Custo X Prestador (R_REPASSE_CC_PRESTADOR)</v>
      </c>
    </row>
    <row r="4026" spans="1:7" x14ac:dyDescent="0.3">
      <c r="A4026" s="1" t="s">
        <v>4</v>
      </c>
      <c r="B4026" s="2" t="str">
        <f t="shared" si="336"/>
        <v>SISTEMA DE REPASSE MÉDICO</v>
      </c>
      <c r="C4026" s="2" t="str">
        <f t="shared" si="337"/>
        <v>FATUR-CONV</v>
      </c>
      <c r="D4026" s="2" t="str">
        <f t="shared" si="338"/>
        <v>FNRM</v>
      </c>
      <c r="E4026" s="2" t="str">
        <f>"VIEW DE REPASSE SINTÉTICA"</f>
        <v>VIEW DE REPASSE SINTÉTICA</v>
      </c>
      <c r="F4026" s="2" t="str">
        <f>"V_REPASSE"</f>
        <v>V_REPASSE</v>
      </c>
      <c r="G4026" s="2" t="str">
        <f>" ()"</f>
        <v xml:space="preserve"> ()</v>
      </c>
    </row>
    <row r="4027" spans="1:7" x14ac:dyDescent="0.3">
      <c r="A4027" s="1" t="s">
        <v>4</v>
      </c>
      <c r="B4027" s="2" t="str">
        <f t="shared" si="336"/>
        <v>SISTEMA DE REPASSE MÉDICO</v>
      </c>
      <c r="C4027" s="2" t="str">
        <f t="shared" si="337"/>
        <v>FATUR-CONV</v>
      </c>
      <c r="D4027" s="2" t="str">
        <f t="shared" si="338"/>
        <v>FNRM</v>
      </c>
      <c r="E4027" s="2" t="str">
        <f>"CONSULTA DE REPASSE POR CONTA"</f>
        <v>CONSULTA DE REPASSE POR CONTA</v>
      </c>
      <c r="F4027" s="2" t="str">
        <f>"C_REPASSE_CONTA"</f>
        <v>C_REPASSE_CONTA</v>
      </c>
      <c r="G4027" s="2" t="str">
        <f>"Controladoria / Repasse Médico / Consultas / Repasse por atendimento/conta (C_REPASSE_CONTA)"</f>
        <v>Controladoria / Repasse Médico / Consultas / Repasse por atendimento/conta (C_REPASSE_CONTA)</v>
      </c>
    </row>
    <row r="4028" spans="1:7" x14ac:dyDescent="0.3">
      <c r="A4028" s="1" t="s">
        <v>4</v>
      </c>
      <c r="B4028" s="2" t="str">
        <f t="shared" si="336"/>
        <v>SISTEMA DE REPASSE MÉDICO</v>
      </c>
      <c r="C4028" s="2" t="str">
        <f t="shared" si="337"/>
        <v>FATUR-CONV</v>
      </c>
      <c r="D4028" s="2" t="str">
        <f t="shared" si="338"/>
        <v>FNRM</v>
      </c>
      <c r="E4028" s="2" t="str">
        <f>"RELATÓRIO -  CONTA CORRENTE DO PRESTADOR"</f>
        <v>RELATÓRIO -  CONTA CORRENTE DO PRESTADOR</v>
      </c>
      <c r="F4028" s="2" t="str">
        <f>"R_CC_PRESTADOR"</f>
        <v>R_CC_PRESTADOR</v>
      </c>
      <c r="G4028" s="2" t="str">
        <f>"Controladoria / Repasse Médico / Relatórios / Administrativos / Conta Corrente do Prestador (R_CC_PRESTADOR)"</f>
        <v>Controladoria / Repasse Médico / Relatórios / Administrativos / Conta Corrente do Prestador (R_CC_PRESTADOR)</v>
      </c>
    </row>
    <row r="4029" spans="1:7" x14ac:dyDescent="0.3">
      <c r="A4029" s="1" t="s">
        <v>4</v>
      </c>
      <c r="B4029" s="2" t="str">
        <f t="shared" si="336"/>
        <v>SISTEMA DE REPASSE MÉDICO</v>
      </c>
      <c r="C4029" s="2" t="str">
        <f t="shared" si="337"/>
        <v>FATUR-CONV</v>
      </c>
      <c r="D4029" s="2" t="str">
        <f t="shared" si="338"/>
        <v>FNRM</v>
      </c>
      <c r="E4029" s="2" t="str">
        <f>"REL. REPASSE MÉDICO QUEBRA POR CONV."</f>
        <v>REL. REPASSE MÉDICO QUEBRA POR CONV.</v>
      </c>
      <c r="F4029" s="2" t="str">
        <f>"R_REPASSE_MED_CONV"</f>
        <v>R_REPASSE_MED_CONV</v>
      </c>
      <c r="G4029" s="2" t="str">
        <f>" ()"</f>
        <v xml:space="preserve"> ()</v>
      </c>
    </row>
    <row r="4030" spans="1:7" x14ac:dyDescent="0.3">
      <c r="A4030" s="1" t="s">
        <v>4</v>
      </c>
      <c r="B4030" s="2" t="str">
        <f t="shared" si="336"/>
        <v>SISTEMA DE REPASSE MÉDICO</v>
      </c>
      <c r="C4030" s="2" t="str">
        <f t="shared" si="337"/>
        <v>FATUR-CONV</v>
      </c>
      <c r="D4030" s="2" t="str">
        <f t="shared" si="338"/>
        <v>FNRM</v>
      </c>
      <c r="E4030" s="2" t="str">
        <f>"PERSONALIZADOS FNRM"</f>
        <v>PERSONALIZADOS FNRM</v>
      </c>
      <c r="F4030" s="2" t="str">
        <f>"R_PERSON_FNRM"</f>
        <v>R_PERSON_FNRM</v>
      </c>
      <c r="G4030" s="2" t="str">
        <f>" ()"</f>
        <v xml:space="preserve"> ()</v>
      </c>
    </row>
    <row r="4031" spans="1:7" x14ac:dyDescent="0.3">
      <c r="A4031" s="1" t="s">
        <v>4</v>
      </c>
      <c r="B4031" s="2" t="str">
        <f t="shared" si="336"/>
        <v>SISTEMA DE REPASSE MÉDICO</v>
      </c>
      <c r="C4031" s="2" t="str">
        <f t="shared" si="337"/>
        <v>FATUR-CONV</v>
      </c>
      <c r="D4031" s="2" t="str">
        <f t="shared" si="338"/>
        <v>FNRM</v>
      </c>
      <c r="E4031" s="2" t="str">
        <f>"O_IMP_REPASSE_720"</f>
        <v>O_IMP_REPASSE_720</v>
      </c>
      <c r="F4031" s="2" t="str">
        <f>"O_IMP_REPASSE_720"</f>
        <v>O_IMP_REPASSE_720</v>
      </c>
      <c r="G4031" s="2" t="str">
        <f>" ()"</f>
        <v xml:space="preserve"> ()</v>
      </c>
    </row>
    <row r="4032" spans="1:7" x14ac:dyDescent="0.3">
      <c r="A4032" s="1" t="s">
        <v>4</v>
      </c>
      <c r="B4032" s="2" t="str">
        <f t="shared" si="336"/>
        <v>SISTEMA DE REPASSE MÉDICO</v>
      </c>
      <c r="C4032" s="2" t="str">
        <f t="shared" si="337"/>
        <v>FATUR-CONV</v>
      </c>
      <c r="D4032" s="2" t="str">
        <f t="shared" si="338"/>
        <v>FNRM</v>
      </c>
      <c r="E4032" s="2" t="str">
        <f>"FNRM"</f>
        <v>FNRM</v>
      </c>
      <c r="F4032" s="2" t="str">
        <f>"FNRM"</f>
        <v>FNRM</v>
      </c>
      <c r="G4032" s="2" t="str">
        <f>"Controladoria / Repasse Médico / Relatórios / Personalizados (FNRM)"</f>
        <v>Controladoria / Repasse Médico / Relatórios / Personalizados (FNRM)</v>
      </c>
    </row>
    <row r="4033" spans="1:7" x14ac:dyDescent="0.3">
      <c r="A4033" s="1" t="s">
        <v>4</v>
      </c>
      <c r="B4033" s="2" t="str">
        <f t="shared" si="336"/>
        <v>SISTEMA DE REPASSE MÉDICO</v>
      </c>
      <c r="C4033" s="2" t="str">
        <f t="shared" si="337"/>
        <v>FATUR-CONV</v>
      </c>
      <c r="D4033" s="2" t="str">
        <f t="shared" si="338"/>
        <v>FNRM</v>
      </c>
      <c r="E4033" s="2" t="str">
        <f>"M_REPASSE_SIA_321"</f>
        <v>M_REPASSE_SIA_321</v>
      </c>
      <c r="F4033" s="2" t="str">
        <f>"M_REPASSE_SIA_321"</f>
        <v>M_REPASSE_SIA_321</v>
      </c>
      <c r="G4033" s="2" t="str">
        <f t="shared" ref="G4033:G4039" si="339">" ()"</f>
        <v xml:space="preserve"> ()</v>
      </c>
    </row>
    <row r="4034" spans="1:7" x14ac:dyDescent="0.3">
      <c r="A4034" s="1" t="s">
        <v>4</v>
      </c>
      <c r="B4034" s="2" t="str">
        <f t="shared" si="336"/>
        <v>SISTEMA DE REPASSE MÉDICO</v>
      </c>
      <c r="C4034" s="2" t="str">
        <f t="shared" si="337"/>
        <v>FATUR-CONV</v>
      </c>
      <c r="D4034" s="2" t="str">
        <f t="shared" si="338"/>
        <v>FNRM</v>
      </c>
      <c r="E4034" s="2" t="str">
        <f>"WIN_PRINCIPAL"</f>
        <v>WIN_PRINCIPAL</v>
      </c>
      <c r="F4034" s="2" t="str">
        <f>"R_REPASSE_MEDICO_1727"</f>
        <v>R_REPASSE_MEDICO_1727</v>
      </c>
      <c r="G4034" s="2" t="str">
        <f t="shared" si="339"/>
        <v xml:space="preserve"> ()</v>
      </c>
    </row>
    <row r="4035" spans="1:7" x14ac:dyDescent="0.3">
      <c r="A4035" s="1" t="s">
        <v>4</v>
      </c>
      <c r="B4035" s="2" t="str">
        <f t="shared" si="336"/>
        <v>SISTEMA DE REPASSE MÉDICO</v>
      </c>
      <c r="C4035" s="2" t="str">
        <f t="shared" si="337"/>
        <v>FATUR-CONV</v>
      </c>
      <c r="D4035" s="2" t="str">
        <f t="shared" si="338"/>
        <v>FNRM</v>
      </c>
      <c r="E4035" s="2" t="str">
        <f>"RELATÓRIO DE ALTERAÇÕES DE REPASSE"</f>
        <v>RELATÓRIO DE ALTERAÇÕES DE REPASSE</v>
      </c>
      <c r="F4035" s="2" t="str">
        <f>"R_PROCEDIMENTO_PRESTADOR_1727"</f>
        <v>R_PROCEDIMENTO_PRESTADOR_1727</v>
      </c>
      <c r="G4035" s="2" t="str">
        <f t="shared" si="339"/>
        <v xml:space="preserve"> ()</v>
      </c>
    </row>
    <row r="4036" spans="1:7" x14ac:dyDescent="0.3">
      <c r="A4036" s="1" t="s">
        <v>4</v>
      </c>
      <c r="B4036" s="2" t="str">
        <f t="shared" si="336"/>
        <v>SISTEMA DE REPASSE MÉDICO</v>
      </c>
      <c r="C4036" s="2" t="str">
        <f t="shared" si="337"/>
        <v>FATUR-CONV</v>
      </c>
      <c r="D4036" s="2" t="str">
        <f t="shared" si="338"/>
        <v>FNRM</v>
      </c>
      <c r="E4036" s="2" t="str">
        <f>"C_CC_PRESTADOR_321"</f>
        <v>C_CC_PRESTADOR_321</v>
      </c>
      <c r="F4036" s="2" t="str">
        <f>"C_CC_PRESTADOR_321"</f>
        <v>C_CC_PRESTADOR_321</v>
      </c>
      <c r="G4036" s="2" t="str">
        <f t="shared" si="339"/>
        <v xml:space="preserve"> ()</v>
      </c>
    </row>
    <row r="4037" spans="1:7" x14ac:dyDescent="0.3">
      <c r="A4037" s="1" t="s">
        <v>4</v>
      </c>
      <c r="B4037" s="2" t="str">
        <f t="shared" si="336"/>
        <v>SISTEMA DE REPASSE MÉDICO</v>
      </c>
      <c r="C4037" s="2" t="str">
        <f t="shared" si="337"/>
        <v>FATUR-CONV</v>
      </c>
      <c r="D4037" s="2" t="str">
        <f t="shared" si="338"/>
        <v>FNRM</v>
      </c>
      <c r="E4037" s="2" t="str">
        <f>"M_ALTERA_REPASSE_321"</f>
        <v>M_ALTERA_REPASSE_321</v>
      </c>
      <c r="F4037" s="2" t="str">
        <f>"M_ALTERA_REPASSE_321"</f>
        <v>M_ALTERA_REPASSE_321</v>
      </c>
      <c r="G4037" s="2" t="str">
        <f t="shared" si="339"/>
        <v xml:space="preserve"> ()</v>
      </c>
    </row>
    <row r="4038" spans="1:7" x14ac:dyDescent="0.3">
      <c r="A4038" s="1" t="s">
        <v>4</v>
      </c>
      <c r="B4038" s="2" t="str">
        <f t="shared" si="336"/>
        <v>SISTEMA DE REPASSE MÉDICO</v>
      </c>
      <c r="C4038" s="2" t="str">
        <f t="shared" si="337"/>
        <v>FATUR-CONV</v>
      </c>
      <c r="D4038" s="2" t="str">
        <f t="shared" si="338"/>
        <v>FNRM</v>
      </c>
      <c r="E4038" s="2" t="str">
        <f>"GERAÇÃO DE REPASSE MÉDICO - SIH - P321"</f>
        <v>GERAÇÃO DE REPASSE MÉDICO - SIH - P321</v>
      </c>
      <c r="F4038" s="2" t="str">
        <f>"M_REPASSE_SIH_321"</f>
        <v>M_REPASSE_SIH_321</v>
      </c>
      <c r="G4038" s="2" t="str">
        <f t="shared" si="339"/>
        <v xml:space="preserve"> ()</v>
      </c>
    </row>
    <row r="4039" spans="1:7" x14ac:dyDescent="0.3">
      <c r="A4039" s="1" t="s">
        <v>4</v>
      </c>
      <c r="B4039" s="2" t="str">
        <f t="shared" si="336"/>
        <v>SISTEMA DE REPASSE MÉDICO</v>
      </c>
      <c r="C4039" s="2" t="str">
        <f t="shared" si="337"/>
        <v>FATUR-CONV</v>
      </c>
      <c r="D4039" s="2" t="str">
        <f t="shared" si="338"/>
        <v>FNRM</v>
      </c>
      <c r="E4039" s="2" t="str">
        <f>"M_REG_REP_SIH_321"</f>
        <v>M_REG_REP_SIH_321</v>
      </c>
      <c r="F4039" s="2" t="str">
        <f>"M_REG_REP_SIH_321"</f>
        <v>M_REG_REP_SIH_321</v>
      </c>
      <c r="G4039" s="2" t="str">
        <f t="shared" si="339"/>
        <v xml:space="preserve"> ()</v>
      </c>
    </row>
    <row r="4040" spans="1:7" x14ac:dyDescent="0.3">
      <c r="A4040" s="1" t="s">
        <v>4</v>
      </c>
      <c r="B4040" s="2" t="str">
        <f t="shared" si="336"/>
        <v>SISTEMA DE REPASSE MÉDICO</v>
      </c>
      <c r="C4040" s="2" t="str">
        <f t="shared" si="337"/>
        <v>FATUR-CONV</v>
      </c>
      <c r="D4040" s="2" t="str">
        <f t="shared" si="338"/>
        <v>FNRM</v>
      </c>
      <c r="E4040" s="2" t="str">
        <f>"DEMONSTRATIVO DE RENDIMENTOS"</f>
        <v>DEMONSTRATIVO DE RENDIMENTOS</v>
      </c>
      <c r="F4040" s="2" t="str">
        <f>"R_DEMO_DET"</f>
        <v>R_DEMO_DET</v>
      </c>
      <c r="G4040" s="2" t="str">
        <f>"Controladoria / Repasse Médico / Relatórios / Administrativos / Demonstrativo de Tributos (R_DEMO_DET)"</f>
        <v>Controladoria / Repasse Médico / Relatórios / Administrativos / Demonstrativo de Tributos (R_DEMO_DET)</v>
      </c>
    </row>
    <row r="4041" spans="1:7" x14ac:dyDescent="0.3">
      <c r="A4041" s="1" t="s">
        <v>4</v>
      </c>
      <c r="B4041" s="2" t="str">
        <f t="shared" ref="B4041:B4104" si="340">"SISTEMA DE REPASSE MÉDICO"</f>
        <v>SISTEMA DE REPASSE MÉDICO</v>
      </c>
      <c r="C4041" s="2" t="str">
        <f t="shared" ref="C4041:C4104" si="341">"FATUR-CONV"</f>
        <v>FATUR-CONV</v>
      </c>
      <c r="D4041" s="2" t="str">
        <f t="shared" ref="D4041:D4104" si="342">"FNRM"</f>
        <v>FNRM</v>
      </c>
      <c r="E4041" s="2" t="str">
        <f>"RELATÓRIO DE REPASSE DE PRESTADORES"</f>
        <v>RELATÓRIO DE REPASSE DE PRESTADORES</v>
      </c>
      <c r="F4041" s="2" t="str">
        <f>"R_APAG_REPASSE_360"</f>
        <v>R_APAG_REPASSE_360</v>
      </c>
      <c r="G4041" s="2" t="str">
        <f>" ()"</f>
        <v xml:space="preserve"> ()</v>
      </c>
    </row>
    <row r="4042" spans="1:7" x14ac:dyDescent="0.3">
      <c r="A4042" s="1" t="s">
        <v>4</v>
      </c>
      <c r="B4042" s="2" t="str">
        <f t="shared" si="340"/>
        <v>SISTEMA DE REPASSE MÉDICO</v>
      </c>
      <c r="C4042" s="2" t="str">
        <f t="shared" si="341"/>
        <v>FATUR-CONV</v>
      </c>
      <c r="D4042" s="2" t="str">
        <f t="shared" si="342"/>
        <v>FNRM</v>
      </c>
      <c r="E4042" s="2" t="str">
        <f>"RELATÓRIO DE REPASSE SEM REGRA"</f>
        <v>RELATÓRIO DE REPASSE SEM REGRA</v>
      </c>
      <c r="F4042" s="2" t="str">
        <f>"R_REPASSE_SEM_REGRA_755"</f>
        <v>R_REPASSE_SEM_REGRA_755</v>
      </c>
      <c r="G4042" s="2" t="str">
        <f>" ()"</f>
        <v xml:space="preserve"> ()</v>
      </c>
    </row>
    <row r="4043" spans="1:7" x14ac:dyDescent="0.3">
      <c r="A4043" s="1" t="s">
        <v>4</v>
      </c>
      <c r="B4043" s="2" t="str">
        <f t="shared" si="340"/>
        <v>SISTEMA DE REPASSE MÉDICO</v>
      </c>
      <c r="C4043" s="2" t="str">
        <f t="shared" si="341"/>
        <v>FATUR-CONV</v>
      </c>
      <c r="D4043" s="2" t="str">
        <f t="shared" si="342"/>
        <v>FNRM</v>
      </c>
      <c r="E4043" s="2" t="str">
        <f>"RELATÓRIO DE REPASSE SEM REGRA"</f>
        <v>RELATÓRIO DE REPASSE SEM REGRA</v>
      </c>
      <c r="F4043" s="2" t="str">
        <f>"R_REPASSE_SEM_REGRA"</f>
        <v>R_REPASSE_SEM_REGRA</v>
      </c>
      <c r="G4043" s="2" t="str">
        <f>" ()"</f>
        <v xml:space="preserve"> ()</v>
      </c>
    </row>
    <row r="4044" spans="1:7" x14ac:dyDescent="0.3">
      <c r="A4044" s="1" t="s">
        <v>4</v>
      </c>
      <c r="B4044" s="2" t="str">
        <f t="shared" si="340"/>
        <v>SISTEMA DE REPASSE MÉDICO</v>
      </c>
      <c r="C4044" s="2" t="str">
        <f t="shared" si="341"/>
        <v>FATUR-CONV</v>
      </c>
      <c r="D4044" s="2" t="str">
        <f t="shared" si="342"/>
        <v>FNRM</v>
      </c>
      <c r="E4044" s="2" t="str">
        <f>"M_FNRM_H9J"</f>
        <v>M_FNRM_H9J</v>
      </c>
      <c r="F4044" s="2" t="str">
        <f>"M_FNRM_H9J"</f>
        <v>M_FNRM_H9J</v>
      </c>
      <c r="G4044" s="2" t="str">
        <f>" ()"</f>
        <v xml:space="preserve"> ()</v>
      </c>
    </row>
    <row r="4045" spans="1:7" x14ac:dyDescent="0.3">
      <c r="A4045" s="1" t="s">
        <v>4</v>
      </c>
      <c r="B4045" s="2" t="str">
        <f t="shared" si="340"/>
        <v>SISTEMA DE REPASSE MÉDICO</v>
      </c>
      <c r="C4045" s="2" t="str">
        <f t="shared" si="341"/>
        <v>FATUR-CONV</v>
      </c>
      <c r="D4045" s="2" t="str">
        <f t="shared" si="342"/>
        <v>FNRM</v>
      </c>
      <c r="E4045" s="2" t="str">
        <f>"GERAÇÃO DE REPASSE MÉDICO"</f>
        <v>GERAÇÃO DE REPASSE MÉDICO</v>
      </c>
      <c r="F4045" s="2" t="str">
        <f>"M_REPASSE_H9J"</f>
        <v>M_REPASSE_H9J</v>
      </c>
      <c r="G4045" s="2" t="str">
        <f>"Controladoria / Repasse Médico / Repasse Virtual / Repasse / Geração / Virtual (M_REPASSE_H9J)"</f>
        <v>Controladoria / Repasse Médico / Repasse Virtual / Repasse / Geração / Virtual (M_REPASSE_H9J)</v>
      </c>
    </row>
    <row r="4046" spans="1:7" x14ac:dyDescent="0.3">
      <c r="A4046" s="1" t="s">
        <v>4</v>
      </c>
      <c r="B4046" s="2" t="str">
        <f t="shared" si="340"/>
        <v>SISTEMA DE REPASSE MÉDICO</v>
      </c>
      <c r="C4046" s="2" t="str">
        <f t="shared" si="341"/>
        <v>FATUR-CONV</v>
      </c>
      <c r="D4046" s="2" t="str">
        <f t="shared" si="342"/>
        <v>FNRM</v>
      </c>
      <c r="E4046" s="2" t="str">
        <f>"CADASTRO: REGRAS DE REPASSE"</f>
        <v>CADASTRO: REGRAS DE REPASSE</v>
      </c>
      <c r="F4046" s="2" t="str">
        <f>"M_REG_REP_H9J"</f>
        <v>M_REG_REP_H9J</v>
      </c>
      <c r="G4046" s="2" t="str">
        <f>"Controladoria / Repasse Médico / Repasse Virtual / Tabelas / Regras / Virtual (M_REG_REP_H9J)"</f>
        <v>Controladoria / Repasse Médico / Repasse Virtual / Tabelas / Regras / Virtual (M_REG_REP_H9J)</v>
      </c>
    </row>
    <row r="4047" spans="1:7" x14ac:dyDescent="0.3">
      <c r="A4047" s="1" t="s">
        <v>4</v>
      </c>
      <c r="B4047" s="2" t="str">
        <f t="shared" si="340"/>
        <v>SISTEMA DE REPASSE MÉDICO</v>
      </c>
      <c r="C4047" s="2" t="str">
        <f t="shared" si="341"/>
        <v>FATUR-CONV</v>
      </c>
      <c r="D4047" s="2" t="str">
        <f t="shared" si="342"/>
        <v>FNRM</v>
      </c>
      <c r="E4047" s="2" t="str">
        <f>"R_REPASSE_MED_SINT_SEM_QUEBRA"</f>
        <v>R_REPASSE_MED_SINT_SEM_QUEBRA</v>
      </c>
      <c r="F4047" s="2" t="str">
        <f>"R_REPASSE_MED_SINT_SEM_QUEBRA"</f>
        <v>R_REPASSE_MED_SINT_SEM_QUEBRA</v>
      </c>
      <c r="G4047" s="2" t="str">
        <f>" ()"</f>
        <v xml:space="preserve"> ()</v>
      </c>
    </row>
    <row r="4048" spans="1:7" x14ac:dyDescent="0.3">
      <c r="A4048" s="1" t="s">
        <v>4</v>
      </c>
      <c r="B4048" s="2" t="str">
        <f t="shared" si="340"/>
        <v>SISTEMA DE REPASSE MÉDICO</v>
      </c>
      <c r="C4048" s="2" t="str">
        <f t="shared" si="341"/>
        <v>FATUR-CONV</v>
      </c>
      <c r="D4048" s="2" t="str">
        <f t="shared" si="342"/>
        <v>FNRM</v>
      </c>
      <c r="E4048" s="2" t="str">
        <f>"R_SOLICITACAO_PAGTO_297"</f>
        <v>R_SOLICITACAO_PAGTO_297</v>
      </c>
      <c r="F4048" s="2" t="str">
        <f>"R_SOLICITACAO_PAGTO_297"</f>
        <v>R_SOLICITACAO_PAGTO_297</v>
      </c>
      <c r="G4048" s="2" t="str">
        <f>" ()"</f>
        <v xml:space="preserve"> ()</v>
      </c>
    </row>
    <row r="4049" spans="1:7" x14ac:dyDescent="0.3">
      <c r="A4049" s="1" t="s">
        <v>4</v>
      </c>
      <c r="B4049" s="2" t="str">
        <f t="shared" si="340"/>
        <v>SISTEMA DE REPASSE MÉDICO</v>
      </c>
      <c r="C4049" s="2" t="str">
        <f t="shared" si="341"/>
        <v>FATUR-CONV</v>
      </c>
      <c r="D4049" s="2" t="str">
        <f t="shared" si="342"/>
        <v>FNRM</v>
      </c>
      <c r="E4049" s="2" t="str">
        <f>"C_EST_REP_SEMESTRAL"</f>
        <v>C_EST_REP_SEMESTRAL</v>
      </c>
      <c r="F4049" s="2" t="str">
        <f>"C_EST_REP_SEMESTRAL"</f>
        <v>C_EST_REP_SEMESTRAL</v>
      </c>
      <c r="G4049" s="2" t="str">
        <f>"Controladoria / Repasse Médico / Consultas / Resumo semestral de repasse (C_EST_REP_SEMESTRAL)"</f>
        <v>Controladoria / Repasse Médico / Consultas / Resumo semestral de repasse (C_EST_REP_SEMESTRAL)</v>
      </c>
    </row>
    <row r="4050" spans="1:7" x14ac:dyDescent="0.3">
      <c r="A4050" s="1" t="s">
        <v>4</v>
      </c>
      <c r="B4050" s="2" t="str">
        <f t="shared" si="340"/>
        <v>SISTEMA DE REPASSE MÉDICO</v>
      </c>
      <c r="C4050" s="2" t="str">
        <f t="shared" si="341"/>
        <v>FATUR-CONV</v>
      </c>
      <c r="D4050" s="2" t="str">
        <f t="shared" si="342"/>
        <v>FNRM</v>
      </c>
      <c r="E4050" s="2" t="str">
        <f>"M_REGRA_IMP_FFCH"</f>
        <v>M_REGRA_IMP_FFCH</v>
      </c>
      <c r="F4050" s="2" t="str">
        <f>"M_REGRA_IMP_FFCH"</f>
        <v>M_REGRA_IMP_FFCH</v>
      </c>
      <c r="G4050" s="2" t="str">
        <f>"Controladoria / Repasse Médico / Tabelas / Regras  / Importação Custos (M_REGRA_IMP_FFCH)"</f>
        <v>Controladoria / Repasse Médico / Tabelas / Regras  / Importação Custos (M_REGRA_IMP_FFCH)</v>
      </c>
    </row>
    <row r="4051" spans="1:7" x14ac:dyDescent="0.3">
      <c r="A4051" s="1" t="s">
        <v>4</v>
      </c>
      <c r="B4051" s="2" t="str">
        <f t="shared" si="340"/>
        <v>SISTEMA DE REPASSE MÉDICO</v>
      </c>
      <c r="C4051" s="2" t="str">
        <f t="shared" si="341"/>
        <v>FATUR-CONV</v>
      </c>
      <c r="D4051" s="2" t="str">
        <f t="shared" si="342"/>
        <v>FNRM</v>
      </c>
      <c r="E4051" s="2" t="str">
        <f>"WIN_PRINCIPAL - HOSPITAL MV SISTEMAS"</f>
        <v>WIN_PRINCIPAL - HOSPITAL MV SISTEMAS</v>
      </c>
      <c r="F4051" s="2" t="str">
        <f>"M_PRESTADOR_PRESTADOR_720"</f>
        <v>M_PRESTADOR_PRESTADOR_720</v>
      </c>
      <c r="G4051" s="2" t="str">
        <f>" ()"</f>
        <v xml:space="preserve"> ()</v>
      </c>
    </row>
    <row r="4052" spans="1:7" x14ac:dyDescent="0.3">
      <c r="A4052" s="1" t="s">
        <v>4</v>
      </c>
      <c r="B4052" s="2" t="str">
        <f t="shared" si="340"/>
        <v>SISTEMA DE REPASSE MÉDICO</v>
      </c>
      <c r="C4052" s="2" t="str">
        <f t="shared" si="341"/>
        <v>FATUR-CONV</v>
      </c>
      <c r="D4052" s="2" t="str">
        <f t="shared" si="342"/>
        <v>FNRM</v>
      </c>
      <c r="E4052" s="2" t="str">
        <f>"RELATÓRIO DE FATURADO X CONSUMIDO"</f>
        <v>RELATÓRIO DE FATURADO X CONSUMIDO</v>
      </c>
      <c r="F4052" s="2" t="str">
        <f>"R_DEMONSTRATIVO_REPASSE"</f>
        <v>R_DEMONSTRATIVO_REPASSE</v>
      </c>
      <c r="G4052" s="2" t="str">
        <f>"Controladoria / Repasse Médico / Relatórios / Operacionais / Demonstrativo de Repasse (R_DEMONSTRATIVO_REPASSE)"</f>
        <v>Controladoria / Repasse Médico / Relatórios / Operacionais / Demonstrativo de Repasse (R_DEMONSTRATIVO_REPASSE)</v>
      </c>
    </row>
    <row r="4053" spans="1:7" x14ac:dyDescent="0.3">
      <c r="A4053" s="1" t="s">
        <v>4</v>
      </c>
      <c r="B4053" s="2" t="str">
        <f t="shared" si="340"/>
        <v>SISTEMA DE REPASSE MÉDICO</v>
      </c>
      <c r="C4053" s="2" t="str">
        <f t="shared" si="341"/>
        <v>FATUR-CONV</v>
      </c>
      <c r="D4053" s="2" t="str">
        <f t="shared" si="342"/>
        <v>FNRM</v>
      </c>
      <c r="E4053" s="2" t="str">
        <f>"M_REPASSE_TERCEIRO"</f>
        <v>M_REPASSE_TERCEIRO</v>
      </c>
      <c r="F4053" s="2" t="str">
        <f>"M_REPASSE_TERCEIRO"</f>
        <v>M_REPASSE_TERCEIRO</v>
      </c>
      <c r="G4053" s="2" t="str">
        <f>"Controladoria / Repasse Médico / Repasse / Geração / Terceiros (M_REPASSE_TERCEIRO)"</f>
        <v>Controladoria / Repasse Médico / Repasse / Geração / Terceiros (M_REPASSE_TERCEIRO)</v>
      </c>
    </row>
    <row r="4054" spans="1:7" x14ac:dyDescent="0.3">
      <c r="A4054" s="1" t="s">
        <v>4</v>
      </c>
      <c r="B4054" s="2" t="str">
        <f t="shared" si="340"/>
        <v>SISTEMA DE REPASSE MÉDICO</v>
      </c>
      <c r="C4054" s="2" t="str">
        <f t="shared" si="341"/>
        <v>FATUR-CONV</v>
      </c>
      <c r="D4054" s="2" t="str">
        <f t="shared" si="342"/>
        <v>FNRM</v>
      </c>
      <c r="E4054" s="2" t="str">
        <f>"O_CONTROLA_JOB_REPASSE"</f>
        <v>O_CONTROLA_JOB_REPASSE</v>
      </c>
      <c r="F4054" s="2" t="str">
        <f>"O_CONTROLA_JOB_REPASSE"</f>
        <v>O_CONTROLA_JOB_REPASSE</v>
      </c>
      <c r="G4054" s="2" t="str">
        <f>"Controladoria / Repasse Médico / Configurações / Configuração do JOB (O_CONTROLA_JOB_REPASSE)"</f>
        <v>Controladoria / Repasse Médico / Configurações / Configuração do JOB (O_CONTROLA_JOB_REPASSE)</v>
      </c>
    </row>
    <row r="4055" spans="1:7" x14ac:dyDescent="0.3">
      <c r="A4055" s="1" t="s">
        <v>4</v>
      </c>
      <c r="B4055" s="2" t="str">
        <f t="shared" si="340"/>
        <v>SISTEMA DE REPASSE MÉDICO</v>
      </c>
      <c r="C4055" s="2" t="str">
        <f t="shared" si="341"/>
        <v>FATUR-CONV</v>
      </c>
      <c r="D4055" s="2" t="str">
        <f t="shared" si="342"/>
        <v>FNRM</v>
      </c>
      <c r="E4055" s="2" t="str">
        <f>"REL. - TABELAS - REGRAS"</f>
        <v>REL. - TABELAS - REGRAS</v>
      </c>
      <c r="F4055" s="2" t="str">
        <f>"R_REG_REP"</f>
        <v>R_REG_REP</v>
      </c>
      <c r="G4055" s="2" t="str">
        <f>"Controladoria / Repasse Médico / Relatórios / Tabelas / Regras  / Repasse (R_REG_REP)"</f>
        <v>Controladoria / Repasse Médico / Relatórios / Tabelas / Regras  / Repasse (R_REG_REP)</v>
      </c>
    </row>
    <row r="4056" spans="1:7" x14ac:dyDescent="0.3">
      <c r="A4056" s="1" t="s">
        <v>4</v>
      </c>
      <c r="B4056" s="2" t="str">
        <f t="shared" si="340"/>
        <v>SISTEMA DE REPASSE MÉDICO</v>
      </c>
      <c r="C4056" s="2" t="str">
        <f t="shared" si="341"/>
        <v>FATUR-CONV</v>
      </c>
      <c r="D4056" s="2" t="str">
        <f t="shared" si="342"/>
        <v>FNRM</v>
      </c>
      <c r="E4056" s="2" t="str">
        <f>"REL. - GER. - REPASSE GLOBAL"</f>
        <v>REL. - GER. - REPASSE GLOBAL</v>
      </c>
      <c r="F4056" s="2" t="str">
        <f>"R_REP_GER"</f>
        <v>R_REP_GER</v>
      </c>
      <c r="G4056" s="2" t="str">
        <f>"Controladoria / Repasse Médico / Relatórios / Gerenciais / Repasse Global (R_REP_GER)"</f>
        <v>Controladoria / Repasse Médico / Relatórios / Gerenciais / Repasse Global (R_REP_GER)</v>
      </c>
    </row>
    <row r="4057" spans="1:7" x14ac:dyDescent="0.3">
      <c r="A4057" s="1" t="s">
        <v>4</v>
      </c>
      <c r="B4057" s="2" t="str">
        <f t="shared" si="340"/>
        <v>SISTEMA DE REPASSE MÉDICO</v>
      </c>
      <c r="C4057" s="2" t="str">
        <f t="shared" si="341"/>
        <v>FATUR-CONV</v>
      </c>
      <c r="D4057" s="2" t="str">
        <f t="shared" si="342"/>
        <v>FNRM</v>
      </c>
      <c r="E4057" s="2" t="str">
        <f>"MENU DO SISTEMA DE REPASSE MÉDICO"</f>
        <v>MENU DO SISTEMA DE REPASSE MÉDICO</v>
      </c>
      <c r="F4057" s="2" t="str">
        <f>"M_FNRM"</f>
        <v>M_FNRM</v>
      </c>
      <c r="G4057" s="2" t="str">
        <f>" ()"</f>
        <v xml:space="preserve"> ()</v>
      </c>
    </row>
    <row r="4058" spans="1:7" x14ac:dyDescent="0.3">
      <c r="A4058" s="1" t="s">
        <v>4</v>
      </c>
      <c r="B4058" s="2" t="str">
        <f t="shared" si="340"/>
        <v>SISTEMA DE REPASSE MÉDICO</v>
      </c>
      <c r="C4058" s="2" t="str">
        <f t="shared" si="341"/>
        <v>FATUR-CONV</v>
      </c>
      <c r="D4058" s="2" t="str">
        <f t="shared" si="342"/>
        <v>FNRM</v>
      </c>
      <c r="E4058" s="2" t="str">
        <f>"ALTERAÇÃO DE REPASSE"</f>
        <v>ALTERAÇÃO DE REPASSE</v>
      </c>
      <c r="F4058" s="2" t="str">
        <f>"M_ALTERA_REPASSE"</f>
        <v>M_ALTERA_REPASSE</v>
      </c>
      <c r="G4058" s="2" t="str">
        <f>"Controladoria / Repasse Médico / Repasse / Alteração / Alteração de Repasse (M_ALTERA_REPASSE)"</f>
        <v>Controladoria / Repasse Médico / Repasse / Alteração / Alteração de Repasse (M_ALTERA_REPASSE)</v>
      </c>
    </row>
    <row r="4059" spans="1:7" x14ac:dyDescent="0.3">
      <c r="A4059" s="1" t="s">
        <v>4</v>
      </c>
      <c r="B4059" s="2" t="str">
        <f t="shared" si="340"/>
        <v>SISTEMA DE REPASSE MÉDICO</v>
      </c>
      <c r="C4059" s="2" t="str">
        <f t="shared" si="341"/>
        <v>FATUR-CONV</v>
      </c>
      <c r="D4059" s="2" t="str">
        <f t="shared" si="342"/>
        <v>FNRM</v>
      </c>
      <c r="E4059" s="2" t="str">
        <f>"REL. - ADM. - REPASSE DE PRESTADORES"</f>
        <v>REL. - ADM. - REPASSE DE PRESTADORES</v>
      </c>
      <c r="F4059" s="2" t="str">
        <f>"R_REPASSE_PRESTADOR"</f>
        <v>R_REPASSE_PRESTADOR</v>
      </c>
      <c r="G4059" s="2" t="str">
        <f>" ()"</f>
        <v xml:space="preserve"> ()</v>
      </c>
    </row>
    <row r="4060" spans="1:7" x14ac:dyDescent="0.3">
      <c r="A4060" s="1" t="s">
        <v>4</v>
      </c>
      <c r="B4060" s="2" t="str">
        <f t="shared" si="340"/>
        <v>SISTEMA DE REPASSE MÉDICO</v>
      </c>
      <c r="C4060" s="2" t="str">
        <f t="shared" si="341"/>
        <v>FATUR-CONV</v>
      </c>
      <c r="D4060" s="2" t="str">
        <f t="shared" si="342"/>
        <v>FNRM</v>
      </c>
      <c r="E4060" s="2" t="str">
        <f>"VIEW DE CUSTOS DE REPASSE MENSAIS"</f>
        <v>VIEW DE CUSTOS DE REPASSE MENSAIS</v>
      </c>
      <c r="F4060" s="2" t="str">
        <f>"V_CUSTO_REPASSE"</f>
        <v>V_CUSTO_REPASSE</v>
      </c>
      <c r="G4060" s="2" t="str">
        <f>" ()"</f>
        <v xml:space="preserve"> ()</v>
      </c>
    </row>
    <row r="4061" spans="1:7" x14ac:dyDescent="0.3">
      <c r="A4061" s="1" t="s">
        <v>4</v>
      </c>
      <c r="B4061" s="2" t="str">
        <f t="shared" si="340"/>
        <v>SISTEMA DE REPASSE MÉDICO</v>
      </c>
      <c r="C4061" s="2" t="str">
        <f t="shared" si="341"/>
        <v>FATUR-CONV</v>
      </c>
      <c r="D4061" s="2" t="str">
        <f t="shared" si="342"/>
        <v>FNRM</v>
      </c>
      <c r="E4061" s="2" t="str">
        <f>"REL. DE ALTERAÇÕES NO FATURAMENTO"</f>
        <v>REL. DE ALTERAÇÕES NO FATURAMENTO</v>
      </c>
      <c r="F4061" s="2" t="str">
        <f>"R_ALTERA_FATURADO"</f>
        <v>R_ALTERA_FATURADO</v>
      </c>
      <c r="G4061" s="2" t="str">
        <f>"Controladoria / Repasse Médico / Relatórios / Operacionais / Alterações de Repasse (R_ALTERA_FATURADO)"</f>
        <v>Controladoria / Repasse Médico / Relatórios / Operacionais / Alterações de Repasse (R_ALTERA_FATURADO)</v>
      </c>
    </row>
    <row r="4062" spans="1:7" x14ac:dyDescent="0.3">
      <c r="A4062" s="1" t="s">
        <v>4</v>
      </c>
      <c r="B4062" s="2" t="str">
        <f t="shared" si="340"/>
        <v>SISTEMA DE REPASSE MÉDICO</v>
      </c>
      <c r="C4062" s="2" t="str">
        <f t="shared" si="341"/>
        <v>FATUR-CONV</v>
      </c>
      <c r="D4062" s="2" t="str">
        <f t="shared" si="342"/>
        <v>FNRM</v>
      </c>
      <c r="E4062" s="2" t="str">
        <f>"CONFIGURAÇÃO - PARÂMETROS"</f>
        <v>CONFIGURAÇÃO - PARÂMETROS</v>
      </c>
      <c r="F4062" s="2" t="str">
        <f>"M_CONF_FNRM"</f>
        <v>M_CONF_FNRM</v>
      </c>
      <c r="G4062" s="2" t="str">
        <f>"Controladoria / Repasse Médico / Configurações / Parâmetros (M_CONF_FNRM)"</f>
        <v>Controladoria / Repasse Médico / Configurações / Parâmetros (M_CONF_FNRM)</v>
      </c>
    </row>
    <row r="4063" spans="1:7" x14ac:dyDescent="0.3">
      <c r="A4063" s="1" t="s">
        <v>4</v>
      </c>
      <c r="B4063" s="2" t="str">
        <f t="shared" si="340"/>
        <v>SISTEMA DE REPASSE MÉDICO</v>
      </c>
      <c r="C4063" s="2" t="str">
        <f t="shared" si="341"/>
        <v>FATUR-CONV</v>
      </c>
      <c r="D4063" s="2" t="str">
        <f t="shared" si="342"/>
        <v>FNRM</v>
      </c>
      <c r="E4063" s="2" t="str">
        <f>"REL. DE DEMONSTRATIVO MÉDICO SINTÉTICO"</f>
        <v>REL. DE DEMONSTRATIVO MÉDICO SINTÉTICO</v>
      </c>
      <c r="F4063" s="2" t="str">
        <f>"R_DEMO_MED_SINT"</f>
        <v>R_DEMO_MED_SINT</v>
      </c>
      <c r="G4063" s="2" t="str">
        <f>" ()"</f>
        <v xml:space="preserve"> ()</v>
      </c>
    </row>
    <row r="4064" spans="1:7" x14ac:dyDescent="0.3">
      <c r="A4064" s="1" t="s">
        <v>4</v>
      </c>
      <c r="B4064" s="2" t="str">
        <f t="shared" si="340"/>
        <v>SISTEMA DE REPASSE MÉDICO</v>
      </c>
      <c r="C4064" s="2" t="str">
        <f t="shared" si="341"/>
        <v>FATUR-CONV</v>
      </c>
      <c r="D4064" s="2" t="str">
        <f t="shared" si="342"/>
        <v>FNRM</v>
      </c>
      <c r="E4064" s="2" t="str">
        <f>"REL. ANTIGO - NAO USA MAIS"</f>
        <v>REL. ANTIGO - NAO USA MAIS</v>
      </c>
      <c r="F4064" s="2" t="str">
        <f>"R_REPASSE"</f>
        <v>R_REPASSE</v>
      </c>
      <c r="G4064" s="2" t="str">
        <f>" ()"</f>
        <v xml:space="preserve"> ()</v>
      </c>
    </row>
    <row r="4065" spans="1:7" x14ac:dyDescent="0.3">
      <c r="A4065" s="1" t="s">
        <v>4</v>
      </c>
      <c r="B4065" s="2" t="str">
        <f t="shared" si="340"/>
        <v>SISTEMA DE REPASSE MÉDICO</v>
      </c>
      <c r="C4065" s="2" t="str">
        <f t="shared" si="341"/>
        <v>FATUR-CONV</v>
      </c>
      <c r="D4065" s="2" t="str">
        <f t="shared" si="342"/>
        <v>FNRM</v>
      </c>
      <c r="E4065" s="2" t="str">
        <f>"REPASSE - PAGAMENTO  GERAL"</f>
        <v>REPASSE - PAGAMENTO  GERAL</v>
      </c>
      <c r="F4065" s="2" t="str">
        <f>"M_PGTO_REP_GERAL"</f>
        <v>M_PGTO_REP_GERAL</v>
      </c>
      <c r="G4065" s="2" t="str">
        <f>"Controladoria / Repasse Médico / Repasse / Pagamento Geral (M_PGTO_REP_GERAL)"</f>
        <v>Controladoria / Repasse Médico / Repasse / Pagamento Geral (M_PGTO_REP_GERAL)</v>
      </c>
    </row>
    <row r="4066" spans="1:7" x14ac:dyDescent="0.3">
      <c r="A4066" s="1" t="s">
        <v>4</v>
      </c>
      <c r="B4066" s="2" t="str">
        <f t="shared" si="340"/>
        <v>SISTEMA DE REPASSE MÉDICO</v>
      </c>
      <c r="C4066" s="2" t="str">
        <f t="shared" si="341"/>
        <v>FATUR-CONV</v>
      </c>
      <c r="D4066" s="2" t="str">
        <f t="shared" si="342"/>
        <v>FNRM</v>
      </c>
      <c r="E4066" s="2" t="str">
        <f>"REL. - OPER. - SOLICITAÇÃO DE PAGTO"</f>
        <v>REL. - OPER. - SOLICITAÇÃO DE PAGTO</v>
      </c>
      <c r="F4066" s="2" t="str">
        <f>"R_SOLICITACAO_PAGTO"</f>
        <v>R_SOLICITACAO_PAGTO</v>
      </c>
      <c r="G4066" s="2" t="str">
        <f>"Controladoria / Repasse Médico / Relatórios / Operacionais / Solicitação de Pagamento (R_SOLICITACAO_PAGTO)"</f>
        <v>Controladoria / Repasse Médico / Relatórios / Operacionais / Solicitação de Pagamento (R_SOLICITACAO_PAGTO)</v>
      </c>
    </row>
    <row r="4067" spans="1:7" x14ac:dyDescent="0.3">
      <c r="A4067" s="1" t="s">
        <v>4</v>
      </c>
      <c r="B4067" s="2" t="str">
        <f t="shared" si="340"/>
        <v>SISTEMA DE REPASSE MÉDICO</v>
      </c>
      <c r="C4067" s="2" t="str">
        <f t="shared" si="341"/>
        <v>FATUR-CONV</v>
      </c>
      <c r="D4067" s="2" t="str">
        <f t="shared" si="342"/>
        <v>FNRM</v>
      </c>
      <c r="E4067" s="2" t="str">
        <f>"CONSULTAS -  CONTA CORRENTE DO PRESTADOR"</f>
        <v>CONSULTAS -  CONTA CORRENTE DO PRESTADOR</v>
      </c>
      <c r="F4067" s="2" t="str">
        <f>"C_CC_PRESTADOR"</f>
        <v>C_CC_PRESTADOR</v>
      </c>
      <c r="G4067" s="2" t="str">
        <f>"Controladoria / Repasse Médico / Consultas / Conta corrente do prestador (C_CC_PRESTADOR)"</f>
        <v>Controladoria / Repasse Médico / Consultas / Conta corrente do prestador (C_CC_PRESTADOR)</v>
      </c>
    </row>
    <row r="4068" spans="1:7" x14ac:dyDescent="0.3">
      <c r="A4068" s="1" t="s">
        <v>4</v>
      </c>
      <c r="B4068" s="2" t="str">
        <f t="shared" si="340"/>
        <v>SISTEMA DE REPASSE MÉDICO</v>
      </c>
      <c r="C4068" s="2" t="str">
        <f t="shared" si="341"/>
        <v>FATUR-CONV</v>
      </c>
      <c r="D4068" s="2" t="str">
        <f t="shared" si="342"/>
        <v>FNRM</v>
      </c>
      <c r="E4068" s="2" t="str">
        <f>"REL. - ADM. - REPASSE PREST. - SINTÉTICO"</f>
        <v>REL. - ADM. - REPASSE PREST. - SINTÉTICO</v>
      </c>
      <c r="F4068" s="2" t="str">
        <f>"R_REPASSE_MED_SINT"</f>
        <v>R_REPASSE_MED_SINT</v>
      </c>
      <c r="G4068" s="2" t="str">
        <f>" ()"</f>
        <v xml:space="preserve"> ()</v>
      </c>
    </row>
    <row r="4069" spans="1:7" x14ac:dyDescent="0.3">
      <c r="A4069" s="1" t="s">
        <v>4</v>
      </c>
      <c r="B4069" s="2" t="str">
        <f t="shared" si="340"/>
        <v>SISTEMA DE REPASSE MÉDICO</v>
      </c>
      <c r="C4069" s="2" t="str">
        <f t="shared" si="341"/>
        <v>FATUR-CONV</v>
      </c>
      <c r="D4069" s="2" t="str">
        <f t="shared" si="342"/>
        <v>FNRM</v>
      </c>
      <c r="E4069" s="2" t="str">
        <f>"REL DE REPASSE DE PRESTADORES"</f>
        <v>REL DE REPASSE DE PRESTADORES</v>
      </c>
      <c r="F4069" s="2" t="str">
        <f>"R_REPASSE_MEDICO"</f>
        <v>R_REPASSE_MEDICO</v>
      </c>
      <c r="G4069" s="2" t="str">
        <f>"Controladoria / Repasse Médico / Relatórios / Administrativos / Repasse de Prestadores (R_REPASSE_MEDICO)"</f>
        <v>Controladoria / Repasse Médico / Relatórios / Administrativos / Repasse de Prestadores (R_REPASSE_MEDICO)</v>
      </c>
    </row>
    <row r="4070" spans="1:7" x14ac:dyDescent="0.3">
      <c r="A4070" s="1" t="s">
        <v>4</v>
      </c>
      <c r="B4070" s="2" t="str">
        <f t="shared" si="340"/>
        <v>SISTEMA DE REPASSE MÉDICO</v>
      </c>
      <c r="C4070" s="2" t="str">
        <f t="shared" si="341"/>
        <v>FATUR-CONV</v>
      </c>
      <c r="D4070" s="2" t="str">
        <f t="shared" si="342"/>
        <v>FNRM</v>
      </c>
      <c r="E4070" s="2" t="str">
        <f>"REPASSE - LANÇAMENTO MANUAL"</f>
        <v>REPASSE - LANÇAMENTO MANUAL</v>
      </c>
      <c r="F4070" s="2" t="str">
        <f>"M_REP_MANUAL"</f>
        <v>M_REP_MANUAL</v>
      </c>
      <c r="G4070" s="2" t="str">
        <f>"Controladoria / Repasse Médico / Repasse / Lançamento Manual (M_REP_MANUAL)"</f>
        <v>Controladoria / Repasse Médico / Repasse / Lançamento Manual (M_REP_MANUAL)</v>
      </c>
    </row>
    <row r="4071" spans="1:7" x14ac:dyDescent="0.3">
      <c r="A4071" s="1" t="s">
        <v>4</v>
      </c>
      <c r="B4071" s="2" t="str">
        <f t="shared" si="340"/>
        <v>SISTEMA DE REPASSE MÉDICO</v>
      </c>
      <c r="C4071" s="2" t="str">
        <f t="shared" si="341"/>
        <v>FATUR-CONV</v>
      </c>
      <c r="D4071" s="2" t="str">
        <f t="shared" si="342"/>
        <v>FNRM</v>
      </c>
      <c r="E4071" s="2" t="str">
        <f>"REPASSE - PAGAMENTO INDIVIDUAL"</f>
        <v>REPASSE - PAGAMENTO INDIVIDUAL</v>
      </c>
      <c r="F4071" s="2" t="str">
        <f>"M_PGTO_REPASSE"</f>
        <v>M_PGTO_REPASSE</v>
      </c>
      <c r="G4071" s="2" t="str">
        <f>" ()"</f>
        <v xml:space="preserve"> ()</v>
      </c>
    </row>
    <row r="4072" spans="1:7" x14ac:dyDescent="0.3">
      <c r="A4072" s="1" t="s">
        <v>4</v>
      </c>
      <c r="B4072" s="2" t="str">
        <f t="shared" si="340"/>
        <v>SISTEMA DE REPASSE MÉDICO</v>
      </c>
      <c r="C4072" s="2" t="str">
        <f t="shared" si="341"/>
        <v>FATUR-CONV</v>
      </c>
      <c r="D4072" s="2" t="str">
        <f t="shared" si="342"/>
        <v>FNRM</v>
      </c>
      <c r="E4072" s="2" t="str">
        <f>"TABELAS -  FAIXAS DO IMPOSTO DE RENDA"</f>
        <v>TABELAS -  FAIXAS DO IMPOSTO DE RENDA</v>
      </c>
      <c r="F4072" s="2" t="str">
        <f>"M_IR"</f>
        <v>M_IR</v>
      </c>
      <c r="G4072" s="2" t="str">
        <f>"Controladoria / Repasse Médico / Tabelas / Faixas de Imposto de Renda (M_IR)"</f>
        <v>Controladoria / Repasse Médico / Tabelas / Faixas de Imposto de Renda (M_IR)</v>
      </c>
    </row>
    <row r="4073" spans="1:7" x14ac:dyDescent="0.3">
      <c r="A4073" s="1" t="s">
        <v>4</v>
      </c>
      <c r="B4073" s="2" t="str">
        <f t="shared" si="340"/>
        <v>SISTEMA DE REPASSE MÉDICO</v>
      </c>
      <c r="C4073" s="2" t="str">
        <f t="shared" si="341"/>
        <v>FATUR-CONV</v>
      </c>
      <c r="D4073" s="2" t="str">
        <f t="shared" si="342"/>
        <v>FNRM</v>
      </c>
      <c r="E4073" s="2" t="str">
        <f>"REPASSE - GERAÇÃO"</f>
        <v>REPASSE - GERAÇÃO</v>
      </c>
      <c r="F4073" s="2" t="str">
        <f>"M_REPASSE"</f>
        <v>M_REPASSE</v>
      </c>
      <c r="G4073" s="2" t="str">
        <f>"Controladoria / Repasse Médico / Repasse / Geração / Convênio (M_REPASSE)"</f>
        <v>Controladoria / Repasse Médico / Repasse / Geração / Convênio (M_REPASSE)</v>
      </c>
    </row>
    <row r="4074" spans="1:7" x14ac:dyDescent="0.3">
      <c r="A4074" s="1" t="s">
        <v>4</v>
      </c>
      <c r="B4074" s="2" t="str">
        <f t="shared" si="340"/>
        <v>SISTEMA DE REPASSE MÉDICO</v>
      </c>
      <c r="C4074" s="2" t="str">
        <f t="shared" si="341"/>
        <v>FATUR-CONV</v>
      </c>
      <c r="D4074" s="2" t="str">
        <f t="shared" si="342"/>
        <v>FNRM</v>
      </c>
      <c r="E4074" s="2" t="str">
        <f>"R_ALTERA_FATURADO_321"</f>
        <v>R_ALTERA_FATURADO_321</v>
      </c>
      <c r="F4074" s="2" t="str">
        <f>"R_ALTERA_FATURA_321"</f>
        <v>R_ALTERA_FATURA_321</v>
      </c>
      <c r="G4074" s="2" t="str">
        <f>" ()"</f>
        <v xml:space="preserve"> ()</v>
      </c>
    </row>
    <row r="4075" spans="1:7" x14ac:dyDescent="0.3">
      <c r="A4075" s="1" t="s">
        <v>4</v>
      </c>
      <c r="B4075" s="2" t="str">
        <f t="shared" si="340"/>
        <v>SISTEMA DE REPASSE MÉDICO</v>
      </c>
      <c r="C4075" s="2" t="str">
        <f t="shared" si="341"/>
        <v>FATUR-CONV</v>
      </c>
      <c r="D4075" s="2" t="str">
        <f t="shared" si="342"/>
        <v>FNRM</v>
      </c>
      <c r="E4075" s="2" t="str">
        <f>"RELATORIO DE REPASSE POR CONTA"</f>
        <v>RELATORIO DE REPASSE POR CONTA</v>
      </c>
      <c r="F4075" s="2" t="str">
        <f>"R_REPASSE_CONTA"</f>
        <v>R_REPASSE_CONTA</v>
      </c>
      <c r="G4075" s="2" t="str">
        <f>"Controladoria / Repasse Médico / Relatórios / Administrativos / Repasse por Conta (R_REPASSE_CONTA)"</f>
        <v>Controladoria / Repasse Médico / Relatórios / Administrativos / Repasse por Conta (R_REPASSE_CONTA)</v>
      </c>
    </row>
    <row r="4076" spans="1:7" x14ac:dyDescent="0.3">
      <c r="A4076" s="1" t="s">
        <v>4</v>
      </c>
      <c r="B4076" s="2" t="str">
        <f t="shared" si="340"/>
        <v>SISTEMA DE REPASSE MÉDICO</v>
      </c>
      <c r="C4076" s="2" t="str">
        <f t="shared" si="341"/>
        <v>FATUR-CONV</v>
      </c>
      <c r="D4076" s="2" t="str">
        <f t="shared" si="342"/>
        <v>FNRM</v>
      </c>
      <c r="E4076" s="2" t="str">
        <f>"RELATÓRIO DE REPASSE DE PRESTADORES"</f>
        <v>RELATÓRIO DE REPASSE DE PRESTADORES</v>
      </c>
      <c r="F4076" s="2" t="str">
        <f>"R_REPASSE_PRESTADOR_SUS"</f>
        <v>R_REPASSE_PRESTADOR_SUS</v>
      </c>
      <c r="G4076" s="2" t="str">
        <f>"Controladoria / Repasse Médico / Relatórios / Administrativos / Repasse Prestador / Empresa (R_REPASSE_PRESTADOR_SUS)"</f>
        <v>Controladoria / Repasse Médico / Relatórios / Administrativos / Repasse Prestador / Empresa (R_REPASSE_PRESTADOR_SUS)</v>
      </c>
    </row>
    <row r="4077" spans="1:7" x14ac:dyDescent="0.3">
      <c r="A4077" s="1" t="s">
        <v>4</v>
      </c>
      <c r="B4077" s="2" t="str">
        <f t="shared" si="340"/>
        <v>SISTEMA DE REPASSE MÉDICO</v>
      </c>
      <c r="C4077" s="2" t="str">
        <f t="shared" si="341"/>
        <v>FATUR-CONV</v>
      </c>
      <c r="D4077" s="2" t="str">
        <f t="shared" si="342"/>
        <v>FNRM</v>
      </c>
      <c r="E4077" s="2" t="str">
        <f>"C_REPASSE_CONTA_321"</f>
        <v>C_REPASSE_CONTA_321</v>
      </c>
      <c r="F4077" s="2" t="str">
        <f>"C_REPASSE_CONTA_321"</f>
        <v>C_REPASSE_CONTA_321</v>
      </c>
      <c r="G4077" s="2" t="str">
        <f>" ()"</f>
        <v xml:space="preserve"> ()</v>
      </c>
    </row>
    <row r="4078" spans="1:7" x14ac:dyDescent="0.3">
      <c r="A4078" s="1" t="s">
        <v>4</v>
      </c>
      <c r="B4078" s="2" t="str">
        <f t="shared" si="340"/>
        <v>SISTEMA DE REPASSE MÉDICO</v>
      </c>
      <c r="C4078" s="2" t="str">
        <f t="shared" si="341"/>
        <v>FATUR-CONV</v>
      </c>
      <c r="D4078" s="2" t="str">
        <f t="shared" si="342"/>
        <v>FNRM</v>
      </c>
      <c r="E4078" s="2" t="str">
        <f>"R_LOG_REPASSE_PAGAMENTO"</f>
        <v>R_LOG_REPASSE_PAGAMENTO</v>
      </c>
      <c r="F4078" s="2" t="str">
        <f>"R_LOG_REPASSE_PAGAMENTO"</f>
        <v>R_LOG_REPASSE_PAGAMENTO</v>
      </c>
      <c r="G4078" s="2" t="str">
        <f>" ()"</f>
        <v xml:space="preserve"> ()</v>
      </c>
    </row>
    <row r="4079" spans="1:7" x14ac:dyDescent="0.3">
      <c r="A4079" s="1" t="s">
        <v>4</v>
      </c>
      <c r="B4079" s="2" t="str">
        <f t="shared" si="340"/>
        <v>SISTEMA DE REPASSE MÉDICO</v>
      </c>
      <c r="C4079" s="2" t="str">
        <f t="shared" si="341"/>
        <v>FATUR-CONV</v>
      </c>
      <c r="D4079" s="2" t="str">
        <f t="shared" si="342"/>
        <v>FNRM</v>
      </c>
      <c r="E4079" s="2" t="str">
        <f>"R_ATEND_PAC_VIRTUAL"</f>
        <v>R_ATEND_PAC_VIRTUAL</v>
      </c>
      <c r="F4079" s="2" t="str">
        <f>"R_ATEND_PAC_VIRTUAL"</f>
        <v>R_ATEND_PAC_VIRTUAL</v>
      </c>
      <c r="G4079" s="2" t="str">
        <f>" ()"</f>
        <v xml:space="preserve"> ()</v>
      </c>
    </row>
    <row r="4080" spans="1:7" x14ac:dyDescent="0.3">
      <c r="A4080" s="1" t="s">
        <v>4</v>
      </c>
      <c r="B4080" s="2" t="str">
        <f t="shared" si="340"/>
        <v>SISTEMA DE REPASSE MÉDICO</v>
      </c>
      <c r="C4080" s="2" t="str">
        <f t="shared" si="341"/>
        <v>FATUR-CONV</v>
      </c>
      <c r="D4080" s="2" t="str">
        <f t="shared" si="342"/>
        <v>FNRM</v>
      </c>
      <c r="E4080" s="2" t="str">
        <f>"R_REPASSE_MEDICO.FMB"</f>
        <v>R_REPASSE_MEDICO.FMB</v>
      </c>
      <c r="F4080" s="2" t="str">
        <f>"R_REPASSE_MEDICO.FMB"</f>
        <v>R_REPASSE_MEDICO.FMB</v>
      </c>
      <c r="G4080" s="2" t="str">
        <f>" ()"</f>
        <v xml:space="preserve"> ()</v>
      </c>
    </row>
    <row r="4081" spans="1:7" x14ac:dyDescent="0.3">
      <c r="A4081" s="1" t="s">
        <v>4</v>
      </c>
      <c r="B4081" s="2" t="str">
        <f t="shared" si="340"/>
        <v>SISTEMA DE REPASSE MÉDICO</v>
      </c>
      <c r="C4081" s="2" t="str">
        <f t="shared" si="341"/>
        <v>FATUR-CONV</v>
      </c>
      <c r="D4081" s="2" t="str">
        <f t="shared" si="342"/>
        <v>FNRM</v>
      </c>
      <c r="E4081" s="2" t="str">
        <f>"CADASTRO: REGRAS DE REPASSE"</f>
        <v>CADASTRO: REGRAS DE REPASSE</v>
      </c>
      <c r="F4081" s="2" t="str">
        <f>"M_PRO_FAT_SEM_PRESTADOR"</f>
        <v>M_PRO_FAT_SEM_PRESTADOR</v>
      </c>
      <c r="G4081" s="2" t="str">
        <f>"Controladoria / Repasse Médico / Tabelas / Regras  / Lançamentos sem Prestador (M_PRO_FAT_SEM_PRESTADOR)"</f>
        <v>Controladoria / Repasse Médico / Tabelas / Regras  / Lançamentos sem Prestador (M_PRO_FAT_SEM_PRESTADOR)</v>
      </c>
    </row>
    <row r="4082" spans="1:7" x14ac:dyDescent="0.3">
      <c r="A4082" s="1" t="s">
        <v>4</v>
      </c>
      <c r="B4082" s="2" t="str">
        <f t="shared" si="340"/>
        <v>SISTEMA DE REPASSE MÉDICO</v>
      </c>
      <c r="C4082" s="2" t="str">
        <f t="shared" si="341"/>
        <v>FATUR-CONV</v>
      </c>
      <c r="D4082" s="2" t="str">
        <f t="shared" si="342"/>
        <v>FNRM</v>
      </c>
      <c r="E4082" s="2" t="str">
        <f>"GERAÇÃO DE REPASSE DE GLOSAS"</f>
        <v>GERAÇÃO DE REPASSE DE GLOSAS</v>
      </c>
      <c r="F4082" s="2" t="str">
        <f>"M_REPASSE_RECURSO"</f>
        <v>M_REPASSE_RECURSO</v>
      </c>
      <c r="G4082" s="2" t="str">
        <f>"Controladoria / Repasse Médico / Repasse / Geração / Recursos (M_REPASSE_RECURSO)"</f>
        <v>Controladoria / Repasse Médico / Repasse / Geração / Recursos (M_REPASSE_RECURSO)</v>
      </c>
    </row>
    <row r="4083" spans="1:7" x14ac:dyDescent="0.3">
      <c r="A4083" s="1" t="s">
        <v>4</v>
      </c>
      <c r="B4083" s="2" t="str">
        <f t="shared" si="340"/>
        <v>SISTEMA DE REPASSE MÉDICO</v>
      </c>
      <c r="C4083" s="2" t="str">
        <f t="shared" si="341"/>
        <v>FATUR-CONV</v>
      </c>
      <c r="D4083" s="2" t="str">
        <f t="shared" si="342"/>
        <v>FNRM</v>
      </c>
      <c r="E4083" s="2" t="str">
        <f>"M_REG_REP_SUBCONTRATADA"</f>
        <v>M_REG_REP_SUBCONTRATADA</v>
      </c>
      <c r="F4083" s="2" t="str">
        <f>"M_REG_REP_SUBCONTRATADA"</f>
        <v>M_REG_REP_SUBCONTRATADA</v>
      </c>
      <c r="G4083" s="2" t="str">
        <f>"Controladoria / Repasse Médico / Tabelas / Regras  / Terceiros / Sub Contratada (M_REG_REP_SUBCONTRATADA)"</f>
        <v>Controladoria / Repasse Médico / Tabelas / Regras  / Terceiros / Sub Contratada (M_REG_REP_SUBCONTRATADA)</v>
      </c>
    </row>
    <row r="4084" spans="1:7" x14ac:dyDescent="0.3">
      <c r="A4084" s="1" t="s">
        <v>4</v>
      </c>
      <c r="B4084" s="2" t="str">
        <f t="shared" si="340"/>
        <v>SISTEMA DE REPASSE MÉDICO</v>
      </c>
      <c r="C4084" s="2" t="str">
        <f t="shared" si="341"/>
        <v>FATUR-CONV</v>
      </c>
      <c r="D4084" s="2" t="str">
        <f t="shared" si="342"/>
        <v>FNRM</v>
      </c>
      <c r="E4084" s="2" t="str">
        <f>"GERAÇÃO DE REPASSE MÉDICO SIH"</f>
        <v>GERAÇÃO DE REPASSE MÉDICO SIH</v>
      </c>
      <c r="F4084" s="2" t="str">
        <f>"M_REPASSE_SIH"</f>
        <v>M_REPASSE_SIH</v>
      </c>
      <c r="G4084" s="2" t="str">
        <f>"Controladoria / Repasse Médico / Repasse / Geração / SIH (M_REPASSE_SIH)"</f>
        <v>Controladoria / Repasse Médico / Repasse / Geração / SIH (M_REPASSE_SIH)</v>
      </c>
    </row>
    <row r="4085" spans="1:7" x14ac:dyDescent="0.3">
      <c r="A4085" s="1" t="s">
        <v>4</v>
      </c>
      <c r="B4085" s="2" t="str">
        <f t="shared" si="340"/>
        <v>SISTEMA DE REPASSE MÉDICO</v>
      </c>
      <c r="C4085" s="2" t="str">
        <f t="shared" si="341"/>
        <v>FATUR-CONV</v>
      </c>
      <c r="D4085" s="2" t="str">
        <f t="shared" si="342"/>
        <v>FNRM</v>
      </c>
      <c r="E4085" s="2" t="str">
        <f>"CADASTRO: REGRAS DE REPASSE SIH"</f>
        <v>CADASTRO: REGRAS DE REPASSE SIH</v>
      </c>
      <c r="F4085" s="2" t="str">
        <f>"M_REG_REP_SIH"</f>
        <v>M_REG_REP_SIH</v>
      </c>
      <c r="G4085" s="2" t="str">
        <f>"Controladoria / Repasse Médico / Tabelas / Regras  / SIH (M_REG_REP_SIH)"</f>
        <v>Controladoria / Repasse Médico / Tabelas / Regras  / SIH (M_REG_REP_SIH)</v>
      </c>
    </row>
    <row r="4086" spans="1:7" x14ac:dyDescent="0.3">
      <c r="A4086" s="1" t="s">
        <v>4</v>
      </c>
      <c r="B4086" s="2" t="str">
        <f t="shared" si="340"/>
        <v>SISTEMA DE REPASSE MÉDICO</v>
      </c>
      <c r="C4086" s="2" t="str">
        <f t="shared" si="341"/>
        <v>FATUR-CONV</v>
      </c>
      <c r="D4086" s="2" t="str">
        <f t="shared" si="342"/>
        <v>FNRM</v>
      </c>
      <c r="E4086" s="2" t="str">
        <f>"DIGITAÇÃO DOS CUSTOS POR SETOR"</f>
        <v>DIGITAÇÃO DOS CUSTOS POR SETOR</v>
      </c>
      <c r="F4086" s="2" t="str">
        <f>"M_REPASSE_CUSTOS"</f>
        <v>M_REPASSE_CUSTOS</v>
      </c>
      <c r="G4086" s="2" t="str">
        <f>"Controladoria / Repasse Médico / Repasse / Digitação dos Custos (M_REPASSE_CUSTOS)"</f>
        <v>Controladoria / Repasse Médico / Repasse / Digitação dos Custos (M_REPASSE_CUSTOS)</v>
      </c>
    </row>
    <row r="4087" spans="1:7" x14ac:dyDescent="0.3">
      <c r="A4087" s="1" t="s">
        <v>4</v>
      </c>
      <c r="B4087" s="2" t="str">
        <f t="shared" si="340"/>
        <v>SISTEMA DE REPASSE MÉDICO</v>
      </c>
      <c r="C4087" s="2" t="str">
        <f t="shared" si="341"/>
        <v>FATUR-CONV</v>
      </c>
      <c r="D4087" s="2" t="str">
        <f t="shared" si="342"/>
        <v>FNRM</v>
      </c>
      <c r="E4087" s="2" t="str">
        <f>"RELATÓRIO DE MUDANÇA DE BASE CÁLCULOS"</f>
        <v>RELATÓRIO DE MUDANÇA DE BASE CÁLCULOS</v>
      </c>
      <c r="F4087" s="2" t="str">
        <f>"R_REG_BASE_CALC"</f>
        <v>R_REG_BASE_CALC</v>
      </c>
      <c r="G4087" s="2" t="str">
        <f>"Controladoria / Repasse Médico / Relatórios / Tabelas / Mudança de Base de Cálculos (R_REG_BASE_CALC)"</f>
        <v>Controladoria / Repasse Médico / Relatórios / Tabelas / Mudança de Base de Cálculos (R_REG_BASE_CALC)</v>
      </c>
    </row>
    <row r="4088" spans="1:7" x14ac:dyDescent="0.3">
      <c r="A4088" s="1" t="s">
        <v>4</v>
      </c>
      <c r="B4088" s="2" t="str">
        <f t="shared" si="340"/>
        <v>SISTEMA DE REPASSE MÉDICO</v>
      </c>
      <c r="C4088" s="2" t="str">
        <f t="shared" si="341"/>
        <v>FATUR-CONV</v>
      </c>
      <c r="D4088" s="2" t="str">
        <f t="shared" si="342"/>
        <v>FNRM</v>
      </c>
      <c r="E4088" s="2" t="str">
        <f>"R_PRO_FAT_SEM_PRESTADOR"</f>
        <v>R_PRO_FAT_SEM_PRESTADOR</v>
      </c>
      <c r="F4088" s="2" t="str">
        <f>"R_PRO_FAT_SEM_PRESTADOR"</f>
        <v>R_PRO_FAT_SEM_PRESTADOR</v>
      </c>
      <c r="G4088" s="2" t="str">
        <f>"Controladoria / Repasse Médico / Relatórios / Tabelas / Regras  / Lançamento sem Prestador (R_PRO_FAT_SEM_PRESTADOR)"</f>
        <v>Controladoria / Repasse Médico / Relatórios / Tabelas / Regras  / Lançamento sem Prestador (R_PRO_FAT_SEM_PRESTADOR)</v>
      </c>
    </row>
    <row r="4089" spans="1:7" x14ac:dyDescent="0.3">
      <c r="A4089" s="1" t="s">
        <v>4</v>
      </c>
      <c r="B4089" s="2" t="str">
        <f t="shared" si="340"/>
        <v>SISTEMA DE REPASSE MÉDICO</v>
      </c>
      <c r="C4089" s="2" t="str">
        <f t="shared" si="341"/>
        <v>FATUR-CONV</v>
      </c>
      <c r="D4089" s="2" t="str">
        <f t="shared" si="342"/>
        <v>FNRM</v>
      </c>
      <c r="E4089" s="2" t="str">
        <f>"PKG_REPASSE"</f>
        <v>PKG_REPASSE</v>
      </c>
      <c r="F4089" s="2" t="str">
        <f>"PKG_REPASSE"</f>
        <v>PKG_REPASSE</v>
      </c>
      <c r="G4089" s="2" t="str">
        <f t="shared" ref="G4089:G4097" si="343">" ()"</f>
        <v xml:space="preserve"> ()</v>
      </c>
    </row>
    <row r="4090" spans="1:7" x14ac:dyDescent="0.3">
      <c r="A4090" s="1" t="s">
        <v>4</v>
      </c>
      <c r="B4090" s="2" t="str">
        <f t="shared" si="340"/>
        <v>SISTEMA DE REPASSE MÉDICO</v>
      </c>
      <c r="C4090" s="2" t="str">
        <f t="shared" si="341"/>
        <v>FATUR-CONV</v>
      </c>
      <c r="D4090" s="2" t="str">
        <f t="shared" si="342"/>
        <v>FNRM</v>
      </c>
      <c r="E4090" s="2" t="str">
        <f>"CADASTRO: ATIVIDADES MÉDICAS"</f>
        <v>CADASTRO: ATIVIDADES MÉDICAS</v>
      </c>
      <c r="F4090" s="2" t="str">
        <f>"C_REPASSE_PAC_VIRTUAL"</f>
        <v>C_REPASSE_PAC_VIRTUAL</v>
      </c>
      <c r="G4090" s="2" t="str">
        <f t="shared" si="343"/>
        <v xml:space="preserve"> ()</v>
      </c>
    </row>
    <row r="4091" spans="1:7" x14ac:dyDescent="0.3">
      <c r="A4091" s="1" t="s">
        <v>4</v>
      </c>
      <c r="B4091" s="2" t="str">
        <f t="shared" si="340"/>
        <v>SISTEMA DE REPASSE MÉDICO</v>
      </c>
      <c r="C4091" s="2" t="str">
        <f t="shared" si="341"/>
        <v>FATUR-CONV</v>
      </c>
      <c r="D4091" s="2" t="str">
        <f t="shared" si="342"/>
        <v>FNRM</v>
      </c>
      <c r="E4091" s="2" t="str">
        <f>"ORACLE FORMS RUNTIME"</f>
        <v>ORACLE FORMS RUNTIME</v>
      </c>
      <c r="F4091" s="2" t="str">
        <f>"R_REG_REP_H9J"</f>
        <v>R_REG_REP_H9J</v>
      </c>
      <c r="G4091" s="2" t="str">
        <f t="shared" si="343"/>
        <v xml:space="preserve"> ()</v>
      </c>
    </row>
    <row r="4092" spans="1:7" x14ac:dyDescent="0.3">
      <c r="A4092" s="1" t="s">
        <v>4</v>
      </c>
      <c r="B4092" s="2" t="str">
        <f t="shared" si="340"/>
        <v>SISTEMA DE REPASSE MÉDICO</v>
      </c>
      <c r="C4092" s="2" t="str">
        <f t="shared" si="341"/>
        <v>FATUR-CONV</v>
      </c>
      <c r="D4092" s="2" t="str">
        <f t="shared" si="342"/>
        <v>FNRM</v>
      </c>
      <c r="E4092" s="2" t="str">
        <f>"R_REPASSE_PAC_VIRTUAL"</f>
        <v>R_REPASSE_PAC_VIRTUAL</v>
      </c>
      <c r="F4092" s="2" t="str">
        <f>"R_REPASSE_PAC_VIRTUAL"</f>
        <v>R_REPASSE_PAC_VIRTUAL</v>
      </c>
      <c r="G4092" s="2" t="str">
        <f t="shared" si="343"/>
        <v xml:space="preserve"> ()</v>
      </c>
    </row>
    <row r="4093" spans="1:7" x14ac:dyDescent="0.3">
      <c r="A4093" s="1" t="s">
        <v>4</v>
      </c>
      <c r="B4093" s="2" t="str">
        <f t="shared" si="340"/>
        <v>SISTEMA DE REPASSE MÉDICO</v>
      </c>
      <c r="C4093" s="2" t="str">
        <f t="shared" si="341"/>
        <v>FATUR-CONV</v>
      </c>
      <c r="D4093" s="2" t="str">
        <f t="shared" si="342"/>
        <v>FNRM</v>
      </c>
      <c r="E4093" s="2" t="str">
        <f>"O_GERAARQMAG_VIRTUAL"</f>
        <v>O_GERAARQMAG_VIRTUAL</v>
      </c>
      <c r="F4093" s="2" t="str">
        <f>"O_GERAARQMAG_VIRTUAL"</f>
        <v>O_GERAARQMAG_VIRTUAL</v>
      </c>
      <c r="G4093" s="2" t="str">
        <f t="shared" si="343"/>
        <v xml:space="preserve"> ()</v>
      </c>
    </row>
    <row r="4094" spans="1:7" x14ac:dyDescent="0.3">
      <c r="A4094" s="1" t="s">
        <v>4</v>
      </c>
      <c r="B4094" s="2" t="str">
        <f t="shared" si="340"/>
        <v>SISTEMA DE REPASSE MÉDICO</v>
      </c>
      <c r="C4094" s="2" t="str">
        <f t="shared" si="341"/>
        <v>FATUR-CONV</v>
      </c>
      <c r="D4094" s="2" t="str">
        <f t="shared" si="342"/>
        <v>FNRM</v>
      </c>
      <c r="E4094" s="2" t="str">
        <f>"V_REPASSE_SIA"</f>
        <v>V_REPASSE_SIA</v>
      </c>
      <c r="F4094" s="2" t="str">
        <f>"V_REPASSE_SIA"</f>
        <v>V_REPASSE_SIA</v>
      </c>
      <c r="G4094" s="2" t="str">
        <f t="shared" si="343"/>
        <v xml:space="preserve"> ()</v>
      </c>
    </row>
    <row r="4095" spans="1:7" x14ac:dyDescent="0.3">
      <c r="A4095" s="1" t="s">
        <v>4</v>
      </c>
      <c r="B4095" s="2" t="str">
        <f t="shared" si="340"/>
        <v>SISTEMA DE REPASSE MÉDICO</v>
      </c>
      <c r="C4095" s="2" t="str">
        <f t="shared" si="341"/>
        <v>FATUR-CONV</v>
      </c>
      <c r="D4095" s="2" t="str">
        <f t="shared" si="342"/>
        <v>FNRM</v>
      </c>
      <c r="E4095" s="2" t="str">
        <f>"V_ALTERA_REPASSE"</f>
        <v>V_ALTERA_REPASSE</v>
      </c>
      <c r="F4095" s="2" t="str">
        <f>"V_ALTERA_REPASSE"</f>
        <v>V_ALTERA_REPASSE</v>
      </c>
      <c r="G4095" s="2" t="str">
        <f t="shared" si="343"/>
        <v xml:space="preserve"> ()</v>
      </c>
    </row>
    <row r="4096" spans="1:7" x14ac:dyDescent="0.3">
      <c r="A4096" s="1" t="s">
        <v>4</v>
      </c>
      <c r="B4096" s="2" t="str">
        <f t="shared" si="340"/>
        <v>SISTEMA DE REPASSE MÉDICO</v>
      </c>
      <c r="C4096" s="2" t="str">
        <f t="shared" si="341"/>
        <v>FATUR-CONV</v>
      </c>
      <c r="D4096" s="2" t="str">
        <f t="shared" si="342"/>
        <v>FNRM</v>
      </c>
      <c r="E4096" s="2" t="str">
        <f>"R_REPASSE_MED_MES"</f>
        <v>R_REPASSE_MED_MES</v>
      </c>
      <c r="F4096" s="2" t="str">
        <f>"R_REPASSE_MED_MES"</f>
        <v>R_REPASSE_MED_MES</v>
      </c>
      <c r="G4096" s="2" t="str">
        <f t="shared" si="343"/>
        <v xml:space="preserve"> ()</v>
      </c>
    </row>
    <row r="4097" spans="1:7" x14ac:dyDescent="0.3">
      <c r="A4097" s="1" t="s">
        <v>4</v>
      </c>
      <c r="B4097" s="2" t="str">
        <f t="shared" si="340"/>
        <v>SISTEMA DE REPASSE MÉDICO</v>
      </c>
      <c r="C4097" s="2" t="str">
        <f t="shared" si="341"/>
        <v>FATUR-CONV</v>
      </c>
      <c r="D4097" s="2" t="str">
        <f t="shared" si="342"/>
        <v>FNRM</v>
      </c>
      <c r="E4097" s="2" t="str">
        <f>"WEBUTIL INFORMATION"</f>
        <v>WEBUTIL INFORMATION</v>
      </c>
      <c r="F4097" s="2" t="str">
        <f>"R_QTD_INTERNACAO_PRESTADOR"</f>
        <v>R_QTD_INTERNACAO_PRESTADOR</v>
      </c>
      <c r="G4097" s="2" t="str">
        <f t="shared" si="343"/>
        <v xml:space="preserve"> ()</v>
      </c>
    </row>
    <row r="4098" spans="1:7" x14ac:dyDescent="0.3">
      <c r="A4098" s="1" t="s">
        <v>4</v>
      </c>
      <c r="B4098" s="2" t="str">
        <f t="shared" si="340"/>
        <v>SISTEMA DE REPASSE MÉDICO</v>
      </c>
      <c r="C4098" s="2" t="str">
        <f t="shared" si="341"/>
        <v>FATUR-CONV</v>
      </c>
      <c r="D4098" s="2" t="str">
        <f t="shared" si="342"/>
        <v>FNRM</v>
      </c>
      <c r="E4098" s="2" t="str">
        <f>"REPASSE POR CONTA"</f>
        <v>REPASSE POR CONTA</v>
      </c>
      <c r="F4098" s="2" t="str">
        <f>"M_REPASSE_CONTA"</f>
        <v>M_REPASSE_CONTA</v>
      </c>
      <c r="G4098" s="2" t="str">
        <f>"Controladoria / Repasse Médico / Repasse / Geração / Contas (M_REPASSE_CONTA)"</f>
        <v>Controladoria / Repasse Médico / Repasse / Geração / Contas (M_REPASSE_CONTA)</v>
      </c>
    </row>
    <row r="4099" spans="1:7" x14ac:dyDescent="0.3">
      <c r="A4099" s="1" t="s">
        <v>4</v>
      </c>
      <c r="B4099" s="2" t="str">
        <f t="shared" si="340"/>
        <v>SISTEMA DE REPASSE MÉDICO</v>
      </c>
      <c r="C4099" s="2" t="str">
        <f t="shared" si="341"/>
        <v>FATUR-CONV</v>
      </c>
      <c r="D4099" s="2" t="str">
        <f t="shared" si="342"/>
        <v>FNRM</v>
      </c>
      <c r="E4099" s="2" t="str">
        <f>"M_REG_REP_SIA"</f>
        <v>M_REG_REP_SIA</v>
      </c>
      <c r="F4099" s="2" t="str">
        <f>"M_REG_REP_SIA_321"</f>
        <v>M_REG_REP_SIA_321</v>
      </c>
      <c r="G4099" s="2" t="str">
        <f t="shared" ref="G4099:G4115" si="344">" ()"</f>
        <v xml:space="preserve"> ()</v>
      </c>
    </row>
    <row r="4100" spans="1:7" x14ac:dyDescent="0.3">
      <c r="A4100" s="1" t="s">
        <v>4</v>
      </c>
      <c r="B4100" s="2" t="str">
        <f t="shared" si="340"/>
        <v>SISTEMA DE REPASSE MÉDICO</v>
      </c>
      <c r="C4100" s="2" t="str">
        <f t="shared" si="341"/>
        <v>FATUR-CONV</v>
      </c>
      <c r="D4100" s="2" t="str">
        <f t="shared" si="342"/>
        <v>FNRM</v>
      </c>
      <c r="E4100" s="2" t="str">
        <f>"REL DE COMPETÊNCIA DO REPASSE SINTÉTICO"</f>
        <v>REL DE COMPETÊNCIA DO REPASSE SINTÉTICO</v>
      </c>
      <c r="F4100" s="2" t="str">
        <f>"R_REPASSE_REMESSA_COMP_REP_SINT"</f>
        <v>R_REPASSE_REMESSA_COMP_REP_SINT</v>
      </c>
      <c r="G4100" s="2" t="str">
        <f t="shared" si="344"/>
        <v xml:space="preserve"> ()</v>
      </c>
    </row>
    <row r="4101" spans="1:7" x14ac:dyDescent="0.3">
      <c r="A4101" s="1" t="s">
        <v>4</v>
      </c>
      <c r="B4101" s="2" t="str">
        <f t="shared" si="340"/>
        <v>SISTEMA DE REPASSE MÉDICO</v>
      </c>
      <c r="C4101" s="2" t="str">
        <f t="shared" si="341"/>
        <v>FATUR-CONV</v>
      </c>
      <c r="D4101" s="2" t="str">
        <f t="shared" si="342"/>
        <v>FNRM</v>
      </c>
      <c r="E4101" s="2" t="str">
        <f>"REL. DE REPASSE DE PRESTADORES SINTÉTICO"</f>
        <v>REL. DE REPASSE DE PRESTADORES SINTÉTICO</v>
      </c>
      <c r="F4101" s="2" t="str">
        <f>"R_REPASSE_MEDICO_SINT"</f>
        <v>R_REPASSE_MEDICO_SINT</v>
      </c>
      <c r="G4101" s="2" t="str">
        <f t="shared" si="344"/>
        <v xml:space="preserve"> ()</v>
      </c>
    </row>
    <row r="4102" spans="1:7" x14ac:dyDescent="0.3">
      <c r="A4102" s="1" t="s">
        <v>4</v>
      </c>
      <c r="B4102" s="2" t="str">
        <f t="shared" si="340"/>
        <v>SISTEMA DE REPASSE MÉDICO</v>
      </c>
      <c r="C4102" s="2" t="str">
        <f t="shared" si="341"/>
        <v>FATUR-CONV</v>
      </c>
      <c r="D4102" s="2" t="str">
        <f t="shared" si="342"/>
        <v>FNRM</v>
      </c>
      <c r="E4102" s="2" t="str">
        <f>"DEMONSTRATIVO DE REPASSE"</f>
        <v>DEMONSTRATIVO DE REPASSE</v>
      </c>
      <c r="F4102" s="2" t="str">
        <f>"R_DEMONSTRATIVO_REPASSE.RDF"</f>
        <v>R_DEMONSTRATIVO_REPASSE.RDF</v>
      </c>
      <c r="G4102" s="2" t="str">
        <f t="shared" si="344"/>
        <v xml:space="preserve"> ()</v>
      </c>
    </row>
    <row r="4103" spans="1:7" x14ac:dyDescent="0.3">
      <c r="A4103" s="1" t="s">
        <v>4</v>
      </c>
      <c r="B4103" s="2" t="str">
        <f t="shared" si="340"/>
        <v>SISTEMA DE REPASSE MÉDICO</v>
      </c>
      <c r="C4103" s="2" t="str">
        <f t="shared" si="341"/>
        <v>FATUR-CONV</v>
      </c>
      <c r="D4103" s="2" t="str">
        <f t="shared" si="342"/>
        <v>FNRM</v>
      </c>
      <c r="E4103" s="2" t="str">
        <f>"REPASSE INTEGRAL"</f>
        <v>REPASSE INTEGRAL</v>
      </c>
      <c r="F4103" s="2" t="str">
        <f>"R_REPASSE_INTEGRAL.RDF"</f>
        <v>R_REPASSE_INTEGRAL.RDF</v>
      </c>
      <c r="G4103" s="2" t="str">
        <f t="shared" si="344"/>
        <v xml:space="preserve"> ()</v>
      </c>
    </row>
    <row r="4104" spans="1:7" x14ac:dyDescent="0.3">
      <c r="A4104" s="1" t="s">
        <v>4</v>
      </c>
      <c r="B4104" s="2" t="str">
        <f t="shared" si="340"/>
        <v>SISTEMA DE REPASSE MÉDICO</v>
      </c>
      <c r="C4104" s="2" t="str">
        <f t="shared" si="341"/>
        <v>FATUR-CONV</v>
      </c>
      <c r="D4104" s="2" t="str">
        <f t="shared" si="342"/>
        <v>FNRM</v>
      </c>
      <c r="E4104" s="2" t="str">
        <f>"GERAÇÃO DE REPASSE POR REMESSA"</f>
        <v>GERAÇÃO DE REPASSE POR REMESSA</v>
      </c>
      <c r="F4104" s="2" t="str">
        <f>"REPASSE_REMESSA"</f>
        <v>REPASSE_REMESSA</v>
      </c>
      <c r="G4104" s="2" t="str">
        <f t="shared" si="344"/>
        <v xml:space="preserve"> ()</v>
      </c>
    </row>
    <row r="4105" spans="1:7" x14ac:dyDescent="0.3">
      <c r="A4105" s="1" t="s">
        <v>4</v>
      </c>
      <c r="B4105" s="2" t="str">
        <f t="shared" ref="B4105:B4114" si="345">"SISTEMA DE REPASSE MÉDICO"</f>
        <v>SISTEMA DE REPASSE MÉDICO</v>
      </c>
      <c r="C4105" s="2" t="str">
        <f t="shared" ref="C4105:C4114" si="346">"FATUR-CONV"</f>
        <v>FATUR-CONV</v>
      </c>
      <c r="D4105" s="2" t="str">
        <f t="shared" ref="D4105:D4114" si="347">"FNRM"</f>
        <v>FNRM</v>
      </c>
      <c r="E4105" s="2" t="str">
        <f>"GERAÇÃO DE PAGTO DO REPASSE"</f>
        <v>GERAÇÃO DE PAGTO DO REPASSE</v>
      </c>
      <c r="F4105" s="2" t="str">
        <f>"PGTO_REP_GERAL"</f>
        <v>PGTO_REP_GERAL</v>
      </c>
      <c r="G4105" s="2" t="str">
        <f t="shared" si="344"/>
        <v xml:space="preserve"> ()</v>
      </c>
    </row>
    <row r="4106" spans="1:7" x14ac:dyDescent="0.3">
      <c r="A4106" s="1" t="s">
        <v>4</v>
      </c>
      <c r="B4106" s="2" t="str">
        <f t="shared" si="345"/>
        <v>SISTEMA DE REPASSE MÉDICO</v>
      </c>
      <c r="C4106" s="2" t="str">
        <f t="shared" si="346"/>
        <v>FATUR-CONV</v>
      </c>
      <c r="D4106" s="2" t="str">
        <f t="shared" si="347"/>
        <v>FNRM</v>
      </c>
      <c r="E4106" s="2" t="str">
        <f>"WIN_PRINCIPAL"</f>
        <v>WIN_PRINCIPAL</v>
      </c>
      <c r="F4106" s="2" t="str">
        <f>"R_QT_INTERNACAO_PRESTADOR_1727"</f>
        <v>R_QT_INTERNACAO_PRESTADOR_1727</v>
      </c>
      <c r="G4106" s="2" t="str">
        <f t="shared" si="344"/>
        <v xml:space="preserve"> ()</v>
      </c>
    </row>
    <row r="4107" spans="1:7" x14ac:dyDescent="0.3">
      <c r="A4107" s="1" t="s">
        <v>4</v>
      </c>
      <c r="B4107" s="2" t="str">
        <f t="shared" si="345"/>
        <v>SISTEMA DE REPASSE MÉDICO</v>
      </c>
      <c r="C4107" s="2" t="str">
        <f t="shared" si="346"/>
        <v>FATUR-CONV</v>
      </c>
      <c r="D4107" s="2" t="str">
        <f t="shared" si="347"/>
        <v>FNRM</v>
      </c>
      <c r="E4107" s="2" t="str">
        <f>"RELATÓRIO DE REPASSE DE PRESTADORES"</f>
        <v>RELATÓRIO DE REPASSE DE PRESTADORES</v>
      </c>
      <c r="F4107" s="2" t="str">
        <f>"R_REPASSE_750"</f>
        <v>R_REPASSE_750</v>
      </c>
      <c r="G4107" s="2" t="str">
        <f t="shared" si="344"/>
        <v xml:space="preserve"> ()</v>
      </c>
    </row>
    <row r="4108" spans="1:7" x14ac:dyDescent="0.3">
      <c r="A4108" s="1" t="s">
        <v>4</v>
      </c>
      <c r="B4108" s="2" t="str">
        <f t="shared" si="345"/>
        <v>SISTEMA DE REPASSE MÉDICO</v>
      </c>
      <c r="C4108" s="2" t="str">
        <f t="shared" si="346"/>
        <v>FATUR-CONV</v>
      </c>
      <c r="D4108" s="2" t="str">
        <f t="shared" si="347"/>
        <v>FNRM</v>
      </c>
      <c r="E4108" s="2" t="str">
        <f>"REPASSE POR CENTRO DE CUSTO X PRESTADOR"</f>
        <v>REPASSE POR CENTRO DE CUSTO X PRESTADOR</v>
      </c>
      <c r="F4108" s="2" t="str">
        <f>"R_REPASSE_CC_PRESTADOR.RDF"</f>
        <v>R_REPASSE_CC_PRESTADOR.RDF</v>
      </c>
      <c r="G4108" s="2" t="str">
        <f t="shared" si="344"/>
        <v xml:space="preserve"> ()</v>
      </c>
    </row>
    <row r="4109" spans="1:7" x14ac:dyDescent="0.3">
      <c r="A4109" s="1" t="s">
        <v>4</v>
      </c>
      <c r="B4109" s="2" t="str">
        <f t="shared" si="345"/>
        <v>SISTEMA DE REPASSE MÉDICO</v>
      </c>
      <c r="C4109" s="2" t="str">
        <f t="shared" si="346"/>
        <v>FATUR-CONV</v>
      </c>
      <c r="D4109" s="2" t="str">
        <f t="shared" si="347"/>
        <v>FNRM</v>
      </c>
      <c r="E4109" s="2" t="str">
        <f>"ANÁLISE EVOLUTIVA DE REPASSE"</f>
        <v>ANÁLISE EVOLUTIVA DE REPASSE</v>
      </c>
      <c r="F4109" s="2" t="str">
        <f>"R_13_REPASSE.RDF"</f>
        <v>R_13_REPASSE.RDF</v>
      </c>
      <c r="G4109" s="2" t="str">
        <f t="shared" si="344"/>
        <v xml:space="preserve"> ()</v>
      </c>
    </row>
    <row r="4110" spans="1:7" x14ac:dyDescent="0.3">
      <c r="A4110" s="1" t="s">
        <v>4</v>
      </c>
      <c r="B4110" s="2" t="str">
        <f t="shared" si="345"/>
        <v>SISTEMA DE REPASSE MÉDICO</v>
      </c>
      <c r="C4110" s="2" t="str">
        <f t="shared" si="346"/>
        <v>FATUR-CONV</v>
      </c>
      <c r="D4110" s="2" t="str">
        <f t="shared" si="347"/>
        <v>FNRM</v>
      </c>
      <c r="E4110" s="2" t="str">
        <f>"REPASSE GLOBAL"</f>
        <v>REPASSE GLOBAL</v>
      </c>
      <c r="F4110" s="2" t="str">
        <f>"R_REP_GER.RDF"</f>
        <v>R_REP_GER.RDF</v>
      </c>
      <c r="G4110" s="2" t="str">
        <f t="shared" si="344"/>
        <v xml:space="preserve"> ()</v>
      </c>
    </row>
    <row r="4111" spans="1:7" x14ac:dyDescent="0.3">
      <c r="A4111" s="1" t="s">
        <v>4</v>
      </c>
      <c r="B4111" s="2" t="str">
        <f t="shared" si="345"/>
        <v>SISTEMA DE REPASSE MÉDICO</v>
      </c>
      <c r="C4111" s="2" t="str">
        <f t="shared" si="346"/>
        <v>FATUR-CONV</v>
      </c>
      <c r="D4111" s="2" t="str">
        <f t="shared" si="347"/>
        <v>FNRM</v>
      </c>
      <c r="E4111" s="2" t="str">
        <f>"REPASSE PRESTADOR / EMPRESA"</f>
        <v>REPASSE PRESTADOR / EMPRESA</v>
      </c>
      <c r="F4111" s="2" t="str">
        <f>"R_REPASSE_PRESTADOR_SUS.RDF"</f>
        <v>R_REPASSE_PRESTADOR_SUS.RDF</v>
      </c>
      <c r="G4111" s="2" t="str">
        <f t="shared" si="344"/>
        <v xml:space="preserve"> ()</v>
      </c>
    </row>
    <row r="4112" spans="1:7" x14ac:dyDescent="0.3">
      <c r="A4112" s="1" t="s">
        <v>4</v>
      </c>
      <c r="B4112" s="2" t="str">
        <f t="shared" si="345"/>
        <v>SISTEMA DE REPASSE MÉDICO</v>
      </c>
      <c r="C4112" s="2" t="str">
        <f t="shared" si="346"/>
        <v>FATUR-CONV</v>
      </c>
      <c r="D4112" s="2" t="str">
        <f t="shared" si="347"/>
        <v>FNRM</v>
      </c>
      <c r="E4112" s="2" t="str">
        <f>"REPASSE SOBRE CREDENCIADOS"</f>
        <v>REPASSE SOBRE CREDENCIADOS</v>
      </c>
      <c r="F4112" s="2" t="str">
        <f>"R_REPASSE_CREDENCIADO.RDF"</f>
        <v>R_REPASSE_CREDENCIADO.RDF</v>
      </c>
      <c r="G4112" s="2" t="str">
        <f t="shared" si="344"/>
        <v xml:space="preserve"> ()</v>
      </c>
    </row>
    <row r="4113" spans="1:7" x14ac:dyDescent="0.3">
      <c r="A4113" s="1" t="s">
        <v>4</v>
      </c>
      <c r="B4113" s="2" t="str">
        <f t="shared" si="345"/>
        <v>SISTEMA DE REPASSE MÉDICO</v>
      </c>
      <c r="C4113" s="2" t="str">
        <f t="shared" si="346"/>
        <v>FATUR-CONV</v>
      </c>
      <c r="D4113" s="2" t="str">
        <f t="shared" si="347"/>
        <v>FNRM</v>
      </c>
      <c r="E4113" s="2" t="str">
        <f>"DEMONSTRATIVO DE TRIBUTOS"</f>
        <v>DEMONSTRATIVO DE TRIBUTOS</v>
      </c>
      <c r="F4113" s="2" t="str">
        <f>"R_DEMO_DET.RDF"</f>
        <v>R_DEMO_DET.RDF</v>
      </c>
      <c r="G4113" s="2" t="str">
        <f t="shared" si="344"/>
        <v xml:space="preserve"> ()</v>
      </c>
    </row>
    <row r="4114" spans="1:7" x14ac:dyDescent="0.3">
      <c r="A4114" s="1" t="s">
        <v>4</v>
      </c>
      <c r="B4114" s="2" t="str">
        <f t="shared" si="345"/>
        <v>SISTEMA DE REPASSE MÉDICO</v>
      </c>
      <c r="C4114" s="2" t="str">
        <f t="shared" si="346"/>
        <v>FATUR-CONV</v>
      </c>
      <c r="D4114" s="2" t="str">
        <f t="shared" si="347"/>
        <v>FNRM</v>
      </c>
      <c r="E4114" s="2" t="str">
        <f>"CONTA CORRENTE DO PRESTADOR"</f>
        <v>CONTA CORRENTE DO PRESTADOR</v>
      </c>
      <c r="F4114" s="2" t="str">
        <f>"R_CC_PRESTADOR.RDF"</f>
        <v>R_CC_PRESTADOR.RDF</v>
      </c>
      <c r="G4114" s="2" t="str">
        <f t="shared" si="344"/>
        <v xml:space="preserve"> ()</v>
      </c>
    </row>
    <row r="4115" spans="1:7" x14ac:dyDescent="0.3">
      <c r="A4115" s="1" t="s">
        <v>4</v>
      </c>
      <c r="B4115" s="2" t="str">
        <f t="shared" ref="B4115:B4178" si="348">"SISTEMA DE CENTRO CIRURGICO"</f>
        <v>SISTEMA DE CENTRO CIRURGICO</v>
      </c>
      <c r="C4115" s="2" t="str">
        <f t="shared" ref="C4115:C4178" si="349">"INTER"</f>
        <v>INTER</v>
      </c>
      <c r="D4115" s="2" t="str">
        <f t="shared" ref="D4115:D4178" si="350">"FSCC"</f>
        <v>FSCC</v>
      </c>
      <c r="E4115" s="2" t="str">
        <f>"REL. DE CIRURGIAS REALIZADAS POR MÉDICO"</f>
        <v>REL. DE CIRURGIAS REALIZADAS POR MÉDICO</v>
      </c>
      <c r="F4115" s="2" t="str">
        <f>"R_CIR_MEDICO_SINT_DATA.RDF"</f>
        <v>R_CIR_MEDICO_SINT_DATA.RDF</v>
      </c>
      <c r="G4115" s="2" t="str">
        <f t="shared" si="344"/>
        <v xml:space="preserve"> ()</v>
      </c>
    </row>
    <row r="4116" spans="1:7" x14ac:dyDescent="0.3">
      <c r="A4116" s="1" t="s">
        <v>4</v>
      </c>
      <c r="B4116" s="2" t="str">
        <f t="shared" si="348"/>
        <v>SISTEMA DE CENTRO CIRURGICO</v>
      </c>
      <c r="C4116" s="2" t="str">
        <f t="shared" si="349"/>
        <v>INTER</v>
      </c>
      <c r="D4116" s="2" t="str">
        <f t="shared" si="350"/>
        <v>FSCC</v>
      </c>
      <c r="E4116" s="2" t="str">
        <f>"R_CIR_REALIZ_ANA_EVOL"</f>
        <v>R_CIR_REALIZ_ANA_EVOL</v>
      </c>
      <c r="F4116" s="2" t="str">
        <f>"R_CIR_REALIZ_ANA_EVOL"</f>
        <v>R_CIR_REALIZ_ANA_EVOL</v>
      </c>
      <c r="G4116" s="2" t="str">
        <f>"Atendimento / Centro Cirúrgico e Obstétrico / Relatórios / Gerenciais / Análise Evolutiva de Cirurgias Realizadas (R_CIR_REALIZ_ANA_EVOL)"</f>
        <v>Atendimento / Centro Cirúrgico e Obstétrico / Relatórios / Gerenciais / Análise Evolutiva de Cirurgias Realizadas (R_CIR_REALIZ_ANA_EVOL)</v>
      </c>
    </row>
    <row r="4117" spans="1:7" x14ac:dyDescent="0.3">
      <c r="A4117" s="1" t="s">
        <v>4</v>
      </c>
      <c r="B4117" s="2" t="str">
        <f t="shared" si="348"/>
        <v>SISTEMA DE CENTRO CIRURGICO</v>
      </c>
      <c r="C4117" s="2" t="str">
        <f t="shared" si="349"/>
        <v>INTER</v>
      </c>
      <c r="D4117" s="2" t="str">
        <f t="shared" si="350"/>
        <v>FSCC</v>
      </c>
      <c r="E4117" s="2" t="str">
        <f>"R_MAPA_CIR_CARACT_755"</f>
        <v>R_MAPA_CIR_CARACT_755</v>
      </c>
      <c r="F4117" s="2" t="str">
        <f>"R_MAPA_CIR_CARACT_755"</f>
        <v>R_MAPA_CIR_CARACT_755</v>
      </c>
      <c r="G4117" s="2" t="str">
        <f>" ()"</f>
        <v xml:space="preserve"> ()</v>
      </c>
    </row>
    <row r="4118" spans="1:7" x14ac:dyDescent="0.3">
      <c r="A4118" s="1" t="s">
        <v>4</v>
      </c>
      <c r="B4118" s="2" t="str">
        <f t="shared" si="348"/>
        <v>SISTEMA DE CENTRO CIRURGICO</v>
      </c>
      <c r="C4118" s="2" t="str">
        <f t="shared" si="349"/>
        <v>INTER</v>
      </c>
      <c r="D4118" s="2" t="str">
        <f t="shared" si="350"/>
        <v>FSCC</v>
      </c>
      <c r="E4118" s="2" t="str">
        <f t="shared" ref="E4118:E4127" si="351">"MONITORAÇÃO DE APARELHOS / GASES"</f>
        <v>MONITORAÇÃO DE APARELHOS / GASES</v>
      </c>
      <c r="F4118" s="2" t="str">
        <f t="shared" ref="F4118:F4127" si="352">"M_CONTROLE_GASES"</f>
        <v>M_CONTROLE_GASES</v>
      </c>
      <c r="G4118" s="2" t="str">
        <f>"Controle de Gases (M_CONTROLE_GASES)"</f>
        <v>Controle de Gases (M_CONTROLE_GASES)</v>
      </c>
    </row>
    <row r="4119" spans="1:7" x14ac:dyDescent="0.3">
      <c r="A4119" s="1" t="s">
        <v>4</v>
      </c>
      <c r="B4119" s="2" t="str">
        <f t="shared" si="348"/>
        <v>SISTEMA DE CENTRO CIRURGICO</v>
      </c>
      <c r="C4119" s="2" t="str">
        <f t="shared" si="349"/>
        <v>INTER</v>
      </c>
      <c r="D4119" s="2" t="str">
        <f t="shared" si="350"/>
        <v>FSCC</v>
      </c>
      <c r="E4119" s="2" t="str">
        <f t="shared" si="351"/>
        <v>MONITORAÇÃO DE APARELHOS / GASES</v>
      </c>
      <c r="F4119" s="2" t="str">
        <f t="shared" si="352"/>
        <v>M_CONTROLE_GASES</v>
      </c>
      <c r="G4119" s="2" t="str">
        <f>"Controle de Gases (M_CONTROLE_GASES)"</f>
        <v>Controle de Gases (M_CONTROLE_GASES)</v>
      </c>
    </row>
    <row r="4120" spans="1:7" x14ac:dyDescent="0.3">
      <c r="A4120" s="1" t="s">
        <v>4</v>
      </c>
      <c r="B4120" s="2" t="str">
        <f t="shared" si="348"/>
        <v>SISTEMA DE CENTRO CIRURGICO</v>
      </c>
      <c r="C4120" s="2" t="str">
        <f t="shared" si="349"/>
        <v>INTER</v>
      </c>
      <c r="D4120" s="2" t="str">
        <f t="shared" si="350"/>
        <v>FSCC</v>
      </c>
      <c r="E4120" s="2" t="str">
        <f t="shared" si="351"/>
        <v>MONITORAÇÃO DE APARELHOS / GASES</v>
      </c>
      <c r="F4120" s="2" t="str">
        <f t="shared" si="352"/>
        <v>M_CONTROLE_GASES</v>
      </c>
      <c r="G4120" s="2" t="str">
        <f>"Controle de Gases (M_CONTROLE_GASES)"</f>
        <v>Controle de Gases (M_CONTROLE_GASES)</v>
      </c>
    </row>
    <row r="4121" spans="1:7" x14ac:dyDescent="0.3">
      <c r="A4121" s="1" t="s">
        <v>4</v>
      </c>
      <c r="B4121" s="2" t="str">
        <f t="shared" si="348"/>
        <v>SISTEMA DE CENTRO CIRURGICO</v>
      </c>
      <c r="C4121" s="2" t="str">
        <f t="shared" si="349"/>
        <v>INTER</v>
      </c>
      <c r="D4121" s="2" t="str">
        <f t="shared" si="350"/>
        <v>FSCC</v>
      </c>
      <c r="E4121" s="2" t="str">
        <f t="shared" si="351"/>
        <v>MONITORAÇÃO DE APARELHOS / GASES</v>
      </c>
      <c r="F4121" s="2" t="str">
        <f t="shared" si="352"/>
        <v>M_CONTROLE_GASES</v>
      </c>
      <c r="G4121" s="2" t="str">
        <f>"Faturamento / Faturamento de Convênios e Particulares / Solicitações / Monitoração de Aparelhos e Gases (M_CONTROLE_GASES)"</f>
        <v>Faturamento / Faturamento de Convênios e Particulares / Solicitações / Monitoração de Aparelhos e Gases (M_CONTROLE_GASES)</v>
      </c>
    </row>
    <row r="4122" spans="1:7" x14ac:dyDescent="0.3">
      <c r="A4122" s="1" t="s">
        <v>4</v>
      </c>
      <c r="B4122" s="2" t="str">
        <f t="shared" si="348"/>
        <v>SISTEMA DE CENTRO CIRURGICO</v>
      </c>
      <c r="C4122" s="2" t="str">
        <f t="shared" si="349"/>
        <v>INTER</v>
      </c>
      <c r="D4122" s="2" t="str">
        <f t="shared" si="350"/>
        <v>FSCC</v>
      </c>
      <c r="E4122" s="2" t="str">
        <f t="shared" si="351"/>
        <v>MONITORAÇÃO DE APARELHOS / GASES</v>
      </c>
      <c r="F4122" s="2" t="str">
        <f t="shared" si="352"/>
        <v>M_CONTROLE_GASES</v>
      </c>
      <c r="G4122" s="2" t="str">
        <f>"Controle de Gases (M_CONTROLE_GASES)"</f>
        <v>Controle de Gases (M_CONTROLE_GASES)</v>
      </c>
    </row>
    <row r="4123" spans="1:7" x14ac:dyDescent="0.3">
      <c r="A4123" s="1" t="s">
        <v>4</v>
      </c>
      <c r="B4123" s="2" t="str">
        <f t="shared" si="348"/>
        <v>SISTEMA DE CENTRO CIRURGICO</v>
      </c>
      <c r="C4123" s="2" t="str">
        <f t="shared" si="349"/>
        <v>INTER</v>
      </c>
      <c r="D4123" s="2" t="str">
        <f t="shared" si="350"/>
        <v>FSCC</v>
      </c>
      <c r="E4123" s="2" t="str">
        <f t="shared" si="351"/>
        <v>MONITORAÇÃO DE APARELHOS / GASES</v>
      </c>
      <c r="F4123" s="2" t="str">
        <f t="shared" si="352"/>
        <v>M_CONTROLE_GASES</v>
      </c>
      <c r="G4123" s="2" t="str">
        <f>"Controle de Gases (M_CONTROLE_GASES)"</f>
        <v>Controle de Gases (M_CONTROLE_GASES)</v>
      </c>
    </row>
    <row r="4124" spans="1:7" x14ac:dyDescent="0.3">
      <c r="A4124" s="1" t="s">
        <v>4</v>
      </c>
      <c r="B4124" s="2" t="str">
        <f t="shared" si="348"/>
        <v>SISTEMA DE CENTRO CIRURGICO</v>
      </c>
      <c r="C4124" s="2" t="str">
        <f t="shared" si="349"/>
        <v>INTER</v>
      </c>
      <c r="D4124" s="2" t="str">
        <f t="shared" si="350"/>
        <v>FSCC</v>
      </c>
      <c r="E4124" s="2" t="str">
        <f t="shared" si="351"/>
        <v>MONITORAÇÃO DE APARELHOS / GASES</v>
      </c>
      <c r="F4124" s="2" t="str">
        <f t="shared" si="352"/>
        <v>M_CONTROLE_GASES</v>
      </c>
      <c r="G4124" s="2" t="str">
        <f>"Controle de Gases (M_CONTROLE_GASES)"</f>
        <v>Controle de Gases (M_CONTROLE_GASES)</v>
      </c>
    </row>
    <row r="4125" spans="1:7" x14ac:dyDescent="0.3">
      <c r="A4125" s="1" t="s">
        <v>4</v>
      </c>
      <c r="B4125" s="2" t="str">
        <f t="shared" si="348"/>
        <v>SISTEMA DE CENTRO CIRURGICO</v>
      </c>
      <c r="C4125" s="2" t="str">
        <f t="shared" si="349"/>
        <v>INTER</v>
      </c>
      <c r="D4125" s="2" t="str">
        <f t="shared" si="350"/>
        <v>FSCC</v>
      </c>
      <c r="E4125" s="2" t="str">
        <f t="shared" si="351"/>
        <v>MONITORAÇÃO DE APARELHOS / GASES</v>
      </c>
      <c r="F4125" s="2" t="str">
        <f t="shared" si="352"/>
        <v>M_CONTROLE_GASES</v>
      </c>
      <c r="G4125" s="2" t="str">
        <f>"Controle de Gases (M_CONTROLE_GASES)"</f>
        <v>Controle de Gases (M_CONTROLE_GASES)</v>
      </c>
    </row>
    <row r="4126" spans="1:7" x14ac:dyDescent="0.3">
      <c r="A4126" s="1" t="s">
        <v>4</v>
      </c>
      <c r="B4126" s="2" t="str">
        <f t="shared" si="348"/>
        <v>SISTEMA DE CENTRO CIRURGICO</v>
      </c>
      <c r="C4126" s="2" t="str">
        <f t="shared" si="349"/>
        <v>INTER</v>
      </c>
      <c r="D4126" s="2" t="str">
        <f t="shared" si="350"/>
        <v>FSCC</v>
      </c>
      <c r="E4126" s="2" t="str">
        <f t="shared" si="351"/>
        <v>MONITORAÇÃO DE APARELHOS / GASES</v>
      </c>
      <c r="F4126" s="2" t="str">
        <f t="shared" si="352"/>
        <v>M_CONTROLE_GASES</v>
      </c>
      <c r="G4126" s="2" t="str">
        <f>"Controle de Gases (M_CONTROLE_GASES)"</f>
        <v>Controle de Gases (M_CONTROLE_GASES)</v>
      </c>
    </row>
    <row r="4127" spans="1:7" x14ac:dyDescent="0.3">
      <c r="A4127" s="1" t="s">
        <v>4</v>
      </c>
      <c r="B4127" s="2" t="str">
        <f t="shared" si="348"/>
        <v>SISTEMA DE CENTRO CIRURGICO</v>
      </c>
      <c r="C4127" s="2" t="str">
        <f t="shared" si="349"/>
        <v>INTER</v>
      </c>
      <c r="D4127" s="2" t="str">
        <f t="shared" si="350"/>
        <v>FSCC</v>
      </c>
      <c r="E4127" s="2" t="str">
        <f t="shared" si="351"/>
        <v>MONITORAÇÃO DE APARELHOS / GASES</v>
      </c>
      <c r="F4127" s="2" t="str">
        <f t="shared" si="352"/>
        <v>M_CONTROLE_GASES</v>
      </c>
      <c r="G4127" s="2" t="str">
        <f>"Atendimento / Centro Cirúrgico e Obstétrico / Solicitações / Monitoração de Aparelhos/Gases (M_CONTROLE_GASES)"</f>
        <v>Atendimento / Centro Cirúrgico e Obstétrico / Solicitações / Monitoração de Aparelhos/Gases (M_CONTROLE_GASES)</v>
      </c>
    </row>
    <row r="4128" spans="1:7" x14ac:dyDescent="0.3">
      <c r="A4128" s="1" t="s">
        <v>4</v>
      </c>
      <c r="B4128" s="2" t="str">
        <f t="shared" si="348"/>
        <v>SISTEMA DE CENTRO CIRURGICO</v>
      </c>
      <c r="C4128" s="2" t="str">
        <f t="shared" si="349"/>
        <v>INTER</v>
      </c>
      <c r="D4128" s="2" t="str">
        <f t="shared" si="350"/>
        <v>FSCC</v>
      </c>
      <c r="E4128" s="2" t="str">
        <f>"TELA DO REL. ESTAT. INDI. DOS CIRURIÕES"</f>
        <v>TELA DO REL. ESTAT. INDI. DOS CIRURIÕES</v>
      </c>
      <c r="F4128" s="2" t="str">
        <f>"R_EST_IND_CIRUR.FMX"</f>
        <v>R_EST_IND_CIRUR.FMX</v>
      </c>
      <c r="G4128" s="2" t="str">
        <f>" ()"</f>
        <v xml:space="preserve"> ()</v>
      </c>
    </row>
    <row r="4129" spans="1:7" x14ac:dyDescent="0.3">
      <c r="A4129" s="1" t="s">
        <v>4</v>
      </c>
      <c r="B4129" s="2" t="str">
        <f t="shared" si="348"/>
        <v>SISTEMA DE CENTRO CIRURGICO</v>
      </c>
      <c r="C4129" s="2" t="str">
        <f t="shared" si="349"/>
        <v>INTER</v>
      </c>
      <c r="D4129" s="2" t="str">
        <f t="shared" si="350"/>
        <v>FSCC</v>
      </c>
      <c r="E4129" s="2" t="str">
        <f>"TELA DO REL. ESTAT. INDVID. ANESTESISTAS"</f>
        <v>TELA DO REL. ESTAT. INDVID. ANESTESISTAS</v>
      </c>
      <c r="F4129" s="2" t="str">
        <f>"R_EST_IND_ANEST.FMX"</f>
        <v>R_EST_IND_ANEST.FMX</v>
      </c>
      <c r="G4129" s="2" t="str">
        <f>" ()"</f>
        <v xml:space="preserve"> ()</v>
      </c>
    </row>
    <row r="4130" spans="1:7" x14ac:dyDescent="0.3">
      <c r="A4130" s="1" t="s">
        <v>4</v>
      </c>
      <c r="B4130" s="2" t="str">
        <f t="shared" si="348"/>
        <v>SISTEMA DE CENTRO CIRURGICO</v>
      </c>
      <c r="C4130" s="2" t="str">
        <f t="shared" si="349"/>
        <v>INTER</v>
      </c>
      <c r="D4130" s="2" t="str">
        <f t="shared" si="350"/>
        <v>FSCC</v>
      </c>
      <c r="E4130" s="2" t="str">
        <f>"RELATÓRIO DE KITS X PACIENTES AGENDADOS"</f>
        <v>RELATÓRIO DE KITS X PACIENTES AGENDADOS</v>
      </c>
      <c r="F4130" s="2" t="str">
        <f>"R_CIR_KIT_X_PACIENTE"</f>
        <v>R_CIR_KIT_X_PACIENTE</v>
      </c>
      <c r="G4130" s="2" t="str">
        <f>"Atendimento / Centro Cirúrgico e Obstétrico / Relatórios / Operacionais / Agenda / Kits X Pacientes Agendados (R_CIR_KIT_X_PACIENTE)"</f>
        <v>Atendimento / Centro Cirúrgico e Obstétrico / Relatórios / Operacionais / Agenda / Kits X Pacientes Agendados (R_CIR_KIT_X_PACIENTE)</v>
      </c>
    </row>
    <row r="4131" spans="1:7" x14ac:dyDescent="0.3">
      <c r="A4131" s="1" t="s">
        <v>17</v>
      </c>
      <c r="B4131" s="2" t="str">
        <f t="shared" si="348"/>
        <v>SISTEMA DE CENTRO CIRURGICO</v>
      </c>
      <c r="C4131" s="2" t="str">
        <f t="shared" si="349"/>
        <v>INTER</v>
      </c>
      <c r="D4131" s="2" t="str">
        <f t="shared" si="350"/>
        <v>FSCC</v>
      </c>
      <c r="E4131" s="2" t="str">
        <f>"MAPA CIRURGICO"</f>
        <v>MAPA CIRURGICO</v>
      </c>
      <c r="F4131" s="2" t="str">
        <f>"R_MAPA_CIRURGICO"</f>
        <v>R_MAPA_CIRURGICO</v>
      </c>
      <c r="G4131" s="2" t="str">
        <f>" ()"</f>
        <v xml:space="preserve"> ()</v>
      </c>
    </row>
    <row r="4132" spans="1:7" x14ac:dyDescent="0.3">
      <c r="A4132" s="1" t="s">
        <v>4</v>
      </c>
      <c r="B4132" s="2" t="str">
        <f t="shared" si="348"/>
        <v>SISTEMA DE CENTRO CIRURGICO</v>
      </c>
      <c r="C4132" s="2" t="str">
        <f t="shared" si="349"/>
        <v>INTER</v>
      </c>
      <c r="D4132" s="2" t="str">
        <f t="shared" si="350"/>
        <v>FSCC</v>
      </c>
      <c r="E4132" s="2" t="str">
        <f>"M_SOLIC_AUT_FORMA_PAGTO"</f>
        <v>M_SOLIC_AUT_FORMA_PAGTO</v>
      </c>
      <c r="F4132" s="2" t="str">
        <f>"M_SOLIC_AUT_FORMA_PAGTO"</f>
        <v>M_SOLIC_AUT_FORMA_PAGTO</v>
      </c>
      <c r="G4132" s="2" t="str">
        <f>"Serviços de Apoio / Diretoria Clinica / Solicitações / Solicitação de Autorização da Forma de Pagamento (M_SOLIC_AUT_FORMA_PAGTO)"</f>
        <v>Serviços de Apoio / Diretoria Clinica / Solicitações / Solicitação de Autorização da Forma de Pagamento (M_SOLIC_AUT_FORMA_PAGTO)</v>
      </c>
    </row>
    <row r="4133" spans="1:7" x14ac:dyDescent="0.3">
      <c r="A4133" s="1" t="s">
        <v>4</v>
      </c>
      <c r="B4133" s="2" t="str">
        <f t="shared" si="348"/>
        <v>SISTEMA DE CENTRO CIRURGICO</v>
      </c>
      <c r="C4133" s="2" t="str">
        <f t="shared" si="349"/>
        <v>INTER</v>
      </c>
      <c r="D4133" s="2" t="str">
        <f t="shared" si="350"/>
        <v>FSCC</v>
      </c>
      <c r="E4133" s="2" t="str">
        <f>"SOLIC"</f>
        <v>SOLIC</v>
      </c>
      <c r="F4133" s="2" t="str">
        <f>"SOLIC"</f>
        <v>SOLIC</v>
      </c>
      <c r="G4133" s="2" t="str">
        <f>"Serviços de Apoio / Diretoria Clinica / Solicitações (SOLIC)"</f>
        <v>Serviços de Apoio / Diretoria Clinica / Solicitações (SOLIC)</v>
      </c>
    </row>
    <row r="4134" spans="1:7" x14ac:dyDescent="0.3">
      <c r="A4134" s="1" t="s">
        <v>4</v>
      </c>
      <c r="B4134" s="2" t="str">
        <f t="shared" si="348"/>
        <v>SISTEMA DE CENTRO CIRURGICO</v>
      </c>
      <c r="C4134" s="2" t="str">
        <f t="shared" si="349"/>
        <v>INTER</v>
      </c>
      <c r="D4134" s="2" t="str">
        <f t="shared" si="350"/>
        <v>FSCC</v>
      </c>
      <c r="E4134" s="2" t="str">
        <f>"Configuração de Workflow"</f>
        <v>Configuração de Workflow</v>
      </c>
      <c r="F4134" s="2" t="str">
        <f>"M_CONFIG_WORKFLOW"</f>
        <v>M_CONFIG_WORKFLOW</v>
      </c>
      <c r="G4134" s="2" t="str">
        <f>"Atendimento / Centro Cirúrgico e Obstétrico / Centro Cirúrgico / Pré-Agendamento Cirúrgico / Configuração de Workflow (M_CONFIG_WORKFLOW)"</f>
        <v>Atendimento / Centro Cirúrgico e Obstétrico / Centro Cirúrgico / Pré-Agendamento Cirúrgico / Configuração de Workflow (M_CONFIG_WORKFLOW)</v>
      </c>
    </row>
    <row r="4135" spans="1:7" x14ac:dyDescent="0.3">
      <c r="A4135" s="1" t="s">
        <v>4</v>
      </c>
      <c r="B4135" s="2" t="str">
        <f t="shared" si="348"/>
        <v>SISTEMA DE CENTRO CIRURGICO</v>
      </c>
      <c r="C4135" s="2" t="str">
        <f t="shared" si="349"/>
        <v>INTER</v>
      </c>
      <c r="D4135" s="2" t="str">
        <f t="shared" si="350"/>
        <v>FSCC</v>
      </c>
      <c r="E4135" s="2" t="str">
        <f>"Painel de Workflow"</f>
        <v>Painel de Workflow</v>
      </c>
      <c r="F4135" s="2" t="str">
        <f>"M_PAINEL_WORKFLOW"</f>
        <v>M_PAINEL_WORKFLOW</v>
      </c>
      <c r="G4135" s="2" t="str">
        <f>"Atendimento / Centro Cirúrgico e Obstétrico / Centro Cirúrgico / Pré-Agendamento Cirúrgico / Painel de Workflow (M_PAINEL_WORKFLOW)"</f>
        <v>Atendimento / Centro Cirúrgico e Obstétrico / Centro Cirúrgico / Pré-Agendamento Cirúrgico / Painel de Workflow (M_PAINEL_WORKFLOW)</v>
      </c>
    </row>
    <row r="4136" spans="1:7" x14ac:dyDescent="0.3">
      <c r="A4136" s="1" t="s">
        <v>4</v>
      </c>
      <c r="B4136" s="2" t="str">
        <f t="shared" si="348"/>
        <v>SISTEMA DE CENTRO CIRURGICO</v>
      </c>
      <c r="C4136" s="2" t="str">
        <f t="shared" si="349"/>
        <v>INTER</v>
      </c>
      <c r="D4136" s="2" t="str">
        <f t="shared" si="350"/>
        <v>FSCC</v>
      </c>
      <c r="E4136" s="2" t="str">
        <f>"Configuração de Workflow de guias"</f>
        <v>Configuração de Workflow de guias</v>
      </c>
      <c r="F4136" s="2" t="str">
        <f>"M_CONFIG_WORKFLOW_GUIAS"</f>
        <v>M_CONFIG_WORKFLOW_GUIAS</v>
      </c>
      <c r="G4136" s="2" t="str">
        <f>"Atendimento / Centro Cirúrgico e Obstétrico / Centro Cirúrgico / Pré-Agendamento Cirúrgico / Configuração de Workflow de guias (M_CONFIG_WORKFLOW_GUIAS)"</f>
        <v>Atendimento / Centro Cirúrgico e Obstétrico / Centro Cirúrgico / Pré-Agendamento Cirúrgico / Configuração de Workflow de guias (M_CONFIG_WORKFLOW_GUIAS)</v>
      </c>
    </row>
    <row r="4137" spans="1:7" x14ac:dyDescent="0.3">
      <c r="A4137" s="1" t="s">
        <v>4</v>
      </c>
      <c r="B4137" s="2" t="str">
        <f t="shared" si="348"/>
        <v>SISTEMA DE CENTRO CIRURGICO</v>
      </c>
      <c r="C4137" s="2" t="str">
        <f t="shared" si="349"/>
        <v>INTER</v>
      </c>
      <c r="D4137" s="2" t="str">
        <f t="shared" si="350"/>
        <v>FSCC</v>
      </c>
      <c r="E4137" s="2" t="str">
        <f>"Permissão de acesso"</f>
        <v>Permissão de acesso</v>
      </c>
      <c r="F4137" s="2" t="str">
        <f>"M_CONFIG_WORKFLOW_USUARIO"</f>
        <v>M_CONFIG_WORKFLOW_USUARIO</v>
      </c>
      <c r="G4137" s="2" t="str">
        <f>"Atendimento / Centro Cirúrgico e Obstétrico / Centro Cirúrgico / Pré-Agendamento Cirúrgico / Permissão de acesso (M_CONFIG_WORKFLOW_USUARIO)"</f>
        <v>Atendimento / Centro Cirúrgico e Obstétrico / Centro Cirúrgico / Pré-Agendamento Cirúrgico / Permissão de acesso (M_CONFIG_WORKFLOW_USUARIO)</v>
      </c>
    </row>
    <row r="4138" spans="1:7" x14ac:dyDescent="0.3">
      <c r="A4138" s="1" t="s">
        <v>4</v>
      </c>
      <c r="B4138" s="2" t="str">
        <f t="shared" si="348"/>
        <v>SISTEMA DE CENTRO CIRURGICO</v>
      </c>
      <c r="C4138" s="2" t="str">
        <f t="shared" si="349"/>
        <v>INTER</v>
      </c>
      <c r="D4138" s="2" t="str">
        <f t="shared" si="350"/>
        <v>FSCC</v>
      </c>
      <c r="E4138" s="2" t="str">
        <f>"Movimentações de workflow"</f>
        <v>Movimentações de workflow</v>
      </c>
      <c r="F4138" s="2" t="str">
        <f>"M_LOG_WORKFLOW"</f>
        <v>M_LOG_WORKFLOW</v>
      </c>
      <c r="G4138" s="2" t="str">
        <f>"Atendimento / Centro Cirúrgico e Obstétrico / Centro Cirúrgico / Pré-Agendamento Cirúrgico / Movimentações de workflow (M_LOG_WORKFLOW)"</f>
        <v>Atendimento / Centro Cirúrgico e Obstétrico / Centro Cirúrgico / Pré-Agendamento Cirúrgico / Movimentações de workflow (M_LOG_WORKFLOW)</v>
      </c>
    </row>
    <row r="4139" spans="1:7" x14ac:dyDescent="0.3">
      <c r="A4139" s="1" t="s">
        <v>4</v>
      </c>
      <c r="B4139" s="2" t="str">
        <f t="shared" si="348"/>
        <v>SISTEMA DE CENTRO CIRURGICO</v>
      </c>
      <c r="C4139" s="2" t="str">
        <f t="shared" si="349"/>
        <v>INTER</v>
      </c>
      <c r="D4139" s="2" t="str">
        <f t="shared" si="350"/>
        <v>FSCC</v>
      </c>
      <c r="E4139" s="2" t="str">
        <f>"Configuração de Autorização de Convênio"</f>
        <v>Configuração de Autorização de Convênio</v>
      </c>
      <c r="F4139" s="2" t="str">
        <f>"M_AUTORIZACAO_CONVENIO"</f>
        <v>M_AUTORIZACAO_CONVENIO</v>
      </c>
      <c r="G4139" s="2" t="str">
        <f>"Atendimento / Centro Cirúrgico e Obstétrico / Configurações / Configuração de Autorização de Convênio no Agendamento (M_AUTORIZACAO_CONVENIO)"</f>
        <v>Atendimento / Centro Cirúrgico e Obstétrico / Configurações / Configuração de Autorização de Convênio no Agendamento (M_AUTORIZACAO_CONVENIO)</v>
      </c>
    </row>
    <row r="4140" spans="1:7" x14ac:dyDescent="0.3">
      <c r="A4140" s="1" t="s">
        <v>4</v>
      </c>
      <c r="B4140" s="2" t="str">
        <f t="shared" si="348"/>
        <v>SISTEMA DE CENTRO CIRURGICO</v>
      </c>
      <c r="C4140" s="2" t="str">
        <f t="shared" si="349"/>
        <v>INTER</v>
      </c>
      <c r="D4140" s="2" t="str">
        <f t="shared" si="350"/>
        <v>FSCC</v>
      </c>
      <c r="E4140" s="2" t="str">
        <f>"AVISO CIRURGICO"</f>
        <v>AVISO CIRURGICO</v>
      </c>
      <c r="F4140" s="2" t="str">
        <f>"M_AVISO_CIRURGIA"</f>
        <v>M_AVISO_CIRURGIA</v>
      </c>
      <c r="G4140" s="2" t="str">
        <f>"Atendimento / Centro Cirúrgico e Obstétrico / Centro Cirúrgico / Aviso de Cirurgia (M_AVISO_CIRURGIA)"</f>
        <v>Atendimento / Centro Cirúrgico e Obstétrico / Centro Cirúrgico / Aviso de Cirurgia (M_AVISO_CIRURGIA)</v>
      </c>
    </row>
    <row r="4141" spans="1:7" x14ac:dyDescent="0.3">
      <c r="A4141" s="1" t="s">
        <v>4</v>
      </c>
      <c r="B4141" s="2" t="str">
        <f t="shared" si="348"/>
        <v>SISTEMA DE CENTRO CIRURGICO</v>
      </c>
      <c r="C4141" s="2" t="str">
        <f t="shared" si="349"/>
        <v>INTER</v>
      </c>
      <c r="D4141" s="2" t="str">
        <f t="shared" si="350"/>
        <v>FSCC</v>
      </c>
      <c r="E4141" s="2" t="str">
        <f>"RELATORIO DESCRICAO CIRURGICA"</f>
        <v>RELATORIO DESCRICAO CIRURGICA</v>
      </c>
      <c r="F4141" s="2" t="str">
        <f>"R_FICHA_CIR_DESCRICAO"</f>
        <v>R_FICHA_CIR_DESCRICAO</v>
      </c>
      <c r="G4141" s="2" t="str">
        <f>"Clínica e Assistencial / Controle de Infecção Hospitalar / Relatórios / Operacionais / Relatórios - Ficha Descritiva da Cirurgia (R_FICHA_CIR_DESCRICAO)"</f>
        <v>Clínica e Assistencial / Controle de Infecção Hospitalar / Relatórios / Operacionais / Relatórios - Ficha Descritiva da Cirurgia (R_FICHA_CIR_DESCRICAO)</v>
      </c>
    </row>
    <row r="4142" spans="1:7" x14ac:dyDescent="0.3">
      <c r="A4142" s="1" t="s">
        <v>4</v>
      </c>
      <c r="B4142" s="2" t="str">
        <f t="shared" si="348"/>
        <v>SISTEMA DE CENTRO CIRURGICO</v>
      </c>
      <c r="C4142" s="2" t="str">
        <f t="shared" si="349"/>
        <v>INTER</v>
      </c>
      <c r="D4142" s="2" t="str">
        <f t="shared" si="350"/>
        <v>FSCC</v>
      </c>
      <c r="E4142" s="2" t="str">
        <f>"RELATORIO DESCRICAO CIRURGICA"</f>
        <v>RELATORIO DESCRICAO CIRURGICA</v>
      </c>
      <c r="F4142" s="2" t="str">
        <f>"R_FICHA_CIR_DESCRICAO"</f>
        <v>R_FICHA_CIR_DESCRICAO</v>
      </c>
      <c r="G4142" s="2" t="str">
        <f>"Atendimento / Centro Cirúrgico e Obstétrico / Relatórios / Operacionais / Ficha Descritiva da Cirurgia (R_FICHA_CIR_DESCRICAO)"</f>
        <v>Atendimento / Centro Cirúrgico e Obstétrico / Relatórios / Operacionais / Ficha Descritiva da Cirurgia (R_FICHA_CIR_DESCRICAO)</v>
      </c>
    </row>
    <row r="4143" spans="1:7" x14ac:dyDescent="0.3">
      <c r="A4143" s="1" t="s">
        <v>4</v>
      </c>
      <c r="B4143" s="2" t="str">
        <f t="shared" si="348"/>
        <v>SISTEMA DE CENTRO CIRURGICO</v>
      </c>
      <c r="C4143" s="2" t="str">
        <f t="shared" si="349"/>
        <v>INTER</v>
      </c>
      <c r="D4143" s="2" t="str">
        <f t="shared" si="350"/>
        <v>FSCC</v>
      </c>
      <c r="E4143" s="2" t="str">
        <f>"DESCRIÇÃO CIRÚRGICA"</f>
        <v>DESCRIÇÃO CIRÚRGICA</v>
      </c>
      <c r="F4143" s="2" t="str">
        <f>"M_DESCRICAO_CIRURGIA"</f>
        <v>M_DESCRICAO_CIRURGIA</v>
      </c>
      <c r="G4143" s="2" t="str">
        <f>"Atendimento / Centro Cirúrgico e Obstétrico / Centro Cirúrgico / Descrição Cirúrgica (M_DESCRICAO_CIRURGIA)"</f>
        <v>Atendimento / Centro Cirúrgico e Obstétrico / Centro Cirúrgico / Descrição Cirúrgica (M_DESCRICAO_CIRURGIA)</v>
      </c>
    </row>
    <row r="4144" spans="1:7" x14ac:dyDescent="0.3">
      <c r="A4144" s="1" t="s">
        <v>4</v>
      </c>
      <c r="B4144" s="2" t="str">
        <f t="shared" si="348"/>
        <v>SISTEMA DE CENTRO CIRURGICO</v>
      </c>
      <c r="C4144" s="2" t="str">
        <f t="shared" si="349"/>
        <v>INTER</v>
      </c>
      <c r="D4144" s="2" t="str">
        <f t="shared" si="350"/>
        <v>FSCC</v>
      </c>
      <c r="E4144" s="2" t="str">
        <f>"CONSULTA LOG AVISO DE CIRURGIA"</f>
        <v>CONSULTA LOG AVISO DE CIRURGIA</v>
      </c>
      <c r="F4144" s="2" t="str">
        <f>"C_LOG_AVISO_CIRURGIA"</f>
        <v>C_LOG_AVISO_CIRURGIA</v>
      </c>
      <c r="G4144" s="2" t="str">
        <f>"Atendimento / Centro Cirúrgico e Obstétrico / Consultas / Log de Aviso de Cirurgia (C_LOG_AVISO_CIRURGIA)"</f>
        <v>Atendimento / Centro Cirúrgico e Obstétrico / Consultas / Log de Aviso de Cirurgia (C_LOG_AVISO_CIRURGIA)</v>
      </c>
    </row>
    <row r="4145" spans="1:7" x14ac:dyDescent="0.3">
      <c r="A4145" s="1" t="s">
        <v>4</v>
      </c>
      <c r="B4145" s="2" t="str">
        <f t="shared" si="348"/>
        <v>SISTEMA DE CENTRO CIRURGICO</v>
      </c>
      <c r="C4145" s="2" t="str">
        <f t="shared" si="349"/>
        <v>INTER</v>
      </c>
      <c r="D4145" s="2" t="str">
        <f t="shared" si="350"/>
        <v>FSCC</v>
      </c>
      <c r="E4145" s="2" t="str">
        <f>"USUARIOS COM PRIVILÉGIO MASTER"</f>
        <v>USUARIOS COM PRIVILÉGIO MASTER</v>
      </c>
      <c r="F4145" s="2" t="str">
        <f>"M_USUARIOS_MASTER"</f>
        <v>M_USUARIOS_MASTER</v>
      </c>
      <c r="G4145" s="2" t="str">
        <f>"Atendimento / Centro Cirúrgico e Obstétrico / Tabelas / Usuários com Privilégios Master (M_USUARIOS_MASTER)"</f>
        <v>Atendimento / Centro Cirúrgico e Obstétrico / Tabelas / Usuários com Privilégios Master (M_USUARIOS_MASTER)</v>
      </c>
    </row>
    <row r="4146" spans="1:7" x14ac:dyDescent="0.3">
      <c r="A4146" s="1" t="s">
        <v>4</v>
      </c>
      <c r="B4146" s="2" t="str">
        <f t="shared" si="348"/>
        <v>SISTEMA DE CENTRO CIRURGICO</v>
      </c>
      <c r="C4146" s="2" t="str">
        <f t="shared" si="349"/>
        <v>INTER</v>
      </c>
      <c r="D4146" s="2" t="str">
        <f t="shared" si="350"/>
        <v>FSCC</v>
      </c>
      <c r="E4146" s="2" t="str">
        <f>"CONSULTA DE PACIENTES"</f>
        <v>CONSULTA DE PACIENTES</v>
      </c>
      <c r="F4146" s="2" t="str">
        <f>"CAD_PAC_FSCC"</f>
        <v>CAD_PAC_FSCC</v>
      </c>
      <c r="G4146" s="2" t="str">
        <f>"Atendimento / Centro Cirúrgico e Obstétrico / Consultas / Pacientes (CAD_PAC_FSCC)"</f>
        <v>Atendimento / Centro Cirúrgico e Obstétrico / Consultas / Pacientes (CAD_PAC_FSCC)</v>
      </c>
    </row>
    <row r="4147" spans="1:7" x14ac:dyDescent="0.3">
      <c r="A4147" s="1" t="s">
        <v>4</v>
      </c>
      <c r="B4147" s="2" t="str">
        <f t="shared" si="348"/>
        <v>SISTEMA DE CENTRO CIRURGICO</v>
      </c>
      <c r="C4147" s="2" t="str">
        <f t="shared" si="349"/>
        <v>INTER</v>
      </c>
      <c r="D4147" s="2" t="str">
        <f t="shared" si="350"/>
        <v>FSCC</v>
      </c>
      <c r="E4147" s="2" t="str">
        <f>"TRIGGER DE DELECAO DE AGENDAMENTO"</f>
        <v>TRIGGER DE DELECAO DE AGENDAMENTO</v>
      </c>
      <c r="F4147" s="2" t="str">
        <f>"TRG_AGE_CIR_A_DEL"</f>
        <v>TRG_AGE_CIR_A_DEL</v>
      </c>
      <c r="G4147" s="2" t="str">
        <f>" ()"</f>
        <v xml:space="preserve"> ()</v>
      </c>
    </row>
    <row r="4148" spans="1:7" x14ac:dyDescent="0.3">
      <c r="A4148" s="1" t="s">
        <v>4</v>
      </c>
      <c r="B4148" s="2" t="str">
        <f t="shared" si="348"/>
        <v>SISTEMA DE CENTRO CIRURGICO</v>
      </c>
      <c r="C4148" s="2" t="str">
        <f t="shared" si="349"/>
        <v>INTER</v>
      </c>
      <c r="D4148" s="2" t="str">
        <f t="shared" si="350"/>
        <v>FSCC</v>
      </c>
      <c r="E4148" s="2" t="str">
        <f>"TELA DO REL. DE TIPOS DE MORTE DE RN"</f>
        <v>TELA DO REL. DE TIPOS DE MORTE DE RN</v>
      </c>
      <c r="F4148" s="2" t="str">
        <f>"R_TIPMOR.FMX"</f>
        <v>R_TIPMOR.FMX</v>
      </c>
      <c r="G4148" s="2" t="str">
        <f>" ()"</f>
        <v xml:space="preserve"> ()</v>
      </c>
    </row>
    <row r="4149" spans="1:7" x14ac:dyDescent="0.3">
      <c r="A4149" s="1" t="s">
        <v>4</v>
      </c>
      <c r="B4149" s="2" t="str">
        <f t="shared" si="348"/>
        <v>SISTEMA DE CENTRO CIRURGICO</v>
      </c>
      <c r="C4149" s="2" t="str">
        <f t="shared" si="349"/>
        <v>INTER</v>
      </c>
      <c r="D4149" s="2" t="str">
        <f t="shared" si="350"/>
        <v>FSCC</v>
      </c>
      <c r="E4149" s="2" t="str">
        <f>"STATUS DE CIRURGIAS REALIZADAS"</f>
        <v>STATUS DE CIRURGIAS REALIZADAS</v>
      </c>
      <c r="F4149" s="2" t="str">
        <f>"R_STATUS_CIRURGIA.RDF"</f>
        <v>R_STATUS_CIRURGIA.RDF</v>
      </c>
      <c r="G4149" s="2" t="str">
        <f>" ()"</f>
        <v xml:space="preserve"> ()</v>
      </c>
    </row>
    <row r="4150" spans="1:7" x14ac:dyDescent="0.3">
      <c r="A4150" s="1" t="s">
        <v>4</v>
      </c>
      <c r="B4150" s="2" t="str">
        <f t="shared" si="348"/>
        <v>SISTEMA DE CENTRO CIRURGICO</v>
      </c>
      <c r="C4150" s="2" t="str">
        <f t="shared" si="349"/>
        <v>INTER</v>
      </c>
      <c r="D4150" s="2" t="str">
        <f t="shared" si="350"/>
        <v>FSCC</v>
      </c>
      <c r="E4150" s="2" t="str">
        <f>"CIRURGIAS SUSPENSAS"</f>
        <v>CIRURGIAS SUSPENSAS</v>
      </c>
      <c r="F4150" s="2" t="str">
        <f>"R_CIRURGIAS_SUSPENSAS"</f>
        <v>R_CIRURGIAS_SUSPENSAS</v>
      </c>
      <c r="G4150" s="2" t="str">
        <f>" ()"</f>
        <v xml:space="preserve"> ()</v>
      </c>
    </row>
    <row r="4151" spans="1:7" x14ac:dyDescent="0.3">
      <c r="A4151" s="1" t="s">
        <v>4</v>
      </c>
      <c r="B4151" s="2" t="str">
        <f t="shared" si="348"/>
        <v>SISTEMA DE CENTRO CIRURGICO</v>
      </c>
      <c r="C4151" s="2" t="str">
        <f t="shared" si="349"/>
        <v>INTER</v>
      </c>
      <c r="D4151" s="2" t="str">
        <f t="shared" si="350"/>
        <v>FSCC</v>
      </c>
      <c r="E4151" s="2" t="str">
        <f>"SUSPENSAO AVISO CIRURGICO"</f>
        <v>SUSPENSAO AVISO CIRURGICO</v>
      </c>
      <c r="F4151" s="2" t="str">
        <f>"M_SUSPENSAO_AVISO_CIRURGICO"</f>
        <v>M_SUSPENSAO_AVISO_CIRURGICO</v>
      </c>
      <c r="G4151" s="2" t="str">
        <f>" ()"</f>
        <v xml:space="preserve"> ()</v>
      </c>
    </row>
    <row r="4152" spans="1:7" x14ac:dyDescent="0.3">
      <c r="A4152" s="1" t="s">
        <v>4</v>
      </c>
      <c r="B4152" s="2" t="str">
        <f t="shared" si="348"/>
        <v>SISTEMA DE CENTRO CIRURGICO</v>
      </c>
      <c r="C4152" s="2" t="str">
        <f t="shared" si="349"/>
        <v>INTER</v>
      </c>
      <c r="D4152" s="2" t="str">
        <f t="shared" si="350"/>
        <v>FSCC</v>
      </c>
      <c r="E4152" s="2" t="str">
        <f>"CADASTRO DE CIRURGIA"</f>
        <v>CADASTRO DE CIRURGIA</v>
      </c>
      <c r="F4152" s="2" t="str">
        <f>"M_CADASTRO_CIRURGIA"</f>
        <v>M_CADASTRO_CIRURGIA</v>
      </c>
      <c r="G4152" s="2" t="str">
        <f>"Atendimento / Centro Cirúrgico e Obstétrico / Centro Cirúrgico / Cadastro da Cirurgia (M_CADASTRO_CIRURGIA)"</f>
        <v>Atendimento / Centro Cirúrgico e Obstétrico / Centro Cirúrgico / Cadastro da Cirurgia (M_CADASTRO_CIRURGIA)</v>
      </c>
    </row>
    <row r="4153" spans="1:7" x14ac:dyDescent="0.3">
      <c r="A4153" s="1" t="s">
        <v>4</v>
      </c>
      <c r="B4153" s="2" t="str">
        <f t="shared" si="348"/>
        <v>SISTEMA DE CENTRO CIRURGICO</v>
      </c>
      <c r="C4153" s="2" t="str">
        <f t="shared" si="349"/>
        <v>INTER</v>
      </c>
      <c r="D4153" s="2" t="str">
        <f t="shared" si="350"/>
        <v>FSCC</v>
      </c>
      <c r="E4153" s="2" t="str">
        <f>"ESTATÍSTICO TIPO DE ANESTESIA"</f>
        <v>ESTATÍSTICO TIPO DE ANESTESIA</v>
      </c>
      <c r="F4153" s="2" t="str">
        <f>"R_EST_TIP_ANEST"</f>
        <v>R_EST_TIP_ANEST</v>
      </c>
      <c r="G4153" s="2" t="str">
        <f>"Atendimento / Centro Cirúrgico e Obstétrico / Relatórios / Estatísticos / Anestesias Realizadas / Sintético (R_EST_TIP_ANEST)"</f>
        <v>Atendimento / Centro Cirúrgico e Obstétrico / Relatórios / Estatísticos / Anestesias Realizadas / Sintético (R_EST_TIP_ANEST)</v>
      </c>
    </row>
    <row r="4154" spans="1:7" x14ac:dyDescent="0.3">
      <c r="A4154" s="1" t="s">
        <v>4</v>
      </c>
      <c r="B4154" s="2" t="str">
        <f t="shared" si="348"/>
        <v>SISTEMA DE CENTRO CIRURGICO</v>
      </c>
      <c r="C4154" s="2" t="str">
        <f t="shared" si="349"/>
        <v>INTER</v>
      </c>
      <c r="D4154" s="2" t="str">
        <f t="shared" si="350"/>
        <v>FSCC</v>
      </c>
      <c r="E4154" s="2" t="str">
        <f>"FICHA PARA CIRURGIA"</f>
        <v>FICHA PARA CIRURGIA</v>
      </c>
      <c r="F4154" s="2" t="str">
        <f>"R_FICHA_PARA_CIR_200"</f>
        <v>R_FICHA_PARA_CIR_200</v>
      </c>
      <c r="G4154" s="2" t="str">
        <f>" ()"</f>
        <v xml:space="preserve"> ()</v>
      </c>
    </row>
    <row r="4155" spans="1:7" x14ac:dyDescent="0.3">
      <c r="A4155" s="1" t="s">
        <v>4</v>
      </c>
      <c r="B4155" s="2" t="str">
        <f t="shared" si="348"/>
        <v>SISTEMA DE CENTRO CIRURGICO</v>
      </c>
      <c r="C4155" s="2" t="str">
        <f t="shared" si="349"/>
        <v>INTER</v>
      </c>
      <c r="D4155" s="2" t="str">
        <f t="shared" si="350"/>
        <v>FSCC</v>
      </c>
      <c r="E4155" s="2" t="str">
        <f>"MAPA DE CIRURGIA"</f>
        <v>MAPA DE CIRURGIA</v>
      </c>
      <c r="F4155" s="2" t="str">
        <f>"R_MAPA_CIR_201"</f>
        <v>R_MAPA_CIR_201</v>
      </c>
      <c r="G4155" s="2" t="str">
        <f>" ()"</f>
        <v xml:space="preserve"> ()</v>
      </c>
    </row>
    <row r="4156" spans="1:7" x14ac:dyDescent="0.3">
      <c r="A4156" s="1" t="s">
        <v>4</v>
      </c>
      <c r="B4156" s="2" t="str">
        <f t="shared" si="348"/>
        <v>SISTEMA DE CENTRO CIRURGICO</v>
      </c>
      <c r="C4156" s="2" t="str">
        <f t="shared" si="349"/>
        <v>INTER</v>
      </c>
      <c r="D4156" s="2" t="str">
        <f t="shared" si="350"/>
        <v>FSCC</v>
      </c>
      <c r="E4156" s="2" t="str">
        <f>"MAPA DE CIRURGIA HOSP. BANDEIRANTES"</f>
        <v>MAPA DE CIRURGIA HOSP. BANDEIRANTES</v>
      </c>
      <c r="F4156" s="2" t="str">
        <f>"R_MAPA_CIR_759"</f>
        <v>R_MAPA_CIR_759</v>
      </c>
      <c r="G4156" s="2" t="str">
        <f>" ()"</f>
        <v xml:space="preserve"> ()</v>
      </c>
    </row>
    <row r="4157" spans="1:7" x14ac:dyDescent="0.3">
      <c r="A4157" s="1" t="s">
        <v>4</v>
      </c>
      <c r="B4157" s="2" t="str">
        <f t="shared" si="348"/>
        <v>SISTEMA DE CENTRO CIRURGICO</v>
      </c>
      <c r="C4157" s="2" t="str">
        <f t="shared" si="349"/>
        <v>INTER</v>
      </c>
      <c r="D4157" s="2" t="str">
        <f t="shared" si="350"/>
        <v>FSCC</v>
      </c>
      <c r="E4157" s="2" t="str">
        <f>"MAPA DE CIRURGIA SÃO MARCOS"</f>
        <v>MAPA DE CIRURGIA SÃO MARCOS</v>
      </c>
      <c r="F4157" s="2" t="str">
        <f>"R_MAPA_CIR_200"</f>
        <v>R_MAPA_CIR_200</v>
      </c>
      <c r="G4157" s="2" t="str">
        <f>" ()"</f>
        <v xml:space="preserve"> ()</v>
      </c>
    </row>
    <row r="4158" spans="1:7" x14ac:dyDescent="0.3">
      <c r="A4158" s="1" t="s">
        <v>4</v>
      </c>
      <c r="B4158" s="2" t="str">
        <f t="shared" si="348"/>
        <v>SISTEMA DE CENTRO CIRURGICO</v>
      </c>
      <c r="C4158" s="2" t="str">
        <f t="shared" si="349"/>
        <v>INTER</v>
      </c>
      <c r="D4158" s="2" t="str">
        <f t="shared" si="350"/>
        <v>FSCC</v>
      </c>
      <c r="E4158" s="2" t="str">
        <f>"CIRURGIAS EXTERNAS REALIZADAS POR CONV"</f>
        <v>CIRURGIAS EXTERNAS REALIZADAS POR CONV</v>
      </c>
      <c r="F4158" s="2" t="str">
        <f>"R_EST_TIP_CONV_MES_EXT"</f>
        <v>R_EST_TIP_CONV_MES_EXT</v>
      </c>
      <c r="G4158" s="2" t="str">
        <f>" ()"</f>
        <v xml:space="preserve"> ()</v>
      </c>
    </row>
    <row r="4159" spans="1:7" x14ac:dyDescent="0.3">
      <c r="A4159" s="1" t="s">
        <v>4</v>
      </c>
      <c r="B4159" s="2" t="str">
        <f t="shared" si="348"/>
        <v>SISTEMA DE CENTRO CIRURGICO</v>
      </c>
      <c r="C4159" s="2" t="str">
        <f t="shared" si="349"/>
        <v>INTER</v>
      </c>
      <c r="D4159" s="2" t="str">
        <f t="shared" si="350"/>
        <v>FSCC</v>
      </c>
      <c r="E4159" s="2" t="str">
        <f>"CIRURGIAS INTERNAS REALIZADAS POR CONV"</f>
        <v>CIRURGIAS INTERNAS REALIZADAS POR CONV</v>
      </c>
      <c r="F4159" s="2" t="str">
        <f>"R_EST_TIP_CONV_MES"</f>
        <v>R_EST_TIP_CONV_MES</v>
      </c>
      <c r="G4159" s="2" t="str">
        <f>"Atendimento / Centro Cirúrgico e Obstétrico / Relatórios / Estatísticos / Cirurgias Realizadas / por Origem x Convênio (R_EST_TIP_CONV_MES)"</f>
        <v>Atendimento / Centro Cirúrgico e Obstétrico / Relatórios / Estatísticos / Cirurgias Realizadas / por Origem x Convênio (R_EST_TIP_CONV_MES)</v>
      </c>
    </row>
    <row r="4160" spans="1:7" x14ac:dyDescent="0.3">
      <c r="A4160" s="1" t="s">
        <v>4</v>
      </c>
      <c r="B4160" s="2" t="str">
        <f t="shared" si="348"/>
        <v>SISTEMA DE CENTRO CIRURGICO</v>
      </c>
      <c r="C4160" s="2" t="str">
        <f t="shared" si="349"/>
        <v>INTER</v>
      </c>
      <c r="D4160" s="2" t="str">
        <f t="shared" si="350"/>
        <v>FSCC</v>
      </c>
      <c r="E4160" s="2" t="str">
        <f>"RELAT. ESTAT. DE CIRURGIA POR PRESTADIR"</f>
        <v>RELAT. ESTAT. DE CIRURGIA POR PRESTADIR</v>
      </c>
      <c r="F4160" s="2" t="str">
        <f>"R_EST_CIR_PREST_C"</f>
        <v>R_EST_CIR_PREST_C</v>
      </c>
      <c r="G4160" s="2" t="str">
        <f>" ()"</f>
        <v xml:space="preserve"> ()</v>
      </c>
    </row>
    <row r="4161" spans="1:7" x14ac:dyDescent="0.3">
      <c r="A4161" s="1" t="s">
        <v>4</v>
      </c>
      <c r="B4161" s="2" t="str">
        <f t="shared" si="348"/>
        <v>SISTEMA DE CENTRO CIRURGICO</v>
      </c>
      <c r="C4161" s="2" t="str">
        <f t="shared" si="349"/>
        <v>INTER</v>
      </c>
      <c r="D4161" s="2" t="str">
        <f t="shared" si="350"/>
        <v>FSCC</v>
      </c>
      <c r="E4161" s="2" t="str">
        <f>"RELAT. ESTAT. DE  CIRURGIA POR PRESTADOR"</f>
        <v>RELAT. ESTAT. DE  CIRURGIA POR PRESTADOR</v>
      </c>
      <c r="F4161" s="2" t="str">
        <f>"R_EST_CIR_PREST"</f>
        <v>R_EST_CIR_PREST</v>
      </c>
      <c r="G4161" s="2" t="str">
        <f>"Atendimento / Centro Cirúrgico e Obstétrico / Relatórios / Estatísticos / Cirurgias Realizadas / por Prestador (R_EST_CIR_PREST)"</f>
        <v>Atendimento / Centro Cirúrgico e Obstétrico / Relatórios / Estatísticos / Cirurgias Realizadas / por Prestador (R_EST_CIR_PREST)</v>
      </c>
    </row>
    <row r="4162" spans="1:7" x14ac:dyDescent="0.3">
      <c r="A4162" s="1" t="s">
        <v>4</v>
      </c>
      <c r="B4162" s="2" t="str">
        <f t="shared" si="348"/>
        <v>SISTEMA DE CENTRO CIRURGICO</v>
      </c>
      <c r="C4162" s="2" t="str">
        <f t="shared" si="349"/>
        <v>INTER</v>
      </c>
      <c r="D4162" s="2" t="str">
        <f t="shared" si="350"/>
        <v>FSCC</v>
      </c>
      <c r="E4162" s="2" t="str">
        <f>"GERA HORÁRIO LIVRE PARA AGENDAMENTOS"</f>
        <v>GERA HORÁRIO LIVRE PARA AGENDAMENTOS</v>
      </c>
      <c r="F4162" s="2" t="str">
        <f>"O_GERA_HORARIO"</f>
        <v>O_GERA_HORARIO</v>
      </c>
      <c r="G4162" s="2" t="str">
        <f>"Atendimento / Centro Cirúrgico e Obstétrico / Centro Cirúrgico / Geração de Horário Livre (O_GERA_HORARIO)"</f>
        <v>Atendimento / Centro Cirúrgico e Obstétrico / Centro Cirúrgico / Geração de Horário Livre (O_GERA_HORARIO)</v>
      </c>
    </row>
    <row r="4163" spans="1:7" x14ac:dyDescent="0.3">
      <c r="A4163" s="1" t="s">
        <v>4</v>
      </c>
      <c r="B4163" s="2" t="str">
        <f t="shared" si="348"/>
        <v>SISTEMA DE CENTRO CIRURGICO</v>
      </c>
      <c r="C4163" s="2" t="str">
        <f t="shared" si="349"/>
        <v>INTER</v>
      </c>
      <c r="D4163" s="2" t="str">
        <f t="shared" si="350"/>
        <v>FSCC</v>
      </c>
      <c r="E4163" s="2" t="str">
        <f>"TABELA CENTRO CIRURGICO"</f>
        <v>TABELA CENTRO CIRURGICO</v>
      </c>
      <c r="F4163" s="2" t="str">
        <f>"R_CENCIR"</f>
        <v>R_CENCIR</v>
      </c>
      <c r="G4163" s="2" t="str">
        <f>"Atendimento / Centro Cirúrgico e Obstétrico / Relatórios / Tabelas / Centro Cirúrgico (R_CENCIR)"</f>
        <v>Atendimento / Centro Cirúrgico e Obstétrico / Relatórios / Tabelas / Centro Cirúrgico (R_CENCIR)</v>
      </c>
    </row>
    <row r="4164" spans="1:7" x14ac:dyDescent="0.3">
      <c r="A4164" s="1" t="s">
        <v>4</v>
      </c>
      <c r="B4164" s="2" t="str">
        <f t="shared" si="348"/>
        <v>SISTEMA DE CENTRO CIRURGICO</v>
      </c>
      <c r="C4164" s="2" t="str">
        <f t="shared" si="349"/>
        <v>INTER</v>
      </c>
      <c r="D4164" s="2" t="str">
        <f t="shared" si="350"/>
        <v>FSCC</v>
      </c>
      <c r="E4164" s="2" t="str">
        <f>"TABELA EQUIPAMENTO POR CIRURGIA"</f>
        <v>TABELA EQUIPAMENTO POR CIRURGIA</v>
      </c>
      <c r="F4164" s="2" t="str">
        <f>"R_EQUIPTO_CIR"</f>
        <v>R_EQUIPTO_CIR</v>
      </c>
      <c r="G4164" s="2" t="str">
        <f>"Atendimento / Centro Cirúrgico e Obstétrico / Relatórios / Tabelas / Equipamentos por Cirurgia (R_EQUIPTO_CIR)"</f>
        <v>Atendimento / Centro Cirúrgico e Obstétrico / Relatórios / Tabelas / Equipamentos por Cirurgia (R_EQUIPTO_CIR)</v>
      </c>
    </row>
    <row r="4165" spans="1:7" x14ac:dyDescent="0.3">
      <c r="A4165" s="1" t="s">
        <v>4</v>
      </c>
      <c r="B4165" s="2" t="str">
        <f t="shared" si="348"/>
        <v>SISTEMA DE CENTRO CIRURGICO</v>
      </c>
      <c r="C4165" s="2" t="str">
        <f t="shared" si="349"/>
        <v>INTER</v>
      </c>
      <c r="D4165" s="2" t="str">
        <f t="shared" si="350"/>
        <v>FSCC</v>
      </c>
      <c r="E4165" s="2" t="str">
        <f>"RECÉM-NASCIDOS S/ ATENDIMENTO CADASTRADO"</f>
        <v>RECÉM-NASCIDOS S/ ATENDIMENTO CADASTRADO</v>
      </c>
      <c r="F4165" s="2" t="str">
        <f>"R_LISTA_RN_SEM_ATENDE"</f>
        <v>R_LISTA_RN_SEM_ATENDE</v>
      </c>
      <c r="G4165" s="2" t="str">
        <f>"Atendimento / Centro Cirúrgico e Obstétrico / Relatórios / Operacionais / Recém-Nascidos sem Atendimento Cadastrado (R_LISTA_RN_SEM_ATENDE)"</f>
        <v>Atendimento / Centro Cirúrgico e Obstétrico / Relatórios / Operacionais / Recém-Nascidos sem Atendimento Cadastrado (R_LISTA_RN_SEM_ATENDE)</v>
      </c>
    </row>
    <row r="4166" spans="1:7" x14ac:dyDescent="0.3">
      <c r="A4166" s="1" t="s">
        <v>4</v>
      </c>
      <c r="B4166" s="2" t="str">
        <f t="shared" si="348"/>
        <v>SISTEMA DE CENTRO CIRURGICO</v>
      </c>
      <c r="C4166" s="2" t="str">
        <f t="shared" si="349"/>
        <v>INTER</v>
      </c>
      <c r="D4166" s="2" t="str">
        <f t="shared" si="350"/>
        <v>FSCC</v>
      </c>
      <c r="E4166" s="2" t="str">
        <f>"WIN_PRINCIPAL - HOSPITAL MV SISTEMAS"</f>
        <v>WIN_PRINCIPAL - HOSPITAL MV SISTEMAS</v>
      </c>
      <c r="F4166" s="2" t="str">
        <f>"M_CAD_CIR"</f>
        <v>M_CAD_CIR</v>
      </c>
      <c r="G4166" s="2" t="str">
        <f>" ()"</f>
        <v xml:space="preserve"> ()</v>
      </c>
    </row>
    <row r="4167" spans="1:7" x14ac:dyDescent="0.3">
      <c r="A4167" s="1" t="s">
        <v>4</v>
      </c>
      <c r="B4167" s="2" t="str">
        <f t="shared" si="348"/>
        <v>SISTEMA DE CENTRO CIRURGICO</v>
      </c>
      <c r="C4167" s="2" t="str">
        <f t="shared" si="349"/>
        <v>INTER</v>
      </c>
      <c r="D4167" s="2" t="str">
        <f t="shared" si="350"/>
        <v>FSCC</v>
      </c>
      <c r="E4167" s="2" t="str">
        <f>"CIRURGIAS REALIZADAS POR ESPECIALIDADE"</f>
        <v>CIRURGIAS REALIZADAS POR ESPECIALIDADE</v>
      </c>
      <c r="F4167" s="2" t="str">
        <f>"R_CIR_ESPEC_376"</f>
        <v>R_CIR_ESPEC_376</v>
      </c>
      <c r="G4167" s="2" t="str">
        <f>" ()"</f>
        <v xml:space="preserve"> ()</v>
      </c>
    </row>
    <row r="4168" spans="1:7" x14ac:dyDescent="0.3">
      <c r="A4168" s="1" t="s">
        <v>4</v>
      </c>
      <c r="B4168" s="2" t="str">
        <f t="shared" si="348"/>
        <v>SISTEMA DE CENTRO CIRURGICO</v>
      </c>
      <c r="C4168" s="2" t="str">
        <f t="shared" si="349"/>
        <v>INTER</v>
      </c>
      <c r="D4168" s="2" t="str">
        <f t="shared" si="350"/>
        <v>FSCC</v>
      </c>
      <c r="E4168" s="2" t="str">
        <f>"CONSULTA DE PACIENTES AGENDADOS"</f>
        <v>CONSULTA DE PACIENTES AGENDADOS</v>
      </c>
      <c r="F4168" s="2" t="str">
        <f>"C_AGECIR"</f>
        <v>C_AGECIR</v>
      </c>
      <c r="G4168" s="2" t="str">
        <f>"Atendimento / Centro Cirúrgico e Obstétrico / Consultas / Agenda / Pacientes Agendados (C_AGECIR)"</f>
        <v>Atendimento / Centro Cirúrgico e Obstétrico / Consultas / Agenda / Pacientes Agendados (C_AGECIR)</v>
      </c>
    </row>
    <row r="4169" spans="1:7" x14ac:dyDescent="0.3">
      <c r="A4169" s="1" t="s">
        <v>4</v>
      </c>
      <c r="B4169" s="2" t="str">
        <f t="shared" si="348"/>
        <v>SISTEMA DE CENTRO CIRURGICO</v>
      </c>
      <c r="C4169" s="2" t="str">
        <f t="shared" si="349"/>
        <v>INTER</v>
      </c>
      <c r="D4169" s="2" t="str">
        <f t="shared" si="350"/>
        <v>FSCC</v>
      </c>
      <c r="E4169" s="2" t="str">
        <f>"CIRURGIA REALIZADA POR DATA - ANALÍTICO"</f>
        <v>CIRURGIA REALIZADA POR DATA - ANALÍTICO</v>
      </c>
      <c r="F4169" s="2" t="str">
        <f>"R_CIR_DATA"</f>
        <v>R_CIR_DATA</v>
      </c>
      <c r="G4169" s="2" t="str">
        <f>"Clínica e Assistencial / Controle de Infecção Hospitalar / Relatórios / Estatísticos / Cirurgias Realizadas no Período / Relatórios - Análitico (R_CIR_DATA)"</f>
        <v>Clínica e Assistencial / Controle de Infecção Hospitalar / Relatórios / Estatísticos / Cirurgias Realizadas no Período / Relatórios - Análitico (R_CIR_DATA)</v>
      </c>
    </row>
    <row r="4170" spans="1:7" x14ac:dyDescent="0.3">
      <c r="A4170" s="1" t="s">
        <v>4</v>
      </c>
      <c r="B4170" s="2" t="str">
        <f t="shared" si="348"/>
        <v>SISTEMA DE CENTRO CIRURGICO</v>
      </c>
      <c r="C4170" s="2" t="str">
        <f t="shared" si="349"/>
        <v>INTER</v>
      </c>
      <c r="D4170" s="2" t="str">
        <f t="shared" si="350"/>
        <v>FSCC</v>
      </c>
      <c r="E4170" s="2" t="str">
        <f>"CIRURGIA REALIZADA POR DATA - ANALÍTICO"</f>
        <v>CIRURGIA REALIZADA POR DATA - ANALÍTICO</v>
      </c>
      <c r="F4170" s="2" t="str">
        <f>"R_CIR_DATA"</f>
        <v>R_CIR_DATA</v>
      </c>
      <c r="G4170" s="2" t="str">
        <f>"Clínica e Assistencial / Controle de Infecção Hospitalar / Relatórios / Operacionais / Relatórios - Cirurgias Realizadas por Mês (R_CIR_DATA)"</f>
        <v>Clínica e Assistencial / Controle de Infecção Hospitalar / Relatórios / Operacionais / Relatórios - Cirurgias Realizadas por Mês (R_CIR_DATA)</v>
      </c>
    </row>
    <row r="4171" spans="1:7" x14ac:dyDescent="0.3">
      <c r="A4171" s="1" t="s">
        <v>4</v>
      </c>
      <c r="B4171" s="2" t="str">
        <f t="shared" si="348"/>
        <v>SISTEMA DE CENTRO CIRURGICO</v>
      </c>
      <c r="C4171" s="2" t="str">
        <f t="shared" si="349"/>
        <v>INTER</v>
      </c>
      <c r="D4171" s="2" t="str">
        <f t="shared" si="350"/>
        <v>FSCC</v>
      </c>
      <c r="E4171" s="2" t="str">
        <f>"CIRURGIA REALIZADA POR DATA - ANALÍTICO"</f>
        <v>CIRURGIA REALIZADA POR DATA - ANALÍTICO</v>
      </c>
      <c r="F4171" s="2" t="str">
        <f>"R_CIR_DATA"</f>
        <v>R_CIR_DATA</v>
      </c>
      <c r="G4171" s="2" t="str">
        <f>"Atendimento / Centro Cirúrgico e Obstétrico / Relatórios / Administrativos / Cirurgias Realizadas no Período / Analítico (R_CIR_DATA)"</f>
        <v>Atendimento / Centro Cirúrgico e Obstétrico / Relatórios / Administrativos / Cirurgias Realizadas no Período / Analítico (R_CIR_DATA)</v>
      </c>
    </row>
    <row r="4172" spans="1:7" x14ac:dyDescent="0.3">
      <c r="A4172" s="1" t="s">
        <v>4</v>
      </c>
      <c r="B4172" s="2" t="str">
        <f t="shared" si="348"/>
        <v>SISTEMA DE CENTRO CIRURGICO</v>
      </c>
      <c r="C4172" s="2" t="str">
        <f t="shared" si="349"/>
        <v>INTER</v>
      </c>
      <c r="D4172" s="2" t="str">
        <f t="shared" si="350"/>
        <v>FSCC</v>
      </c>
      <c r="E4172" s="2" t="str">
        <f>"MAPA DE CIRURGIA CARACTER HOSP. BAND"</f>
        <v>MAPA DE CIRURGIA CARACTER HOSP. BAND</v>
      </c>
      <c r="F4172" s="2" t="str">
        <f>"R_MAPA_CIR_BAND_CARACT"</f>
        <v>R_MAPA_CIR_BAND_CARACT</v>
      </c>
      <c r="G4172" s="2" t="str">
        <f>" ()"</f>
        <v xml:space="preserve"> ()</v>
      </c>
    </row>
    <row r="4173" spans="1:7" x14ac:dyDescent="0.3">
      <c r="A4173" s="1" t="s">
        <v>4</v>
      </c>
      <c r="B4173" s="2" t="str">
        <f t="shared" si="348"/>
        <v>SISTEMA DE CENTRO CIRURGICO</v>
      </c>
      <c r="C4173" s="2" t="str">
        <f t="shared" si="349"/>
        <v>INTER</v>
      </c>
      <c r="D4173" s="2" t="str">
        <f t="shared" si="350"/>
        <v>FSCC</v>
      </c>
      <c r="E4173" s="2" t="str">
        <f>"MAPA DE CIRURGIA HOSP. BANDEIRANTES"</f>
        <v>MAPA DE CIRURGIA HOSP. BANDEIRANTES</v>
      </c>
      <c r="F4173" s="2" t="str">
        <f>"R_MAPA_CIR_BAND"</f>
        <v>R_MAPA_CIR_BAND</v>
      </c>
      <c r="G4173" s="2" t="str">
        <f>" ()"</f>
        <v xml:space="preserve"> ()</v>
      </c>
    </row>
    <row r="4174" spans="1:7" x14ac:dyDescent="0.3">
      <c r="A4174" s="1" t="s">
        <v>4</v>
      </c>
      <c r="B4174" s="2" t="str">
        <f t="shared" si="348"/>
        <v>SISTEMA DE CENTRO CIRURGICO</v>
      </c>
      <c r="C4174" s="2" t="str">
        <f t="shared" si="349"/>
        <v>INTER</v>
      </c>
      <c r="D4174" s="2" t="str">
        <f t="shared" si="350"/>
        <v>FSCC</v>
      </c>
      <c r="E4174" s="2" t="str">
        <f>"CADASTRO: PRODUTO PARA CAIXA CIRÚRGICA"</f>
        <v>CADASTRO: PRODUTO PARA CAIXA CIRÚRGICA</v>
      </c>
      <c r="F4174" s="2" t="str">
        <f>"M_CAIXA_CIRURGICA"</f>
        <v>M_CAIXA_CIRURGICA</v>
      </c>
      <c r="G4174" s="2" t="str">
        <f>"Atendimento / Centro Cirúrgico e Obstétrico / Tabelas / Caixa Cirúrgica (M_CAIXA_CIRURGICA)"</f>
        <v>Atendimento / Centro Cirúrgico e Obstétrico / Tabelas / Caixa Cirúrgica (M_CAIXA_CIRURGICA)</v>
      </c>
    </row>
    <row r="4175" spans="1:7" x14ac:dyDescent="0.3">
      <c r="A4175" s="1" t="s">
        <v>4</v>
      </c>
      <c r="B4175" s="2" t="str">
        <f t="shared" si="348"/>
        <v>SISTEMA DE CENTRO CIRURGICO</v>
      </c>
      <c r="C4175" s="2" t="str">
        <f t="shared" si="349"/>
        <v>INTER</v>
      </c>
      <c r="D4175" s="2" t="str">
        <f t="shared" si="350"/>
        <v>FSCC</v>
      </c>
      <c r="E4175" s="2" t="str">
        <f>"CIRURGIAS POR ANESTESIA"</f>
        <v>CIRURGIAS POR ANESTESIA</v>
      </c>
      <c r="F4175" s="2" t="str">
        <f>"R_CIR_ANEST"</f>
        <v>R_CIR_ANEST</v>
      </c>
      <c r="G4175" s="2" t="str">
        <f>"Atendimento / Centro Cirúrgico e Obstétrico / Relatórios / Estatísticos / Cirurgias por Anestesia (R_CIR_ANEST)"</f>
        <v>Atendimento / Centro Cirúrgico e Obstétrico / Relatórios / Estatísticos / Cirurgias por Anestesia (R_CIR_ANEST)</v>
      </c>
    </row>
    <row r="4176" spans="1:7" x14ac:dyDescent="0.3">
      <c r="A4176" s="1" t="s">
        <v>4</v>
      </c>
      <c r="B4176" s="2" t="str">
        <f t="shared" si="348"/>
        <v>SISTEMA DE CENTRO CIRURGICO</v>
      </c>
      <c r="C4176" s="2" t="str">
        <f t="shared" si="349"/>
        <v>INTER</v>
      </c>
      <c r="D4176" s="2" t="str">
        <f t="shared" si="350"/>
        <v>FSCC</v>
      </c>
      <c r="E4176" s="2" t="str">
        <f>"Caller Relatórios Personalizados do FSCC"</f>
        <v>Caller Relatórios Personalizados do FSCC</v>
      </c>
      <c r="F4176" s="2" t="str">
        <f>"R_PERSON_FSCC"</f>
        <v>R_PERSON_FSCC</v>
      </c>
      <c r="G4176" s="2" t="str">
        <f>"Atendimento / Centro Cirúrgico e Obstétrico / Relatórios / Personalizados (R_PERSON_FSCC)"</f>
        <v>Atendimento / Centro Cirúrgico e Obstétrico / Relatórios / Personalizados (R_PERSON_FSCC)</v>
      </c>
    </row>
    <row r="4177" spans="1:7" x14ac:dyDescent="0.3">
      <c r="A4177" s="1" t="s">
        <v>4</v>
      </c>
      <c r="B4177" s="2" t="str">
        <f t="shared" si="348"/>
        <v>SISTEMA DE CENTRO CIRURGICO</v>
      </c>
      <c r="C4177" s="2" t="str">
        <f t="shared" si="349"/>
        <v>INTER</v>
      </c>
      <c r="D4177" s="2" t="str">
        <f t="shared" si="350"/>
        <v>FSCC</v>
      </c>
      <c r="E4177" s="2" t="str">
        <f>"ESPECIALIDADE POR PRESTADOR"</f>
        <v>ESPECIALIDADE POR PRESTADOR</v>
      </c>
      <c r="F4177" s="2" t="str">
        <f>"R_EST_ESPEC_PREST_CARACT"</f>
        <v>R_EST_ESPEC_PREST_CARACT</v>
      </c>
      <c r="G4177" s="2" t="str">
        <f>" ()"</f>
        <v xml:space="preserve"> ()</v>
      </c>
    </row>
    <row r="4178" spans="1:7" x14ac:dyDescent="0.3">
      <c r="A4178" s="1" t="s">
        <v>4</v>
      </c>
      <c r="B4178" s="2" t="str">
        <f t="shared" si="348"/>
        <v>SISTEMA DE CENTRO CIRURGICO</v>
      </c>
      <c r="C4178" s="2" t="str">
        <f t="shared" si="349"/>
        <v>INTER</v>
      </c>
      <c r="D4178" s="2" t="str">
        <f t="shared" si="350"/>
        <v>FSCC</v>
      </c>
      <c r="E4178" s="2" t="str">
        <f>"ESPECIALIDADE POR PRESTADOR"</f>
        <v>ESPECIALIDADE POR PRESTADOR</v>
      </c>
      <c r="F4178" s="2" t="str">
        <f>"R_EST_ESPEC_PREST"</f>
        <v>R_EST_ESPEC_PREST</v>
      </c>
      <c r="G4178" s="2" t="str">
        <f>"Atendimento / Centro Cirúrgico e Obstétrico / Relatórios / Estatísticos / Especialidades por Prestador (R_EST_ESPEC_PREST)"</f>
        <v>Atendimento / Centro Cirúrgico e Obstétrico / Relatórios / Estatísticos / Especialidades por Prestador (R_EST_ESPEC_PREST)</v>
      </c>
    </row>
    <row r="4179" spans="1:7" x14ac:dyDescent="0.3">
      <c r="A4179" s="1" t="s">
        <v>4</v>
      </c>
      <c r="B4179" s="2" t="str">
        <f t="shared" ref="B4179:B4242" si="353">"SISTEMA DE CENTRO CIRURGICO"</f>
        <v>SISTEMA DE CENTRO CIRURGICO</v>
      </c>
      <c r="C4179" s="2" t="str">
        <f t="shared" ref="C4179:C4242" si="354">"INTER"</f>
        <v>INTER</v>
      </c>
      <c r="D4179" s="2" t="str">
        <f t="shared" ref="D4179:D4242" si="355">"FSCC"</f>
        <v>FSCC</v>
      </c>
      <c r="E4179" s="2" t="str">
        <f>"MAPA DE CIRURGIA"</f>
        <v>MAPA DE CIRURGIA</v>
      </c>
      <c r="F4179" s="2" t="str">
        <f>"R_MAPA_CIR_HTO"</f>
        <v>R_MAPA_CIR_HTO</v>
      </c>
      <c r="G4179" s="2" t="str">
        <f>" ()"</f>
        <v xml:space="preserve"> ()</v>
      </c>
    </row>
    <row r="4180" spans="1:7" x14ac:dyDescent="0.3">
      <c r="A4180" s="1" t="s">
        <v>4</v>
      </c>
      <c r="B4180" s="2" t="str">
        <f t="shared" si="353"/>
        <v>SISTEMA DE CENTRO CIRURGICO</v>
      </c>
      <c r="C4180" s="2" t="str">
        <f t="shared" si="354"/>
        <v>INTER</v>
      </c>
      <c r="D4180" s="2" t="str">
        <f t="shared" si="355"/>
        <v>FSCC</v>
      </c>
      <c r="E4180" s="2" t="str">
        <f>"MAPA DE CIRURGIA CARACTER"</f>
        <v>MAPA DE CIRURGIA CARACTER</v>
      </c>
      <c r="F4180" s="2" t="str">
        <f>"R_MAPA_CIR_HTO_CARACT"</f>
        <v>R_MAPA_CIR_HTO_CARACT</v>
      </c>
      <c r="G4180" s="2" t="str">
        <f>" ()"</f>
        <v xml:space="preserve"> ()</v>
      </c>
    </row>
    <row r="4181" spans="1:7" x14ac:dyDescent="0.3">
      <c r="A4181" s="1" t="s">
        <v>4</v>
      </c>
      <c r="B4181" s="2" t="str">
        <f t="shared" si="353"/>
        <v>SISTEMA DE CENTRO CIRURGICO</v>
      </c>
      <c r="C4181" s="2" t="str">
        <f t="shared" si="354"/>
        <v>INTER</v>
      </c>
      <c r="D4181" s="2" t="str">
        <f t="shared" si="355"/>
        <v>FSCC</v>
      </c>
      <c r="E4181" s="2" t="str">
        <f>"FICHA PARA CIRURGIA"</f>
        <v>FICHA PARA CIRURGIA</v>
      </c>
      <c r="F4181" s="2" t="str">
        <f>"R_FICHA_PARA_CIR_HSM"</f>
        <v>R_FICHA_PARA_CIR_HSM</v>
      </c>
      <c r="G4181" s="2" t="str">
        <f>" ()"</f>
        <v xml:space="preserve"> ()</v>
      </c>
    </row>
    <row r="4182" spans="1:7" x14ac:dyDescent="0.3">
      <c r="A4182" s="1" t="s">
        <v>4</v>
      </c>
      <c r="B4182" s="2" t="str">
        <f t="shared" si="353"/>
        <v>SISTEMA DE CENTRO CIRURGICO</v>
      </c>
      <c r="C4182" s="2" t="str">
        <f t="shared" si="354"/>
        <v>INTER</v>
      </c>
      <c r="D4182" s="2" t="str">
        <f t="shared" si="355"/>
        <v>FSCC</v>
      </c>
      <c r="E4182" s="2" t="str">
        <f>"MAPA DE CIRURGIA CARACTER"</f>
        <v>MAPA DE CIRURGIA CARACTER</v>
      </c>
      <c r="F4182" s="2" t="str">
        <f>"R_MAPA_CIR_CARACT"</f>
        <v>R_MAPA_CIR_CARACT</v>
      </c>
      <c r="G4182" s="2" t="str">
        <f>" ()"</f>
        <v xml:space="preserve"> ()</v>
      </c>
    </row>
    <row r="4183" spans="1:7" x14ac:dyDescent="0.3">
      <c r="A4183" s="1" t="s">
        <v>4</v>
      </c>
      <c r="B4183" s="2" t="str">
        <f t="shared" si="353"/>
        <v>SISTEMA DE CENTRO CIRURGICO</v>
      </c>
      <c r="C4183" s="2" t="str">
        <f t="shared" si="354"/>
        <v>INTER</v>
      </c>
      <c r="D4183" s="2" t="str">
        <f t="shared" si="355"/>
        <v>FSCC</v>
      </c>
      <c r="E4183" s="2" t="str">
        <f>"ESTAT. DE CIR. REALIZADAS POR PRESTADOR"</f>
        <v>ESTAT. DE CIR. REALIZADAS POR PRESTADOR</v>
      </c>
      <c r="F4183" s="2" t="str">
        <f>"R_CIR_REALIZ_PREST"</f>
        <v>R_CIR_REALIZ_PREST</v>
      </c>
      <c r="G4183" s="2" t="str">
        <f>"Atendimento / Centro Cirúrgico e Obstétrico / Relatórios / Estatísticos / Cirurgias Realizadas / por Prestador/Atividade (R_CIR_REALIZ_PREST)"</f>
        <v>Atendimento / Centro Cirúrgico e Obstétrico / Relatórios / Estatísticos / Cirurgias Realizadas / por Prestador/Atividade (R_CIR_REALIZ_PREST)</v>
      </c>
    </row>
    <row r="4184" spans="1:7" x14ac:dyDescent="0.3">
      <c r="A4184" s="1" t="s">
        <v>4</v>
      </c>
      <c r="B4184" s="2" t="str">
        <f t="shared" si="353"/>
        <v>SISTEMA DE CENTRO CIRURGICO</v>
      </c>
      <c r="C4184" s="2" t="str">
        <f t="shared" si="354"/>
        <v>INTER</v>
      </c>
      <c r="D4184" s="2" t="str">
        <f t="shared" si="355"/>
        <v>FSCC</v>
      </c>
      <c r="E4184" s="2" t="str">
        <f>"TRANSFERÊNCIA PARA CENTRO CIRÚRGICO"</f>
        <v>TRANSFERÊNCIA PARA CENTRO CIRÚRGICO</v>
      </c>
      <c r="F4184" s="2" t="str">
        <f>"O_TRANSF_CC_RPA"</f>
        <v>O_TRANSF_CC_RPA</v>
      </c>
      <c r="G4184" s="2" t="str">
        <f>"MVSaude / Atendimento / Autorizações de Guias / Internação / Atendimento / Transferência de Paciente / Transferência para Centro Cirúrgico / RPA (O_TRANSF_CC_RPA)"</f>
        <v>MVSaude / Atendimento / Autorizações de Guias / Internação / Atendimento / Transferência de Paciente / Transferência para Centro Cirúrgico / RPA (O_TRANSF_CC_RPA)</v>
      </c>
    </row>
    <row r="4185" spans="1:7" x14ac:dyDescent="0.3">
      <c r="A4185" s="1" t="s">
        <v>4</v>
      </c>
      <c r="B4185" s="2" t="str">
        <f t="shared" si="353"/>
        <v>SISTEMA DE CENTRO CIRURGICO</v>
      </c>
      <c r="C4185" s="2" t="str">
        <f t="shared" si="354"/>
        <v>INTER</v>
      </c>
      <c r="D4185" s="2" t="str">
        <f t="shared" si="355"/>
        <v>FSCC</v>
      </c>
      <c r="E4185" s="2" t="str">
        <f>"TRANSFERÊNCIA PARA CENTRO CIRÚRGICO"</f>
        <v>TRANSFERÊNCIA PARA CENTRO CIRÚRGICO</v>
      </c>
      <c r="F4185" s="2" t="str">
        <f>"O_TRANSF_CC_RPA"</f>
        <v>O_TRANSF_CC_RPA</v>
      </c>
      <c r="G4185" s="2" t="str">
        <f>"Atendimento / Centro Cirúrgico e Obstétrico / Centro Cirúrgico / Transferência de Paciente / Transferência para Centro Cirúrgico (O_TRANSF_CC_RPA)"</f>
        <v>Atendimento / Centro Cirúrgico e Obstétrico / Centro Cirúrgico / Transferência de Paciente / Transferência para Centro Cirúrgico (O_TRANSF_CC_RPA)</v>
      </c>
    </row>
    <row r="4186" spans="1:7" x14ac:dyDescent="0.3">
      <c r="A4186" s="1" t="s">
        <v>4</v>
      </c>
      <c r="B4186" s="2" t="str">
        <f t="shared" si="353"/>
        <v>SISTEMA DE CENTRO CIRURGICO</v>
      </c>
      <c r="C4186" s="2" t="str">
        <f t="shared" si="354"/>
        <v>INTER</v>
      </c>
      <c r="D4186" s="2" t="str">
        <f t="shared" si="355"/>
        <v>FSCC</v>
      </c>
      <c r="E4186" s="2" t="str">
        <f>"TRANSFERÊNCIA PARA CENTRO CIRÚRGICO"</f>
        <v>TRANSFERÊNCIA PARA CENTRO CIRÚRGICO</v>
      </c>
      <c r="F4186" s="2" t="str">
        <f>"O_TRANSF_CC_RPA"</f>
        <v>O_TRANSF_CC_RPA</v>
      </c>
      <c r="G4186" s="2" t="str">
        <f>"MVSaude / Vendas / Internação / Atendimento / Transferência de Paciente / Transferência para Centro Cirúrgico / RPA (O_TRANSF_CC_RPA)"</f>
        <v>MVSaude / Vendas / Internação / Atendimento / Transferência de Paciente / Transferência para Centro Cirúrgico / RPA (O_TRANSF_CC_RPA)</v>
      </c>
    </row>
    <row r="4187" spans="1:7" x14ac:dyDescent="0.3">
      <c r="A4187" s="1" t="s">
        <v>4</v>
      </c>
      <c r="B4187" s="2" t="str">
        <f t="shared" si="353"/>
        <v>SISTEMA DE CENTRO CIRURGICO</v>
      </c>
      <c r="C4187" s="2" t="str">
        <f t="shared" si="354"/>
        <v>INTER</v>
      </c>
      <c r="D4187" s="2" t="str">
        <f t="shared" si="355"/>
        <v>FSCC</v>
      </c>
      <c r="E4187" s="2" t="str">
        <f>"REL. DE CIRURGIAS CANCELADAS"</f>
        <v>REL. DE CIRURGIAS CANCELADAS</v>
      </c>
      <c r="F4187" s="2" t="str">
        <f>"R_CIR_CANCE_CARACT"</f>
        <v>R_CIR_CANCE_CARACT</v>
      </c>
      <c r="G4187" s="2" t="str">
        <f>" ()"</f>
        <v xml:space="preserve"> ()</v>
      </c>
    </row>
    <row r="4188" spans="1:7" x14ac:dyDescent="0.3">
      <c r="A4188" s="1" t="s">
        <v>4</v>
      </c>
      <c r="B4188" s="2" t="str">
        <f t="shared" si="353"/>
        <v>SISTEMA DE CENTRO CIRURGICO</v>
      </c>
      <c r="C4188" s="2" t="str">
        <f t="shared" si="354"/>
        <v>INTER</v>
      </c>
      <c r="D4188" s="2" t="str">
        <f t="shared" si="355"/>
        <v>FSCC</v>
      </c>
      <c r="E4188" s="2" t="str">
        <f>"R_CIR_REALIZ_PORTE_ESPEC"</f>
        <v>R_CIR_REALIZ_PORTE_ESPEC</v>
      </c>
      <c r="F4188" s="2" t="str">
        <f>"R_CIR_REALIZ_PORTE_ESPEC"</f>
        <v>R_CIR_REALIZ_PORTE_ESPEC</v>
      </c>
      <c r="G4188" s="2" t="str">
        <f>"Clínica e Assistencial / Controle de Infecção Hospitalar / Relatórios / Estatísticos / Relatórios - Cirurgias Realizadas por Porte x Especialidade (R_CIR_REALIZ_PORTE_ESPEC)"</f>
        <v>Clínica e Assistencial / Controle de Infecção Hospitalar / Relatórios / Estatísticos / Relatórios - Cirurgias Realizadas por Porte x Especialidade (R_CIR_REALIZ_PORTE_ESPEC)</v>
      </c>
    </row>
    <row r="4189" spans="1:7" x14ac:dyDescent="0.3">
      <c r="A4189" s="1" t="s">
        <v>4</v>
      </c>
      <c r="B4189" s="2" t="str">
        <f t="shared" si="353"/>
        <v>SISTEMA DE CENTRO CIRURGICO</v>
      </c>
      <c r="C4189" s="2" t="str">
        <f t="shared" si="354"/>
        <v>INTER</v>
      </c>
      <c r="D4189" s="2" t="str">
        <f t="shared" si="355"/>
        <v>FSCC</v>
      </c>
      <c r="E4189" s="2" t="str">
        <f>"R_CIR_REALIZ_PORTE_ESPEC"</f>
        <v>R_CIR_REALIZ_PORTE_ESPEC</v>
      </c>
      <c r="F4189" s="2" t="str">
        <f>"R_CIR_REALIZ_PORTE_ESPEC"</f>
        <v>R_CIR_REALIZ_PORTE_ESPEC</v>
      </c>
      <c r="G4189" s="2" t="str">
        <f>"Atendimento / Centro Cirúrgico e Obstétrico / Relatórios / Estatísticos / Cirurgias Realizadas / por Porte x Especialidade  (R_CIR_REALIZ_PORTE_ESPEC)"</f>
        <v>Atendimento / Centro Cirúrgico e Obstétrico / Relatórios / Estatísticos / Cirurgias Realizadas / por Porte x Especialidade  (R_CIR_REALIZ_PORTE_ESPEC)</v>
      </c>
    </row>
    <row r="4190" spans="1:7" x14ac:dyDescent="0.3">
      <c r="A4190" s="1" t="s">
        <v>4</v>
      </c>
      <c r="B4190" s="2" t="str">
        <f t="shared" si="353"/>
        <v>SISTEMA DE CENTRO CIRURGICO</v>
      </c>
      <c r="C4190" s="2" t="str">
        <f t="shared" si="354"/>
        <v>INTER</v>
      </c>
      <c r="D4190" s="2" t="str">
        <f t="shared" si="355"/>
        <v>FSCC</v>
      </c>
      <c r="E4190" s="2" t="str">
        <f>"REL CIRURGIAS A REALIZAR P/ CENTRO CIRUR"</f>
        <v>REL CIRURGIAS A REALIZAR P/ CENTRO CIRUR</v>
      </c>
      <c r="F4190" s="2" t="str">
        <f>"R_CIR_A_REALIZAR_959"</f>
        <v>R_CIR_A_REALIZAR_959</v>
      </c>
      <c r="G4190" s="2" t="str">
        <f>" ()"</f>
        <v xml:space="preserve"> ()</v>
      </c>
    </row>
    <row r="4191" spans="1:7" x14ac:dyDescent="0.3">
      <c r="A4191" s="1" t="s">
        <v>4</v>
      </c>
      <c r="B4191" s="2" t="str">
        <f t="shared" si="353"/>
        <v>SISTEMA DE CENTRO CIRURGICO</v>
      </c>
      <c r="C4191" s="2" t="str">
        <f t="shared" si="354"/>
        <v>INTER</v>
      </c>
      <c r="D4191" s="2" t="str">
        <f t="shared" si="355"/>
        <v>FSCC</v>
      </c>
      <c r="E4191" s="2" t="str">
        <f>"CADASTRO DE RECÉM-NASCIDO"</f>
        <v>CADASTRO DE RECÉM-NASCIDO</v>
      </c>
      <c r="F4191" s="2" t="str">
        <f>"R_CAD_REC_NASCIDO"</f>
        <v>R_CAD_REC_NASCIDO</v>
      </c>
      <c r="G4191" s="2" t="str">
        <f>"Atendimento / Centro Cirúrgico e Obstétrico / Relatórios / Operacionais / Cadastro do Recém-Nascido (R_CAD_REC_NASCIDO)"</f>
        <v>Atendimento / Centro Cirúrgico e Obstétrico / Relatórios / Operacionais / Cadastro do Recém-Nascido (R_CAD_REC_NASCIDO)</v>
      </c>
    </row>
    <row r="4192" spans="1:7" x14ac:dyDescent="0.3">
      <c r="A4192" s="1" t="s">
        <v>4</v>
      </c>
      <c r="B4192" s="2" t="str">
        <f t="shared" si="353"/>
        <v>SISTEMA DE CENTRO CIRURGICO</v>
      </c>
      <c r="C4192" s="2" t="str">
        <f t="shared" si="354"/>
        <v>INTER</v>
      </c>
      <c r="D4192" s="2" t="str">
        <f t="shared" si="355"/>
        <v>FSCC</v>
      </c>
      <c r="E4192" s="2" t="str">
        <f>"WIN_PRINCIPAL"</f>
        <v>WIN_PRINCIPAL</v>
      </c>
      <c r="F4192" s="2" t="str">
        <f>"R_STATUS_CIRURGIA"</f>
        <v>R_STATUS_CIRURGIA</v>
      </c>
      <c r="G4192" s="2" t="str">
        <f>"Atendimento / Centro Cirúrgico e Obstétrico / Relatórios / Operacionais / Status Cirurgias Realizadas   (R_STATUS_CIRURGIA)"</f>
        <v>Atendimento / Centro Cirúrgico e Obstétrico / Relatórios / Operacionais / Status Cirurgias Realizadas   (R_STATUS_CIRURGIA)</v>
      </c>
    </row>
    <row r="4193" spans="1:7" x14ac:dyDescent="0.3">
      <c r="A4193" s="1" t="s">
        <v>4</v>
      </c>
      <c r="B4193" s="2" t="str">
        <f t="shared" si="353"/>
        <v>SISTEMA DE CENTRO CIRURGICO</v>
      </c>
      <c r="C4193" s="2" t="str">
        <f t="shared" si="354"/>
        <v>INTER</v>
      </c>
      <c r="D4193" s="2" t="str">
        <f t="shared" si="355"/>
        <v>FSCC</v>
      </c>
      <c r="E4193" s="2" t="str">
        <f>"AVISOS DO PACIENTE DA CIRURGIA"</f>
        <v>AVISOS DO PACIENTE DA CIRURGIA</v>
      </c>
      <c r="F4193" s="2" t="str">
        <f>"M_CAD_OBS"</f>
        <v>M_CAD_OBS</v>
      </c>
      <c r="G4193" s="2" t="str">
        <f>"MVSaude / Vendas / Internação / Consultas / Avisos do Paciente da Cirurgia (M_CAD_OBS)"</f>
        <v>MVSaude / Vendas / Internação / Consultas / Avisos do Paciente da Cirurgia (M_CAD_OBS)</v>
      </c>
    </row>
    <row r="4194" spans="1:7" x14ac:dyDescent="0.3">
      <c r="A4194" s="1" t="s">
        <v>4</v>
      </c>
      <c r="B4194" s="2" t="str">
        <f t="shared" si="353"/>
        <v>SISTEMA DE CENTRO CIRURGICO</v>
      </c>
      <c r="C4194" s="2" t="str">
        <f t="shared" si="354"/>
        <v>INTER</v>
      </c>
      <c r="D4194" s="2" t="str">
        <f t="shared" si="355"/>
        <v>FSCC</v>
      </c>
      <c r="E4194" s="2" t="str">
        <f>"AVISOS DO PACIENTE DA CIRURGIA"</f>
        <v>AVISOS DO PACIENTE DA CIRURGIA</v>
      </c>
      <c r="F4194" s="2" t="str">
        <f>"M_CAD_OBS"</f>
        <v>M_CAD_OBS</v>
      </c>
      <c r="G4194" s="2" t="str">
        <f>"MVSaude / Atendimento / Autorizações de Guias / Internação / Atendimento / Registros / Avisos do Paciente da Cirurgia (M_CAD_OBS)"</f>
        <v>MVSaude / Atendimento / Autorizações de Guias / Internação / Atendimento / Registros / Avisos do Paciente da Cirurgia (M_CAD_OBS)</v>
      </c>
    </row>
    <row r="4195" spans="1:7" x14ac:dyDescent="0.3">
      <c r="A4195" s="1" t="s">
        <v>4</v>
      </c>
      <c r="B4195" s="2" t="str">
        <f t="shared" si="353"/>
        <v>SISTEMA DE CENTRO CIRURGICO</v>
      </c>
      <c r="C4195" s="2" t="str">
        <f t="shared" si="354"/>
        <v>INTER</v>
      </c>
      <c r="D4195" s="2" t="str">
        <f t="shared" si="355"/>
        <v>FSCC</v>
      </c>
      <c r="E4195" s="2" t="str">
        <f>"AVISOS DO PACIENTE DA CIRURGIA"</f>
        <v>AVISOS DO PACIENTE DA CIRURGIA</v>
      </c>
      <c r="F4195" s="2" t="str">
        <f>"M_CAD_OBS"</f>
        <v>M_CAD_OBS</v>
      </c>
      <c r="G4195" s="2" t="str">
        <f>"MVSaude / Atendimento / Autorizações de Guias / Internação / Consultas / Avisos do Paciente da Cirurgia (M_CAD_OBS)"</f>
        <v>MVSaude / Atendimento / Autorizações de Guias / Internação / Consultas / Avisos do Paciente da Cirurgia (M_CAD_OBS)</v>
      </c>
    </row>
    <row r="4196" spans="1:7" x14ac:dyDescent="0.3">
      <c r="A4196" s="1" t="s">
        <v>4</v>
      </c>
      <c r="B4196" s="2" t="str">
        <f t="shared" si="353"/>
        <v>SISTEMA DE CENTRO CIRURGICO</v>
      </c>
      <c r="C4196" s="2" t="str">
        <f t="shared" si="354"/>
        <v>INTER</v>
      </c>
      <c r="D4196" s="2" t="str">
        <f t="shared" si="355"/>
        <v>FSCC</v>
      </c>
      <c r="E4196" s="2" t="str">
        <f>"AVISOS DO PACIENTE DA CIRURGIA"</f>
        <v>AVISOS DO PACIENTE DA CIRURGIA</v>
      </c>
      <c r="F4196" s="2" t="str">
        <f>"M_CAD_OBS"</f>
        <v>M_CAD_OBS</v>
      </c>
      <c r="G4196" s="2" t="str">
        <f>"MVSaude / Vendas / Internação / Atendimento / Registros / Avisos do Paciente da Cirurgia (M_CAD_OBS)"</f>
        <v>MVSaude / Vendas / Internação / Atendimento / Registros / Avisos do Paciente da Cirurgia (M_CAD_OBS)</v>
      </c>
    </row>
    <row r="4197" spans="1:7" x14ac:dyDescent="0.3">
      <c r="A4197" s="1" t="s">
        <v>4</v>
      </c>
      <c r="B4197" s="2" t="str">
        <f t="shared" si="353"/>
        <v>SISTEMA DE CENTRO CIRURGICO</v>
      </c>
      <c r="C4197" s="2" t="str">
        <f t="shared" si="354"/>
        <v>INTER</v>
      </c>
      <c r="D4197" s="2" t="str">
        <f t="shared" si="355"/>
        <v>FSCC</v>
      </c>
      <c r="E4197" s="2" t="str">
        <f>"AVISOS DO PACIENTE DA CIRURGIA"</f>
        <v>AVISOS DO PACIENTE DA CIRURGIA</v>
      </c>
      <c r="F4197" s="2" t="str">
        <f>"M_CAD_OBS"</f>
        <v>M_CAD_OBS</v>
      </c>
      <c r="G4197" s="2" t="str">
        <f>"Atendimento / Centro Cirúrgico e Obstétrico / Centro Cirúrgico / Avisos do Paciente da Cirurgia (M_CAD_OBS)"</f>
        <v>Atendimento / Centro Cirúrgico e Obstétrico / Centro Cirúrgico / Avisos do Paciente da Cirurgia (M_CAD_OBS)</v>
      </c>
    </row>
    <row r="4198" spans="1:7" x14ac:dyDescent="0.3">
      <c r="A4198" s="1" t="s">
        <v>4</v>
      </c>
      <c r="B4198" s="2" t="str">
        <f t="shared" si="353"/>
        <v>SISTEMA DE CENTRO CIRURGICO</v>
      </c>
      <c r="C4198" s="2" t="str">
        <f t="shared" si="354"/>
        <v>INTER</v>
      </c>
      <c r="D4198" s="2" t="str">
        <f t="shared" si="355"/>
        <v>FSCC</v>
      </c>
      <c r="E4198" s="2" t="str">
        <f>"CONSULTA DE RECÉM-NASCIDOS"</f>
        <v>CONSULTA DE RECÉM-NASCIDOS</v>
      </c>
      <c r="F4198" s="2" t="str">
        <f>"C_REC_NASCIDO"</f>
        <v>C_REC_NASCIDO</v>
      </c>
      <c r="G4198" s="2" t="str">
        <f>"Atendimento / Centro Cirúrgico e Obstétrico / Consultas / Recém-Nascidos (C_REC_NASCIDO)"</f>
        <v>Atendimento / Centro Cirúrgico e Obstétrico / Consultas / Recém-Nascidos (C_REC_NASCIDO)</v>
      </c>
    </row>
    <row r="4199" spans="1:7" x14ac:dyDescent="0.3">
      <c r="A4199" s="1" t="s">
        <v>4</v>
      </c>
      <c r="B4199" s="2" t="str">
        <f t="shared" si="353"/>
        <v>SISTEMA DE CENTRO CIRURGICO</v>
      </c>
      <c r="C4199" s="2" t="str">
        <f t="shared" si="354"/>
        <v>INTER</v>
      </c>
      <c r="D4199" s="2" t="str">
        <f t="shared" si="355"/>
        <v>FSCC</v>
      </c>
      <c r="E4199" s="2" t="str">
        <f>"REL. ESTAT. PARTOS POR PRESTADOR"</f>
        <v>REL. ESTAT. PARTOS POR PRESTADOR</v>
      </c>
      <c r="F4199" s="2" t="str">
        <f>"R_EST_PARTO_PRESTADOR"</f>
        <v>R_EST_PARTO_PRESTADOR</v>
      </c>
      <c r="G4199" s="2" t="str">
        <f>"Atendimento / Centro Cirúrgico e Obstétrico / Relatórios / Estatísticos / Partos por Prestador (R_EST_PARTO_PRESTADOR)"</f>
        <v>Atendimento / Centro Cirúrgico e Obstétrico / Relatórios / Estatísticos / Partos por Prestador (R_EST_PARTO_PRESTADOR)</v>
      </c>
    </row>
    <row r="4200" spans="1:7" x14ac:dyDescent="0.3">
      <c r="A4200" s="1" t="s">
        <v>4</v>
      </c>
      <c r="B4200" s="2" t="str">
        <f t="shared" si="353"/>
        <v>SISTEMA DE CENTRO CIRURGICO</v>
      </c>
      <c r="C4200" s="2" t="str">
        <f t="shared" si="354"/>
        <v>INTER</v>
      </c>
      <c r="D4200" s="2" t="str">
        <f t="shared" si="355"/>
        <v>FSCC</v>
      </c>
      <c r="E4200" s="2" t="str">
        <f>"ESTATÍSTICA DE RECÉM-NASCIDOS"</f>
        <v>ESTATÍSTICA DE RECÉM-NASCIDOS</v>
      </c>
      <c r="F4200" s="2" t="str">
        <f>"R_EST_REC_NASCIDO"</f>
        <v>R_EST_REC_NASCIDO</v>
      </c>
      <c r="G4200" s="2" t="str">
        <f>"Atendimento / Centro Cirúrgico e Obstétrico / Relatórios / Estatísticos / Recém-Nascidos (R_EST_REC_NASCIDO)"</f>
        <v>Atendimento / Centro Cirúrgico e Obstétrico / Relatórios / Estatísticos / Recém-Nascidos (R_EST_REC_NASCIDO)</v>
      </c>
    </row>
    <row r="4201" spans="1:7" x14ac:dyDescent="0.3">
      <c r="A4201" s="1" t="s">
        <v>4</v>
      </c>
      <c r="B4201" s="2" t="str">
        <f t="shared" si="353"/>
        <v>SISTEMA DE CENTRO CIRURGICO</v>
      </c>
      <c r="C4201" s="2" t="str">
        <f t="shared" si="354"/>
        <v>INTER</v>
      </c>
      <c r="D4201" s="2" t="str">
        <f t="shared" si="355"/>
        <v>FSCC</v>
      </c>
      <c r="E4201" s="2" t="str">
        <f>"REL DE MOTIVOS DE PARTO POR TIPO DE PART"</f>
        <v>REL DE MOTIVOS DE PARTO POR TIPO DE PART</v>
      </c>
      <c r="F4201" s="2" t="str">
        <f>"R_MOTIVO_PARTO"</f>
        <v>R_MOTIVO_PARTO</v>
      </c>
      <c r="G4201" s="2" t="str">
        <f>"Atendimento / Centro Cirúrgico e Obstétrico / Relatórios / Operacionais / Partos por Motivo (R_MOTIVO_PARTO)"</f>
        <v>Atendimento / Centro Cirúrgico e Obstétrico / Relatórios / Operacionais / Partos por Motivo (R_MOTIVO_PARTO)</v>
      </c>
    </row>
    <row r="4202" spans="1:7" x14ac:dyDescent="0.3">
      <c r="A4202" s="1" t="s">
        <v>4</v>
      </c>
      <c r="B4202" s="2" t="str">
        <f t="shared" si="353"/>
        <v>SISTEMA DE CENTRO CIRURGICO</v>
      </c>
      <c r="C4202" s="2" t="str">
        <f t="shared" si="354"/>
        <v>INTER</v>
      </c>
      <c r="D4202" s="2" t="str">
        <f t="shared" si="355"/>
        <v>FSCC</v>
      </c>
      <c r="E4202" s="2" t="str">
        <f>"CADASTRO DE MOTIVOS DE PARTOS"</f>
        <v>CADASTRO DE MOTIVOS DE PARTOS</v>
      </c>
      <c r="F4202" s="2" t="str">
        <f>"M_MOTIVO_PARTO"</f>
        <v>M_MOTIVO_PARTO</v>
      </c>
      <c r="G4202" s="2" t="str">
        <f>"Atendimento / Centro Cirúrgico e Obstétrico / Tabelas / Motivos de Parto (M_MOTIVO_PARTO)"</f>
        <v>Atendimento / Centro Cirúrgico e Obstétrico / Tabelas / Motivos de Parto (M_MOTIVO_PARTO)</v>
      </c>
    </row>
    <row r="4203" spans="1:7" x14ac:dyDescent="0.3">
      <c r="A4203" s="1" t="s">
        <v>4</v>
      </c>
      <c r="B4203" s="2" t="str">
        <f t="shared" si="353"/>
        <v>SISTEMA DE CENTRO CIRURGICO</v>
      </c>
      <c r="C4203" s="2" t="str">
        <f t="shared" si="354"/>
        <v>INTER</v>
      </c>
      <c r="D4203" s="2" t="str">
        <f t="shared" si="355"/>
        <v>FSCC</v>
      </c>
      <c r="E4203" s="2" t="str">
        <f>"CADASTRO DE TIPOS DE PARTOS"</f>
        <v>CADASTRO DE TIPOS DE PARTOS</v>
      </c>
      <c r="F4203" s="2" t="str">
        <f>"M_TIPPARTO"</f>
        <v>M_TIPPARTO</v>
      </c>
      <c r="G4203" s="2" t="str">
        <f>"Atendimento / Centro Cirúrgico e Obstétrico / Tabelas / Tipo de Parto (M_TIPPARTO)"</f>
        <v>Atendimento / Centro Cirúrgico e Obstétrico / Tabelas / Tipo de Parto (M_TIPPARTO)</v>
      </c>
    </row>
    <row r="4204" spans="1:7" x14ac:dyDescent="0.3">
      <c r="A4204" s="1" t="s">
        <v>4</v>
      </c>
      <c r="B4204" s="2" t="str">
        <f t="shared" si="353"/>
        <v>SISTEMA DE CENTRO CIRURGICO</v>
      </c>
      <c r="C4204" s="2" t="str">
        <f t="shared" si="354"/>
        <v>INTER</v>
      </c>
      <c r="D4204" s="2" t="str">
        <f t="shared" si="355"/>
        <v>FSCC</v>
      </c>
      <c r="E4204" s="2" t="str">
        <f>"RELATÓRIO DE CIRURGIAS ATRASADAS"</f>
        <v>RELATÓRIO DE CIRURGIAS ATRASADAS</v>
      </c>
      <c r="F4204" s="2" t="str">
        <f>"R_CIR_ATRASO"</f>
        <v>R_CIR_ATRASO</v>
      </c>
      <c r="G4204" s="2" t="str">
        <f>"Atendimento / Centro Cirúrgico e Obstétrico / Relatórios / Estatísticos / Cirurgias Atrasadas (R_CIR_ATRASO)"</f>
        <v>Atendimento / Centro Cirúrgico e Obstétrico / Relatórios / Estatísticos / Cirurgias Atrasadas (R_CIR_ATRASO)</v>
      </c>
    </row>
    <row r="4205" spans="1:7" x14ac:dyDescent="0.3">
      <c r="A4205" s="1" t="s">
        <v>4</v>
      </c>
      <c r="B4205" s="2" t="str">
        <f t="shared" si="353"/>
        <v>SISTEMA DE CENTRO CIRURGICO</v>
      </c>
      <c r="C4205" s="2" t="str">
        <f t="shared" si="354"/>
        <v>INTER</v>
      </c>
      <c r="D4205" s="2" t="str">
        <f t="shared" si="355"/>
        <v>FSCC</v>
      </c>
      <c r="E4205" s="2" t="str">
        <f>"RELATORIO DE RN"</f>
        <v>RELATORIO DE RN</v>
      </c>
      <c r="F4205" s="2" t="str">
        <f>"R_ADM_RN"</f>
        <v>R_ADM_RN</v>
      </c>
      <c r="G4205" s="2" t="str">
        <f>" ()"</f>
        <v xml:space="preserve"> ()</v>
      </c>
    </row>
    <row r="4206" spans="1:7" x14ac:dyDescent="0.3">
      <c r="A4206" s="1" t="s">
        <v>4</v>
      </c>
      <c r="B4206" s="2" t="str">
        <f t="shared" si="353"/>
        <v>SISTEMA DE CENTRO CIRURGICO</v>
      </c>
      <c r="C4206" s="2" t="str">
        <f t="shared" si="354"/>
        <v>INTER</v>
      </c>
      <c r="D4206" s="2" t="str">
        <f t="shared" si="355"/>
        <v>FSCC</v>
      </c>
      <c r="E4206" s="2" t="str">
        <f>"TELA DO REL. DE MOTIVOS DE INTERD. SALA"</f>
        <v>TELA DO REL. DE MOTIVOS DE INTERD. SALA</v>
      </c>
      <c r="F4206" s="2" t="str">
        <f>"R_MOTINT_SAL"</f>
        <v>R_MOTINT_SAL</v>
      </c>
      <c r="G4206" s="2" t="str">
        <f>"Atendimento / Centro Cirúrgico e Obstétrico / Relatórios / Tabelas / Motivo de Interdição de Sala (R_MOTINT_SAL)"</f>
        <v>Atendimento / Centro Cirúrgico e Obstétrico / Relatórios / Tabelas / Motivo de Interdição de Sala (R_MOTINT_SAL)</v>
      </c>
    </row>
    <row r="4207" spans="1:7" x14ac:dyDescent="0.3">
      <c r="A4207" s="1" t="s">
        <v>4</v>
      </c>
      <c r="B4207" s="2" t="str">
        <f t="shared" si="353"/>
        <v>SISTEMA DE CENTRO CIRURGICO</v>
      </c>
      <c r="C4207" s="2" t="str">
        <f t="shared" si="354"/>
        <v>INTER</v>
      </c>
      <c r="D4207" s="2" t="str">
        <f t="shared" si="355"/>
        <v>FSCC</v>
      </c>
      <c r="E4207" s="2" t="str">
        <f>"TESTE"</f>
        <v>TESTE</v>
      </c>
      <c r="F4207" s="2" t="str">
        <f>"R_MODULO_TESTE"</f>
        <v>R_MODULO_TESTE</v>
      </c>
      <c r="G4207" s="2" t="str">
        <f>" ()"</f>
        <v xml:space="preserve"> ()</v>
      </c>
    </row>
    <row r="4208" spans="1:7" x14ac:dyDescent="0.3">
      <c r="A4208" s="1" t="s">
        <v>4</v>
      </c>
      <c r="B4208" s="2" t="str">
        <f t="shared" si="353"/>
        <v>SISTEMA DE CENTRO CIRURGICO</v>
      </c>
      <c r="C4208" s="2" t="str">
        <f t="shared" si="354"/>
        <v>INTER</v>
      </c>
      <c r="D4208" s="2" t="str">
        <f t="shared" si="355"/>
        <v>FSCC</v>
      </c>
      <c r="E4208" s="2" t="str">
        <f>"R_MAPA_CIR_755"</f>
        <v>R_MAPA_CIR_755</v>
      </c>
      <c r="F4208" s="2" t="str">
        <f>"R_MAPA_CIR_755"</f>
        <v>R_MAPA_CIR_755</v>
      </c>
      <c r="G4208" s="2" t="str">
        <f>" ()"</f>
        <v xml:space="preserve"> ()</v>
      </c>
    </row>
    <row r="4209" spans="1:7" x14ac:dyDescent="0.3">
      <c r="A4209" s="1" t="s">
        <v>4</v>
      </c>
      <c r="B4209" s="2" t="str">
        <f t="shared" si="353"/>
        <v>SISTEMA DE CENTRO CIRURGICO</v>
      </c>
      <c r="C4209" s="2" t="str">
        <f t="shared" si="354"/>
        <v>INTER</v>
      </c>
      <c r="D4209" s="2" t="str">
        <f t="shared" si="355"/>
        <v>FSCC</v>
      </c>
      <c r="E4209" s="2" t="str">
        <f>"TELA DO REL. DE MAPA CIRÚRGICO"</f>
        <v>TELA DO REL. DE MAPA CIRÚRGICO</v>
      </c>
      <c r="F4209" s="2" t="str">
        <f>"R_MAPA_CIR.FMX"</f>
        <v>R_MAPA_CIR.FMX</v>
      </c>
      <c r="G4209" s="2" t="str">
        <f>" ()"</f>
        <v xml:space="preserve"> ()</v>
      </c>
    </row>
    <row r="4210" spans="1:7" x14ac:dyDescent="0.3">
      <c r="A4210" s="1" t="s">
        <v>4</v>
      </c>
      <c r="B4210" s="2" t="str">
        <f t="shared" si="353"/>
        <v>SISTEMA DE CENTRO CIRURGICO</v>
      </c>
      <c r="C4210" s="2" t="str">
        <f t="shared" si="354"/>
        <v>INTER</v>
      </c>
      <c r="D4210" s="2" t="str">
        <f t="shared" si="355"/>
        <v>FSCC</v>
      </c>
      <c r="E4210" s="2" t="str">
        <f>"FICHA PARA CIRURGIA"</f>
        <v>FICHA PARA CIRURGIA</v>
      </c>
      <c r="F4210" s="2" t="str">
        <f>"R_FICHA_PARA_CIR_757"</f>
        <v>R_FICHA_PARA_CIR_757</v>
      </c>
      <c r="G4210" s="2" t="str">
        <f>" ()"</f>
        <v xml:space="preserve"> ()</v>
      </c>
    </row>
    <row r="4211" spans="1:7" x14ac:dyDescent="0.3">
      <c r="A4211" s="1" t="s">
        <v>4</v>
      </c>
      <c r="B4211" s="2" t="str">
        <f t="shared" si="353"/>
        <v>SISTEMA DE CENTRO CIRURGICO</v>
      </c>
      <c r="C4211" s="2" t="str">
        <f t="shared" si="354"/>
        <v>INTER</v>
      </c>
      <c r="D4211" s="2" t="str">
        <f t="shared" si="355"/>
        <v>FSCC</v>
      </c>
      <c r="E4211" s="2" t="str">
        <f>"TRANSFERENCIA DE CIRURGIA"</f>
        <v>TRANSFERENCIA DE CIRURGIA</v>
      </c>
      <c r="F4211" s="2" t="str">
        <f>"M_TRANS_CIRURGIA"</f>
        <v>M_TRANS_CIRURGIA</v>
      </c>
      <c r="G4211" s="2" t="str">
        <f>"Atendimento / Centro Cirúrgico e Obstétrico / Centro Cirúrgico / Transferência de Paciente (M_TRANS_CIRURGIA)"</f>
        <v>Atendimento / Centro Cirúrgico e Obstétrico / Centro Cirúrgico / Transferência de Paciente (M_TRANS_CIRURGIA)</v>
      </c>
    </row>
    <row r="4212" spans="1:7" x14ac:dyDescent="0.3">
      <c r="A4212" s="1" t="s">
        <v>4</v>
      </c>
      <c r="B4212" s="2" t="str">
        <f t="shared" si="353"/>
        <v>SISTEMA DE CENTRO CIRURGICO</v>
      </c>
      <c r="C4212" s="2" t="str">
        <f t="shared" si="354"/>
        <v>INTER</v>
      </c>
      <c r="D4212" s="2" t="str">
        <f t="shared" si="355"/>
        <v>FSCC</v>
      </c>
      <c r="E4212" s="2" t="str">
        <f>"INTERDICAO DE SALA DE CIRURGIA"</f>
        <v>INTERDICAO DE SALA DE CIRURGIA</v>
      </c>
      <c r="F4212" s="2" t="str">
        <f>"O_INTSAL"</f>
        <v>O_INTSAL</v>
      </c>
      <c r="G4212" s="2" t="str">
        <f>" ()"</f>
        <v xml:space="preserve"> ()</v>
      </c>
    </row>
    <row r="4213" spans="1:7" x14ac:dyDescent="0.3">
      <c r="A4213" s="1" t="s">
        <v>4</v>
      </c>
      <c r="B4213" s="2" t="str">
        <f t="shared" si="353"/>
        <v>SISTEMA DE CENTRO CIRURGICO</v>
      </c>
      <c r="C4213" s="2" t="str">
        <f t="shared" si="354"/>
        <v>INTER</v>
      </c>
      <c r="D4213" s="2" t="str">
        <f t="shared" si="355"/>
        <v>FSCC</v>
      </c>
      <c r="E4213" s="2" t="str">
        <f>"INTERDICAO DE SALA DE CIRURGIA"</f>
        <v>INTERDICAO DE SALA DE CIRURGIA</v>
      </c>
      <c r="F4213" s="2" t="str">
        <f>"O_INTSAL_CIR"</f>
        <v>O_INTSAL_CIR</v>
      </c>
      <c r="G4213" s="2" t="str">
        <f>"Atendimento / Centro Cirúrgico e Obstétrico / Centro Cirúrgico / Interdição de Sala de Cirurgia (O_INTSAL_CIR)"</f>
        <v>Atendimento / Centro Cirúrgico e Obstétrico / Centro Cirúrgico / Interdição de Sala de Cirurgia (O_INTSAL_CIR)</v>
      </c>
    </row>
    <row r="4214" spans="1:7" x14ac:dyDescent="0.3">
      <c r="A4214" s="1" t="s">
        <v>4</v>
      </c>
      <c r="B4214" s="2" t="str">
        <f t="shared" si="353"/>
        <v>SISTEMA DE CENTRO CIRURGICO</v>
      </c>
      <c r="C4214" s="2" t="str">
        <f t="shared" si="354"/>
        <v>INTER</v>
      </c>
      <c r="D4214" s="2" t="str">
        <f t="shared" si="355"/>
        <v>FSCC</v>
      </c>
      <c r="E4214" s="2" t="str">
        <f>"TRANSFERENCIA DE CIRURGIA"</f>
        <v>TRANSFERENCIA DE CIRURGIA</v>
      </c>
      <c r="F4214" s="2" t="str">
        <f>"O_TRANSCIR"</f>
        <v>O_TRANSCIR</v>
      </c>
      <c r="G4214" s="2" t="str">
        <f>"Atendimento / Centro Cirúrgico e Obstétrico / Centro Cirúrgico / Transferência de Cirurgia (O_TRANSCIR)"</f>
        <v>Atendimento / Centro Cirúrgico e Obstétrico / Centro Cirúrgico / Transferência de Cirurgia (O_TRANSCIR)</v>
      </c>
    </row>
    <row r="4215" spans="1:7" x14ac:dyDescent="0.3">
      <c r="A4215" s="1" t="s">
        <v>4</v>
      </c>
      <c r="B4215" s="2" t="str">
        <f t="shared" si="353"/>
        <v>SISTEMA DE CENTRO CIRURGICO</v>
      </c>
      <c r="C4215" s="2" t="str">
        <f t="shared" si="354"/>
        <v>INTER</v>
      </c>
      <c r="D4215" s="2" t="str">
        <f t="shared" si="355"/>
        <v>FSCC</v>
      </c>
      <c r="E4215" s="2" t="str">
        <f>"R_CIRURGIA_DIA_900"</f>
        <v>R_CIRURGIA_DIA_900</v>
      </c>
      <c r="F4215" s="2" t="str">
        <f>"R_CIRURGIA_DIA_900"</f>
        <v>R_CIRURGIA_DIA_900</v>
      </c>
      <c r="G4215" s="2" t="str">
        <f t="shared" ref="G4215:G4256" si="356">" ()"</f>
        <v xml:space="preserve"> ()</v>
      </c>
    </row>
    <row r="4216" spans="1:7" x14ac:dyDescent="0.3">
      <c r="A4216" s="1" t="s">
        <v>4</v>
      </c>
      <c r="B4216" s="2" t="str">
        <f t="shared" si="353"/>
        <v>SISTEMA DE CENTRO CIRURGICO</v>
      </c>
      <c r="C4216" s="2" t="str">
        <f t="shared" si="354"/>
        <v>INTER</v>
      </c>
      <c r="D4216" s="2" t="str">
        <f t="shared" si="355"/>
        <v>FSCC</v>
      </c>
      <c r="E4216" s="2" t="str">
        <f>"R_ESPECIALIDADE_376"</f>
        <v>R_ESPECIALIDADE_376</v>
      </c>
      <c r="F4216" s="2" t="str">
        <f>"R_ESPECIALIDADE_376"</f>
        <v>R_ESPECIALIDADE_376</v>
      </c>
      <c r="G4216" s="2" t="str">
        <f t="shared" si="356"/>
        <v xml:space="preserve"> ()</v>
      </c>
    </row>
    <row r="4217" spans="1:7" x14ac:dyDescent="0.3">
      <c r="A4217" s="1" t="s">
        <v>4</v>
      </c>
      <c r="B4217" s="2" t="str">
        <f t="shared" si="353"/>
        <v>SISTEMA DE CENTRO CIRURGICO</v>
      </c>
      <c r="C4217" s="2" t="str">
        <f t="shared" si="354"/>
        <v>INTER</v>
      </c>
      <c r="D4217" s="2" t="str">
        <f t="shared" si="355"/>
        <v>FSCC</v>
      </c>
      <c r="E4217" s="2" t="str">
        <f>"R_CIR_POR_PROC_376"</f>
        <v>R_CIR_POR_PROC_376</v>
      </c>
      <c r="F4217" s="2" t="str">
        <f>"R_CIR_POR_PROC_376"</f>
        <v>R_CIR_POR_PROC_376</v>
      </c>
      <c r="G4217" s="2" t="str">
        <f t="shared" si="356"/>
        <v xml:space="preserve"> ()</v>
      </c>
    </row>
    <row r="4218" spans="1:7" x14ac:dyDescent="0.3">
      <c r="A4218" s="1" t="s">
        <v>4</v>
      </c>
      <c r="B4218" s="2" t="str">
        <f t="shared" si="353"/>
        <v>SISTEMA DE CENTRO CIRURGICO</v>
      </c>
      <c r="C4218" s="2" t="str">
        <f t="shared" si="354"/>
        <v>INTER</v>
      </c>
      <c r="D4218" s="2" t="str">
        <f t="shared" si="355"/>
        <v>FSCC</v>
      </c>
      <c r="E4218" s="2" t="str">
        <f>"R_PARTURIENTES_297"</f>
        <v>R_PARTURIENTES_297</v>
      </c>
      <c r="F4218" s="2" t="str">
        <f>"R_PARTURIENTES_297"</f>
        <v>R_PARTURIENTES_297</v>
      </c>
      <c r="G4218" s="2" t="str">
        <f t="shared" si="356"/>
        <v xml:space="preserve"> ()</v>
      </c>
    </row>
    <row r="4219" spans="1:7" x14ac:dyDescent="0.3">
      <c r="A4219" s="1" t="s">
        <v>4</v>
      </c>
      <c r="B4219" s="2" t="str">
        <f t="shared" si="353"/>
        <v>SISTEMA DE CENTRO CIRURGICO</v>
      </c>
      <c r="C4219" s="2" t="str">
        <f t="shared" si="354"/>
        <v>INTER</v>
      </c>
      <c r="D4219" s="2" t="str">
        <f t="shared" si="355"/>
        <v>FSCC</v>
      </c>
      <c r="E4219" s="2" t="str">
        <f>"R_EST_PREST_CIR_297"</f>
        <v>R_EST_PREST_CIR_297</v>
      </c>
      <c r="F4219" s="2" t="str">
        <f>"R_EST_PREST_CIR_297"</f>
        <v>R_EST_PREST_CIR_297</v>
      </c>
      <c r="G4219" s="2" t="str">
        <f t="shared" si="356"/>
        <v xml:space="preserve"> ()</v>
      </c>
    </row>
    <row r="4220" spans="1:7" x14ac:dyDescent="0.3">
      <c r="A4220" s="1" t="s">
        <v>4</v>
      </c>
      <c r="B4220" s="2" t="str">
        <f t="shared" si="353"/>
        <v>SISTEMA DE CENTRO CIRURGICO</v>
      </c>
      <c r="C4220" s="2" t="str">
        <f t="shared" si="354"/>
        <v>INTER</v>
      </c>
      <c r="D4220" s="2" t="str">
        <f t="shared" si="355"/>
        <v>FSCC</v>
      </c>
      <c r="E4220" s="2" t="str">
        <f>"R_MAPA_CIR_RES_263"</f>
        <v>R_MAPA_CIR_RES_263</v>
      </c>
      <c r="F4220" s="2" t="str">
        <f>"R_MAPA_CIR_RES_263"</f>
        <v>R_MAPA_CIR_RES_263</v>
      </c>
      <c r="G4220" s="2" t="str">
        <f t="shared" si="356"/>
        <v xml:space="preserve"> ()</v>
      </c>
    </row>
    <row r="4221" spans="1:7" x14ac:dyDescent="0.3">
      <c r="A4221" s="1" t="s">
        <v>4</v>
      </c>
      <c r="B4221" s="2" t="str">
        <f t="shared" si="353"/>
        <v>SISTEMA DE CENTRO CIRURGICO</v>
      </c>
      <c r="C4221" s="2" t="str">
        <f t="shared" si="354"/>
        <v>INTER</v>
      </c>
      <c r="D4221" s="2" t="str">
        <f t="shared" si="355"/>
        <v>FSCC</v>
      </c>
      <c r="E4221" s="2" t="str">
        <f>"R_GASTO_DE_SALA_263"</f>
        <v>R_GASTO_DE_SALA_263</v>
      </c>
      <c r="F4221" s="2" t="str">
        <f>"R_GASTO_DE_SALA_263"</f>
        <v>R_GASTO_DE_SALA_263</v>
      </c>
      <c r="G4221" s="2" t="str">
        <f t="shared" si="356"/>
        <v xml:space="preserve"> ()</v>
      </c>
    </row>
    <row r="4222" spans="1:7" x14ac:dyDescent="0.3">
      <c r="A4222" s="1" t="s">
        <v>4</v>
      </c>
      <c r="B4222" s="2" t="str">
        <f t="shared" si="353"/>
        <v>SISTEMA DE CENTRO CIRURGICO</v>
      </c>
      <c r="C4222" s="2" t="str">
        <f t="shared" si="354"/>
        <v>INTER</v>
      </c>
      <c r="D4222" s="2" t="str">
        <f t="shared" si="355"/>
        <v>FSCC</v>
      </c>
      <c r="E4222" s="2" t="str">
        <f>"R_AGD_INT_TIPACOM_263"</f>
        <v>R_AGD_INT_TIPACOM_263</v>
      </c>
      <c r="F4222" s="2" t="str">
        <f>"R_AGD_INT_TIPACOM_263"</f>
        <v>R_AGD_INT_TIPACOM_263</v>
      </c>
      <c r="G4222" s="2" t="str">
        <f t="shared" si="356"/>
        <v xml:space="preserve"> ()</v>
      </c>
    </row>
    <row r="4223" spans="1:7" x14ac:dyDescent="0.3">
      <c r="A4223" s="1" t="s">
        <v>4</v>
      </c>
      <c r="B4223" s="2" t="str">
        <f t="shared" si="353"/>
        <v>SISTEMA DE CENTRO CIRURGICO</v>
      </c>
      <c r="C4223" s="2" t="str">
        <f t="shared" si="354"/>
        <v>INTER</v>
      </c>
      <c r="D4223" s="2" t="str">
        <f t="shared" si="355"/>
        <v>FSCC</v>
      </c>
      <c r="E4223" s="2" t="str">
        <f>"R_EST_PARTOS_PRIMIPARAS"</f>
        <v>R_EST_PARTOS_PRIMIPARAS</v>
      </c>
      <c r="F4223" s="2" t="str">
        <f>"R_EST_PARTOS_PRIMIPARAS"</f>
        <v>R_EST_PARTOS_PRIMIPARAS</v>
      </c>
      <c r="G4223" s="2" t="str">
        <f t="shared" si="356"/>
        <v xml:space="preserve"> ()</v>
      </c>
    </row>
    <row r="4224" spans="1:7" x14ac:dyDescent="0.3">
      <c r="A4224" s="1" t="s">
        <v>4</v>
      </c>
      <c r="B4224" s="2" t="str">
        <f t="shared" si="353"/>
        <v>SISTEMA DE CENTRO CIRURGICO</v>
      </c>
      <c r="C4224" s="2" t="str">
        <f t="shared" si="354"/>
        <v>INTER</v>
      </c>
      <c r="D4224" s="2" t="str">
        <f t="shared" si="355"/>
        <v>FSCC</v>
      </c>
      <c r="E4224" s="2" t="str">
        <f>"R_COD_BARRA_AVISO"</f>
        <v>R_COD_BARRA_AVISO</v>
      </c>
      <c r="F4224" s="2" t="str">
        <f>"R_COD_BARRA_AVISO"</f>
        <v>R_COD_BARRA_AVISO</v>
      </c>
      <c r="G4224" s="2" t="str">
        <f t="shared" si="356"/>
        <v xml:space="preserve"> ()</v>
      </c>
    </row>
    <row r="4225" spans="1:7" x14ac:dyDescent="0.3">
      <c r="A4225" s="1" t="s">
        <v>4</v>
      </c>
      <c r="B4225" s="2" t="str">
        <f t="shared" si="353"/>
        <v>SISTEMA DE CENTRO CIRURGICO</v>
      </c>
      <c r="C4225" s="2" t="str">
        <f t="shared" si="354"/>
        <v>INTER</v>
      </c>
      <c r="D4225" s="2" t="str">
        <f t="shared" si="355"/>
        <v>FSCC</v>
      </c>
      <c r="E4225" s="2" t="str">
        <f>"R_CIRURGIA_DIA"</f>
        <v>R_CIRURGIA_DIA</v>
      </c>
      <c r="F4225" s="2" t="str">
        <f>"R_CIRURGIA_DIA"</f>
        <v>R_CIRURGIA_DIA</v>
      </c>
      <c r="G4225" s="2" t="str">
        <f t="shared" si="356"/>
        <v xml:space="preserve"> ()</v>
      </c>
    </row>
    <row r="4226" spans="1:7" x14ac:dyDescent="0.3">
      <c r="A4226" s="1" t="s">
        <v>4</v>
      </c>
      <c r="B4226" s="2" t="str">
        <f t="shared" si="353"/>
        <v>SISTEMA DE CENTRO CIRURGICO</v>
      </c>
      <c r="C4226" s="2" t="str">
        <f t="shared" si="354"/>
        <v>INTER</v>
      </c>
      <c r="D4226" s="2" t="str">
        <f t="shared" si="355"/>
        <v>FSCC</v>
      </c>
      <c r="E4226" s="2" t="str">
        <f>"RELATÓRIO KIT PADRÃO DE CIRURGIA"</f>
        <v>RELATÓRIO KIT PADRÃO DE CIRURGIA</v>
      </c>
      <c r="F4226" s="2" t="str">
        <f>"R_KIT_ESTOQUE.RDF"</f>
        <v>R_KIT_ESTOQUE.RDF</v>
      </c>
      <c r="G4226" s="2" t="str">
        <f t="shared" si="356"/>
        <v xml:space="preserve"> ()</v>
      </c>
    </row>
    <row r="4227" spans="1:7" x14ac:dyDescent="0.3">
      <c r="A4227" s="1" t="s">
        <v>4</v>
      </c>
      <c r="B4227" s="2" t="str">
        <f t="shared" si="353"/>
        <v>SISTEMA DE CENTRO CIRURGICO</v>
      </c>
      <c r="C4227" s="2" t="str">
        <f t="shared" si="354"/>
        <v>INTER</v>
      </c>
      <c r="D4227" s="2" t="str">
        <f t="shared" si="355"/>
        <v>FSCC</v>
      </c>
      <c r="E4227" s="2" t="str">
        <f>"RELATÓRIO TEXTO PADRÃO"</f>
        <v>RELATÓRIO TEXTO PADRÃO</v>
      </c>
      <c r="F4227" s="2" t="str">
        <f>"R_TEXPAD.RDF"</f>
        <v>R_TEXPAD.RDF</v>
      </c>
      <c r="G4227" s="2" t="str">
        <f t="shared" si="356"/>
        <v xml:space="preserve"> ()</v>
      </c>
    </row>
    <row r="4228" spans="1:7" x14ac:dyDescent="0.3">
      <c r="A4228" s="1" t="s">
        <v>4</v>
      </c>
      <c r="B4228" s="2" t="str">
        <f t="shared" si="353"/>
        <v>SISTEMA DE CENTRO CIRURGICO</v>
      </c>
      <c r="C4228" s="2" t="str">
        <f t="shared" si="354"/>
        <v>INTER</v>
      </c>
      <c r="D4228" s="2" t="str">
        <f t="shared" si="355"/>
        <v>FSCC</v>
      </c>
      <c r="E4228" s="2" t="str">
        <f>"RELATÓRIO MOTIVO DE TRANSFERÊNCIA"</f>
        <v>RELATÓRIO MOTIVO DE TRANSFERÊNCIA</v>
      </c>
      <c r="F4228" s="2" t="str">
        <f>"M_MOTTRA.RDF"</f>
        <v>M_MOTTRA.RDF</v>
      </c>
      <c r="G4228" s="2" t="str">
        <f t="shared" si="356"/>
        <v xml:space="preserve"> ()</v>
      </c>
    </row>
    <row r="4229" spans="1:7" x14ac:dyDescent="0.3">
      <c r="A4229" s="1" t="s">
        <v>4</v>
      </c>
      <c r="B4229" s="2" t="str">
        <f t="shared" si="353"/>
        <v>SISTEMA DE CENTRO CIRURGICO</v>
      </c>
      <c r="C4229" s="2" t="str">
        <f t="shared" si="354"/>
        <v>INTER</v>
      </c>
      <c r="D4229" s="2" t="str">
        <f t="shared" si="355"/>
        <v>FSCC</v>
      </c>
      <c r="E4229" s="2" t="str">
        <f>"RELATÓRIO DE EQUIPE MÉDICA"</f>
        <v>RELATÓRIO DE EQUIPE MÉDICA</v>
      </c>
      <c r="F4229" s="2" t="str">
        <f>"R_EQUIPE.RDF"</f>
        <v>R_EQUIPE.RDF</v>
      </c>
      <c r="G4229" s="2" t="str">
        <f t="shared" si="356"/>
        <v xml:space="preserve"> ()</v>
      </c>
    </row>
    <row r="4230" spans="1:7" x14ac:dyDescent="0.3">
      <c r="A4230" s="1" t="s">
        <v>4</v>
      </c>
      <c r="B4230" s="2" t="str">
        <f t="shared" si="353"/>
        <v>SISTEMA DE CENTRO CIRURGICO</v>
      </c>
      <c r="C4230" s="2" t="str">
        <f t="shared" si="354"/>
        <v>INTER</v>
      </c>
      <c r="D4230" s="2" t="str">
        <f t="shared" si="355"/>
        <v>FSCC</v>
      </c>
      <c r="E4230" s="2" t="str">
        <f>"REALATÓRIO DE MOT. DE INTERDIÇÃO DE SALA"</f>
        <v>REALATÓRIO DE MOT. DE INTERDIÇÃO DE SALA</v>
      </c>
      <c r="F4230" s="2" t="str">
        <f>"R_MOTINT_SAL.RDF"</f>
        <v>R_MOTINT_SAL.RDF</v>
      </c>
      <c r="G4230" s="2" t="str">
        <f t="shared" si="356"/>
        <v xml:space="preserve"> ()</v>
      </c>
    </row>
    <row r="4231" spans="1:7" x14ac:dyDescent="0.3">
      <c r="A4231" s="1" t="s">
        <v>4</v>
      </c>
      <c r="B4231" s="2" t="str">
        <f t="shared" si="353"/>
        <v>SISTEMA DE CENTRO CIRURGICO</v>
      </c>
      <c r="C4231" s="2" t="str">
        <f t="shared" si="354"/>
        <v>INTER</v>
      </c>
      <c r="D4231" s="2" t="str">
        <f t="shared" si="355"/>
        <v>FSCC</v>
      </c>
      <c r="E4231" s="2" t="str">
        <f>"RELATÓRIO DE CENTRO CIRÚRGICO"</f>
        <v>RELATÓRIO DE CENTRO CIRÚRGICO</v>
      </c>
      <c r="F4231" s="2" t="str">
        <f>"R_CENCIR.RDF"</f>
        <v>R_CENCIR.RDF</v>
      </c>
      <c r="G4231" s="2" t="str">
        <f t="shared" si="356"/>
        <v xml:space="preserve"> ()</v>
      </c>
    </row>
    <row r="4232" spans="1:7" x14ac:dyDescent="0.3">
      <c r="A4232" s="1" t="s">
        <v>4</v>
      </c>
      <c r="B4232" s="2" t="str">
        <f t="shared" si="353"/>
        <v>SISTEMA DE CENTRO CIRURGICO</v>
      </c>
      <c r="C4232" s="2" t="str">
        <f t="shared" si="354"/>
        <v>INTER</v>
      </c>
      <c r="D4232" s="2" t="str">
        <f t="shared" si="355"/>
        <v>FSCC</v>
      </c>
      <c r="E4232" s="2" t="str">
        <f>"RELATÓRIO DE EQUIPAMENTOS POR CIRURGIA"</f>
        <v>RELATÓRIO DE EQUIPAMENTOS POR CIRURGIA</v>
      </c>
      <c r="F4232" s="2" t="str">
        <f>"R_EQUIPTO_CIR.RDF"</f>
        <v>R_EQUIPTO_CIR.RDF</v>
      </c>
      <c r="G4232" s="2" t="str">
        <f t="shared" si="356"/>
        <v xml:space="preserve"> ()</v>
      </c>
    </row>
    <row r="4233" spans="1:7" x14ac:dyDescent="0.3">
      <c r="A4233" s="1" t="s">
        <v>4</v>
      </c>
      <c r="B4233" s="2" t="str">
        <f t="shared" si="353"/>
        <v>SISTEMA DE CENTRO CIRURGICO</v>
      </c>
      <c r="C4233" s="2" t="str">
        <f t="shared" si="354"/>
        <v>INTER</v>
      </c>
      <c r="D4233" s="2" t="str">
        <f t="shared" si="355"/>
        <v>FSCC</v>
      </c>
      <c r="E4233" s="2" t="str">
        <f>"RELATÓRIO MOT. CANCELAMENTO DE CIRURGIA"</f>
        <v>RELATÓRIO MOT. CANCELAMENTO DE CIRURGIA</v>
      </c>
      <c r="F4233" s="2" t="str">
        <f>"R_MOTCAN.RDF"</f>
        <v>R_MOTCAN.RDF</v>
      </c>
      <c r="G4233" s="2" t="str">
        <f t="shared" si="356"/>
        <v xml:space="preserve"> ()</v>
      </c>
    </row>
    <row r="4234" spans="1:7" x14ac:dyDescent="0.3">
      <c r="A4234" s="1" t="s">
        <v>4</v>
      </c>
      <c r="B4234" s="2" t="str">
        <f t="shared" si="353"/>
        <v>SISTEMA DE CENTRO CIRURGICO</v>
      </c>
      <c r="C4234" s="2" t="str">
        <f t="shared" si="354"/>
        <v>INTER</v>
      </c>
      <c r="D4234" s="2" t="str">
        <f t="shared" si="355"/>
        <v>FSCC</v>
      </c>
      <c r="E4234" s="2" t="str">
        <f>"M_REGISTRO_CONTATO"</f>
        <v>M_REGISTRO_CONTATO</v>
      </c>
      <c r="F4234" s="2" t="str">
        <f>"M_REGISTRO_CONTATO"</f>
        <v>M_REGISTRO_CONTATO</v>
      </c>
      <c r="G4234" s="2" t="str">
        <f t="shared" si="356"/>
        <v xml:space="preserve"> ()</v>
      </c>
    </row>
    <row r="4235" spans="1:7" x14ac:dyDescent="0.3">
      <c r="A4235" s="1" t="s">
        <v>4</v>
      </c>
      <c r="B4235" s="2" t="str">
        <f t="shared" si="353"/>
        <v>SISTEMA DE CENTRO CIRURGICO</v>
      </c>
      <c r="C4235" s="2" t="str">
        <f t="shared" si="354"/>
        <v>INTER</v>
      </c>
      <c r="D4235" s="2" t="str">
        <f t="shared" si="355"/>
        <v>FSCC</v>
      </c>
      <c r="E4235" s="2" t="str">
        <f>"WIN_PRINCIPAL"</f>
        <v>WIN_PRINCIPAL</v>
      </c>
      <c r="F4235" s="2" t="str">
        <f>"R_ALTER_CIRURGIA"</f>
        <v>R_ALTER_CIRURGIA</v>
      </c>
      <c r="G4235" s="2" t="str">
        <f t="shared" si="356"/>
        <v xml:space="preserve"> ()</v>
      </c>
    </row>
    <row r="4236" spans="1:7" x14ac:dyDescent="0.3">
      <c r="A4236" s="1" t="s">
        <v>4</v>
      </c>
      <c r="B4236" s="2" t="str">
        <f t="shared" si="353"/>
        <v>SISTEMA DE CENTRO CIRURGICO</v>
      </c>
      <c r="C4236" s="2" t="str">
        <f t="shared" si="354"/>
        <v>INTER</v>
      </c>
      <c r="D4236" s="2" t="str">
        <f t="shared" si="355"/>
        <v>FSCC</v>
      </c>
      <c r="E4236" s="2" t="str">
        <f>"RELATÓRIO DE RESERVA DE SALA CIRÚRGICA"</f>
        <v>RELATÓRIO DE RESERVA DE SALA CIRÚRGICA</v>
      </c>
      <c r="F4236" s="2" t="str">
        <f>"R_RESERVA_SAL_CIR.RDF"</f>
        <v>R_RESERVA_SAL_CIR.RDF</v>
      </c>
      <c r="G4236" s="2" t="str">
        <f t="shared" si="356"/>
        <v xml:space="preserve"> ()</v>
      </c>
    </row>
    <row r="4237" spans="1:7" x14ac:dyDescent="0.3">
      <c r="A4237" s="1" t="s">
        <v>4</v>
      </c>
      <c r="B4237" s="2" t="str">
        <f t="shared" si="353"/>
        <v>SISTEMA DE CENTRO CIRURGICO</v>
      </c>
      <c r="C4237" s="2" t="str">
        <f t="shared" si="354"/>
        <v>INTER</v>
      </c>
      <c r="D4237" s="2" t="str">
        <f t="shared" si="355"/>
        <v>FSCC</v>
      </c>
      <c r="E4237" s="2" t="str">
        <f>"RELATÓRIO INDIVIDUAL POR ANESTESISTA"</f>
        <v>RELATÓRIO INDIVIDUAL POR ANESTESISTA</v>
      </c>
      <c r="F4237" s="2" t="str">
        <f>"R_EST_IND_ANEST.RDF"</f>
        <v>R_EST_IND_ANEST.RDF</v>
      </c>
      <c r="G4237" s="2" t="str">
        <f t="shared" si="356"/>
        <v xml:space="preserve"> ()</v>
      </c>
    </row>
    <row r="4238" spans="1:7" x14ac:dyDescent="0.3">
      <c r="A4238" s="1" t="s">
        <v>4</v>
      </c>
      <c r="B4238" s="2" t="str">
        <f t="shared" si="353"/>
        <v>SISTEMA DE CENTRO CIRURGICO</v>
      </c>
      <c r="C4238" s="2" t="str">
        <f t="shared" si="354"/>
        <v>INTER</v>
      </c>
      <c r="D4238" s="2" t="str">
        <f t="shared" si="355"/>
        <v>FSCC</v>
      </c>
      <c r="E4238" s="2" t="str">
        <f>"RELATÓRIO INDIVIDUAL DO CIRURGIÃO"</f>
        <v>RELATÓRIO INDIVIDUAL DO CIRURGIÃO</v>
      </c>
      <c r="F4238" s="2" t="str">
        <f>"R_EST_IND_CIRUR.RDF"</f>
        <v>R_EST_IND_CIRUR.RDF</v>
      </c>
      <c r="G4238" s="2" t="str">
        <f t="shared" si="356"/>
        <v xml:space="preserve"> ()</v>
      </c>
    </row>
    <row r="4239" spans="1:7" x14ac:dyDescent="0.3">
      <c r="A4239" s="1" t="s">
        <v>4</v>
      </c>
      <c r="B4239" s="2" t="str">
        <f t="shared" si="353"/>
        <v>SISTEMA DE CENTRO CIRURGICO</v>
      </c>
      <c r="C4239" s="2" t="str">
        <f t="shared" si="354"/>
        <v>INTER</v>
      </c>
      <c r="D4239" s="2" t="str">
        <f t="shared" si="355"/>
        <v>FSCC</v>
      </c>
      <c r="E4239" s="2" t="str">
        <f>"REL CIRURGIAS RELIZADAS POR SALA"</f>
        <v>REL CIRURGIAS RELIZADAS POR SALA</v>
      </c>
      <c r="F4239" s="2" t="str">
        <f>"R_CIR_SALA.RDF"</f>
        <v>R_CIR_SALA.RDF</v>
      </c>
      <c r="G4239" s="2" t="str">
        <f t="shared" si="356"/>
        <v xml:space="preserve"> ()</v>
      </c>
    </row>
    <row r="4240" spans="1:7" x14ac:dyDescent="0.3">
      <c r="A4240" s="1" t="s">
        <v>4</v>
      </c>
      <c r="B4240" s="2" t="str">
        <f t="shared" si="353"/>
        <v>SISTEMA DE CENTRO CIRURGICO</v>
      </c>
      <c r="C4240" s="2" t="str">
        <f t="shared" si="354"/>
        <v>INTER</v>
      </c>
      <c r="D4240" s="2" t="str">
        <f t="shared" si="355"/>
        <v>FSCC</v>
      </c>
      <c r="E4240" s="2" t="str">
        <f>"REL SINTÉTICO DAS CIRURGIAS REALIZADAS"</f>
        <v>REL SINTÉTICO DAS CIRURGIAS REALIZADAS</v>
      </c>
      <c r="F4240" s="2" t="str">
        <f>"R_CIR_PER.RDF"</f>
        <v>R_CIR_PER.RDF</v>
      </c>
      <c r="G4240" s="2" t="str">
        <f t="shared" si="356"/>
        <v xml:space="preserve"> ()</v>
      </c>
    </row>
    <row r="4241" spans="1:7" x14ac:dyDescent="0.3">
      <c r="A4241" s="1" t="s">
        <v>4</v>
      </c>
      <c r="B4241" s="2" t="str">
        <f t="shared" si="353"/>
        <v>SISTEMA DE CENTRO CIRURGICO</v>
      </c>
      <c r="C4241" s="2" t="str">
        <f t="shared" si="354"/>
        <v>INTER</v>
      </c>
      <c r="D4241" s="2" t="str">
        <f t="shared" si="355"/>
        <v>FSCC</v>
      </c>
      <c r="E4241" s="2" t="str">
        <f>"RELATÓRIO RECÉM-NASCIDOS"</f>
        <v>RELATÓRIO RECÉM-NASCIDOS</v>
      </c>
      <c r="F4241" s="2" t="str">
        <f>"R_EST_REC_NASCIDO.RDF"</f>
        <v>R_EST_REC_NASCIDO.RDF</v>
      </c>
      <c r="G4241" s="2" t="str">
        <f t="shared" si="356"/>
        <v xml:space="preserve"> ()</v>
      </c>
    </row>
    <row r="4242" spans="1:7" x14ac:dyDescent="0.3">
      <c r="A4242" s="1" t="s">
        <v>4</v>
      </c>
      <c r="B4242" s="2" t="str">
        <f t="shared" si="353"/>
        <v>SISTEMA DE CENTRO CIRURGICO</v>
      </c>
      <c r="C4242" s="2" t="str">
        <f t="shared" si="354"/>
        <v>INTER</v>
      </c>
      <c r="D4242" s="2" t="str">
        <f t="shared" si="355"/>
        <v>FSCC</v>
      </c>
      <c r="E4242" s="2" t="str">
        <f>"RELATÓRIO DE PARTOS POR PRESTADOR"</f>
        <v>RELATÓRIO DE PARTOS POR PRESTADOR</v>
      </c>
      <c r="F4242" s="2" t="str">
        <f>"R_EST_PARTO_PRESTADOR.RDF"</f>
        <v>R_EST_PARTO_PRESTADOR.RDF</v>
      </c>
      <c r="G4242" s="2" t="str">
        <f t="shared" si="356"/>
        <v xml:space="preserve"> ()</v>
      </c>
    </row>
    <row r="4243" spans="1:7" x14ac:dyDescent="0.3">
      <c r="A4243" s="1" t="s">
        <v>4</v>
      </c>
      <c r="B4243" s="2" t="str">
        <f t="shared" ref="B4243:B4306" si="357">"SISTEMA DE CENTRO CIRURGICO"</f>
        <v>SISTEMA DE CENTRO CIRURGICO</v>
      </c>
      <c r="C4243" s="2" t="str">
        <f t="shared" ref="C4243:C4306" si="358">"INTER"</f>
        <v>INTER</v>
      </c>
      <c r="D4243" s="2" t="str">
        <f t="shared" ref="D4243:D4306" si="359">"FSCC"</f>
        <v>FSCC</v>
      </c>
      <c r="E4243" s="2" t="str">
        <f>"RELATÓRIO DE CIRURGIAS POR ANESTESIA"</f>
        <v>RELATÓRIO DE CIRURGIAS POR ANESTESIA</v>
      </c>
      <c r="F4243" s="2" t="str">
        <f>"R_CIR_ANEST.RDF"</f>
        <v>R_CIR_ANEST.RDF</v>
      </c>
      <c r="G4243" s="2" t="str">
        <f t="shared" si="356"/>
        <v xml:space="preserve"> ()</v>
      </c>
    </row>
    <row r="4244" spans="1:7" x14ac:dyDescent="0.3">
      <c r="A4244" s="1" t="s">
        <v>4</v>
      </c>
      <c r="B4244" s="2" t="str">
        <f t="shared" si="357"/>
        <v>SISTEMA DE CENTRO CIRURGICO</v>
      </c>
      <c r="C4244" s="2" t="str">
        <f t="shared" si="358"/>
        <v>INTER</v>
      </c>
      <c r="D4244" s="2" t="str">
        <f t="shared" si="359"/>
        <v>FSCC</v>
      </c>
      <c r="E4244" s="2" t="str">
        <f>"REL CIRURGIAS PREST X CONVÊNIO X PORTE"</f>
        <v>REL CIRURGIAS PREST X CONVÊNIO X PORTE</v>
      </c>
      <c r="F4244" s="2" t="str">
        <f>"R_CIRURGIA_POR_PORTE.RDF"</f>
        <v>R_CIRURGIA_POR_PORTE.RDF</v>
      </c>
      <c r="G4244" s="2" t="str">
        <f t="shared" si="356"/>
        <v xml:space="preserve"> ()</v>
      </c>
    </row>
    <row r="4245" spans="1:7" x14ac:dyDescent="0.3">
      <c r="A4245" s="1" t="s">
        <v>4</v>
      </c>
      <c r="B4245" s="2" t="str">
        <f t="shared" si="357"/>
        <v>SISTEMA DE CENTRO CIRURGICO</v>
      </c>
      <c r="C4245" s="2" t="str">
        <f t="shared" si="358"/>
        <v>INTER</v>
      </c>
      <c r="D4245" s="2" t="str">
        <f t="shared" si="359"/>
        <v>FSCC</v>
      </c>
      <c r="E4245" s="2" t="str">
        <f>"REL TOTAL DE CIRURGIAS POR PRESTADOR"</f>
        <v>REL TOTAL DE CIRURGIAS POR PRESTADOR</v>
      </c>
      <c r="F4245" s="2" t="str">
        <f>"R_TOTAL_CIRURGIA_POR_PRESTADOR.RDF"</f>
        <v>R_TOTAL_CIRURGIA_POR_PRESTADOR.RDF</v>
      </c>
      <c r="G4245" s="2" t="str">
        <f t="shared" si="356"/>
        <v xml:space="preserve"> ()</v>
      </c>
    </row>
    <row r="4246" spans="1:7" x14ac:dyDescent="0.3">
      <c r="A4246" s="1" t="s">
        <v>4</v>
      </c>
      <c r="B4246" s="2" t="str">
        <f t="shared" si="357"/>
        <v>SISTEMA DE CENTRO CIRURGICO</v>
      </c>
      <c r="C4246" s="2" t="str">
        <f t="shared" si="358"/>
        <v>INTER</v>
      </c>
      <c r="D4246" s="2" t="str">
        <f t="shared" si="359"/>
        <v>FSCC</v>
      </c>
      <c r="E4246" s="2" t="str">
        <f>"REL CIR REALZIADAS PORTE X ESPECIALIDADE"</f>
        <v>REL CIR REALZIADAS PORTE X ESPECIALIDADE</v>
      </c>
      <c r="F4246" s="2" t="str">
        <f>"R_CIR_REALIZ_PORTE_ESPEC.RDF"</f>
        <v>R_CIR_REALIZ_PORTE_ESPEC.RDF</v>
      </c>
      <c r="G4246" s="2" t="str">
        <f t="shared" si="356"/>
        <v xml:space="preserve"> ()</v>
      </c>
    </row>
    <row r="4247" spans="1:7" x14ac:dyDescent="0.3">
      <c r="A4247" s="1" t="s">
        <v>4</v>
      </c>
      <c r="B4247" s="2" t="str">
        <f t="shared" si="357"/>
        <v>SISTEMA DE CENTRO CIRURGICO</v>
      </c>
      <c r="C4247" s="2" t="str">
        <f t="shared" si="358"/>
        <v>INTER</v>
      </c>
      <c r="D4247" s="2" t="str">
        <f t="shared" si="359"/>
        <v>FSCC</v>
      </c>
      <c r="E4247" s="2" t="str">
        <f>"REL ESTATÍSTICA DE CIRUR POR PRESTADOR"</f>
        <v>REL ESTATÍSTICA DE CIRUR POR PRESTADOR</v>
      </c>
      <c r="F4247" s="2" t="str">
        <f>"R_EST_CIR_REA_PREST.RDF"</f>
        <v>R_EST_CIR_REA_PREST.RDF</v>
      </c>
      <c r="G4247" s="2" t="str">
        <f t="shared" si="356"/>
        <v xml:space="preserve"> ()</v>
      </c>
    </row>
    <row r="4248" spans="1:7" x14ac:dyDescent="0.3">
      <c r="A4248" s="1" t="s">
        <v>4</v>
      </c>
      <c r="B4248" s="2" t="str">
        <f t="shared" si="357"/>
        <v>SISTEMA DE CENTRO CIRURGICO</v>
      </c>
      <c r="C4248" s="2" t="str">
        <f t="shared" si="358"/>
        <v>INTER</v>
      </c>
      <c r="D4248" s="2" t="str">
        <f t="shared" si="359"/>
        <v>FSCC</v>
      </c>
      <c r="E4248" s="2" t="str">
        <f>"RELATÓRIO DE CIRURGIAS NÃO REALIZADAS"</f>
        <v>RELATÓRIO DE CIRURGIAS NÃO REALIZADAS</v>
      </c>
      <c r="F4248" s="2" t="str">
        <f>"R_EST_CIR_N_REALIZ.RDF"</f>
        <v>R_EST_CIR_N_REALIZ.RDF</v>
      </c>
      <c r="G4248" s="2" t="str">
        <f t="shared" si="356"/>
        <v xml:space="preserve"> ()</v>
      </c>
    </row>
    <row r="4249" spans="1:7" x14ac:dyDescent="0.3">
      <c r="A4249" s="1" t="s">
        <v>4</v>
      </c>
      <c r="B4249" s="2" t="str">
        <f t="shared" si="357"/>
        <v>SISTEMA DE CENTRO CIRURGICO</v>
      </c>
      <c r="C4249" s="2" t="str">
        <f t="shared" si="358"/>
        <v>INTER</v>
      </c>
      <c r="D4249" s="2" t="str">
        <f t="shared" si="359"/>
        <v>FSCC</v>
      </c>
      <c r="E4249" s="2" t="str">
        <f>"CIRURGIAS CANCELADAS POR TIPO"</f>
        <v>CIRURGIAS CANCELADAS POR TIPO</v>
      </c>
      <c r="F4249" s="2" t="str">
        <f>"R_CIR_CANC_TIPO.RDF"</f>
        <v>R_CIR_CANC_TIPO.RDF</v>
      </c>
      <c r="G4249" s="2" t="str">
        <f t="shared" si="356"/>
        <v xml:space="preserve"> ()</v>
      </c>
    </row>
    <row r="4250" spans="1:7" x14ac:dyDescent="0.3">
      <c r="A4250" s="1" t="s">
        <v>4</v>
      </c>
      <c r="B4250" s="2" t="str">
        <f t="shared" si="357"/>
        <v>SISTEMA DE CENTRO CIRURGICO</v>
      </c>
      <c r="C4250" s="2" t="str">
        <f t="shared" si="358"/>
        <v>INTER</v>
      </c>
      <c r="D4250" s="2" t="str">
        <f t="shared" si="359"/>
        <v>FSCC</v>
      </c>
      <c r="E4250" s="2" t="str">
        <f>"RELATÓRIO DE EQUIPAMENTOS"</f>
        <v>RELATÓRIO DE EQUIPAMENTOS</v>
      </c>
      <c r="F4250" s="2" t="str">
        <f>"R_EQPTO.RDF"</f>
        <v>R_EQPTO.RDF</v>
      </c>
      <c r="G4250" s="2" t="str">
        <f t="shared" si="356"/>
        <v xml:space="preserve"> ()</v>
      </c>
    </row>
    <row r="4251" spans="1:7" x14ac:dyDescent="0.3">
      <c r="A4251" s="1" t="s">
        <v>4</v>
      </c>
      <c r="B4251" s="2" t="str">
        <f t="shared" si="357"/>
        <v>SISTEMA DE CENTRO CIRURGICO</v>
      </c>
      <c r="C4251" s="2" t="str">
        <f t="shared" si="358"/>
        <v>INTER</v>
      </c>
      <c r="D4251" s="2" t="str">
        <f t="shared" si="359"/>
        <v>FSCC</v>
      </c>
      <c r="E4251" s="2" t="str">
        <f>"RELATÓRIO ESPÉCIE DE EQUIPAMENTO"</f>
        <v>RELATÓRIO ESPÉCIE DE EQUIPAMENTO</v>
      </c>
      <c r="F4251" s="2" t="str">
        <f>"R_ESPEQPTO.RDF"</f>
        <v>R_ESPEQPTO.RDF</v>
      </c>
      <c r="G4251" s="2" t="str">
        <f t="shared" si="356"/>
        <v xml:space="preserve"> ()</v>
      </c>
    </row>
    <row r="4252" spans="1:7" x14ac:dyDescent="0.3">
      <c r="A4252" s="1" t="s">
        <v>4</v>
      </c>
      <c r="B4252" s="2" t="str">
        <f t="shared" si="357"/>
        <v>SISTEMA DE CENTRO CIRURGICO</v>
      </c>
      <c r="C4252" s="2" t="str">
        <f t="shared" si="358"/>
        <v>INTER</v>
      </c>
      <c r="D4252" s="2" t="str">
        <f t="shared" si="359"/>
        <v>FSCC</v>
      </c>
      <c r="E4252" s="2" t="str">
        <f>"RELATÓRIO DE MOTIVO DE TRANSFERÊNCIA"</f>
        <v>RELATÓRIO DE MOTIVO DE TRANSFERÊNCIA</v>
      </c>
      <c r="F4252" s="2" t="str">
        <f>"R_MOTTRA.RDF"</f>
        <v>R_MOTTRA.RDF</v>
      </c>
      <c r="G4252" s="2" t="str">
        <f t="shared" si="356"/>
        <v xml:space="preserve"> ()</v>
      </c>
    </row>
    <row r="4253" spans="1:7" x14ac:dyDescent="0.3">
      <c r="A4253" s="1" t="s">
        <v>4</v>
      </c>
      <c r="B4253" s="2" t="str">
        <f t="shared" si="357"/>
        <v>SISTEMA DE CENTRO CIRURGICO</v>
      </c>
      <c r="C4253" s="2" t="str">
        <f t="shared" si="358"/>
        <v>INTER</v>
      </c>
      <c r="D4253" s="2" t="str">
        <f t="shared" si="359"/>
        <v>FSCC</v>
      </c>
      <c r="E4253" s="2" t="str">
        <f>"RELATÓRIO DE VIAS DE ACESSO"</f>
        <v>RELATÓRIO DE VIAS DE ACESSO</v>
      </c>
      <c r="F4253" s="2" t="str">
        <f>"R_VIAACESSO.RDF"</f>
        <v>R_VIAACESSO.RDF</v>
      </c>
      <c r="G4253" s="2" t="str">
        <f t="shared" si="356"/>
        <v xml:space="preserve"> ()</v>
      </c>
    </row>
    <row r="4254" spans="1:7" x14ac:dyDescent="0.3">
      <c r="A4254" s="1" t="s">
        <v>4</v>
      </c>
      <c r="B4254" s="2" t="str">
        <f t="shared" si="357"/>
        <v>SISTEMA DE CENTRO CIRURGICO</v>
      </c>
      <c r="C4254" s="2" t="str">
        <f t="shared" si="358"/>
        <v>INTER</v>
      </c>
      <c r="D4254" s="2" t="str">
        <f t="shared" si="359"/>
        <v>FSCC</v>
      </c>
      <c r="E4254" s="2" t="str">
        <f>"RELATÓRIO DE TIPOS DE ANESTESIA"</f>
        <v>RELATÓRIO DE TIPOS DE ANESTESIA</v>
      </c>
      <c r="F4254" s="2" t="str">
        <f>"R_TIPANES.RDF"</f>
        <v>R_TIPANES.RDF</v>
      </c>
      <c r="G4254" s="2" t="str">
        <f t="shared" si="356"/>
        <v xml:space="preserve"> ()</v>
      </c>
    </row>
    <row r="4255" spans="1:7" x14ac:dyDescent="0.3">
      <c r="A4255" s="1" t="s">
        <v>4</v>
      </c>
      <c r="B4255" s="2" t="str">
        <f t="shared" si="357"/>
        <v>SISTEMA DE CENTRO CIRURGICO</v>
      </c>
      <c r="C4255" s="2" t="str">
        <f t="shared" si="358"/>
        <v>INTER</v>
      </c>
      <c r="D4255" s="2" t="str">
        <f t="shared" si="359"/>
        <v>FSCC</v>
      </c>
      <c r="E4255" s="2" t="str">
        <f>"WIN_PRINCIPAL"</f>
        <v>WIN_PRINCIPAL</v>
      </c>
      <c r="F4255" s="2" t="str">
        <f>"M_USU_CC"</f>
        <v>M_USU_CC</v>
      </c>
      <c r="G4255" s="2" t="str">
        <f t="shared" si="356"/>
        <v xml:space="preserve"> ()</v>
      </c>
    </row>
    <row r="4256" spans="1:7" x14ac:dyDescent="0.3">
      <c r="A4256" s="1" t="s">
        <v>4</v>
      </c>
      <c r="B4256" s="2" t="str">
        <f t="shared" si="357"/>
        <v>SISTEMA DE CENTRO CIRURGICO</v>
      </c>
      <c r="C4256" s="2" t="str">
        <f t="shared" si="358"/>
        <v>INTER</v>
      </c>
      <c r="D4256" s="2" t="str">
        <f t="shared" si="359"/>
        <v>FSCC</v>
      </c>
      <c r="E4256" s="2" t="str">
        <f>"ANÁLISE EVOLUTIVA DE CIRURGIA REALIZADA"</f>
        <v>ANÁLISE EVOLUTIVA DE CIRURGIA REALIZADA</v>
      </c>
      <c r="F4256" s="2" t="str">
        <f>"R_ANA_EVO_CIR_REALIZ"</f>
        <v>R_ANA_EVO_CIR_REALIZ</v>
      </c>
      <c r="G4256" s="2" t="str">
        <f t="shared" si="356"/>
        <v xml:space="preserve"> ()</v>
      </c>
    </row>
    <row r="4257" spans="1:7" x14ac:dyDescent="0.3">
      <c r="A4257" s="1" t="s">
        <v>4</v>
      </c>
      <c r="B4257" s="2" t="str">
        <f t="shared" si="357"/>
        <v>SISTEMA DE CENTRO CIRURGICO</v>
      </c>
      <c r="C4257" s="2" t="str">
        <f t="shared" si="358"/>
        <v>INTER</v>
      </c>
      <c r="D4257" s="2" t="str">
        <f t="shared" si="359"/>
        <v>FSCC</v>
      </c>
      <c r="E4257" s="2" t="str">
        <f>"ESTATÍSTICA DE CIRURGIAS NÃO REALIZADAS"</f>
        <v>ESTATÍSTICA DE CIRURGIAS NÃO REALIZADAS</v>
      </c>
      <c r="F4257" s="2" t="str">
        <f>"R_EST_CIR_N_REALIZ"</f>
        <v>R_EST_CIR_N_REALIZ</v>
      </c>
      <c r="G4257" s="2" t="str">
        <f>"Atendimento / Centro Cirúrgico e Obstétrico / Relatórios / Estatísticos / Cirurgias não Realizadas (R_EST_CIR_N_REALIZ)"</f>
        <v>Atendimento / Centro Cirúrgico e Obstétrico / Relatórios / Estatísticos / Cirurgias não Realizadas (R_EST_CIR_N_REALIZ)</v>
      </c>
    </row>
    <row r="4258" spans="1:7" x14ac:dyDescent="0.3">
      <c r="A4258" s="1" t="s">
        <v>4</v>
      </c>
      <c r="B4258" s="2" t="str">
        <f t="shared" si="357"/>
        <v>SISTEMA DE CENTRO CIRURGICO</v>
      </c>
      <c r="C4258" s="2" t="str">
        <f t="shared" si="358"/>
        <v>INTER</v>
      </c>
      <c r="D4258" s="2" t="str">
        <f t="shared" si="359"/>
        <v>FSCC</v>
      </c>
      <c r="E4258" s="2" t="str">
        <f>"MAPA DE CIRURGIA SÃO MARCOS CARACT"</f>
        <v>MAPA DE CIRURGIA SÃO MARCOS CARACT</v>
      </c>
      <c r="F4258" s="2" t="str">
        <f>"R_MAPA_CIR_HSM_CARACT"</f>
        <v>R_MAPA_CIR_HSM_CARACT</v>
      </c>
      <c r="G4258" s="2" t="str">
        <f>" ()"</f>
        <v xml:space="preserve"> ()</v>
      </c>
    </row>
    <row r="4259" spans="1:7" x14ac:dyDescent="0.3">
      <c r="A4259" s="1" t="s">
        <v>4</v>
      </c>
      <c r="B4259" s="2" t="str">
        <f t="shared" si="357"/>
        <v>SISTEMA DE CENTRO CIRURGICO</v>
      </c>
      <c r="C4259" s="2" t="str">
        <f t="shared" si="358"/>
        <v>INTER</v>
      </c>
      <c r="D4259" s="2" t="str">
        <f t="shared" si="359"/>
        <v>FSCC</v>
      </c>
      <c r="E4259" s="2" t="str">
        <f>"MAPA DE CIRURGIA SÃO MARCOS"</f>
        <v>MAPA DE CIRURGIA SÃO MARCOS</v>
      </c>
      <c r="F4259" s="2" t="str">
        <f>"R_MAPA_CIR_HSM"</f>
        <v>R_MAPA_CIR_HSM</v>
      </c>
      <c r="G4259" s="2" t="str">
        <f>" ()"</f>
        <v xml:space="preserve"> ()</v>
      </c>
    </row>
    <row r="4260" spans="1:7" x14ac:dyDescent="0.3">
      <c r="A4260" s="1" t="s">
        <v>4</v>
      </c>
      <c r="B4260" s="2" t="str">
        <f t="shared" si="357"/>
        <v>SISTEMA DE CENTRO CIRURGICO</v>
      </c>
      <c r="C4260" s="2" t="str">
        <f t="shared" si="358"/>
        <v>INTER</v>
      </c>
      <c r="D4260" s="2" t="str">
        <f t="shared" si="359"/>
        <v>FSCC</v>
      </c>
      <c r="E4260" s="2" t="str">
        <f>"CIRURGIA POR CENTRO DE CUSTO CARACTER"</f>
        <v>CIRURGIA POR CENTRO DE CUSTO CARACTER</v>
      </c>
      <c r="F4260" s="2" t="str">
        <f>"R_CIR_CEN_CUS_CARACT"</f>
        <v>R_CIR_CEN_CUS_CARACT</v>
      </c>
      <c r="G4260" s="2" t="str">
        <f>" ()"</f>
        <v xml:space="preserve"> ()</v>
      </c>
    </row>
    <row r="4261" spans="1:7" x14ac:dyDescent="0.3">
      <c r="A4261" s="1" t="s">
        <v>4</v>
      </c>
      <c r="B4261" s="2" t="str">
        <f t="shared" si="357"/>
        <v>SISTEMA DE CENTRO CIRURGICO</v>
      </c>
      <c r="C4261" s="2" t="str">
        <f t="shared" si="358"/>
        <v>INTER</v>
      </c>
      <c r="D4261" s="2" t="str">
        <f t="shared" si="359"/>
        <v>FSCC</v>
      </c>
      <c r="E4261" s="2" t="str">
        <f>"CIRURGIA POR CENTRO DE CUSTO"</f>
        <v>CIRURGIA POR CENTRO DE CUSTO</v>
      </c>
      <c r="F4261" s="2" t="str">
        <f>"R_CIR_CEN_CUS"</f>
        <v>R_CIR_CEN_CUS</v>
      </c>
      <c r="G4261" s="2" t="str">
        <f>"Atendimento / Centro Cirúrgico e Obstétrico / Relatórios / Estatísticos / Cirurgias Realizadas / por Centro de Custo (R_CIR_CEN_CUS)"</f>
        <v>Atendimento / Centro Cirúrgico e Obstétrico / Relatórios / Estatísticos / Cirurgias Realizadas / por Centro de Custo (R_CIR_CEN_CUS)</v>
      </c>
    </row>
    <row r="4262" spans="1:7" x14ac:dyDescent="0.3">
      <c r="A4262" s="1" t="s">
        <v>4</v>
      </c>
      <c r="B4262" s="2" t="str">
        <f t="shared" si="357"/>
        <v>SISTEMA DE CENTRO CIRURGICO</v>
      </c>
      <c r="C4262" s="2" t="str">
        <f t="shared" si="358"/>
        <v>INTER</v>
      </c>
      <c r="D4262" s="2" t="str">
        <f t="shared" si="359"/>
        <v>FSCC</v>
      </c>
      <c r="E4262" s="2" t="str">
        <f>"CIRURGIAS REALIZADAS POR DATA CARACTER"</f>
        <v>CIRURGIAS REALIZADAS POR DATA CARACTER</v>
      </c>
      <c r="F4262" s="2" t="str">
        <f>"R_CIR_DATA_CARACT"</f>
        <v>R_CIR_DATA_CARACT</v>
      </c>
      <c r="G4262" s="2" t="str">
        <f>" ()"</f>
        <v xml:space="preserve"> ()</v>
      </c>
    </row>
    <row r="4263" spans="1:7" x14ac:dyDescent="0.3">
      <c r="A4263" s="1" t="s">
        <v>4</v>
      </c>
      <c r="B4263" s="2" t="str">
        <f t="shared" si="357"/>
        <v>SISTEMA DE CENTRO CIRURGICO</v>
      </c>
      <c r="C4263" s="2" t="str">
        <f t="shared" si="358"/>
        <v>INTER</v>
      </c>
      <c r="D4263" s="2" t="str">
        <f t="shared" si="359"/>
        <v>FSCC</v>
      </c>
      <c r="E4263" s="2" t="str">
        <f>"CIRURGIAS PROCEDIMENTO/CONVÊNIO"</f>
        <v>CIRURGIAS PROCEDIMENTO/CONVÊNIO</v>
      </c>
      <c r="F4263" s="2" t="str">
        <f>"R_EST_PROC_CONV_MES"</f>
        <v>R_EST_PROC_CONV_MES</v>
      </c>
      <c r="G4263" s="2" t="str">
        <f>"Atendimento / Centro Cirúrgico e Obstétrico / Relatórios / Estatísticos / Cirurgias Realizadas / por Procedimento/Convênio (R_EST_PROC_CONV_MES)"</f>
        <v>Atendimento / Centro Cirúrgico e Obstétrico / Relatórios / Estatísticos / Cirurgias Realizadas / por Procedimento/Convênio (R_EST_PROC_CONV_MES)</v>
      </c>
    </row>
    <row r="4264" spans="1:7" x14ac:dyDescent="0.3">
      <c r="A4264" s="1" t="s">
        <v>4</v>
      </c>
      <c r="B4264" s="2" t="str">
        <f t="shared" si="357"/>
        <v>SISTEMA DE CENTRO CIRURGICO</v>
      </c>
      <c r="C4264" s="2" t="str">
        <f t="shared" si="358"/>
        <v>INTER</v>
      </c>
      <c r="D4264" s="2" t="str">
        <f t="shared" si="359"/>
        <v>FSCC</v>
      </c>
      <c r="E4264" s="2" t="str">
        <f>"R_COMP_AVI_CIR_900"</f>
        <v>R_COMP_AVI_CIR_900</v>
      </c>
      <c r="F4264" s="2" t="str">
        <f>"R_COMP_AVI_CIR_900"</f>
        <v>R_COMP_AVI_CIR_900</v>
      </c>
      <c r="G4264" s="2" t="str">
        <f t="shared" ref="G4264:G4271" si="360">" ()"</f>
        <v xml:space="preserve"> ()</v>
      </c>
    </row>
    <row r="4265" spans="1:7" x14ac:dyDescent="0.3">
      <c r="A4265" s="1" t="s">
        <v>4</v>
      </c>
      <c r="B4265" s="2" t="str">
        <f t="shared" si="357"/>
        <v>SISTEMA DE CENTRO CIRURGICO</v>
      </c>
      <c r="C4265" s="2" t="str">
        <f t="shared" si="358"/>
        <v>INTER</v>
      </c>
      <c r="D4265" s="2" t="str">
        <f t="shared" si="359"/>
        <v>FSCC</v>
      </c>
      <c r="E4265" s="2" t="str">
        <f>"R_FICHA_ADM_CO_PREEN"</f>
        <v>R_FICHA_ADM_CO_PREEN</v>
      </c>
      <c r="F4265" s="2" t="str">
        <f>"R_FICHA_ADM_CO_PREEN"</f>
        <v>R_FICHA_ADM_CO_PREEN</v>
      </c>
      <c r="G4265" s="2" t="str">
        <f t="shared" si="360"/>
        <v xml:space="preserve"> ()</v>
      </c>
    </row>
    <row r="4266" spans="1:7" x14ac:dyDescent="0.3">
      <c r="A4266" s="1" t="s">
        <v>4</v>
      </c>
      <c r="B4266" s="2" t="str">
        <f t="shared" si="357"/>
        <v>SISTEMA DE CENTRO CIRURGICO</v>
      </c>
      <c r="C4266" s="2" t="str">
        <f t="shared" si="358"/>
        <v>INTER</v>
      </c>
      <c r="D4266" s="2" t="str">
        <f t="shared" si="359"/>
        <v>FSCC</v>
      </c>
      <c r="E4266" s="2" t="str">
        <f>"ORACLE FORMS RUNTIME"</f>
        <v>ORACLE FORMS RUNTIME</v>
      </c>
      <c r="F4266" s="2" t="str">
        <f>"F_PRESTADOR_CIRURGIA"</f>
        <v>F_PRESTADOR_CIRURGIA</v>
      </c>
      <c r="G4266" s="2" t="str">
        <f t="shared" si="360"/>
        <v xml:space="preserve"> ()</v>
      </c>
    </row>
    <row r="4267" spans="1:7" x14ac:dyDescent="0.3">
      <c r="A4267" s="1" t="s">
        <v>4</v>
      </c>
      <c r="B4267" s="2" t="str">
        <f t="shared" si="357"/>
        <v>SISTEMA DE CENTRO CIRURGICO</v>
      </c>
      <c r="C4267" s="2" t="str">
        <f t="shared" si="358"/>
        <v>INTER</v>
      </c>
      <c r="D4267" s="2" t="str">
        <f t="shared" si="359"/>
        <v>FSCC</v>
      </c>
      <c r="E4267" s="2" t="str">
        <f>"R_MAPA_CIR_CARACT_SEM_QUEBRA"</f>
        <v>R_MAPA_CIR_CARACT_SEM_QUEBRA</v>
      </c>
      <c r="F4267" s="2" t="str">
        <f>"R_MAPA_CIR_CARACT_SEM_QUEBRA"</f>
        <v>R_MAPA_CIR_CARACT_SEM_QUEBRA</v>
      </c>
      <c r="G4267" s="2" t="str">
        <f t="shared" si="360"/>
        <v xml:space="preserve"> ()</v>
      </c>
    </row>
    <row r="4268" spans="1:7" x14ac:dyDescent="0.3">
      <c r="A4268" s="1" t="s">
        <v>4</v>
      </c>
      <c r="B4268" s="2" t="str">
        <f t="shared" si="357"/>
        <v>SISTEMA DE CENTRO CIRURGICO</v>
      </c>
      <c r="C4268" s="2" t="str">
        <f t="shared" si="358"/>
        <v>INTER</v>
      </c>
      <c r="D4268" s="2" t="str">
        <f t="shared" si="359"/>
        <v>FSCC</v>
      </c>
      <c r="E4268" s="2" t="str">
        <f>"RELATÓRIO DE MAPA CIRÚRGICO"</f>
        <v>RELATÓRIO DE MAPA CIRÚRGICO</v>
      </c>
      <c r="F4268" s="2" t="str">
        <f>"R_MAPA_CIR_750"</f>
        <v>R_MAPA_CIR_750</v>
      </c>
      <c r="G4268" s="2" t="str">
        <f t="shared" si="360"/>
        <v xml:space="preserve"> ()</v>
      </c>
    </row>
    <row r="4269" spans="1:7" x14ac:dyDescent="0.3">
      <c r="A4269" s="1" t="s">
        <v>4</v>
      </c>
      <c r="B4269" s="2" t="str">
        <f t="shared" si="357"/>
        <v>SISTEMA DE CENTRO CIRURGICO</v>
      </c>
      <c r="C4269" s="2" t="str">
        <f t="shared" si="358"/>
        <v>INTER</v>
      </c>
      <c r="D4269" s="2" t="str">
        <f t="shared" si="359"/>
        <v>FSCC</v>
      </c>
      <c r="E4269" s="2" t="str">
        <f>"PACKAGE DO FSCC"</f>
        <v>PACKAGE DO FSCC</v>
      </c>
      <c r="F4269" s="2" t="str">
        <f>"PACK_FSCC"</f>
        <v>PACK_FSCC</v>
      </c>
      <c r="G4269" s="2" t="str">
        <f t="shared" si="360"/>
        <v xml:space="preserve"> ()</v>
      </c>
    </row>
    <row r="4270" spans="1:7" x14ac:dyDescent="0.3">
      <c r="A4270" s="1" t="s">
        <v>4</v>
      </c>
      <c r="B4270" s="2" t="str">
        <f t="shared" si="357"/>
        <v>SISTEMA DE CENTRO CIRURGICO</v>
      </c>
      <c r="C4270" s="2" t="str">
        <f t="shared" si="358"/>
        <v>INTER</v>
      </c>
      <c r="D4270" s="2" t="str">
        <f t="shared" si="359"/>
        <v>FSCC</v>
      </c>
      <c r="E4270" s="2" t="str">
        <f>"R_MAPA_CIR_CARACT_SEM_QUEBRA_755"</f>
        <v>R_MAPA_CIR_CARACT_SEM_QUEBRA_755</v>
      </c>
      <c r="F4270" s="2" t="str">
        <f>"R_MAPA_CIR_CARACT_SEM_QUEBRA_755"</f>
        <v>R_MAPA_CIR_CARACT_SEM_QUEBRA_755</v>
      </c>
      <c r="G4270" s="2" t="str">
        <f t="shared" si="360"/>
        <v xml:space="preserve"> ()</v>
      </c>
    </row>
    <row r="4271" spans="1:7" x14ac:dyDescent="0.3">
      <c r="A4271" s="1" t="s">
        <v>4</v>
      </c>
      <c r="B4271" s="2" t="str">
        <f t="shared" si="357"/>
        <v>SISTEMA DE CENTRO CIRURGICO</v>
      </c>
      <c r="C4271" s="2" t="str">
        <f t="shared" si="358"/>
        <v>INTER</v>
      </c>
      <c r="D4271" s="2" t="str">
        <f t="shared" si="359"/>
        <v>FSCC</v>
      </c>
      <c r="E4271" s="2" t="str">
        <f>"R_MAPA_CIR_SEM_QUEBRA_755"</f>
        <v>R_MAPA_CIR_SEM_QUEBRA_755</v>
      </c>
      <c r="F4271" s="2" t="str">
        <f>"R_MAPA_CIR_SEM_QUEBRA_755"</f>
        <v>R_MAPA_CIR_SEM_QUEBRA_755</v>
      </c>
      <c r="G4271" s="2" t="str">
        <f t="shared" si="360"/>
        <v xml:space="preserve"> ()</v>
      </c>
    </row>
    <row r="4272" spans="1:7" x14ac:dyDescent="0.3">
      <c r="A4272" s="1" t="s">
        <v>4</v>
      </c>
      <c r="B4272" s="2" t="str">
        <f t="shared" si="357"/>
        <v>SISTEMA DE CENTRO CIRURGICO</v>
      </c>
      <c r="C4272" s="2" t="str">
        <f t="shared" si="358"/>
        <v>INTER</v>
      </c>
      <c r="D4272" s="2" t="str">
        <f t="shared" si="359"/>
        <v>FSCC</v>
      </c>
      <c r="E4272" s="2" t="str">
        <f>"ORACLE FORMS RUNTIME"</f>
        <v>ORACLE FORMS RUNTIME</v>
      </c>
      <c r="F4272" s="2" t="str">
        <f>"R_CIRURGIA_POR_PORTE"</f>
        <v>R_CIRURGIA_POR_PORTE</v>
      </c>
      <c r="G4272" s="2" t="str">
        <f>"Atendimento / Centro Cirúrgico e Obstétrico / Relatórios / Estatísticos / Movimento Cirúrgico / por Prestador x Tipo Convênio x Porte (R_CIRURGIA_POR_PORTE)"</f>
        <v>Atendimento / Centro Cirúrgico e Obstétrico / Relatórios / Estatísticos / Movimento Cirúrgico / por Prestador x Tipo Convênio x Porte (R_CIRURGIA_POR_PORTE)</v>
      </c>
    </row>
    <row r="4273" spans="1:7" x14ac:dyDescent="0.3">
      <c r="A4273" s="1" t="s">
        <v>4</v>
      </c>
      <c r="B4273" s="2" t="str">
        <f t="shared" si="357"/>
        <v>SISTEMA DE CENTRO CIRURGICO</v>
      </c>
      <c r="C4273" s="2" t="str">
        <f t="shared" si="358"/>
        <v>INTER</v>
      </c>
      <c r="D4273" s="2" t="str">
        <f t="shared" si="359"/>
        <v>FSCC</v>
      </c>
      <c r="E4273" s="2" t="str">
        <f>"ORACLE FORMS RUNTIME"</f>
        <v>ORACLE FORMS RUNTIME</v>
      </c>
      <c r="F4273" s="2" t="str">
        <f>"R_TOTAL_CIRURGIA_POR_PRESTADOR"</f>
        <v>R_TOTAL_CIRURGIA_POR_PRESTADOR</v>
      </c>
      <c r="G4273" s="2" t="str">
        <f>"Atendimento / Centro Cirúrgico e Obstétrico / Relatórios / Estatísticos / Cirurgias Realizadas / Não Agendadas x Agendadas por Tipo de Convênio (R_TOTAL_CIRURGIA_POR_PRESTADOR)"</f>
        <v>Atendimento / Centro Cirúrgico e Obstétrico / Relatórios / Estatísticos / Cirurgias Realizadas / Não Agendadas x Agendadas por Tipo de Convênio (R_TOTAL_CIRURGIA_POR_PRESTADOR)</v>
      </c>
    </row>
    <row r="4274" spans="1:7" x14ac:dyDescent="0.3">
      <c r="A4274" s="1" t="s">
        <v>4</v>
      </c>
      <c r="B4274" s="2" t="str">
        <f t="shared" si="357"/>
        <v>SISTEMA DE CENTRO CIRURGICO</v>
      </c>
      <c r="C4274" s="2" t="str">
        <f t="shared" si="358"/>
        <v>INTER</v>
      </c>
      <c r="D4274" s="2" t="str">
        <f t="shared" si="359"/>
        <v>FSCC</v>
      </c>
      <c r="E4274" s="2" t="str">
        <f>"MESTE"</f>
        <v>MESTE</v>
      </c>
      <c r="F4274" s="2" t="str">
        <f>"MESTE"</f>
        <v>MESTE</v>
      </c>
      <c r="G4274" s="2" t="str">
        <f>" ()"</f>
        <v xml:space="preserve"> ()</v>
      </c>
    </row>
    <row r="4275" spans="1:7" x14ac:dyDescent="0.3">
      <c r="A4275" s="1" t="s">
        <v>4</v>
      </c>
      <c r="B4275" s="2" t="str">
        <f t="shared" si="357"/>
        <v>SISTEMA DE CENTRO CIRURGICO</v>
      </c>
      <c r="C4275" s="2" t="str">
        <f t="shared" si="358"/>
        <v>INTER</v>
      </c>
      <c r="D4275" s="2" t="str">
        <f t="shared" si="359"/>
        <v>FSCC</v>
      </c>
      <c r="E4275" s="2" t="str">
        <f>"REL. DE FICHA CIRURGIA PARA ANESTESISTAS"</f>
        <v>REL. DE FICHA CIRURGIA PARA ANESTESISTAS</v>
      </c>
      <c r="F4275" s="2" t="str">
        <f>"R_FICHA_CIR_ANEST"</f>
        <v>R_FICHA_CIR_ANEST</v>
      </c>
      <c r="G4275" s="2" t="str">
        <f>"Atendimento / Centro Cirúrgico e Obstétrico / Relatórios / Operacionais / Ficha para Cirurgia e Anestesia (R_FICHA_CIR_ANEST)"</f>
        <v>Atendimento / Centro Cirúrgico e Obstétrico / Relatórios / Operacionais / Ficha para Cirurgia e Anestesia (R_FICHA_CIR_ANEST)</v>
      </c>
    </row>
    <row r="4276" spans="1:7" x14ac:dyDescent="0.3">
      <c r="A4276" s="1" t="s">
        <v>4</v>
      </c>
      <c r="B4276" s="2" t="str">
        <f t="shared" si="357"/>
        <v>SISTEMA DE CENTRO CIRURGICO</v>
      </c>
      <c r="C4276" s="2" t="str">
        <f t="shared" si="358"/>
        <v>INTER</v>
      </c>
      <c r="D4276" s="2" t="str">
        <f t="shared" si="359"/>
        <v>FSCC</v>
      </c>
      <c r="E4276" s="2" t="str">
        <f>"MAPA DE CIRURGIA OFTALMOLOGICO SORORCABA"</f>
        <v>MAPA DE CIRURGIA OFTALMOLOGICO SORORCABA</v>
      </c>
      <c r="F4276" s="2" t="str">
        <f>"R_MAPA_CIR_756"</f>
        <v>R_MAPA_CIR_756</v>
      </c>
      <c r="G4276" s="2" t="str">
        <f>" ()"</f>
        <v xml:space="preserve"> ()</v>
      </c>
    </row>
    <row r="4277" spans="1:7" x14ac:dyDescent="0.3">
      <c r="A4277" s="1" t="s">
        <v>4</v>
      </c>
      <c r="B4277" s="2" t="str">
        <f t="shared" si="357"/>
        <v>SISTEMA DE CENTRO CIRURGICO</v>
      </c>
      <c r="C4277" s="2" t="str">
        <f t="shared" si="358"/>
        <v>INTER</v>
      </c>
      <c r="D4277" s="2" t="str">
        <f t="shared" si="359"/>
        <v>FSCC</v>
      </c>
      <c r="E4277" s="2" t="str">
        <f>"MAPA DE CIRURGIA OFTALMOLOGICO SORORCABA"</f>
        <v>MAPA DE CIRURGIA OFTALMOLOGICO SORORCABA</v>
      </c>
      <c r="F4277" s="2" t="str">
        <f>"R_MAPA_CIR_756_CARACT"</f>
        <v>R_MAPA_CIR_756_CARACT</v>
      </c>
      <c r="G4277" s="2" t="str">
        <f>" ()"</f>
        <v xml:space="preserve"> ()</v>
      </c>
    </row>
    <row r="4278" spans="1:7" x14ac:dyDescent="0.3">
      <c r="A4278" s="1" t="s">
        <v>4</v>
      </c>
      <c r="B4278" s="2" t="str">
        <f t="shared" si="357"/>
        <v>SISTEMA DE CENTRO CIRURGICO</v>
      </c>
      <c r="C4278" s="2" t="str">
        <f t="shared" si="358"/>
        <v>INTER</v>
      </c>
      <c r="D4278" s="2" t="str">
        <f t="shared" si="359"/>
        <v>FSCC</v>
      </c>
      <c r="E4278" s="2" t="str">
        <f>"ABERTURA DA CIRURGIA"</f>
        <v>ABERTURA DA CIRURGIA</v>
      </c>
      <c r="F4278" s="2" t="str">
        <f>"M_ABERTURA_CIRURGIA"</f>
        <v>M_ABERTURA_CIRURGIA</v>
      </c>
      <c r="G4278" s="2" t="str">
        <f>"Atendimento / Centro Cirúrgico e Obstétrico / Centro Cirúrgico / Lançamentos / Abertura de Cirurgia (M_ABERTURA_CIRURGIA)"</f>
        <v>Atendimento / Centro Cirúrgico e Obstétrico / Centro Cirúrgico / Lançamentos / Abertura de Cirurgia (M_ABERTURA_CIRURGIA)</v>
      </c>
    </row>
    <row r="4279" spans="1:7" x14ac:dyDescent="0.3">
      <c r="A4279" s="1" t="s">
        <v>4</v>
      </c>
      <c r="B4279" s="2" t="str">
        <f t="shared" si="357"/>
        <v>SISTEMA DE CENTRO CIRURGICO</v>
      </c>
      <c r="C4279" s="2" t="str">
        <f t="shared" si="358"/>
        <v>INTER</v>
      </c>
      <c r="D4279" s="2" t="str">
        <f t="shared" si="359"/>
        <v>FSCC</v>
      </c>
      <c r="E4279" s="2" t="str">
        <f>"ORACLE FORMS RUNTIME"</f>
        <v>ORACLE FORMS RUNTIME</v>
      </c>
      <c r="F4279" s="2" t="str">
        <f>"R_PERCENTUAL_CIRURGIAS_DIA"</f>
        <v>R_PERCENTUAL_CIRURGIAS_DIA</v>
      </c>
      <c r="G4279" s="2" t="str">
        <f>"Atendimento / Centro Cirúrgico e Obstétrico / Relatórios / Estatísticos / Comparativo de Cirurgias (R_PERCENTUAL_CIRURGIAS_DIA)"</f>
        <v>Atendimento / Centro Cirúrgico e Obstétrico / Relatórios / Estatísticos / Comparativo de Cirurgias (R_PERCENTUAL_CIRURGIAS_DIA)</v>
      </c>
    </row>
    <row r="4280" spans="1:7" x14ac:dyDescent="0.3">
      <c r="A4280" s="1" t="s">
        <v>4</v>
      </c>
      <c r="B4280" s="2" t="str">
        <f t="shared" si="357"/>
        <v>SISTEMA DE CENTRO CIRURGICO</v>
      </c>
      <c r="C4280" s="2" t="str">
        <f t="shared" si="358"/>
        <v>INTER</v>
      </c>
      <c r="D4280" s="2" t="str">
        <f t="shared" si="359"/>
        <v>FSCC</v>
      </c>
      <c r="E4280" s="2" t="str">
        <f>"RELATÓRIO ESTATÍSTICO DE CIRURGIAS"</f>
        <v>RELATÓRIO ESTATÍSTICO DE CIRURGIAS</v>
      </c>
      <c r="F4280" s="2" t="str">
        <f>"R_CIR_REA_SIN"</f>
        <v>R_CIR_REA_SIN</v>
      </c>
      <c r="G4280" s="2" t="str">
        <f>"Atendimento / Centro Cirúrgico e Obstétrico / Relatórios / Gerenciais / Cirurgias Realizadas Sintético por Ano (R_CIR_REA_SIN)"</f>
        <v>Atendimento / Centro Cirúrgico e Obstétrico / Relatórios / Gerenciais / Cirurgias Realizadas Sintético por Ano (R_CIR_REA_SIN)</v>
      </c>
    </row>
    <row r="4281" spans="1:7" x14ac:dyDescent="0.3">
      <c r="A4281" s="1" t="s">
        <v>4</v>
      </c>
      <c r="B4281" s="2" t="str">
        <f t="shared" si="357"/>
        <v>SISTEMA DE CENTRO CIRURGICO</v>
      </c>
      <c r="C4281" s="2" t="str">
        <f t="shared" si="358"/>
        <v>INTER</v>
      </c>
      <c r="D4281" s="2" t="str">
        <f t="shared" si="359"/>
        <v>FSCC</v>
      </c>
      <c r="E4281" s="2" t="str">
        <f>"R_EST_TIP_ANEST_ANUAL"</f>
        <v>R_EST_TIP_ANEST_ANUAL</v>
      </c>
      <c r="F4281" s="2" t="str">
        <f>"R_EST_TIP_ANEST_ANUAL"</f>
        <v>R_EST_TIP_ANEST_ANUAL</v>
      </c>
      <c r="G4281" s="2" t="str">
        <f t="shared" ref="G4281:G4286" si="361">" ()"</f>
        <v xml:space="preserve"> ()</v>
      </c>
    </row>
    <row r="4282" spans="1:7" x14ac:dyDescent="0.3">
      <c r="A4282" s="1" t="s">
        <v>4</v>
      </c>
      <c r="B4282" s="2" t="str">
        <f t="shared" si="357"/>
        <v>SISTEMA DE CENTRO CIRURGICO</v>
      </c>
      <c r="C4282" s="2" t="str">
        <f t="shared" si="358"/>
        <v>INTER</v>
      </c>
      <c r="D4282" s="2" t="str">
        <f t="shared" si="359"/>
        <v>FSCC</v>
      </c>
      <c r="E4282" s="2" t="str">
        <f>"R_CIR_REALIZ_ANA_EVOL_ANUAL"</f>
        <v>R_CIR_REALIZ_ANA_EVOL_ANUAL</v>
      </c>
      <c r="F4282" s="2" t="str">
        <f>"R_CIR_REALIZ_ANA_EVOL_ANUAL"</f>
        <v>R_CIR_REALIZ_ANA_EVOL_ANUAL</v>
      </c>
      <c r="G4282" s="2" t="str">
        <f t="shared" si="361"/>
        <v xml:space="preserve"> ()</v>
      </c>
    </row>
    <row r="4283" spans="1:7" x14ac:dyDescent="0.3">
      <c r="A4283" s="1" t="s">
        <v>4</v>
      </c>
      <c r="B4283" s="2" t="str">
        <f t="shared" si="357"/>
        <v>SISTEMA DE CENTRO CIRURGICO</v>
      </c>
      <c r="C4283" s="2" t="str">
        <f t="shared" si="358"/>
        <v>INTER</v>
      </c>
      <c r="D4283" s="2" t="str">
        <f t="shared" si="359"/>
        <v>FSCC</v>
      </c>
      <c r="E4283" s="2" t="str">
        <f>"R_MAPA_CIR_CARAT"</f>
        <v>R_MAPA_CIR_CARAT</v>
      </c>
      <c r="F4283" s="2" t="str">
        <f>"R_MAPA_CIR_CARAT"</f>
        <v>R_MAPA_CIR_CARAT</v>
      </c>
      <c r="G4283" s="2" t="str">
        <f t="shared" si="361"/>
        <v xml:space="preserve"> ()</v>
      </c>
    </row>
    <row r="4284" spans="1:7" x14ac:dyDescent="0.3">
      <c r="A4284" s="1" t="s">
        <v>4</v>
      </c>
      <c r="B4284" s="2" t="str">
        <f t="shared" si="357"/>
        <v>SISTEMA DE CENTRO CIRURGICO</v>
      </c>
      <c r="C4284" s="2" t="str">
        <f t="shared" si="358"/>
        <v>INTER</v>
      </c>
      <c r="D4284" s="2" t="str">
        <f t="shared" si="359"/>
        <v>FSCC</v>
      </c>
      <c r="E4284" s="2" t="str">
        <f>"R_MAPA_CIR_CARAT_SEM_QUEBRA"</f>
        <v>R_MAPA_CIR_CARAT_SEM_QUEBRA</v>
      </c>
      <c r="F4284" s="2" t="str">
        <f>"R_MAPA_CIR_CARAT_SEM_QUEBRA"</f>
        <v>R_MAPA_CIR_CARAT_SEM_QUEBRA</v>
      </c>
      <c r="G4284" s="2" t="str">
        <f t="shared" si="361"/>
        <v xml:space="preserve"> ()</v>
      </c>
    </row>
    <row r="4285" spans="1:7" x14ac:dyDescent="0.3">
      <c r="A4285" s="1" t="s">
        <v>4</v>
      </c>
      <c r="B4285" s="2" t="str">
        <f t="shared" si="357"/>
        <v>SISTEMA DE CENTRO CIRURGICO</v>
      </c>
      <c r="C4285" s="2" t="str">
        <f t="shared" si="358"/>
        <v>INTER</v>
      </c>
      <c r="D4285" s="2" t="str">
        <f t="shared" si="359"/>
        <v>FSCC</v>
      </c>
      <c r="E4285" s="2" t="str">
        <f>"R_MAPA_CIR_SEM_QUEBRA"</f>
        <v>R_MAPA_CIR_SEM_QUEBRA</v>
      </c>
      <c r="F4285" s="2" t="str">
        <f>"R_MAPA_CIR_SEM_QUEBRA"</f>
        <v>R_MAPA_CIR_SEM_QUEBRA</v>
      </c>
      <c r="G4285" s="2" t="str">
        <f t="shared" si="361"/>
        <v xml:space="preserve"> ()</v>
      </c>
    </row>
    <row r="4286" spans="1:7" x14ac:dyDescent="0.3">
      <c r="A4286" s="1" t="s">
        <v>4</v>
      </c>
      <c r="B4286" s="2" t="str">
        <f t="shared" si="357"/>
        <v>SISTEMA DE CENTRO CIRURGICO</v>
      </c>
      <c r="C4286" s="2" t="str">
        <f t="shared" si="358"/>
        <v>INTER</v>
      </c>
      <c r="D4286" s="2" t="str">
        <f t="shared" si="359"/>
        <v>FSCC</v>
      </c>
      <c r="E4286" s="2" t="str">
        <f>"R_CIR_MEDICO_SINT_DATA"</f>
        <v>R_CIR_MEDICO_SINT_DATA</v>
      </c>
      <c r="F4286" s="2" t="str">
        <f>"R_CIR_MEDICO_DATA"</f>
        <v>R_CIR_MEDICO_DATA</v>
      </c>
      <c r="G4286" s="2" t="str">
        <f t="shared" si="361"/>
        <v xml:space="preserve"> ()</v>
      </c>
    </row>
    <row r="4287" spans="1:7" x14ac:dyDescent="0.3">
      <c r="A4287" s="1" t="s">
        <v>4</v>
      </c>
      <c r="B4287" s="2" t="str">
        <f t="shared" si="357"/>
        <v>SISTEMA DE CENTRO CIRURGICO</v>
      </c>
      <c r="C4287" s="2" t="str">
        <f t="shared" si="358"/>
        <v>INTER</v>
      </c>
      <c r="D4287" s="2" t="str">
        <f t="shared" si="359"/>
        <v>FSCC</v>
      </c>
      <c r="E4287" s="2" t="str">
        <f>"RELATORIO DE TIPOS DE MORTE DE RN"</f>
        <v>RELATORIO DE TIPOS DE MORTE DE RN</v>
      </c>
      <c r="F4287" s="2" t="str">
        <f>"R_TIPMOR_RN"</f>
        <v>R_TIPMOR_RN</v>
      </c>
      <c r="G4287" s="2" t="str">
        <f>"Atendimento / Centro Cirúrgico e Obstétrico / Relatórios / Tabelas / Tipo de Morte de RN (R_TIPMOR_RN)"</f>
        <v>Atendimento / Centro Cirúrgico e Obstétrico / Relatórios / Tabelas / Tipo de Morte de RN (R_TIPMOR_RN)</v>
      </c>
    </row>
    <row r="4288" spans="1:7" x14ac:dyDescent="0.3">
      <c r="A4288" s="1" t="s">
        <v>4</v>
      </c>
      <c r="B4288" s="2" t="str">
        <f t="shared" si="357"/>
        <v>SISTEMA DE CENTRO CIRURGICO</v>
      </c>
      <c r="C4288" s="2" t="str">
        <f t="shared" si="358"/>
        <v>INTER</v>
      </c>
      <c r="D4288" s="2" t="str">
        <f t="shared" si="359"/>
        <v>FSCC</v>
      </c>
      <c r="E4288" s="2" t="str">
        <f>"CIRURG. REALIZADAS POR CEN. CUS E CONV."</f>
        <v>CIRURG. REALIZADAS POR CEN. CUS E CONV.</v>
      </c>
      <c r="F4288" s="2" t="str">
        <f>"R_CIR_CEN_CUS_CONV"</f>
        <v>R_CIR_CEN_CUS_CONV</v>
      </c>
      <c r="G4288" s="2" t="str">
        <f>"Atendimento / Centro Cirúrgico e Obstétrico / Relatórios / Estatísticos / Cirurgias Realizadas / por Centro de Custos x Convênio (R_CIR_CEN_CUS_CONV)"</f>
        <v>Atendimento / Centro Cirúrgico e Obstétrico / Relatórios / Estatísticos / Cirurgias Realizadas / por Centro de Custos x Convênio (R_CIR_CEN_CUS_CONV)</v>
      </c>
    </row>
    <row r="4289" spans="1:7" x14ac:dyDescent="0.3">
      <c r="A4289" s="1" t="s">
        <v>4</v>
      </c>
      <c r="B4289" s="2" t="str">
        <f t="shared" si="357"/>
        <v>SISTEMA DE CENTRO CIRURGICO</v>
      </c>
      <c r="C4289" s="2" t="str">
        <f t="shared" si="358"/>
        <v>INTER</v>
      </c>
      <c r="D4289" s="2" t="str">
        <f t="shared" si="359"/>
        <v>FSCC</v>
      </c>
      <c r="E4289" s="2" t="str">
        <f>"CIRURGIAS RELIZ. POR CONV. E PORTE"</f>
        <v>CIRURGIAS RELIZ. POR CONV. E PORTE</v>
      </c>
      <c r="F4289" s="2" t="str">
        <f>"R_CIR_REALIZ_CONV_PORTE"</f>
        <v>R_CIR_REALIZ_CONV_PORTE</v>
      </c>
      <c r="G4289" s="2" t="str">
        <f>"Atendimento / Centro Cirúrgico e Obstétrico / Relatórios / Estatísticos / Cirurgias Realizadas / por Convênio x Porte Cirúrgico (R_CIR_REALIZ_CONV_PORTE)"</f>
        <v>Atendimento / Centro Cirúrgico e Obstétrico / Relatórios / Estatísticos / Cirurgias Realizadas / por Convênio x Porte Cirúrgico (R_CIR_REALIZ_CONV_PORTE)</v>
      </c>
    </row>
    <row r="4290" spans="1:7" x14ac:dyDescent="0.3">
      <c r="A4290" s="1" t="s">
        <v>4</v>
      </c>
      <c r="B4290" s="2" t="str">
        <f t="shared" si="357"/>
        <v>SISTEMA DE CENTRO CIRURGICO</v>
      </c>
      <c r="C4290" s="2" t="str">
        <f t="shared" si="358"/>
        <v>INTER</v>
      </c>
      <c r="D4290" s="2" t="str">
        <f t="shared" si="359"/>
        <v>FSCC</v>
      </c>
      <c r="E4290" s="2" t="str">
        <f>"CADASTRO: TEXTO PADRÃO"</f>
        <v>CADASTRO: TEXTO PADRÃO</v>
      </c>
      <c r="F4290" s="2" t="str">
        <f>"M_TEXTO_PADRAO"</f>
        <v>M_TEXTO_PADRAO</v>
      </c>
      <c r="G4290" s="2" t="str">
        <f>"Atendimento / Centro Cirúrgico e Obstétrico / Tabelas / Texto Padrão (M_TEXTO_PADRAO)"</f>
        <v>Atendimento / Centro Cirúrgico e Obstétrico / Tabelas / Texto Padrão (M_TEXTO_PADRAO)</v>
      </c>
    </row>
    <row r="4291" spans="1:7" x14ac:dyDescent="0.3">
      <c r="A4291" s="1" t="s">
        <v>4</v>
      </c>
      <c r="B4291" s="2" t="str">
        <f t="shared" si="357"/>
        <v>SISTEMA DE CENTRO CIRURGICO</v>
      </c>
      <c r="C4291" s="2" t="str">
        <f t="shared" si="358"/>
        <v>INTER</v>
      </c>
      <c r="D4291" s="2" t="str">
        <f t="shared" si="359"/>
        <v>FSCC</v>
      </c>
      <c r="E4291" s="2" t="str">
        <f>"UNID DE INTERNACAO X TIPO DE ACOMODACAO"</f>
        <v>UNID DE INTERNACAO X TIPO DE ACOMODACAO</v>
      </c>
      <c r="F4291" s="2" t="str">
        <f>"M_TIP_ACOM_UNID_INT"</f>
        <v>M_TIP_ACOM_UNID_INT</v>
      </c>
      <c r="G4291" s="2" t="str">
        <f>" ()"</f>
        <v xml:space="preserve"> ()</v>
      </c>
    </row>
    <row r="4292" spans="1:7" x14ac:dyDescent="0.3">
      <c r="A4292" s="1" t="s">
        <v>4</v>
      </c>
      <c r="B4292" s="2" t="str">
        <f t="shared" si="357"/>
        <v>SISTEMA DE CENTRO CIRURGICO</v>
      </c>
      <c r="C4292" s="2" t="str">
        <f t="shared" si="358"/>
        <v>INTER</v>
      </c>
      <c r="D4292" s="2" t="str">
        <f t="shared" si="359"/>
        <v>FSCC</v>
      </c>
      <c r="E4292" s="2" t="str">
        <f>"RELATÓRIO DE EQUIPAMENTOS"</f>
        <v>RELATÓRIO DE EQUIPAMENTOS</v>
      </c>
      <c r="F4292" s="2" t="str">
        <f>"R_EQUIPTO"</f>
        <v>R_EQUIPTO</v>
      </c>
      <c r="G4292" s="2" t="str">
        <f>" ()"</f>
        <v xml:space="preserve"> ()</v>
      </c>
    </row>
    <row r="4293" spans="1:7" x14ac:dyDescent="0.3">
      <c r="A4293" s="1" t="s">
        <v>4</v>
      </c>
      <c r="B4293" s="2" t="str">
        <f t="shared" si="357"/>
        <v>SISTEMA DE CENTRO CIRURGICO</v>
      </c>
      <c r="C4293" s="2" t="str">
        <f t="shared" si="358"/>
        <v>INTER</v>
      </c>
      <c r="D4293" s="2" t="str">
        <f t="shared" si="359"/>
        <v>FSCC</v>
      </c>
      <c r="E4293" s="2" t="str">
        <f>"CONSULTA DE DISPONIBILIDADE DE RECURSOS"</f>
        <v>CONSULTA DE DISPONIBILIDADE DE RECURSOS</v>
      </c>
      <c r="F4293" s="2" t="str">
        <f>"M_DISP_REC_CIR"</f>
        <v>M_DISP_REC_CIR</v>
      </c>
      <c r="G4293" s="2" t="str">
        <f>"Atendimento / Centro Cirúrgico e Obstétrico / Consultas / Disponibilidade de Recursos / Caixas e Equipamentos (M_DISP_REC_CIR)"</f>
        <v>Atendimento / Centro Cirúrgico e Obstétrico / Consultas / Disponibilidade de Recursos / Caixas e Equipamentos (M_DISP_REC_CIR)</v>
      </c>
    </row>
    <row r="4294" spans="1:7" x14ac:dyDescent="0.3">
      <c r="A4294" s="1" t="s">
        <v>4</v>
      </c>
      <c r="B4294" s="2" t="str">
        <f t="shared" si="357"/>
        <v>SISTEMA DE CENTRO CIRURGICO</v>
      </c>
      <c r="C4294" s="2" t="str">
        <f t="shared" si="358"/>
        <v>INTER</v>
      </c>
      <c r="D4294" s="2" t="str">
        <f t="shared" si="359"/>
        <v>FSCC</v>
      </c>
      <c r="E4294" s="2" t="str">
        <f>"R_CIR_REALIZ_AGEND"</f>
        <v>R_CIR_REALIZ_AGEND</v>
      </c>
      <c r="F4294" s="2" t="str">
        <f>"R_CIR_REALIZ_AGEND"</f>
        <v>R_CIR_REALIZ_AGEND</v>
      </c>
      <c r="G4294" s="2" t="str">
        <f>"Atendimento / Centro Cirúrgico e Obstétrico / Relatórios / Gerenciais / Cirurgias Realizadas x Agendadas (R_CIR_REALIZ_AGEND)"</f>
        <v>Atendimento / Centro Cirúrgico e Obstétrico / Relatórios / Gerenciais / Cirurgias Realizadas x Agendadas (R_CIR_REALIZ_AGEND)</v>
      </c>
    </row>
    <row r="4295" spans="1:7" x14ac:dyDescent="0.3">
      <c r="A4295" s="1" t="s">
        <v>4</v>
      </c>
      <c r="B4295" s="2" t="str">
        <f t="shared" si="357"/>
        <v>SISTEMA DE CENTRO CIRURGICO</v>
      </c>
      <c r="C4295" s="2" t="str">
        <f t="shared" si="358"/>
        <v>INTER</v>
      </c>
      <c r="D4295" s="2" t="str">
        <f t="shared" si="359"/>
        <v>FSCC</v>
      </c>
      <c r="E4295" s="2" t="str">
        <f>"INFORME DE LA TABLA DE GRUPOS DE CIRUGÍA"</f>
        <v>INFORME DE LA TABLA DE GRUPOS DE CIRUGÍA</v>
      </c>
      <c r="F4295" s="2" t="str">
        <f>"R_GRUPO_CIRURGIA"</f>
        <v>R_GRUPO_CIRURGIA</v>
      </c>
      <c r="G4295" s="2" t="str">
        <f>"Atendimento / Centro Cirúrgico e Obstétrico / Relatórios / Tabelas / Grupos de Cirurgia (R_GRUPO_CIRURGIA)"</f>
        <v>Atendimento / Centro Cirúrgico e Obstétrico / Relatórios / Tabelas / Grupos de Cirurgia (R_GRUPO_CIRURGIA)</v>
      </c>
    </row>
    <row r="4296" spans="1:7" x14ac:dyDescent="0.3">
      <c r="A4296" s="1" t="s">
        <v>4</v>
      </c>
      <c r="B4296" s="2" t="str">
        <f t="shared" si="357"/>
        <v>SISTEMA DE CENTRO CIRURGICO</v>
      </c>
      <c r="C4296" s="2" t="str">
        <f t="shared" si="358"/>
        <v>INTER</v>
      </c>
      <c r="D4296" s="2" t="str">
        <f t="shared" si="359"/>
        <v>FSCC</v>
      </c>
      <c r="E4296" s="2" t="str">
        <f>"CADASTRO: GRUPOS DE CIRURGIAS"</f>
        <v>CADASTRO: GRUPOS DE CIRURGIAS</v>
      </c>
      <c r="F4296" s="2" t="str">
        <f>"M_GRUPO_CIRURGIAS"</f>
        <v>M_GRUPO_CIRURGIAS</v>
      </c>
      <c r="G4296" s="2" t="str">
        <f>"Atendimento / Centro Cirúrgico e Obstétrico / Tabelas / Grupo de Cirurgia (M_GRUPO_CIRURGIAS)"</f>
        <v>Atendimento / Centro Cirúrgico e Obstétrico / Tabelas / Grupo de Cirurgia (M_GRUPO_CIRURGIAS)</v>
      </c>
    </row>
    <row r="4297" spans="1:7" x14ac:dyDescent="0.3">
      <c r="A4297" s="1" t="s">
        <v>4</v>
      </c>
      <c r="B4297" s="2" t="str">
        <f t="shared" si="357"/>
        <v>SISTEMA DE CENTRO CIRURGICO</v>
      </c>
      <c r="C4297" s="2" t="str">
        <f t="shared" si="358"/>
        <v>INTER</v>
      </c>
      <c r="D4297" s="2" t="str">
        <f t="shared" si="359"/>
        <v>FSCC</v>
      </c>
      <c r="E4297" s="2" t="str">
        <f>"ESTATÍSTICAS DE CIRURGIAS POR PRESTADOR"</f>
        <v>ESTATÍSTICAS DE CIRURGIAS POR PRESTADOR</v>
      </c>
      <c r="F4297" s="2" t="str">
        <f>"R_EST_CIR_REA_PREST"</f>
        <v>R_EST_CIR_REA_PREST</v>
      </c>
      <c r="G4297" s="2" t="str">
        <f>"Atendimento / Centro Cirúrgico e Obstétrico / Relatórios / Estatísticos / Prestadores x Cirurgias (R_EST_CIR_REA_PREST)"</f>
        <v>Atendimento / Centro Cirúrgico e Obstétrico / Relatórios / Estatísticos / Prestadores x Cirurgias (R_EST_CIR_REA_PREST)</v>
      </c>
    </row>
    <row r="4298" spans="1:7" x14ac:dyDescent="0.3">
      <c r="A4298" s="1" t="s">
        <v>4</v>
      </c>
      <c r="B4298" s="2" t="str">
        <f t="shared" si="357"/>
        <v>SISTEMA DE CENTRO CIRURGICO</v>
      </c>
      <c r="C4298" s="2" t="str">
        <f t="shared" si="358"/>
        <v>INTER</v>
      </c>
      <c r="D4298" s="2" t="str">
        <f t="shared" si="359"/>
        <v>FSCC</v>
      </c>
      <c r="E4298" s="2" t="str">
        <f>"WIN_PRINCIPAL"</f>
        <v>WIN_PRINCIPAL</v>
      </c>
      <c r="F4298" s="2" t="str">
        <f>"R_IDENTIFICACAO_RN_719"</f>
        <v>R_IDENTIFICACAO_RN_719</v>
      </c>
      <c r="G4298" s="2" t="str">
        <f t="shared" ref="G4298:G4304" si="362">" ()"</f>
        <v xml:space="preserve"> ()</v>
      </c>
    </row>
    <row r="4299" spans="1:7" x14ac:dyDescent="0.3">
      <c r="A4299" s="1" t="s">
        <v>4</v>
      </c>
      <c r="B4299" s="2" t="str">
        <f t="shared" si="357"/>
        <v>SISTEMA DE CENTRO CIRURGICO</v>
      </c>
      <c r="C4299" s="2" t="str">
        <f t="shared" si="358"/>
        <v>INTER</v>
      </c>
      <c r="D4299" s="2" t="str">
        <f t="shared" si="359"/>
        <v>FSCC</v>
      </c>
      <c r="E4299" s="2" t="str">
        <f>"WIN_PRINCIPAL"</f>
        <v>WIN_PRINCIPAL</v>
      </c>
      <c r="F4299" s="2" t="str">
        <f>"R_DIPLOMA_RN_719"</f>
        <v>R_DIPLOMA_RN_719</v>
      </c>
      <c r="G4299" s="2" t="str">
        <f t="shared" si="362"/>
        <v xml:space="preserve"> ()</v>
      </c>
    </row>
    <row r="4300" spans="1:7" x14ac:dyDescent="0.3">
      <c r="A4300" s="1" t="s">
        <v>4</v>
      </c>
      <c r="B4300" s="2" t="str">
        <f t="shared" si="357"/>
        <v>SISTEMA DE CENTRO CIRURGICO</v>
      </c>
      <c r="C4300" s="2" t="str">
        <f t="shared" si="358"/>
        <v>INTER</v>
      </c>
      <c r="D4300" s="2" t="str">
        <f t="shared" si="359"/>
        <v>FSCC</v>
      </c>
      <c r="E4300" s="2" t="str">
        <f>"C_FLUXO_PAC_CENCIR"</f>
        <v>C_FLUXO_PAC_CENCIR</v>
      </c>
      <c r="F4300" s="2" t="str">
        <f>"C_FLUXO_PAC_CENCIR"</f>
        <v>C_FLUXO_PAC_CENCIR</v>
      </c>
      <c r="G4300" s="2" t="str">
        <f t="shared" si="362"/>
        <v xml:space="preserve"> ()</v>
      </c>
    </row>
    <row r="4301" spans="1:7" x14ac:dyDescent="0.3">
      <c r="A4301" s="1" t="s">
        <v>4</v>
      </c>
      <c r="B4301" s="2" t="str">
        <f t="shared" si="357"/>
        <v>SISTEMA DE CENTRO CIRURGICO</v>
      </c>
      <c r="C4301" s="2" t="str">
        <f t="shared" si="358"/>
        <v>INTER</v>
      </c>
      <c r="D4301" s="2" t="str">
        <f t="shared" si="359"/>
        <v>FSCC</v>
      </c>
      <c r="E4301" s="2" t="str">
        <f>"RELATÓRIO PROCEDIMENTOS"</f>
        <v>RELATÓRIO PROCEDIMENTOS</v>
      </c>
      <c r="F4301" s="2" t="str">
        <f>"R_ITEM_PROCEDIMENTO.RDF"</f>
        <v>R_ITEM_PROCEDIMENTO.RDF</v>
      </c>
      <c r="G4301" s="2" t="str">
        <f t="shared" si="362"/>
        <v xml:space="preserve"> ()</v>
      </c>
    </row>
    <row r="4302" spans="1:7" x14ac:dyDescent="0.3">
      <c r="A4302" s="1" t="s">
        <v>4</v>
      </c>
      <c r="B4302" s="2" t="str">
        <f t="shared" si="357"/>
        <v>SISTEMA DE CENTRO CIRURGICO</v>
      </c>
      <c r="C4302" s="2" t="str">
        <f t="shared" si="358"/>
        <v>INTER</v>
      </c>
      <c r="D4302" s="2" t="str">
        <f t="shared" si="359"/>
        <v>FSCC</v>
      </c>
      <c r="E4302" s="2" t="str">
        <f>"RELATÓRIO DIRECIONADORES DE CUSTO"</f>
        <v>RELATÓRIO DIRECIONADORES DE CUSTO</v>
      </c>
      <c r="F4302" s="2" t="str">
        <f>"R_ITEM_PRODUCAO.RDF"</f>
        <v>R_ITEM_PRODUCAO.RDF</v>
      </c>
      <c r="G4302" s="2" t="str">
        <f t="shared" si="362"/>
        <v xml:space="preserve"> ()</v>
      </c>
    </row>
    <row r="4303" spans="1:7" x14ac:dyDescent="0.3">
      <c r="A4303" s="1" t="s">
        <v>4</v>
      </c>
      <c r="B4303" s="2" t="str">
        <f t="shared" si="357"/>
        <v>SISTEMA DE CENTRO CIRURGICO</v>
      </c>
      <c r="C4303" s="2" t="str">
        <f t="shared" si="358"/>
        <v>INTER</v>
      </c>
      <c r="D4303" s="2" t="str">
        <f t="shared" si="359"/>
        <v>FSCC</v>
      </c>
      <c r="E4303" s="2" t="str">
        <f>"RELATÓRIO DE AGENDA PRESTADOR CIRURGIÃO"</f>
        <v>RELATÓRIO DE AGENDA PRESTADOR CIRURGIÃO</v>
      </c>
      <c r="F4303" s="2" t="str">
        <f>"R_AGENDA_PRESTADOR_CIRU.RDF"</f>
        <v>R_AGENDA_PRESTADOR_CIRU.RDF</v>
      </c>
      <c r="G4303" s="2" t="str">
        <f t="shared" si="362"/>
        <v xml:space="preserve"> ()</v>
      </c>
    </row>
    <row r="4304" spans="1:7" x14ac:dyDescent="0.3">
      <c r="A4304" s="1" t="s">
        <v>4</v>
      </c>
      <c r="B4304" s="2" t="str">
        <f t="shared" si="357"/>
        <v>SISTEMA DE CENTRO CIRURGICO</v>
      </c>
      <c r="C4304" s="2" t="str">
        <f t="shared" si="358"/>
        <v>INTER</v>
      </c>
      <c r="D4304" s="2" t="str">
        <f t="shared" si="359"/>
        <v>FSCC</v>
      </c>
      <c r="E4304" s="2" t="str">
        <f>"RELATÓRIO TIPO DE PARTO"</f>
        <v>RELATÓRIO TIPO DE PARTO</v>
      </c>
      <c r="F4304" s="2" t="str">
        <f>"R_TIPPAR.RDF"</f>
        <v>R_TIPPAR.RDF</v>
      </c>
      <c r="G4304" s="2" t="str">
        <f t="shared" si="362"/>
        <v xml:space="preserve"> ()</v>
      </c>
    </row>
    <row r="4305" spans="1:7" x14ac:dyDescent="0.3">
      <c r="A4305" s="1" t="s">
        <v>4</v>
      </c>
      <c r="B4305" s="2" t="str">
        <f t="shared" si="357"/>
        <v>SISTEMA DE CENTRO CIRURGICO</v>
      </c>
      <c r="C4305" s="2" t="str">
        <f t="shared" si="358"/>
        <v>INTER</v>
      </c>
      <c r="D4305" s="2" t="str">
        <f t="shared" si="359"/>
        <v>FSCC</v>
      </c>
      <c r="E4305" s="2" t="str">
        <f>"REVISÃO DO AGENDAMENTO DE CIRURGIA"</f>
        <v>REVISÃO DO AGENDAMENTO DE CIRURGIA</v>
      </c>
      <c r="F4305" s="2" t="str">
        <f>"C_REVISAO_CIRURGIA"</f>
        <v>C_REVISAO_CIRURGIA</v>
      </c>
      <c r="G4305" s="2" t="str">
        <f>"Atendimento / Centro Cirúrgico e Obstétrico / Centro Cirúrgico / Revisão Agendamento Cirurgia (C_REVISAO_CIRURGIA)"</f>
        <v>Atendimento / Centro Cirúrgico e Obstétrico / Centro Cirúrgico / Revisão Agendamento Cirurgia (C_REVISAO_CIRURGIA)</v>
      </c>
    </row>
    <row r="4306" spans="1:7" x14ac:dyDescent="0.3">
      <c r="A4306" s="1" t="s">
        <v>4</v>
      </c>
      <c r="B4306" s="2" t="str">
        <f t="shared" si="357"/>
        <v>SISTEMA DE CENTRO CIRURGICO</v>
      </c>
      <c r="C4306" s="2" t="str">
        <f t="shared" si="358"/>
        <v>INTER</v>
      </c>
      <c r="D4306" s="2" t="str">
        <f t="shared" si="359"/>
        <v>FSCC</v>
      </c>
      <c r="E4306" s="2" t="str">
        <f>"R_EQUIPAMENTO"</f>
        <v>R_EQUIPAMENTO</v>
      </c>
      <c r="F4306" s="2" t="str">
        <f>"R_EQUIPAMENTO"</f>
        <v>R_EQUIPAMENTO</v>
      </c>
      <c r="G4306" s="2" t="str">
        <f>"Atendimento / Centro Cirúrgico e Obstétrico / Relatórios / Operacionais / Equipamentos e Instrumentos Cirúrgicos (R_EQUIPAMENTO)"</f>
        <v>Atendimento / Centro Cirúrgico e Obstétrico / Relatórios / Operacionais / Equipamentos e Instrumentos Cirúrgicos (R_EQUIPAMENTO)</v>
      </c>
    </row>
    <row r="4307" spans="1:7" x14ac:dyDescent="0.3">
      <c r="A4307" s="1" t="s">
        <v>4</v>
      </c>
      <c r="B4307" s="2" t="str">
        <f t="shared" ref="B4307:B4370" si="363">"SISTEMA DE CENTRO CIRURGICO"</f>
        <v>SISTEMA DE CENTRO CIRURGICO</v>
      </c>
      <c r="C4307" s="2" t="str">
        <f t="shared" ref="C4307:C4370" si="364">"INTER"</f>
        <v>INTER</v>
      </c>
      <c r="D4307" s="2" t="str">
        <f t="shared" ref="D4307:D4370" si="365">"FSCC"</f>
        <v>FSCC</v>
      </c>
      <c r="E4307" s="2" t="str">
        <f>"RELATÓRIO DE RESERVAS DE SALA CIRÚRGICA"</f>
        <v>RELATÓRIO DE RESERVAS DE SALA CIRÚRGICA</v>
      </c>
      <c r="F4307" s="2" t="str">
        <f>"R_RESERVA_SAL_CIR"</f>
        <v>R_RESERVA_SAL_CIR</v>
      </c>
      <c r="G4307" s="2" t="str">
        <f>"Atendimento / Centro Cirúrgico e Obstétrico / Relatórios / Gerenciais / Reservas de Sala Cirúrgica (R_RESERVA_SAL_CIR)"</f>
        <v>Atendimento / Centro Cirúrgico e Obstétrico / Relatórios / Gerenciais / Reservas de Sala Cirúrgica (R_RESERVA_SAL_CIR)</v>
      </c>
    </row>
    <row r="4308" spans="1:7" x14ac:dyDescent="0.3">
      <c r="A4308" s="1" t="s">
        <v>4</v>
      </c>
      <c r="B4308" s="2" t="str">
        <f t="shared" si="363"/>
        <v>SISTEMA DE CENTRO CIRURGICO</v>
      </c>
      <c r="C4308" s="2" t="str">
        <f t="shared" si="364"/>
        <v>INTER</v>
      </c>
      <c r="D4308" s="2" t="str">
        <f t="shared" si="365"/>
        <v>FSCC</v>
      </c>
      <c r="E4308" s="2" t="str">
        <f>"RELATÓRIO DE MAPA CIRÚRGICO"</f>
        <v>RELATÓRIO DE MAPA CIRÚRGICO</v>
      </c>
      <c r="F4308" s="2" t="str">
        <f>"R_MAPA_CIR_429"</f>
        <v>R_MAPA_CIR_429</v>
      </c>
      <c r="G4308" s="2" t="str">
        <f>" ()"</f>
        <v xml:space="preserve"> ()</v>
      </c>
    </row>
    <row r="4309" spans="1:7" x14ac:dyDescent="0.3">
      <c r="A4309" s="1" t="s">
        <v>4</v>
      </c>
      <c r="B4309" s="2" t="str">
        <f t="shared" si="363"/>
        <v>SISTEMA DE CENTRO CIRURGICO</v>
      </c>
      <c r="C4309" s="2" t="str">
        <f t="shared" si="364"/>
        <v>INTER</v>
      </c>
      <c r="D4309" s="2" t="str">
        <f t="shared" si="365"/>
        <v>FSCC</v>
      </c>
      <c r="E4309" s="2" t="str">
        <f>"WIN_PRINCIPAL"</f>
        <v>WIN_PRINCIPAL</v>
      </c>
      <c r="F4309" s="2" t="str">
        <f>"C_TRANSFERENCIA"</f>
        <v>C_TRANSFERENCIA</v>
      </c>
      <c r="G4309" s="2" t="str">
        <f>"Atendimento / Centro Cirúrgico e Obstétrico / Consultas / Transferências (C_TRANSFERENCIA)"</f>
        <v>Atendimento / Centro Cirúrgico e Obstétrico / Consultas / Transferências (C_TRANSFERENCIA)</v>
      </c>
    </row>
    <row r="4310" spans="1:7" x14ac:dyDescent="0.3">
      <c r="A4310" s="1" t="s">
        <v>4</v>
      </c>
      <c r="B4310" s="2" t="str">
        <f t="shared" si="363"/>
        <v>SISTEMA DE CENTRO CIRURGICO</v>
      </c>
      <c r="C4310" s="2" t="str">
        <f t="shared" si="364"/>
        <v>INTER</v>
      </c>
      <c r="D4310" s="2" t="str">
        <f t="shared" si="365"/>
        <v>FSCC</v>
      </c>
      <c r="E4310" s="2" t="str">
        <f>"TELA DO REL. DE FICHA DE CIRURGIA"</f>
        <v>TELA DO REL. DE FICHA DE CIRURGIA</v>
      </c>
      <c r="F4310" s="2" t="str">
        <f>"R_FICHA_CIR.FMX"</f>
        <v>R_FICHA_CIR.FMX</v>
      </c>
      <c r="G4310" s="2" t="str">
        <f>" ()"</f>
        <v xml:space="preserve"> ()</v>
      </c>
    </row>
    <row r="4311" spans="1:7" x14ac:dyDescent="0.3">
      <c r="A4311" s="1" t="s">
        <v>4</v>
      </c>
      <c r="B4311" s="2" t="str">
        <f t="shared" si="363"/>
        <v>SISTEMA DE CENTRO CIRURGICO</v>
      </c>
      <c r="C4311" s="2" t="str">
        <f t="shared" si="364"/>
        <v>INTER</v>
      </c>
      <c r="D4311" s="2" t="str">
        <f t="shared" si="365"/>
        <v>FSCC</v>
      </c>
      <c r="E4311" s="2" t="str">
        <f>"TELA DO REL. DE COMP. DE AVISO DE CIRUR."</f>
        <v>TELA DO REL. DE COMP. DE AVISO DE CIRUR.</v>
      </c>
      <c r="F4311" s="2" t="str">
        <f>"R_COMP_AVI_CIR.FMX"</f>
        <v>R_COMP_AVI_CIR.FMX</v>
      </c>
      <c r="G4311" s="2" t="str">
        <f>" ()"</f>
        <v xml:space="preserve"> ()</v>
      </c>
    </row>
    <row r="4312" spans="1:7" x14ac:dyDescent="0.3">
      <c r="A4312" s="1" t="s">
        <v>4</v>
      </c>
      <c r="B4312" s="2" t="str">
        <f t="shared" si="363"/>
        <v>SISTEMA DE CENTRO CIRURGICO</v>
      </c>
      <c r="C4312" s="2" t="str">
        <f t="shared" si="364"/>
        <v>INTER</v>
      </c>
      <c r="D4312" s="2" t="str">
        <f t="shared" si="365"/>
        <v>FSCC</v>
      </c>
      <c r="E4312" s="2" t="str">
        <f>"TELA DO REL. DE FICHA DE PARTO"</f>
        <v>TELA DO REL. DE FICHA DE PARTO</v>
      </c>
      <c r="F4312" s="2" t="str">
        <f>"R_FPAR"</f>
        <v>R_FPAR</v>
      </c>
      <c r="G4312" s="2" t="str">
        <f>"Atendimento / Centro Cirúrgico e Obstétrico / Relatórios / Operacionais / Ficha de Parto (R_FPAR)"</f>
        <v>Atendimento / Centro Cirúrgico e Obstétrico / Relatórios / Operacionais / Ficha de Parto (R_FPAR)</v>
      </c>
    </row>
    <row r="4313" spans="1:7" x14ac:dyDescent="0.3">
      <c r="A4313" s="1" t="s">
        <v>4</v>
      </c>
      <c r="B4313" s="2" t="str">
        <f t="shared" si="363"/>
        <v>SISTEMA DE CENTRO CIRURGICO</v>
      </c>
      <c r="C4313" s="2" t="str">
        <f t="shared" si="364"/>
        <v>INTER</v>
      </c>
      <c r="D4313" s="2" t="str">
        <f t="shared" si="365"/>
        <v>FSCC</v>
      </c>
      <c r="E4313" s="2" t="str">
        <f>"CANCELAMENTOS DE CIRURGIAS"</f>
        <v>CANCELAMENTOS DE CIRURGIAS</v>
      </c>
      <c r="F4313" s="2" t="str">
        <f>"O_CANCIR"</f>
        <v>O_CANCIR</v>
      </c>
      <c r="G4313" s="2" t="str">
        <f>"Atendimento / Centro Cirúrgico e Obstétrico / Centro Cirúrgico / Cancelamento de Cirurgia (O_CANCIR)"</f>
        <v>Atendimento / Centro Cirúrgico e Obstétrico / Centro Cirúrgico / Cancelamento de Cirurgia (O_CANCIR)</v>
      </c>
    </row>
    <row r="4314" spans="1:7" x14ac:dyDescent="0.3">
      <c r="A4314" s="1" t="s">
        <v>4</v>
      </c>
      <c r="B4314" s="2" t="str">
        <f t="shared" si="363"/>
        <v>SISTEMA DE CENTRO CIRURGICO</v>
      </c>
      <c r="C4314" s="2" t="str">
        <f t="shared" si="364"/>
        <v>INTER</v>
      </c>
      <c r="D4314" s="2" t="str">
        <f t="shared" si="365"/>
        <v>FSCC</v>
      </c>
      <c r="E4314" s="2" t="str">
        <f>"V IAS DE ACESSO"</f>
        <v>V IAS DE ACESSO</v>
      </c>
      <c r="F4314" s="2" t="str">
        <f>"M_VIAACESSO"</f>
        <v>M_VIAACESSO</v>
      </c>
      <c r="G4314" s="2" t="str">
        <f>"Atendimento / Centro Cirúrgico e Obstétrico / Tabelas / Via de Acesso (M_VIAACESSO)"</f>
        <v>Atendimento / Centro Cirúrgico e Obstétrico / Tabelas / Via de Acesso (M_VIAACESSO)</v>
      </c>
    </row>
    <row r="4315" spans="1:7" x14ac:dyDescent="0.3">
      <c r="A4315" s="1" t="s">
        <v>4</v>
      </c>
      <c r="B4315" s="2" t="str">
        <f t="shared" si="363"/>
        <v>SISTEMA DE CENTRO CIRURGICO</v>
      </c>
      <c r="C4315" s="2" t="str">
        <f t="shared" si="364"/>
        <v>INTER</v>
      </c>
      <c r="D4315" s="2" t="str">
        <f t="shared" si="365"/>
        <v>FSCC</v>
      </c>
      <c r="E4315" s="2" t="str">
        <f>"TIPOS DE ANESTESIAS"</f>
        <v>TIPOS DE ANESTESIAS</v>
      </c>
      <c r="F4315" s="2" t="str">
        <f>"M_TIPANES"</f>
        <v>M_TIPANES</v>
      </c>
      <c r="G4315" s="2" t="str">
        <f>"Atendimento / Centro Cirúrgico e Obstétrico / Tabelas / Tipo de Anestesia (M_TIPANES)"</f>
        <v>Atendimento / Centro Cirúrgico e Obstétrico / Tabelas / Tipo de Anestesia (M_TIPANES)</v>
      </c>
    </row>
    <row r="4316" spans="1:7" x14ac:dyDescent="0.3">
      <c r="A4316" s="1" t="s">
        <v>4</v>
      </c>
      <c r="B4316" s="2" t="str">
        <f t="shared" si="363"/>
        <v>SISTEMA DE CENTRO CIRURGICO</v>
      </c>
      <c r="C4316" s="2" t="str">
        <f t="shared" si="364"/>
        <v>INTER</v>
      </c>
      <c r="D4316" s="2" t="str">
        <f t="shared" si="365"/>
        <v>FSCC</v>
      </c>
      <c r="E4316" s="2" t="str">
        <f>"MOTIVO DE TRANSFERENCIA DE CIRURGIA"</f>
        <v>MOTIVO DE TRANSFERENCIA DE CIRURGIA</v>
      </c>
      <c r="F4316" s="2" t="str">
        <f>"M_MOTTRA"</f>
        <v>M_MOTTRA</v>
      </c>
      <c r="G4316" s="2" t="str">
        <f>"Atendimento / Centro Cirúrgico e Obstétrico / Tabelas / Motivo de Transferência (M_MOTTRA)"</f>
        <v>Atendimento / Centro Cirúrgico e Obstétrico / Tabelas / Motivo de Transferência (M_MOTTRA)</v>
      </c>
    </row>
    <row r="4317" spans="1:7" x14ac:dyDescent="0.3">
      <c r="A4317" s="1" t="s">
        <v>4</v>
      </c>
      <c r="B4317" s="2" t="str">
        <f t="shared" si="363"/>
        <v>SISTEMA DE CENTRO CIRURGICO</v>
      </c>
      <c r="C4317" s="2" t="str">
        <f t="shared" si="364"/>
        <v>INTER</v>
      </c>
      <c r="D4317" s="2" t="str">
        <f t="shared" si="365"/>
        <v>FSCC</v>
      </c>
      <c r="E4317" s="2" t="str">
        <f>"MOTIVO DE INTERDICAO DE SALA"</f>
        <v>MOTIVO DE INTERDICAO DE SALA</v>
      </c>
      <c r="F4317" s="2" t="str">
        <f>"M_MOTINT_SAL"</f>
        <v>M_MOTINT_SAL</v>
      </c>
      <c r="G4317" s="2" t="str">
        <f>"Atendimento / Centro Cirúrgico e Obstétrico / Tabelas / Motivo de Interdição de Sala (M_MOTINT_SAL)"</f>
        <v>Atendimento / Centro Cirúrgico e Obstétrico / Tabelas / Motivo de Interdição de Sala (M_MOTINT_SAL)</v>
      </c>
    </row>
    <row r="4318" spans="1:7" x14ac:dyDescent="0.3">
      <c r="A4318" s="1" t="s">
        <v>4</v>
      </c>
      <c r="B4318" s="2" t="str">
        <f t="shared" si="363"/>
        <v>SISTEMA DE CENTRO CIRURGICO</v>
      </c>
      <c r="C4318" s="2" t="str">
        <f t="shared" si="364"/>
        <v>INTER</v>
      </c>
      <c r="D4318" s="2" t="str">
        <f t="shared" si="365"/>
        <v>FSCC</v>
      </c>
      <c r="E4318" s="2" t="str">
        <f>"MOTIVO DE CANCELAMENTO"</f>
        <v>MOTIVO DE CANCELAMENTO</v>
      </c>
      <c r="F4318" s="2" t="str">
        <f>"M_MOTCAN"</f>
        <v>M_MOTCAN</v>
      </c>
      <c r="G4318" s="2" t="str">
        <f>"MVSaude / Vendas / Internação / Tabelas / Motivos de Cancelamento/Transferência (M_MOTCAN)"</f>
        <v>MVSaude / Vendas / Internação / Tabelas / Motivos de Cancelamento/Transferência (M_MOTCAN)</v>
      </c>
    </row>
    <row r="4319" spans="1:7" x14ac:dyDescent="0.3">
      <c r="A4319" s="1" t="s">
        <v>4</v>
      </c>
      <c r="B4319" s="2" t="str">
        <f t="shared" si="363"/>
        <v>SISTEMA DE CENTRO CIRURGICO</v>
      </c>
      <c r="C4319" s="2" t="str">
        <f t="shared" si="364"/>
        <v>INTER</v>
      </c>
      <c r="D4319" s="2" t="str">
        <f t="shared" si="365"/>
        <v>FSCC</v>
      </c>
      <c r="E4319" s="2" t="str">
        <f>"MOTIVO DE CANCELAMENTO"</f>
        <v>MOTIVO DE CANCELAMENTO</v>
      </c>
      <c r="F4319" s="2" t="str">
        <f>"M_MOTCAN"</f>
        <v>M_MOTCAN</v>
      </c>
      <c r="G4319" s="2" t="str">
        <f>"MVSaude / Atendimento / Autorizações de Guias / Internação / Tabelas / Motivos de Cancelamento/Transferência (M_MOTCAN)"</f>
        <v>MVSaude / Atendimento / Autorizações de Guias / Internação / Tabelas / Motivos de Cancelamento/Transferência (M_MOTCAN)</v>
      </c>
    </row>
    <row r="4320" spans="1:7" x14ac:dyDescent="0.3">
      <c r="A4320" s="1" t="s">
        <v>4</v>
      </c>
      <c r="B4320" s="2" t="str">
        <f t="shared" si="363"/>
        <v>SISTEMA DE CENTRO CIRURGICO</v>
      </c>
      <c r="C4320" s="2" t="str">
        <f t="shared" si="364"/>
        <v>INTER</v>
      </c>
      <c r="D4320" s="2" t="str">
        <f t="shared" si="365"/>
        <v>FSCC</v>
      </c>
      <c r="E4320" s="2" t="str">
        <f>"MOTIVO DE CANCELAMENTO"</f>
        <v>MOTIVO DE CANCELAMENTO</v>
      </c>
      <c r="F4320" s="2" t="str">
        <f>"M_MOTCAN"</f>
        <v>M_MOTCAN</v>
      </c>
      <c r="G4320" s="2" t="str">
        <f>"Atendimento / Central de Agendamento / Tabelas / Tipos de Cancelamento de Agendamento (M_MOTCAN)"</f>
        <v>Atendimento / Central de Agendamento / Tabelas / Tipos de Cancelamento de Agendamento (M_MOTCAN)</v>
      </c>
    </row>
    <row r="4321" spans="1:7" x14ac:dyDescent="0.3">
      <c r="A4321" s="1" t="s">
        <v>4</v>
      </c>
      <c r="B4321" s="2" t="str">
        <f t="shared" si="363"/>
        <v>SISTEMA DE CENTRO CIRURGICO</v>
      </c>
      <c r="C4321" s="2" t="str">
        <f t="shared" si="364"/>
        <v>INTER</v>
      </c>
      <c r="D4321" s="2" t="str">
        <f t="shared" si="365"/>
        <v>FSCC</v>
      </c>
      <c r="E4321" s="2" t="str">
        <f>"MOTIVO DE CANCELAMENTO"</f>
        <v>MOTIVO DE CANCELAMENTO</v>
      </c>
      <c r="F4321" s="2" t="str">
        <f>"M_MOTCAN"</f>
        <v>M_MOTCAN</v>
      </c>
      <c r="G4321" s="2" t="str">
        <f>"Atendimento / Centro Cirúrgico e Obstétrico / Tabelas / Motivo de Cancelamento (M_MOTCAN)"</f>
        <v>Atendimento / Centro Cirúrgico e Obstétrico / Tabelas / Motivo de Cancelamento (M_MOTCAN)</v>
      </c>
    </row>
    <row r="4322" spans="1:7" x14ac:dyDescent="0.3">
      <c r="A4322" s="1" t="s">
        <v>4</v>
      </c>
      <c r="B4322" s="2" t="str">
        <f t="shared" si="363"/>
        <v>SISTEMA DE CENTRO CIRURGICO</v>
      </c>
      <c r="C4322" s="2" t="str">
        <f t="shared" si="364"/>
        <v>INTER</v>
      </c>
      <c r="D4322" s="2" t="str">
        <f t="shared" si="365"/>
        <v>FSCC</v>
      </c>
      <c r="E4322" s="2" t="str">
        <f>"MOTIVO DE CANCELAMENTO"</f>
        <v>MOTIVO DE CANCELAMENTO</v>
      </c>
      <c r="F4322" s="2" t="str">
        <f>"M_MOTCAN"</f>
        <v>M_MOTCAN</v>
      </c>
      <c r="G4322" s="2" t="str">
        <f>"Outros / Fusam / Tabelas / Motivo de Cancelamento (M_MOTCAN)"</f>
        <v>Outros / Fusam / Tabelas / Motivo de Cancelamento (M_MOTCAN)</v>
      </c>
    </row>
    <row r="4323" spans="1:7" x14ac:dyDescent="0.3">
      <c r="A4323" s="1" t="s">
        <v>4</v>
      </c>
      <c r="B4323" s="2" t="str">
        <f t="shared" si="363"/>
        <v>SISTEMA DE CENTRO CIRURGICO</v>
      </c>
      <c r="C4323" s="2" t="str">
        <f t="shared" si="364"/>
        <v>INTER</v>
      </c>
      <c r="D4323" s="2" t="str">
        <f t="shared" si="365"/>
        <v>FSCC</v>
      </c>
      <c r="E4323" s="2" t="str">
        <f>"ESPECIALIDADE DOS EQUIPAMENTOS"</f>
        <v>ESPECIALIDADE DOS EQUIPAMENTOS</v>
      </c>
      <c r="F4323" s="2" t="str">
        <f>"M_ESPEQPTO"</f>
        <v>M_ESPEQPTO</v>
      </c>
      <c r="G4323" s="2" t="str">
        <f>"Atendimento / Centro Cirúrgico e Obstétrico / Tabelas / Espécie de Equipamento (M_ESPEQPTO)"</f>
        <v>Atendimento / Centro Cirúrgico e Obstétrico / Tabelas / Espécie de Equipamento (M_ESPEQPTO)</v>
      </c>
    </row>
    <row r="4324" spans="1:7" x14ac:dyDescent="0.3">
      <c r="A4324" s="1" t="s">
        <v>4</v>
      </c>
      <c r="B4324" s="2" t="str">
        <f t="shared" si="363"/>
        <v>SISTEMA DE CENTRO CIRURGICO</v>
      </c>
      <c r="C4324" s="2" t="str">
        <f t="shared" si="364"/>
        <v>INTER</v>
      </c>
      <c r="D4324" s="2" t="str">
        <f t="shared" si="365"/>
        <v>FSCC</v>
      </c>
      <c r="E4324" s="2" t="str">
        <f>"EQUIPAMENTO CIRURGICO"</f>
        <v>EQUIPAMENTO CIRURGICO</v>
      </c>
      <c r="F4324" s="2" t="str">
        <f>"M_EQUIPTO"</f>
        <v>M_EQUIPTO</v>
      </c>
      <c r="G4324" s="2" t="str">
        <f>"Atendimento / Centro Cirúrgico e Obstétrico / Tabelas / Taxas e Equipamentos (M_EQUIPTO)"</f>
        <v>Atendimento / Centro Cirúrgico e Obstétrico / Tabelas / Taxas e Equipamentos (M_EQUIPTO)</v>
      </c>
    </row>
    <row r="4325" spans="1:7" x14ac:dyDescent="0.3">
      <c r="A4325" s="1" t="s">
        <v>4</v>
      </c>
      <c r="B4325" s="2" t="str">
        <f t="shared" si="363"/>
        <v>SISTEMA DE CENTRO CIRURGICO</v>
      </c>
      <c r="C4325" s="2" t="str">
        <f t="shared" si="364"/>
        <v>INTER</v>
      </c>
      <c r="D4325" s="2" t="str">
        <f t="shared" si="365"/>
        <v>FSCC</v>
      </c>
      <c r="E4325" s="2" t="str">
        <f>"EQUIPE CIRURGICA"</f>
        <v>EQUIPE CIRURGICA</v>
      </c>
      <c r="F4325" s="2" t="str">
        <f>"M_EQUIPE"</f>
        <v>M_EQUIPE</v>
      </c>
      <c r="G4325" s="2" t="str">
        <f>"Atendimento / Centro Cirúrgico e Obstétrico / Tabelas / Equipe Médica (M_EQUIPE)"</f>
        <v>Atendimento / Centro Cirúrgico e Obstétrico / Tabelas / Equipe Médica (M_EQUIPE)</v>
      </c>
    </row>
    <row r="4326" spans="1:7" x14ac:dyDescent="0.3">
      <c r="A4326" s="1" t="s">
        <v>4</v>
      </c>
      <c r="B4326" s="2" t="str">
        <f t="shared" si="363"/>
        <v>SISTEMA DE CENTRO CIRURGICO</v>
      </c>
      <c r="C4326" s="2" t="str">
        <f t="shared" si="364"/>
        <v>INTER</v>
      </c>
      <c r="D4326" s="2" t="str">
        <f t="shared" si="365"/>
        <v>FSCC</v>
      </c>
      <c r="E4326" s="2" t="str">
        <f>"CIRURGIAS"</f>
        <v>CIRURGIAS</v>
      </c>
      <c r="F4326" s="2" t="str">
        <f>"M_CIRURGIA"</f>
        <v>M_CIRURGIA</v>
      </c>
      <c r="G4326" s="2" t="str">
        <f>"Atendimento / Centro Cirúrgico e Obstétrico / Tabelas / Cirurgia (M_CIRURGIA)"</f>
        <v>Atendimento / Centro Cirúrgico e Obstétrico / Tabelas / Cirurgia (M_CIRURGIA)</v>
      </c>
    </row>
    <row r="4327" spans="1:7" x14ac:dyDescent="0.3">
      <c r="A4327" s="1" t="s">
        <v>4</v>
      </c>
      <c r="B4327" s="2" t="str">
        <f t="shared" si="363"/>
        <v>SISTEMA DE CENTRO CIRURGICO</v>
      </c>
      <c r="C4327" s="2" t="str">
        <f t="shared" si="364"/>
        <v>INTER</v>
      </c>
      <c r="D4327" s="2" t="str">
        <f t="shared" si="365"/>
        <v>FSCC</v>
      </c>
      <c r="E4327" s="2" t="str">
        <f>"CENTRO CIRURGICO"</f>
        <v>CENTRO CIRURGICO</v>
      </c>
      <c r="F4327" s="2" t="str">
        <f>"M_CENCIR"</f>
        <v>M_CENCIR</v>
      </c>
      <c r="G4327" s="2" t="str">
        <f>"Atendimento / Centro Cirúrgico e Obstétrico / Tabelas / Centro Cirúrgico (M_CENCIR)"</f>
        <v>Atendimento / Centro Cirúrgico e Obstétrico / Tabelas / Centro Cirúrgico (M_CENCIR)</v>
      </c>
    </row>
    <row r="4328" spans="1:7" x14ac:dyDescent="0.3">
      <c r="A4328" s="1" t="s">
        <v>4</v>
      </c>
      <c r="B4328" s="2" t="str">
        <f t="shared" si="363"/>
        <v>SISTEMA DE CENTRO CIRURGICO</v>
      </c>
      <c r="C4328" s="2" t="str">
        <f t="shared" si="364"/>
        <v>INTER</v>
      </c>
      <c r="D4328" s="2" t="str">
        <f t="shared" si="365"/>
        <v>FSCC</v>
      </c>
      <c r="E4328" s="2" t="str">
        <f>"AVISO CIRURGICO"</f>
        <v>AVISO CIRURGICO</v>
      </c>
      <c r="F4328" s="2" t="str">
        <f>"M_AVICIR"</f>
        <v>M_AVICIR</v>
      </c>
      <c r="G4328" s="2" t="str">
        <f>" ()"</f>
        <v xml:space="preserve"> ()</v>
      </c>
    </row>
    <row r="4329" spans="1:7" x14ac:dyDescent="0.3">
      <c r="A4329" s="1" t="s">
        <v>4</v>
      </c>
      <c r="B4329" s="2" t="str">
        <f t="shared" si="363"/>
        <v>SISTEMA DE CENTRO CIRURGICO</v>
      </c>
      <c r="C4329" s="2" t="str">
        <f t="shared" si="364"/>
        <v>INTER</v>
      </c>
      <c r="D4329" s="2" t="str">
        <f t="shared" si="365"/>
        <v>FSCC</v>
      </c>
      <c r="E4329" s="2" t="str">
        <f>"CADASTRO DE CIRURGIA"</f>
        <v>CADASTRO DE CIRURGIA</v>
      </c>
      <c r="F4329" s="2" t="str">
        <f>"M_CADCIR"</f>
        <v>M_CADCIR</v>
      </c>
      <c r="G4329" s="2" t="str">
        <f>" ()"</f>
        <v xml:space="preserve"> ()</v>
      </c>
    </row>
    <row r="4330" spans="1:7" x14ac:dyDescent="0.3">
      <c r="A4330" s="1" t="s">
        <v>4</v>
      </c>
      <c r="B4330" s="2" t="str">
        <f t="shared" si="363"/>
        <v>SISTEMA DE CENTRO CIRURGICO</v>
      </c>
      <c r="C4330" s="2" t="str">
        <f t="shared" si="364"/>
        <v>INTER</v>
      </c>
      <c r="D4330" s="2" t="str">
        <f t="shared" si="365"/>
        <v>FSCC</v>
      </c>
      <c r="E4330" s="2" t="str">
        <f>"GERA HORARIO LIVRE PARA AGENDA"</f>
        <v>GERA HORARIO LIVRE PARA AGENDA</v>
      </c>
      <c r="F4330" s="2" t="str">
        <f>"O_GERA_HORARIOS"</f>
        <v>O_GERA_HORARIOS</v>
      </c>
      <c r="G4330" s="2" t="str">
        <f>" ()"</f>
        <v xml:space="preserve"> ()</v>
      </c>
    </row>
    <row r="4331" spans="1:7" x14ac:dyDescent="0.3">
      <c r="A4331" s="1" t="s">
        <v>4</v>
      </c>
      <c r="B4331" s="2" t="str">
        <f t="shared" si="363"/>
        <v>SISTEMA DE CENTRO CIRURGICO</v>
      </c>
      <c r="C4331" s="2" t="str">
        <f t="shared" si="364"/>
        <v>INTER</v>
      </c>
      <c r="D4331" s="2" t="str">
        <f t="shared" si="365"/>
        <v>FSCC</v>
      </c>
      <c r="E4331" s="2" t="str">
        <f>"MENU DO CENTRO CIRÚRGICO"</f>
        <v>MENU DO CENTRO CIRÚRGICO</v>
      </c>
      <c r="F4331" s="2" t="str">
        <f>"M_FSCC"</f>
        <v>M_FSCC</v>
      </c>
      <c r="G4331" s="2" t="str">
        <f>" ()"</f>
        <v xml:space="preserve"> ()</v>
      </c>
    </row>
    <row r="4332" spans="1:7" x14ac:dyDescent="0.3">
      <c r="A4332" s="1" t="s">
        <v>4</v>
      </c>
      <c r="B4332" s="2" t="str">
        <f t="shared" si="363"/>
        <v>SISTEMA DE CENTRO CIRURGICO</v>
      </c>
      <c r="C4332" s="2" t="str">
        <f t="shared" si="364"/>
        <v>INTER</v>
      </c>
      <c r="D4332" s="2" t="str">
        <f t="shared" si="365"/>
        <v>FSCC</v>
      </c>
      <c r="E4332" s="2" t="str">
        <f>"RELATÓRIO DE FICHA CIRÚRGICA"</f>
        <v>RELATÓRIO DE FICHA CIRÚRGICA</v>
      </c>
      <c r="F4332" s="2" t="str">
        <f>"R_FICHA_CIR"</f>
        <v>R_FICHA_CIR</v>
      </c>
      <c r="G4332" s="2" t="str">
        <f>"Atendimento / Centro Cirúrgico e Obstétrico / Relatórios / Operacionais / Ficha de Gastos da Cirurgia (R_FICHA_CIR)"</f>
        <v>Atendimento / Centro Cirúrgico e Obstétrico / Relatórios / Operacionais / Ficha de Gastos da Cirurgia (R_FICHA_CIR)</v>
      </c>
    </row>
    <row r="4333" spans="1:7" x14ac:dyDescent="0.3">
      <c r="A4333" s="1" t="s">
        <v>4</v>
      </c>
      <c r="B4333" s="2" t="str">
        <f t="shared" si="363"/>
        <v>SISTEMA DE CENTRO CIRURGICO</v>
      </c>
      <c r="C4333" s="2" t="str">
        <f t="shared" si="364"/>
        <v>INTER</v>
      </c>
      <c r="D4333" s="2" t="str">
        <f t="shared" si="365"/>
        <v>FSCC</v>
      </c>
      <c r="E4333" s="2" t="str">
        <f>"RELATÓRIO DE MAPA CIRURGICO"</f>
        <v>RELATÓRIO DE MAPA CIRURGICO</v>
      </c>
      <c r="F4333" s="2" t="str">
        <f>"R_MAPA_CIR"</f>
        <v>R_MAPA_CIR</v>
      </c>
      <c r="G4333" s="2" t="str">
        <f>"Diagnóstico e Terapia / Banco de Sangue / Relatórios / Agenda (Cirurgias) / Mapa Cirúrgico (R_MAPA_CIR)"</f>
        <v>Diagnóstico e Terapia / Banco de Sangue / Relatórios / Agenda (Cirurgias) / Mapa Cirúrgico (R_MAPA_CIR)</v>
      </c>
    </row>
    <row r="4334" spans="1:7" x14ac:dyDescent="0.3">
      <c r="A4334" s="1" t="s">
        <v>4</v>
      </c>
      <c r="B4334" s="2" t="str">
        <f t="shared" si="363"/>
        <v>SISTEMA DE CENTRO CIRURGICO</v>
      </c>
      <c r="C4334" s="2" t="str">
        <f t="shared" si="364"/>
        <v>INTER</v>
      </c>
      <c r="D4334" s="2" t="str">
        <f t="shared" si="365"/>
        <v>FSCC</v>
      </c>
      <c r="E4334" s="2" t="str">
        <f>"RELATÓRIO DE MAPA CIRURGICO"</f>
        <v>RELATÓRIO DE MAPA CIRURGICO</v>
      </c>
      <c r="F4334" s="2" t="str">
        <f>"R_MAPA_CIR"</f>
        <v>R_MAPA_CIR</v>
      </c>
      <c r="G4334" s="2" t="str">
        <f>"Serviços de Apoio / Central de Materiais Esterilizados / Relatórios / Tabelas / Mapa Cirúrgico (R_MAPA_CIR)"</f>
        <v>Serviços de Apoio / Central de Materiais Esterilizados / Relatórios / Tabelas / Mapa Cirúrgico (R_MAPA_CIR)</v>
      </c>
    </row>
    <row r="4335" spans="1:7" x14ac:dyDescent="0.3">
      <c r="A4335" s="1" t="s">
        <v>4</v>
      </c>
      <c r="B4335" s="2" t="str">
        <f t="shared" si="363"/>
        <v>SISTEMA DE CENTRO CIRURGICO</v>
      </c>
      <c r="C4335" s="2" t="str">
        <f t="shared" si="364"/>
        <v>INTER</v>
      </c>
      <c r="D4335" s="2" t="str">
        <f t="shared" si="365"/>
        <v>FSCC</v>
      </c>
      <c r="E4335" s="2" t="str">
        <f>"RELATÓRIO DE MAPA CIRURGICO"</f>
        <v>RELATÓRIO DE MAPA CIRURGICO</v>
      </c>
      <c r="F4335" s="2" t="str">
        <f>"R_MAPA_CIR"</f>
        <v>R_MAPA_CIR</v>
      </c>
      <c r="G4335" s="2" t="str">
        <f>"Atendimento / Centro Cirúrgico e Obstétrico / Relatórios / Operacionais / Agenda / Mapa Cirúrgico (R_MAPA_CIR)"</f>
        <v>Atendimento / Centro Cirúrgico e Obstétrico / Relatórios / Operacionais / Agenda / Mapa Cirúrgico (R_MAPA_CIR)</v>
      </c>
    </row>
    <row r="4336" spans="1:7" x14ac:dyDescent="0.3">
      <c r="A4336" s="1" t="s">
        <v>4</v>
      </c>
      <c r="B4336" s="2" t="str">
        <f t="shared" si="363"/>
        <v>SISTEMA DE CENTRO CIRURGICO</v>
      </c>
      <c r="C4336" s="2" t="str">
        <f t="shared" si="364"/>
        <v>INTER</v>
      </c>
      <c r="D4336" s="2" t="str">
        <f t="shared" si="365"/>
        <v>FSCC</v>
      </c>
      <c r="E4336" s="2" t="str">
        <f>"REL. EST. INDIVIDUAL POR CIRURGIAO"</f>
        <v>REL. EST. INDIVIDUAL POR CIRURGIAO</v>
      </c>
      <c r="F4336" s="2" t="str">
        <f>"R_EST_IND_CIRUR"</f>
        <v>R_EST_IND_CIRUR</v>
      </c>
      <c r="G4336" s="2" t="str">
        <f>"Atendimento / Centro Cirúrgico e Obstétrico / Relatórios / Administrativos / Individuais dos Cirurgiões (R_EST_IND_CIRUR)"</f>
        <v>Atendimento / Centro Cirúrgico e Obstétrico / Relatórios / Administrativos / Individuais dos Cirurgiões (R_EST_IND_CIRUR)</v>
      </c>
    </row>
    <row r="4337" spans="1:7" x14ac:dyDescent="0.3">
      <c r="A4337" s="1" t="s">
        <v>4</v>
      </c>
      <c r="B4337" s="2" t="str">
        <f t="shared" si="363"/>
        <v>SISTEMA DE CENTRO CIRURGICO</v>
      </c>
      <c r="C4337" s="2" t="str">
        <f t="shared" si="364"/>
        <v>INTER</v>
      </c>
      <c r="D4337" s="2" t="str">
        <f t="shared" si="365"/>
        <v>FSCC</v>
      </c>
      <c r="E4337" s="2" t="str">
        <f>"REL. ESTATISTICO POR TEMPO DE CIRURGIA"</f>
        <v>REL. ESTATISTICO POR TEMPO DE CIRURGIA</v>
      </c>
      <c r="F4337" s="2" t="str">
        <f>"R_EST_TEMP_CIR"</f>
        <v>R_EST_TEMP_CIR</v>
      </c>
      <c r="G4337" s="2" t="str">
        <f>"Atendimento / Centro Cirúrgico e Obstétrico / Relatórios / Estatísticos / Cirurgiões por Tempo de Cirurgia (R_EST_TEMP_CIR)"</f>
        <v>Atendimento / Centro Cirúrgico e Obstétrico / Relatórios / Estatísticos / Cirurgiões por Tempo de Cirurgia (R_EST_TEMP_CIR)</v>
      </c>
    </row>
    <row r="4338" spans="1:7" x14ac:dyDescent="0.3">
      <c r="A4338" s="1" t="s">
        <v>4</v>
      </c>
      <c r="B4338" s="2" t="str">
        <f t="shared" si="363"/>
        <v>SISTEMA DE CENTRO CIRURGICO</v>
      </c>
      <c r="C4338" s="2" t="str">
        <f t="shared" si="364"/>
        <v>INTER</v>
      </c>
      <c r="D4338" s="2" t="str">
        <f t="shared" si="365"/>
        <v>FSCC</v>
      </c>
      <c r="E4338" s="2" t="str">
        <f>"MAPA DE CIRURGIA REALIZADA"</f>
        <v>MAPA DE CIRURGIA REALIZADA</v>
      </c>
      <c r="F4338" s="2" t="str">
        <f>"R_MAPA_CIR_REALIZ"</f>
        <v>R_MAPA_CIR_REALIZ</v>
      </c>
      <c r="G4338" s="2" t="str">
        <f>"Serviços de Apoio / Serviço Arquivo Médico / Relatórios / Administrativos / Mapa de Cirurgias Realizadas (R_MAPA_CIR_REALIZ)"</f>
        <v>Serviços de Apoio / Serviço Arquivo Médico / Relatórios / Administrativos / Mapa de Cirurgias Realizadas (R_MAPA_CIR_REALIZ)</v>
      </c>
    </row>
    <row r="4339" spans="1:7" x14ac:dyDescent="0.3">
      <c r="A4339" s="1" t="s">
        <v>4</v>
      </c>
      <c r="B4339" s="2" t="str">
        <f t="shared" si="363"/>
        <v>SISTEMA DE CENTRO CIRURGICO</v>
      </c>
      <c r="C4339" s="2" t="str">
        <f t="shared" si="364"/>
        <v>INTER</v>
      </c>
      <c r="D4339" s="2" t="str">
        <f t="shared" si="365"/>
        <v>FSCC</v>
      </c>
      <c r="E4339" s="2" t="str">
        <f>"MAPA DE CIRURGIA REALIZADA"</f>
        <v>MAPA DE CIRURGIA REALIZADA</v>
      </c>
      <c r="F4339" s="2" t="str">
        <f>"R_MAPA_CIR_REALIZ"</f>
        <v>R_MAPA_CIR_REALIZ</v>
      </c>
      <c r="G4339" s="2" t="str">
        <f>"Atendimento / Centro Cirúrgico e Obstétrico / Relatórios / Administrativos / Mapa de Cirurgias Realizadas (R_MAPA_CIR_REALIZ)"</f>
        <v>Atendimento / Centro Cirúrgico e Obstétrico / Relatórios / Administrativos / Mapa de Cirurgias Realizadas (R_MAPA_CIR_REALIZ)</v>
      </c>
    </row>
    <row r="4340" spans="1:7" x14ac:dyDescent="0.3">
      <c r="A4340" s="1" t="s">
        <v>4</v>
      </c>
      <c r="B4340" s="2" t="str">
        <f t="shared" si="363"/>
        <v>SISTEMA DE CENTRO CIRURGICO</v>
      </c>
      <c r="C4340" s="2" t="str">
        <f t="shared" si="364"/>
        <v>INTER</v>
      </c>
      <c r="D4340" s="2" t="str">
        <f t="shared" si="365"/>
        <v>FSCC</v>
      </c>
      <c r="E4340" s="2" t="str">
        <f>"REL. CIRURGIA REALIZADA E PREVISTA-GRAFI"</f>
        <v>REL. CIRURGIA REALIZADA E PREVISTA-GRAFI</v>
      </c>
      <c r="F4340" s="2" t="str">
        <f>"R_CIR_REALIZ_PREV"</f>
        <v>R_CIR_REALIZ_PREV</v>
      </c>
      <c r="G4340" s="2" t="str">
        <f>"Atendimento / Centro Cirúrgico e Obstétrico / Relatórios / Gerenciais / Cirurgias Realizadas x Previstas (R_CIR_REALIZ_PREV)"</f>
        <v>Atendimento / Centro Cirúrgico e Obstétrico / Relatórios / Gerenciais / Cirurgias Realizadas x Previstas (R_CIR_REALIZ_PREV)</v>
      </c>
    </row>
    <row r="4341" spans="1:7" x14ac:dyDescent="0.3">
      <c r="A4341" s="1" t="s">
        <v>4</v>
      </c>
      <c r="B4341" s="2" t="str">
        <f t="shared" si="363"/>
        <v>SISTEMA DE CENTRO CIRURGICO</v>
      </c>
      <c r="C4341" s="2" t="str">
        <f t="shared" si="364"/>
        <v>INTER</v>
      </c>
      <c r="D4341" s="2" t="str">
        <f t="shared" si="365"/>
        <v>FSCC</v>
      </c>
      <c r="E4341" s="2" t="str">
        <f>"RELATÓRIO DE CIRURGIA REALIZADA-GRAFICO"</f>
        <v>RELATÓRIO DE CIRURGIA REALIZADA-GRAFICO</v>
      </c>
      <c r="F4341" s="2" t="str">
        <f>"R_CIR_REALIZ"</f>
        <v>R_CIR_REALIZ</v>
      </c>
      <c r="G4341" s="2" t="str">
        <f>"Atendimento / Centro Cirúrgico e Obstétrico / Relatórios / Gerenciais / Cirurgias Realizadas (R_CIR_REALIZ)"</f>
        <v>Atendimento / Centro Cirúrgico e Obstétrico / Relatórios / Gerenciais / Cirurgias Realizadas (R_CIR_REALIZ)</v>
      </c>
    </row>
    <row r="4342" spans="1:7" x14ac:dyDescent="0.3">
      <c r="A4342" s="1" t="s">
        <v>4</v>
      </c>
      <c r="B4342" s="2" t="str">
        <f t="shared" si="363"/>
        <v>SISTEMA DE CENTRO CIRURGICO</v>
      </c>
      <c r="C4342" s="2" t="str">
        <f t="shared" si="364"/>
        <v>INTER</v>
      </c>
      <c r="D4342" s="2" t="str">
        <f t="shared" si="365"/>
        <v>FSCC</v>
      </c>
      <c r="E4342" s="2" t="str">
        <f>"GRAFICO CIRURGIA REALIZADA E PREVISTA"</f>
        <v>GRAFICO CIRURGIA REALIZADA E PREVISTA</v>
      </c>
      <c r="F4342" s="2" t="str">
        <f>"G_CIR_REALIZ_PREV"</f>
        <v>G_CIR_REALIZ_PREV</v>
      </c>
      <c r="G4342" s="2" t="str">
        <f t="shared" ref="G4342:G4349" si="366">" ()"</f>
        <v xml:space="preserve"> ()</v>
      </c>
    </row>
    <row r="4343" spans="1:7" x14ac:dyDescent="0.3">
      <c r="A4343" s="1" t="s">
        <v>4</v>
      </c>
      <c r="B4343" s="2" t="str">
        <f t="shared" si="363"/>
        <v>SISTEMA DE CENTRO CIRURGICO</v>
      </c>
      <c r="C4343" s="2" t="str">
        <f t="shared" si="364"/>
        <v>INTER</v>
      </c>
      <c r="D4343" s="2" t="str">
        <f t="shared" si="365"/>
        <v>FSCC</v>
      </c>
      <c r="E4343" s="2" t="str">
        <f>"TELA DO REL. ESTAT. DE TEMPO DOS CIRURGI"</f>
        <v>TELA DO REL. ESTAT. DE TEMPO DOS CIRURGI</v>
      </c>
      <c r="F4343" s="2" t="str">
        <f>"R_EST_TEMP_CIR.FMX"</f>
        <v>R_EST_TEMP_CIR.FMX</v>
      </c>
      <c r="G4343" s="2" t="str">
        <f t="shared" si="366"/>
        <v xml:space="preserve"> ()</v>
      </c>
    </row>
    <row r="4344" spans="1:7" x14ac:dyDescent="0.3">
      <c r="A4344" s="1" t="s">
        <v>4</v>
      </c>
      <c r="B4344" s="2" t="str">
        <f t="shared" si="363"/>
        <v>SISTEMA DE CENTRO CIRURGICO</v>
      </c>
      <c r="C4344" s="2" t="str">
        <f t="shared" si="364"/>
        <v>INTER</v>
      </c>
      <c r="D4344" s="2" t="str">
        <f t="shared" si="365"/>
        <v>FSCC</v>
      </c>
      <c r="E4344" s="2" t="str">
        <f>"TELA DO REL. DE CIRURGIAS SUSPENSAS"</f>
        <v>TELA DO REL. DE CIRURGIAS SUSPENSAS</v>
      </c>
      <c r="F4344" s="2" t="str">
        <f>"R_CIR_SUSP.FMX"</f>
        <v>R_CIR_SUSP.FMX</v>
      </c>
      <c r="G4344" s="2" t="str">
        <f t="shared" si="366"/>
        <v xml:space="preserve"> ()</v>
      </c>
    </row>
    <row r="4345" spans="1:7" x14ac:dyDescent="0.3">
      <c r="A4345" s="1" t="s">
        <v>4</v>
      </c>
      <c r="B4345" s="2" t="str">
        <f t="shared" si="363"/>
        <v>SISTEMA DE CENTRO CIRURGICO</v>
      </c>
      <c r="C4345" s="2" t="str">
        <f t="shared" si="364"/>
        <v>INTER</v>
      </c>
      <c r="D4345" s="2" t="str">
        <f t="shared" si="365"/>
        <v>FSCC</v>
      </c>
      <c r="E4345" s="2" t="str">
        <f>"TELA DO REL. MAPA DE CIR. REALIZADAS"</f>
        <v>TELA DO REL. MAPA DE CIR. REALIZADAS</v>
      </c>
      <c r="F4345" s="2" t="str">
        <f>"R_MAPA_CIR_REALIZ.FMX"</f>
        <v>R_MAPA_CIR_REALIZ.FMX</v>
      </c>
      <c r="G4345" s="2" t="str">
        <f t="shared" si="366"/>
        <v xml:space="preserve"> ()</v>
      </c>
    </row>
    <row r="4346" spans="1:7" x14ac:dyDescent="0.3">
      <c r="A4346" s="1" t="s">
        <v>4</v>
      </c>
      <c r="B4346" s="2" t="str">
        <f t="shared" si="363"/>
        <v>SISTEMA DE CENTRO CIRURGICO</v>
      </c>
      <c r="C4346" s="2" t="str">
        <f t="shared" si="364"/>
        <v>INTER</v>
      </c>
      <c r="D4346" s="2" t="str">
        <f t="shared" si="365"/>
        <v>FSCC</v>
      </c>
      <c r="E4346" s="2" t="str">
        <f>"TELA DO REL. DE CIR. REALIZ E PREVISTAS"</f>
        <v>TELA DO REL. DE CIR. REALIZ E PREVISTAS</v>
      </c>
      <c r="F4346" s="2" t="str">
        <f>"R_CIR_REALIZ_PREV.FMX"</f>
        <v>R_CIR_REALIZ_PREV.FMX</v>
      </c>
      <c r="G4346" s="2" t="str">
        <f t="shared" si="366"/>
        <v xml:space="preserve"> ()</v>
      </c>
    </row>
    <row r="4347" spans="1:7" x14ac:dyDescent="0.3">
      <c r="A4347" s="1" t="s">
        <v>4</v>
      </c>
      <c r="B4347" s="2" t="str">
        <f t="shared" si="363"/>
        <v>SISTEMA DE CENTRO CIRURGICO</v>
      </c>
      <c r="C4347" s="2" t="str">
        <f t="shared" si="364"/>
        <v>INTER</v>
      </c>
      <c r="D4347" s="2" t="str">
        <f t="shared" si="365"/>
        <v>FSCC</v>
      </c>
      <c r="E4347" s="2" t="str">
        <f>"TELA DO REL. DE CIRURGIAS REALIZADAS"</f>
        <v>TELA DO REL. DE CIRURGIAS REALIZADAS</v>
      </c>
      <c r="F4347" s="2" t="str">
        <f>"R_CIR_REALIZ.FMX"</f>
        <v>R_CIR_REALIZ.FMX</v>
      </c>
      <c r="G4347" s="2" t="str">
        <f t="shared" si="366"/>
        <v xml:space="preserve"> ()</v>
      </c>
    </row>
    <row r="4348" spans="1:7" x14ac:dyDescent="0.3">
      <c r="A4348" s="1" t="s">
        <v>4</v>
      </c>
      <c r="B4348" s="2" t="str">
        <f t="shared" si="363"/>
        <v>SISTEMA DE CENTRO CIRURGICO</v>
      </c>
      <c r="C4348" s="2" t="str">
        <f t="shared" si="364"/>
        <v>INTER</v>
      </c>
      <c r="D4348" s="2" t="str">
        <f t="shared" si="365"/>
        <v>FSCC</v>
      </c>
      <c r="E4348" s="2" t="str">
        <f>"TELA DO REL. FICHA PARA CIR. EMERGENCIA"</f>
        <v>TELA DO REL. FICHA PARA CIR. EMERGENCIA</v>
      </c>
      <c r="F4348" s="2" t="str">
        <f>"R_FICHA_CIR_EMER.FMX"</f>
        <v>R_FICHA_CIR_EMER.FMX</v>
      </c>
      <c r="G4348" s="2" t="str">
        <f t="shared" si="366"/>
        <v xml:space="preserve"> ()</v>
      </c>
    </row>
    <row r="4349" spans="1:7" x14ac:dyDescent="0.3">
      <c r="A4349" s="1" t="s">
        <v>4</v>
      </c>
      <c r="B4349" s="2" t="str">
        <f t="shared" si="363"/>
        <v>SISTEMA DE CENTRO CIRURGICO</v>
      </c>
      <c r="C4349" s="2" t="str">
        <f t="shared" si="364"/>
        <v>INTER</v>
      </c>
      <c r="D4349" s="2" t="str">
        <f t="shared" si="365"/>
        <v>FSCC</v>
      </c>
      <c r="E4349" s="2" t="str">
        <f>"TELA DO REL. DE FICHA PARA CIRURGIA"</f>
        <v>TELA DO REL. DE FICHA PARA CIRURGIA</v>
      </c>
      <c r="F4349" s="2" t="str">
        <f>"R_FICHA_PARA_CIR.FMX"</f>
        <v>R_FICHA_PARA_CIR.FMX</v>
      </c>
      <c r="G4349" s="2" t="str">
        <f t="shared" si="366"/>
        <v xml:space="preserve"> ()</v>
      </c>
    </row>
    <row r="4350" spans="1:7" x14ac:dyDescent="0.3">
      <c r="A4350" s="1" t="s">
        <v>4</v>
      </c>
      <c r="B4350" s="2" t="str">
        <f t="shared" si="363"/>
        <v>SISTEMA DE CENTRO CIRURGICO</v>
      </c>
      <c r="C4350" s="2" t="str">
        <f t="shared" si="364"/>
        <v>INTER</v>
      </c>
      <c r="D4350" s="2" t="str">
        <f t="shared" si="365"/>
        <v>FSCC</v>
      </c>
      <c r="E4350" s="2" t="str">
        <f>"TELA DO REL. DE OCIOSIDADE DE SALA"</f>
        <v>TELA DO REL. DE OCIOSIDADE DE SALA</v>
      </c>
      <c r="F4350" s="2" t="str">
        <f>"R_OCIO_CIR"</f>
        <v>R_OCIO_CIR</v>
      </c>
      <c r="G4350" s="2" t="str">
        <f>"Atendimento / Centro Cirúrgico e Obstétrico / Relatórios / Operacionais / Ociosidade das Salas (R_OCIO_CIR)"</f>
        <v>Atendimento / Centro Cirúrgico e Obstétrico / Relatórios / Operacionais / Ociosidade das Salas (R_OCIO_CIR)</v>
      </c>
    </row>
    <row r="4351" spans="1:7" x14ac:dyDescent="0.3">
      <c r="A4351" s="1" t="s">
        <v>4</v>
      </c>
      <c r="B4351" s="2" t="str">
        <f t="shared" si="363"/>
        <v>SISTEMA DE CENTRO CIRURGICO</v>
      </c>
      <c r="C4351" s="2" t="str">
        <f t="shared" si="364"/>
        <v>INTER</v>
      </c>
      <c r="D4351" s="2" t="str">
        <f t="shared" si="365"/>
        <v>FSCC</v>
      </c>
      <c r="E4351" s="2" t="str">
        <f>"TELA DO REL. DE OCIOSIDADE DE SALA"</f>
        <v>TELA DO REL. DE OCIOSIDADE DE SALA</v>
      </c>
      <c r="F4351" s="2" t="str">
        <f>"R_OCIO_CIR"</f>
        <v>R_OCIO_CIR</v>
      </c>
      <c r="G4351" s="2" t="str">
        <f>"Atendimento / Centro Cirúrgico e Obstétrico / Relatórios / Operacionais / Ociosidade das Salas (Previsão de Utilização) (R_OCIO_CIR)"</f>
        <v>Atendimento / Centro Cirúrgico e Obstétrico / Relatórios / Operacionais / Ociosidade das Salas (Previsão de Utilização) (R_OCIO_CIR)</v>
      </c>
    </row>
    <row r="4352" spans="1:7" x14ac:dyDescent="0.3">
      <c r="A4352" s="1" t="s">
        <v>4</v>
      </c>
      <c r="B4352" s="2" t="str">
        <f t="shared" si="363"/>
        <v>SISTEMA DE CENTRO CIRURGICO</v>
      </c>
      <c r="C4352" s="2" t="str">
        <f t="shared" si="364"/>
        <v>INTER</v>
      </c>
      <c r="D4352" s="2" t="str">
        <f t="shared" si="365"/>
        <v>FSCC</v>
      </c>
      <c r="E4352" s="2" t="str">
        <f>"RELATÓRIO DE FICHA CIRÚRGICA DESCRITIVA"</f>
        <v>RELATÓRIO DE FICHA CIRÚRGICA DESCRITIVA</v>
      </c>
      <c r="F4352" s="2" t="str">
        <f>"R_FICHA_CIR_DESC"</f>
        <v>R_FICHA_CIR_DESC</v>
      </c>
      <c r="G4352" s="2" t="str">
        <f>" ()"</f>
        <v xml:space="preserve"> ()</v>
      </c>
    </row>
    <row r="4353" spans="1:7" x14ac:dyDescent="0.3">
      <c r="A4353" s="1" t="s">
        <v>4</v>
      </c>
      <c r="B4353" s="2" t="str">
        <f t="shared" si="363"/>
        <v>SISTEMA DE CENTRO CIRURGICO</v>
      </c>
      <c r="C4353" s="2" t="str">
        <f t="shared" si="364"/>
        <v>INTER</v>
      </c>
      <c r="D4353" s="2" t="str">
        <f t="shared" si="365"/>
        <v>FSCC</v>
      </c>
      <c r="E4353" s="2" t="str">
        <f>"RELATÓRIO DE CIRURGIAS TRANSFERIDAS"</f>
        <v>RELATÓRIO DE CIRURGIAS TRANSFERIDAS</v>
      </c>
      <c r="F4353" s="2" t="str">
        <f>"R_CIR_TRANSF"</f>
        <v>R_CIR_TRANSF</v>
      </c>
      <c r="G4353" s="2" t="str">
        <f>"Atendimento / Centro Cirúrgico e Obstétrico / Relatórios / Operacionais / Cirurgias Transferidas (R_CIR_TRANSF)"</f>
        <v>Atendimento / Centro Cirúrgico e Obstétrico / Relatórios / Operacionais / Cirurgias Transferidas (R_CIR_TRANSF)</v>
      </c>
    </row>
    <row r="4354" spans="1:7" x14ac:dyDescent="0.3">
      <c r="A4354" s="1" t="s">
        <v>4</v>
      </c>
      <c r="B4354" s="2" t="str">
        <f t="shared" si="363"/>
        <v>SISTEMA DE CENTRO CIRURGICO</v>
      </c>
      <c r="C4354" s="2" t="str">
        <f t="shared" si="364"/>
        <v>INTER</v>
      </c>
      <c r="D4354" s="2" t="str">
        <f t="shared" si="365"/>
        <v>FSCC</v>
      </c>
      <c r="E4354" s="2" t="str">
        <f>"RELATÓRIO DE AGENDA DIÁRIA"</f>
        <v>RELATÓRIO DE AGENDA DIÁRIA</v>
      </c>
      <c r="F4354" s="2" t="str">
        <f>"R_AGENDA_DIA"</f>
        <v>R_AGENDA_DIA</v>
      </c>
      <c r="G4354" s="2" t="str">
        <f>"Diagnóstico e Terapia / Banco de Sangue / Relatórios / Agenda (Cirurgias) / Agenda Diária (R_AGENDA_DIA)"</f>
        <v>Diagnóstico e Terapia / Banco de Sangue / Relatórios / Agenda (Cirurgias) / Agenda Diária (R_AGENDA_DIA)</v>
      </c>
    </row>
    <row r="4355" spans="1:7" x14ac:dyDescent="0.3">
      <c r="A4355" s="1" t="s">
        <v>4</v>
      </c>
      <c r="B4355" s="2" t="str">
        <f t="shared" si="363"/>
        <v>SISTEMA DE CENTRO CIRURGICO</v>
      </c>
      <c r="C4355" s="2" t="str">
        <f t="shared" si="364"/>
        <v>INTER</v>
      </c>
      <c r="D4355" s="2" t="str">
        <f t="shared" si="365"/>
        <v>FSCC</v>
      </c>
      <c r="E4355" s="2" t="str">
        <f>"RELATÓRIO DE AGENDA DIÁRIA"</f>
        <v>RELATÓRIO DE AGENDA DIÁRIA</v>
      </c>
      <c r="F4355" s="2" t="str">
        <f>"R_AGENDA_DIA"</f>
        <v>R_AGENDA_DIA</v>
      </c>
      <c r="G4355" s="2" t="str">
        <f>"MVSaude / Vendas / Internação / Relatórios / Operacionais / Lista de Agendamento Cirúrgico (R_AGENDA_DIA)"</f>
        <v>MVSaude / Vendas / Internação / Relatórios / Operacionais / Lista de Agendamento Cirúrgico (R_AGENDA_DIA)</v>
      </c>
    </row>
    <row r="4356" spans="1:7" x14ac:dyDescent="0.3">
      <c r="A4356" s="1" t="s">
        <v>4</v>
      </c>
      <c r="B4356" s="2" t="str">
        <f t="shared" si="363"/>
        <v>SISTEMA DE CENTRO CIRURGICO</v>
      </c>
      <c r="C4356" s="2" t="str">
        <f t="shared" si="364"/>
        <v>INTER</v>
      </c>
      <c r="D4356" s="2" t="str">
        <f t="shared" si="365"/>
        <v>FSCC</v>
      </c>
      <c r="E4356" s="2" t="str">
        <f>"RELATÓRIO DE AGENDA DIÁRIA"</f>
        <v>RELATÓRIO DE AGENDA DIÁRIA</v>
      </c>
      <c r="F4356" s="2" t="str">
        <f>"R_AGENDA_DIA"</f>
        <v>R_AGENDA_DIA</v>
      </c>
      <c r="G4356" s="2" t="str">
        <f>"Atendimento / Internação / Relatórios / Operacionais / Lista de Agendamento Cirúrgico (R_AGENDA_DIA)"</f>
        <v>Atendimento / Internação / Relatórios / Operacionais / Lista de Agendamento Cirúrgico (R_AGENDA_DIA)</v>
      </c>
    </row>
    <row r="4357" spans="1:7" x14ac:dyDescent="0.3">
      <c r="A4357" s="1" t="s">
        <v>4</v>
      </c>
      <c r="B4357" s="2" t="str">
        <f t="shared" si="363"/>
        <v>SISTEMA DE CENTRO CIRURGICO</v>
      </c>
      <c r="C4357" s="2" t="str">
        <f t="shared" si="364"/>
        <v>INTER</v>
      </c>
      <c r="D4357" s="2" t="str">
        <f t="shared" si="365"/>
        <v>FSCC</v>
      </c>
      <c r="E4357" s="2" t="str">
        <f>"RELATÓRIO DE AGENDA DIÁRIA"</f>
        <v>RELATÓRIO DE AGENDA DIÁRIA</v>
      </c>
      <c r="F4357" s="2" t="str">
        <f>"R_AGENDA_DIA"</f>
        <v>R_AGENDA_DIA</v>
      </c>
      <c r="G4357" s="2" t="str">
        <f>"Atendimento / Centro Cirúrgico e Obstétrico / Relatórios / Operacionais / Agenda / Agenda Diária (R_AGENDA_DIA)"</f>
        <v>Atendimento / Centro Cirúrgico e Obstétrico / Relatórios / Operacionais / Agenda / Agenda Diária (R_AGENDA_DIA)</v>
      </c>
    </row>
    <row r="4358" spans="1:7" x14ac:dyDescent="0.3">
      <c r="A4358" s="1" t="s">
        <v>4</v>
      </c>
      <c r="B4358" s="2" t="str">
        <f t="shared" si="363"/>
        <v>SISTEMA DE CENTRO CIRURGICO</v>
      </c>
      <c r="C4358" s="2" t="str">
        <f t="shared" si="364"/>
        <v>INTER</v>
      </c>
      <c r="D4358" s="2" t="str">
        <f t="shared" si="365"/>
        <v>FSCC</v>
      </c>
      <c r="E4358" s="2" t="str">
        <f>"RELATÓRIO DE AGENDA DIÁRIA"</f>
        <v>RELATÓRIO DE AGENDA DIÁRIA</v>
      </c>
      <c r="F4358" s="2" t="str">
        <f>"R_AGENDA_DIA"</f>
        <v>R_AGENDA_DIA</v>
      </c>
      <c r="G4358" s="2" t="str">
        <f>"MVSaude / Atendimento / Autorizações de Guias / Internação / Relatórios / Operacionais / Lista de Agendamento Cirúrgico (R_AGENDA_DIA)"</f>
        <v>MVSaude / Atendimento / Autorizações de Guias / Internação / Relatórios / Operacionais / Lista de Agendamento Cirúrgico (R_AGENDA_DIA)</v>
      </c>
    </row>
    <row r="4359" spans="1:7" x14ac:dyDescent="0.3">
      <c r="A4359" s="1" t="s">
        <v>4</v>
      </c>
      <c r="B4359" s="2" t="str">
        <f t="shared" si="363"/>
        <v>SISTEMA DE CENTRO CIRURGICO</v>
      </c>
      <c r="C4359" s="2" t="str">
        <f t="shared" si="364"/>
        <v>INTER</v>
      </c>
      <c r="D4359" s="2" t="str">
        <f t="shared" si="365"/>
        <v>FSCC</v>
      </c>
      <c r="E4359" s="2" t="str">
        <f>"REL. DE TEMPO PREVISTO POR REALIZADO"</f>
        <v>REL. DE TEMPO PREVISTO POR REALIZADO</v>
      </c>
      <c r="F4359" s="2" t="str">
        <f>"R_CIR_PREV_REALIZ"</f>
        <v>R_CIR_PREV_REALIZ</v>
      </c>
      <c r="G4359" s="2" t="str">
        <f>"Atendimento / Centro Cirúrgico e Obstétrico / Relatórios / Estatísticos / Tempo Previsto por Realizado (R_CIR_PREV_REALIZ)"</f>
        <v>Atendimento / Centro Cirúrgico e Obstétrico / Relatórios / Estatísticos / Tempo Previsto por Realizado (R_CIR_PREV_REALIZ)</v>
      </c>
    </row>
    <row r="4360" spans="1:7" x14ac:dyDescent="0.3">
      <c r="A4360" s="1" t="s">
        <v>4</v>
      </c>
      <c r="B4360" s="2" t="str">
        <f t="shared" si="363"/>
        <v>SISTEMA DE CENTRO CIRURGICO</v>
      </c>
      <c r="C4360" s="2" t="str">
        <f t="shared" si="364"/>
        <v>INTER</v>
      </c>
      <c r="D4360" s="2" t="str">
        <f t="shared" si="365"/>
        <v>FSCC</v>
      </c>
      <c r="E4360" s="2" t="str">
        <f>"REL. ESTATÍSTICO DE CIRURGIA CANCELADAS"</f>
        <v>REL. ESTATÍSTICO DE CIRURGIA CANCELADAS</v>
      </c>
      <c r="F4360" s="2" t="str">
        <f>"R_CIR_CANC_TIPO"</f>
        <v>R_CIR_CANC_TIPO</v>
      </c>
      <c r="G4360" s="2" t="str">
        <f>"Atendimento / Centro Cirúrgico e Obstétrico / Relatórios / Estatísticos / Cirurgias Canceladas por Tipo (R_CIR_CANC_TIPO)"</f>
        <v>Atendimento / Centro Cirúrgico e Obstétrico / Relatórios / Estatísticos / Cirurgias Canceladas por Tipo (R_CIR_CANC_TIPO)</v>
      </c>
    </row>
    <row r="4361" spans="1:7" x14ac:dyDescent="0.3">
      <c r="A4361" s="1" t="s">
        <v>4</v>
      </c>
      <c r="B4361" s="2" t="str">
        <f t="shared" si="363"/>
        <v>SISTEMA DE CENTRO CIRURGICO</v>
      </c>
      <c r="C4361" s="2" t="str">
        <f t="shared" si="364"/>
        <v>INTER</v>
      </c>
      <c r="D4361" s="2" t="str">
        <f t="shared" si="365"/>
        <v>FSCC</v>
      </c>
      <c r="E4361" s="2" t="str">
        <f>"DESCRIÇÃO CIRÚRGICA"</f>
        <v>DESCRIÇÃO CIRÚRGICA</v>
      </c>
      <c r="F4361" s="2" t="str">
        <f>"M_DESC_CIRURGIA"</f>
        <v>M_DESC_CIRURGIA</v>
      </c>
      <c r="G4361" s="2" t="str">
        <f>" ()"</f>
        <v xml:space="preserve"> ()</v>
      </c>
    </row>
    <row r="4362" spans="1:7" x14ac:dyDescent="0.3">
      <c r="A4362" s="1" t="s">
        <v>4</v>
      </c>
      <c r="B4362" s="2" t="str">
        <f t="shared" si="363"/>
        <v>SISTEMA DE CENTRO CIRURGICO</v>
      </c>
      <c r="C4362" s="2" t="str">
        <f t="shared" si="364"/>
        <v>INTER</v>
      </c>
      <c r="D4362" s="2" t="str">
        <f t="shared" si="365"/>
        <v>FSCC</v>
      </c>
      <c r="E4362" s="2" t="str">
        <f>"CIRURGIA POR PROCEDIMENTO"</f>
        <v>CIRURGIA POR PROCEDIMENTO</v>
      </c>
      <c r="F4362" s="2" t="str">
        <f>"R_EST_CIR_PROCED"</f>
        <v>R_EST_CIR_PROCED</v>
      </c>
      <c r="G4362" s="2" t="str">
        <f>"Atendimento / Centro Cirúrgico e Obstétrico / Relatórios / Estatísticos / Cirurgias Realizadas / por Procedimento (R_EST_CIR_PROCED)"</f>
        <v>Atendimento / Centro Cirúrgico e Obstétrico / Relatórios / Estatísticos / Cirurgias Realizadas / por Procedimento (R_EST_CIR_PROCED)</v>
      </c>
    </row>
    <row r="4363" spans="1:7" x14ac:dyDescent="0.3">
      <c r="A4363" s="1" t="s">
        <v>4</v>
      </c>
      <c r="B4363" s="2" t="str">
        <f t="shared" si="363"/>
        <v>SISTEMA DE CENTRO CIRURGICO</v>
      </c>
      <c r="C4363" s="2" t="str">
        <f t="shared" si="364"/>
        <v>INTER</v>
      </c>
      <c r="D4363" s="2" t="str">
        <f t="shared" si="365"/>
        <v>FSCC</v>
      </c>
      <c r="E4363" s="2" t="str">
        <f>"REL. ESTATÍSTICO DE CIRURGIAS TRANSF."</f>
        <v>REL. ESTATÍSTICO DE CIRURGIAS TRANSF.</v>
      </c>
      <c r="F4363" s="2" t="str">
        <f>"R_ESTAT_CIR_TRANSF"</f>
        <v>R_ESTAT_CIR_TRANSF</v>
      </c>
      <c r="G4363" s="2" t="str">
        <f>"Atendimento / Centro Cirúrgico e Obstétrico / Relatórios / Estatísticos / Cirurgias Transferidas (R_ESTAT_CIR_TRANSF)"</f>
        <v>Atendimento / Centro Cirúrgico e Obstétrico / Relatórios / Estatísticos / Cirurgias Transferidas (R_ESTAT_CIR_TRANSF)</v>
      </c>
    </row>
    <row r="4364" spans="1:7" x14ac:dyDescent="0.3">
      <c r="A4364" s="1" t="s">
        <v>4</v>
      </c>
      <c r="B4364" s="2" t="str">
        <f t="shared" si="363"/>
        <v>SISTEMA DE CENTRO CIRURGICO</v>
      </c>
      <c r="C4364" s="2" t="str">
        <f t="shared" si="364"/>
        <v>INTER</v>
      </c>
      <c r="D4364" s="2" t="str">
        <f t="shared" si="365"/>
        <v>FSCC</v>
      </c>
      <c r="E4364" s="2" t="str">
        <f>"RELATORIO DE CIR. REALIZADAS SEM AVISO"</f>
        <v>RELATORIO DE CIR. REALIZADAS SEM AVISO</v>
      </c>
      <c r="F4364" s="2" t="str">
        <f>"R_CIR_SEM_AVISO"</f>
        <v>R_CIR_SEM_AVISO</v>
      </c>
      <c r="G4364" s="2" t="str">
        <f>"Atendimento / Centro Cirúrgico e Obstétrico / Relatórios / Operacionais / Cirurgias Realizadas sem Aviso (R_CIR_SEM_AVISO)"</f>
        <v>Atendimento / Centro Cirúrgico e Obstétrico / Relatórios / Operacionais / Cirurgias Realizadas sem Aviso (R_CIR_SEM_AVISO)</v>
      </c>
    </row>
    <row r="4365" spans="1:7" x14ac:dyDescent="0.3">
      <c r="A4365" s="1" t="s">
        <v>4</v>
      </c>
      <c r="B4365" s="2" t="str">
        <f t="shared" si="363"/>
        <v>SISTEMA DE CENTRO CIRURGICO</v>
      </c>
      <c r="C4365" s="2" t="str">
        <f t="shared" si="364"/>
        <v>INTER</v>
      </c>
      <c r="D4365" s="2" t="str">
        <f t="shared" si="365"/>
        <v>FSCC</v>
      </c>
      <c r="E4365" s="2" t="str">
        <f>"RELATORIO DE FICHA DE ADMISSAO DO RN"</f>
        <v>RELATORIO DE FICHA DE ADMISSAO DO RN</v>
      </c>
      <c r="F4365" s="2" t="str">
        <f>"R_FICHA_ADMISSAO_UNIMED"</f>
        <v>R_FICHA_ADMISSAO_UNIMED</v>
      </c>
      <c r="G4365" s="2" t="str">
        <f>" ()"</f>
        <v xml:space="preserve"> ()</v>
      </c>
    </row>
    <row r="4366" spans="1:7" x14ac:dyDescent="0.3">
      <c r="A4366" s="1" t="s">
        <v>4</v>
      </c>
      <c r="B4366" s="2" t="str">
        <f t="shared" si="363"/>
        <v>SISTEMA DE CENTRO CIRURGICO</v>
      </c>
      <c r="C4366" s="2" t="str">
        <f t="shared" si="364"/>
        <v>INTER</v>
      </c>
      <c r="D4366" s="2" t="str">
        <f t="shared" si="365"/>
        <v>FSCC</v>
      </c>
      <c r="E4366" s="2" t="str">
        <f>"REL CIRURGIAS A REALIZAR P/ CENTRO CIRUR"</f>
        <v>REL CIRURGIAS A REALIZAR P/ CENTRO CIRUR</v>
      </c>
      <c r="F4366" s="2" t="str">
        <f>"R_CIR_A_REALIZAR_DULCE"</f>
        <v>R_CIR_A_REALIZAR_DULCE</v>
      </c>
      <c r="G4366" s="2" t="str">
        <f>" ()"</f>
        <v xml:space="preserve"> ()</v>
      </c>
    </row>
    <row r="4367" spans="1:7" x14ac:dyDescent="0.3">
      <c r="A4367" s="1" t="s">
        <v>4</v>
      </c>
      <c r="B4367" s="2" t="str">
        <f t="shared" si="363"/>
        <v>SISTEMA DE CENTRO CIRURGICO</v>
      </c>
      <c r="C4367" s="2" t="str">
        <f t="shared" si="364"/>
        <v>INTER</v>
      </c>
      <c r="D4367" s="2" t="str">
        <f t="shared" si="365"/>
        <v>FSCC</v>
      </c>
      <c r="E4367" s="2" t="str">
        <f>"CONSULTA DÉBITO-PRODUTO PARA PACIENTE"</f>
        <v>CONSULTA DÉBITO-PRODUTO PARA PACIENTE</v>
      </c>
      <c r="F4367" s="2" t="str">
        <f>"M_SAIPAC_CONSULTA"</f>
        <v>M_SAIPAC_CONSULTA</v>
      </c>
      <c r="G4367" s="2" t="str">
        <f>" ()"</f>
        <v xml:space="preserve"> ()</v>
      </c>
    </row>
    <row r="4368" spans="1:7" x14ac:dyDescent="0.3">
      <c r="A4368" s="1" t="s">
        <v>4</v>
      </c>
      <c r="B4368" s="2" t="str">
        <f t="shared" si="363"/>
        <v>SISTEMA DE CENTRO CIRURGICO</v>
      </c>
      <c r="C4368" s="2" t="str">
        <f t="shared" si="364"/>
        <v>INTER</v>
      </c>
      <c r="D4368" s="2" t="str">
        <f t="shared" si="365"/>
        <v>FSCC</v>
      </c>
      <c r="E4368" s="2" t="str">
        <f>"CONSULTA DE CIRURGIAS REALIZADAS"</f>
        <v>CONSULTA DE CIRURGIAS REALIZADAS</v>
      </c>
      <c r="F4368" s="2" t="str">
        <f>"C_CADCIR"</f>
        <v>C_CADCIR</v>
      </c>
      <c r="G4368" s="2" t="str">
        <f>"Atendimento / Centro Cirúrgico e Obstétrico / Consultas / Cirurgias Realizadas (C_CADCIR)"</f>
        <v>Atendimento / Centro Cirúrgico e Obstétrico / Consultas / Cirurgias Realizadas (C_CADCIR)</v>
      </c>
    </row>
    <row r="4369" spans="1:7" x14ac:dyDescent="0.3">
      <c r="A4369" s="1" t="s">
        <v>4</v>
      </c>
      <c r="B4369" s="2" t="str">
        <f t="shared" si="363"/>
        <v>SISTEMA DE CENTRO CIRURGICO</v>
      </c>
      <c r="C4369" s="2" t="str">
        <f t="shared" si="364"/>
        <v>INTER</v>
      </c>
      <c r="D4369" s="2" t="str">
        <f t="shared" si="365"/>
        <v>FSCC</v>
      </c>
      <c r="E4369" s="2" t="str">
        <f>"AGENDAMENTO - HOSPITAL MV SISTEMAS"</f>
        <v>AGENDAMENTO - HOSPITAL MV SISTEMAS</v>
      </c>
      <c r="F4369" s="2" t="str">
        <f>"AGENDAMENTO"</f>
        <v>AGENDAMENTO</v>
      </c>
      <c r="G4369" s="2" t="str">
        <f>" ()"</f>
        <v xml:space="preserve"> ()</v>
      </c>
    </row>
    <row r="4370" spans="1:7" x14ac:dyDescent="0.3">
      <c r="A4370" s="1" t="s">
        <v>4</v>
      </c>
      <c r="B4370" s="2" t="str">
        <f t="shared" si="363"/>
        <v>SISTEMA DE CENTRO CIRURGICO</v>
      </c>
      <c r="C4370" s="2" t="str">
        <f t="shared" si="364"/>
        <v>INTER</v>
      </c>
      <c r="D4370" s="2" t="str">
        <f t="shared" si="365"/>
        <v>FSCC</v>
      </c>
      <c r="E4370" s="2" t="str">
        <f>"REL. DE CIRURGIAS REALIZADAS POR EQUIPE"</f>
        <v>REL. DE CIRURGIAS REALIZADAS POR EQUIPE</v>
      </c>
      <c r="F4370" s="2" t="str">
        <f>"R_CIR_EQUIPE_SINT"</f>
        <v>R_CIR_EQUIPE_SINT</v>
      </c>
      <c r="G4370" s="2" t="str">
        <f>" ()"</f>
        <v xml:space="preserve"> ()</v>
      </c>
    </row>
    <row r="4371" spans="1:7" x14ac:dyDescent="0.3">
      <c r="A4371" s="1" t="s">
        <v>18</v>
      </c>
      <c r="B4371" s="2"/>
      <c r="C4371" s="2"/>
      <c r="D4371" s="2" t="s">
        <v>2</v>
      </c>
      <c r="E4371" s="2" t="str">
        <f>"S"</f>
        <v>S</v>
      </c>
      <c r="F4371" s="2" t="str">
        <f>"N"</f>
        <v>N</v>
      </c>
      <c r="G4371" s="2" t="str">
        <f>"N"</f>
        <v>N</v>
      </c>
    </row>
    <row r="4372" spans="1:7" x14ac:dyDescent="0.3">
      <c r="A4372" s="1" t="s">
        <v>4</v>
      </c>
      <c r="B4372" s="2" t="str">
        <f t="shared" ref="B4372:B4435" si="367">"SISTEMA DE CENTRO CIRURGICO"</f>
        <v>SISTEMA DE CENTRO CIRURGICO</v>
      </c>
      <c r="C4372" s="2" t="str">
        <f t="shared" ref="C4372:C4435" si="368">"INTER"</f>
        <v>INTER</v>
      </c>
      <c r="D4372" s="2" t="str">
        <f t="shared" ref="D4372:D4435" si="369">"FSCC"</f>
        <v>FSCC</v>
      </c>
      <c r="E4372" s="2" t="str">
        <f>"REL. DE CIRURGIAS REALIZ. POR SALAS SINT"</f>
        <v>REL. DE CIRURGIAS REALIZ. POR SALAS SINT</v>
      </c>
      <c r="F4372" s="2" t="str">
        <f>"R_CIR_SALA_SINT"</f>
        <v>R_CIR_SALA_SINT</v>
      </c>
      <c r="G4372" s="2" t="str">
        <f t="shared" ref="G4372:G4377" si="370">" ()"</f>
        <v xml:space="preserve"> ()</v>
      </c>
    </row>
    <row r="4373" spans="1:7" x14ac:dyDescent="0.3">
      <c r="A4373" s="1" t="s">
        <v>4</v>
      </c>
      <c r="B4373" s="2" t="str">
        <f t="shared" si="367"/>
        <v>SISTEMA DE CENTRO CIRURGICO</v>
      </c>
      <c r="C4373" s="2" t="str">
        <f t="shared" si="368"/>
        <v>INTER</v>
      </c>
      <c r="D4373" s="2" t="str">
        <f t="shared" si="369"/>
        <v>FSCC</v>
      </c>
      <c r="E4373" s="2" t="str">
        <f>"CIRURGIAS REALIZADAS POR EQUIPE MEDICA S"</f>
        <v>CIRURGIAS REALIZADAS POR EQUIPE MEDICA S</v>
      </c>
      <c r="F4373" s="2" t="str">
        <f>"R_CIR_EQUIP_SINT"</f>
        <v>R_CIR_EQUIP_SINT</v>
      </c>
      <c r="G4373" s="2" t="str">
        <f t="shared" si="370"/>
        <v xml:space="preserve"> ()</v>
      </c>
    </row>
    <row r="4374" spans="1:7" x14ac:dyDescent="0.3">
      <c r="A4374" s="1" t="s">
        <v>4</v>
      </c>
      <c r="B4374" s="2" t="str">
        <f t="shared" si="367"/>
        <v>SISTEMA DE CENTRO CIRURGICO</v>
      </c>
      <c r="C4374" s="2" t="str">
        <f t="shared" si="368"/>
        <v>INTER</v>
      </c>
      <c r="D4374" s="2" t="str">
        <f t="shared" si="369"/>
        <v>FSCC</v>
      </c>
      <c r="E4374" s="2" t="str">
        <f>"REL. CIRURGIAS REALIZADAS POR MEDICO"</f>
        <v>REL. CIRURGIAS REALIZADAS POR MEDICO</v>
      </c>
      <c r="F4374" s="2" t="str">
        <f>"R_CIR_MEDICO.RDF"</f>
        <v>R_CIR_MEDICO.RDF</v>
      </c>
      <c r="G4374" s="2" t="str">
        <f t="shared" si="370"/>
        <v xml:space="preserve"> ()</v>
      </c>
    </row>
    <row r="4375" spans="1:7" x14ac:dyDescent="0.3">
      <c r="A4375" s="1" t="s">
        <v>4</v>
      </c>
      <c r="B4375" s="2" t="str">
        <f t="shared" si="367"/>
        <v>SISTEMA DE CENTRO CIRURGICO</v>
      </c>
      <c r="C4375" s="2" t="str">
        <f t="shared" si="368"/>
        <v>INTER</v>
      </c>
      <c r="D4375" s="2" t="str">
        <f t="shared" si="369"/>
        <v>FSCC</v>
      </c>
      <c r="E4375" s="2" t="str">
        <f>"REL. CIRURGIAS REALIZADAS EQUIPE MÉDICA"</f>
        <v>REL. CIRURGIAS REALIZADAS EQUIPE MÉDICA</v>
      </c>
      <c r="F4375" s="2" t="str">
        <f>"R_ CIR_EQUIP_SINT"</f>
        <v>R_ CIR_EQUIP_SINT</v>
      </c>
      <c r="G4375" s="2" t="str">
        <f t="shared" si="370"/>
        <v xml:space="preserve"> ()</v>
      </c>
    </row>
    <row r="4376" spans="1:7" x14ac:dyDescent="0.3">
      <c r="A4376" s="1" t="s">
        <v>4</v>
      </c>
      <c r="B4376" s="2" t="str">
        <f t="shared" si="367"/>
        <v>SISTEMA DE CENTRO CIRURGICO</v>
      </c>
      <c r="C4376" s="2" t="str">
        <f t="shared" si="368"/>
        <v>INTER</v>
      </c>
      <c r="D4376" s="2" t="str">
        <f t="shared" si="369"/>
        <v>FSCC</v>
      </c>
      <c r="E4376" s="2" t="str">
        <f>"REL. CIRURGIAS REALIZADAS EQUIPE MEDICA"</f>
        <v>REL. CIRURGIAS REALIZADAS EQUIPE MEDICA</v>
      </c>
      <c r="F4376" s="2" t="str">
        <f>"R_CIR_EQUIP"</f>
        <v>R_CIR_EQUIP</v>
      </c>
      <c r="G4376" s="2" t="str">
        <f t="shared" si="370"/>
        <v xml:space="preserve"> ()</v>
      </c>
    </row>
    <row r="4377" spans="1:7" x14ac:dyDescent="0.3">
      <c r="A4377" s="1" t="s">
        <v>4</v>
      </c>
      <c r="B4377" s="2" t="str">
        <f t="shared" si="367"/>
        <v>SISTEMA DE CENTRO CIRURGICO</v>
      </c>
      <c r="C4377" s="2" t="str">
        <f t="shared" si="368"/>
        <v>INTER</v>
      </c>
      <c r="D4377" s="2" t="str">
        <f t="shared" si="369"/>
        <v>FSCC</v>
      </c>
      <c r="E4377" s="2" t="str">
        <f>"REL. CIRURGIAS REALIZADAS POR MEDICO"</f>
        <v>REL. CIRURGIAS REALIZADAS POR MEDICO</v>
      </c>
      <c r="F4377" s="2" t="str">
        <f>"R_CIR_MEDICO_SINT"</f>
        <v>R_CIR_MEDICO_SINT</v>
      </c>
      <c r="G4377" s="2" t="str">
        <f t="shared" si="370"/>
        <v xml:space="preserve"> ()</v>
      </c>
    </row>
    <row r="4378" spans="1:7" x14ac:dyDescent="0.3">
      <c r="A4378" s="1" t="s">
        <v>4</v>
      </c>
      <c r="B4378" s="2" t="str">
        <f t="shared" si="367"/>
        <v>SISTEMA DE CENTRO CIRURGICO</v>
      </c>
      <c r="C4378" s="2" t="str">
        <f t="shared" si="368"/>
        <v>INTER</v>
      </c>
      <c r="D4378" s="2" t="str">
        <f t="shared" si="369"/>
        <v>FSCC</v>
      </c>
      <c r="E4378" s="2" t="str">
        <f>"CIRURGIAS REALIZADAS POR MÉDICO"</f>
        <v>CIRURGIAS REALIZADAS POR MÉDICO</v>
      </c>
      <c r="F4378" s="2" t="str">
        <f>"R_CIR_MEDICO"</f>
        <v>R_CIR_MEDICO</v>
      </c>
      <c r="G4378" s="2" t="str">
        <f>"Atendimento / Centro Cirúrgico e Obstétrico / Relatórios / Administrativos / Cirurgias Realizadas por Médico (R_CIR_MEDICO)"</f>
        <v>Atendimento / Centro Cirúrgico e Obstétrico / Relatórios / Administrativos / Cirurgias Realizadas por Médico (R_CIR_MEDICO)</v>
      </c>
    </row>
    <row r="4379" spans="1:7" x14ac:dyDescent="0.3">
      <c r="A4379" s="1" t="s">
        <v>4</v>
      </c>
      <c r="B4379" s="2" t="str">
        <f t="shared" si="367"/>
        <v>SISTEMA DE CENTRO CIRURGICO</v>
      </c>
      <c r="C4379" s="2" t="str">
        <f t="shared" si="368"/>
        <v>INTER</v>
      </c>
      <c r="D4379" s="2" t="str">
        <f t="shared" si="369"/>
        <v>FSCC</v>
      </c>
      <c r="E4379" s="2" t="str">
        <f>"CIRURGIAS REALIZADAS POR EQUIPE MÉDICA"</f>
        <v>CIRURGIAS REALIZADAS POR EQUIPE MÉDICA</v>
      </c>
      <c r="F4379" s="2" t="str">
        <f>"R_CIR_EQUIPE"</f>
        <v>R_CIR_EQUIPE</v>
      </c>
      <c r="G4379" s="2" t="str">
        <f>" ()"</f>
        <v xml:space="preserve"> ()</v>
      </c>
    </row>
    <row r="4380" spans="1:7" x14ac:dyDescent="0.3">
      <c r="A4380" s="1" t="s">
        <v>4</v>
      </c>
      <c r="B4380" s="2" t="str">
        <f t="shared" si="367"/>
        <v>SISTEMA DE CENTRO CIRURGICO</v>
      </c>
      <c r="C4380" s="2" t="str">
        <f t="shared" si="368"/>
        <v>INTER</v>
      </c>
      <c r="D4380" s="2" t="str">
        <f t="shared" si="369"/>
        <v>FSCC</v>
      </c>
      <c r="E4380" s="2" t="str">
        <f>"GRAFICO CIRURGIA REALIZADA"</f>
        <v>GRAFICO CIRURGIA REALIZADA</v>
      </c>
      <c r="F4380" s="2" t="str">
        <f>"G_CIR_REALIZ"</f>
        <v>G_CIR_REALIZ</v>
      </c>
      <c r="G4380" s="2" t="str">
        <f>" ()"</f>
        <v xml:space="preserve"> ()</v>
      </c>
    </row>
    <row r="4381" spans="1:7" x14ac:dyDescent="0.3">
      <c r="A4381" s="1" t="s">
        <v>4</v>
      </c>
      <c r="B4381" s="2" t="str">
        <f t="shared" si="367"/>
        <v>SISTEMA DE CENTRO CIRURGICO</v>
      </c>
      <c r="C4381" s="2" t="str">
        <f t="shared" si="368"/>
        <v>INTER</v>
      </c>
      <c r="D4381" s="2" t="str">
        <f t="shared" si="369"/>
        <v>FSCC</v>
      </c>
      <c r="E4381" s="2" t="str">
        <f>"REL. DE CIRURGIAS REALIZADAS POR PORTE"</f>
        <v>REL. DE CIRURGIAS REALIZADAS POR PORTE</v>
      </c>
      <c r="F4381" s="2" t="str">
        <f>"R_CIR_REALIZ_PORTE"</f>
        <v>R_CIR_REALIZ_PORTE</v>
      </c>
      <c r="G4381" s="2" t="str">
        <f>"Atendimento / Centro Cirúrgico e Obstétrico / Relatórios / Estatísticos / Cirurgias Realizadas por Porte (R_CIR_REALIZ_PORTE)"</f>
        <v>Atendimento / Centro Cirúrgico e Obstétrico / Relatórios / Estatísticos / Cirurgias Realizadas por Porte (R_CIR_REALIZ_PORTE)</v>
      </c>
    </row>
    <row r="4382" spans="1:7" x14ac:dyDescent="0.3">
      <c r="A4382" s="1" t="s">
        <v>4</v>
      </c>
      <c r="B4382" s="2" t="str">
        <f t="shared" si="367"/>
        <v>SISTEMA DE CENTRO CIRURGICO</v>
      </c>
      <c r="C4382" s="2" t="str">
        <f t="shared" si="368"/>
        <v>INTER</v>
      </c>
      <c r="D4382" s="2" t="str">
        <f t="shared" si="369"/>
        <v>FSCC</v>
      </c>
      <c r="E4382" s="2" t="str">
        <f>"REL. DE CIRURGIAS REALIZADAS POR PORTE"</f>
        <v>REL. DE CIRURGIAS REALIZADAS POR PORTE</v>
      </c>
      <c r="F4382" s="2" t="str">
        <f>"R_CIR_REALIZ_PORTE"</f>
        <v>R_CIR_REALIZ_PORTE</v>
      </c>
      <c r="G4382" s="2" t="str">
        <f>"Atendimento / Centro Cirúrgico e Obstétrico / Relatórios / Estatísticos / Cirurgias Realizadas / por Porte (R_CIR_REALIZ_PORTE)"</f>
        <v>Atendimento / Centro Cirúrgico e Obstétrico / Relatórios / Estatísticos / Cirurgias Realizadas / por Porte (R_CIR_REALIZ_PORTE)</v>
      </c>
    </row>
    <row r="4383" spans="1:7" x14ac:dyDescent="0.3">
      <c r="A4383" s="1" t="s">
        <v>4</v>
      </c>
      <c r="B4383" s="2" t="str">
        <f t="shared" si="367"/>
        <v>SISTEMA DE CENTRO CIRURGICO</v>
      </c>
      <c r="C4383" s="2" t="str">
        <f t="shared" si="368"/>
        <v>INTER</v>
      </c>
      <c r="D4383" s="2" t="str">
        <f t="shared" si="369"/>
        <v>FSCC</v>
      </c>
      <c r="E4383" s="2" t="str">
        <f>"REL. DE ANESTESIAS REALIZADAS"</f>
        <v>REL. DE ANESTESIAS REALIZADAS</v>
      </c>
      <c r="F4383" s="2" t="str">
        <f>"R_ANEST_REALIZ"</f>
        <v>R_ANEST_REALIZ</v>
      </c>
      <c r="G4383" s="2" t="str">
        <f>"Atendimento / Centro Cirúrgico e Obstétrico / Relatórios / Estatísticos / Anestesias Realizadas / Analítico (R_ANEST_REALIZ)"</f>
        <v>Atendimento / Centro Cirúrgico e Obstétrico / Relatórios / Estatísticos / Anestesias Realizadas / Analítico (R_ANEST_REALIZ)</v>
      </c>
    </row>
    <row r="4384" spans="1:7" x14ac:dyDescent="0.3">
      <c r="A4384" s="1" t="s">
        <v>4</v>
      </c>
      <c r="B4384" s="2" t="str">
        <f t="shared" si="367"/>
        <v>SISTEMA DE CENTRO CIRURGICO</v>
      </c>
      <c r="C4384" s="2" t="str">
        <f t="shared" si="368"/>
        <v>INTER</v>
      </c>
      <c r="D4384" s="2" t="str">
        <f t="shared" si="369"/>
        <v>FSCC</v>
      </c>
      <c r="E4384" s="2" t="str">
        <f>"REL. EST. INDIVIDUAL POR ANESTESISTA"</f>
        <v>REL. EST. INDIVIDUAL POR ANESTESISTA</v>
      </c>
      <c r="F4384" s="2" t="str">
        <f>"R_EST_IND_ANEST"</f>
        <v>R_EST_IND_ANEST</v>
      </c>
      <c r="G4384" s="2" t="str">
        <f>"Atendimento / Centro Cirúrgico e Obstétrico / Relatórios / Administrativos / Individuais dos Anestesistas (R_EST_IND_ANEST)"</f>
        <v>Atendimento / Centro Cirúrgico e Obstétrico / Relatórios / Administrativos / Individuais dos Anestesistas (R_EST_IND_ANEST)</v>
      </c>
    </row>
    <row r="4385" spans="1:7" x14ac:dyDescent="0.3">
      <c r="A4385" s="1" t="s">
        <v>4</v>
      </c>
      <c r="B4385" s="2" t="str">
        <f t="shared" si="367"/>
        <v>SISTEMA DE CENTRO CIRURGICO</v>
      </c>
      <c r="C4385" s="2" t="str">
        <f t="shared" si="368"/>
        <v>INTER</v>
      </c>
      <c r="D4385" s="2" t="str">
        <f t="shared" si="369"/>
        <v>FSCC</v>
      </c>
      <c r="E4385" s="2" t="str">
        <f>"REL. DE CIRURGIAS SUSPENSAS"</f>
        <v>REL. DE CIRURGIAS SUSPENSAS</v>
      </c>
      <c r="F4385" s="2" t="str">
        <f>"R_CIR_SUSP"</f>
        <v>R_CIR_SUSP</v>
      </c>
      <c r="G4385" s="2" t="str">
        <f>"Atendimento / Centro Cirúrgico e Obstétrico / Relatórios / Estatísticos / Cirurgias Suspensas (R_CIR_SUSP)"</f>
        <v>Atendimento / Centro Cirúrgico e Obstétrico / Relatórios / Estatísticos / Cirurgias Suspensas (R_CIR_SUSP)</v>
      </c>
    </row>
    <row r="4386" spans="1:7" x14ac:dyDescent="0.3">
      <c r="A4386" s="1" t="s">
        <v>4</v>
      </c>
      <c r="B4386" s="2" t="str">
        <f t="shared" si="367"/>
        <v>SISTEMA DE CENTRO CIRURGICO</v>
      </c>
      <c r="C4386" s="2" t="str">
        <f t="shared" si="368"/>
        <v>INTER</v>
      </c>
      <c r="D4386" s="2" t="str">
        <f t="shared" si="369"/>
        <v>FSCC</v>
      </c>
      <c r="E4386" s="2" t="str">
        <f>"TELA DO REL. DE ANESTESIAS REALIZADAS"</f>
        <v>TELA DO REL. DE ANESTESIAS REALIZADAS</v>
      </c>
      <c r="F4386" s="2" t="str">
        <f>"R_ANEST_REALIZ.FMX"</f>
        <v>R_ANEST_REALIZ.FMX</v>
      </c>
      <c r="G4386" s="2" t="str">
        <f>" ()"</f>
        <v xml:space="preserve"> ()</v>
      </c>
    </row>
    <row r="4387" spans="1:7" x14ac:dyDescent="0.3">
      <c r="A4387" s="1" t="s">
        <v>4</v>
      </c>
      <c r="B4387" s="2" t="str">
        <f t="shared" si="367"/>
        <v>SISTEMA DE CENTRO CIRURGICO</v>
      </c>
      <c r="C4387" s="2" t="str">
        <f t="shared" si="368"/>
        <v>INTER</v>
      </c>
      <c r="D4387" s="2" t="str">
        <f t="shared" si="369"/>
        <v>FSCC</v>
      </c>
      <c r="E4387" s="2" t="str">
        <f>"REL CIR. Á REALIZAR POR CENTRO CIRÚRGICO"</f>
        <v>REL CIR. Á REALIZAR POR CENTRO CIRÚRGICO</v>
      </c>
      <c r="F4387" s="2" t="str">
        <f>"R_CIR_A_REALIZAR"</f>
        <v>R_CIR_A_REALIZAR</v>
      </c>
      <c r="G4387" s="2" t="str">
        <f>"Diagnóstico e Terapia / Banco de Sangue / Relatórios / Agenda (Cirurgias) / Cirurgias à Realizar por Centro Cirúrgico (R_CIR_A_REALIZAR)"</f>
        <v>Diagnóstico e Terapia / Banco de Sangue / Relatórios / Agenda (Cirurgias) / Cirurgias à Realizar por Centro Cirúrgico (R_CIR_A_REALIZAR)</v>
      </c>
    </row>
    <row r="4388" spans="1:7" x14ac:dyDescent="0.3">
      <c r="A4388" s="1" t="s">
        <v>4</v>
      </c>
      <c r="B4388" s="2" t="str">
        <f t="shared" si="367"/>
        <v>SISTEMA DE CENTRO CIRURGICO</v>
      </c>
      <c r="C4388" s="2" t="str">
        <f t="shared" si="368"/>
        <v>INTER</v>
      </c>
      <c r="D4388" s="2" t="str">
        <f t="shared" si="369"/>
        <v>FSCC</v>
      </c>
      <c r="E4388" s="2" t="str">
        <f>"REL CIR. Á REALIZAR POR CENTRO CIRÚRGICO"</f>
        <v>REL CIR. Á REALIZAR POR CENTRO CIRÚRGICO</v>
      </c>
      <c r="F4388" s="2" t="str">
        <f>"R_CIR_A_REALIZAR"</f>
        <v>R_CIR_A_REALIZAR</v>
      </c>
      <c r="G4388" s="2" t="str">
        <f>"Atendimento / Centro Cirúrgico e Obstétrico / Relatórios / Operacionais / Agenda / Cirurgias à Realizar por Centro Cirúrgico (R_CIR_A_REALIZAR)"</f>
        <v>Atendimento / Centro Cirúrgico e Obstétrico / Relatórios / Operacionais / Agenda / Cirurgias à Realizar por Centro Cirúrgico (R_CIR_A_REALIZAR)</v>
      </c>
    </row>
    <row r="4389" spans="1:7" x14ac:dyDescent="0.3">
      <c r="A4389" s="1" t="s">
        <v>4</v>
      </c>
      <c r="B4389" s="2" t="str">
        <f t="shared" si="367"/>
        <v>SISTEMA DE CENTRO CIRURGICO</v>
      </c>
      <c r="C4389" s="2" t="str">
        <f t="shared" si="368"/>
        <v>INTER</v>
      </c>
      <c r="D4389" s="2" t="str">
        <f t="shared" si="369"/>
        <v>FSCC</v>
      </c>
      <c r="E4389" s="2" t="str">
        <f>"REL. DE CIRURGIAS REALIZADAS POR PROCEDI"</f>
        <v>REL. DE CIRURGIAS REALIZADAS POR PROCEDI</v>
      </c>
      <c r="F4389" s="2" t="str">
        <f>"R_CIR_REALIZ_PROCED"</f>
        <v>R_CIR_REALIZ_PROCED</v>
      </c>
      <c r="G4389" s="2" t="str">
        <f>" ()"</f>
        <v xml:space="preserve"> ()</v>
      </c>
    </row>
    <row r="4390" spans="1:7" x14ac:dyDescent="0.3">
      <c r="A4390" s="1" t="s">
        <v>4</v>
      </c>
      <c r="B4390" s="2" t="str">
        <f t="shared" si="367"/>
        <v>SISTEMA DE CENTRO CIRURGICO</v>
      </c>
      <c r="C4390" s="2" t="str">
        <f t="shared" si="368"/>
        <v>INTER</v>
      </c>
      <c r="D4390" s="2" t="str">
        <f t="shared" si="369"/>
        <v>FSCC</v>
      </c>
      <c r="E4390" s="2" t="str">
        <f>"PACIENTES ATENDIDOS EM CIRURGIAS"</f>
        <v>PACIENTES ATENDIDOS EM CIRURGIAS</v>
      </c>
      <c r="F4390" s="2" t="str">
        <f>"R_PAC_ATEND_CIR"</f>
        <v>R_PAC_ATEND_CIR</v>
      </c>
      <c r="G4390" s="2" t="str">
        <f>" ()"</f>
        <v xml:space="preserve"> ()</v>
      </c>
    </row>
    <row r="4391" spans="1:7" x14ac:dyDescent="0.3">
      <c r="A4391" s="1" t="s">
        <v>4</v>
      </c>
      <c r="B4391" s="2" t="str">
        <f t="shared" si="367"/>
        <v>SISTEMA DE CENTRO CIRURGICO</v>
      </c>
      <c r="C4391" s="2" t="str">
        <f t="shared" si="368"/>
        <v>INTER</v>
      </c>
      <c r="D4391" s="2" t="str">
        <f t="shared" si="369"/>
        <v>FSCC</v>
      </c>
      <c r="E4391" s="2" t="str">
        <f>"ADMISSÃO NO CENTRO OBSTÉTRICO"</f>
        <v>ADMISSÃO NO CENTRO OBSTÉTRICO</v>
      </c>
      <c r="F4391" s="2" t="str">
        <f>"M_ADMISSAO_CO"</f>
        <v>M_ADMISSAO_CO</v>
      </c>
      <c r="G4391" s="2" t="str">
        <f>"Atendimento / Centro Cirúrgico e Obstétrico / Centro Cirúrgico / Ficha Obstétrica (M_ADMISSAO_CO)"</f>
        <v>Atendimento / Centro Cirúrgico e Obstétrico / Centro Cirúrgico / Ficha Obstétrica (M_ADMISSAO_CO)</v>
      </c>
    </row>
    <row r="4392" spans="1:7" x14ac:dyDescent="0.3">
      <c r="A4392" s="1" t="s">
        <v>4</v>
      </c>
      <c r="B4392" s="2" t="str">
        <f t="shared" si="367"/>
        <v>SISTEMA DE CENTRO CIRURGICO</v>
      </c>
      <c r="C4392" s="2" t="str">
        <f t="shared" si="368"/>
        <v>INTER</v>
      </c>
      <c r="D4392" s="2" t="str">
        <f t="shared" si="369"/>
        <v>FSCC</v>
      </c>
      <c r="E4392" s="2" t="str">
        <f>"CONSULTA AGENDA CENTRO CIRURGICO"</f>
        <v>CONSULTA AGENDA CENTRO CIRURGICO</v>
      </c>
      <c r="F4392" s="2" t="str">
        <f>"C_AGENDA_CENCIR"</f>
        <v>C_AGENDA_CENCIR</v>
      </c>
      <c r="G4392" s="2" t="str">
        <f>"MVSaude / Vendas / Internação / Consultas / Agenda - Centro Cirúrgico (C_AGENDA_CENCIR)"</f>
        <v>MVSaude / Vendas / Internação / Consultas / Agenda - Centro Cirúrgico (C_AGENDA_CENCIR)</v>
      </c>
    </row>
    <row r="4393" spans="1:7" x14ac:dyDescent="0.3">
      <c r="A4393" s="1" t="s">
        <v>4</v>
      </c>
      <c r="B4393" s="2" t="str">
        <f t="shared" si="367"/>
        <v>SISTEMA DE CENTRO CIRURGICO</v>
      </c>
      <c r="C4393" s="2" t="str">
        <f t="shared" si="368"/>
        <v>INTER</v>
      </c>
      <c r="D4393" s="2" t="str">
        <f t="shared" si="369"/>
        <v>FSCC</v>
      </c>
      <c r="E4393" s="2" t="str">
        <f>"CONSULTA AGENDA CENTRO CIRURGICO"</f>
        <v>CONSULTA AGENDA CENTRO CIRURGICO</v>
      </c>
      <c r="F4393" s="2" t="str">
        <f>"C_AGENDA_CENCIR"</f>
        <v>C_AGENDA_CENCIR</v>
      </c>
      <c r="G4393" s="2" t="str">
        <f>"MVSaude / Atendimento / Autorizações de Guias / Internação / Consultas / Agenda - Centro Cirúrgico (C_AGENDA_CENCIR)"</f>
        <v>MVSaude / Atendimento / Autorizações de Guias / Internação / Consultas / Agenda - Centro Cirúrgico (C_AGENDA_CENCIR)</v>
      </c>
    </row>
    <row r="4394" spans="1:7" x14ac:dyDescent="0.3">
      <c r="A4394" s="1" t="s">
        <v>4</v>
      </c>
      <c r="B4394" s="2" t="str">
        <f t="shared" si="367"/>
        <v>SISTEMA DE CENTRO CIRURGICO</v>
      </c>
      <c r="C4394" s="2" t="str">
        <f t="shared" si="368"/>
        <v>INTER</v>
      </c>
      <c r="D4394" s="2" t="str">
        <f t="shared" si="369"/>
        <v>FSCC</v>
      </c>
      <c r="E4394" s="2" t="str">
        <f>"CONSULTA AGENDA CENTRO CIRURGICO"</f>
        <v>CONSULTA AGENDA CENTRO CIRURGICO</v>
      </c>
      <c r="F4394" s="2" t="str">
        <f>"C_AGENDA_CENCIR"</f>
        <v>C_AGENDA_CENCIR</v>
      </c>
      <c r="G4394" s="2" t="str">
        <f>"Atendimento / Centro Cirúrgico e Obstétrico / Consultas / Agenda / Por Centro Cirúrgico (C_AGENDA_CENCIR)"</f>
        <v>Atendimento / Centro Cirúrgico e Obstétrico / Consultas / Agenda / Por Centro Cirúrgico (C_AGENDA_CENCIR)</v>
      </c>
    </row>
    <row r="4395" spans="1:7" x14ac:dyDescent="0.3">
      <c r="A4395" s="1" t="s">
        <v>4</v>
      </c>
      <c r="B4395" s="2" t="str">
        <f t="shared" si="367"/>
        <v>SISTEMA DE CENTRO CIRURGICO</v>
      </c>
      <c r="C4395" s="2" t="str">
        <f t="shared" si="368"/>
        <v>INTER</v>
      </c>
      <c r="D4395" s="2" t="str">
        <f t="shared" si="369"/>
        <v>FSCC</v>
      </c>
      <c r="E4395" s="2" t="str">
        <f>"REL EST CIRURG REALIZ. POR ESPECIALIDADE"</f>
        <v>REL EST CIRURG REALIZ. POR ESPECIALIDADE</v>
      </c>
      <c r="F4395" s="2" t="str">
        <f>"R_EST_CIR_ESP"</f>
        <v>R_EST_CIR_ESP</v>
      </c>
      <c r="G4395" s="2" t="str">
        <f>" ()"</f>
        <v xml:space="preserve"> ()</v>
      </c>
    </row>
    <row r="4396" spans="1:7" x14ac:dyDescent="0.3">
      <c r="A4396" s="1" t="s">
        <v>4</v>
      </c>
      <c r="B4396" s="2" t="str">
        <f t="shared" si="367"/>
        <v>SISTEMA DE CENTRO CIRURGICO</v>
      </c>
      <c r="C4396" s="2" t="str">
        <f t="shared" si="368"/>
        <v>INTER</v>
      </c>
      <c r="D4396" s="2" t="str">
        <f t="shared" si="369"/>
        <v>FSCC</v>
      </c>
      <c r="E4396" s="2" t="str">
        <f>"TELA DO REL. CIR. REALIZADAS POR PORTE"</f>
        <v>TELA DO REL. CIR. REALIZADAS POR PORTE</v>
      </c>
      <c r="F4396" s="2" t="str">
        <f>"R_CIR_REALIZ_PORTE.FMX"</f>
        <v>R_CIR_REALIZ_PORTE.FMX</v>
      </c>
      <c r="G4396" s="2" t="str">
        <f>" ()"</f>
        <v xml:space="preserve"> ()</v>
      </c>
    </row>
    <row r="4397" spans="1:7" x14ac:dyDescent="0.3">
      <c r="A4397" s="1" t="s">
        <v>4</v>
      </c>
      <c r="B4397" s="2" t="str">
        <f t="shared" si="367"/>
        <v>SISTEMA DE CENTRO CIRURGICO</v>
      </c>
      <c r="C4397" s="2" t="str">
        <f t="shared" si="368"/>
        <v>INTER</v>
      </c>
      <c r="D4397" s="2" t="str">
        <f t="shared" si="369"/>
        <v>FSCC</v>
      </c>
      <c r="E4397" s="2" t="str">
        <f>"REL. DE CIRURGIAS CANCELADAS"</f>
        <v>REL. DE CIRURGIAS CANCELADAS</v>
      </c>
      <c r="F4397" s="2" t="str">
        <f>"R_CIR_CANCE"</f>
        <v>R_CIR_CANCE</v>
      </c>
      <c r="G4397" s="2" t="str">
        <f>"Serviços de Apoio / Serviço Arquivo Médico / Relatórios / Administrativos / Cirurgias Canceladas (R_CIR_CANCE)"</f>
        <v>Serviços de Apoio / Serviço Arquivo Médico / Relatórios / Administrativos / Cirurgias Canceladas (R_CIR_CANCE)</v>
      </c>
    </row>
    <row r="4398" spans="1:7" x14ac:dyDescent="0.3">
      <c r="A4398" s="1" t="s">
        <v>4</v>
      </c>
      <c r="B4398" s="2" t="str">
        <f t="shared" si="367"/>
        <v>SISTEMA DE CENTRO CIRURGICO</v>
      </c>
      <c r="C4398" s="2" t="str">
        <f t="shared" si="368"/>
        <v>INTER</v>
      </c>
      <c r="D4398" s="2" t="str">
        <f t="shared" si="369"/>
        <v>FSCC</v>
      </c>
      <c r="E4398" s="2" t="str">
        <f>"REL. DE CIRURGIAS CANCELADAS"</f>
        <v>REL. DE CIRURGIAS CANCELADAS</v>
      </c>
      <c r="F4398" s="2" t="str">
        <f>"R_CIR_CANCE"</f>
        <v>R_CIR_CANCE</v>
      </c>
      <c r="G4398" s="2" t="str">
        <f>"Atendimento / Centro Cirúrgico e Obstétrico / Relatórios / Operacionais / Cirurgias Canceladas (R_CIR_CANCE)"</f>
        <v>Atendimento / Centro Cirúrgico e Obstétrico / Relatórios / Operacionais / Cirurgias Canceladas (R_CIR_CANCE)</v>
      </c>
    </row>
    <row r="4399" spans="1:7" x14ac:dyDescent="0.3">
      <c r="A4399" s="1" t="s">
        <v>4</v>
      </c>
      <c r="B4399" s="2" t="str">
        <f t="shared" si="367"/>
        <v>SISTEMA DE CENTRO CIRURGICO</v>
      </c>
      <c r="C4399" s="2" t="str">
        <f t="shared" si="368"/>
        <v>INTER</v>
      </c>
      <c r="D4399" s="2" t="str">
        <f t="shared" si="369"/>
        <v>FSCC</v>
      </c>
      <c r="E4399" s="2" t="str">
        <f>"TELA DO REL. DE MOTIVOS DE CANCELAMENTO"</f>
        <v>TELA DO REL. DE MOTIVOS DE CANCELAMENTO</v>
      </c>
      <c r="F4399" s="2" t="str">
        <f>"R_MOTCANC"</f>
        <v>R_MOTCANC</v>
      </c>
      <c r="G4399" s="2" t="str">
        <f>" ()"</f>
        <v xml:space="preserve"> ()</v>
      </c>
    </row>
    <row r="4400" spans="1:7" x14ac:dyDescent="0.3">
      <c r="A4400" s="1" t="s">
        <v>4</v>
      </c>
      <c r="B4400" s="2" t="str">
        <f t="shared" si="367"/>
        <v>SISTEMA DE CENTRO CIRURGICO</v>
      </c>
      <c r="C4400" s="2" t="str">
        <f t="shared" si="368"/>
        <v>INTER</v>
      </c>
      <c r="D4400" s="2" t="str">
        <f t="shared" si="369"/>
        <v>FSCC</v>
      </c>
      <c r="E4400" s="2" t="str">
        <f>"TELA DO REL. DE CENTRO CIRÚRGICO"</f>
        <v>TELA DO REL. DE CENTRO CIRÚRGICO</v>
      </c>
      <c r="F4400" s="2" t="str">
        <f>"R_CEN_CIR"</f>
        <v>R_CEN_CIR</v>
      </c>
      <c r="G4400" s="2" t="str">
        <f>" ()"</f>
        <v xml:space="preserve"> ()</v>
      </c>
    </row>
    <row r="4401" spans="1:7" x14ac:dyDescent="0.3">
      <c r="A4401" s="1" t="s">
        <v>4</v>
      </c>
      <c r="B4401" s="2" t="str">
        <f t="shared" si="367"/>
        <v>SISTEMA DE CENTRO CIRURGICO</v>
      </c>
      <c r="C4401" s="2" t="str">
        <f t="shared" si="368"/>
        <v>INTER</v>
      </c>
      <c r="D4401" s="2" t="str">
        <f t="shared" si="369"/>
        <v>FSCC</v>
      </c>
      <c r="E4401" s="2" t="str">
        <f>"TELA DO REL. DE CIRURGIAS"</f>
        <v>TELA DO REL. DE CIRURGIAS</v>
      </c>
      <c r="F4401" s="2" t="str">
        <f>"R_CIRURGIA"</f>
        <v>R_CIRURGIA</v>
      </c>
      <c r="G4401" s="2" t="str">
        <f>"Atendimento / Centro Cirúrgico e Obstétrico / Relatórios / Tabelas / Cirurgias (R_CIRURGIA)"</f>
        <v>Atendimento / Centro Cirúrgico e Obstétrico / Relatórios / Tabelas / Cirurgias (R_CIRURGIA)</v>
      </c>
    </row>
    <row r="4402" spans="1:7" x14ac:dyDescent="0.3">
      <c r="A4402" s="1" t="s">
        <v>4</v>
      </c>
      <c r="B4402" s="2" t="str">
        <f t="shared" si="367"/>
        <v>SISTEMA DE CENTRO CIRURGICO</v>
      </c>
      <c r="C4402" s="2" t="str">
        <f t="shared" si="368"/>
        <v>INTER</v>
      </c>
      <c r="D4402" s="2" t="str">
        <f t="shared" si="369"/>
        <v>FSCC</v>
      </c>
      <c r="E4402" s="2" t="str">
        <f>"CADASTRO DE PROCEDIMENTO DO SUS"</f>
        <v>CADASTRO DE PROCEDIMENTO DO SUS</v>
      </c>
      <c r="F4402" s="2" t="str">
        <f>"M_SIH_SUS"</f>
        <v>M_SIH_SUS</v>
      </c>
      <c r="G4402" s="2" t="str">
        <f>" ()"</f>
        <v xml:space="preserve"> ()</v>
      </c>
    </row>
    <row r="4403" spans="1:7" x14ac:dyDescent="0.3">
      <c r="A4403" s="1" t="s">
        <v>4</v>
      </c>
      <c r="B4403" s="2" t="str">
        <f t="shared" si="367"/>
        <v>SISTEMA DE CENTRO CIRURGICO</v>
      </c>
      <c r="C4403" s="2" t="str">
        <f t="shared" si="368"/>
        <v>INTER</v>
      </c>
      <c r="D4403" s="2" t="str">
        <f t="shared" si="369"/>
        <v>FSCC</v>
      </c>
      <c r="E4403" s="2" t="str">
        <f>"CADASTRO DE TIPOS DE PARTOS"</f>
        <v>CADASTRO DE TIPOS DE PARTOS</v>
      </c>
      <c r="F4403" s="2" t="str">
        <f>"O_REGPARTO"</f>
        <v>O_REGPARTO</v>
      </c>
      <c r="G4403" s="2" t="str">
        <f>" ()"</f>
        <v xml:space="preserve"> ()</v>
      </c>
    </row>
    <row r="4404" spans="1:7" x14ac:dyDescent="0.3">
      <c r="A4404" s="1" t="s">
        <v>4</v>
      </c>
      <c r="B4404" s="2" t="str">
        <f t="shared" si="367"/>
        <v>SISTEMA DE CENTRO CIRURGICO</v>
      </c>
      <c r="C4404" s="2" t="str">
        <f t="shared" si="368"/>
        <v>INTER</v>
      </c>
      <c r="D4404" s="2" t="str">
        <f t="shared" si="369"/>
        <v>FSCC</v>
      </c>
      <c r="E4404" s="2" t="str">
        <f>"CONFIRMAÇÃO DE CIRURGIA"</f>
        <v>CONFIRMAÇÃO DE CIRURGIA</v>
      </c>
      <c r="F4404" s="2" t="str">
        <f>"O_CONFCIR"</f>
        <v>O_CONFCIR</v>
      </c>
      <c r="G4404" s="2" t="str">
        <f>" ()"</f>
        <v xml:space="preserve"> ()</v>
      </c>
    </row>
    <row r="4405" spans="1:7" x14ac:dyDescent="0.3">
      <c r="A4405" s="1" t="s">
        <v>4</v>
      </c>
      <c r="B4405" s="2" t="str">
        <f t="shared" si="367"/>
        <v>SISTEMA DE CENTRO CIRURGICO</v>
      </c>
      <c r="C4405" s="2" t="str">
        <f t="shared" si="368"/>
        <v>INTER</v>
      </c>
      <c r="D4405" s="2" t="str">
        <f t="shared" si="369"/>
        <v>FSCC</v>
      </c>
      <c r="E4405" s="2" t="str">
        <f>"INTERDICAO DE SALA DE CIRURGIA"</f>
        <v>INTERDICAO DE SALA DE CIRURGIA</v>
      </c>
      <c r="F4405" s="2" t="str">
        <f>"M_INTSAL_CIR"</f>
        <v>M_INTSAL_CIR</v>
      </c>
      <c r="G4405" s="2" t="str">
        <f>" ()"</f>
        <v xml:space="preserve"> ()</v>
      </c>
    </row>
    <row r="4406" spans="1:7" x14ac:dyDescent="0.3">
      <c r="A4406" s="1" t="s">
        <v>4</v>
      </c>
      <c r="B4406" s="2" t="str">
        <f t="shared" si="367"/>
        <v>SISTEMA DE CENTRO CIRURGICO</v>
      </c>
      <c r="C4406" s="2" t="str">
        <f t="shared" si="368"/>
        <v>INTER</v>
      </c>
      <c r="D4406" s="2" t="str">
        <f t="shared" si="369"/>
        <v>FSCC</v>
      </c>
      <c r="E4406" s="2" t="str">
        <f>"TELA DO REL. DE TIPOS DE PARTO"</f>
        <v>TELA DO REL. DE TIPOS DE PARTO</v>
      </c>
      <c r="F4406" s="2" t="str">
        <f>"R_TIPPAR"</f>
        <v>R_TIPPAR</v>
      </c>
      <c r="G4406" s="2" t="str">
        <f>"Atendimento / Centro Cirúrgico e Obstétrico / Relatórios / Tabelas / Tipo de Parto (R_TIPPAR)"</f>
        <v>Atendimento / Centro Cirúrgico e Obstétrico / Relatórios / Tabelas / Tipo de Parto (R_TIPPAR)</v>
      </c>
    </row>
    <row r="4407" spans="1:7" x14ac:dyDescent="0.3">
      <c r="A4407" s="1" t="s">
        <v>4</v>
      </c>
      <c r="B4407" s="2" t="str">
        <f t="shared" si="367"/>
        <v>SISTEMA DE CENTRO CIRURGICO</v>
      </c>
      <c r="C4407" s="2" t="str">
        <f t="shared" si="368"/>
        <v>INTER</v>
      </c>
      <c r="D4407" s="2" t="str">
        <f t="shared" si="369"/>
        <v>FSCC</v>
      </c>
      <c r="E4407" s="2" t="str">
        <f>"TELA DO REL. DE EQUIPAMENTOS"</f>
        <v>TELA DO REL. DE EQUIPAMENTOS</v>
      </c>
      <c r="F4407" s="2" t="str">
        <f>"R_EQPTO"</f>
        <v>R_EQPTO</v>
      </c>
      <c r="G4407" s="2" t="str">
        <f>"Atendimento / Centro Cirúrgico e Obstétrico / Relatórios / Tabelas / Equipamentos (R_EQPTO)"</f>
        <v>Atendimento / Centro Cirúrgico e Obstétrico / Relatórios / Tabelas / Equipamentos (R_EQPTO)</v>
      </c>
    </row>
    <row r="4408" spans="1:7" x14ac:dyDescent="0.3">
      <c r="A4408" s="1" t="s">
        <v>4</v>
      </c>
      <c r="B4408" s="2" t="str">
        <f t="shared" si="367"/>
        <v>SISTEMA DE CENTRO CIRURGICO</v>
      </c>
      <c r="C4408" s="2" t="str">
        <f t="shared" si="368"/>
        <v>INTER</v>
      </c>
      <c r="D4408" s="2" t="str">
        <f t="shared" si="369"/>
        <v>FSCC</v>
      </c>
      <c r="E4408" s="2" t="str">
        <f>"TELA DO REL. DE ESPÉCIES DE EQUIPAMENTO"</f>
        <v>TELA DO REL. DE ESPÉCIES DE EQUIPAMENTO</v>
      </c>
      <c r="F4408" s="2" t="str">
        <f>"R_ESPEQPTO"</f>
        <v>R_ESPEQPTO</v>
      </c>
      <c r="G4408" s="2" t="str">
        <f>"Atendimento / Centro Cirúrgico e Obstétrico / Relatórios / Tabelas / Espécie de Equipamentos (R_ESPEQPTO)"</f>
        <v>Atendimento / Centro Cirúrgico e Obstétrico / Relatórios / Tabelas / Espécie de Equipamentos (R_ESPEQPTO)</v>
      </c>
    </row>
    <row r="4409" spans="1:7" x14ac:dyDescent="0.3">
      <c r="A4409" s="1" t="s">
        <v>4</v>
      </c>
      <c r="B4409" s="2" t="str">
        <f t="shared" si="367"/>
        <v>SISTEMA DE CENTRO CIRURGICO</v>
      </c>
      <c r="C4409" s="2" t="str">
        <f t="shared" si="368"/>
        <v>INTER</v>
      </c>
      <c r="D4409" s="2" t="str">
        <f t="shared" si="369"/>
        <v>FSCC</v>
      </c>
      <c r="E4409" s="2" t="str">
        <f>"TELA DO REL. DE SANGUE E DERIVADOS"</f>
        <v>TELA DO REL. DE SANGUE E DERIVADOS</v>
      </c>
      <c r="F4409" s="2" t="str">
        <f>"R_SANDER"</f>
        <v>R_SANDER</v>
      </c>
      <c r="G4409" s="2" t="str">
        <f>"Diagnóstico e Terapia / Banco de Sangue / Relatórios / Sangue e Derivados (R_SANDER)"</f>
        <v>Diagnóstico e Terapia / Banco de Sangue / Relatórios / Sangue e Derivados (R_SANDER)</v>
      </c>
    </row>
    <row r="4410" spans="1:7" x14ac:dyDescent="0.3">
      <c r="A4410" s="1" t="s">
        <v>4</v>
      </c>
      <c r="B4410" s="2" t="str">
        <f t="shared" si="367"/>
        <v>SISTEMA DE CENTRO CIRURGICO</v>
      </c>
      <c r="C4410" s="2" t="str">
        <f t="shared" si="368"/>
        <v>INTER</v>
      </c>
      <c r="D4410" s="2" t="str">
        <f t="shared" si="369"/>
        <v>FSCC</v>
      </c>
      <c r="E4410" s="2" t="str">
        <f>"TELA DO REL. DE SANGUE E DERIVADOS"</f>
        <v>TELA DO REL. DE SANGUE E DERIVADOS</v>
      </c>
      <c r="F4410" s="2" t="str">
        <f>"R_SANDER"</f>
        <v>R_SANDER</v>
      </c>
      <c r="G4410" s="2" t="str">
        <f>"Atendimento / Centro Cirúrgico e Obstétrico / Relatórios / Tabelas / Sangue e Derivados (R_SANDER)"</f>
        <v>Atendimento / Centro Cirúrgico e Obstétrico / Relatórios / Tabelas / Sangue e Derivados (R_SANDER)</v>
      </c>
    </row>
    <row r="4411" spans="1:7" x14ac:dyDescent="0.3">
      <c r="A4411" s="1" t="s">
        <v>4</v>
      </c>
      <c r="B4411" s="2" t="str">
        <f t="shared" si="367"/>
        <v>SISTEMA DE CENTRO CIRURGICO</v>
      </c>
      <c r="C4411" s="2" t="str">
        <f t="shared" si="368"/>
        <v>INTER</v>
      </c>
      <c r="D4411" s="2" t="str">
        <f t="shared" si="369"/>
        <v>FSCC</v>
      </c>
      <c r="E4411" s="2" t="str">
        <f>"TELA DO REL. DE VIAS DE ACESSO"</f>
        <v>TELA DO REL. DE VIAS DE ACESSO</v>
      </c>
      <c r="F4411" s="2" t="str">
        <f>"R_VIAACESSO"</f>
        <v>R_VIAACESSO</v>
      </c>
      <c r="G4411" s="2" t="str">
        <f>"Atendimento / Centro Cirúrgico e Obstétrico / Relatórios / Tabelas / Via de Acesso (R_VIAACESSO)"</f>
        <v>Atendimento / Centro Cirúrgico e Obstétrico / Relatórios / Tabelas / Via de Acesso (R_VIAACESSO)</v>
      </c>
    </row>
    <row r="4412" spans="1:7" x14ac:dyDescent="0.3">
      <c r="A4412" s="1" t="s">
        <v>4</v>
      </c>
      <c r="B4412" s="2" t="str">
        <f t="shared" si="367"/>
        <v>SISTEMA DE CENTRO CIRURGICO</v>
      </c>
      <c r="C4412" s="2" t="str">
        <f t="shared" si="368"/>
        <v>INTER</v>
      </c>
      <c r="D4412" s="2" t="str">
        <f t="shared" si="369"/>
        <v>FSCC</v>
      </c>
      <c r="E4412" s="2" t="str">
        <f>"TELA DO REL DE ANESTESIA"</f>
        <v>TELA DO REL DE ANESTESIA</v>
      </c>
      <c r="F4412" s="2" t="str">
        <f>"R_TIPANES"</f>
        <v>R_TIPANES</v>
      </c>
      <c r="G4412" s="2" t="str">
        <f>"Atendimento / Centro Cirúrgico e Obstétrico / Relatórios / Tabelas / Tipo de Anestesia (R_TIPANES)"</f>
        <v>Atendimento / Centro Cirúrgico e Obstétrico / Relatórios / Tabelas / Tipo de Anestesia (R_TIPANES)</v>
      </c>
    </row>
    <row r="4413" spans="1:7" x14ac:dyDescent="0.3">
      <c r="A4413" s="1" t="s">
        <v>4</v>
      </c>
      <c r="B4413" s="2" t="str">
        <f t="shared" si="367"/>
        <v>SISTEMA DE CENTRO CIRURGICO</v>
      </c>
      <c r="C4413" s="2" t="str">
        <f t="shared" si="368"/>
        <v>INTER</v>
      </c>
      <c r="D4413" s="2" t="str">
        <f t="shared" si="369"/>
        <v>FSCC</v>
      </c>
      <c r="E4413" s="2" t="str">
        <f>"TELA DO REL DE EQPTO. POR CIRURGIA"</f>
        <v>TELA DO REL DE EQPTO. POR CIRURGIA</v>
      </c>
      <c r="F4413" s="2" t="str">
        <f>"R_EQPTO_CIR"</f>
        <v>R_EQPTO_CIR</v>
      </c>
      <c r="G4413" s="2" t="str">
        <f>" ()"</f>
        <v xml:space="preserve"> ()</v>
      </c>
    </row>
    <row r="4414" spans="1:7" x14ac:dyDescent="0.3">
      <c r="A4414" s="1" t="s">
        <v>4</v>
      </c>
      <c r="B4414" s="2" t="str">
        <f t="shared" si="367"/>
        <v>SISTEMA DE CENTRO CIRURGICO</v>
      </c>
      <c r="C4414" s="2" t="str">
        <f t="shared" si="368"/>
        <v>INTER</v>
      </c>
      <c r="D4414" s="2" t="str">
        <f t="shared" si="369"/>
        <v>FSCC</v>
      </c>
      <c r="E4414" s="2" t="str">
        <f>"TELA DO REL. DE CIR REAL. Ñ REALI E CANC"</f>
        <v>TELA DO REL. DE CIR REAL. Ñ REALI E CANC</v>
      </c>
      <c r="F4414" s="2" t="str">
        <f>"R_CIR_TAB"</f>
        <v>R_CIR_TAB</v>
      </c>
      <c r="G4414" s="2" t="str">
        <f>"Atendimento / Centro Cirúrgico e Obstétrico / Relatórios / Estatísticos / Estatístico de Cirurgias (R_CIR_TAB)"</f>
        <v>Atendimento / Centro Cirúrgico e Obstétrico / Relatórios / Estatísticos / Estatístico de Cirurgias (R_CIR_TAB)</v>
      </c>
    </row>
    <row r="4415" spans="1:7" x14ac:dyDescent="0.3">
      <c r="A4415" s="1" t="s">
        <v>4</v>
      </c>
      <c r="B4415" s="2" t="str">
        <f t="shared" si="367"/>
        <v>SISTEMA DE CENTRO CIRURGICO</v>
      </c>
      <c r="C4415" s="2" t="str">
        <f t="shared" si="368"/>
        <v>INTER</v>
      </c>
      <c r="D4415" s="2" t="str">
        <f t="shared" si="369"/>
        <v>FSCC</v>
      </c>
      <c r="E4415" s="2" t="str">
        <f>"TELA DO REL. DE CIR. REALIZ. POR EQUIPE"</f>
        <v>TELA DO REL. DE CIR. REALIZ. POR EQUIPE</v>
      </c>
      <c r="F4415" s="2" t="str">
        <f>"R_CIR_EQUIPE.FMX"</f>
        <v>R_CIR_EQUIPE.FMX</v>
      </c>
      <c r="G4415" s="2" t="str">
        <f>" ()"</f>
        <v xml:space="preserve"> ()</v>
      </c>
    </row>
    <row r="4416" spans="1:7" x14ac:dyDescent="0.3">
      <c r="A4416" s="1" t="s">
        <v>4</v>
      </c>
      <c r="B4416" s="2" t="str">
        <f t="shared" si="367"/>
        <v>SISTEMA DE CENTRO CIRURGICO</v>
      </c>
      <c r="C4416" s="2" t="str">
        <f t="shared" si="368"/>
        <v>INTER</v>
      </c>
      <c r="D4416" s="2" t="str">
        <f t="shared" si="369"/>
        <v>FSCC</v>
      </c>
      <c r="E4416" s="2" t="str">
        <f>"TELA DO REL. DE CIR. REALIZADAS POR SALA"</f>
        <v>TELA DO REL. DE CIR. REALIZADAS POR SALA</v>
      </c>
      <c r="F4416" s="2" t="str">
        <f>"R_CIR_SALA"</f>
        <v>R_CIR_SALA</v>
      </c>
      <c r="G4416" s="2" t="str">
        <f>"Atendimento / Centro Cirúrgico e Obstétrico / Relatórios / Administrativos / Cirurgias Realizadas por Sala (R_CIR_SALA)"</f>
        <v>Atendimento / Centro Cirúrgico e Obstétrico / Relatórios / Administrativos / Cirurgias Realizadas por Sala (R_CIR_SALA)</v>
      </c>
    </row>
    <row r="4417" spans="1:7" x14ac:dyDescent="0.3">
      <c r="A4417" s="1" t="s">
        <v>4</v>
      </c>
      <c r="B4417" s="2" t="str">
        <f t="shared" si="367"/>
        <v>SISTEMA DE CENTRO CIRURGICO</v>
      </c>
      <c r="C4417" s="2" t="str">
        <f t="shared" si="368"/>
        <v>INTER</v>
      </c>
      <c r="D4417" s="2" t="str">
        <f t="shared" si="369"/>
        <v>FSCC</v>
      </c>
      <c r="E4417" s="2" t="str">
        <f>"TELA DO REL. DE CIR. REALIZADAS NO PERÍO"</f>
        <v>TELA DO REL. DE CIR. REALIZADAS NO PERÍO</v>
      </c>
      <c r="F4417" s="2" t="str">
        <f>"R_CIR_PER"</f>
        <v>R_CIR_PER</v>
      </c>
      <c r="G4417" s="2" t="str">
        <f>"Clínica e Assistencial / Controle de Infecção Hospitalar / Relatórios / Estatísticos / Cirurgias Realizadas no Período / Relatórios - Sintético (R_CIR_PER)"</f>
        <v>Clínica e Assistencial / Controle de Infecção Hospitalar / Relatórios / Estatísticos / Cirurgias Realizadas no Período / Relatórios - Sintético (R_CIR_PER)</v>
      </c>
    </row>
    <row r="4418" spans="1:7" x14ac:dyDescent="0.3">
      <c r="A4418" s="1" t="s">
        <v>4</v>
      </c>
      <c r="B4418" s="2" t="str">
        <f t="shared" si="367"/>
        <v>SISTEMA DE CENTRO CIRURGICO</v>
      </c>
      <c r="C4418" s="2" t="str">
        <f t="shared" si="368"/>
        <v>INTER</v>
      </c>
      <c r="D4418" s="2" t="str">
        <f t="shared" si="369"/>
        <v>FSCC</v>
      </c>
      <c r="E4418" s="2" t="str">
        <f>"TELA DO REL. DE CIR. REALIZADAS NO PERÍO"</f>
        <v>TELA DO REL. DE CIR. REALIZADAS NO PERÍO</v>
      </c>
      <c r="F4418" s="2" t="str">
        <f>"R_CIR_PER"</f>
        <v>R_CIR_PER</v>
      </c>
      <c r="G4418" s="2" t="str">
        <f>"Clínica e Assistencial / Controle de Infecção Hospitalar / Relatórios / Operacionais / Relatórios - Cirurgias Realizadas por Período (R_CIR_PER)"</f>
        <v>Clínica e Assistencial / Controle de Infecção Hospitalar / Relatórios / Operacionais / Relatórios - Cirurgias Realizadas por Período (R_CIR_PER)</v>
      </c>
    </row>
    <row r="4419" spans="1:7" x14ac:dyDescent="0.3">
      <c r="A4419" s="1" t="s">
        <v>4</v>
      </c>
      <c r="B4419" s="2" t="str">
        <f t="shared" si="367"/>
        <v>SISTEMA DE CENTRO CIRURGICO</v>
      </c>
      <c r="C4419" s="2" t="str">
        <f t="shared" si="368"/>
        <v>INTER</v>
      </c>
      <c r="D4419" s="2" t="str">
        <f t="shared" si="369"/>
        <v>FSCC</v>
      </c>
      <c r="E4419" s="2" t="str">
        <f>"TELA DO REL. DE CIR. REALIZADAS NO PERÍO"</f>
        <v>TELA DO REL. DE CIR. REALIZADAS NO PERÍO</v>
      </c>
      <c r="F4419" s="2" t="str">
        <f>"R_CIR_PER"</f>
        <v>R_CIR_PER</v>
      </c>
      <c r="G4419" s="2" t="str">
        <f>"Atendimento / Centro Cirúrgico e Obstétrico / Relatórios / Administrativos / Cirurgias Realizadas no Período / Sintético (R_CIR_PER)"</f>
        <v>Atendimento / Centro Cirúrgico e Obstétrico / Relatórios / Administrativos / Cirurgias Realizadas no Período / Sintético (R_CIR_PER)</v>
      </c>
    </row>
    <row r="4420" spans="1:7" x14ac:dyDescent="0.3">
      <c r="A4420" s="1" t="s">
        <v>4</v>
      </c>
      <c r="B4420" s="2" t="str">
        <f t="shared" si="367"/>
        <v>SISTEMA DE CENTRO CIRURGICO</v>
      </c>
      <c r="C4420" s="2" t="str">
        <f t="shared" si="368"/>
        <v>INTER</v>
      </c>
      <c r="D4420" s="2" t="str">
        <f t="shared" si="369"/>
        <v>FSCC</v>
      </c>
      <c r="E4420" s="2" t="str">
        <f>"TELA DO REL. FICHA DE CIRURGIA DESCRIVA"</f>
        <v>TELA DO REL. FICHA DE CIRURGIA DESCRIVA</v>
      </c>
      <c r="F4420" s="2" t="str">
        <f>"R_FICHA_CIR_DESC.FMX"</f>
        <v>R_FICHA_CIR_DESC.FMX</v>
      </c>
      <c r="G4420" s="2" t="str">
        <f>" ()"</f>
        <v xml:space="preserve"> ()</v>
      </c>
    </row>
    <row r="4421" spans="1:7" x14ac:dyDescent="0.3">
      <c r="A4421" s="1" t="s">
        <v>4</v>
      </c>
      <c r="B4421" s="2" t="str">
        <f t="shared" si="367"/>
        <v>SISTEMA DE CENTRO CIRURGICO</v>
      </c>
      <c r="C4421" s="2" t="str">
        <f t="shared" si="368"/>
        <v>INTER</v>
      </c>
      <c r="D4421" s="2" t="str">
        <f t="shared" si="369"/>
        <v>FSCC</v>
      </c>
      <c r="E4421" s="2" t="str">
        <f>"REL. DE FICHA CIRURGIA PARA EMERGENCIA"</f>
        <v>REL. DE FICHA CIRURGIA PARA EMERGENCIA</v>
      </c>
      <c r="F4421" s="2" t="str">
        <f>"R_FICHA_CIR_EMER"</f>
        <v>R_FICHA_CIR_EMER</v>
      </c>
      <c r="G4421" s="2" t="str">
        <f>"Atendimento / Centro Cirúrgico e Obstétrico / Relatórios / Operacionais / Ficha para Cirurgia de Emergência (R_FICHA_CIR_EMER)"</f>
        <v>Atendimento / Centro Cirúrgico e Obstétrico / Relatórios / Operacionais / Ficha para Cirurgia de Emergência (R_FICHA_CIR_EMER)</v>
      </c>
    </row>
    <row r="4422" spans="1:7" x14ac:dyDescent="0.3">
      <c r="A4422" s="1" t="s">
        <v>4</v>
      </c>
      <c r="B4422" s="2" t="str">
        <f t="shared" si="367"/>
        <v>SISTEMA DE CENTRO CIRURGICO</v>
      </c>
      <c r="C4422" s="2" t="str">
        <f t="shared" si="368"/>
        <v>INTER</v>
      </c>
      <c r="D4422" s="2" t="str">
        <f t="shared" si="369"/>
        <v>FSCC</v>
      </c>
      <c r="E4422" s="2" t="str">
        <f>"TELA PRINCIPAL DO SISTEMA DE C. CIRURGIC"</f>
        <v>TELA PRINCIPAL DO SISTEMA DE C. CIRURGIC</v>
      </c>
      <c r="F4422" s="2" t="str">
        <f>"FSCC"</f>
        <v>FSCC</v>
      </c>
      <c r="G4422" s="2" t="str">
        <f>" ()"</f>
        <v xml:space="preserve"> ()</v>
      </c>
    </row>
    <row r="4423" spans="1:7" x14ac:dyDescent="0.3">
      <c r="A4423" s="1" t="s">
        <v>4</v>
      </c>
      <c r="B4423" s="2" t="str">
        <f t="shared" si="367"/>
        <v>SISTEMA DE CENTRO CIRURGICO</v>
      </c>
      <c r="C4423" s="2" t="str">
        <f t="shared" si="368"/>
        <v>INTER</v>
      </c>
      <c r="D4423" s="2" t="str">
        <f t="shared" si="369"/>
        <v>FSCC</v>
      </c>
      <c r="E4423" s="2" t="str">
        <f>"MOTIVO DE CANCELAMENTO DE CIRURGIA"</f>
        <v>MOTIVO DE CANCELAMENTO DE CIRURGIA</v>
      </c>
      <c r="F4423" s="2" t="str">
        <f>"R_MOTCAN"</f>
        <v>R_MOTCAN</v>
      </c>
      <c r="G4423" s="2" t="str">
        <f>"Atendimento / Ambulatório / Relatórios / Tabelas / Motivo de Cancelamento (R_MOTCAN)"</f>
        <v>Atendimento / Ambulatório / Relatórios / Tabelas / Motivo de Cancelamento (R_MOTCAN)</v>
      </c>
    </row>
    <row r="4424" spans="1:7" x14ac:dyDescent="0.3">
      <c r="A4424" s="1" t="s">
        <v>4</v>
      </c>
      <c r="B4424" s="2" t="str">
        <f t="shared" si="367"/>
        <v>SISTEMA DE CENTRO CIRURGICO</v>
      </c>
      <c r="C4424" s="2" t="str">
        <f t="shared" si="368"/>
        <v>INTER</v>
      </c>
      <c r="D4424" s="2" t="str">
        <f t="shared" si="369"/>
        <v>FSCC</v>
      </c>
      <c r="E4424" s="2" t="str">
        <f>"MOTIVO DE CANCELAMENTO DE CIRURGIA"</f>
        <v>MOTIVO DE CANCELAMENTO DE CIRURGIA</v>
      </c>
      <c r="F4424" s="2" t="str">
        <f>"R_MOTCAN"</f>
        <v>R_MOTCAN</v>
      </c>
      <c r="G4424" s="2" t="str">
        <f>"Atendimento / Centro Cirúrgico e Obstétrico / Relatórios / Tabelas / Motivo de Cancelamento (R_MOTCAN)"</f>
        <v>Atendimento / Centro Cirúrgico e Obstétrico / Relatórios / Tabelas / Motivo de Cancelamento (R_MOTCAN)</v>
      </c>
    </row>
    <row r="4425" spans="1:7" x14ac:dyDescent="0.3">
      <c r="A4425" s="1" t="s">
        <v>4</v>
      </c>
      <c r="B4425" s="2" t="str">
        <f t="shared" si="367"/>
        <v>SISTEMA DE CENTRO CIRURGICO</v>
      </c>
      <c r="C4425" s="2" t="str">
        <f t="shared" si="368"/>
        <v>INTER</v>
      </c>
      <c r="D4425" s="2" t="str">
        <f t="shared" si="369"/>
        <v>FSCC</v>
      </c>
      <c r="E4425" s="2" t="str">
        <f>"AGENDAMENTO MANUAL DE CIRURGIAS"</f>
        <v>AGENDAMENTO MANUAL DE CIRURGIAS</v>
      </c>
      <c r="F4425" s="2" t="str">
        <f>"O_AGENDA"</f>
        <v>O_AGENDA</v>
      </c>
      <c r="G4425" s="2" t="str">
        <f>"Atendimento / Centro Cirúrgico e Obstétrico / Centro Cirúrgico / Agendamento (O_AGENDA)"</f>
        <v>Atendimento / Centro Cirúrgico e Obstétrico / Centro Cirúrgico / Agendamento (O_AGENDA)</v>
      </c>
    </row>
    <row r="4426" spans="1:7" x14ac:dyDescent="0.3">
      <c r="A4426" s="1" t="s">
        <v>4</v>
      </c>
      <c r="B4426" s="2" t="str">
        <f t="shared" si="367"/>
        <v>SISTEMA DE CENTRO CIRURGICO</v>
      </c>
      <c r="C4426" s="2" t="str">
        <f t="shared" si="368"/>
        <v>INTER</v>
      </c>
      <c r="D4426" s="2" t="str">
        <f t="shared" si="369"/>
        <v>FSCC</v>
      </c>
      <c r="E4426" s="2" t="str">
        <f>"CONFIGURAÇÃO SISTEMA CENTRO CIRURGICO"</f>
        <v>CONFIGURAÇÃO SISTEMA CENTRO CIRURGICO</v>
      </c>
      <c r="F4426" s="2" t="str">
        <f>"M_CONFIG_FSCC"</f>
        <v>M_CONFIG_FSCC</v>
      </c>
      <c r="G4426" s="2" t="str">
        <f>"Atendimento / Centro Cirúrgico e Obstétrico / Configurações / Parâmetros (M_CONFIG_FSCC)"</f>
        <v>Atendimento / Centro Cirúrgico e Obstétrico / Configurações / Parâmetros (M_CONFIG_FSCC)</v>
      </c>
    </row>
    <row r="4427" spans="1:7" x14ac:dyDescent="0.3">
      <c r="A4427" s="1" t="s">
        <v>4</v>
      </c>
      <c r="B4427" s="2" t="str">
        <f t="shared" si="367"/>
        <v>SISTEMA DE CENTRO CIRURGICO</v>
      </c>
      <c r="C4427" s="2" t="str">
        <f t="shared" si="368"/>
        <v>INTER</v>
      </c>
      <c r="D4427" s="2" t="str">
        <f t="shared" si="369"/>
        <v>FSCC</v>
      </c>
      <c r="E4427" s="2" t="str">
        <f>"CADASTRO TIPOS DE MORTES RN"</f>
        <v>CADASTRO TIPOS DE MORTES RN</v>
      </c>
      <c r="F4427" s="2" t="str">
        <f>"M_MORRN"</f>
        <v>M_MORRN</v>
      </c>
      <c r="G4427" s="2" t="str">
        <f>"Atendimento / Centro Cirúrgico e Obstétrico / Tabelas / Tipo de Morte RN (M_MORRN)"</f>
        <v>Atendimento / Centro Cirúrgico e Obstétrico / Tabelas / Tipo de Morte RN (M_MORRN)</v>
      </c>
    </row>
    <row r="4428" spans="1:7" x14ac:dyDescent="0.3">
      <c r="A4428" s="1" t="s">
        <v>4</v>
      </c>
      <c r="B4428" s="2" t="str">
        <f t="shared" si="367"/>
        <v>SISTEMA DE CENTRO CIRURGICO</v>
      </c>
      <c r="C4428" s="2" t="str">
        <f t="shared" si="368"/>
        <v>INTER</v>
      </c>
      <c r="D4428" s="2" t="str">
        <f t="shared" si="369"/>
        <v>FSCC</v>
      </c>
      <c r="E4428" s="2" t="str">
        <f>"PRE-NATAL"</f>
        <v>PRE-NATAL</v>
      </c>
      <c r="F4428" s="2" t="str">
        <f>"M_PRENAT"</f>
        <v>M_PRENAT</v>
      </c>
      <c r="G4428" s="2" t="str">
        <f>" ()"</f>
        <v xml:space="preserve"> ()</v>
      </c>
    </row>
    <row r="4429" spans="1:7" x14ac:dyDescent="0.3">
      <c r="A4429" s="1" t="s">
        <v>4</v>
      </c>
      <c r="B4429" s="2" t="str">
        <f t="shared" si="367"/>
        <v>SISTEMA DE CENTRO CIRURGICO</v>
      </c>
      <c r="C4429" s="2" t="str">
        <f t="shared" si="368"/>
        <v>INTER</v>
      </c>
      <c r="D4429" s="2" t="str">
        <f t="shared" si="369"/>
        <v>FSCC</v>
      </c>
      <c r="E4429" s="2" t="str">
        <f>"REGISTRO DE PRÉ-AGENDAMENTO DE CIRURGIA"</f>
        <v>REGISTRO DE PRÉ-AGENDAMENTO DE CIRURGIA</v>
      </c>
      <c r="F4429" s="2" t="str">
        <f>"M_REG_PRE_AGENDA"</f>
        <v>M_REG_PRE_AGENDA</v>
      </c>
      <c r="G4429" s="2" t="str">
        <f>" ()"</f>
        <v xml:space="preserve"> ()</v>
      </c>
    </row>
    <row r="4430" spans="1:7" x14ac:dyDescent="0.3">
      <c r="A4430" s="1" t="s">
        <v>4</v>
      </c>
      <c r="B4430" s="2" t="str">
        <f t="shared" si="367"/>
        <v>SISTEMA DE CENTRO CIRURGICO</v>
      </c>
      <c r="C4430" s="2" t="str">
        <f t="shared" si="368"/>
        <v>INTER</v>
      </c>
      <c r="D4430" s="2" t="str">
        <f t="shared" si="369"/>
        <v>FSCC</v>
      </c>
      <c r="E4430" s="2" t="str">
        <f>"REGISTRO DE PRÉ-AGENDAMENTOS "</f>
        <v xml:space="preserve">REGISTRO DE PRÉ-AGENDAMENTOS </v>
      </c>
      <c r="F4430" s="2" t="str">
        <f>"M_PRE_AGENDAMENTO"</f>
        <v>M_PRE_AGENDAMENTO</v>
      </c>
      <c r="G4430" s="2" t="str">
        <f>"Atendimento / Centro Cirúrgico e Obstétrico / Centro Cirúrgico / Pré-Agendamento Cirúrgico (M_PRE_AGENDAMENTO)"</f>
        <v>Atendimento / Centro Cirúrgico e Obstétrico / Centro Cirúrgico / Pré-Agendamento Cirúrgico (M_PRE_AGENDAMENTO)</v>
      </c>
    </row>
    <row r="4431" spans="1:7" x14ac:dyDescent="0.3">
      <c r="A4431" s="1" t="s">
        <v>4</v>
      </c>
      <c r="B4431" s="2" t="str">
        <f t="shared" si="367"/>
        <v>SISTEMA DE CENTRO CIRURGICO</v>
      </c>
      <c r="C4431" s="2" t="str">
        <f t="shared" si="368"/>
        <v>INTER</v>
      </c>
      <c r="D4431" s="2" t="str">
        <f t="shared" si="369"/>
        <v>FSCC</v>
      </c>
      <c r="E4431" s="2" t="str">
        <f>"CADASTRO DE PERFIL DE USUÁRIOS"</f>
        <v>CADASTRO DE PERFIL DE USUÁRIOS</v>
      </c>
      <c r="F4431" s="2" t="str">
        <f>"M_PERFIL_FSCC"</f>
        <v>M_PERFIL_FSCC</v>
      </c>
      <c r="G4431" s="2" t="str">
        <f>"Apoio a TI / Gestão de Usuários / Configurações de Acesso / Acessos Gerais / Usuários por Perfil Centro Cirúrgico (M_PERFIL_FSCC)"</f>
        <v>Apoio a TI / Gestão de Usuários / Configurações de Acesso / Acessos Gerais / Usuários por Perfil Centro Cirúrgico (M_PERFIL_FSCC)</v>
      </c>
    </row>
    <row r="4432" spans="1:7" x14ac:dyDescent="0.3">
      <c r="A4432" s="1" t="s">
        <v>4</v>
      </c>
      <c r="B4432" s="2" t="str">
        <f t="shared" si="367"/>
        <v>SISTEMA DE CENTRO CIRURGICO</v>
      </c>
      <c r="C4432" s="2" t="str">
        <f t="shared" si="368"/>
        <v>INTER</v>
      </c>
      <c r="D4432" s="2" t="str">
        <f t="shared" si="369"/>
        <v>FSCC</v>
      </c>
      <c r="E4432" s="2" t="str">
        <f>"RELATÓRIO DE AGENDA DIÁRIA"</f>
        <v>RELATÓRIO DE AGENDA DIÁRIA</v>
      </c>
      <c r="F4432" s="2" t="str">
        <f>"R_AGENDA_DIA_900"</f>
        <v>R_AGENDA_DIA_900</v>
      </c>
      <c r="G4432" s="2" t="str">
        <f>" ()"</f>
        <v xml:space="preserve"> ()</v>
      </c>
    </row>
    <row r="4433" spans="1:7" x14ac:dyDescent="0.3">
      <c r="A4433" s="1" t="s">
        <v>4</v>
      </c>
      <c r="B4433" s="2" t="str">
        <f t="shared" si="367"/>
        <v>SISTEMA DE CENTRO CIRURGICO</v>
      </c>
      <c r="C4433" s="2" t="str">
        <f t="shared" si="368"/>
        <v>INTER</v>
      </c>
      <c r="D4433" s="2" t="str">
        <f t="shared" si="369"/>
        <v>FSCC</v>
      </c>
      <c r="E4433" s="2" t="str">
        <f>"C_AVISO_PERSONALIZADO"</f>
        <v>C_AVISO_PERSONALIZADO</v>
      </c>
      <c r="F4433" s="2" t="str">
        <f>"C_AVISO_PERSONALIZADO"</f>
        <v>C_AVISO_PERSONALIZADO</v>
      </c>
      <c r="G4433" s="2" t="str">
        <f>" ()"</f>
        <v xml:space="preserve"> ()</v>
      </c>
    </row>
    <row r="4434" spans="1:7" x14ac:dyDescent="0.3">
      <c r="A4434" s="1" t="s">
        <v>4</v>
      </c>
      <c r="B4434" s="2" t="str">
        <f t="shared" si="367"/>
        <v>SISTEMA DE CENTRO CIRURGICO</v>
      </c>
      <c r="C4434" s="2" t="str">
        <f t="shared" si="368"/>
        <v>INTER</v>
      </c>
      <c r="D4434" s="2" t="str">
        <f t="shared" si="369"/>
        <v>FSCC</v>
      </c>
      <c r="E4434" s="2" t="str">
        <f>"CENTRO CIRÚRGICO"</f>
        <v>CENTRO CIRÚRGICO</v>
      </c>
      <c r="F4434" s="2" t="str">
        <f>"M_AGEND_VISITAS_MEDICAS"</f>
        <v>M_AGEND_VISITAS_MEDICAS</v>
      </c>
      <c r="G4434" s="2" t="str">
        <f>" ()"</f>
        <v xml:space="preserve"> ()</v>
      </c>
    </row>
    <row r="4435" spans="1:7" x14ac:dyDescent="0.3">
      <c r="A4435" s="1" t="s">
        <v>4</v>
      </c>
      <c r="B4435" s="2" t="str">
        <f t="shared" si="367"/>
        <v>SISTEMA DE CENTRO CIRURGICO</v>
      </c>
      <c r="C4435" s="2" t="str">
        <f t="shared" si="368"/>
        <v>INTER</v>
      </c>
      <c r="D4435" s="2" t="str">
        <f t="shared" si="369"/>
        <v>FSCC</v>
      </c>
      <c r="E4435" s="2" t="str">
        <f>"WIN_PRINCIPAL"</f>
        <v>WIN_PRINCIPAL</v>
      </c>
      <c r="F4435" s="2" t="str">
        <f>"M_RESERVA_SAL_CIR"</f>
        <v>M_RESERVA_SAL_CIR</v>
      </c>
      <c r="G4435" s="2" t="str">
        <f>"Atendimento / Centro Cirúrgico e Obstétrico / Centro Cirúrgico / Reserva de Salas (M_RESERVA_SAL_CIR)"</f>
        <v>Atendimento / Centro Cirúrgico e Obstétrico / Centro Cirúrgico / Reserva de Salas (M_RESERVA_SAL_CIR)</v>
      </c>
    </row>
    <row r="4436" spans="1:7" x14ac:dyDescent="0.3">
      <c r="A4436" s="1" t="s">
        <v>4</v>
      </c>
      <c r="B4436" s="2" t="str">
        <f t="shared" ref="B4436:B4499" si="371">"SISTEMA DE CENTRO CIRURGICO"</f>
        <v>SISTEMA DE CENTRO CIRURGICO</v>
      </c>
      <c r="C4436" s="2" t="str">
        <f t="shared" ref="C4436:C4499" si="372">"INTER"</f>
        <v>INTER</v>
      </c>
      <c r="D4436" s="2" t="str">
        <f t="shared" ref="D4436:D4499" si="373">"FSCC"</f>
        <v>FSCC</v>
      </c>
      <c r="E4436" s="2" t="str">
        <f>"FLUXO DE PACIENTES NO CENTRO CIRÚRGICO"</f>
        <v>FLUXO DE PACIENTES NO CENTRO CIRÚRGICO</v>
      </c>
      <c r="F4436" s="2" t="str">
        <f>"C_FLUXO_PAC_CEN_CIR"</f>
        <v>C_FLUXO_PAC_CEN_CIR</v>
      </c>
      <c r="G4436" s="2" t="str">
        <f>"Atendimento / Centro Cirúrgico e Obstétrico / Consultas / Fluxo de Pacientes no Centro Cirúrgico (C_FLUXO_PAC_CEN_CIR)"</f>
        <v>Atendimento / Centro Cirúrgico e Obstétrico / Consultas / Fluxo de Pacientes no Centro Cirúrgico (C_FLUXO_PAC_CEN_CIR)</v>
      </c>
    </row>
    <row r="4437" spans="1:7" x14ac:dyDescent="0.3">
      <c r="A4437" s="1" t="s">
        <v>4</v>
      </c>
      <c r="B4437" s="2" t="str">
        <f t="shared" si="371"/>
        <v>SISTEMA DE CENTRO CIRURGICO</v>
      </c>
      <c r="C4437" s="2" t="str">
        <f t="shared" si="372"/>
        <v>INTER</v>
      </c>
      <c r="D4437" s="2" t="str">
        <f t="shared" si="373"/>
        <v>FSCC</v>
      </c>
      <c r="E4437" s="2" t="str">
        <f>"M_DISP_TIP_ACOM_UNID_INT"</f>
        <v>M_DISP_TIP_ACOM_UNID_INT</v>
      </c>
      <c r="F4437" s="2" t="str">
        <f>"M_DISP_TIP_ACOM_UNID_INT"</f>
        <v>M_DISP_TIP_ACOM_UNID_INT</v>
      </c>
      <c r="G4437" s="2" t="str">
        <f>" ()"</f>
        <v xml:space="preserve"> ()</v>
      </c>
    </row>
    <row r="4438" spans="1:7" x14ac:dyDescent="0.3">
      <c r="A4438" s="1" t="s">
        <v>4</v>
      </c>
      <c r="B4438" s="2" t="str">
        <f t="shared" si="371"/>
        <v>SISTEMA DE CENTRO CIRURGICO</v>
      </c>
      <c r="C4438" s="2" t="str">
        <f t="shared" si="372"/>
        <v>INTER</v>
      </c>
      <c r="D4438" s="2" t="str">
        <f t="shared" si="373"/>
        <v>FSCC</v>
      </c>
      <c r="E4438" s="2" t="str">
        <f>"RELATÓRIO DE CIRURGIAS TRANSFERIDAS"</f>
        <v>RELATÓRIO DE CIRURGIAS TRANSFERIDAS</v>
      </c>
      <c r="F4438" s="2" t="str">
        <f>"R_AGD_INT_TIPACOM"</f>
        <v>R_AGD_INT_TIPACOM</v>
      </c>
      <c r="G4438" s="2" t="str">
        <f>" ()"</f>
        <v xml:space="preserve"> ()</v>
      </c>
    </row>
    <row r="4439" spans="1:7" x14ac:dyDescent="0.3">
      <c r="A4439" s="1" t="s">
        <v>4</v>
      </c>
      <c r="B4439" s="2" t="str">
        <f t="shared" si="371"/>
        <v>SISTEMA DE CENTRO CIRURGICO</v>
      </c>
      <c r="C4439" s="2" t="str">
        <f t="shared" si="372"/>
        <v>INTER</v>
      </c>
      <c r="D4439" s="2" t="str">
        <f t="shared" si="373"/>
        <v>FSCC</v>
      </c>
      <c r="E4439" s="2" t="str">
        <f>"M_DISP_TIP_ACOM"</f>
        <v>M_DISP_TIP_ACOM</v>
      </c>
      <c r="F4439" s="2" t="str">
        <f>"M_DISP_TIP_ACOM"</f>
        <v>M_DISP_TIP_ACOM</v>
      </c>
      <c r="G4439" s="2" t="str">
        <f>" ()"</f>
        <v xml:space="preserve"> ()</v>
      </c>
    </row>
    <row r="4440" spans="1:7" x14ac:dyDescent="0.3">
      <c r="A4440" s="1" t="s">
        <v>4</v>
      </c>
      <c r="B4440" s="2" t="str">
        <f t="shared" si="371"/>
        <v>SISTEMA DE CENTRO CIRURGICO</v>
      </c>
      <c r="C4440" s="2" t="str">
        <f t="shared" si="372"/>
        <v>INTER</v>
      </c>
      <c r="D4440" s="2" t="str">
        <f t="shared" si="373"/>
        <v>FSCC</v>
      </c>
      <c r="E4440" s="2" t="str">
        <f>"R_EST_PARTOS_PRIMIPARAS_721"</f>
        <v>R_EST_PARTOS_PRIMIPARAS_721</v>
      </c>
      <c r="F4440" s="2" t="str">
        <f>"R_EST_PARTOS_PRIMIPARAS_721"</f>
        <v>R_EST_PARTOS_PRIMIPARAS_721</v>
      </c>
      <c r="G4440" s="2" t="str">
        <f>" ()"</f>
        <v xml:space="preserve"> ()</v>
      </c>
    </row>
    <row r="4441" spans="1:7" x14ac:dyDescent="0.3">
      <c r="A4441" s="1" t="s">
        <v>4</v>
      </c>
      <c r="B4441" s="2" t="str">
        <f t="shared" si="371"/>
        <v>SISTEMA DE CENTRO CIRURGICO</v>
      </c>
      <c r="C4441" s="2" t="str">
        <f t="shared" si="372"/>
        <v>INTER</v>
      </c>
      <c r="D4441" s="2" t="str">
        <f t="shared" si="373"/>
        <v>FSCC</v>
      </c>
      <c r="E4441" s="2" t="str">
        <f>"REGISTRO DE USUARIOS POR CENTRO CIRURGIC"</f>
        <v>REGISTRO DE USUARIOS POR CENTRO CIRURGIC</v>
      </c>
      <c r="F4441" s="2" t="str">
        <f>"M_USU_CEN_CIR"</f>
        <v>M_USU_CEN_CIR</v>
      </c>
      <c r="G4441" s="2" t="str">
        <f>"Apoio a TI / Gestão de Usuários / Configurações de Acesso / Acessos Gerais / Usuários por Centro Cirúrgico (M_USU_CEN_CIR)"</f>
        <v>Apoio a TI / Gestão de Usuários / Configurações de Acesso / Acessos Gerais / Usuários por Centro Cirúrgico (M_USU_CEN_CIR)</v>
      </c>
    </row>
    <row r="4442" spans="1:7" x14ac:dyDescent="0.3">
      <c r="A4442" s="1" t="s">
        <v>4</v>
      </c>
      <c r="B4442" s="2" t="str">
        <f t="shared" si="371"/>
        <v>SISTEMA DE CENTRO CIRURGICO</v>
      </c>
      <c r="C4442" s="2" t="str">
        <f t="shared" si="372"/>
        <v>INTER</v>
      </c>
      <c r="D4442" s="2" t="str">
        <f t="shared" si="373"/>
        <v>FSCC</v>
      </c>
      <c r="E4442" s="2" t="str">
        <f>"EXPORTA ARQUIVO HSCG X MV"</f>
        <v>EXPORTA ARQUIVO HSCG X MV</v>
      </c>
      <c r="F4442" s="2" t="str">
        <f>"M_EXPORTA"</f>
        <v>M_EXPORTA</v>
      </c>
      <c r="G4442" s="2" t="str">
        <f>" ()"</f>
        <v xml:space="preserve"> ()</v>
      </c>
    </row>
    <row r="4443" spans="1:7" x14ac:dyDescent="0.3">
      <c r="A4443" s="1" t="s">
        <v>4</v>
      </c>
      <c r="B4443" s="2" t="str">
        <f t="shared" si="371"/>
        <v>SISTEMA DE CENTRO CIRURGICO</v>
      </c>
      <c r="C4443" s="2" t="str">
        <f t="shared" si="372"/>
        <v>INTER</v>
      </c>
      <c r="D4443" s="2" t="str">
        <f t="shared" si="373"/>
        <v>FSCC</v>
      </c>
      <c r="E4443" s="2" t="str">
        <f>"RELATÓRIO DIÁRIA - SINTÉTICA"</f>
        <v>RELATÓRIO DIÁRIA - SINTÉTICA</v>
      </c>
      <c r="F4443" s="2" t="str">
        <f>"R_AGENDA_DIA_PRE_AGENDA"</f>
        <v>R_AGENDA_DIA_PRE_AGENDA</v>
      </c>
      <c r="G4443" s="2" t="str">
        <f>"Atendimento / Centro Cirúrgico e Obstétrico / Relatórios / Operacionais / Agenda / Agenda Diária - Sintética (R_AGENDA_DIA_PRE_AGENDA)"</f>
        <v>Atendimento / Centro Cirúrgico e Obstétrico / Relatórios / Operacionais / Agenda / Agenda Diária - Sintética (R_AGENDA_DIA_PRE_AGENDA)</v>
      </c>
    </row>
    <row r="4444" spans="1:7" x14ac:dyDescent="0.3">
      <c r="A4444" s="1" t="s">
        <v>4</v>
      </c>
      <c r="B4444" s="2" t="str">
        <f t="shared" si="371"/>
        <v>SISTEMA DE CENTRO CIRURGICO</v>
      </c>
      <c r="C4444" s="2" t="str">
        <f t="shared" si="372"/>
        <v>INTER</v>
      </c>
      <c r="D4444" s="2" t="str">
        <f t="shared" si="373"/>
        <v>FSCC</v>
      </c>
      <c r="E4444" s="2" t="str">
        <f>"RELATÓRIO DE RECÉM-NASCIDOS"</f>
        <v>RELATÓRIO DE RECÉM-NASCIDOS</v>
      </c>
      <c r="F4444" s="2" t="str">
        <f>"R_RECEM_NASCIDO"</f>
        <v>R_RECEM_NASCIDO</v>
      </c>
      <c r="G4444" s="2" t="str">
        <f>"Atendimento / Centro Cirúrgico e Obstétrico / Relatórios / Operacionais / Listagem de Recém-Nascidos (R_RECEM_NASCIDO)"</f>
        <v>Atendimento / Centro Cirúrgico e Obstétrico / Relatórios / Operacionais / Listagem de Recém-Nascidos (R_RECEM_NASCIDO)</v>
      </c>
    </row>
    <row r="4445" spans="1:7" x14ac:dyDescent="0.3">
      <c r="A4445" s="1" t="s">
        <v>4</v>
      </c>
      <c r="B4445" s="2" t="str">
        <f t="shared" si="371"/>
        <v>SISTEMA DE CENTRO CIRURGICO</v>
      </c>
      <c r="C4445" s="2" t="str">
        <f t="shared" si="372"/>
        <v>INTER</v>
      </c>
      <c r="D4445" s="2" t="str">
        <f t="shared" si="373"/>
        <v>FSCC</v>
      </c>
      <c r="E4445" s="2" t="str">
        <f>"INFORME DE AGENDA POR PRESTADOR CIRUJANO"</f>
        <v>INFORME DE AGENDA POR PRESTADOR CIRUJANO</v>
      </c>
      <c r="F4445" s="2" t="str">
        <f>"R_AGENDA_PRESTADOR_CIRU"</f>
        <v>R_AGENDA_PRESTADOR_CIRU</v>
      </c>
      <c r="G4445" s="2" t="str">
        <f>"Atendimento / Centro Cirúrgico e Obstétrico / Relatórios / Operacionais / Agenda / Agenda por Prestador Cirurgião (R_AGENDA_PRESTADOR_CIRU)"</f>
        <v>Atendimento / Centro Cirúrgico e Obstétrico / Relatórios / Operacionais / Agenda / Agenda por Prestador Cirurgião (R_AGENDA_PRESTADOR_CIRU)</v>
      </c>
    </row>
    <row r="4446" spans="1:7" x14ac:dyDescent="0.3">
      <c r="A4446" s="1" t="s">
        <v>4</v>
      </c>
      <c r="B4446" s="2" t="str">
        <f t="shared" si="371"/>
        <v>SISTEMA DE CENTRO CIRURGICO</v>
      </c>
      <c r="C4446" s="2" t="str">
        <f t="shared" si="372"/>
        <v>INTER</v>
      </c>
      <c r="D4446" s="2" t="str">
        <f t="shared" si="373"/>
        <v>FSCC</v>
      </c>
      <c r="E4446" s="2" t="str">
        <f>"ACHADOS CIRÚRGICOS"</f>
        <v>ACHADOS CIRÚRGICOS</v>
      </c>
      <c r="F4446" s="2" t="str">
        <f>"M_ACHADO_CIR"</f>
        <v>M_ACHADO_CIR</v>
      </c>
      <c r="G4446" s="2" t="str">
        <f>"Atendimento / Centro Cirúrgico e Obstétrico / Tabelas / Achados Cirúrgicos (M_ACHADO_CIR)"</f>
        <v>Atendimento / Centro Cirúrgico e Obstétrico / Tabelas / Achados Cirúrgicos (M_ACHADO_CIR)</v>
      </c>
    </row>
    <row r="4447" spans="1:7" x14ac:dyDescent="0.3">
      <c r="A4447" s="1" t="s">
        <v>4</v>
      </c>
      <c r="B4447" s="2" t="str">
        <f t="shared" si="371"/>
        <v>SISTEMA DE CENTRO CIRURGICO</v>
      </c>
      <c r="C4447" s="2" t="str">
        <f t="shared" si="372"/>
        <v>INTER</v>
      </c>
      <c r="D4447" s="2" t="str">
        <f t="shared" si="373"/>
        <v>FSCC</v>
      </c>
      <c r="E4447" s="2" t="str">
        <f>"FICHA PRÉ-ANESTÉSICA"</f>
        <v>FICHA PRÉ-ANESTÉSICA</v>
      </c>
      <c r="F4447" s="2" t="str">
        <f>"M_COMPLIC_INTR_OPER"</f>
        <v>M_COMPLIC_INTR_OPER</v>
      </c>
      <c r="G4447" s="2" t="str">
        <f>" ()"</f>
        <v xml:space="preserve"> ()</v>
      </c>
    </row>
    <row r="4448" spans="1:7" x14ac:dyDescent="0.3">
      <c r="A4448" s="1" t="s">
        <v>4</v>
      </c>
      <c r="B4448" s="2" t="str">
        <f t="shared" si="371"/>
        <v>SISTEMA DE CENTRO CIRURGICO</v>
      </c>
      <c r="C4448" s="2" t="str">
        <f t="shared" si="372"/>
        <v>INTER</v>
      </c>
      <c r="D4448" s="2" t="str">
        <f t="shared" si="373"/>
        <v>FSCC</v>
      </c>
      <c r="E4448" s="2" t="str">
        <f>"FICHA PRÉ-ANESTÉSICA"</f>
        <v>FICHA PRÉ-ANESTÉSICA</v>
      </c>
      <c r="F4448" s="2" t="str">
        <f>"M_FICHA_PRE_ANEST"</f>
        <v>M_FICHA_PRE_ANEST</v>
      </c>
      <c r="G4448" s="2" t="str">
        <f>" ()"</f>
        <v xml:space="preserve"> ()</v>
      </c>
    </row>
    <row r="4449" spans="1:7" x14ac:dyDescent="0.3">
      <c r="A4449" s="1" t="s">
        <v>4</v>
      </c>
      <c r="B4449" s="2" t="str">
        <f t="shared" si="371"/>
        <v>SISTEMA DE CENTRO CIRURGICO</v>
      </c>
      <c r="C4449" s="2" t="str">
        <f t="shared" si="372"/>
        <v>INTER</v>
      </c>
      <c r="D4449" s="2" t="str">
        <f t="shared" si="373"/>
        <v>FSCC</v>
      </c>
      <c r="E4449" s="2" t="str">
        <f>"ITENS DE CHECAGEM"</f>
        <v>ITENS DE CHECAGEM</v>
      </c>
      <c r="F4449" s="2" t="str">
        <f>"M_ITEM_CHECAGEM"</f>
        <v>M_ITEM_CHECAGEM</v>
      </c>
      <c r="G4449" s="2" t="str">
        <f>"Atendimento / Centro Cirúrgico e Obstétrico / Tabelas / Auditoria de Aviso / Item de Checagem (M_ITEM_CHECAGEM)"</f>
        <v>Atendimento / Centro Cirúrgico e Obstétrico / Tabelas / Auditoria de Aviso / Item de Checagem (M_ITEM_CHECAGEM)</v>
      </c>
    </row>
    <row r="4450" spans="1:7" x14ac:dyDescent="0.3">
      <c r="A4450" s="1" t="s">
        <v>4</v>
      </c>
      <c r="B4450" s="2" t="str">
        <f t="shared" si="371"/>
        <v>SISTEMA DE CENTRO CIRURGICO</v>
      </c>
      <c r="C4450" s="2" t="str">
        <f t="shared" si="372"/>
        <v>INTER</v>
      </c>
      <c r="D4450" s="2" t="str">
        <f t="shared" si="373"/>
        <v>FSCC</v>
      </c>
      <c r="E4450" s="2" t="str">
        <f>"LISTA DE CHECAGEM"</f>
        <v>LISTA DE CHECAGEM</v>
      </c>
      <c r="F4450" s="2" t="str">
        <f>"M_GRUPO_ITEM_CHECAGEM"</f>
        <v>M_GRUPO_ITEM_CHECAGEM</v>
      </c>
      <c r="G4450" s="2" t="str">
        <f>"Atendimento / Centro Cirúrgico e Obstétrico / Tabelas / Auditoria de Aviso / Lista de Checagem (M_GRUPO_ITEM_CHECAGEM)"</f>
        <v>Atendimento / Centro Cirúrgico e Obstétrico / Tabelas / Auditoria de Aviso / Lista de Checagem (M_GRUPO_ITEM_CHECAGEM)</v>
      </c>
    </row>
    <row r="4451" spans="1:7" x14ac:dyDescent="0.3">
      <c r="A4451" s="1" t="s">
        <v>4</v>
      </c>
      <c r="B4451" s="2" t="str">
        <f t="shared" si="371"/>
        <v>SISTEMA DE CENTRO CIRURGICO</v>
      </c>
      <c r="C4451" s="2" t="str">
        <f t="shared" si="372"/>
        <v>INTER</v>
      </c>
      <c r="D4451" s="2" t="str">
        <f t="shared" si="373"/>
        <v>FSCC</v>
      </c>
      <c r="E4451" s="2" t="str">
        <f>"CONFERÊNCIA DE ITENS DE CHECAGEM"</f>
        <v>CONFERÊNCIA DE ITENS DE CHECAGEM</v>
      </c>
      <c r="F4451" s="2" t="str">
        <f>"M_GRU_IT_CHE_AVI_CIR"</f>
        <v>M_GRU_IT_CHE_AVI_CIR</v>
      </c>
      <c r="G4451" s="2" t="str">
        <f>"Atendimento / Centro Cirúrgico e Obstétrico / Centro Cirúrgico / Lançamentos / Conferencia de Itens de Checagem (M_GRU_IT_CHE_AVI_CIR)"</f>
        <v>Atendimento / Centro Cirúrgico e Obstétrico / Centro Cirúrgico / Lançamentos / Conferencia de Itens de Checagem (M_GRU_IT_CHE_AVI_CIR)</v>
      </c>
    </row>
    <row r="4452" spans="1:7" x14ac:dyDescent="0.3">
      <c r="A4452" s="1" t="s">
        <v>4</v>
      </c>
      <c r="B4452" s="2" t="str">
        <f t="shared" si="371"/>
        <v>SISTEMA DE CENTRO CIRURGICO</v>
      </c>
      <c r="C4452" s="2" t="str">
        <f t="shared" si="372"/>
        <v>INTER</v>
      </c>
      <c r="D4452" s="2" t="str">
        <f t="shared" si="373"/>
        <v>FSCC</v>
      </c>
      <c r="E4452" s="2" t="str">
        <f>"CONFERÊNCIA DE ITENS DE CHECAGEM"</f>
        <v>CONFERÊNCIA DE ITENS DE CHECAGEM</v>
      </c>
      <c r="F4452" s="2" t="str">
        <f>"M_GRU_IT_CHE_AVI_CIR"</f>
        <v>M_GRU_IT_CHE_AVI_CIR</v>
      </c>
      <c r="G4452" s="2" t="str">
        <f>"Serviços de Apoio / Central de Materiais Esterilizados / Movimentações / Conferência de Itens de Checagem (M_GRU_IT_CHE_AVI_CIR)"</f>
        <v>Serviços de Apoio / Central de Materiais Esterilizados / Movimentações / Conferência de Itens de Checagem (M_GRU_IT_CHE_AVI_CIR)</v>
      </c>
    </row>
    <row r="4453" spans="1:7" x14ac:dyDescent="0.3">
      <c r="A4453" s="1" t="s">
        <v>4</v>
      </c>
      <c r="B4453" s="2" t="str">
        <f t="shared" si="371"/>
        <v>SISTEMA DE CENTRO CIRURGICO</v>
      </c>
      <c r="C4453" s="2" t="str">
        <f t="shared" si="372"/>
        <v>INTER</v>
      </c>
      <c r="D4453" s="2" t="str">
        <f t="shared" si="373"/>
        <v>FSCC</v>
      </c>
      <c r="E4453" s="2" t="str">
        <f>"WIN_PRINCIPAL - HOSPITAL MV SISTEMAS"</f>
        <v>WIN_PRINCIPAL - HOSPITAL MV SISTEMAS</v>
      </c>
      <c r="F4453" s="2" t="str">
        <f>"M_GRUPO_CHECAGEM"</f>
        <v>M_GRUPO_CHECAGEM</v>
      </c>
      <c r="G4453" s="2" t="str">
        <f>"Atendimento / Centro Cirúrgico e Obstétrico / Tabelas / Auditoria de Aviso / Grupo de Checagem (M_GRUPO_CHECAGEM)"</f>
        <v>Atendimento / Centro Cirúrgico e Obstétrico / Tabelas / Auditoria de Aviso / Grupo de Checagem (M_GRUPO_CHECAGEM)</v>
      </c>
    </row>
    <row r="4454" spans="1:7" x14ac:dyDescent="0.3">
      <c r="A4454" s="1" t="s">
        <v>4</v>
      </c>
      <c r="B4454" s="2" t="str">
        <f t="shared" si="371"/>
        <v>SISTEMA DE CENTRO CIRURGICO</v>
      </c>
      <c r="C4454" s="2" t="str">
        <f t="shared" si="372"/>
        <v>INTER</v>
      </c>
      <c r="D4454" s="2" t="str">
        <f t="shared" si="373"/>
        <v>FSCC</v>
      </c>
      <c r="E4454" s="2" t="str">
        <f>"CONFIRMAÇÃO DE CIRURGIA"</f>
        <v>CONFIRMAÇÃO DE CIRURGIA</v>
      </c>
      <c r="F4454" s="2" t="str">
        <f>"M_CONF_CIR"</f>
        <v>M_CONF_CIR</v>
      </c>
      <c r="G4454" s="2" t="str">
        <f>"Atendimento / Centro Cirúrgico e Obstétrico / Centro Cirúrgico / Confirmação da Cirurgia (M_CONF_CIR)"</f>
        <v>Atendimento / Centro Cirúrgico e Obstétrico / Centro Cirúrgico / Confirmação da Cirurgia (M_CONF_CIR)</v>
      </c>
    </row>
    <row r="4455" spans="1:7" x14ac:dyDescent="0.3">
      <c r="A4455" s="1" t="s">
        <v>4</v>
      </c>
      <c r="B4455" s="2" t="str">
        <f t="shared" si="371"/>
        <v>SISTEMA DE CENTRO CIRURGICO</v>
      </c>
      <c r="C4455" s="2" t="str">
        <f t="shared" si="372"/>
        <v>INTER</v>
      </c>
      <c r="D4455" s="2" t="str">
        <f t="shared" si="373"/>
        <v>FSCC</v>
      </c>
      <c r="E4455" s="2" t="str">
        <f>"RELATÓRIO DE MAPA CIRÚRGICO"</f>
        <v>RELATÓRIO DE MAPA CIRÚRGICO</v>
      </c>
      <c r="F4455" s="2" t="str">
        <f>"R_MAPA_CIR_267"</f>
        <v>R_MAPA_CIR_267</v>
      </c>
      <c r="G4455" s="2" t="str">
        <f>" ()"</f>
        <v xml:space="preserve"> ()</v>
      </c>
    </row>
    <row r="4456" spans="1:7" x14ac:dyDescent="0.3">
      <c r="A4456" s="1" t="s">
        <v>4</v>
      </c>
      <c r="B4456" s="2" t="str">
        <f t="shared" si="371"/>
        <v>SISTEMA DE CENTRO CIRURGICO</v>
      </c>
      <c r="C4456" s="2" t="str">
        <f t="shared" si="372"/>
        <v>INTER</v>
      </c>
      <c r="D4456" s="2" t="str">
        <f t="shared" si="373"/>
        <v>FSCC</v>
      </c>
      <c r="E4456" s="2" t="str">
        <f>"RELATÓRIO DE MAPA CIRÚRGICO"</f>
        <v>RELATÓRIO DE MAPA CIRÚRGICO</v>
      </c>
      <c r="F4456" s="2" t="str">
        <f>"R_MAPA_CIR_420"</f>
        <v>R_MAPA_CIR_420</v>
      </c>
      <c r="G4456" s="2" t="str">
        <f>" ()"</f>
        <v xml:space="preserve"> ()</v>
      </c>
    </row>
    <row r="4457" spans="1:7" x14ac:dyDescent="0.3">
      <c r="A4457" s="1" t="s">
        <v>4</v>
      </c>
      <c r="B4457" s="2" t="str">
        <f t="shared" si="371"/>
        <v>SISTEMA DE CENTRO CIRURGICO</v>
      </c>
      <c r="C4457" s="2" t="str">
        <f t="shared" si="372"/>
        <v>INTER</v>
      </c>
      <c r="D4457" s="2" t="str">
        <f t="shared" si="373"/>
        <v>FSCC</v>
      </c>
      <c r="E4457" s="2" t="str">
        <f>"WIN_PRINCIPAL - HOSPITAL MV SISTEMAS"</f>
        <v>WIN_PRINCIPAL - HOSPITAL MV SISTEMAS</v>
      </c>
      <c r="F4457" s="2" t="str">
        <f>"M_REAGENDA_CIRURGIA"</f>
        <v>M_REAGENDA_CIRURGIA</v>
      </c>
      <c r="G4457" s="2" t="str">
        <f>"Atendimento / Centro Cirúrgico e Obstétrico / Centro Cirúrgico / Reagendamento (M_REAGENDA_CIRURGIA)"</f>
        <v>Atendimento / Centro Cirúrgico e Obstétrico / Centro Cirúrgico / Reagendamento (M_REAGENDA_CIRURGIA)</v>
      </c>
    </row>
    <row r="4458" spans="1:7" x14ac:dyDescent="0.3">
      <c r="A4458" s="1" t="s">
        <v>4</v>
      </c>
      <c r="B4458" s="2" t="str">
        <f t="shared" si="371"/>
        <v>SISTEMA DE CENTRO CIRURGICO</v>
      </c>
      <c r="C4458" s="2" t="str">
        <f t="shared" si="372"/>
        <v>INTER</v>
      </c>
      <c r="D4458" s="2" t="str">
        <f t="shared" si="373"/>
        <v>FSCC</v>
      </c>
      <c r="E4458" s="2" t="str">
        <f>"RELATÓRIO DE MAPA CIRÚRGICO"</f>
        <v>RELATÓRIO DE MAPA CIRÚRGICO</v>
      </c>
      <c r="F4458" s="2" t="str">
        <f>"R_MAPA_CIR_970"</f>
        <v>R_MAPA_CIR_970</v>
      </c>
      <c r="G4458" s="2" t="str">
        <f>" ()"</f>
        <v xml:space="preserve"> ()</v>
      </c>
    </row>
    <row r="4459" spans="1:7" x14ac:dyDescent="0.3">
      <c r="A4459" s="1" t="s">
        <v>4</v>
      </c>
      <c r="B4459" s="2" t="str">
        <f t="shared" si="371"/>
        <v>SISTEMA DE CENTRO CIRURGICO</v>
      </c>
      <c r="C4459" s="2" t="str">
        <f t="shared" si="372"/>
        <v>INTER</v>
      </c>
      <c r="D4459" s="2" t="str">
        <f t="shared" si="373"/>
        <v>FSCC</v>
      </c>
      <c r="E4459" s="2" t="str">
        <f>"R_CIRURGIAS_POR_ESPECIALIDADE_376"</f>
        <v>R_CIRURGIAS_POR_ESPECIALIDADE_376</v>
      </c>
      <c r="F4459" s="2" t="str">
        <f>"R_CIRURGIAS_POR_ESPECIALIDADE_376"</f>
        <v>R_CIRURGIAS_POR_ESPECIALIDADE_376</v>
      </c>
      <c r="G4459" s="2" t="str">
        <f>" ()"</f>
        <v xml:space="preserve"> ()</v>
      </c>
    </row>
    <row r="4460" spans="1:7" x14ac:dyDescent="0.3">
      <c r="A4460" s="1" t="s">
        <v>4</v>
      </c>
      <c r="B4460" s="2" t="str">
        <f t="shared" si="371"/>
        <v>SISTEMA DE CENTRO CIRURGICO</v>
      </c>
      <c r="C4460" s="2" t="str">
        <f t="shared" si="372"/>
        <v>INTER</v>
      </c>
      <c r="D4460" s="2" t="str">
        <f t="shared" si="373"/>
        <v>FSCC</v>
      </c>
      <c r="E4460" s="2" t="str">
        <f>"TRANSFERÊNCIA: CIRURGIAS"</f>
        <v>TRANSFERÊNCIA: CIRURGIAS</v>
      </c>
      <c r="F4460" s="2" t="str">
        <f>"M_AVISO_ATENDIME"</f>
        <v>M_AVISO_ATENDIME</v>
      </c>
      <c r="G4460" s="2" t="str">
        <f>" ()"</f>
        <v xml:space="preserve"> ()</v>
      </c>
    </row>
    <row r="4461" spans="1:7" x14ac:dyDescent="0.3">
      <c r="A4461" s="1" t="s">
        <v>4</v>
      </c>
      <c r="B4461" s="2" t="str">
        <f t="shared" si="371"/>
        <v>SISTEMA DE CENTRO CIRURGICO</v>
      </c>
      <c r="C4461" s="2" t="str">
        <f t="shared" si="372"/>
        <v>INTER</v>
      </c>
      <c r="D4461" s="2" t="str">
        <f t="shared" si="373"/>
        <v>FSCC</v>
      </c>
      <c r="E4461" s="2" t="str">
        <f>"ORACLE FORMS RUNTIME"</f>
        <v>ORACLE FORMS RUNTIME</v>
      </c>
      <c r="F4461" s="2" t="str">
        <f>"R_TOTAL_CIRURGIAS"</f>
        <v>R_TOTAL_CIRURGIAS</v>
      </c>
      <c r="G4461" s="2" t="str">
        <f>" ()"</f>
        <v xml:space="preserve"> ()</v>
      </c>
    </row>
    <row r="4462" spans="1:7" x14ac:dyDescent="0.3">
      <c r="A4462" s="1" t="s">
        <v>4</v>
      </c>
      <c r="B4462" s="2" t="str">
        <f t="shared" si="371"/>
        <v>SISTEMA DE CENTRO CIRURGICO</v>
      </c>
      <c r="C4462" s="2" t="str">
        <f t="shared" si="372"/>
        <v>INTER</v>
      </c>
      <c r="D4462" s="2" t="str">
        <f t="shared" si="373"/>
        <v>FSCC</v>
      </c>
      <c r="E4462" s="2" t="str">
        <f>"R_FICHA_ADMISSAO_CO"</f>
        <v>R_FICHA_ADMISSAO_CO</v>
      </c>
      <c r="F4462" s="2" t="str">
        <f>"R_FICHA_ADMISSAO_CO"</f>
        <v>R_FICHA_ADMISSAO_CO</v>
      </c>
      <c r="G4462" s="2" t="str">
        <f>" ()"</f>
        <v xml:space="preserve"> ()</v>
      </c>
    </row>
    <row r="4463" spans="1:7" x14ac:dyDescent="0.3">
      <c r="A4463" s="1" t="s">
        <v>4</v>
      </c>
      <c r="B4463" s="2" t="str">
        <f t="shared" si="371"/>
        <v>SISTEMA DE CENTRO CIRURGICO</v>
      </c>
      <c r="C4463" s="2" t="str">
        <f t="shared" si="372"/>
        <v>INTER</v>
      </c>
      <c r="D4463" s="2" t="str">
        <f t="shared" si="373"/>
        <v>FSCC</v>
      </c>
      <c r="E4463" s="2" t="str">
        <f>"CADASTRO DE KITS POR TIPO DE ANESTESIA"</f>
        <v>CADASTRO DE KITS POR TIPO DE ANESTESIA</v>
      </c>
      <c r="F4463" s="2" t="str">
        <f>"M_FORMULA_TIP_ANEST"</f>
        <v>M_FORMULA_TIP_ANEST</v>
      </c>
      <c r="G4463" s="2" t="str">
        <f>"Atendimento / Centro Cirúrgico e Obstétrico / Tabelas / Tipo de Anestesia X Kit (M_FORMULA_TIP_ANEST)"</f>
        <v>Atendimento / Centro Cirúrgico e Obstétrico / Tabelas / Tipo de Anestesia X Kit (M_FORMULA_TIP_ANEST)</v>
      </c>
    </row>
    <row r="4464" spans="1:7" x14ac:dyDescent="0.3">
      <c r="A4464" s="1" t="s">
        <v>4</v>
      </c>
      <c r="B4464" s="2" t="str">
        <f t="shared" si="371"/>
        <v>SISTEMA DE CENTRO CIRURGICO</v>
      </c>
      <c r="C4464" s="2" t="str">
        <f t="shared" si="372"/>
        <v>INTER</v>
      </c>
      <c r="D4464" s="2" t="str">
        <f t="shared" si="373"/>
        <v>FSCC</v>
      </c>
      <c r="E4464" s="2" t="str">
        <f>"RELATÓRIO DE CENSO DE BERÇÁRIO"</f>
        <v>RELATÓRIO DE CENSO DE BERÇÁRIO</v>
      </c>
      <c r="F4464" s="2" t="str">
        <f>"R_CENSO_BERCARIO_750"</f>
        <v>R_CENSO_BERCARIO_750</v>
      </c>
      <c r="G4464" s="2" t="str">
        <f>" ()"</f>
        <v xml:space="preserve"> ()</v>
      </c>
    </row>
    <row r="4465" spans="1:7" x14ac:dyDescent="0.3">
      <c r="A4465" s="1" t="s">
        <v>4</v>
      </c>
      <c r="B4465" s="2" t="str">
        <f t="shared" si="371"/>
        <v>SISTEMA DE CENTRO CIRURGICO</v>
      </c>
      <c r="C4465" s="2" t="str">
        <f t="shared" si="372"/>
        <v>INTER</v>
      </c>
      <c r="D4465" s="2" t="str">
        <f t="shared" si="373"/>
        <v>FSCC</v>
      </c>
      <c r="E4465" s="2" t="str">
        <f>"R_CIRURGIAS_POR_PROCEDIMENTO_376"</f>
        <v>R_CIRURGIAS_POR_PROCEDIMENTO_376</v>
      </c>
      <c r="F4465" s="2" t="str">
        <f>"R_CIRURGIAS_POR_PROCEDIMENTO_376"</f>
        <v>R_CIRURGIAS_POR_PROCEDIMENTO_376</v>
      </c>
      <c r="G4465" s="2" t="str">
        <f>" ()"</f>
        <v xml:space="preserve"> ()</v>
      </c>
    </row>
    <row r="4466" spans="1:7" x14ac:dyDescent="0.3">
      <c r="A4466" s="1" t="s">
        <v>4</v>
      </c>
      <c r="B4466" s="2" t="str">
        <f t="shared" si="371"/>
        <v>SISTEMA DE CENTRO CIRURGICO</v>
      </c>
      <c r="C4466" s="2" t="str">
        <f t="shared" si="372"/>
        <v>INTER</v>
      </c>
      <c r="D4466" s="2" t="str">
        <f t="shared" si="373"/>
        <v>FSCC</v>
      </c>
      <c r="E4466" s="2" t="str">
        <f>"R_PRESTADOR_CONVENIO_376"</f>
        <v>R_PRESTADOR_CONVENIO_376</v>
      </c>
      <c r="F4466" s="2" t="str">
        <f>"R_PRESTADOR_CONVENIO_376"</f>
        <v>R_PRESTADOR_CONVENIO_376</v>
      </c>
      <c r="G4466" s="2" t="str">
        <f>" ()"</f>
        <v xml:space="preserve"> ()</v>
      </c>
    </row>
    <row r="4467" spans="1:7" x14ac:dyDescent="0.3">
      <c r="A4467" s="1" t="s">
        <v>4</v>
      </c>
      <c r="B4467" s="2" t="str">
        <f t="shared" si="371"/>
        <v>SISTEMA DE CENTRO CIRURGICO</v>
      </c>
      <c r="C4467" s="2" t="str">
        <f t="shared" si="372"/>
        <v>INTER</v>
      </c>
      <c r="D4467" s="2" t="str">
        <f t="shared" si="373"/>
        <v>FSCC</v>
      </c>
      <c r="E4467" s="2" t="str">
        <f>"R_CIR_MEDICO_SINT_DATA"</f>
        <v>R_CIR_MEDICO_SINT_DATA</v>
      </c>
      <c r="F4467" s="2" t="str">
        <f>"R_CIR_MEDICO_SINT_DATA"</f>
        <v>R_CIR_MEDICO_SINT_DATA</v>
      </c>
      <c r="G4467" s="2" t="str">
        <f>" ()"</f>
        <v xml:space="preserve"> ()</v>
      </c>
    </row>
    <row r="4468" spans="1:7" x14ac:dyDescent="0.3">
      <c r="A4468" s="1" t="s">
        <v>4</v>
      </c>
      <c r="B4468" s="2" t="str">
        <f t="shared" si="371"/>
        <v>SISTEMA DE CENTRO CIRURGICO</v>
      </c>
      <c r="C4468" s="2" t="str">
        <f t="shared" si="372"/>
        <v>INTER</v>
      </c>
      <c r="D4468" s="2" t="str">
        <f t="shared" si="373"/>
        <v>FSCC</v>
      </c>
      <c r="E4468" s="2" t="str">
        <f>"CONFIRMAÇÃO DE PRE-INTERNAÇÃO VIA WEB"</f>
        <v>CONFIRMAÇÃO DE PRE-INTERNAÇÃO VIA WEB</v>
      </c>
      <c r="F4468" s="2" t="str">
        <f>"M_CONFIRMA_PRE_AGENDA"</f>
        <v>M_CONFIRMA_PRE_AGENDA</v>
      </c>
      <c r="G4468" s="2" t="str">
        <f>"Atendimento / Centro Cirúrgico e Obstétrico / Centro Cirúrgico / Confirmação de Pré-Agendamento (M_CONFIRMA_PRE_AGENDA)"</f>
        <v>Atendimento / Centro Cirúrgico e Obstétrico / Centro Cirúrgico / Confirmação de Pré-Agendamento (M_CONFIRMA_PRE_AGENDA)</v>
      </c>
    </row>
    <row r="4469" spans="1:7" x14ac:dyDescent="0.3">
      <c r="A4469" s="1" t="s">
        <v>4</v>
      </c>
      <c r="B4469" s="2" t="str">
        <f t="shared" si="371"/>
        <v>SISTEMA DE CENTRO CIRURGICO</v>
      </c>
      <c r="C4469" s="2" t="str">
        <f t="shared" si="372"/>
        <v>INTER</v>
      </c>
      <c r="D4469" s="2" t="str">
        <f t="shared" si="373"/>
        <v>FSCC</v>
      </c>
      <c r="E4469" s="2" t="str">
        <f>"TELA DO REL. DE AGENDA DIÁRIA"</f>
        <v>TELA DO REL. DE AGENDA DIÁRIA</v>
      </c>
      <c r="F4469" s="2" t="str">
        <f>"R_AGENDA_DIA.FMX"</f>
        <v>R_AGENDA_DIA.FMX</v>
      </c>
      <c r="G4469" s="2" t="str">
        <f>" ()"</f>
        <v xml:space="preserve"> ()</v>
      </c>
    </row>
    <row r="4470" spans="1:7" x14ac:dyDescent="0.3">
      <c r="A4470" s="1" t="s">
        <v>4</v>
      </c>
      <c r="B4470" s="2" t="str">
        <f t="shared" si="371"/>
        <v>SISTEMA DE CENTRO CIRURGICO</v>
      </c>
      <c r="C4470" s="2" t="str">
        <f t="shared" si="372"/>
        <v>INTER</v>
      </c>
      <c r="D4470" s="2" t="str">
        <f t="shared" si="373"/>
        <v>FSCC</v>
      </c>
      <c r="E4470" s="2" t="str">
        <f>"RELATÓRIO DE COMPROVANTE DE CIRURGIA"</f>
        <v>RELATÓRIO DE COMPROVANTE DE CIRURGIA</v>
      </c>
      <c r="F4470" s="2" t="str">
        <f>"R_COMP_AVI_CIR"</f>
        <v>R_COMP_AVI_CIR</v>
      </c>
      <c r="G4470" s="2" t="str">
        <f>"Atendimento / Centro Cirúrgico e Obstétrico / Relatórios / Operacionais / Comprovante de Aviso da Cirurgia (R_COMP_AVI_CIR)"</f>
        <v>Atendimento / Centro Cirúrgico e Obstétrico / Relatórios / Operacionais / Comprovante de Aviso da Cirurgia (R_COMP_AVI_CIR)</v>
      </c>
    </row>
    <row r="4471" spans="1:7" x14ac:dyDescent="0.3">
      <c r="A4471" s="1" t="s">
        <v>4</v>
      </c>
      <c r="B4471" s="2" t="str">
        <f t="shared" si="371"/>
        <v>SISTEMA DE CENTRO CIRURGICO</v>
      </c>
      <c r="C4471" s="2" t="str">
        <f t="shared" si="372"/>
        <v>INTER</v>
      </c>
      <c r="D4471" s="2" t="str">
        <f t="shared" si="373"/>
        <v>FSCC</v>
      </c>
      <c r="E4471" s="2" t="str">
        <f>"CONSULTA AGENDA EQUIPAMENTO"</f>
        <v>CONSULTA AGENDA EQUIPAMENTO</v>
      </c>
      <c r="F4471" s="2" t="str">
        <f>"C_AGENDA_EQUIPTO"</f>
        <v>C_AGENDA_EQUIPTO</v>
      </c>
      <c r="G4471" s="2" t="str">
        <f>"Atendimento / Centro Cirúrgico e Obstétrico / Consultas / Agenda / Por Equipamento / Caixas (C_AGENDA_EQUIPTO)"</f>
        <v>Atendimento / Centro Cirúrgico e Obstétrico / Consultas / Agenda / Por Equipamento / Caixas (C_AGENDA_EQUIPTO)</v>
      </c>
    </row>
    <row r="4472" spans="1:7" x14ac:dyDescent="0.3">
      <c r="A4472" s="1" t="s">
        <v>4</v>
      </c>
      <c r="B4472" s="2" t="str">
        <f t="shared" si="371"/>
        <v>SISTEMA DE CENTRO CIRURGICO</v>
      </c>
      <c r="C4472" s="2" t="str">
        <f t="shared" si="372"/>
        <v>INTER</v>
      </c>
      <c r="D4472" s="2" t="str">
        <f t="shared" si="373"/>
        <v>FSCC</v>
      </c>
      <c r="E4472" s="2" t="str">
        <f>"CONSULTA AGENDA EQUIPE MEDICA"</f>
        <v>CONSULTA AGENDA EQUIPE MEDICA</v>
      </c>
      <c r="F4472" s="2" t="str">
        <f>"C_AGENDA_EQUIPE"</f>
        <v>C_AGENDA_EQUIPE</v>
      </c>
      <c r="G4472" s="2" t="str">
        <f>"Atendimento / Centro Cirúrgico e Obstétrico / Consultas / Agenda / Por Equipe Médica (C_AGENDA_EQUIPE)"</f>
        <v>Atendimento / Centro Cirúrgico e Obstétrico / Consultas / Agenda / Por Equipe Médica (C_AGENDA_EQUIPE)</v>
      </c>
    </row>
    <row r="4473" spans="1:7" x14ac:dyDescent="0.3">
      <c r="A4473" s="1" t="s">
        <v>4</v>
      </c>
      <c r="B4473" s="2" t="str">
        <f t="shared" si="371"/>
        <v>SISTEMA DE CENTRO CIRURGICO</v>
      </c>
      <c r="C4473" s="2" t="str">
        <f t="shared" si="372"/>
        <v>INTER</v>
      </c>
      <c r="D4473" s="2" t="str">
        <f t="shared" si="373"/>
        <v>FSCC</v>
      </c>
      <c r="E4473" s="2" t="str">
        <f>"TELA DO REL. DE KITS PADRÃO DE CIRURGIA"</f>
        <v>TELA DO REL. DE KITS PADRÃO DE CIRURGIA</v>
      </c>
      <c r="F4473" s="2" t="str">
        <f>"R_KIT_ESTOQUE"</f>
        <v>R_KIT_ESTOQUE</v>
      </c>
      <c r="G4473" s="2" t="str">
        <f>" ()"</f>
        <v xml:space="preserve"> ()</v>
      </c>
    </row>
    <row r="4474" spans="1:7" x14ac:dyDescent="0.3">
      <c r="A4474" s="1" t="s">
        <v>4</v>
      </c>
      <c r="B4474" s="2" t="str">
        <f t="shared" si="371"/>
        <v>SISTEMA DE CENTRO CIRURGICO</v>
      </c>
      <c r="C4474" s="2" t="str">
        <f t="shared" si="372"/>
        <v>INTER</v>
      </c>
      <c r="D4474" s="2" t="str">
        <f t="shared" si="373"/>
        <v>FSCC</v>
      </c>
      <c r="E4474" s="2" t="str">
        <f>"TELA DO REL. DE TEXTO PADRÃO"</f>
        <v>TELA DO REL. DE TEXTO PADRÃO</v>
      </c>
      <c r="F4474" s="2" t="str">
        <f>"R_TEXPAD"</f>
        <v>R_TEXPAD</v>
      </c>
      <c r="G4474" s="2" t="str">
        <f>"Atendimento / Centro Cirúrgico e Obstétrico / Relatórios / Tabelas / Texto Padrão (R_TEXPAD)"</f>
        <v>Atendimento / Centro Cirúrgico e Obstétrico / Relatórios / Tabelas / Texto Padrão (R_TEXPAD)</v>
      </c>
    </row>
    <row r="4475" spans="1:7" x14ac:dyDescent="0.3">
      <c r="A4475" s="1" t="s">
        <v>4</v>
      </c>
      <c r="B4475" s="2" t="str">
        <f t="shared" si="371"/>
        <v>SISTEMA DE CENTRO CIRURGICO</v>
      </c>
      <c r="C4475" s="2" t="str">
        <f t="shared" si="372"/>
        <v>INTER</v>
      </c>
      <c r="D4475" s="2" t="str">
        <f t="shared" si="373"/>
        <v>FSCC</v>
      </c>
      <c r="E4475" s="2" t="str">
        <f>"TELA DO REL. DE EQUIPE MÉDICA"</f>
        <v>TELA DO REL. DE EQUIPE MÉDICA</v>
      </c>
      <c r="F4475" s="2" t="str">
        <f>"R_EQUIPE"</f>
        <v>R_EQUIPE</v>
      </c>
      <c r="G4475" s="2" t="str">
        <f>"Atendimento / Centro Cirúrgico e Obstétrico / Relatórios / Tabelas / Equipe Médica (R_EQUIPE)"</f>
        <v>Atendimento / Centro Cirúrgico e Obstétrico / Relatórios / Tabelas / Equipe Médica (R_EQUIPE)</v>
      </c>
    </row>
    <row r="4476" spans="1:7" x14ac:dyDescent="0.3">
      <c r="A4476" s="1" t="s">
        <v>4</v>
      </c>
      <c r="B4476" s="2" t="str">
        <f t="shared" si="371"/>
        <v>SISTEMA DE CENTRO CIRURGICO</v>
      </c>
      <c r="C4476" s="2" t="str">
        <f t="shared" si="372"/>
        <v>INTER</v>
      </c>
      <c r="D4476" s="2" t="str">
        <f t="shared" si="373"/>
        <v>FSCC</v>
      </c>
      <c r="E4476" s="2" t="str">
        <f>"TELA DO REL. DE EQUIPE MÉDICA"</f>
        <v>TELA DO REL. DE EQUIPE MÉDICA</v>
      </c>
      <c r="F4476" s="2" t="str">
        <f>"R_EQUIPE"</f>
        <v>R_EQUIPE</v>
      </c>
      <c r="G4476" s="2" t="str">
        <f>"Serviços de Apoio / Serviço Arquivo Médico / Relatórios / Tabelas / Equipe Médica (R_EQUIPE)"</f>
        <v>Serviços de Apoio / Serviço Arquivo Médico / Relatórios / Tabelas / Equipe Médica (R_EQUIPE)</v>
      </c>
    </row>
    <row r="4477" spans="1:7" x14ac:dyDescent="0.3">
      <c r="A4477" s="1" t="s">
        <v>4</v>
      </c>
      <c r="B4477" s="2" t="str">
        <f t="shared" si="371"/>
        <v>SISTEMA DE CENTRO CIRURGICO</v>
      </c>
      <c r="C4477" s="2" t="str">
        <f t="shared" si="372"/>
        <v>INTER</v>
      </c>
      <c r="D4477" s="2" t="str">
        <f t="shared" si="373"/>
        <v>FSCC</v>
      </c>
      <c r="E4477" s="2" t="str">
        <f>"TELA DO REL. DE MOTIVOS DE TRANSFERENCIA"</f>
        <v>TELA DO REL. DE MOTIVOS DE TRANSFERENCIA</v>
      </c>
      <c r="F4477" s="2" t="str">
        <f>"R_MOTTRA"</f>
        <v>R_MOTTRA</v>
      </c>
      <c r="G4477" s="2" t="str">
        <f>"Atendimento / Centro Cirúrgico e Obstétrico / Relatórios / Tabelas / Motivo de Transferência (R_MOTTRA)"</f>
        <v>Atendimento / Centro Cirúrgico e Obstétrico / Relatórios / Tabelas / Motivo de Transferência (R_MOTTRA)</v>
      </c>
    </row>
    <row r="4478" spans="1:7" x14ac:dyDescent="0.3">
      <c r="A4478" s="1" t="s">
        <v>4</v>
      </c>
      <c r="B4478" s="2" t="str">
        <f t="shared" si="371"/>
        <v>SISTEMA DE CENTRO CIRURGICO</v>
      </c>
      <c r="C4478" s="2" t="str">
        <f t="shared" si="372"/>
        <v>INTER</v>
      </c>
      <c r="D4478" s="2" t="str">
        <f t="shared" si="373"/>
        <v>FSCC</v>
      </c>
      <c r="E4478" s="2" t="str">
        <f>"CADASTRO DO RECÉM-NASCIDO"</f>
        <v>CADASTRO DO RECÉM-NASCIDO</v>
      </c>
      <c r="F4478" s="2" t="str">
        <f>"R_CAD_REC_NASCIDO.RDF"</f>
        <v>R_CAD_REC_NASCIDO.RDF</v>
      </c>
      <c r="G4478" s="2" t="str">
        <f t="shared" ref="G4478:G4483" si="374">" ()"</f>
        <v xml:space="preserve"> ()</v>
      </c>
    </row>
    <row r="4479" spans="1:7" x14ac:dyDescent="0.3">
      <c r="A4479" s="1" t="s">
        <v>4</v>
      </c>
      <c r="B4479" s="2" t="str">
        <f t="shared" si="371"/>
        <v>SISTEMA DE CENTRO CIRURGICO</v>
      </c>
      <c r="C4479" s="2" t="str">
        <f t="shared" si="372"/>
        <v>INTER</v>
      </c>
      <c r="D4479" s="2" t="str">
        <f t="shared" si="373"/>
        <v>FSCC</v>
      </c>
      <c r="E4479" s="2" t="str">
        <f>"RELATÓRIO PARTOS POR MOTIVO"</f>
        <v>RELATÓRIO PARTOS POR MOTIVO</v>
      </c>
      <c r="F4479" s="2" t="str">
        <f>"R_MOTIVO_PARTO.RDF"</f>
        <v>R_MOTIVO_PARTO.RDF</v>
      </c>
      <c r="G4479" s="2" t="str">
        <f t="shared" si="374"/>
        <v xml:space="preserve"> ()</v>
      </c>
    </row>
    <row r="4480" spans="1:7" x14ac:dyDescent="0.3">
      <c r="A4480" s="1" t="s">
        <v>4</v>
      </c>
      <c r="B4480" s="2" t="str">
        <f t="shared" si="371"/>
        <v>SISTEMA DE CENTRO CIRURGICO</v>
      </c>
      <c r="C4480" s="2" t="str">
        <f t="shared" si="372"/>
        <v>INTER</v>
      </c>
      <c r="D4480" s="2" t="str">
        <f t="shared" si="373"/>
        <v>FSCC</v>
      </c>
      <c r="E4480" s="2" t="str">
        <f>"REL DE EQUIPAMENTOS E INSTR CIRÚRGICOS"</f>
        <v>REL DE EQUIPAMENTOS E INSTR CIRÚRGICOS</v>
      </c>
      <c r="F4480" s="2" t="str">
        <f>"R_EQUIPAMENTO.RDF"</f>
        <v>R_EQUIPAMENTO.RDF</v>
      </c>
      <c r="G4480" s="2" t="str">
        <f t="shared" si="374"/>
        <v xml:space="preserve"> ()</v>
      </c>
    </row>
    <row r="4481" spans="1:7" x14ac:dyDescent="0.3">
      <c r="A4481" s="1" t="s">
        <v>4</v>
      </c>
      <c r="B4481" s="2" t="str">
        <f t="shared" si="371"/>
        <v>SISTEMA DE CENTRO CIRURGICO</v>
      </c>
      <c r="C4481" s="2" t="str">
        <f t="shared" si="372"/>
        <v>INTER</v>
      </c>
      <c r="D4481" s="2" t="str">
        <f t="shared" si="373"/>
        <v>FSCC</v>
      </c>
      <c r="E4481" s="2" t="str">
        <f>"FICHA DE PARTO"</f>
        <v>FICHA DE PARTO</v>
      </c>
      <c r="F4481" s="2" t="str">
        <f>"R_FPAR.RDF"</f>
        <v>R_FPAR.RDF</v>
      </c>
      <c r="G4481" s="2" t="str">
        <f t="shared" si="374"/>
        <v xml:space="preserve"> ()</v>
      </c>
    </row>
    <row r="4482" spans="1:7" x14ac:dyDescent="0.3">
      <c r="A4482" s="1" t="s">
        <v>4</v>
      </c>
      <c r="B4482" s="2" t="str">
        <f t="shared" si="371"/>
        <v>SISTEMA DE CENTRO CIRURGICO</v>
      </c>
      <c r="C4482" s="2" t="str">
        <f t="shared" si="372"/>
        <v>INTER</v>
      </c>
      <c r="D4482" s="2" t="str">
        <f t="shared" si="373"/>
        <v>FSCC</v>
      </c>
      <c r="E4482" s="2" t="str">
        <f>"FICHA PARA CIRURGIA E ANESTESIA"</f>
        <v>FICHA PARA CIRURGIA E ANESTESIA</v>
      </c>
      <c r="F4482" s="2" t="str">
        <f>"R_FICHA_CIR_ANEST.RDF"</f>
        <v>R_FICHA_CIR_ANEST.RDF</v>
      </c>
      <c r="G4482" s="2" t="str">
        <f t="shared" si="374"/>
        <v xml:space="preserve"> ()</v>
      </c>
    </row>
    <row r="4483" spans="1:7" x14ac:dyDescent="0.3">
      <c r="A4483" s="1" t="s">
        <v>4</v>
      </c>
      <c r="B4483" s="2" t="str">
        <f t="shared" si="371"/>
        <v>SISTEMA DE CENTRO CIRURGICO</v>
      </c>
      <c r="C4483" s="2" t="str">
        <f t="shared" si="372"/>
        <v>INTER</v>
      </c>
      <c r="D4483" s="2" t="str">
        <f t="shared" si="373"/>
        <v>FSCC</v>
      </c>
      <c r="E4483" s="2" t="str">
        <f>"RELATORIO DE CIRURGIA POR PORTE"</f>
        <v>RELATORIO DE CIRURGIA POR PORTE</v>
      </c>
      <c r="F4483" s="2" t="str">
        <f>" R_CIR_REALIZ_CONV_PORTE"</f>
        <v xml:space="preserve"> R_CIR_REALIZ_CONV_PORTE</v>
      </c>
      <c r="G4483" s="2" t="str">
        <f t="shared" si="374"/>
        <v xml:space="preserve"> ()</v>
      </c>
    </row>
    <row r="4484" spans="1:7" x14ac:dyDescent="0.3">
      <c r="A4484" s="1" t="s">
        <v>4</v>
      </c>
      <c r="B4484" s="2" t="str">
        <f t="shared" si="371"/>
        <v>SISTEMA DE CENTRO CIRURGICO</v>
      </c>
      <c r="C4484" s="2" t="str">
        <f t="shared" si="372"/>
        <v>INTER</v>
      </c>
      <c r="D4484" s="2" t="str">
        <f t="shared" si="373"/>
        <v>FSCC</v>
      </c>
      <c r="E4484" s="2" t="str">
        <f>"CONSULTA DISPONIBILIDADE DE LEITOS"</f>
        <v>CONSULTA DISPONIBILIDADE DE LEITOS</v>
      </c>
      <c r="F4484" s="2" t="str">
        <f>"C_RECURSO_LEITO_FSCC"</f>
        <v>C_RECURSO_LEITO_FSCC</v>
      </c>
      <c r="G4484" s="2" t="str">
        <f>"Atendimento / Centro Cirúrgico e Obstétrico / Consultas / Disponibilidade de Recursos / Leitos (C_RECURSO_LEITO_FSCC)"</f>
        <v>Atendimento / Centro Cirúrgico e Obstétrico / Consultas / Disponibilidade de Recursos / Leitos (C_RECURSO_LEITO_FSCC)</v>
      </c>
    </row>
    <row r="4485" spans="1:7" x14ac:dyDescent="0.3">
      <c r="A4485" s="1" t="s">
        <v>4</v>
      </c>
      <c r="B4485" s="2" t="str">
        <f t="shared" si="371"/>
        <v>SISTEMA DE CENTRO CIRURGICO</v>
      </c>
      <c r="C4485" s="2" t="str">
        <f t="shared" si="372"/>
        <v>INTER</v>
      </c>
      <c r="D4485" s="2" t="str">
        <f t="shared" si="373"/>
        <v>FSCC</v>
      </c>
      <c r="E4485" s="2" t="str">
        <f>"CONSULTA AVISO DO PACIENTE DA CIRURGIA"</f>
        <v>CONSULTA AVISO DO PACIENTE DA CIRURGIA</v>
      </c>
      <c r="F4485" s="2" t="str">
        <f>"M_CAD_OBS_CONSULTA"</f>
        <v>M_CAD_OBS_CONSULTA</v>
      </c>
      <c r="G4485" s="2" t="str">
        <f>"Atendimento / Centro Cirúrgico e Obstétrico / Consultas / Avisos do Paciente da Cirurgia (M_CAD_OBS_CONSULTA)"</f>
        <v>Atendimento / Centro Cirúrgico e Obstétrico / Consultas / Avisos do Paciente da Cirurgia (M_CAD_OBS_CONSULTA)</v>
      </c>
    </row>
    <row r="4486" spans="1:7" x14ac:dyDescent="0.3">
      <c r="A4486" s="1" t="s">
        <v>4</v>
      </c>
      <c r="B4486" s="2" t="str">
        <f t="shared" si="371"/>
        <v>SISTEMA DE CENTRO CIRURGICO</v>
      </c>
      <c r="C4486" s="2" t="str">
        <f t="shared" si="372"/>
        <v>INTER</v>
      </c>
      <c r="D4486" s="2" t="str">
        <f t="shared" si="373"/>
        <v>FSCC</v>
      </c>
      <c r="E4486" s="2" t="str">
        <f>"QUESTIONARIO - CENTRO CIRURGICO"</f>
        <v>QUESTIONARIO - CENTRO CIRURGICO</v>
      </c>
      <c r="F4486" s="2" t="str">
        <f>"M_QUEST_FSCC"</f>
        <v>M_QUEST_FSCC</v>
      </c>
      <c r="G4486" s="2" t="str">
        <f>"Atendimento / Centro Cirúrgico e Obstétrico / Tabelas / Cadastro de Questionários (M_QUEST_FSCC)"</f>
        <v>Atendimento / Centro Cirúrgico e Obstétrico / Tabelas / Cadastro de Questionários (M_QUEST_FSCC)</v>
      </c>
    </row>
    <row r="4487" spans="1:7" x14ac:dyDescent="0.3">
      <c r="A4487" s="1" t="s">
        <v>4</v>
      </c>
      <c r="B4487" s="2" t="str">
        <f t="shared" si="371"/>
        <v>SISTEMA DE CENTRO CIRURGICO</v>
      </c>
      <c r="C4487" s="2" t="str">
        <f t="shared" si="372"/>
        <v>INTER</v>
      </c>
      <c r="D4487" s="2" t="str">
        <f t="shared" si="373"/>
        <v>FSCC</v>
      </c>
      <c r="E4487" s="2" t="str">
        <f>"GRUPO DE PERGUNTAS"</f>
        <v>GRUPO DE PERGUNTAS</v>
      </c>
      <c r="F4487" s="2" t="str">
        <f>"M_GRUPERG_FSCC"</f>
        <v>M_GRUPERG_FSCC</v>
      </c>
      <c r="G4487" s="2" t="str">
        <f>"Atendimento / Centro Cirúrgico e Obstétrico / Tabelas / Grupo de Perguntas (M_GRUPERG_FSCC)"</f>
        <v>Atendimento / Centro Cirúrgico e Obstétrico / Tabelas / Grupo de Perguntas (M_GRUPERG_FSCC)</v>
      </c>
    </row>
    <row r="4488" spans="1:7" x14ac:dyDescent="0.3">
      <c r="A4488" s="1" t="s">
        <v>4</v>
      </c>
      <c r="B4488" s="2" t="str">
        <f t="shared" si="371"/>
        <v>SISTEMA DE CENTRO CIRURGICO</v>
      </c>
      <c r="C4488" s="2" t="str">
        <f t="shared" si="372"/>
        <v>INTER</v>
      </c>
      <c r="D4488" s="2" t="str">
        <f t="shared" si="373"/>
        <v>FSCC</v>
      </c>
      <c r="E4488" s="2" t="str">
        <f>"PERGUNTAS - CENTRO CIRÚRGICO"</f>
        <v>PERGUNTAS - CENTRO CIRÚRGICO</v>
      </c>
      <c r="F4488" s="2" t="str">
        <f>"M_PERGUNTAS_FSCC"</f>
        <v>M_PERGUNTAS_FSCC</v>
      </c>
      <c r="G4488" s="2" t="str">
        <f>"Atendimento / Centro Cirúrgico e Obstétrico / Tabelas / Perguntas (M_PERGUNTAS_FSCC)"</f>
        <v>Atendimento / Centro Cirúrgico e Obstétrico / Tabelas / Perguntas (M_PERGUNTAS_FSCC)</v>
      </c>
    </row>
    <row r="4489" spans="1:7" x14ac:dyDescent="0.3">
      <c r="A4489" s="1" t="s">
        <v>4</v>
      </c>
      <c r="B4489" s="2" t="str">
        <f t="shared" si="371"/>
        <v>SISTEMA DE CENTRO CIRURGICO</v>
      </c>
      <c r="C4489" s="2" t="str">
        <f t="shared" si="372"/>
        <v>INTER</v>
      </c>
      <c r="D4489" s="2" t="str">
        <f t="shared" si="373"/>
        <v>FSCC</v>
      </c>
      <c r="E4489" s="2" t="str">
        <f>"ALTERAÇÃO ATENDIMENTO - CENTRO CIRURGICO"</f>
        <v>ALTERAÇÃO ATENDIMENTO - CENTRO CIRURGICO</v>
      </c>
      <c r="F4489" s="2" t="str">
        <f>"ATEURG_ALTERA_FSCC"</f>
        <v>ATEURG_ALTERA_FSCC</v>
      </c>
      <c r="G4489" s="2" t="str">
        <f>"Atendimento / Centro Cirúrgico e Obstétrico / Centro Cirúrgico / Alteração Atendimento (ATEURG_ALTERA_FSCC)"</f>
        <v>Atendimento / Centro Cirúrgico e Obstétrico / Centro Cirúrgico / Alteração Atendimento (ATEURG_ALTERA_FSCC)</v>
      </c>
    </row>
    <row r="4490" spans="1:7" x14ac:dyDescent="0.3">
      <c r="A4490" s="1" t="s">
        <v>4</v>
      </c>
      <c r="B4490" s="2" t="str">
        <f t="shared" si="371"/>
        <v>SISTEMA DE CENTRO CIRURGICO</v>
      </c>
      <c r="C4490" s="2" t="str">
        <f t="shared" si="372"/>
        <v>INTER</v>
      </c>
      <c r="D4490" s="2" t="str">
        <f t="shared" si="373"/>
        <v>FSCC</v>
      </c>
      <c r="E4490" s="2" t="str">
        <f>"ATENDIMENTO EXTERNO - CENTRO CIRURGICO"</f>
        <v>ATENDIMENTO EXTERNO - CENTRO CIRURGICO</v>
      </c>
      <c r="F4490" s="2" t="str">
        <f>"ATEURG_FSCC"</f>
        <v>ATEURG_FSCC</v>
      </c>
      <c r="G4490" s="2" t="str">
        <f>"Atendimento / Centro Cirúrgico e Obstétrico / Centro Cirúrgico / Atendimento Externo (ATEURG_FSCC)"</f>
        <v>Atendimento / Centro Cirúrgico e Obstétrico / Centro Cirúrgico / Atendimento Externo (ATEURG_FSCC)</v>
      </c>
    </row>
    <row r="4491" spans="1:7" x14ac:dyDescent="0.3">
      <c r="A4491" s="1" t="s">
        <v>4</v>
      </c>
      <c r="B4491" s="2" t="str">
        <f t="shared" si="371"/>
        <v>SISTEMA DE CENTRO CIRURGICO</v>
      </c>
      <c r="C4491" s="2" t="str">
        <f t="shared" si="372"/>
        <v>INTER</v>
      </c>
      <c r="D4491" s="2" t="str">
        <f t="shared" si="373"/>
        <v>FSCC</v>
      </c>
      <c r="E4491" s="2" t="str">
        <f>"ATENDIMENTO EXTERNO - CENTRO CIRURGICO"</f>
        <v>ATENDIMENTO EXTERNO - CENTRO CIRURGICO</v>
      </c>
      <c r="F4491" s="2" t="str">
        <f>"ATEURG_FSCC"</f>
        <v>ATEURG_FSCC</v>
      </c>
      <c r="G4491" s="2" t="str">
        <f>"Atendimento / Centro Cirúrgico e Obstétrico / Centro Cirúrgico / Atendimento Externo (ATEURG_FSCC)"</f>
        <v>Atendimento / Centro Cirúrgico e Obstétrico / Centro Cirúrgico / Atendimento Externo (ATEURG_FSCC)</v>
      </c>
    </row>
    <row r="4492" spans="1:7" x14ac:dyDescent="0.3">
      <c r="A4492" s="1" t="s">
        <v>4</v>
      </c>
      <c r="B4492" s="2" t="str">
        <f t="shared" si="371"/>
        <v>SISTEMA DE CENTRO CIRURGICO</v>
      </c>
      <c r="C4492" s="2" t="str">
        <f t="shared" si="372"/>
        <v>INTER</v>
      </c>
      <c r="D4492" s="2" t="str">
        <f t="shared" si="373"/>
        <v>FSCC</v>
      </c>
      <c r="E4492" s="2" t="str">
        <f>"ATENDIMENTO EXTERNO - CENTRO CIRURGICO"</f>
        <v>ATENDIMENTO EXTERNO - CENTRO CIRURGICO</v>
      </c>
      <c r="F4492" s="2" t="str">
        <f>"ATEURG_FSCC"</f>
        <v>ATEURG_FSCC</v>
      </c>
      <c r="G4492" s="2" t="str">
        <f>"Atendimento / Centro Cirúrgico e Obstétrico / Centro Cirúrgico / Atendimento (ATEURG_FSCC)"</f>
        <v>Atendimento / Centro Cirúrgico e Obstétrico / Centro Cirúrgico / Atendimento (ATEURG_FSCC)</v>
      </c>
    </row>
    <row r="4493" spans="1:7" x14ac:dyDescent="0.3">
      <c r="A4493" s="1" t="s">
        <v>4</v>
      </c>
      <c r="B4493" s="2" t="str">
        <f t="shared" si="371"/>
        <v>SISTEMA DE CENTRO CIRURGICO</v>
      </c>
      <c r="C4493" s="2" t="str">
        <f t="shared" si="372"/>
        <v>INTER</v>
      </c>
      <c r="D4493" s="2" t="str">
        <f t="shared" si="373"/>
        <v>FSCC</v>
      </c>
      <c r="E4493" s="2" t="str">
        <f>"R_EQUPAMENTO"</f>
        <v>R_EQUPAMENTO</v>
      </c>
      <c r="F4493" s="2" t="str">
        <f>"R_EQUPAMENTO"</f>
        <v>R_EQUPAMENTO</v>
      </c>
      <c r="G4493" s="2" t="str">
        <f>" ()"</f>
        <v xml:space="preserve"> ()</v>
      </c>
    </row>
    <row r="4494" spans="1:7" x14ac:dyDescent="0.3">
      <c r="A4494" s="1" t="s">
        <v>4</v>
      </c>
      <c r="B4494" s="2" t="str">
        <f t="shared" si="371"/>
        <v>SISTEMA DE CENTRO CIRURGICO</v>
      </c>
      <c r="C4494" s="2" t="str">
        <f t="shared" si="372"/>
        <v>INTER</v>
      </c>
      <c r="D4494" s="2" t="str">
        <f t="shared" si="373"/>
        <v>FSCC</v>
      </c>
      <c r="E4494" s="2" t="str">
        <f>"RELATORIO DE FICHA PARA CIRURGIA"</f>
        <v>RELATORIO DE FICHA PARA CIRURGIA</v>
      </c>
      <c r="F4494" s="2" t="str">
        <f>"R_FICHA_PARA_CIR"</f>
        <v>R_FICHA_PARA_CIR</v>
      </c>
      <c r="G4494" s="2" t="str">
        <f>"Atendimento / Centro Cirúrgico e Obstétrico / Relatórios / Operacionais / Ficha para Cirurgia (R_FICHA_PARA_CIR)"</f>
        <v>Atendimento / Centro Cirúrgico e Obstétrico / Relatórios / Operacionais / Ficha para Cirurgia (R_FICHA_PARA_CIR)</v>
      </c>
    </row>
    <row r="4495" spans="1:7" x14ac:dyDescent="0.3">
      <c r="A4495" s="1" t="s">
        <v>4</v>
      </c>
      <c r="B4495" s="2" t="str">
        <f t="shared" si="371"/>
        <v>SISTEMA DE CENTRO CIRURGICO</v>
      </c>
      <c r="C4495" s="2" t="str">
        <f t="shared" si="372"/>
        <v>INTER</v>
      </c>
      <c r="D4495" s="2" t="str">
        <f t="shared" si="373"/>
        <v>FSCC</v>
      </c>
      <c r="E4495" s="2" t="str">
        <f>"REL. DE CIRURGIAS CANCELADAS - SINTÉTICO"</f>
        <v>REL. DE CIRURGIAS CANCELADAS - SINTÉTICO</v>
      </c>
      <c r="F4495" s="2" t="str">
        <f>"R_CIR_SUSP_SINT"</f>
        <v>R_CIR_SUSP_SINT</v>
      </c>
      <c r="G4495" s="2" t="str">
        <f t="shared" ref="G4495:G4514" si="375">" ()"</f>
        <v xml:space="preserve"> ()</v>
      </c>
    </row>
    <row r="4496" spans="1:7" x14ac:dyDescent="0.3">
      <c r="A4496" s="1" t="s">
        <v>4</v>
      </c>
      <c r="B4496" s="2" t="str">
        <f t="shared" si="371"/>
        <v>SISTEMA DE CENTRO CIRURGICO</v>
      </c>
      <c r="C4496" s="2" t="str">
        <f t="shared" si="372"/>
        <v>INTER</v>
      </c>
      <c r="D4496" s="2" t="str">
        <f t="shared" si="373"/>
        <v>FSCC</v>
      </c>
      <c r="E4496" s="2" t="str">
        <f>"REL. DE OCIOSIDADE DAS SALAS SINTÉTICO"</f>
        <v>REL. DE OCIOSIDADE DAS SALAS SINTÉTICO</v>
      </c>
      <c r="F4496" s="2" t="str">
        <f>"R_OCIO_CIR_SINT"</f>
        <v>R_OCIO_CIR_SINT</v>
      </c>
      <c r="G4496" s="2" t="str">
        <f t="shared" si="375"/>
        <v xml:space="preserve"> ()</v>
      </c>
    </row>
    <row r="4497" spans="1:7" x14ac:dyDescent="0.3">
      <c r="A4497" s="1" t="s">
        <v>4</v>
      </c>
      <c r="B4497" s="2" t="str">
        <f t="shared" si="371"/>
        <v>SISTEMA DE CENTRO CIRURGICO</v>
      </c>
      <c r="C4497" s="2" t="str">
        <f t="shared" si="372"/>
        <v>INTER</v>
      </c>
      <c r="D4497" s="2" t="str">
        <f t="shared" si="373"/>
        <v>FSCC</v>
      </c>
      <c r="E4497" s="2" t="str">
        <f>"REL ANÁLISE EVOLUTIVA DAS CIR REALZIADAS"</f>
        <v>REL ANÁLISE EVOLUTIVA DAS CIR REALZIADAS</v>
      </c>
      <c r="F4497" s="2" t="str">
        <f>"R_CIR_REALIZ_ANA_EVOL.RDF"</f>
        <v>R_CIR_REALIZ_ANA_EVOL.RDF</v>
      </c>
      <c r="G4497" s="2" t="str">
        <f t="shared" si="375"/>
        <v xml:space="preserve"> ()</v>
      </c>
    </row>
    <row r="4498" spans="1:7" x14ac:dyDescent="0.3">
      <c r="A4498" s="1" t="s">
        <v>4</v>
      </c>
      <c r="B4498" s="2" t="str">
        <f t="shared" si="371"/>
        <v>SISTEMA DE CENTRO CIRURGICO</v>
      </c>
      <c r="C4498" s="2" t="str">
        <f t="shared" si="372"/>
        <v>INTER</v>
      </c>
      <c r="D4498" s="2" t="str">
        <f t="shared" si="373"/>
        <v>FSCC</v>
      </c>
      <c r="E4498" s="2" t="str">
        <f>"REL CIRURGIAS REALIZADAS X AGENDADAS"</f>
        <v>REL CIRURGIAS REALIZADAS X AGENDADAS</v>
      </c>
      <c r="F4498" s="2" t="str">
        <f>"R_CIR_REALIZ_AGEND.RDF"</f>
        <v>R_CIR_REALIZ_AGEND.RDF</v>
      </c>
      <c r="G4498" s="2" t="str">
        <f t="shared" si="375"/>
        <v xml:space="preserve"> ()</v>
      </c>
    </row>
    <row r="4499" spans="1:7" x14ac:dyDescent="0.3">
      <c r="A4499" s="1" t="s">
        <v>4</v>
      </c>
      <c r="B4499" s="2" t="str">
        <f t="shared" si="371"/>
        <v>SISTEMA DE CENTRO CIRURGICO</v>
      </c>
      <c r="C4499" s="2" t="str">
        <f t="shared" si="372"/>
        <v>INTER</v>
      </c>
      <c r="D4499" s="2" t="str">
        <f t="shared" si="373"/>
        <v>FSCC</v>
      </c>
      <c r="E4499" s="2" t="str">
        <f>"REL CIRURGIAS REALIZADAS SINTÉTICO ANO"</f>
        <v>REL CIRURGIAS REALIZADAS SINTÉTICO ANO</v>
      </c>
      <c r="F4499" s="2" t="str">
        <f>"R_CIR_REA_SIN.RDF"</f>
        <v>R_CIR_REA_SIN.RDF</v>
      </c>
      <c r="G4499" s="2" t="str">
        <f t="shared" si="375"/>
        <v xml:space="preserve"> ()</v>
      </c>
    </row>
    <row r="4500" spans="1:7" x14ac:dyDescent="0.3">
      <c r="A4500" s="1" t="s">
        <v>4</v>
      </c>
      <c r="B4500" s="2" t="str">
        <f t="shared" ref="B4500:B4516" si="376">"SISTEMA DE CENTRO CIRURGICO"</f>
        <v>SISTEMA DE CENTRO CIRURGICO</v>
      </c>
      <c r="C4500" s="2" t="str">
        <f t="shared" ref="C4500:C4516" si="377">"INTER"</f>
        <v>INTER</v>
      </c>
      <c r="D4500" s="2" t="str">
        <f t="shared" ref="D4500:D4516" si="378">"FSCC"</f>
        <v>FSCC</v>
      </c>
      <c r="E4500" s="2" t="str">
        <f>"RELATÓRIO DE COMPARATIVO DE CIRURGIAS"</f>
        <v>RELATÓRIO DE COMPARATIVO DE CIRURGIAS</v>
      </c>
      <c r="F4500" s="2" t="str">
        <f>"R_PERCENTUAL_CIRURGIAS_DIA.RDF"</f>
        <v>R_PERCENTUAL_CIRURGIAS_DIA.RDF</v>
      </c>
      <c r="G4500" s="2" t="str">
        <f t="shared" si="375"/>
        <v xml:space="preserve"> ()</v>
      </c>
    </row>
    <row r="4501" spans="1:7" x14ac:dyDescent="0.3">
      <c r="A4501" s="1" t="s">
        <v>4</v>
      </c>
      <c r="B4501" s="2" t="str">
        <f t="shared" si="376"/>
        <v>SISTEMA DE CENTRO CIRURGICO</v>
      </c>
      <c r="C4501" s="2" t="str">
        <f t="shared" si="377"/>
        <v>INTER</v>
      </c>
      <c r="D4501" s="2" t="str">
        <f t="shared" si="378"/>
        <v>FSCC</v>
      </c>
      <c r="E4501" s="2" t="str">
        <f>"REL. DE OCIOSIDADE DAS SALAS CIRÚRGICAS"</f>
        <v>REL. DE OCIOSIDADE DAS SALAS CIRÚRGICAS</v>
      </c>
      <c r="F4501" s="2" t="str">
        <f>"R_OCIO_CIR.RDF"</f>
        <v>R_OCIO_CIR.RDF</v>
      </c>
      <c r="G4501" s="2" t="str">
        <f t="shared" si="375"/>
        <v xml:space="preserve"> ()</v>
      </c>
    </row>
    <row r="4502" spans="1:7" x14ac:dyDescent="0.3">
      <c r="A4502" s="1" t="s">
        <v>4</v>
      </c>
      <c r="B4502" s="2" t="str">
        <f t="shared" si="376"/>
        <v>SISTEMA DE CENTRO CIRURGICO</v>
      </c>
      <c r="C4502" s="2" t="str">
        <f t="shared" si="377"/>
        <v>INTER</v>
      </c>
      <c r="D4502" s="2" t="str">
        <f t="shared" si="378"/>
        <v>FSCC</v>
      </c>
      <c r="E4502" s="2" t="str">
        <f>"RELATÓRIO CIRURGIAS REALIZADAS SEM AVISO"</f>
        <v>RELATÓRIO CIRURGIAS REALIZADAS SEM AVISO</v>
      </c>
      <c r="F4502" s="2" t="str">
        <f>"R_CIR_SEM_AVISO.RDF"</f>
        <v>R_CIR_SEM_AVISO.RDF</v>
      </c>
      <c r="G4502" s="2" t="str">
        <f t="shared" si="375"/>
        <v xml:space="preserve"> ()</v>
      </c>
    </row>
    <row r="4503" spans="1:7" x14ac:dyDescent="0.3">
      <c r="A4503" s="1" t="s">
        <v>4</v>
      </c>
      <c r="B4503" s="2" t="str">
        <f t="shared" si="376"/>
        <v>SISTEMA DE CENTRO CIRURGICO</v>
      </c>
      <c r="C4503" s="2" t="str">
        <f t="shared" si="377"/>
        <v>INTER</v>
      </c>
      <c r="D4503" s="2" t="str">
        <f t="shared" si="378"/>
        <v>FSCC</v>
      </c>
      <c r="E4503" s="2" t="str">
        <f>"RELATÓRIO DE KITS X PACIENTES AGENDADOS"</f>
        <v>RELATÓRIO DE KITS X PACIENTES AGENDADOS</v>
      </c>
      <c r="F4503" s="2" t="str">
        <f>"R_CIR_KIT_X_PACIENTE.RDF"</f>
        <v>R_CIR_KIT_X_PACIENTE.RDF</v>
      </c>
      <c r="G4503" s="2" t="str">
        <f t="shared" si="375"/>
        <v xml:space="preserve"> ()</v>
      </c>
    </row>
    <row r="4504" spans="1:7" x14ac:dyDescent="0.3">
      <c r="A4504" s="1" t="s">
        <v>4</v>
      </c>
      <c r="B4504" s="2" t="str">
        <f t="shared" si="376"/>
        <v>SISTEMA DE CENTRO CIRURGICO</v>
      </c>
      <c r="C4504" s="2" t="str">
        <f t="shared" si="377"/>
        <v>INTER</v>
      </c>
      <c r="D4504" s="2" t="str">
        <f t="shared" si="378"/>
        <v>FSCC</v>
      </c>
      <c r="E4504" s="2" t="str">
        <f>"AGENDA DIÁRIA SINTÉTICA"</f>
        <v>AGENDA DIÁRIA SINTÉTICA</v>
      </c>
      <c r="F4504" s="2" t="str">
        <f>"R_AGENDA_DIA_PRE_AGENDA.RDF"</f>
        <v>R_AGENDA_DIA_PRE_AGENDA.RDF</v>
      </c>
      <c r="G4504" s="2" t="str">
        <f t="shared" si="375"/>
        <v xml:space="preserve"> ()</v>
      </c>
    </row>
    <row r="4505" spans="1:7" x14ac:dyDescent="0.3">
      <c r="A4505" s="1" t="s">
        <v>4</v>
      </c>
      <c r="B4505" s="2" t="str">
        <f t="shared" si="376"/>
        <v>SISTEMA DE CENTRO CIRURGICO</v>
      </c>
      <c r="C4505" s="2" t="str">
        <f t="shared" si="377"/>
        <v>INTER</v>
      </c>
      <c r="D4505" s="2" t="str">
        <f t="shared" si="378"/>
        <v>FSCC</v>
      </c>
      <c r="E4505" s="2" t="str">
        <f>"RELATÓRIO DE SAGUE E DERIVADOS"</f>
        <v>RELATÓRIO DE SAGUE E DERIVADOS</v>
      </c>
      <c r="F4505" s="2" t="str">
        <f>"R_SANDER.RDF"</f>
        <v>R_SANDER.RDF</v>
      </c>
      <c r="G4505" s="2" t="str">
        <f t="shared" si="375"/>
        <v xml:space="preserve"> ()</v>
      </c>
    </row>
    <row r="4506" spans="1:7" x14ac:dyDescent="0.3">
      <c r="A4506" s="1" t="s">
        <v>4</v>
      </c>
      <c r="B4506" s="2" t="str">
        <f t="shared" si="376"/>
        <v>SISTEMA DE CENTRO CIRURGICO</v>
      </c>
      <c r="C4506" s="2" t="str">
        <f t="shared" si="377"/>
        <v>INTER</v>
      </c>
      <c r="D4506" s="2" t="str">
        <f t="shared" si="378"/>
        <v>FSCC</v>
      </c>
      <c r="E4506" s="2" t="str">
        <f>"RELATÓRIO KIT PADRÃO DE CIRURGIA"</f>
        <v>RELATÓRIO KIT PADRÃO DE CIRURGIA</v>
      </c>
      <c r="F4506" s="2" t="str">
        <f>"M_KIT.RDF"</f>
        <v>M_KIT.RDF</v>
      </c>
      <c r="G4506" s="2" t="str">
        <f t="shared" si="375"/>
        <v xml:space="preserve"> ()</v>
      </c>
    </row>
    <row r="4507" spans="1:7" x14ac:dyDescent="0.3">
      <c r="A4507" s="1" t="s">
        <v>4</v>
      </c>
      <c r="B4507" s="2" t="str">
        <f t="shared" si="376"/>
        <v>SISTEMA DE CENTRO CIRURGICO</v>
      </c>
      <c r="C4507" s="2" t="str">
        <f t="shared" si="377"/>
        <v>INTER</v>
      </c>
      <c r="D4507" s="2" t="str">
        <f t="shared" si="378"/>
        <v>FSCC</v>
      </c>
      <c r="E4507" s="2" t="str">
        <f>"RELATÓRIO DE CIRURGIAS"</f>
        <v>RELATÓRIO DE CIRURGIAS</v>
      </c>
      <c r="F4507" s="2" t="str">
        <f>"R_CIRURGIA.RDF"</f>
        <v>R_CIRURGIA.RDF</v>
      </c>
      <c r="G4507" s="2" t="str">
        <f t="shared" si="375"/>
        <v xml:space="preserve"> ()</v>
      </c>
    </row>
    <row r="4508" spans="1:7" x14ac:dyDescent="0.3">
      <c r="A4508" s="1" t="s">
        <v>4</v>
      </c>
      <c r="B4508" s="2" t="str">
        <f t="shared" si="376"/>
        <v>SISTEMA DE CENTRO CIRURGICO</v>
      </c>
      <c r="C4508" s="2" t="str">
        <f t="shared" si="377"/>
        <v>INTER</v>
      </c>
      <c r="D4508" s="2" t="str">
        <f t="shared" si="378"/>
        <v>FSCC</v>
      </c>
      <c r="E4508" s="2" t="str">
        <f>"C_AVI_PERSONALIZ"</f>
        <v>C_AVI_PERSONALIZ</v>
      </c>
      <c r="F4508" s="2" t="str">
        <f>"C_AVI_PERSONALIZ"</f>
        <v>C_AVI_PERSONALIZ</v>
      </c>
      <c r="G4508" s="2" t="str">
        <f t="shared" si="375"/>
        <v xml:space="preserve"> ()</v>
      </c>
    </row>
    <row r="4509" spans="1:7" x14ac:dyDescent="0.3">
      <c r="A4509" s="1" t="s">
        <v>4</v>
      </c>
      <c r="B4509" s="2" t="str">
        <f t="shared" si="376"/>
        <v>SISTEMA DE CENTRO CIRURGICO</v>
      </c>
      <c r="C4509" s="2" t="str">
        <f t="shared" si="377"/>
        <v>INTER</v>
      </c>
      <c r="D4509" s="2" t="str">
        <f t="shared" si="378"/>
        <v>FSCC</v>
      </c>
      <c r="E4509" s="2" t="str">
        <f>"RELATÓRIO CIRURGIAS ATRASADAS"</f>
        <v>RELATÓRIO CIRURGIAS ATRASADAS</v>
      </c>
      <c r="F4509" s="2" t="str">
        <f>"R_CIR_ATRASO.RDF"</f>
        <v>R_CIR_ATRASO.RDF</v>
      </c>
      <c r="G4509" s="2" t="str">
        <f t="shared" si="375"/>
        <v xml:space="preserve"> ()</v>
      </c>
    </row>
    <row r="4510" spans="1:7" x14ac:dyDescent="0.3">
      <c r="A4510" s="1" t="s">
        <v>4</v>
      </c>
      <c r="B4510" s="2" t="str">
        <f t="shared" si="376"/>
        <v>SISTEMA DE CENTRO CIRURGICO</v>
      </c>
      <c r="C4510" s="2" t="str">
        <f t="shared" si="377"/>
        <v>INTER</v>
      </c>
      <c r="D4510" s="2" t="str">
        <f t="shared" si="378"/>
        <v>FSCC</v>
      </c>
      <c r="E4510" s="2" t="str">
        <f>"REL ESTATÍSTICO CIRURGIAS TRANSFERIDAS"</f>
        <v>REL ESTATÍSTICO CIRURGIAS TRANSFERIDAS</v>
      </c>
      <c r="F4510" s="2" t="str">
        <f>"R_ESTAT_CIR_TRANSF.RDF"</f>
        <v>R_ESTAT_CIR_TRANSF.RDF</v>
      </c>
      <c r="G4510" s="2" t="str">
        <f t="shared" si="375"/>
        <v xml:space="preserve"> ()</v>
      </c>
    </row>
    <row r="4511" spans="1:7" x14ac:dyDescent="0.3">
      <c r="A4511" s="1" t="s">
        <v>4</v>
      </c>
      <c r="B4511" s="2" t="str">
        <f t="shared" si="376"/>
        <v>SISTEMA DE CENTRO CIRURGICO</v>
      </c>
      <c r="C4511" s="2" t="str">
        <f t="shared" si="377"/>
        <v>INTER</v>
      </c>
      <c r="D4511" s="2" t="str">
        <f t="shared" si="378"/>
        <v>FSCC</v>
      </c>
      <c r="E4511" s="2" t="str">
        <f>"RELATÓRIO ESTATÍSTICO DE CIRURGIAS"</f>
        <v>RELATÓRIO ESTATÍSTICO DE CIRURGIAS</v>
      </c>
      <c r="F4511" s="2" t="str">
        <f>"R_CIR_TAB.RDF"</f>
        <v>R_CIR_TAB.RDF</v>
      </c>
      <c r="G4511" s="2" t="str">
        <f t="shared" si="375"/>
        <v xml:space="preserve"> ()</v>
      </c>
    </row>
    <row r="4512" spans="1:7" x14ac:dyDescent="0.3">
      <c r="A4512" s="1" t="s">
        <v>4</v>
      </c>
      <c r="B4512" s="2" t="str">
        <f t="shared" si="376"/>
        <v>SISTEMA DE CENTRO CIRURGICO</v>
      </c>
      <c r="C4512" s="2" t="str">
        <f t="shared" si="377"/>
        <v>INTER</v>
      </c>
      <c r="D4512" s="2" t="str">
        <f t="shared" si="378"/>
        <v>FSCC</v>
      </c>
      <c r="E4512" s="2" t="str">
        <f>"R_FICHA_CIR_EMER_377"</f>
        <v>R_FICHA_CIR_EMER_377</v>
      </c>
      <c r="F4512" s="2" t="str">
        <f>"R_FICHA_CIR_EMER_377"</f>
        <v>R_FICHA_CIR_EMER_377</v>
      </c>
      <c r="G4512" s="2" t="str">
        <f t="shared" si="375"/>
        <v xml:space="preserve"> ()</v>
      </c>
    </row>
    <row r="4513" spans="1:7" x14ac:dyDescent="0.3">
      <c r="A4513" s="1" t="s">
        <v>4</v>
      </c>
      <c r="B4513" s="2" t="str">
        <f t="shared" si="376"/>
        <v>SISTEMA DE CENTRO CIRURGICO</v>
      </c>
      <c r="C4513" s="2" t="str">
        <f t="shared" si="377"/>
        <v>INTER</v>
      </c>
      <c r="D4513" s="2" t="str">
        <f t="shared" si="378"/>
        <v>FSCC</v>
      </c>
      <c r="E4513" s="2" t="str">
        <f>"R_FICHA_PARA_CIR_377"</f>
        <v>R_FICHA_PARA_CIR_377</v>
      </c>
      <c r="F4513" s="2" t="str">
        <f>"R_FICHA_PARA_CIR_377"</f>
        <v>R_FICHA_PARA_CIR_377</v>
      </c>
      <c r="G4513" s="2" t="str">
        <f t="shared" si="375"/>
        <v xml:space="preserve"> ()</v>
      </c>
    </row>
    <row r="4514" spans="1:7" x14ac:dyDescent="0.3">
      <c r="A4514" s="1" t="s">
        <v>4</v>
      </c>
      <c r="B4514" s="2" t="str">
        <f t="shared" si="376"/>
        <v>SISTEMA DE CENTRO CIRURGICO</v>
      </c>
      <c r="C4514" s="2" t="str">
        <f t="shared" si="377"/>
        <v>INTER</v>
      </c>
      <c r="D4514" s="2" t="str">
        <f t="shared" si="378"/>
        <v>FSCC</v>
      </c>
      <c r="E4514" s="2" t="str">
        <f>"LISTAGEM DE RECÉM-NASCIDOS"</f>
        <v>LISTAGEM DE RECÉM-NASCIDOS</v>
      </c>
      <c r="F4514" s="2" t="str">
        <f>"R_RECEM_NASCIDO.RDF"</f>
        <v>R_RECEM_NASCIDO.RDF</v>
      </c>
      <c r="G4514" s="2" t="str">
        <f t="shared" si="375"/>
        <v xml:space="preserve"> ()</v>
      </c>
    </row>
    <row r="4515" spans="1:7" x14ac:dyDescent="0.3">
      <c r="A4515" s="1" t="s">
        <v>4</v>
      </c>
      <c r="B4515" s="2" t="str">
        <f t="shared" si="376"/>
        <v>SISTEMA DE CENTRO CIRURGICO</v>
      </c>
      <c r="C4515" s="2" t="str">
        <f t="shared" si="377"/>
        <v>INTER</v>
      </c>
      <c r="D4515" s="2" t="str">
        <f t="shared" si="378"/>
        <v>FSCC</v>
      </c>
      <c r="E4515" s="2" t="str">
        <f>"CONFIRMAÇÃO DE CIRURGIAS"</f>
        <v>CONFIRMAÇÃO DE CIRURGIAS</v>
      </c>
      <c r="F4515" s="2" t="str">
        <f>"R_AGENDA_CIRURGIA"</f>
        <v>R_AGENDA_CIRURGIA</v>
      </c>
      <c r="G4515" s="2" t="str">
        <f>"Atendimento / Centro Cirúrgico e Obstétrico / Relatórios / Administrativos / Confirmação de Cirurgias (R_AGENDA_CIRURGIA)"</f>
        <v>Atendimento / Centro Cirúrgico e Obstétrico / Relatórios / Administrativos / Confirmação de Cirurgias (R_AGENDA_CIRURGIA)</v>
      </c>
    </row>
    <row r="4516" spans="1:7" x14ac:dyDescent="0.3">
      <c r="A4516" s="1" t="s">
        <v>4</v>
      </c>
      <c r="B4516" s="2" t="str">
        <f t="shared" si="376"/>
        <v>SISTEMA DE CENTRO CIRURGICO</v>
      </c>
      <c r="C4516" s="2" t="str">
        <f t="shared" si="377"/>
        <v>INTER</v>
      </c>
      <c r="D4516" s="2" t="str">
        <f t="shared" si="378"/>
        <v>FSCC</v>
      </c>
      <c r="E4516" s="2" t="str">
        <f>"GRUPOS DE CIRURGIA"</f>
        <v>GRUPOS DE CIRURGIA</v>
      </c>
      <c r="F4516" s="2" t="str">
        <f>"R_GRUPO_CIRURGIA.RDF"</f>
        <v>R_GRUPO_CIRURGIA.RDF</v>
      </c>
      <c r="G4516" s="2" t="str">
        <f>" ()"</f>
        <v xml:space="preserve"> ()</v>
      </c>
    </row>
    <row r="4517" spans="1:7" x14ac:dyDescent="0.3">
      <c r="A4517" s="1" t="s">
        <v>4</v>
      </c>
      <c r="B4517" s="2" t="str">
        <f t="shared" ref="B4517:B4537" si="379">"SISTEMA DOS HOSPITAIS DA FUSAM"</f>
        <v>SISTEMA DOS HOSPITAIS DA FUSAM</v>
      </c>
      <c r="C4517" s="2" t="str">
        <f>""</f>
        <v/>
      </c>
      <c r="D4517" s="2" t="str">
        <f t="shared" ref="D4517:D4537" si="380">"FUSAM"</f>
        <v>FUSAM</v>
      </c>
      <c r="E4517" s="2" t="str">
        <f>"ESTATÍSTICA DE AGENDAMENTO POR CIDADE"</f>
        <v>ESTATÍSTICA DE AGENDAMENTO POR CIDADE</v>
      </c>
      <c r="F4517" s="2" t="str">
        <f>"R_EST_AGEND_CIDA"</f>
        <v>R_EST_AGEND_CIDA</v>
      </c>
      <c r="G4517" s="2" t="str">
        <f>"Outros / Fusam / Relatórios / Estatísticos / Agendamentos por Cidade (R_EST_AGEND_CIDA)"</f>
        <v>Outros / Fusam / Relatórios / Estatísticos / Agendamentos por Cidade (R_EST_AGEND_CIDA)</v>
      </c>
    </row>
    <row r="4518" spans="1:7" x14ac:dyDescent="0.3">
      <c r="A4518" s="1" t="s">
        <v>4</v>
      </c>
      <c r="B4518" s="2" t="str">
        <f t="shared" si="379"/>
        <v>SISTEMA DOS HOSPITAIS DA FUSAM</v>
      </c>
      <c r="C4518" s="2" t="str">
        <f>""</f>
        <v/>
      </c>
      <c r="D4518" s="2" t="str">
        <f t="shared" si="380"/>
        <v>FUSAM</v>
      </c>
      <c r="E4518" s="2" t="str">
        <f>"AUTORIZAÇÃO POR USUÁRIO"</f>
        <v>AUTORIZAÇÃO POR USUÁRIO</v>
      </c>
      <c r="F4518" s="2" t="str">
        <f>"M_USUARIO_AUTORIZACAO"</f>
        <v>M_USUARIO_AUTORIZACAO</v>
      </c>
      <c r="G4518" s="2" t="str">
        <f>"Outros / Fusam / Configurações / Autorizações por Usuário (M_USUARIO_AUTORIZACAO)"</f>
        <v>Outros / Fusam / Configurações / Autorizações por Usuário (M_USUARIO_AUTORIZACAO)</v>
      </c>
    </row>
    <row r="4519" spans="1:7" x14ac:dyDescent="0.3">
      <c r="A4519" s="1" t="s">
        <v>4</v>
      </c>
      <c r="B4519" s="2" t="str">
        <f t="shared" si="379"/>
        <v>SISTEMA DOS HOSPITAIS DA FUSAM</v>
      </c>
      <c r="C4519" s="2" t="str">
        <f>""</f>
        <v/>
      </c>
      <c r="D4519" s="2" t="str">
        <f t="shared" si="380"/>
        <v>FUSAM</v>
      </c>
      <c r="E4519" s="2" t="str">
        <f>"RELATÓRIOS DE PRODUÇÃO POR PROFISSIONAL"</f>
        <v>RELATÓRIOS DE PRODUÇÃO POR PROFISSIONAL</v>
      </c>
      <c r="F4519" s="2" t="str">
        <f>"R_EST_P_PROF_FUSAM"</f>
        <v>R_EST_P_PROF_FUSAM</v>
      </c>
      <c r="G4519" s="2" t="str">
        <f>"Outros / Fusam / Relatórios / Gerenciais / Produção por Profissional (R_EST_P_PROF_FUSAM)"</f>
        <v>Outros / Fusam / Relatórios / Gerenciais / Produção por Profissional (R_EST_P_PROF_FUSAM)</v>
      </c>
    </row>
    <row r="4520" spans="1:7" x14ac:dyDescent="0.3">
      <c r="A4520" s="1" t="s">
        <v>4</v>
      </c>
      <c r="B4520" s="2" t="str">
        <f t="shared" si="379"/>
        <v>SISTEMA DOS HOSPITAIS DA FUSAM</v>
      </c>
      <c r="C4520" s="2" t="str">
        <f>""</f>
        <v/>
      </c>
      <c r="D4520" s="2" t="str">
        <f t="shared" si="380"/>
        <v>FUSAM</v>
      </c>
      <c r="E4520" s="2" t="str">
        <f>"RELATÓRIOS DE PRODUÇÃO POR SERVIÇO"</f>
        <v>RELATÓRIOS DE PRODUÇÃO POR SERVIÇO</v>
      </c>
      <c r="F4520" s="2" t="str">
        <f>"R_EST_P_SER_FUSAM"</f>
        <v>R_EST_P_SER_FUSAM</v>
      </c>
      <c r="G4520" s="2" t="str">
        <f>"Outros / Fusam / Relatórios / Gerenciais / Produção por Serviço (R_EST_P_SER_FUSAM)"</f>
        <v>Outros / Fusam / Relatórios / Gerenciais / Produção por Serviço (R_EST_P_SER_FUSAM)</v>
      </c>
    </row>
    <row r="4521" spans="1:7" x14ac:dyDescent="0.3">
      <c r="A4521" s="1" t="s">
        <v>4</v>
      </c>
      <c r="B4521" s="2" t="str">
        <f t="shared" si="379"/>
        <v>SISTEMA DOS HOSPITAIS DA FUSAM</v>
      </c>
      <c r="C4521" s="2" t="str">
        <f>""</f>
        <v/>
      </c>
      <c r="D4521" s="2" t="str">
        <f t="shared" si="380"/>
        <v>FUSAM</v>
      </c>
      <c r="E4521" s="2" t="str">
        <f>"R_AGE_PLANTAO_FUSAM"</f>
        <v>R_AGE_PLANTAO_FUSAM</v>
      </c>
      <c r="F4521" s="2" t="str">
        <f>"R_AGE_PLANTAO_FUSAM"</f>
        <v>R_AGE_PLANTAO_FUSAM</v>
      </c>
      <c r="G4521" s="2" t="str">
        <f>"Outros / Fusam / Relatórios / Agendamentos / Agenda de Atendimento (R_AGE_PLANTAO_FUSAM)"</f>
        <v>Outros / Fusam / Relatórios / Agendamentos / Agenda de Atendimento (R_AGE_PLANTAO_FUSAM)</v>
      </c>
    </row>
    <row r="4522" spans="1:7" x14ac:dyDescent="0.3">
      <c r="A4522" s="1" t="s">
        <v>4</v>
      </c>
      <c r="B4522" s="2" t="str">
        <f t="shared" si="379"/>
        <v>SISTEMA DOS HOSPITAIS DA FUSAM</v>
      </c>
      <c r="C4522" s="2" t="str">
        <f>""</f>
        <v/>
      </c>
      <c r="D4522" s="2" t="str">
        <f t="shared" si="380"/>
        <v>FUSAM</v>
      </c>
      <c r="E4522" s="2" t="str">
        <f>"AGENDAMENTO E CONFIRMAÇÃO"</f>
        <v>AGENDAMENTO E CONFIRMAÇÃO</v>
      </c>
      <c r="F4522" s="2" t="str">
        <f>"ATE_RAPIDO"</f>
        <v>ATE_RAPIDO</v>
      </c>
      <c r="G4522" s="2" t="str">
        <f>"Outros / Fusam / Agendamentos / Agendamento (ATE_RAPIDO)"</f>
        <v>Outros / Fusam / Agendamentos / Agendamento (ATE_RAPIDO)</v>
      </c>
    </row>
    <row r="4523" spans="1:7" x14ac:dyDescent="0.3">
      <c r="A4523" s="1" t="s">
        <v>4</v>
      </c>
      <c r="B4523" s="2" t="str">
        <f t="shared" si="379"/>
        <v>SISTEMA DOS HOSPITAIS DA FUSAM</v>
      </c>
      <c r="C4523" s="2" t="str">
        <f>""</f>
        <v/>
      </c>
      <c r="D4523" s="2" t="str">
        <f t="shared" si="380"/>
        <v>FUSAM</v>
      </c>
      <c r="E4523" s="2" t="str">
        <f>"WIN_PRINCIPAL"</f>
        <v>WIN_PRINCIPAL</v>
      </c>
      <c r="F4523" s="2" t="str">
        <f>"R_EST_FALTOSOS"</f>
        <v>R_EST_FALTOSOS</v>
      </c>
      <c r="G4523" s="2" t="str">
        <f>"Atendimento / Ambulatório / Relatórios / Estatísticos / Pacientes não Atendidos (R_EST_FALTOSOS)"</f>
        <v>Atendimento / Ambulatório / Relatórios / Estatísticos / Pacientes não Atendidos (R_EST_FALTOSOS)</v>
      </c>
    </row>
    <row r="4524" spans="1:7" x14ac:dyDescent="0.3">
      <c r="A4524" s="1" t="s">
        <v>4</v>
      </c>
      <c r="B4524" s="2" t="str">
        <f t="shared" si="379"/>
        <v>SISTEMA DOS HOSPITAIS DA FUSAM</v>
      </c>
      <c r="C4524" s="2" t="str">
        <f>""</f>
        <v/>
      </c>
      <c r="D4524" s="2" t="str">
        <f t="shared" si="380"/>
        <v>FUSAM</v>
      </c>
      <c r="E4524" s="2" t="str">
        <f>"WIN_PRINCIPAL"</f>
        <v>WIN_PRINCIPAL</v>
      </c>
      <c r="F4524" s="2" t="str">
        <f>"R_EST_FALTOSOS"</f>
        <v>R_EST_FALTOSOS</v>
      </c>
      <c r="G4524" s="2" t="str">
        <f>"Outros / Fusam / Relatórios / Estatísticos / Pacientes não Atendidos (R_EST_FALTOSOS)"</f>
        <v>Outros / Fusam / Relatórios / Estatísticos / Pacientes não Atendidos (R_EST_FALTOSOS)</v>
      </c>
    </row>
    <row r="4525" spans="1:7" x14ac:dyDescent="0.3">
      <c r="A4525" s="1" t="s">
        <v>4</v>
      </c>
      <c r="B4525" s="2" t="str">
        <f t="shared" si="379"/>
        <v>SISTEMA DOS HOSPITAIS DA FUSAM</v>
      </c>
      <c r="C4525" s="2" t="str">
        <f>""</f>
        <v/>
      </c>
      <c r="D4525" s="2" t="str">
        <f t="shared" si="380"/>
        <v>FUSAM</v>
      </c>
      <c r="E4525" s="2" t="str">
        <f>"CADASTRO DE ESPECIALIDADES"</f>
        <v>CADASTRO DE ESPECIALIDADES</v>
      </c>
      <c r="F4525" s="2" t="str">
        <f>"M_ESPECIALIDADE"</f>
        <v>M_ESPECIALIDADE</v>
      </c>
      <c r="G4525" s="2" t="str">
        <f>"Outros / Fusam / Tabelas / Especialidades (M_ESPECIALIDADE)"</f>
        <v>Outros / Fusam / Tabelas / Especialidades (M_ESPECIALIDADE)</v>
      </c>
    </row>
    <row r="4526" spans="1:7" x14ac:dyDescent="0.3">
      <c r="A4526" s="1" t="s">
        <v>4</v>
      </c>
      <c r="B4526" s="2" t="str">
        <f t="shared" si="379"/>
        <v>SISTEMA DOS HOSPITAIS DA FUSAM</v>
      </c>
      <c r="C4526" s="2" t="str">
        <f>""</f>
        <v/>
      </c>
      <c r="D4526" s="2" t="str">
        <f t="shared" si="380"/>
        <v>FUSAM</v>
      </c>
      <c r="E4526" s="2" t="str">
        <f>"R_ETIQUETA_FUSAM"</f>
        <v>R_ETIQUETA_FUSAM</v>
      </c>
      <c r="F4526" s="2" t="str">
        <f>"R_ETIQUETA_FUSAM"</f>
        <v>R_ETIQUETA_FUSAM</v>
      </c>
      <c r="G4526" s="2" t="str">
        <f>" ()"</f>
        <v xml:space="preserve"> ()</v>
      </c>
    </row>
    <row r="4527" spans="1:7" x14ac:dyDescent="0.3">
      <c r="A4527" s="1" t="s">
        <v>4</v>
      </c>
      <c r="B4527" s="2" t="str">
        <f t="shared" si="379"/>
        <v>SISTEMA DOS HOSPITAIS DA FUSAM</v>
      </c>
      <c r="C4527" s="2" t="str">
        <f>""</f>
        <v/>
      </c>
      <c r="D4527" s="2" t="str">
        <f t="shared" si="380"/>
        <v>FUSAM</v>
      </c>
      <c r="E4527" s="2" t="str">
        <f>"R_PROD_SERVICO_PRESTADOR"</f>
        <v>R_PROD_SERVICO_PRESTADOR</v>
      </c>
      <c r="F4527" s="2" t="str">
        <f>"R_PROD_SERVICO_PRESTADOR"</f>
        <v>R_PROD_SERVICO_PRESTADOR</v>
      </c>
      <c r="G4527" s="2" t="str">
        <f>"Outros / Fusam / Relatórios / Gerenciais / Produtividade de Agendamento por Prestador (R_PROD_SERVICO_PRESTADOR)"</f>
        <v>Outros / Fusam / Relatórios / Gerenciais / Produtividade de Agendamento por Prestador (R_PROD_SERVICO_PRESTADOR)</v>
      </c>
    </row>
    <row r="4528" spans="1:7" x14ac:dyDescent="0.3">
      <c r="A4528" s="1" t="s">
        <v>4</v>
      </c>
      <c r="B4528" s="2" t="str">
        <f t="shared" si="379"/>
        <v>SISTEMA DOS HOSPITAIS DA FUSAM</v>
      </c>
      <c r="C4528" s="2" t="str">
        <f>""</f>
        <v/>
      </c>
      <c r="D4528" s="2" t="str">
        <f t="shared" si="380"/>
        <v>FUSAM</v>
      </c>
      <c r="E4528" s="2" t="str">
        <f>"FUSAM"</f>
        <v>FUSAM</v>
      </c>
      <c r="F4528" s="2" t="str">
        <f>"FUSAM"</f>
        <v>FUSAM</v>
      </c>
      <c r="G4528" s="2" t="str">
        <f>" ()"</f>
        <v xml:space="preserve"> ()</v>
      </c>
    </row>
    <row r="4529" spans="1:7" x14ac:dyDescent="0.3">
      <c r="A4529" s="1" t="s">
        <v>4</v>
      </c>
      <c r="B4529" s="2" t="str">
        <f t="shared" si="379"/>
        <v>SISTEMA DOS HOSPITAIS DA FUSAM</v>
      </c>
      <c r="C4529" s="2" t="str">
        <f>""</f>
        <v/>
      </c>
      <c r="D4529" s="2" t="str">
        <f t="shared" si="380"/>
        <v>FUSAM</v>
      </c>
      <c r="E4529" s="2" t="str">
        <f>"LOCAIS DE REFERENCIA"</f>
        <v>LOCAIS DE REFERENCIA</v>
      </c>
      <c r="F4529" s="2" t="str">
        <f>"M_REFERENCIADO_FUSAM"</f>
        <v>M_REFERENCIADO_FUSAM</v>
      </c>
      <c r="G4529" s="2" t="str">
        <f>"Outros / Fusam / Tabelas / Locais de Referência (M_REFERENCIADO_FUSAM)"</f>
        <v>Outros / Fusam / Tabelas / Locais de Referência (M_REFERENCIADO_FUSAM)</v>
      </c>
    </row>
    <row r="4530" spans="1:7" x14ac:dyDescent="0.3">
      <c r="A4530" s="1" t="s">
        <v>4</v>
      </c>
      <c r="B4530" s="2" t="str">
        <f t="shared" si="379"/>
        <v>SISTEMA DOS HOSPITAIS DA FUSAM</v>
      </c>
      <c r="C4530" s="2" t="str">
        <f>""</f>
        <v/>
      </c>
      <c r="D4530" s="2" t="str">
        <f t="shared" si="380"/>
        <v>FUSAM</v>
      </c>
      <c r="E4530" s="2" t="str">
        <f>"RELATÓRIO DE AGENDA DE ATENDIMENTO"</f>
        <v>RELATÓRIO DE AGENDA DE ATENDIMENTO</v>
      </c>
      <c r="F4530" s="2" t="str">
        <f>"R_AGE_PLANTAO_FUSAM.RDF"</f>
        <v>R_AGE_PLANTAO_FUSAM.RDF</v>
      </c>
      <c r="G4530" s="2" t="str">
        <f>" ()"</f>
        <v xml:space="preserve"> ()</v>
      </c>
    </row>
    <row r="4531" spans="1:7" x14ac:dyDescent="0.3">
      <c r="A4531" s="1" t="s">
        <v>4</v>
      </c>
      <c r="B4531" s="2" t="str">
        <f t="shared" si="379"/>
        <v>SISTEMA DOS HOSPITAIS DA FUSAM</v>
      </c>
      <c r="C4531" s="2" t="str">
        <f>""</f>
        <v/>
      </c>
      <c r="D4531" s="2" t="str">
        <f t="shared" si="380"/>
        <v>FUSAM</v>
      </c>
      <c r="E4531" s="2" t="str">
        <f>"REL. DE PACIENTES NÃO ATENDIDOS"</f>
        <v>REL. DE PACIENTES NÃO ATENDIDOS</v>
      </c>
      <c r="F4531" s="2" t="str">
        <f>"R_EST_FALTOSOS.RDF"</f>
        <v>R_EST_FALTOSOS.RDF</v>
      </c>
      <c r="G4531" s="2" t="str">
        <f>" ()"</f>
        <v xml:space="preserve"> ()</v>
      </c>
    </row>
    <row r="4532" spans="1:7" x14ac:dyDescent="0.3">
      <c r="A4532" s="1" t="s">
        <v>4</v>
      </c>
      <c r="B4532" s="2" t="str">
        <f t="shared" si="379"/>
        <v>SISTEMA DOS HOSPITAIS DA FUSAM</v>
      </c>
      <c r="C4532" s="2" t="str">
        <f>""</f>
        <v/>
      </c>
      <c r="D4532" s="2" t="str">
        <f t="shared" si="380"/>
        <v>FUSAM</v>
      </c>
      <c r="E4532" s="2" t="str">
        <f>"ESTATÍSTICA DE AGENDAMENTO POR BAIRRO"</f>
        <v>ESTATÍSTICA DE AGENDAMENTO POR BAIRRO</v>
      </c>
      <c r="F4532" s="2" t="str">
        <f>"R_EST_AGEND_BAIRRO"</f>
        <v>R_EST_AGEND_BAIRRO</v>
      </c>
      <c r="G4532" s="2" t="str">
        <f>"Outros / Fusam / Relatórios / Estatísticos / Agendamentos por Bairro (R_EST_AGEND_BAIRRO)"</f>
        <v>Outros / Fusam / Relatórios / Estatísticos / Agendamentos por Bairro (R_EST_AGEND_BAIRRO)</v>
      </c>
    </row>
    <row r="4533" spans="1:7" x14ac:dyDescent="0.3">
      <c r="A4533" s="1" t="s">
        <v>4</v>
      </c>
      <c r="B4533" s="2" t="str">
        <f t="shared" si="379"/>
        <v>SISTEMA DOS HOSPITAIS DA FUSAM</v>
      </c>
      <c r="C4533" s="2" t="str">
        <f>""</f>
        <v/>
      </c>
      <c r="D4533" s="2" t="str">
        <f t="shared" si="380"/>
        <v>FUSAM</v>
      </c>
      <c r="E4533" s="2" t="str">
        <f>"ESTATISTICO DE AGENDAMENTO POR SERVIÇO"</f>
        <v>ESTATISTICO DE AGENDAMENTO POR SERVIÇO</v>
      </c>
      <c r="F4533" s="2" t="str">
        <f>"R_EST_AGEND_SERVICO"</f>
        <v>R_EST_AGEND_SERVICO</v>
      </c>
      <c r="G4533" s="2" t="str">
        <f>"Outros / Fusam / Relatórios / Estatísticos / Agendamentos por Serviço (R_EST_AGEND_SERVICO)"</f>
        <v>Outros / Fusam / Relatórios / Estatísticos / Agendamentos por Serviço (R_EST_AGEND_SERVICO)</v>
      </c>
    </row>
    <row r="4534" spans="1:7" x14ac:dyDescent="0.3">
      <c r="A4534" s="1" t="s">
        <v>4</v>
      </c>
      <c r="B4534" s="2" t="str">
        <f t="shared" si="379"/>
        <v>SISTEMA DOS HOSPITAIS DA FUSAM</v>
      </c>
      <c r="C4534" s="2" t="str">
        <f>""</f>
        <v/>
      </c>
      <c r="D4534" s="2" t="str">
        <f t="shared" si="380"/>
        <v>FUSAM</v>
      </c>
      <c r="E4534" s="2" t="str">
        <f>"AGENDADOS X ATENDIDOS POR BAIRRO"</f>
        <v>AGENDADOS X ATENDIDOS POR BAIRRO</v>
      </c>
      <c r="F4534" s="2" t="str">
        <f>"R_EST_AGEND_X_ATEND_BAIRRO"</f>
        <v>R_EST_AGEND_X_ATEND_BAIRRO</v>
      </c>
      <c r="G4534" s="2" t="str">
        <f>"Outros / Fusam / Relatórios / Estatísticos / Agendados X Atendidos por Bairro (R_EST_AGEND_X_ATEND_BAIRRO)"</f>
        <v>Outros / Fusam / Relatórios / Estatísticos / Agendados X Atendidos por Bairro (R_EST_AGEND_X_ATEND_BAIRRO)</v>
      </c>
    </row>
    <row r="4535" spans="1:7" x14ac:dyDescent="0.3">
      <c r="A4535" s="1" t="s">
        <v>4</v>
      </c>
      <c r="B4535" s="2" t="str">
        <f t="shared" si="379"/>
        <v>SISTEMA DOS HOSPITAIS DA FUSAM</v>
      </c>
      <c r="C4535" s="2" t="str">
        <f>""</f>
        <v/>
      </c>
      <c r="D4535" s="2" t="str">
        <f t="shared" si="380"/>
        <v>FUSAM</v>
      </c>
      <c r="E4535" s="2" t="str">
        <f>"CONSULTA DE AGENDAMENTO EXCLUÍDO"</f>
        <v>CONSULTA DE AGENDAMENTO EXCLUÍDO</v>
      </c>
      <c r="F4535" s="2" t="str">
        <f>"M_AGENDAMENTO_EXCLUIDO"</f>
        <v>M_AGENDAMENTO_EXCLUIDO</v>
      </c>
      <c r="G4535" s="2" t="str">
        <f>"Outros / Fusam / Consultas / Agendamentos Excluídos (M_AGENDAMENTO_EXCLUIDO)"</f>
        <v>Outros / Fusam / Consultas / Agendamentos Excluídos (M_AGENDAMENTO_EXCLUIDO)</v>
      </c>
    </row>
    <row r="4536" spans="1:7" x14ac:dyDescent="0.3">
      <c r="A4536" s="1" t="s">
        <v>4</v>
      </c>
      <c r="B4536" s="2" t="str">
        <f t="shared" si="379"/>
        <v>SISTEMA DOS HOSPITAIS DA FUSAM</v>
      </c>
      <c r="C4536" s="2" t="str">
        <f>""</f>
        <v/>
      </c>
      <c r="D4536" s="2" t="str">
        <f t="shared" si="380"/>
        <v>FUSAM</v>
      </c>
      <c r="E4536" s="2" t="str">
        <f>"R_PAC_CAD_FUSAM"</f>
        <v>R_PAC_CAD_FUSAM</v>
      </c>
      <c r="F4536" s="2" t="str">
        <f>"R_PAC_CAD_FUSAM"</f>
        <v>R_PAC_CAD_FUSAM</v>
      </c>
      <c r="G4536" s="2" t="str">
        <f>"Outros / Fusam / Relatórios / Operacionais / Pacientes Cadastrados no Período (R_PAC_CAD_FUSAM)"</f>
        <v>Outros / Fusam / Relatórios / Operacionais / Pacientes Cadastrados no Período (R_PAC_CAD_FUSAM)</v>
      </c>
    </row>
    <row r="4537" spans="1:7" x14ac:dyDescent="0.3">
      <c r="A4537" s="1" t="s">
        <v>4</v>
      </c>
      <c r="B4537" s="2" t="str">
        <f t="shared" si="379"/>
        <v>SISTEMA DOS HOSPITAIS DA FUSAM</v>
      </c>
      <c r="C4537" s="2" t="str">
        <f>""</f>
        <v/>
      </c>
      <c r="D4537" s="2" t="str">
        <f t="shared" si="380"/>
        <v>FUSAM</v>
      </c>
      <c r="E4537" s="2" t="str">
        <f>"RELATÓRIO DE ATENDIMENTOS POR MÉDICO"</f>
        <v>RELATÓRIO DE ATENDIMENTOS POR MÉDICO</v>
      </c>
      <c r="F4537" s="2" t="str">
        <f>"R_ATEND_MEDICO_FUSAM"</f>
        <v>R_ATEND_MEDICO_FUSAM</v>
      </c>
      <c r="G4537" s="2" t="str">
        <f t="shared" ref="G4537:G4570" si="381">" ()"</f>
        <v xml:space="preserve"> ()</v>
      </c>
    </row>
    <row r="4538" spans="1:7" x14ac:dyDescent="0.3">
      <c r="A4538" s="1" t="s">
        <v>4</v>
      </c>
      <c r="B4538" s="2" t="str">
        <f>""</f>
        <v/>
      </c>
      <c r="C4538" s="2" t="str">
        <f>""</f>
        <v/>
      </c>
      <c r="D4538" s="2" t="str">
        <f t="shared" ref="D4538:D4570" si="382">"GERDOC"</f>
        <v>GERDOC</v>
      </c>
      <c r="E4538" s="2" t="str">
        <f>"C_DOCUMENTO_SETOR"</f>
        <v>C_DOCUMENTO_SETOR</v>
      </c>
      <c r="F4538" s="2" t="str">
        <f>"C_DOCUMENTO_SETOR"</f>
        <v>C_DOCUMENTO_SETOR</v>
      </c>
      <c r="G4538" s="2" t="str">
        <f t="shared" si="381"/>
        <v xml:space="preserve"> ()</v>
      </c>
    </row>
    <row r="4539" spans="1:7" x14ac:dyDescent="0.3">
      <c r="A4539" s="1" t="s">
        <v>4</v>
      </c>
      <c r="B4539" s="2" t="str">
        <f>""</f>
        <v/>
      </c>
      <c r="C4539" s="2" t="str">
        <f>""</f>
        <v/>
      </c>
      <c r="D4539" s="2" t="str">
        <f t="shared" si="382"/>
        <v>GERDOC</v>
      </c>
      <c r="E4539" s="2" t="str">
        <f>"R_PROC_DISUP"</f>
        <v>R_PROC_DISUP</v>
      </c>
      <c r="F4539" s="2" t="str">
        <f>"R_PROC_DISUP"</f>
        <v>R_PROC_DISUP</v>
      </c>
      <c r="G4539" s="2" t="str">
        <f t="shared" si="381"/>
        <v xml:space="preserve"> ()</v>
      </c>
    </row>
    <row r="4540" spans="1:7" x14ac:dyDescent="0.3">
      <c r="A4540" s="1" t="s">
        <v>4</v>
      </c>
      <c r="B4540" s="2" t="str">
        <f>""</f>
        <v/>
      </c>
      <c r="C4540" s="2" t="str">
        <f>""</f>
        <v/>
      </c>
      <c r="D4540" s="2" t="str">
        <f t="shared" si="382"/>
        <v>GERDOC</v>
      </c>
      <c r="E4540" s="2" t="str">
        <f>"R_PROCESSOS"</f>
        <v>R_PROCESSOS</v>
      </c>
      <c r="F4540" s="2" t="str">
        <f>"R_PROCESSOS"</f>
        <v>R_PROCESSOS</v>
      </c>
      <c r="G4540" s="2" t="str">
        <f t="shared" si="381"/>
        <v xml:space="preserve"> ()</v>
      </c>
    </row>
    <row r="4541" spans="1:7" x14ac:dyDescent="0.3">
      <c r="A4541" s="1" t="s">
        <v>4</v>
      </c>
      <c r="B4541" s="2" t="str">
        <f>""</f>
        <v/>
      </c>
      <c r="C4541" s="2" t="str">
        <f>""</f>
        <v/>
      </c>
      <c r="D4541" s="2" t="str">
        <f t="shared" si="382"/>
        <v>GERDOC</v>
      </c>
      <c r="E4541" s="2" t="str">
        <f>"R_DOCUMENTO_EXTERNO"</f>
        <v>R_DOCUMENTO_EXTERNO</v>
      </c>
      <c r="F4541" s="2" t="str">
        <f>"R_DOCUMENTO_EXTERNO"</f>
        <v>R_DOCUMENTO_EXTERNO</v>
      </c>
      <c r="G4541" s="2" t="str">
        <f t="shared" si="381"/>
        <v xml:space="preserve"> ()</v>
      </c>
    </row>
    <row r="4542" spans="1:7" x14ac:dyDescent="0.3">
      <c r="A4542" s="1" t="s">
        <v>4</v>
      </c>
      <c r="B4542" s="2" t="str">
        <f>""</f>
        <v/>
      </c>
      <c r="C4542" s="2" t="str">
        <f>""</f>
        <v/>
      </c>
      <c r="D4542" s="2" t="str">
        <f t="shared" si="382"/>
        <v>GERDOC</v>
      </c>
      <c r="E4542" s="2" t="str">
        <f>"M_VALIDA_EMAIL"</f>
        <v>M_VALIDA_EMAIL</v>
      </c>
      <c r="F4542" s="2" t="str">
        <f>"M_VALIDA_EMAIL"</f>
        <v>M_VALIDA_EMAIL</v>
      </c>
      <c r="G4542" s="2" t="str">
        <f t="shared" si="381"/>
        <v xml:space="preserve"> ()</v>
      </c>
    </row>
    <row r="4543" spans="1:7" x14ac:dyDescent="0.3">
      <c r="A4543" s="1" t="s">
        <v>4</v>
      </c>
      <c r="B4543" s="2" t="str">
        <f>""</f>
        <v/>
      </c>
      <c r="C4543" s="2" t="str">
        <f>""</f>
        <v/>
      </c>
      <c r="D4543" s="2" t="str">
        <f t="shared" si="382"/>
        <v>GERDOC</v>
      </c>
      <c r="E4543" s="2" t="str">
        <f>"M_TRAMITE_DOCUMENTO"</f>
        <v>M_TRAMITE_DOCUMENTO</v>
      </c>
      <c r="F4543" s="2" t="str">
        <f>"M_TRAMITE_DOCUMENTO"</f>
        <v>M_TRAMITE_DOCUMENTO</v>
      </c>
      <c r="G4543" s="2" t="str">
        <f t="shared" si="381"/>
        <v xml:space="preserve"> ()</v>
      </c>
    </row>
    <row r="4544" spans="1:7" x14ac:dyDescent="0.3">
      <c r="A4544" s="1" t="s">
        <v>4</v>
      </c>
      <c r="B4544" s="2" t="str">
        <f>""</f>
        <v/>
      </c>
      <c r="C4544" s="2" t="str">
        <f>""</f>
        <v/>
      </c>
      <c r="D4544" s="2" t="str">
        <f t="shared" si="382"/>
        <v>GERDOC</v>
      </c>
      <c r="E4544" s="2" t="str">
        <f>"M_TIPO_FASE_DOCTO"</f>
        <v>M_TIPO_FASE_DOCTO</v>
      </c>
      <c r="F4544" s="2" t="str">
        <f>"M_TIPO_FASE_DOCTO"</f>
        <v>M_TIPO_FASE_DOCTO</v>
      </c>
      <c r="G4544" s="2" t="str">
        <f t="shared" si="381"/>
        <v xml:space="preserve"> ()</v>
      </c>
    </row>
    <row r="4545" spans="1:7" x14ac:dyDescent="0.3">
      <c r="A4545" s="1" t="s">
        <v>4</v>
      </c>
      <c r="B4545" s="2" t="str">
        <f>""</f>
        <v/>
      </c>
      <c r="C4545" s="2" t="str">
        <f>""</f>
        <v/>
      </c>
      <c r="D4545" s="2" t="str">
        <f t="shared" si="382"/>
        <v>GERDOC</v>
      </c>
      <c r="E4545" s="2" t="str">
        <f>"M_TIPO_DOC_ASSUNTO"</f>
        <v>M_TIPO_DOC_ASSUNTO</v>
      </c>
      <c r="F4545" s="2" t="str">
        <f>"M_TIPO_DOC_ASSUNTO"</f>
        <v>M_TIPO_DOC_ASSUNTO</v>
      </c>
      <c r="G4545" s="2" t="str">
        <f t="shared" si="381"/>
        <v xml:space="preserve"> ()</v>
      </c>
    </row>
    <row r="4546" spans="1:7" x14ac:dyDescent="0.3">
      <c r="A4546" s="1" t="s">
        <v>4</v>
      </c>
      <c r="B4546" s="2" t="str">
        <f>""</f>
        <v/>
      </c>
      <c r="C4546" s="2" t="str">
        <f>""</f>
        <v/>
      </c>
      <c r="D4546" s="2" t="str">
        <f t="shared" si="382"/>
        <v>GERDOC</v>
      </c>
      <c r="E4546" s="2" t="str">
        <f>"M_TIPO_DOCUMENTO"</f>
        <v>M_TIPO_DOCUMENTO</v>
      </c>
      <c r="F4546" s="2" t="str">
        <f>"M_TIPO_DOCUMENTO"</f>
        <v>M_TIPO_DOCUMENTO</v>
      </c>
      <c r="G4546" s="2" t="str">
        <f t="shared" si="381"/>
        <v xml:space="preserve"> ()</v>
      </c>
    </row>
    <row r="4547" spans="1:7" x14ac:dyDescent="0.3">
      <c r="A4547" s="1" t="s">
        <v>4</v>
      </c>
      <c r="B4547" s="2" t="str">
        <f>""</f>
        <v/>
      </c>
      <c r="C4547" s="2" t="str">
        <f>""</f>
        <v/>
      </c>
      <c r="D4547" s="2" t="str">
        <f t="shared" si="382"/>
        <v>GERDOC</v>
      </c>
      <c r="E4547" s="2" t="str">
        <f>"M_TIPO_ASSUNTO"</f>
        <v>M_TIPO_ASSUNTO</v>
      </c>
      <c r="F4547" s="2" t="str">
        <f>"M_TIPO_ASSUNTO"</f>
        <v>M_TIPO_ASSUNTO</v>
      </c>
      <c r="G4547" s="2" t="str">
        <f t="shared" si="381"/>
        <v xml:space="preserve"> ()</v>
      </c>
    </row>
    <row r="4548" spans="1:7" x14ac:dyDescent="0.3">
      <c r="A4548" s="1" t="s">
        <v>4</v>
      </c>
      <c r="B4548" s="2" t="str">
        <f>""</f>
        <v/>
      </c>
      <c r="C4548" s="2" t="str">
        <f>""</f>
        <v/>
      </c>
      <c r="D4548" s="2" t="str">
        <f t="shared" si="382"/>
        <v>GERDOC</v>
      </c>
      <c r="E4548" s="2" t="str">
        <f>"M_TEXTO_DOCUMENTO"</f>
        <v>M_TEXTO_DOCUMENTO</v>
      </c>
      <c r="F4548" s="2" t="str">
        <f>"M_TEXTO_DOCUMENTO"</f>
        <v>M_TEXTO_DOCUMENTO</v>
      </c>
      <c r="G4548" s="2" t="str">
        <f t="shared" si="381"/>
        <v xml:space="preserve"> ()</v>
      </c>
    </row>
    <row r="4549" spans="1:7" x14ac:dyDescent="0.3">
      <c r="A4549" s="1" t="s">
        <v>4</v>
      </c>
      <c r="B4549" s="2" t="str">
        <f>""</f>
        <v/>
      </c>
      <c r="C4549" s="2" t="str">
        <f>""</f>
        <v/>
      </c>
      <c r="D4549" s="2" t="str">
        <f t="shared" si="382"/>
        <v>GERDOC</v>
      </c>
      <c r="E4549" s="2" t="str">
        <f>"M_RECEBIMENTO_DOCUMENTO_L"</f>
        <v>M_RECEBIMENTO_DOCUMENTO_L</v>
      </c>
      <c r="F4549" s="2" t="str">
        <f>"M_RECEBIMENTO_DOCUMENTO_L"</f>
        <v>M_RECEBIMENTO_DOCUMENTO_L</v>
      </c>
      <c r="G4549" s="2" t="str">
        <f t="shared" si="381"/>
        <v xml:space="preserve"> ()</v>
      </c>
    </row>
    <row r="4550" spans="1:7" x14ac:dyDescent="0.3">
      <c r="A4550" s="1" t="s">
        <v>4</v>
      </c>
      <c r="B4550" s="2" t="str">
        <f>""</f>
        <v/>
      </c>
      <c r="C4550" s="2" t="str">
        <f>""</f>
        <v/>
      </c>
      <c r="D4550" s="2" t="str">
        <f t="shared" si="382"/>
        <v>GERDOC</v>
      </c>
      <c r="E4550" s="2" t="str">
        <f>"M_RECEBIMENTO_DOCUMENTO"</f>
        <v>M_RECEBIMENTO_DOCUMENTO</v>
      </c>
      <c r="F4550" s="2" t="str">
        <f>"M_RECEBIMENTO_DOCUMENTO"</f>
        <v>M_RECEBIMENTO_DOCUMENTO</v>
      </c>
      <c r="G4550" s="2" t="str">
        <f t="shared" si="381"/>
        <v xml:space="preserve"> ()</v>
      </c>
    </row>
    <row r="4551" spans="1:7" x14ac:dyDescent="0.3">
      <c r="A4551" s="1" t="s">
        <v>4</v>
      </c>
      <c r="B4551" s="2" t="str">
        <f>""</f>
        <v/>
      </c>
      <c r="C4551" s="2" t="str">
        <f>""</f>
        <v/>
      </c>
      <c r="D4551" s="2" t="str">
        <f t="shared" si="382"/>
        <v>GERDOC</v>
      </c>
      <c r="E4551" s="2" t="str">
        <f>"M_MUDANCA_STATUS"</f>
        <v>M_MUDANCA_STATUS</v>
      </c>
      <c r="F4551" s="2" t="str">
        <f>"M_MUDANCA_STATUS"</f>
        <v>M_MUDANCA_STATUS</v>
      </c>
      <c r="G4551" s="2" t="str">
        <f t="shared" si="381"/>
        <v xml:space="preserve"> ()</v>
      </c>
    </row>
    <row r="4552" spans="1:7" x14ac:dyDescent="0.3">
      <c r="A4552" s="1" t="s">
        <v>4</v>
      </c>
      <c r="B4552" s="2" t="str">
        <f>""</f>
        <v/>
      </c>
      <c r="C4552" s="2" t="str">
        <f>""</f>
        <v/>
      </c>
      <c r="D4552" s="2" t="str">
        <f t="shared" si="382"/>
        <v>GERDOC</v>
      </c>
      <c r="E4552" s="2" t="str">
        <f>"M_MOT_JUSTIFICATIVA"</f>
        <v>M_MOT_JUSTIFICATIVA</v>
      </c>
      <c r="F4552" s="2" t="str">
        <f>"M_MOT_JUSTIFICATIVA"</f>
        <v>M_MOT_JUSTIFICATIVA</v>
      </c>
      <c r="G4552" s="2" t="str">
        <f t="shared" si="381"/>
        <v xml:space="preserve"> ()</v>
      </c>
    </row>
    <row r="4553" spans="1:7" x14ac:dyDescent="0.3">
      <c r="A4553" s="1" t="s">
        <v>4</v>
      </c>
      <c r="B4553" s="2" t="str">
        <f>""</f>
        <v/>
      </c>
      <c r="C4553" s="2" t="str">
        <f>""</f>
        <v/>
      </c>
      <c r="D4553" s="2" t="str">
        <f t="shared" si="382"/>
        <v>GERDOC</v>
      </c>
      <c r="E4553" s="2" t="str">
        <f>"M_JUSTIFICA_DOCUMENTO"</f>
        <v>M_JUSTIFICA_DOCUMENTO</v>
      </c>
      <c r="F4553" s="2" t="str">
        <f>"M_JUSTIFICA_DOCUMENTO"</f>
        <v>M_JUSTIFICA_DOCUMENTO</v>
      </c>
      <c r="G4553" s="2" t="str">
        <f t="shared" si="381"/>
        <v xml:space="preserve"> ()</v>
      </c>
    </row>
    <row r="4554" spans="1:7" x14ac:dyDescent="0.3">
      <c r="A4554" s="1" t="s">
        <v>4</v>
      </c>
      <c r="B4554" s="2" t="str">
        <f>""</f>
        <v/>
      </c>
      <c r="C4554" s="2" t="str">
        <f>""</f>
        <v/>
      </c>
      <c r="D4554" s="2" t="str">
        <f t="shared" si="382"/>
        <v>GERDOC</v>
      </c>
      <c r="E4554" s="2" t="str">
        <f>"M_INSTITUICAO"</f>
        <v>M_INSTITUICAO</v>
      </c>
      <c r="F4554" s="2" t="str">
        <f>"M_INSTITUICAO"</f>
        <v>M_INSTITUICAO</v>
      </c>
      <c r="G4554" s="2" t="str">
        <f t="shared" si="381"/>
        <v xml:space="preserve"> ()</v>
      </c>
    </row>
    <row r="4555" spans="1:7" x14ac:dyDescent="0.3">
      <c r="A4555" s="1" t="s">
        <v>4</v>
      </c>
      <c r="B4555" s="2" t="str">
        <f>""</f>
        <v/>
      </c>
      <c r="C4555" s="2" t="str">
        <f>""</f>
        <v/>
      </c>
      <c r="D4555" s="2" t="str">
        <f t="shared" si="382"/>
        <v>GERDOC</v>
      </c>
      <c r="E4555" s="2" t="str">
        <f>"M_GERA_PROTOCOLO"</f>
        <v>M_GERA_PROTOCOLO</v>
      </c>
      <c r="F4555" s="2" t="str">
        <f>"M_GERA_PROTOCOLO"</f>
        <v>M_GERA_PROTOCOLO</v>
      </c>
      <c r="G4555" s="2" t="str">
        <f t="shared" si="381"/>
        <v xml:space="preserve"> ()</v>
      </c>
    </row>
    <row r="4556" spans="1:7" x14ac:dyDescent="0.3">
      <c r="A4556" s="1" t="s">
        <v>4</v>
      </c>
      <c r="B4556" s="2" t="str">
        <f>""</f>
        <v/>
      </c>
      <c r="C4556" s="2" t="str">
        <f>""</f>
        <v/>
      </c>
      <c r="D4556" s="2" t="str">
        <f t="shared" si="382"/>
        <v>GERDOC</v>
      </c>
      <c r="E4556" s="2" t="str">
        <f>"M_FASE_DOCUMENTO"</f>
        <v>M_FASE_DOCUMENTO</v>
      </c>
      <c r="F4556" s="2" t="str">
        <f>"M_FASE_DOCUMENTO"</f>
        <v>M_FASE_DOCUMENTO</v>
      </c>
      <c r="G4556" s="2" t="str">
        <f t="shared" si="381"/>
        <v xml:space="preserve"> ()</v>
      </c>
    </row>
    <row r="4557" spans="1:7" x14ac:dyDescent="0.3">
      <c r="A4557" s="1" t="s">
        <v>4</v>
      </c>
      <c r="B4557" s="2" t="str">
        <f>""</f>
        <v/>
      </c>
      <c r="C4557" s="2" t="str">
        <f>""</f>
        <v/>
      </c>
      <c r="D4557" s="2" t="str">
        <f t="shared" si="382"/>
        <v>GERDOC</v>
      </c>
      <c r="E4557" s="2" t="str">
        <f>"M_DOCUMENTO_S_RECEBE"</f>
        <v>M_DOCUMENTO_S_RECEBE</v>
      </c>
      <c r="F4557" s="2" t="str">
        <f>"M_DOCUMENTO_S_RECEBE"</f>
        <v>M_DOCUMENTO_S_RECEBE</v>
      </c>
      <c r="G4557" s="2" t="str">
        <f t="shared" si="381"/>
        <v xml:space="preserve"> ()</v>
      </c>
    </row>
    <row r="4558" spans="1:7" x14ac:dyDescent="0.3">
      <c r="A4558" s="1" t="s">
        <v>4</v>
      </c>
      <c r="B4558" s="2" t="str">
        <f>""</f>
        <v/>
      </c>
      <c r="C4558" s="2" t="str">
        <f>""</f>
        <v/>
      </c>
      <c r="D4558" s="2" t="str">
        <f t="shared" si="382"/>
        <v>GERDOC</v>
      </c>
      <c r="E4558" s="2" t="str">
        <f>"M_DOCUMENTO_RETRO"</f>
        <v>M_DOCUMENTO_RETRO</v>
      </c>
      <c r="F4558" s="2" t="str">
        <f>"M_DOCUMENTO_RETRO"</f>
        <v>M_DOCUMENTO_RETRO</v>
      </c>
      <c r="G4558" s="2" t="str">
        <f t="shared" si="381"/>
        <v xml:space="preserve"> ()</v>
      </c>
    </row>
    <row r="4559" spans="1:7" x14ac:dyDescent="0.3">
      <c r="A4559" s="1" t="s">
        <v>4</v>
      </c>
      <c r="B4559" s="2" t="str">
        <f>""</f>
        <v/>
      </c>
      <c r="C4559" s="2" t="str">
        <f>""</f>
        <v/>
      </c>
      <c r="D4559" s="2" t="str">
        <f t="shared" si="382"/>
        <v>GERDOC</v>
      </c>
      <c r="E4559" s="2" t="str">
        <f>"M_DOCUMENTO_EXTERNO"</f>
        <v>M_DOCUMENTO_EXTERNO</v>
      </c>
      <c r="F4559" s="2" t="str">
        <f>"M_DOCUMENTO_EXTERNO"</f>
        <v>M_DOCUMENTO_EXTERNO</v>
      </c>
      <c r="G4559" s="2" t="str">
        <f t="shared" si="381"/>
        <v xml:space="preserve"> ()</v>
      </c>
    </row>
    <row r="4560" spans="1:7" x14ac:dyDescent="0.3">
      <c r="A4560" s="1" t="s">
        <v>4</v>
      </c>
      <c r="B4560" s="2" t="str">
        <f>""</f>
        <v/>
      </c>
      <c r="C4560" s="2" t="str">
        <f>""</f>
        <v/>
      </c>
      <c r="D4560" s="2" t="str">
        <f t="shared" si="382"/>
        <v>GERDOC</v>
      </c>
      <c r="E4560" s="2" t="str">
        <f>"M_DOCUMENTO"</f>
        <v>M_DOCUMENTO</v>
      </c>
      <c r="F4560" s="2" t="str">
        <f>"M_DOCUMENTO"</f>
        <v>M_DOCUMENTO</v>
      </c>
      <c r="G4560" s="2" t="str">
        <f t="shared" si="381"/>
        <v xml:space="preserve"> ()</v>
      </c>
    </row>
    <row r="4561" spans="1:7" x14ac:dyDescent="0.3">
      <c r="A4561" s="1" t="s">
        <v>4</v>
      </c>
      <c r="B4561" s="2" t="str">
        <f>""</f>
        <v/>
      </c>
      <c r="C4561" s="2" t="str">
        <f>""</f>
        <v/>
      </c>
      <c r="D4561" s="2" t="str">
        <f t="shared" si="382"/>
        <v>GERDOC</v>
      </c>
      <c r="E4561" s="2" t="str">
        <f>"M_CONFIG_USUARIO"</f>
        <v>M_CONFIG_USUARIO</v>
      </c>
      <c r="F4561" s="2" t="str">
        <f>"M_CONFIG_USUARIO"</f>
        <v>M_CONFIG_USUARIO</v>
      </c>
      <c r="G4561" s="2" t="str">
        <f t="shared" si="381"/>
        <v xml:space="preserve"> ()</v>
      </c>
    </row>
    <row r="4562" spans="1:7" x14ac:dyDescent="0.3">
      <c r="A4562" s="1" t="s">
        <v>4</v>
      </c>
      <c r="B4562" s="2" t="str">
        <f>""</f>
        <v/>
      </c>
      <c r="C4562" s="2" t="str">
        <f>""</f>
        <v/>
      </c>
      <c r="D4562" s="2" t="str">
        <f t="shared" si="382"/>
        <v>GERDOC</v>
      </c>
      <c r="E4562" s="2" t="str">
        <f>"M_CONFIG_SETOR"</f>
        <v>M_CONFIG_SETOR</v>
      </c>
      <c r="F4562" s="2" t="str">
        <f>"M_CONFIG_SETOR"</f>
        <v>M_CONFIG_SETOR</v>
      </c>
      <c r="G4562" s="2" t="str">
        <f t="shared" si="381"/>
        <v xml:space="preserve"> ()</v>
      </c>
    </row>
    <row r="4563" spans="1:7" x14ac:dyDescent="0.3">
      <c r="A4563" s="1" t="s">
        <v>4</v>
      </c>
      <c r="B4563" s="2" t="str">
        <f>""</f>
        <v/>
      </c>
      <c r="C4563" s="2" t="str">
        <f>""</f>
        <v/>
      </c>
      <c r="D4563" s="2" t="str">
        <f t="shared" si="382"/>
        <v>GERDOC</v>
      </c>
      <c r="E4563" s="2" t="str">
        <f>"M_CANCELA_TRAMITE"</f>
        <v>M_CANCELA_TRAMITE</v>
      </c>
      <c r="F4563" s="2" t="str">
        <f>"M_CANCELA_TRAMITE"</f>
        <v>M_CANCELA_TRAMITE</v>
      </c>
      <c r="G4563" s="2" t="str">
        <f t="shared" si="381"/>
        <v xml:space="preserve"> ()</v>
      </c>
    </row>
    <row r="4564" spans="1:7" x14ac:dyDescent="0.3">
      <c r="A4564" s="1" t="s">
        <v>4</v>
      </c>
      <c r="B4564" s="2" t="str">
        <f>""</f>
        <v/>
      </c>
      <c r="C4564" s="2" t="str">
        <f>""</f>
        <v/>
      </c>
      <c r="D4564" s="2" t="str">
        <f t="shared" si="382"/>
        <v>GERDOC</v>
      </c>
      <c r="E4564" s="2" t="str">
        <f>"M_ALTERA_STATUS"</f>
        <v>M_ALTERA_STATUS</v>
      </c>
      <c r="F4564" s="2" t="str">
        <f>"M_ALTERA_STATUS"</f>
        <v>M_ALTERA_STATUS</v>
      </c>
      <c r="G4564" s="2" t="str">
        <f t="shared" si="381"/>
        <v xml:space="preserve"> ()</v>
      </c>
    </row>
    <row r="4565" spans="1:7" x14ac:dyDescent="0.3">
      <c r="A4565" s="1" t="s">
        <v>4</v>
      </c>
      <c r="B4565" s="2" t="str">
        <f>""</f>
        <v/>
      </c>
      <c r="C4565" s="2" t="str">
        <f>""</f>
        <v/>
      </c>
      <c r="D4565" s="2" t="str">
        <f t="shared" si="382"/>
        <v>GERDOC</v>
      </c>
      <c r="E4565" s="2" t="str">
        <f>"M_ABERTURA_PROCESSO"</f>
        <v>M_ABERTURA_PROCESSO</v>
      </c>
      <c r="F4565" s="2" t="str">
        <f>"M_ABERTURA_PROCESSO"</f>
        <v>M_ABERTURA_PROCESSO</v>
      </c>
      <c r="G4565" s="2" t="str">
        <f t="shared" si="381"/>
        <v xml:space="preserve"> ()</v>
      </c>
    </row>
    <row r="4566" spans="1:7" x14ac:dyDescent="0.3">
      <c r="A4566" s="1" t="s">
        <v>4</v>
      </c>
      <c r="B4566" s="2" t="str">
        <f>""</f>
        <v/>
      </c>
      <c r="C4566" s="2" t="str">
        <f>""</f>
        <v/>
      </c>
      <c r="D4566" s="2" t="str">
        <f t="shared" si="382"/>
        <v>GERDOC</v>
      </c>
      <c r="E4566" s="2" t="str">
        <f>"GERDOC"</f>
        <v>GERDOC</v>
      </c>
      <c r="F4566" s="2" t="str">
        <f>"GERDOC"</f>
        <v>GERDOC</v>
      </c>
      <c r="G4566" s="2" t="str">
        <f t="shared" si="381"/>
        <v xml:space="preserve"> ()</v>
      </c>
    </row>
    <row r="4567" spans="1:7" x14ac:dyDescent="0.3">
      <c r="A4567" s="1" t="s">
        <v>4</v>
      </c>
      <c r="B4567" s="2" t="str">
        <f>""</f>
        <v/>
      </c>
      <c r="C4567" s="2" t="str">
        <f>""</f>
        <v/>
      </c>
      <c r="D4567" s="2" t="str">
        <f t="shared" si="382"/>
        <v>GERDOC</v>
      </c>
      <c r="E4567" s="2" t="str">
        <f>"C_TRAMITE"</f>
        <v>C_TRAMITE</v>
      </c>
      <c r="F4567" s="2" t="str">
        <f>"C_TRAMITE"</f>
        <v>C_TRAMITE</v>
      </c>
      <c r="G4567" s="2" t="str">
        <f t="shared" si="381"/>
        <v xml:space="preserve"> ()</v>
      </c>
    </row>
    <row r="4568" spans="1:7" x14ac:dyDescent="0.3">
      <c r="A4568" s="1" t="s">
        <v>4</v>
      </c>
      <c r="B4568" s="2" t="str">
        <f>""</f>
        <v/>
      </c>
      <c r="C4568" s="2" t="str">
        <f>""</f>
        <v/>
      </c>
      <c r="D4568" s="2" t="str">
        <f t="shared" si="382"/>
        <v>GERDOC</v>
      </c>
      <c r="E4568" s="2" t="str">
        <f>"C_PROCESSO_EMPRESA"</f>
        <v>C_PROCESSO_EMPRESA</v>
      </c>
      <c r="F4568" s="2" t="str">
        <f>"C_PROCESSO_EMPRESA"</f>
        <v>C_PROCESSO_EMPRESA</v>
      </c>
      <c r="G4568" s="2" t="str">
        <f t="shared" si="381"/>
        <v xml:space="preserve"> ()</v>
      </c>
    </row>
    <row r="4569" spans="1:7" x14ac:dyDescent="0.3">
      <c r="A4569" s="1" t="s">
        <v>4</v>
      </c>
      <c r="B4569" s="2" t="str">
        <f>""</f>
        <v/>
      </c>
      <c r="C4569" s="2" t="str">
        <f>""</f>
        <v/>
      </c>
      <c r="D4569" s="2" t="str">
        <f t="shared" si="382"/>
        <v>GERDOC</v>
      </c>
      <c r="E4569" s="2" t="str">
        <f>"C_PROCESSOS_REF"</f>
        <v>C_PROCESSOS_REF</v>
      </c>
      <c r="F4569" s="2" t="str">
        <f>"C_PROCESSOS_REF"</f>
        <v>C_PROCESSOS_REF</v>
      </c>
      <c r="G4569" s="2" t="str">
        <f t="shared" si="381"/>
        <v xml:space="preserve"> ()</v>
      </c>
    </row>
    <row r="4570" spans="1:7" x14ac:dyDescent="0.3">
      <c r="A4570" s="1" t="s">
        <v>4</v>
      </c>
      <c r="B4570" s="2" t="str">
        <f>""</f>
        <v/>
      </c>
      <c r="C4570" s="2" t="str">
        <f>""</f>
        <v/>
      </c>
      <c r="D4570" s="2" t="str">
        <f t="shared" si="382"/>
        <v>GERDOC</v>
      </c>
      <c r="E4570" s="2" t="str">
        <f>"C_DURACAO_PROCESSO"</f>
        <v>C_DURACAO_PROCESSO</v>
      </c>
      <c r="F4570" s="2" t="str">
        <f>"C_DURACAO_PROCESSO"</f>
        <v>C_DURACAO_PROCESSO</v>
      </c>
      <c r="G4570" s="2" t="str">
        <f t="shared" si="381"/>
        <v xml:space="preserve"> ()</v>
      </c>
    </row>
    <row r="4571" spans="1:7" x14ac:dyDescent="0.3">
      <c r="A4571" s="1" t="s">
        <v>4</v>
      </c>
      <c r="B4571" s="2" t="str">
        <f t="shared" ref="B4571:B4634" si="383">"SISTEMA DE GERENCIAMENTO DAS TABELAS"</f>
        <v>SISTEMA DE GERENCIAMENTO DAS TABELAS</v>
      </c>
      <c r="C4571" s="2" t="str">
        <f t="shared" ref="C4571:D4590" si="384">"GLOBAL"</f>
        <v>GLOBAL</v>
      </c>
      <c r="D4571" s="2" t="str">
        <f t="shared" si="384"/>
        <v>GLOBAL</v>
      </c>
      <c r="E4571" s="2" t="str">
        <f>"SITUAÇÃO FAMILIAR E CONJUGAL"</f>
        <v>SITUAÇÃO FAMILIAR E CONJUGAL</v>
      </c>
      <c r="F4571" s="2" t="str">
        <f>"M_SITUACAO_FAMILIAR"</f>
        <v>M_SITUACAO_FAMILIAR</v>
      </c>
      <c r="G4571" s="2" t="str">
        <f>"Serviços de Apoio / Global / Auxiliares / Situação Familiar e Conjugal (M_SITUACAO_FAMILIAR)"</f>
        <v>Serviços de Apoio / Global / Auxiliares / Situação Familiar e Conjugal (M_SITUACAO_FAMILIAR)</v>
      </c>
    </row>
    <row r="4572" spans="1:7" x14ac:dyDescent="0.3">
      <c r="A4572" s="1" t="s">
        <v>4</v>
      </c>
      <c r="B4572" s="2" t="str">
        <f t="shared" si="383"/>
        <v>SISTEMA DE GERENCIAMENTO DAS TABELAS</v>
      </c>
      <c r="C4572" s="2" t="str">
        <f t="shared" si="384"/>
        <v>GLOBAL</v>
      </c>
      <c r="D4572" s="2" t="str">
        <f t="shared" si="384"/>
        <v>GLOBAL</v>
      </c>
      <c r="E4572" s="2" t="str">
        <f>"Importação de CEPs - DNE"</f>
        <v>Importação de CEPs - DNE</v>
      </c>
      <c r="F4572" s="2" t="str">
        <f>"O_IMPORTA_CEP_ECT"</f>
        <v>O_IMPORTA_CEP_ECT</v>
      </c>
      <c r="G4572" s="2" t="str">
        <f>"Serviços de Apoio / Global / Integração / Importação de CEPs - DNE (O_IMPORTA_CEP_ECT)"</f>
        <v>Serviços de Apoio / Global / Integração / Importação de CEPs - DNE (O_IMPORTA_CEP_ECT)</v>
      </c>
    </row>
    <row r="4573" spans="1:7" x14ac:dyDescent="0.3">
      <c r="A4573" s="1" t="s">
        <v>4</v>
      </c>
      <c r="B4573" s="2" t="str">
        <f t="shared" si="383"/>
        <v>SISTEMA DE GERENCIAMENTO DAS TABELAS</v>
      </c>
      <c r="C4573" s="2" t="str">
        <f t="shared" si="384"/>
        <v>GLOBAL</v>
      </c>
      <c r="D4573" s="2" t="str">
        <f t="shared" si="384"/>
        <v>GLOBAL</v>
      </c>
      <c r="E4573" s="2" t="str">
        <f>"Prestador x Usuario"</f>
        <v>Prestador x Usuario</v>
      </c>
      <c r="F4573" s="2" t="str">
        <f>"M_CONFIG_PRESTADOR_USUARIO"</f>
        <v>M_CONFIG_PRESTADOR_USUARIO</v>
      </c>
      <c r="G4573" s="2" t="str">
        <f>" ()"</f>
        <v xml:space="preserve"> ()</v>
      </c>
    </row>
    <row r="4574" spans="1:7" x14ac:dyDescent="0.3">
      <c r="A4574" s="1" t="s">
        <v>4</v>
      </c>
      <c r="B4574" s="2" t="str">
        <f t="shared" si="383"/>
        <v>SISTEMA DE GERENCIAMENTO DAS TABELAS</v>
      </c>
      <c r="C4574" s="2" t="str">
        <f t="shared" si="384"/>
        <v>GLOBAL</v>
      </c>
      <c r="D4574" s="2" t="str">
        <f t="shared" si="384"/>
        <v>GLOBAL</v>
      </c>
      <c r="E4574" s="2" t="str">
        <f>"Autenticação do Usuário"</f>
        <v>Autenticação do Usuário</v>
      </c>
      <c r="F4574" s="2" t="str">
        <f>"M_AUTENTICACAO"</f>
        <v>M_AUTENTICACAO</v>
      </c>
      <c r="G4574" s="2" t="str">
        <f>" ()"</f>
        <v xml:space="preserve"> ()</v>
      </c>
    </row>
    <row r="4575" spans="1:7" x14ac:dyDescent="0.3">
      <c r="A4575" s="1" t="s">
        <v>4</v>
      </c>
      <c r="B4575" s="2" t="str">
        <f t="shared" si="383"/>
        <v>SISTEMA DE GERENCIAMENTO DAS TABELAS</v>
      </c>
      <c r="C4575" s="2" t="str">
        <f t="shared" si="384"/>
        <v>GLOBAL</v>
      </c>
      <c r="D4575" s="2" t="str">
        <f t="shared" si="384"/>
        <v>GLOBAL</v>
      </c>
      <c r="E4575" s="2" t="str">
        <f>"Orientação Sexual"</f>
        <v>Orientação Sexual</v>
      </c>
      <c r="F4575" s="2" t="str">
        <f>"M_ORIENTACAO_SEXUAL"</f>
        <v>M_ORIENTACAO_SEXUAL</v>
      </c>
      <c r="G4575" s="2" t="str">
        <f>" ()"</f>
        <v xml:space="preserve"> ()</v>
      </c>
    </row>
    <row r="4576" spans="1:7" x14ac:dyDescent="0.3">
      <c r="A4576" s="1" t="s">
        <v>4</v>
      </c>
      <c r="B4576" s="2" t="str">
        <f t="shared" si="383"/>
        <v>SISTEMA DE GERENCIAMENTO DAS TABELAS</v>
      </c>
      <c r="C4576" s="2" t="str">
        <f t="shared" si="384"/>
        <v>GLOBAL</v>
      </c>
      <c r="D4576" s="2" t="str">
        <f t="shared" si="384"/>
        <v>GLOBAL</v>
      </c>
      <c r="E4576" s="2" t="str">
        <f>"Identidade de Gênero"</f>
        <v>Identidade de Gênero</v>
      </c>
      <c r="F4576" s="2" t="str">
        <f>"M_IDENTIDADE_GENERO"</f>
        <v>M_IDENTIDADE_GENERO</v>
      </c>
      <c r="G4576" s="2" t="str">
        <f>" ()"</f>
        <v xml:space="preserve"> ()</v>
      </c>
    </row>
    <row r="4577" spans="1:7" x14ac:dyDescent="0.3">
      <c r="A4577" s="1" t="s">
        <v>4</v>
      </c>
      <c r="B4577" s="2" t="str">
        <f t="shared" si="383"/>
        <v>SISTEMA DE GERENCIAMENTO DAS TABELAS</v>
      </c>
      <c r="C4577" s="2" t="str">
        <f t="shared" si="384"/>
        <v>GLOBAL</v>
      </c>
      <c r="D4577" s="2" t="str">
        <f t="shared" si="384"/>
        <v>GLOBAL</v>
      </c>
      <c r="E4577" s="2" t="str">
        <f>"Vulnerabilidade Social"</f>
        <v>Vulnerabilidade Social</v>
      </c>
      <c r="F4577" s="2" t="str">
        <f>"M_VULNERABILIDADE_SOCIAL"</f>
        <v>M_VULNERABILIDADE_SOCIAL</v>
      </c>
      <c r="G4577" s="2" t="str">
        <f>" ()"</f>
        <v xml:space="preserve"> ()</v>
      </c>
    </row>
    <row r="4578" spans="1:7" x14ac:dyDescent="0.3">
      <c r="A4578" s="1" t="s">
        <v>4</v>
      </c>
      <c r="B4578" s="2" t="str">
        <f t="shared" si="383"/>
        <v>SISTEMA DE GERENCIAMENTO DAS TABELAS</v>
      </c>
      <c r="C4578" s="2" t="str">
        <f t="shared" si="384"/>
        <v>GLOBAL</v>
      </c>
      <c r="D4578" s="2" t="str">
        <f t="shared" si="384"/>
        <v>GLOBAL</v>
      </c>
      <c r="E4578" s="2" t="str">
        <f>"TIPO DE PENDÊNCIAS"</f>
        <v>TIPO DE PENDÊNCIAS</v>
      </c>
      <c r="F4578" s="2" t="str">
        <f>"TIP_PEND"</f>
        <v>TIP_PEND</v>
      </c>
      <c r="G4578" s="2" t="str">
        <f>"MVSaude / Vendas / Internação / Tabelas / Tipo de Pendência (TIP_PEND)"</f>
        <v>MVSaude / Vendas / Internação / Tabelas / Tipo de Pendência (TIP_PEND)</v>
      </c>
    </row>
    <row r="4579" spans="1:7" x14ac:dyDescent="0.3">
      <c r="A4579" s="1" t="s">
        <v>4</v>
      </c>
      <c r="B4579" s="2" t="str">
        <f t="shared" si="383"/>
        <v>SISTEMA DE GERENCIAMENTO DAS TABELAS</v>
      </c>
      <c r="C4579" s="2" t="str">
        <f t="shared" si="384"/>
        <v>GLOBAL</v>
      </c>
      <c r="D4579" s="2" t="str">
        <f t="shared" si="384"/>
        <v>GLOBAL</v>
      </c>
      <c r="E4579" s="2" t="str">
        <f>"TIPO DE PENDÊNCIAS"</f>
        <v>TIPO DE PENDÊNCIAS</v>
      </c>
      <c r="F4579" s="2" t="str">
        <f>"TIP_PEND"</f>
        <v>TIP_PEND</v>
      </c>
      <c r="G4579" s="2" t="str">
        <f>"MVSaude / Atendimento / Autorizações de Guias / Internação / Tabelas / Tipo de Pendência (TIP_PEND)"</f>
        <v>MVSaude / Atendimento / Autorizações de Guias / Internação / Tabelas / Tipo de Pendência (TIP_PEND)</v>
      </c>
    </row>
    <row r="4580" spans="1:7" x14ac:dyDescent="0.3">
      <c r="A4580" s="1" t="s">
        <v>4</v>
      </c>
      <c r="B4580" s="2" t="str">
        <f t="shared" si="383"/>
        <v>SISTEMA DE GERENCIAMENTO DAS TABELAS</v>
      </c>
      <c r="C4580" s="2" t="str">
        <f t="shared" si="384"/>
        <v>GLOBAL</v>
      </c>
      <c r="D4580" s="2" t="str">
        <f t="shared" si="384"/>
        <v>GLOBAL</v>
      </c>
      <c r="E4580" s="2" t="str">
        <f>"TIPO DE PENDÊNCIAS"</f>
        <v>TIPO DE PENDÊNCIAS</v>
      </c>
      <c r="F4580" s="2" t="str">
        <f>"TIP_PEND"</f>
        <v>TIP_PEND</v>
      </c>
      <c r="G4580" s="2" t="str">
        <f>"Serviços de Apoio / Global / Auxiliares / Tipo de Pendências (TIP_PEND)"</f>
        <v>Serviços de Apoio / Global / Auxiliares / Tipo de Pendências (TIP_PEND)</v>
      </c>
    </row>
    <row r="4581" spans="1:7" x14ac:dyDescent="0.3">
      <c r="A4581" s="1" t="s">
        <v>4</v>
      </c>
      <c r="B4581" s="2" t="str">
        <f t="shared" si="383"/>
        <v>SISTEMA DE GERENCIAMENTO DAS TABELAS</v>
      </c>
      <c r="C4581" s="2" t="str">
        <f t="shared" si="384"/>
        <v>GLOBAL</v>
      </c>
      <c r="D4581" s="2" t="str">
        <f t="shared" si="384"/>
        <v>GLOBAL</v>
      </c>
      <c r="E4581" s="2" t="str">
        <f>"Visualização/criação de docs do editor"</f>
        <v>Visualização/criação de docs do editor</v>
      </c>
      <c r="F4581" s="2" t="str">
        <f>"M_HISTORICO_DOCUMENTO"</f>
        <v>M_HISTORICO_DOCUMENTO</v>
      </c>
      <c r="G4581" s="2" t="str">
        <f>" ()"</f>
        <v xml:space="preserve"> ()</v>
      </c>
    </row>
    <row r="4582" spans="1:7" x14ac:dyDescent="0.3">
      <c r="A4582" s="1" t="s">
        <v>4</v>
      </c>
      <c r="B4582" s="2" t="str">
        <f t="shared" si="383"/>
        <v>SISTEMA DE GERENCIAMENTO DAS TABELAS</v>
      </c>
      <c r="C4582" s="2" t="str">
        <f t="shared" si="384"/>
        <v>GLOBAL</v>
      </c>
      <c r="D4582" s="2" t="str">
        <f t="shared" si="384"/>
        <v>GLOBAL</v>
      </c>
      <c r="E4582" s="2" t="str">
        <f>"TABELAS CNS"</f>
        <v>TABELAS CNS</v>
      </c>
      <c r="F4582" s="2" t="str">
        <f>"M_ORGAO_EMISSOR"</f>
        <v>M_ORGAO_EMISSOR</v>
      </c>
      <c r="G4582" s="2" t="str">
        <f>"Serviços de Apoio / Global / Auxiliares / Orgão Emissor (M_ORGAO_EMISSOR)"</f>
        <v>Serviços de Apoio / Global / Auxiliares / Orgão Emissor (M_ORGAO_EMISSOR)</v>
      </c>
    </row>
    <row r="4583" spans="1:7" x14ac:dyDescent="0.3">
      <c r="A4583" s="1" t="s">
        <v>4</v>
      </c>
      <c r="B4583" s="2" t="str">
        <f t="shared" si="383"/>
        <v>SISTEMA DE GERENCIAMENTO DAS TABELAS</v>
      </c>
      <c r="C4583" s="2" t="str">
        <f t="shared" si="384"/>
        <v>GLOBAL</v>
      </c>
      <c r="D4583" s="2" t="str">
        <f t="shared" si="384"/>
        <v>GLOBAL</v>
      </c>
      <c r="E4583" s="2" t="str">
        <f>"M_CBOS"</f>
        <v>M_CBOS</v>
      </c>
      <c r="F4583" s="2" t="str">
        <f>"M_CBOS"</f>
        <v>M_CBOS</v>
      </c>
      <c r="G4583" s="2" t="str">
        <f>"Serviços de Apoio / Global / Auxiliares / CBO-S (M_CBOS)"</f>
        <v>Serviços de Apoio / Global / Auxiliares / CBO-S (M_CBOS)</v>
      </c>
    </row>
    <row r="4584" spans="1:7" x14ac:dyDescent="0.3">
      <c r="A4584" s="1" t="s">
        <v>4</v>
      </c>
      <c r="B4584" s="2" t="str">
        <f t="shared" si="383"/>
        <v>SISTEMA DE GERENCIAMENTO DAS TABELAS</v>
      </c>
      <c r="C4584" s="2" t="str">
        <f t="shared" si="384"/>
        <v>GLOBAL</v>
      </c>
      <c r="D4584" s="2" t="str">
        <f t="shared" si="384"/>
        <v>GLOBAL</v>
      </c>
      <c r="E4584" s="2" t="str">
        <f>"Registro de Setor"</f>
        <v>Registro de Setor</v>
      </c>
      <c r="F4584" s="2" t="str">
        <f>"M_REG_SETOR"</f>
        <v>M_REG_SETOR</v>
      </c>
      <c r="G4584" s="2" t="str">
        <f>"Serviços de Apoio / Global / Configurações / Registro de Setor (M_REG_SETOR)"</f>
        <v>Serviços de Apoio / Global / Configurações / Registro de Setor (M_REG_SETOR)</v>
      </c>
    </row>
    <row r="4585" spans="1:7" x14ac:dyDescent="0.3">
      <c r="A4585" s="1" t="s">
        <v>4</v>
      </c>
      <c r="B4585" s="2" t="str">
        <f t="shared" si="383"/>
        <v>SISTEMA DE GERENCIAMENTO DAS TABELAS</v>
      </c>
      <c r="C4585" s="2" t="str">
        <f t="shared" si="384"/>
        <v>GLOBAL</v>
      </c>
      <c r="D4585" s="2" t="str">
        <f t="shared" si="384"/>
        <v>GLOBAL</v>
      </c>
      <c r="E4585" s="2" t="str">
        <f>"RELATÓRIO DE VIAS DE ADMINISTRAÇÃO"</f>
        <v>RELATÓRIO DE VIAS DE ADMINISTRAÇÃO</v>
      </c>
      <c r="F4585" s="2" t="str">
        <f>"VIA_ADMINISTRACAO"</f>
        <v>VIA_ADMINISTRACAO</v>
      </c>
      <c r="G4585" s="2" t="str">
        <f>" ()"</f>
        <v xml:space="preserve"> ()</v>
      </c>
    </row>
    <row r="4586" spans="1:7" x14ac:dyDescent="0.3">
      <c r="A4586" s="1" t="s">
        <v>4</v>
      </c>
      <c r="B4586" s="2" t="str">
        <f t="shared" si="383"/>
        <v>SISTEMA DE GERENCIAMENTO DAS TABELAS</v>
      </c>
      <c r="C4586" s="2" t="str">
        <f t="shared" si="384"/>
        <v>GLOBAL</v>
      </c>
      <c r="D4586" s="2" t="str">
        <f t="shared" si="384"/>
        <v>GLOBAL</v>
      </c>
      <c r="E4586" s="2" t="str">
        <f>"RELATÓRIO DE TIPOS DE PENDÊNCIAS"</f>
        <v>RELATÓRIO DE TIPOS DE PENDÊNCIAS</v>
      </c>
      <c r="F4586" s="2" t="str">
        <f>"R_TIPO_PENDENCIA"</f>
        <v>R_TIPO_PENDENCIA</v>
      </c>
      <c r="G4586" s="2" t="str">
        <f>"MVSaude / Vendas / Internação / Relatórios / Tabelas / Tipos de Pendência (R_TIPO_PENDENCIA)"</f>
        <v>MVSaude / Vendas / Internação / Relatórios / Tabelas / Tipos de Pendência (R_TIPO_PENDENCIA)</v>
      </c>
    </row>
    <row r="4587" spans="1:7" x14ac:dyDescent="0.3">
      <c r="A4587" s="1" t="s">
        <v>4</v>
      </c>
      <c r="B4587" s="2" t="str">
        <f t="shared" si="383"/>
        <v>SISTEMA DE GERENCIAMENTO DAS TABELAS</v>
      </c>
      <c r="C4587" s="2" t="str">
        <f t="shared" si="384"/>
        <v>GLOBAL</v>
      </c>
      <c r="D4587" s="2" t="str">
        <f t="shared" si="384"/>
        <v>GLOBAL</v>
      </c>
      <c r="E4587" s="2" t="str">
        <f>"RELATÓRIO DE TIPOS DE PENDÊNCIAS"</f>
        <v>RELATÓRIO DE TIPOS DE PENDÊNCIAS</v>
      </c>
      <c r="F4587" s="2" t="str">
        <f>"R_TIPO_PENDENCIA"</f>
        <v>R_TIPO_PENDENCIA</v>
      </c>
      <c r="G4587" s="2" t="str">
        <f>"Atendimento / Internação / Relatórios / Tabelas / Tipos de Pendência (R_TIPO_PENDENCIA)"</f>
        <v>Atendimento / Internação / Relatórios / Tabelas / Tipos de Pendência (R_TIPO_PENDENCIA)</v>
      </c>
    </row>
    <row r="4588" spans="1:7" x14ac:dyDescent="0.3">
      <c r="A4588" s="1" t="s">
        <v>4</v>
      </c>
      <c r="B4588" s="2" t="str">
        <f t="shared" si="383"/>
        <v>SISTEMA DE GERENCIAMENTO DAS TABELAS</v>
      </c>
      <c r="C4588" s="2" t="str">
        <f t="shared" si="384"/>
        <v>GLOBAL</v>
      </c>
      <c r="D4588" s="2" t="str">
        <f t="shared" si="384"/>
        <v>GLOBAL</v>
      </c>
      <c r="E4588" s="2" t="str">
        <f>"RELATÓRIO DE TIPOS DE PENDÊNCIAS"</f>
        <v>RELATÓRIO DE TIPOS DE PENDÊNCIAS</v>
      </c>
      <c r="F4588" s="2" t="str">
        <f>"R_TIPO_PENDENCIA"</f>
        <v>R_TIPO_PENDENCIA</v>
      </c>
      <c r="G4588" s="2" t="str">
        <f>"Serviços de Apoio / Global / Relatórios / Auxiliares / Tipos de Pendência (R_TIPO_PENDENCIA)"</f>
        <v>Serviços de Apoio / Global / Relatórios / Auxiliares / Tipos de Pendência (R_TIPO_PENDENCIA)</v>
      </c>
    </row>
    <row r="4589" spans="1:7" x14ac:dyDescent="0.3">
      <c r="A4589" s="1" t="s">
        <v>4</v>
      </c>
      <c r="B4589" s="2" t="str">
        <f t="shared" si="383"/>
        <v>SISTEMA DE GERENCIAMENTO DAS TABELAS</v>
      </c>
      <c r="C4589" s="2" t="str">
        <f t="shared" si="384"/>
        <v>GLOBAL</v>
      </c>
      <c r="D4589" s="2" t="str">
        <f t="shared" si="384"/>
        <v>GLOBAL</v>
      </c>
      <c r="E4589" s="2" t="str">
        <f>"RELATÓRIO DE TIPOS DE PENDÊNCIAS"</f>
        <v>RELATÓRIO DE TIPOS DE PENDÊNCIAS</v>
      </c>
      <c r="F4589" s="2" t="str">
        <f>"R_TIPO_PENDENCIA"</f>
        <v>R_TIPO_PENDENCIA</v>
      </c>
      <c r="G4589" s="2" t="str">
        <f>"MVSaude / Atendimento / Autorizações de Guias / Internação / Relatórios / Tabelas / Tipos de Pendência (R_TIPO_PENDENCIA)"</f>
        <v>MVSaude / Atendimento / Autorizações de Guias / Internação / Relatórios / Tabelas / Tipos de Pendência (R_TIPO_PENDENCIA)</v>
      </c>
    </row>
    <row r="4590" spans="1:7" x14ac:dyDescent="0.3">
      <c r="A4590" s="1" t="s">
        <v>17</v>
      </c>
      <c r="B4590" s="2" t="str">
        <f t="shared" si="383"/>
        <v>SISTEMA DE GERENCIAMENTO DAS TABELAS</v>
      </c>
      <c r="C4590" s="2" t="str">
        <f t="shared" si="384"/>
        <v>GLOBAL</v>
      </c>
      <c r="D4590" s="2" t="str">
        <f t="shared" si="384"/>
        <v>GLOBAL</v>
      </c>
      <c r="E4590" s="2" t="str">
        <f>"M_CONFIG_ASSINATURA_DIGIT_USU"</f>
        <v>M_CONFIG_ASSINATURA_DIGIT_USU</v>
      </c>
      <c r="F4590" s="2" t="str">
        <f>"M_CONFIG_ASSINATURA_DIGIT_USU"</f>
        <v>M_CONFIG_ASSINATURA_DIGIT_USU</v>
      </c>
      <c r="G4590" s="2" t="str">
        <f>" ()"</f>
        <v xml:space="preserve"> ()</v>
      </c>
    </row>
    <row r="4591" spans="1:7" x14ac:dyDescent="0.3">
      <c r="A4591" s="1" t="s">
        <v>17</v>
      </c>
      <c r="B4591" s="2" t="str">
        <f t="shared" si="383"/>
        <v>SISTEMA DE GERENCIAMENTO DAS TABELAS</v>
      </c>
      <c r="C4591" s="2" t="str">
        <f t="shared" ref="C4591:D4610" si="385">"GLOBAL"</f>
        <v>GLOBAL</v>
      </c>
      <c r="D4591" s="2" t="str">
        <f t="shared" si="385"/>
        <v>GLOBAL</v>
      </c>
      <c r="E4591" s="2" t="str">
        <f>"M_CONFIG_ASSINATURA_DIGIT_EMP"</f>
        <v>M_CONFIG_ASSINATURA_DIGIT_EMP</v>
      </c>
      <c r="F4591" s="2" t="str">
        <f>"M_CONFIG_ASSINATURA_DIGIT_EMP"</f>
        <v>M_CONFIG_ASSINATURA_DIGIT_EMP</v>
      </c>
      <c r="G4591" s="2" t="str">
        <f>" ()"</f>
        <v xml:space="preserve"> ()</v>
      </c>
    </row>
    <row r="4592" spans="1:7" x14ac:dyDescent="0.3">
      <c r="A4592" s="1" t="s">
        <v>4</v>
      </c>
      <c r="B4592" s="2" t="str">
        <f t="shared" si="383"/>
        <v>SISTEMA DE GERENCIAMENTO DAS TABELAS</v>
      </c>
      <c r="C4592" s="2" t="str">
        <f t="shared" si="385"/>
        <v>GLOBAL</v>
      </c>
      <c r="D4592" s="2" t="str">
        <f t="shared" si="385"/>
        <v>GLOBAL</v>
      </c>
      <c r="E4592" s="2" t="str">
        <f>"CONFIGURAÇÃO AGENTES REMOTOS IMPRESSÃO"</f>
        <v>CONFIGURAÇÃO AGENTES REMOTOS IMPRESSÃO</v>
      </c>
      <c r="F4592" s="2" t="str">
        <f>"CONFIG_AGENT"</f>
        <v>CONFIG_AGENT</v>
      </c>
      <c r="G4592" s="2" t="str">
        <f>"Serviços de Apoio / Global / Configurações / Configuração de agentes remotos de impressão (CONFIG_AGENT)"</f>
        <v>Serviços de Apoio / Global / Configurações / Configuração de agentes remotos de impressão (CONFIG_AGENT)</v>
      </c>
    </row>
    <row r="4593" spans="1:7" x14ac:dyDescent="0.3">
      <c r="A4593" s="1" t="s">
        <v>4</v>
      </c>
      <c r="B4593" s="2" t="str">
        <f t="shared" si="383"/>
        <v>SISTEMA DE GERENCIAMENTO DAS TABELAS</v>
      </c>
      <c r="C4593" s="2" t="str">
        <f t="shared" si="385"/>
        <v>GLOBAL</v>
      </c>
      <c r="D4593" s="2" t="str">
        <f t="shared" si="385"/>
        <v>GLOBAL</v>
      </c>
      <c r="E4593" s="2" t="str">
        <f>"CATÁLOGOS MEXICO"</f>
        <v>CATÁLOGOS MEXICO</v>
      </c>
      <c r="F4593" s="2" t="str">
        <f>"M_CATALOGO_MX"</f>
        <v>M_CATALOGO_MX</v>
      </c>
      <c r="G4593" s="2" t="str">
        <f>"Serviços de Apoio / Global / Auxiliares / Catálogos do México (M_CATALOGO_MX)"</f>
        <v>Serviços de Apoio / Global / Auxiliares / Catálogos do México (M_CATALOGO_MX)</v>
      </c>
    </row>
    <row r="4594" spans="1:7" x14ac:dyDescent="0.3">
      <c r="A4594" s="1" t="s">
        <v>4</v>
      </c>
      <c r="B4594" s="2" t="str">
        <f t="shared" si="383"/>
        <v>SISTEMA DE GERENCIAMENTO DAS TABELAS</v>
      </c>
      <c r="C4594" s="2" t="str">
        <f t="shared" si="385"/>
        <v>GLOBAL</v>
      </c>
      <c r="D4594" s="2" t="str">
        <f t="shared" si="385"/>
        <v>GLOBAL</v>
      </c>
      <c r="E4594" s="2" t="str">
        <f>"CADASTRO DE FERIADOS "</f>
        <v xml:space="preserve">CADASTRO DE FERIADOS </v>
      </c>
      <c r="F4594" s="2" t="str">
        <f>"M_FERIADOS"</f>
        <v>M_FERIADOS</v>
      </c>
      <c r="G4594" s="2" t="str">
        <f>"Serviços de Apoio / Global / Auxiliares / Feriados (M_FERIADOS)"</f>
        <v>Serviços de Apoio / Global / Auxiliares / Feriados (M_FERIADOS)</v>
      </c>
    </row>
    <row r="4595" spans="1:7" x14ac:dyDescent="0.3">
      <c r="A4595" s="1" t="s">
        <v>4</v>
      </c>
      <c r="B4595" s="2" t="str">
        <f t="shared" si="383"/>
        <v>SISTEMA DE GERENCIAMENTO DAS TABELAS</v>
      </c>
      <c r="C4595" s="2" t="str">
        <f t="shared" si="385"/>
        <v>GLOBAL</v>
      </c>
      <c r="D4595" s="2" t="str">
        <f t="shared" si="385"/>
        <v>GLOBAL</v>
      </c>
      <c r="E4595" s="2" t="str">
        <f>"CONSULTA DE CEPS"</f>
        <v>CONSULTA DE CEPS</v>
      </c>
      <c r="F4595" s="2" t="str">
        <f>"C_CONSULTA_CEP_ECT"</f>
        <v>C_CONSULTA_CEP_ECT</v>
      </c>
      <c r="G4595" s="2" t="str">
        <f>" ()"</f>
        <v xml:space="preserve"> ()</v>
      </c>
    </row>
    <row r="4596" spans="1:7" x14ac:dyDescent="0.3">
      <c r="A4596" s="1" t="s">
        <v>4</v>
      </c>
      <c r="B4596" s="2" t="str">
        <f t="shared" si="383"/>
        <v>SISTEMA DE GERENCIAMENTO DAS TABELAS</v>
      </c>
      <c r="C4596" s="2" t="str">
        <f t="shared" si="385"/>
        <v>GLOBAL</v>
      </c>
      <c r="D4596" s="2" t="str">
        <f t="shared" si="385"/>
        <v>GLOBAL</v>
      </c>
      <c r="E4596" s="2" t="str">
        <f>"IMPORTAÇÃO DO TIPO DE LOGRADOURO"</f>
        <v>IMPORTAÇÃO DO TIPO DE LOGRADOURO</v>
      </c>
      <c r="F4596" s="2" t="str">
        <f>"O_IMPORTA_TIPO_LOGRADOURO"</f>
        <v>O_IMPORTA_TIPO_LOGRADOURO</v>
      </c>
      <c r="G4596" s="2" t="str">
        <f>"Serviços de Apoio / Global / Integração / Importação do Tipo de Logradouro (O_IMPORTA_TIPO_LOGRADOURO)"</f>
        <v>Serviços de Apoio / Global / Integração / Importação do Tipo de Logradouro (O_IMPORTA_TIPO_LOGRADOURO)</v>
      </c>
    </row>
    <row r="4597" spans="1:7" x14ac:dyDescent="0.3">
      <c r="A4597" s="1" t="s">
        <v>4</v>
      </c>
      <c r="B4597" s="2" t="str">
        <f t="shared" si="383"/>
        <v>SISTEMA DE GERENCIAMENTO DAS TABELAS</v>
      </c>
      <c r="C4597" s="2" t="str">
        <f t="shared" si="385"/>
        <v>GLOBAL</v>
      </c>
      <c r="D4597" s="2" t="str">
        <f t="shared" si="385"/>
        <v>GLOBAL</v>
      </c>
      <c r="E4597" s="2" t="str">
        <f>"RELATORIO DE PROFISSÕES"</f>
        <v>RELATORIO DE PROFISSÕES</v>
      </c>
      <c r="F4597" s="2" t="str">
        <f>"R_PROFISSAO"</f>
        <v>R_PROFISSAO</v>
      </c>
      <c r="G4597" s="2" t="str">
        <f>"Serviços de Apoio / Global / Relatórios / Auxiliares / Profissões (R_PROFISSAO)"</f>
        <v>Serviços de Apoio / Global / Relatórios / Auxiliares / Profissões (R_PROFISSAO)</v>
      </c>
    </row>
    <row r="4598" spans="1:7" x14ac:dyDescent="0.3">
      <c r="A4598" s="1" t="s">
        <v>4</v>
      </c>
      <c r="B4598" s="2" t="str">
        <f t="shared" si="383"/>
        <v>SISTEMA DE GERENCIAMENTO DAS TABELAS</v>
      </c>
      <c r="C4598" s="2" t="str">
        <f t="shared" si="385"/>
        <v>GLOBAL</v>
      </c>
      <c r="D4598" s="2" t="str">
        <f t="shared" si="385"/>
        <v>GLOBAL</v>
      </c>
      <c r="E4598" s="2" t="str">
        <f>"WIN_PRINCIPAL"</f>
        <v>WIN_PRINCIPAL</v>
      </c>
      <c r="F4598" s="2" t="str">
        <f>"O_IMPORTA_DADOS"</f>
        <v>O_IMPORTA_DADOS</v>
      </c>
      <c r="G4598" s="2" t="str">
        <f>" ()"</f>
        <v xml:space="preserve"> ()</v>
      </c>
    </row>
    <row r="4599" spans="1:7" x14ac:dyDescent="0.3">
      <c r="A4599" s="1" t="s">
        <v>4</v>
      </c>
      <c r="B4599" s="2" t="str">
        <f t="shared" si="383"/>
        <v>SISTEMA DE GERENCIAMENTO DAS TABELAS</v>
      </c>
      <c r="C4599" s="2" t="str">
        <f t="shared" si="385"/>
        <v>GLOBAL</v>
      </c>
      <c r="D4599" s="2" t="str">
        <f t="shared" si="385"/>
        <v>GLOBAL</v>
      </c>
      <c r="E4599" s="2" t="str">
        <f>"CONSULTA DE CEP"</f>
        <v>CONSULTA DE CEP</v>
      </c>
      <c r="F4599" s="2" t="str">
        <f>"C_CEP"</f>
        <v>C_CEP</v>
      </c>
      <c r="G4599" s="2" t="str">
        <f>"Serviços de Apoio / Global / Consultas / Cep (C_CEP)"</f>
        <v>Serviços de Apoio / Global / Consultas / Cep (C_CEP)</v>
      </c>
    </row>
    <row r="4600" spans="1:7" x14ac:dyDescent="0.3">
      <c r="A4600" s="1" t="s">
        <v>4</v>
      </c>
      <c r="B4600" s="2" t="str">
        <f t="shared" si="383"/>
        <v>SISTEMA DE GERENCIAMENTO DAS TABELAS</v>
      </c>
      <c r="C4600" s="2" t="str">
        <f t="shared" si="385"/>
        <v>GLOBAL</v>
      </c>
      <c r="D4600" s="2" t="str">
        <f t="shared" si="385"/>
        <v>GLOBAL</v>
      </c>
      <c r="E4600" s="2" t="str">
        <f>"Tela de testes rochedo"</f>
        <v>Tela de testes rochedo</v>
      </c>
      <c r="F4600" s="2" t="str">
        <f>"ROCHEDO"</f>
        <v>ROCHEDO</v>
      </c>
      <c r="G4600" s="2" t="str">
        <f>" ()"</f>
        <v xml:space="preserve"> ()</v>
      </c>
    </row>
    <row r="4601" spans="1:7" x14ac:dyDescent="0.3">
      <c r="A4601" s="1" t="s">
        <v>4</v>
      </c>
      <c r="B4601" s="2" t="str">
        <f t="shared" si="383"/>
        <v>SISTEMA DE GERENCIAMENTO DAS TABELAS</v>
      </c>
      <c r="C4601" s="2" t="str">
        <f t="shared" si="385"/>
        <v>GLOBAL</v>
      </c>
      <c r="D4601" s="2" t="str">
        <f t="shared" si="385"/>
        <v>GLOBAL</v>
      </c>
      <c r="E4601" s="2" t="str">
        <f>"MAPA CUSTO PRIMARIO P/ GRUPO"</f>
        <v>MAPA CUSTO PRIMARIO P/ GRUPO</v>
      </c>
      <c r="F4601" s="2" t="str">
        <f>" R_MAPA_CUS_PRI_GRU"</f>
        <v xml:space="preserve"> R_MAPA_CUS_PRI_GRU</v>
      </c>
      <c r="G4601" s="2" t="str">
        <f>" ()"</f>
        <v xml:space="preserve"> ()</v>
      </c>
    </row>
    <row r="4602" spans="1:7" x14ac:dyDescent="0.3">
      <c r="A4602" s="1" t="s">
        <v>4</v>
      </c>
      <c r="B4602" s="2" t="str">
        <f t="shared" si="383"/>
        <v>SISTEMA DE GERENCIAMENTO DAS TABELAS</v>
      </c>
      <c r="C4602" s="2" t="str">
        <f t="shared" si="385"/>
        <v>GLOBAL</v>
      </c>
      <c r="D4602" s="2" t="str">
        <f t="shared" si="385"/>
        <v>GLOBAL</v>
      </c>
      <c r="E4602" s="2" t="str">
        <f>"CONFIGURAÇÃO DAS TELAS DE ATENDIMENTO"</f>
        <v>CONFIGURAÇÃO DAS TELAS DE ATENDIMENTO</v>
      </c>
      <c r="F4602" s="2" t="str">
        <f>"M_CONF_ATEND"</f>
        <v>M_CONF_ATEND</v>
      </c>
      <c r="G4602" s="2" t="str">
        <f>"Serviços de Apoio / Global / Configurações / Telas de Atendimento (M_CONF_ATEND)"</f>
        <v>Serviços de Apoio / Global / Configurações / Telas de Atendimento (M_CONF_ATEND)</v>
      </c>
    </row>
    <row r="4603" spans="1:7" x14ac:dyDescent="0.3">
      <c r="A4603" s="1" t="s">
        <v>4</v>
      </c>
      <c r="B4603" s="2" t="str">
        <f t="shared" si="383"/>
        <v>SISTEMA DE GERENCIAMENTO DAS TABELAS</v>
      </c>
      <c r="C4603" s="2" t="str">
        <f t="shared" si="385"/>
        <v>GLOBAL</v>
      </c>
      <c r="D4603" s="2" t="str">
        <f t="shared" si="385"/>
        <v>GLOBAL</v>
      </c>
      <c r="E4603" s="2" t="str">
        <f>"M__EMPRESAS"</f>
        <v>M__EMPRESAS</v>
      </c>
      <c r="F4603" s="2" t="str">
        <f>"M__EMPRESAS"</f>
        <v>M__EMPRESAS</v>
      </c>
      <c r="G4603" s="2" t="str">
        <f>" ()"</f>
        <v xml:space="preserve"> ()</v>
      </c>
    </row>
    <row r="4604" spans="1:7" x14ac:dyDescent="0.3">
      <c r="A4604" s="1" t="s">
        <v>4</v>
      </c>
      <c r="B4604" s="2" t="str">
        <f t="shared" si="383"/>
        <v>SISTEMA DE GERENCIAMENTO DAS TABELAS</v>
      </c>
      <c r="C4604" s="2" t="str">
        <f t="shared" si="385"/>
        <v>GLOBAL</v>
      </c>
      <c r="D4604" s="2" t="str">
        <f t="shared" si="385"/>
        <v>GLOBAL</v>
      </c>
      <c r="E4604" s="2" t="str">
        <f>"RELATÓRIO DE PRODUTOS"</f>
        <v>RELATÓRIO DE PRODUTOS</v>
      </c>
      <c r="F4604" s="2" t="str">
        <f>"R_PRODUTO_ANALISE"</f>
        <v>R_PRODUTO_ANALISE</v>
      </c>
      <c r="G4604" s="2" t="str">
        <f>" ()"</f>
        <v xml:space="preserve"> ()</v>
      </c>
    </row>
    <row r="4605" spans="1:7" x14ac:dyDescent="0.3">
      <c r="A4605" s="1" t="s">
        <v>4</v>
      </c>
      <c r="B4605" s="2" t="str">
        <f t="shared" si="383"/>
        <v>SISTEMA DE GERENCIAMENTO DAS TABELAS</v>
      </c>
      <c r="C4605" s="2" t="str">
        <f t="shared" si="385"/>
        <v>GLOBAL</v>
      </c>
      <c r="D4605" s="2" t="str">
        <f t="shared" si="385"/>
        <v>GLOBAL</v>
      </c>
      <c r="E4605" s="2" t="str">
        <f>"RELATORIOS DE LOCAIS DE TRANSFERENCIAS"</f>
        <v>RELATORIOS DE LOCAIS DE TRANSFERENCIAS</v>
      </c>
      <c r="F4605" s="2" t="str">
        <f>"R_LOCTRA"</f>
        <v>R_LOCTRA</v>
      </c>
      <c r="G4605" s="2" t="str">
        <f>"MVSaude / Vendas / Internação / Relatórios / Tabelas / Locais de Transferência (R_LOCTRA)"</f>
        <v>MVSaude / Vendas / Internação / Relatórios / Tabelas / Locais de Transferência (R_LOCTRA)</v>
      </c>
    </row>
    <row r="4606" spans="1:7" x14ac:dyDescent="0.3">
      <c r="A4606" s="1" t="s">
        <v>4</v>
      </c>
      <c r="B4606" s="2" t="str">
        <f t="shared" si="383"/>
        <v>SISTEMA DE GERENCIAMENTO DAS TABELAS</v>
      </c>
      <c r="C4606" s="2" t="str">
        <f t="shared" si="385"/>
        <v>GLOBAL</v>
      </c>
      <c r="D4606" s="2" t="str">
        <f t="shared" si="385"/>
        <v>GLOBAL</v>
      </c>
      <c r="E4606" s="2" t="str">
        <f>"RELATORIOS DE LOCAIS DE TRANSFERENCIAS"</f>
        <v>RELATORIOS DE LOCAIS DE TRANSFERENCIAS</v>
      </c>
      <c r="F4606" s="2" t="str">
        <f>"R_LOCTRA"</f>
        <v>R_LOCTRA</v>
      </c>
      <c r="G4606" s="2" t="str">
        <f>"MVSaude / Atendimento / Autorizações de Guias / Internação / Relatórios / Tabelas / Locais de Transferência (R_LOCTRA)"</f>
        <v>MVSaude / Atendimento / Autorizações de Guias / Internação / Relatórios / Tabelas / Locais de Transferência (R_LOCTRA)</v>
      </c>
    </row>
    <row r="4607" spans="1:7" x14ac:dyDescent="0.3">
      <c r="A4607" s="1" t="s">
        <v>4</v>
      </c>
      <c r="B4607" s="2" t="str">
        <f t="shared" si="383"/>
        <v>SISTEMA DE GERENCIAMENTO DAS TABELAS</v>
      </c>
      <c r="C4607" s="2" t="str">
        <f t="shared" si="385"/>
        <v>GLOBAL</v>
      </c>
      <c r="D4607" s="2" t="str">
        <f t="shared" si="385"/>
        <v>GLOBAL</v>
      </c>
      <c r="E4607" s="2" t="str">
        <f>"RELATORIOS DE LOCAIS DE TRANSFERENCIAS"</f>
        <v>RELATORIOS DE LOCAIS DE TRANSFERENCIAS</v>
      </c>
      <c r="F4607" s="2" t="str">
        <f>"R_LOCTRA"</f>
        <v>R_LOCTRA</v>
      </c>
      <c r="G4607" s="2" t="str">
        <f>"Serviços de Apoio / Diretoria Clinica / Relatórios / Tabelas / Instituições (R_LOCTRA)"</f>
        <v>Serviços de Apoio / Diretoria Clinica / Relatórios / Tabelas / Instituições (R_LOCTRA)</v>
      </c>
    </row>
    <row r="4608" spans="1:7" x14ac:dyDescent="0.3">
      <c r="A4608" s="1" t="s">
        <v>4</v>
      </c>
      <c r="B4608" s="2" t="str">
        <f t="shared" si="383"/>
        <v>SISTEMA DE GERENCIAMENTO DAS TABELAS</v>
      </c>
      <c r="C4608" s="2" t="str">
        <f t="shared" si="385"/>
        <v>GLOBAL</v>
      </c>
      <c r="D4608" s="2" t="str">
        <f t="shared" si="385"/>
        <v>GLOBAL</v>
      </c>
      <c r="E4608" s="2" t="str">
        <f>"RELATORIOS DE LOCAIS DE TRANSFERENCIAS"</f>
        <v>RELATORIOS DE LOCAIS DE TRANSFERENCIAS</v>
      </c>
      <c r="F4608" s="2" t="str">
        <f>"R_LOCTRA"</f>
        <v>R_LOCTRA</v>
      </c>
      <c r="G4608" s="2" t="str">
        <f>"Atendimento / Internação Domiciliar (Home Care) / Relatórios / Tabelas / Locais de Transferência (R_LOCTRA)"</f>
        <v>Atendimento / Internação Domiciliar (Home Care) / Relatórios / Tabelas / Locais de Transferência (R_LOCTRA)</v>
      </c>
    </row>
    <row r="4609" spans="1:7" x14ac:dyDescent="0.3">
      <c r="A4609" s="1" t="s">
        <v>4</v>
      </c>
      <c r="B4609" s="2" t="str">
        <f t="shared" si="383"/>
        <v>SISTEMA DE GERENCIAMENTO DAS TABELAS</v>
      </c>
      <c r="C4609" s="2" t="str">
        <f t="shared" si="385"/>
        <v>GLOBAL</v>
      </c>
      <c r="D4609" s="2" t="str">
        <f t="shared" si="385"/>
        <v>GLOBAL</v>
      </c>
      <c r="E4609" s="2" t="str">
        <f>"RELATORIOS DE LOCAIS DE TRANSFERENCIAS"</f>
        <v>RELATORIOS DE LOCAIS DE TRANSFERENCIAS</v>
      </c>
      <c r="F4609" s="2" t="str">
        <f>"R_LOCTRA"</f>
        <v>R_LOCTRA</v>
      </c>
      <c r="G4609" s="2" t="str">
        <f>"Atendimento / Internação / Relatórios / Tabelas / Locais de Transferência (R_LOCTRA)"</f>
        <v>Atendimento / Internação / Relatórios / Tabelas / Locais de Transferência (R_LOCTRA)</v>
      </c>
    </row>
    <row r="4610" spans="1:7" x14ac:dyDescent="0.3">
      <c r="A4610" s="1" t="s">
        <v>4</v>
      </c>
      <c r="B4610" s="2" t="str">
        <f t="shared" si="383"/>
        <v>SISTEMA DE GERENCIAMENTO DAS TABELAS</v>
      </c>
      <c r="C4610" s="2" t="str">
        <f t="shared" si="385"/>
        <v>GLOBAL</v>
      </c>
      <c r="D4610" s="2" t="str">
        <f t="shared" si="385"/>
        <v>GLOBAL</v>
      </c>
      <c r="E4610" s="2" t="str">
        <f>"Meios de Transporte"</f>
        <v>Meios de Transporte</v>
      </c>
      <c r="F4610" s="2" t="str">
        <f>"M_MEIO_TRANSPORTE"</f>
        <v>M_MEIO_TRANSPORTE</v>
      </c>
      <c r="G4610" s="2" t="str">
        <f>"Serviços de Apoio / Global / Auxiliares / Meios de Transporte (M_MEIO_TRANSPORTE)"</f>
        <v>Serviços de Apoio / Global / Auxiliares / Meios de Transporte (M_MEIO_TRANSPORTE)</v>
      </c>
    </row>
    <row r="4611" spans="1:7" x14ac:dyDescent="0.3">
      <c r="A4611" s="1" t="s">
        <v>4</v>
      </c>
      <c r="B4611" s="2" t="str">
        <f t="shared" si="383"/>
        <v>SISTEMA DE GERENCIAMENTO DAS TABELAS</v>
      </c>
      <c r="C4611" s="2" t="str">
        <f t="shared" ref="C4611:D4630" si="386">"GLOBAL"</f>
        <v>GLOBAL</v>
      </c>
      <c r="D4611" s="2" t="str">
        <f t="shared" si="386"/>
        <v>GLOBAL</v>
      </c>
      <c r="E4611" s="2" t="str">
        <f>"CADASTRO DE CUSTO"</f>
        <v>CADASTRO DE CUSTO</v>
      </c>
      <c r="F4611" s="2" t="str">
        <f>"M_GRUPO_CUSTO_GLOBAL"</f>
        <v>M_GRUPO_CUSTO_GLOBAL</v>
      </c>
      <c r="G4611" s="2" t="str">
        <f>"Serviços de Apoio / Global / Globais / Grupo de Custo (M_GRUPO_CUSTO_GLOBAL)"</f>
        <v>Serviços de Apoio / Global / Globais / Grupo de Custo (M_GRUPO_CUSTO_GLOBAL)</v>
      </c>
    </row>
    <row r="4612" spans="1:7" x14ac:dyDescent="0.3">
      <c r="A4612" s="1" t="s">
        <v>17</v>
      </c>
      <c r="B4612" s="2" t="str">
        <f t="shared" si="383"/>
        <v>SISTEMA DE GERENCIAMENTO DAS TABELAS</v>
      </c>
      <c r="C4612" s="2" t="str">
        <f t="shared" si="386"/>
        <v>GLOBAL</v>
      </c>
      <c r="D4612" s="2" t="str">
        <f t="shared" si="386"/>
        <v>GLOBAL</v>
      </c>
      <c r="E4612" s="2" t="str">
        <f>"MÁQUINA X SETOR"</f>
        <v>MÁQUINA X SETOR</v>
      </c>
      <c r="F4612" s="2" t="str">
        <f>"M_CAD_MAQUINA_SETOR"</f>
        <v>M_CAD_MAQUINA_SETOR</v>
      </c>
      <c r="G4612" s="2" t="str">
        <f>" ()"</f>
        <v xml:space="preserve"> ()</v>
      </c>
    </row>
    <row r="4613" spans="1:7" x14ac:dyDescent="0.3">
      <c r="A4613" s="1" t="s">
        <v>4</v>
      </c>
      <c r="B4613" s="2" t="str">
        <f t="shared" si="383"/>
        <v>SISTEMA DE GERENCIAMENTO DAS TABELAS</v>
      </c>
      <c r="C4613" s="2" t="str">
        <f t="shared" si="386"/>
        <v>GLOBAL</v>
      </c>
      <c r="D4613" s="2" t="str">
        <f t="shared" si="386"/>
        <v>GLOBAL</v>
      </c>
      <c r="E4613" s="2" t="str">
        <f>"PERSONALIZADOS DO GLOBAL"</f>
        <v>PERSONALIZADOS DO GLOBAL</v>
      </c>
      <c r="F4613" s="2" t="str">
        <f>"R_PERSON_GLOBAL"</f>
        <v>R_PERSON_GLOBAL</v>
      </c>
      <c r="G4613" s="2" t="str">
        <f>"Serviços de Apoio / Global / Relatórios / Personalizados (R_PERSON_GLOBAL)"</f>
        <v>Serviços de Apoio / Global / Relatórios / Personalizados (R_PERSON_GLOBAL)</v>
      </c>
    </row>
    <row r="4614" spans="1:7" x14ac:dyDescent="0.3">
      <c r="A4614" s="1" t="s">
        <v>4</v>
      </c>
      <c r="B4614" s="2" t="str">
        <f t="shared" si="383"/>
        <v>SISTEMA DE GERENCIAMENTO DAS TABELAS</v>
      </c>
      <c r="C4614" s="2" t="str">
        <f t="shared" si="386"/>
        <v>GLOBAL</v>
      </c>
      <c r="D4614" s="2" t="str">
        <f t="shared" si="386"/>
        <v>GLOBAL</v>
      </c>
      <c r="E4614" s="2" t="str">
        <f>"R_SETEXA_TEMP"</f>
        <v>R_SETEXA_TEMP</v>
      </c>
      <c r="F4614" s="2" t="str">
        <f>"R_SETEXA_TEMP"</f>
        <v>R_SETEXA_TEMP</v>
      </c>
      <c r="G4614" s="2" t="str">
        <f t="shared" ref="G4614:G4623" si="387">" ()"</f>
        <v xml:space="preserve"> ()</v>
      </c>
    </row>
    <row r="4615" spans="1:7" x14ac:dyDescent="0.3">
      <c r="A4615" s="1" t="s">
        <v>4</v>
      </c>
      <c r="B4615" s="2" t="str">
        <f t="shared" si="383"/>
        <v>SISTEMA DE GERENCIAMENTO DAS TABELAS</v>
      </c>
      <c r="C4615" s="2" t="str">
        <f t="shared" si="386"/>
        <v>GLOBAL</v>
      </c>
      <c r="D4615" s="2" t="str">
        <f t="shared" si="386"/>
        <v>GLOBAL</v>
      </c>
      <c r="E4615" s="2" t="str">
        <f>"R_SETEXA1"</f>
        <v>R_SETEXA1</v>
      </c>
      <c r="F4615" s="2" t="str">
        <f>"R_SETEXA1"</f>
        <v>R_SETEXA1</v>
      </c>
      <c r="G4615" s="2" t="str">
        <f t="shared" si="387"/>
        <v xml:space="preserve"> ()</v>
      </c>
    </row>
    <row r="4616" spans="1:7" x14ac:dyDescent="0.3">
      <c r="A4616" s="1" t="s">
        <v>4</v>
      </c>
      <c r="B4616" s="2" t="str">
        <f t="shared" si="383"/>
        <v>SISTEMA DE GERENCIAMENTO DAS TABELAS</v>
      </c>
      <c r="C4616" s="2" t="str">
        <f t="shared" si="386"/>
        <v>GLOBAL</v>
      </c>
      <c r="D4616" s="2" t="str">
        <f t="shared" si="386"/>
        <v>GLOBAL</v>
      </c>
      <c r="E4616" s="2" t="str">
        <f>"R_PARARENTESCO"</f>
        <v>R_PARARENTESCO</v>
      </c>
      <c r="F4616" s="2" t="str">
        <f>"R_PARARENTESCO"</f>
        <v>R_PARARENTESCO</v>
      </c>
      <c r="G4616" s="2" t="str">
        <f t="shared" si="387"/>
        <v xml:space="preserve"> ()</v>
      </c>
    </row>
    <row r="4617" spans="1:7" x14ac:dyDescent="0.3">
      <c r="A4617" s="1" t="s">
        <v>4</v>
      </c>
      <c r="B4617" s="2" t="str">
        <f t="shared" si="383"/>
        <v>SISTEMA DE GERENCIAMENTO DAS TABELAS</v>
      </c>
      <c r="C4617" s="2" t="str">
        <f t="shared" si="386"/>
        <v>GLOBAL</v>
      </c>
      <c r="D4617" s="2" t="str">
        <f t="shared" si="386"/>
        <v>GLOBAL</v>
      </c>
      <c r="E4617" s="2" t="str">
        <f>"R_NACIONALIDADE"</f>
        <v>R_NACIONALIDADE</v>
      </c>
      <c r="F4617" s="2" t="str">
        <f>"R_NACIONALIDADE"</f>
        <v>R_NACIONALIDADE</v>
      </c>
      <c r="G4617" s="2" t="str">
        <f t="shared" si="387"/>
        <v xml:space="preserve"> ()</v>
      </c>
    </row>
    <row r="4618" spans="1:7" x14ac:dyDescent="0.3">
      <c r="A4618" s="1" t="s">
        <v>4</v>
      </c>
      <c r="B4618" s="2" t="str">
        <f t="shared" si="383"/>
        <v>SISTEMA DE GERENCIAMENTO DAS TABELAS</v>
      </c>
      <c r="C4618" s="2" t="str">
        <f t="shared" si="386"/>
        <v>GLOBAL</v>
      </c>
      <c r="D4618" s="2" t="str">
        <f t="shared" si="386"/>
        <v>GLOBAL</v>
      </c>
      <c r="E4618" s="2" t="str">
        <f>"R_GERADOR_ETIQUETA"</f>
        <v>R_GERADOR_ETIQUETA</v>
      </c>
      <c r="F4618" s="2" t="str">
        <f>"R_GERADOR_ETIQUETA"</f>
        <v>R_GERADOR_ETIQUETA</v>
      </c>
      <c r="G4618" s="2" t="str">
        <f t="shared" si="387"/>
        <v xml:space="preserve"> ()</v>
      </c>
    </row>
    <row r="4619" spans="1:7" x14ac:dyDescent="0.3">
      <c r="A4619" s="1" t="s">
        <v>4</v>
      </c>
      <c r="B4619" s="2" t="str">
        <f t="shared" si="383"/>
        <v>SISTEMA DE GERENCIAMENTO DAS TABELAS</v>
      </c>
      <c r="C4619" s="2" t="str">
        <f t="shared" si="386"/>
        <v>GLOBAL</v>
      </c>
      <c r="D4619" s="2" t="str">
        <f t="shared" si="386"/>
        <v>GLOBAL</v>
      </c>
      <c r="E4619" s="2" t="str">
        <f>"R_CONVENIOS"</f>
        <v>R_CONVENIOS</v>
      </c>
      <c r="F4619" s="2" t="str">
        <f>"R_CONVENIOS"</f>
        <v>R_CONVENIOS</v>
      </c>
      <c r="G4619" s="2" t="str">
        <f t="shared" si="387"/>
        <v xml:space="preserve"> ()</v>
      </c>
    </row>
    <row r="4620" spans="1:7" x14ac:dyDescent="0.3">
      <c r="A4620" s="1" t="s">
        <v>4</v>
      </c>
      <c r="B4620" s="2" t="str">
        <f t="shared" si="383"/>
        <v>SISTEMA DE GERENCIAMENTO DAS TABELAS</v>
      </c>
      <c r="C4620" s="2" t="str">
        <f t="shared" si="386"/>
        <v>GLOBAL</v>
      </c>
      <c r="D4620" s="2" t="str">
        <f t="shared" si="386"/>
        <v>GLOBAL</v>
      </c>
      <c r="E4620" s="2" t="str">
        <f>"O_CRIA_JOB"</f>
        <v>O_CRIA_JOB</v>
      </c>
      <c r="F4620" s="2" t="str">
        <f>"O_CRIA_JOB"</f>
        <v>O_CRIA_JOB</v>
      </c>
      <c r="G4620" s="2" t="str">
        <f t="shared" si="387"/>
        <v xml:space="preserve"> ()</v>
      </c>
    </row>
    <row r="4621" spans="1:7" x14ac:dyDescent="0.3">
      <c r="A4621" s="1" t="s">
        <v>4</v>
      </c>
      <c r="B4621" s="2" t="str">
        <f t="shared" si="383"/>
        <v>SISTEMA DE GERENCIAMENTO DAS TABELAS</v>
      </c>
      <c r="C4621" s="2" t="str">
        <f t="shared" si="386"/>
        <v>GLOBAL</v>
      </c>
      <c r="D4621" s="2" t="str">
        <f t="shared" si="386"/>
        <v>GLOBAL</v>
      </c>
      <c r="E4621" s="2" t="str">
        <f>"M_TIP_RES"</f>
        <v>M_TIP_RES</v>
      </c>
      <c r="F4621" s="2" t="str">
        <f>"M_TIP_RES"</f>
        <v>M_TIP_RES</v>
      </c>
      <c r="G4621" s="2" t="str">
        <f t="shared" si="387"/>
        <v xml:space="preserve"> ()</v>
      </c>
    </row>
    <row r="4622" spans="1:7" x14ac:dyDescent="0.3">
      <c r="A4622" s="1" t="s">
        <v>4</v>
      </c>
      <c r="B4622" s="2" t="str">
        <f t="shared" si="383"/>
        <v>SISTEMA DE GERENCIAMENTO DAS TABELAS</v>
      </c>
      <c r="C4622" s="2" t="str">
        <f t="shared" si="386"/>
        <v>GLOBAL</v>
      </c>
      <c r="D4622" s="2" t="str">
        <f t="shared" si="386"/>
        <v>GLOBAL</v>
      </c>
      <c r="E4622" s="2" t="str">
        <f>"M_SISTEMA_INTEGRADO"</f>
        <v>M_SISTEMA_INTEGRADO</v>
      </c>
      <c r="F4622" s="2" t="str">
        <f>"M_SISTEMA_INTEGRADO"</f>
        <v>M_SISTEMA_INTEGRADO</v>
      </c>
      <c r="G4622" s="2" t="str">
        <f t="shared" si="387"/>
        <v xml:space="preserve"> ()</v>
      </c>
    </row>
    <row r="4623" spans="1:7" x14ac:dyDescent="0.3">
      <c r="A4623" s="1" t="s">
        <v>4</v>
      </c>
      <c r="B4623" s="2" t="str">
        <f t="shared" si="383"/>
        <v>SISTEMA DE GERENCIAMENTO DAS TABELAS</v>
      </c>
      <c r="C4623" s="2" t="str">
        <f t="shared" si="386"/>
        <v>GLOBAL</v>
      </c>
      <c r="D4623" s="2" t="str">
        <f t="shared" si="386"/>
        <v>GLOBAL</v>
      </c>
      <c r="E4623" s="2" t="str">
        <f>"M_INTEGRA_SISTEMAS"</f>
        <v>M_INTEGRA_SISTEMAS</v>
      </c>
      <c r="F4623" s="2" t="str">
        <f>"M_INTEGRA_SISTEMAS"</f>
        <v>M_INTEGRA_SISTEMAS</v>
      </c>
      <c r="G4623" s="2" t="str">
        <f t="shared" si="387"/>
        <v xml:space="preserve"> ()</v>
      </c>
    </row>
    <row r="4624" spans="1:7" x14ac:dyDescent="0.3">
      <c r="A4624" s="1" t="s">
        <v>4</v>
      </c>
      <c r="B4624" s="2" t="str">
        <f t="shared" si="383"/>
        <v>SISTEMA DE GERENCIAMENTO DAS TABELAS</v>
      </c>
      <c r="C4624" s="2" t="str">
        <f t="shared" si="386"/>
        <v>GLOBAL</v>
      </c>
      <c r="D4624" s="2" t="str">
        <f t="shared" si="386"/>
        <v>GLOBAL</v>
      </c>
      <c r="E4624" s="2" t="str">
        <f>"M_GERADOR_ETIQUETA"</f>
        <v>M_GERADOR_ETIQUETA</v>
      </c>
      <c r="F4624" s="2" t="str">
        <f>"M_GERADOR_ETIQUETA"</f>
        <v>M_GERADOR_ETIQUETA</v>
      </c>
      <c r="G4624" s="2" t="str">
        <f>"Serviços de Apoio / Global / Configurações / Gerador de Etiquetas (ZPL/PPL/EPL) (M_GERADOR_ETIQUETA)"</f>
        <v>Serviços de Apoio / Global / Configurações / Gerador de Etiquetas (ZPL/PPL/EPL) (M_GERADOR_ETIQUETA)</v>
      </c>
    </row>
    <row r="4625" spans="1:7" x14ac:dyDescent="0.3">
      <c r="A4625" s="1" t="s">
        <v>4</v>
      </c>
      <c r="B4625" s="2" t="str">
        <f t="shared" si="383"/>
        <v>SISTEMA DE GERENCIAMENTO DAS TABELAS</v>
      </c>
      <c r="C4625" s="2" t="str">
        <f t="shared" si="386"/>
        <v>GLOBAL</v>
      </c>
      <c r="D4625" s="2" t="str">
        <f t="shared" si="386"/>
        <v>GLOBAL</v>
      </c>
      <c r="E4625" s="2" t="str">
        <f>"M_CONPLA"</f>
        <v>M_CONPLA</v>
      </c>
      <c r="F4625" s="2" t="str">
        <f>"M_CONPLA"</f>
        <v>M_CONPLA</v>
      </c>
      <c r="G4625" s="2" t="str">
        <f>" ()"</f>
        <v xml:space="preserve"> ()</v>
      </c>
    </row>
    <row r="4626" spans="1:7" x14ac:dyDescent="0.3">
      <c r="A4626" s="1" t="s">
        <v>4</v>
      </c>
      <c r="B4626" s="2" t="str">
        <f t="shared" si="383"/>
        <v>SISTEMA DE GERENCIAMENTO DAS TABELAS</v>
      </c>
      <c r="C4626" s="2" t="str">
        <f t="shared" si="386"/>
        <v>GLOBAL</v>
      </c>
      <c r="D4626" s="2" t="str">
        <f t="shared" si="386"/>
        <v>GLOBAL</v>
      </c>
      <c r="E4626" s="2" t="str">
        <f>"M_CONFIG_TELA_PARAM"</f>
        <v>M_CONFIG_TELA_PARAM</v>
      </c>
      <c r="F4626" s="2" t="str">
        <f>"M_CONFIG_TELA_PARAM"</f>
        <v>M_CONFIG_TELA_PARAM</v>
      </c>
      <c r="G4626" s="2" t="str">
        <f>" ()"</f>
        <v xml:space="preserve"> ()</v>
      </c>
    </row>
    <row r="4627" spans="1:7" x14ac:dyDescent="0.3">
      <c r="A4627" s="1" t="s">
        <v>4</v>
      </c>
      <c r="B4627" s="2" t="str">
        <f t="shared" si="383"/>
        <v>SISTEMA DE GERENCIAMENTO DAS TABELAS</v>
      </c>
      <c r="C4627" s="2" t="str">
        <f t="shared" si="386"/>
        <v>GLOBAL</v>
      </c>
      <c r="D4627" s="2" t="str">
        <f t="shared" si="386"/>
        <v>GLOBAL</v>
      </c>
      <c r="E4627" s="2" t="str">
        <f>"INBIOGLOBAL"</f>
        <v>INBIOGLOBAL</v>
      </c>
      <c r="F4627" s="2" t="str">
        <f>"INBIOGLOBAL"</f>
        <v>INBIOGLOBAL</v>
      </c>
      <c r="G4627" s="2" t="str">
        <f>" ()"</f>
        <v xml:space="preserve"> ()</v>
      </c>
    </row>
    <row r="4628" spans="1:7" x14ac:dyDescent="0.3">
      <c r="A4628" s="1" t="s">
        <v>4</v>
      </c>
      <c r="B4628" s="2" t="str">
        <f t="shared" si="383"/>
        <v>SISTEMA DE GERENCIAMENTO DAS TABELAS</v>
      </c>
      <c r="C4628" s="2" t="str">
        <f t="shared" si="386"/>
        <v>GLOBAL</v>
      </c>
      <c r="D4628" s="2" t="str">
        <f t="shared" si="386"/>
        <v>GLOBAL</v>
      </c>
      <c r="E4628" s="2" t="str">
        <f>"WIN_PRINCIPAL"</f>
        <v>WIN_PRINCIPAL</v>
      </c>
      <c r="F4628" s="2" t="str">
        <f>"M_CONFIGURA_PADRAO"</f>
        <v>M_CONFIGURA_PADRAO</v>
      </c>
      <c r="G4628" s="2" t="str">
        <f>" ()"</f>
        <v xml:space="preserve"> ()</v>
      </c>
    </row>
    <row r="4629" spans="1:7" x14ac:dyDescent="0.3">
      <c r="A4629" s="1" t="s">
        <v>4</v>
      </c>
      <c r="B4629" s="2" t="str">
        <f t="shared" si="383"/>
        <v>SISTEMA DE GERENCIAMENTO DAS TABELAS</v>
      </c>
      <c r="C4629" s="2" t="str">
        <f t="shared" si="386"/>
        <v>GLOBAL</v>
      </c>
      <c r="D4629" s="2" t="str">
        <f t="shared" si="386"/>
        <v>GLOBAL</v>
      </c>
      <c r="E4629" s="2" t="str">
        <f>"CONFGURAÇÃO AUTORIZADOR MV2000I"</f>
        <v>CONFGURAÇÃO AUTORIZADOR MV2000I</v>
      </c>
      <c r="F4629" s="2" t="str">
        <f>"CONFIGURA_AUTORIZADOR_MV2000"</f>
        <v>CONFIGURA_AUTORIZADOR_MV2000</v>
      </c>
      <c r="G4629" s="2" t="str">
        <f>"Serviços de Apoio / Global / Configurações / Autorizador eletronico / Configurador do Autorizador (CONFIGURA_AUTORIZADOR_MV2000)"</f>
        <v>Serviços de Apoio / Global / Configurações / Autorizador eletronico / Configurador do Autorizador (CONFIGURA_AUTORIZADOR_MV2000)</v>
      </c>
    </row>
    <row r="4630" spans="1:7" x14ac:dyDescent="0.3">
      <c r="A4630" s="1" t="s">
        <v>4</v>
      </c>
      <c r="B4630" s="2" t="str">
        <f t="shared" si="383"/>
        <v>SISTEMA DE GERENCIAMENTO DAS TABELAS</v>
      </c>
      <c r="C4630" s="2" t="str">
        <f t="shared" si="386"/>
        <v>GLOBAL</v>
      </c>
      <c r="D4630" s="2" t="str">
        <f t="shared" si="386"/>
        <v>GLOBAL</v>
      </c>
      <c r="E4630" s="2" t="str">
        <f>"WIN_PRINCIPAL"</f>
        <v>WIN_PRINCIPAL</v>
      </c>
      <c r="F4630" s="2" t="str">
        <f>"M_TABELAS_OCX"</f>
        <v>M_TABELAS_OCX</v>
      </c>
      <c r="G4630" s="2" t="str">
        <f>" ()"</f>
        <v xml:space="preserve"> ()</v>
      </c>
    </row>
    <row r="4631" spans="1:7" x14ac:dyDescent="0.3">
      <c r="A4631" s="1" t="s">
        <v>4</v>
      </c>
      <c r="B4631" s="2" t="str">
        <f t="shared" si="383"/>
        <v>SISTEMA DE GERENCIAMENTO DAS TABELAS</v>
      </c>
      <c r="C4631" s="2" t="str">
        <f t="shared" ref="C4631:D4650" si="388">"GLOBAL"</f>
        <v>GLOBAL</v>
      </c>
      <c r="D4631" s="2" t="str">
        <f t="shared" si="388"/>
        <v>GLOBAL</v>
      </c>
      <c r="E4631" s="2" t="str">
        <f>"WIN_PRINCIPAL"</f>
        <v>WIN_PRINCIPAL</v>
      </c>
      <c r="F4631" s="2" t="str">
        <f>"IMPORTA_DADOS"</f>
        <v>IMPORTA_DADOS</v>
      </c>
      <c r="G4631" s="2" t="str">
        <f>" ()"</f>
        <v xml:space="preserve"> ()</v>
      </c>
    </row>
    <row r="4632" spans="1:7" x14ac:dyDescent="0.3">
      <c r="A4632" s="1" t="s">
        <v>4</v>
      </c>
      <c r="B4632" s="2" t="str">
        <f t="shared" si="383"/>
        <v>SISTEMA DE GERENCIAMENTO DAS TABELAS</v>
      </c>
      <c r="C4632" s="2" t="str">
        <f t="shared" si="388"/>
        <v>GLOBAL</v>
      </c>
      <c r="D4632" s="2" t="str">
        <f t="shared" si="388"/>
        <v>GLOBAL</v>
      </c>
      <c r="E4632" s="2" t="str">
        <f>"CADASTRO DE DOENÇAS DE NOTIFICAÇÃO COMPU"</f>
        <v>CADASTRO DE DOENÇAS DE NOTIFICAÇÃO COMPU</v>
      </c>
      <c r="F4632" s="2" t="str">
        <f>"M_DOENCA_NOTIFICACAO_CMPSR"</f>
        <v>M_DOENCA_NOTIFICACAO_CMPSR</v>
      </c>
      <c r="G4632" s="2" t="str">
        <f>"Serviços de Apoio / Global / Globais / Doenças de Notificação Compulsória (M_DOENCA_NOTIFICACAO_CMPSR)"</f>
        <v>Serviços de Apoio / Global / Globais / Doenças de Notificação Compulsória (M_DOENCA_NOTIFICACAO_CMPSR)</v>
      </c>
    </row>
    <row r="4633" spans="1:7" x14ac:dyDescent="0.3">
      <c r="A4633" s="1" t="s">
        <v>4</v>
      </c>
      <c r="B4633" s="2" t="str">
        <f t="shared" si="383"/>
        <v>SISTEMA DE GERENCIAMENTO DAS TABELAS</v>
      </c>
      <c r="C4633" s="2" t="str">
        <f t="shared" si="388"/>
        <v>GLOBAL</v>
      </c>
      <c r="D4633" s="2" t="str">
        <f t="shared" si="388"/>
        <v>GLOBAL</v>
      </c>
      <c r="E4633" s="2" t="str">
        <f>"CADASTRO DE TIPOS DE SEXO"</f>
        <v>CADASTRO DE TIPOS DE SEXO</v>
      </c>
      <c r="F4633" s="2" t="str">
        <f>"M_TIPO_SEXO"</f>
        <v>M_TIPO_SEXO</v>
      </c>
      <c r="G4633" s="2" t="str">
        <f>"Serviços de Apoio / Global / Auxiliares / Sexo (M_TIPO_SEXO)"</f>
        <v>Serviços de Apoio / Global / Auxiliares / Sexo (M_TIPO_SEXO)</v>
      </c>
    </row>
    <row r="4634" spans="1:7" x14ac:dyDescent="0.3">
      <c r="A4634" s="1" t="s">
        <v>4</v>
      </c>
      <c r="B4634" s="2" t="str">
        <f t="shared" si="383"/>
        <v>SISTEMA DE GERENCIAMENTO DAS TABELAS</v>
      </c>
      <c r="C4634" s="2" t="str">
        <f t="shared" si="388"/>
        <v>GLOBAL</v>
      </c>
      <c r="D4634" s="2" t="str">
        <f t="shared" si="388"/>
        <v>GLOBAL</v>
      </c>
      <c r="E4634" s="2" t="str">
        <f>"TIPOS DE REGISTRO"</f>
        <v>TIPOS DE REGISTRO</v>
      </c>
      <c r="F4634" s="2" t="str">
        <f>"M_TIPO_REGISTRO"</f>
        <v>M_TIPO_REGISTRO</v>
      </c>
      <c r="G4634" s="2" t="str">
        <f>"Serviços de Apoio / Global / Auxiliares / Tipos de Registros (M_TIPO_REGISTRO)"</f>
        <v>Serviços de Apoio / Global / Auxiliares / Tipos de Registros (M_TIPO_REGISTRO)</v>
      </c>
    </row>
    <row r="4635" spans="1:7" x14ac:dyDescent="0.3">
      <c r="A4635" s="1" t="s">
        <v>4</v>
      </c>
      <c r="B4635" s="2" t="str">
        <f t="shared" ref="B4635:B4698" si="389">"SISTEMA DE GERENCIAMENTO DAS TABELAS"</f>
        <v>SISTEMA DE GERENCIAMENTO DAS TABELAS</v>
      </c>
      <c r="C4635" s="2" t="str">
        <f t="shared" si="388"/>
        <v>GLOBAL</v>
      </c>
      <c r="D4635" s="2" t="str">
        <f t="shared" si="388"/>
        <v>GLOBAL</v>
      </c>
      <c r="E4635" s="2" t="str">
        <f>"CADASTRO DE MOTIVOS"</f>
        <v>CADASTRO DE MOTIVOS</v>
      </c>
      <c r="F4635" s="2" t="str">
        <f>"M_MOTIVO"</f>
        <v>M_MOTIVO</v>
      </c>
      <c r="G4635" s="2" t="str">
        <f>"Serviços de Apoio / Global / Globais / Motivos (M_MOTIVO)"</f>
        <v>Serviços de Apoio / Global / Globais / Motivos (M_MOTIVO)</v>
      </c>
    </row>
    <row r="4636" spans="1:7" x14ac:dyDescent="0.3">
      <c r="A4636" s="1" t="s">
        <v>4</v>
      </c>
      <c r="B4636" s="2" t="str">
        <f t="shared" si="389"/>
        <v>SISTEMA DE GERENCIAMENTO DAS TABELAS</v>
      </c>
      <c r="C4636" s="2" t="str">
        <f t="shared" si="388"/>
        <v>GLOBAL</v>
      </c>
      <c r="D4636" s="2" t="str">
        <f t="shared" si="388"/>
        <v>GLOBAL</v>
      </c>
      <c r="E4636" s="2" t="str">
        <f>"RELATÓRIO DE ENSAIOS POR SITUAÇÃO"</f>
        <v>RELATÓRIO DE ENSAIOS POR SITUAÇÃO</v>
      </c>
      <c r="F4636" s="2" t="str">
        <f>"R_ENSAIO_SITUACAO"</f>
        <v>R_ENSAIO_SITUACAO</v>
      </c>
      <c r="G4636" s="2" t="str">
        <f>"Serviços de Apoio / Laprod / Relatórios / Operacionais / Ensaios por Situação (R_ENSAIO_SITUACAO)"</f>
        <v>Serviços de Apoio / Laprod / Relatórios / Operacionais / Ensaios por Situação (R_ENSAIO_SITUACAO)</v>
      </c>
    </row>
    <row r="4637" spans="1:7" x14ac:dyDescent="0.3">
      <c r="A4637" s="1" t="s">
        <v>4</v>
      </c>
      <c r="B4637" s="2" t="str">
        <f t="shared" si="389"/>
        <v>SISTEMA DE GERENCIAMENTO DAS TABELAS</v>
      </c>
      <c r="C4637" s="2" t="str">
        <f t="shared" si="388"/>
        <v>GLOBAL</v>
      </c>
      <c r="D4637" s="2" t="str">
        <f t="shared" si="388"/>
        <v>GLOBAL</v>
      </c>
      <c r="E4637" s="2" t="str">
        <f>"R_EST_ENSAIO_SITUACAO"</f>
        <v>R_EST_ENSAIO_SITUACAO</v>
      </c>
      <c r="F4637" s="2" t="str">
        <f>"R_EST_ENSAIO_SITUACAO"</f>
        <v>R_EST_ENSAIO_SITUACAO</v>
      </c>
      <c r="G4637" s="2" t="str">
        <f>"Serviços de Apoio / Laprod / Relatórios / Estatísticos / Ensaios por Situação (R_EST_ENSAIO_SITUACAO)"</f>
        <v>Serviços de Apoio / Laprod / Relatórios / Estatísticos / Ensaios por Situação (R_EST_ENSAIO_SITUACAO)</v>
      </c>
    </row>
    <row r="4638" spans="1:7" x14ac:dyDescent="0.3">
      <c r="A4638" s="1" t="s">
        <v>4</v>
      </c>
      <c r="B4638" s="2" t="str">
        <f t="shared" si="389"/>
        <v>SISTEMA DE GERENCIAMENTO DAS TABELAS</v>
      </c>
      <c r="C4638" s="2" t="str">
        <f t="shared" si="388"/>
        <v>GLOBAL</v>
      </c>
      <c r="D4638" s="2" t="str">
        <f t="shared" si="388"/>
        <v>GLOBAL</v>
      </c>
      <c r="E4638" s="2" t="str">
        <f>"TRIGGER DA TABELA ATENDIME"</f>
        <v>TRIGGER DA TABELA ATENDIME</v>
      </c>
      <c r="F4638" s="2" t="str">
        <f>"TRG_ATENDIME"</f>
        <v>TRG_ATENDIME</v>
      </c>
      <c r="G4638" s="2" t="str">
        <f>" ()"</f>
        <v xml:space="preserve"> ()</v>
      </c>
    </row>
    <row r="4639" spans="1:7" x14ac:dyDescent="0.3">
      <c r="A4639" s="1" t="s">
        <v>4</v>
      </c>
      <c r="B4639" s="2" t="str">
        <f t="shared" si="389"/>
        <v>SISTEMA DE GERENCIAMENTO DAS TABELAS</v>
      </c>
      <c r="C4639" s="2" t="str">
        <f t="shared" si="388"/>
        <v>GLOBAL</v>
      </c>
      <c r="D4639" s="2" t="str">
        <f t="shared" si="388"/>
        <v>GLOBAL</v>
      </c>
      <c r="E4639" s="2" t="str">
        <f>"TAB DE_PARA CONV_PLANO UC X MV2000"</f>
        <v>TAB DE_PARA CONV_PLANO UC X MV2000</v>
      </c>
      <c r="F4639" s="2" t="str">
        <f>"M_CONVENIO_PLANO_UC_451"</f>
        <v>M_CONVENIO_PLANO_UC_451</v>
      </c>
      <c r="G4639" s="2" t="str">
        <f>" ()"</f>
        <v xml:space="preserve"> ()</v>
      </c>
    </row>
    <row r="4640" spans="1:7" x14ac:dyDescent="0.3">
      <c r="A4640" s="1" t="s">
        <v>4</v>
      </c>
      <c r="B4640" s="2" t="str">
        <f t="shared" si="389"/>
        <v>SISTEMA DE GERENCIAMENTO DAS TABELAS</v>
      </c>
      <c r="C4640" s="2" t="str">
        <f t="shared" si="388"/>
        <v>GLOBAL</v>
      </c>
      <c r="D4640" s="2" t="str">
        <f t="shared" si="388"/>
        <v>GLOBAL</v>
      </c>
      <c r="E4640" s="2" t="str">
        <f>"TAB  DE_PARA PRESTADOR UC X MV200"</f>
        <v>TAB  DE_PARA PRESTADOR UC X MV200</v>
      </c>
      <c r="F4640" s="2" t="str">
        <f>"M_PRESTADOR_UC_451"</f>
        <v>M_PRESTADOR_UC_451</v>
      </c>
      <c r="G4640" s="2" t="str">
        <f>" ()"</f>
        <v xml:space="preserve"> ()</v>
      </c>
    </row>
    <row r="4641" spans="1:7" x14ac:dyDescent="0.3">
      <c r="A4641" s="1" t="s">
        <v>4</v>
      </c>
      <c r="B4641" s="2" t="str">
        <f t="shared" si="389"/>
        <v>SISTEMA DE GERENCIAMENTO DAS TABELAS</v>
      </c>
      <c r="C4641" s="2" t="str">
        <f t="shared" si="388"/>
        <v>GLOBAL</v>
      </c>
      <c r="D4641" s="2" t="str">
        <f t="shared" si="388"/>
        <v>GLOBAL</v>
      </c>
      <c r="E4641" s="2" t="str">
        <f>"RELATÓRIO DAS ORIGENS"</f>
        <v>RELATÓRIO DAS ORIGENS</v>
      </c>
      <c r="F4641" s="2" t="str">
        <f>"R_ORIGENS"</f>
        <v>R_ORIGENS</v>
      </c>
      <c r="G4641" s="2" t="str">
        <f>" ()"</f>
        <v xml:space="preserve"> ()</v>
      </c>
    </row>
    <row r="4642" spans="1:7" x14ac:dyDescent="0.3">
      <c r="A4642" s="1" t="s">
        <v>4</v>
      </c>
      <c r="B4642" s="2" t="str">
        <f t="shared" si="389"/>
        <v>SISTEMA DE GERENCIAMENTO DAS TABELAS</v>
      </c>
      <c r="C4642" s="2" t="str">
        <f t="shared" si="388"/>
        <v>GLOBAL</v>
      </c>
      <c r="D4642" s="2" t="str">
        <f t="shared" si="388"/>
        <v>GLOBAL</v>
      </c>
      <c r="E4642" s="2" t="str">
        <f>"MENU DO SISTEMA DE TABELAS"</f>
        <v>MENU DO SISTEMA DE TABELAS</v>
      </c>
      <c r="F4642" s="2" t="str">
        <f>"M_GLOBAL"</f>
        <v>M_GLOBAL</v>
      </c>
      <c r="G4642" s="2" t="str">
        <f>" ()"</f>
        <v xml:space="preserve"> ()</v>
      </c>
    </row>
    <row r="4643" spans="1:7" x14ac:dyDescent="0.3">
      <c r="A4643" s="1" t="s">
        <v>4</v>
      </c>
      <c r="B4643" s="2" t="str">
        <f t="shared" si="389"/>
        <v>SISTEMA DE GERENCIAMENTO DAS TABELAS</v>
      </c>
      <c r="C4643" s="2" t="str">
        <f t="shared" si="388"/>
        <v>GLOBAL</v>
      </c>
      <c r="D4643" s="2" t="str">
        <f t="shared" si="388"/>
        <v>GLOBAL</v>
      </c>
      <c r="E4643" s="2" t="str">
        <f>"RELATORIO DE CENTRO DE CUSTOS"</f>
        <v>RELATORIO DE CENTRO DE CUSTOS</v>
      </c>
      <c r="F4643" s="2" t="str">
        <f>"R_CENCUS"</f>
        <v>R_CENCUS</v>
      </c>
      <c r="G4643" s="2" t="str">
        <f>"Serviços de Apoio / Global / Relatórios / Globais / Centros de Custo (R_CENCUS)"</f>
        <v>Serviços de Apoio / Global / Relatórios / Globais / Centros de Custo (R_CENCUS)</v>
      </c>
    </row>
    <row r="4644" spans="1:7" x14ac:dyDescent="0.3">
      <c r="A4644" s="1" t="s">
        <v>4</v>
      </c>
      <c r="B4644" s="2" t="str">
        <f t="shared" si="389"/>
        <v>SISTEMA DE GERENCIAMENTO DAS TABELAS</v>
      </c>
      <c r="C4644" s="2" t="str">
        <f t="shared" si="388"/>
        <v>GLOBAL</v>
      </c>
      <c r="D4644" s="2" t="str">
        <f t="shared" si="388"/>
        <v>GLOBAL</v>
      </c>
      <c r="E4644" s="2" t="str">
        <f>"CONFIGURAÇÃO DADOS DO HOSPITAL"</f>
        <v>CONFIGURAÇÃO DADOS DO HOSPITAL</v>
      </c>
      <c r="F4644" s="2" t="str">
        <f>"M_HOSPIT"</f>
        <v>M_HOSPIT</v>
      </c>
      <c r="G4644" s="2" t="str">
        <f>"Serviços de Apoio / Global / Configurações / Hospital (M_HOSPIT)"</f>
        <v>Serviços de Apoio / Global / Configurações / Hospital (M_HOSPIT)</v>
      </c>
    </row>
    <row r="4645" spans="1:7" x14ac:dyDescent="0.3">
      <c r="A4645" s="1" t="s">
        <v>4</v>
      </c>
      <c r="B4645" s="2" t="str">
        <f t="shared" si="389"/>
        <v>SISTEMA DE GERENCIAMENTO DAS TABELAS</v>
      </c>
      <c r="C4645" s="2" t="str">
        <f t="shared" si="388"/>
        <v>GLOBAL</v>
      </c>
      <c r="D4645" s="2" t="str">
        <f t="shared" si="388"/>
        <v>GLOBAL</v>
      </c>
      <c r="E4645" s="2" t="str">
        <f>"RELATORIO DE TIPOS DE MORADIA"</f>
        <v>RELATORIO DE TIPOS DE MORADIA</v>
      </c>
      <c r="F4645" s="2" t="str">
        <f>"R_TIPMOR"</f>
        <v>R_TIPMOR</v>
      </c>
      <c r="G4645" s="2" t="str">
        <f>"Serviços de Apoio / Global / Relatórios / Auxiliares / Tipos de Moradia (R_TIPMOR)"</f>
        <v>Serviços de Apoio / Global / Relatórios / Auxiliares / Tipos de Moradia (R_TIPMOR)</v>
      </c>
    </row>
    <row r="4646" spans="1:7" x14ac:dyDescent="0.3">
      <c r="A4646" s="1" t="s">
        <v>4</v>
      </c>
      <c r="B4646" s="2" t="str">
        <f t="shared" si="389"/>
        <v>SISTEMA DE GERENCIAMENTO DAS TABELAS</v>
      </c>
      <c r="C4646" s="2" t="str">
        <f t="shared" si="388"/>
        <v>GLOBAL</v>
      </c>
      <c r="D4646" s="2" t="str">
        <f t="shared" si="388"/>
        <v>GLOBAL</v>
      </c>
      <c r="E4646" s="2" t="str">
        <f>"R_EST_AMOSTRA_SITUACAO"</f>
        <v>R_EST_AMOSTRA_SITUACAO</v>
      </c>
      <c r="F4646" s="2" t="str">
        <f>"R_EST_AMOSTRA_SITUACAO"</f>
        <v>R_EST_AMOSTRA_SITUACAO</v>
      </c>
      <c r="G4646" s="2" t="str">
        <f>" ()"</f>
        <v xml:space="preserve"> ()</v>
      </c>
    </row>
    <row r="4647" spans="1:7" x14ac:dyDescent="0.3">
      <c r="A4647" s="1" t="s">
        <v>4</v>
      </c>
      <c r="B4647" s="2" t="str">
        <f t="shared" si="389"/>
        <v>SISTEMA DE GERENCIAMENTO DAS TABELAS</v>
      </c>
      <c r="C4647" s="2" t="str">
        <f t="shared" si="388"/>
        <v>GLOBAL</v>
      </c>
      <c r="D4647" s="2" t="str">
        <f t="shared" si="388"/>
        <v>GLOBAL</v>
      </c>
      <c r="E4647" s="2" t="str">
        <f>"RELATÓRIOS PERSONALIZADOS"</f>
        <v>RELATÓRIOS PERSONALIZADOS</v>
      </c>
      <c r="F4647" s="2" t="str">
        <f>"R_REPO_ATE"</f>
        <v>R_REPO_ATE</v>
      </c>
      <c r="G4647" s="2" t="str">
        <f>"Serviços de Apoio / Higienização / Relatórios / Personalizados (R_REPO_ATE)"</f>
        <v>Serviços de Apoio / Higienização / Relatórios / Personalizados (R_REPO_ATE)</v>
      </c>
    </row>
    <row r="4648" spans="1:7" x14ac:dyDescent="0.3">
      <c r="A4648" s="1" t="s">
        <v>4</v>
      </c>
      <c r="B4648" s="2" t="str">
        <f t="shared" si="389"/>
        <v>SISTEMA DE GERENCIAMENTO DAS TABELAS</v>
      </c>
      <c r="C4648" s="2" t="str">
        <f t="shared" si="388"/>
        <v>GLOBAL</v>
      </c>
      <c r="D4648" s="2" t="str">
        <f t="shared" si="388"/>
        <v>GLOBAL</v>
      </c>
      <c r="E4648" s="2" t="str">
        <f>"RELATÓRIO DE MOTIVOS DE EXIGÊNCIA"</f>
        <v>RELATÓRIO DE MOTIVOS DE EXIGÊNCIA</v>
      </c>
      <c r="F4648" s="2" t="str">
        <f>"R_MOTIVO_EXIGENCIA"</f>
        <v>R_MOTIVO_EXIGENCIA</v>
      </c>
      <c r="G4648" s="2" t="str">
        <f>"Serviços de Apoio / Laprod / Relatórios / Tabelas / Motivos de Exigência (R_MOTIVO_EXIGENCIA)"</f>
        <v>Serviços de Apoio / Laprod / Relatórios / Tabelas / Motivos de Exigência (R_MOTIVO_EXIGENCIA)</v>
      </c>
    </row>
    <row r="4649" spans="1:7" x14ac:dyDescent="0.3">
      <c r="A4649" s="1" t="s">
        <v>4</v>
      </c>
      <c r="B4649" s="2" t="str">
        <f t="shared" si="389"/>
        <v>SISTEMA DE GERENCIAMENTO DAS TABELAS</v>
      </c>
      <c r="C4649" s="2" t="str">
        <f t="shared" si="388"/>
        <v>GLOBAL</v>
      </c>
      <c r="D4649" s="2" t="str">
        <f t="shared" si="388"/>
        <v>GLOBAL</v>
      </c>
      <c r="E4649" s="2" t="str">
        <f>"RELATÓRIO DE MOTIVOS DE CANCELAMENTO"</f>
        <v>RELATÓRIO DE MOTIVOS DE CANCELAMENTO</v>
      </c>
      <c r="F4649" s="2" t="str">
        <f>"R_MOTIVO_CANCELAMENTO"</f>
        <v>R_MOTIVO_CANCELAMENTO</v>
      </c>
      <c r="G4649" s="2" t="str">
        <f>"Serviços de Apoio / Laprod / Relatórios / Tabelas / Motivos de Cancelamento (R_MOTIVO_CANCELAMENTO)"</f>
        <v>Serviços de Apoio / Laprod / Relatórios / Tabelas / Motivos de Cancelamento (R_MOTIVO_CANCELAMENTO)</v>
      </c>
    </row>
    <row r="4650" spans="1:7" x14ac:dyDescent="0.3">
      <c r="A4650" s="1" t="s">
        <v>4</v>
      </c>
      <c r="B4650" s="2" t="str">
        <f t="shared" si="389"/>
        <v>SISTEMA DE GERENCIAMENTO DAS TABELAS</v>
      </c>
      <c r="C4650" s="2" t="str">
        <f t="shared" si="388"/>
        <v>GLOBAL</v>
      </c>
      <c r="D4650" s="2" t="str">
        <f t="shared" si="388"/>
        <v>GLOBAL</v>
      </c>
      <c r="E4650" s="2" t="str">
        <f>"RELATÓRIO DE ADVERTÊNCIAS"</f>
        <v>RELATÓRIO DE ADVERTÊNCIAS</v>
      </c>
      <c r="F4650" s="2" t="str">
        <f>"R_ADVERTENCIA"</f>
        <v>R_ADVERTENCIA</v>
      </c>
      <c r="G4650" s="2" t="str">
        <f>"Serviços de Apoio / Laprod / Relatórios / Tabelas / Advertências (R_ADVERTENCIA)"</f>
        <v>Serviços de Apoio / Laprod / Relatórios / Tabelas / Advertências (R_ADVERTENCIA)</v>
      </c>
    </row>
    <row r="4651" spans="1:7" x14ac:dyDescent="0.3">
      <c r="A4651" s="1" t="s">
        <v>4</v>
      </c>
      <c r="B4651" s="2" t="str">
        <f t="shared" si="389"/>
        <v>SISTEMA DE GERENCIAMENTO DAS TABELAS</v>
      </c>
      <c r="C4651" s="2" t="str">
        <f t="shared" ref="C4651:D4670" si="390">"GLOBAL"</f>
        <v>GLOBAL</v>
      </c>
      <c r="D4651" s="2" t="str">
        <f t="shared" si="390"/>
        <v>GLOBAL</v>
      </c>
      <c r="E4651" s="2" t="str">
        <f>"RELATÓRIO DE RAMOS DE ATIVIDADE"</f>
        <v>RELATÓRIO DE RAMOS DE ATIVIDADE</v>
      </c>
      <c r="F4651" s="2" t="str">
        <f>"R_RAMO_ATIVIDADE_EMPRESA"</f>
        <v>R_RAMO_ATIVIDADE_EMPRESA</v>
      </c>
      <c r="G4651" s="2" t="str">
        <f>" ()"</f>
        <v xml:space="preserve"> ()</v>
      </c>
    </row>
    <row r="4652" spans="1:7" x14ac:dyDescent="0.3">
      <c r="A4652" s="1" t="s">
        <v>4</v>
      </c>
      <c r="B4652" s="2" t="str">
        <f t="shared" si="389"/>
        <v>SISTEMA DE GERENCIAMENTO DAS TABELAS</v>
      </c>
      <c r="C4652" s="2" t="str">
        <f t="shared" si="390"/>
        <v>GLOBAL</v>
      </c>
      <c r="D4652" s="2" t="str">
        <f t="shared" si="390"/>
        <v>GLOBAL</v>
      </c>
      <c r="E4652" s="2" t="str">
        <f>"RELATÓRIO DE MARCAS DE PRODUTOS"</f>
        <v>RELATÓRIO DE MARCAS DE PRODUTOS</v>
      </c>
      <c r="F4652" s="2" t="str">
        <f>"R_MARCA_PRODUTO"</f>
        <v>R_MARCA_PRODUTO</v>
      </c>
      <c r="G4652" s="2" t="str">
        <f>"Serviços de Apoio / Laprod / Relatórios / Tabelas / Marcas de Produtos (R_MARCA_PRODUTO)"</f>
        <v>Serviços de Apoio / Laprod / Relatórios / Tabelas / Marcas de Produtos (R_MARCA_PRODUTO)</v>
      </c>
    </row>
    <row r="4653" spans="1:7" x14ac:dyDescent="0.3">
      <c r="A4653" s="1" t="s">
        <v>4</v>
      </c>
      <c r="B4653" s="2" t="str">
        <f t="shared" si="389"/>
        <v>SISTEMA DE GERENCIAMENTO DAS TABELAS</v>
      </c>
      <c r="C4653" s="2" t="str">
        <f t="shared" si="390"/>
        <v>GLOBAL</v>
      </c>
      <c r="D4653" s="2" t="str">
        <f t="shared" si="390"/>
        <v>GLOBAL</v>
      </c>
      <c r="E4653" s="2" t="str">
        <f>"RELATÓRIO DE MENSAGENS PADRÕES"</f>
        <v>RELATÓRIO DE MENSAGENS PADRÕES</v>
      </c>
      <c r="F4653" s="2" t="str">
        <f>"R_MENSAGEM_PADRAO"</f>
        <v>R_MENSAGEM_PADRAO</v>
      </c>
      <c r="G4653" s="2" t="str">
        <f>"Serviços de Apoio / Laprod / Relatórios / Tabelas / Mensagens Padrões (R_MENSAGEM_PADRAO)"</f>
        <v>Serviços de Apoio / Laprod / Relatórios / Tabelas / Mensagens Padrões (R_MENSAGEM_PADRAO)</v>
      </c>
    </row>
    <row r="4654" spans="1:7" x14ac:dyDescent="0.3">
      <c r="A4654" s="1" t="s">
        <v>4</v>
      </c>
      <c r="B4654" s="2" t="str">
        <f t="shared" si="389"/>
        <v>SISTEMA DE GERENCIAMENTO DAS TABELAS</v>
      </c>
      <c r="C4654" s="2" t="str">
        <f t="shared" si="390"/>
        <v>GLOBAL</v>
      </c>
      <c r="D4654" s="2" t="str">
        <f t="shared" si="390"/>
        <v>GLOBAL</v>
      </c>
      <c r="E4654" s="2" t="str">
        <f>"RELATÓRIO DE RESULTADOS PADRÕES"</f>
        <v>RELATÓRIO DE RESULTADOS PADRÕES</v>
      </c>
      <c r="F4654" s="2" t="str">
        <f>"R_RESULTADO_PADRAO"</f>
        <v>R_RESULTADO_PADRAO</v>
      </c>
      <c r="G4654" s="2" t="str">
        <f>"Serviços de Apoio / Laprod / Relatórios / Tabelas / Resultados Padrões (R_RESULTADO_PADRAO)"</f>
        <v>Serviços de Apoio / Laprod / Relatórios / Tabelas / Resultados Padrões (R_RESULTADO_PADRAO)</v>
      </c>
    </row>
    <row r="4655" spans="1:7" x14ac:dyDescent="0.3">
      <c r="A4655" s="1" t="s">
        <v>4</v>
      </c>
      <c r="B4655" s="2" t="str">
        <f t="shared" si="389"/>
        <v>SISTEMA DE GERENCIAMENTO DAS TABELAS</v>
      </c>
      <c r="C4655" s="2" t="str">
        <f t="shared" si="390"/>
        <v>GLOBAL</v>
      </c>
      <c r="D4655" s="2" t="str">
        <f t="shared" si="390"/>
        <v>GLOBAL</v>
      </c>
      <c r="E4655" s="2" t="str">
        <f>"RELATÓRIO DE REFERÊNCIAS"</f>
        <v>RELATÓRIO DE REFERÊNCIAS</v>
      </c>
      <c r="F4655" s="2" t="str">
        <f>"R_REFERENCIA"</f>
        <v>R_REFERENCIA</v>
      </c>
      <c r="G4655" s="2" t="str">
        <f>"Serviços de Apoio / Laprod / Relatórios / Tabelas / Referências (R_REFERENCIA)"</f>
        <v>Serviços de Apoio / Laprod / Relatórios / Tabelas / Referências (R_REFERENCIA)</v>
      </c>
    </row>
    <row r="4656" spans="1:7" x14ac:dyDescent="0.3">
      <c r="A4656" s="1" t="s">
        <v>4</v>
      </c>
      <c r="B4656" s="2" t="str">
        <f t="shared" si="389"/>
        <v>SISTEMA DE GERENCIAMENTO DAS TABELAS</v>
      </c>
      <c r="C4656" s="2" t="str">
        <f t="shared" si="390"/>
        <v>GLOBAL</v>
      </c>
      <c r="D4656" s="2" t="str">
        <f t="shared" si="390"/>
        <v>GLOBAL</v>
      </c>
      <c r="E4656" s="2" t="str">
        <f>"RELATÓRIO DE ENSAIOS"</f>
        <v>RELATÓRIO DE ENSAIOS</v>
      </c>
      <c r="F4656" s="2" t="str">
        <f>"R_ENSAIO"</f>
        <v>R_ENSAIO</v>
      </c>
      <c r="G4656" s="2" t="str">
        <f>"Serviços de Apoio / Laprod / Relatórios / Tabelas / Ensaios (R_ENSAIO)"</f>
        <v>Serviços de Apoio / Laprod / Relatórios / Tabelas / Ensaios (R_ENSAIO)</v>
      </c>
    </row>
    <row r="4657" spans="1:7" x14ac:dyDescent="0.3">
      <c r="A4657" s="1" t="s">
        <v>4</v>
      </c>
      <c r="B4657" s="2" t="str">
        <f t="shared" si="389"/>
        <v>SISTEMA DE GERENCIAMENTO DAS TABELAS</v>
      </c>
      <c r="C4657" s="2" t="str">
        <f t="shared" si="390"/>
        <v>GLOBAL</v>
      </c>
      <c r="D4657" s="2" t="str">
        <f t="shared" si="390"/>
        <v>GLOBAL</v>
      </c>
      <c r="E4657" s="2" t="str">
        <f>"RELATÓRIO DE PROGRAMAS DE ANÁLISE"</f>
        <v>RELATÓRIO DE PROGRAMAS DE ANÁLISE</v>
      </c>
      <c r="F4657" s="2" t="str">
        <f>"R_PROGRAMA"</f>
        <v>R_PROGRAMA</v>
      </c>
      <c r="G4657" s="2" t="str">
        <f>"Serviços de Apoio / Laprod / Relatórios / Tabelas / Programas de Análise (R_PROGRAMA)"</f>
        <v>Serviços de Apoio / Laprod / Relatórios / Tabelas / Programas de Análise (R_PROGRAMA)</v>
      </c>
    </row>
    <row r="4658" spans="1:7" x14ac:dyDescent="0.3">
      <c r="A4658" s="1" t="s">
        <v>4</v>
      </c>
      <c r="B4658" s="2" t="str">
        <f t="shared" si="389"/>
        <v>SISTEMA DE GERENCIAMENTO DAS TABELAS</v>
      </c>
      <c r="C4658" s="2" t="str">
        <f t="shared" si="390"/>
        <v>GLOBAL</v>
      </c>
      <c r="D4658" s="2" t="str">
        <f t="shared" si="390"/>
        <v>GLOBAL</v>
      </c>
      <c r="E4658" s="2" t="str">
        <f>"RELATÓRIO DE MODALIDADES DE ANÁLISE"</f>
        <v>RELATÓRIO DE MODALIDADES DE ANÁLISE</v>
      </c>
      <c r="F4658" s="2" t="str">
        <f>"R_MODALIDADE"</f>
        <v>R_MODALIDADE</v>
      </c>
      <c r="G4658" s="2" t="str">
        <f>"Serviços de Apoio / Laprod / Relatórios / Tabelas / Modalidades de Análise (R_MODALIDADE)"</f>
        <v>Serviços de Apoio / Laprod / Relatórios / Tabelas / Modalidades de Análise (R_MODALIDADE)</v>
      </c>
    </row>
    <row r="4659" spans="1:7" x14ac:dyDescent="0.3">
      <c r="A4659" s="1" t="s">
        <v>4</v>
      </c>
      <c r="B4659" s="2" t="str">
        <f t="shared" si="389"/>
        <v>SISTEMA DE GERENCIAMENTO DAS TABELAS</v>
      </c>
      <c r="C4659" s="2" t="str">
        <f t="shared" si="390"/>
        <v>GLOBAL</v>
      </c>
      <c r="D4659" s="2" t="str">
        <f t="shared" si="390"/>
        <v>GLOBAL</v>
      </c>
      <c r="E4659" s="2" t="str">
        <f>"RELATÓRIO DE UNIDADES ANALÍTICAS"</f>
        <v>RELATÓRIO DE UNIDADES ANALÍTICAS</v>
      </c>
      <c r="F4659" s="2" t="str">
        <f>"R_UNIDADE_ANALITICA"</f>
        <v>R_UNIDADE_ANALITICA</v>
      </c>
      <c r="G4659" s="2" t="str">
        <f>"Serviços de Apoio / Laprod / Relatórios / Tabelas / Unidades Analíticas (R_UNIDADE_ANALITICA)"</f>
        <v>Serviços de Apoio / Laprod / Relatórios / Tabelas / Unidades Analíticas (R_UNIDADE_ANALITICA)</v>
      </c>
    </row>
    <row r="4660" spans="1:7" x14ac:dyDescent="0.3">
      <c r="A4660" s="1" t="s">
        <v>4</v>
      </c>
      <c r="B4660" s="2" t="str">
        <f t="shared" si="389"/>
        <v>SISTEMA DE GERENCIAMENTO DAS TABELAS</v>
      </c>
      <c r="C4660" s="2" t="str">
        <f t="shared" si="390"/>
        <v>GLOBAL</v>
      </c>
      <c r="D4660" s="2" t="str">
        <f t="shared" si="390"/>
        <v>GLOBAL</v>
      </c>
      <c r="E4660" s="2" t="str">
        <f>"RELATÓRIO DE LAUDO DE ANÁLISE"</f>
        <v>RELATÓRIO DE LAUDO DE ANÁLISE</v>
      </c>
      <c r="F4660" s="2" t="str">
        <f>"R_LAUDO_ANALISE"</f>
        <v>R_LAUDO_ANALISE</v>
      </c>
      <c r="G4660" s="2" t="str">
        <f>"Serviços de Apoio / Laprod / Relatórios / Operacionais / Laudos (R_LAUDO_ANALISE)"</f>
        <v>Serviços de Apoio / Laprod / Relatórios / Operacionais / Laudos (R_LAUDO_ANALISE)</v>
      </c>
    </row>
    <row r="4661" spans="1:7" x14ac:dyDescent="0.3">
      <c r="A4661" s="1" t="s">
        <v>4</v>
      </c>
      <c r="B4661" s="2" t="str">
        <f t="shared" si="389"/>
        <v>SISTEMA DE GERENCIAMENTO DAS TABELAS</v>
      </c>
      <c r="C4661" s="2" t="str">
        <f t="shared" si="390"/>
        <v>GLOBAL</v>
      </c>
      <c r="D4661" s="2" t="str">
        <f t="shared" si="390"/>
        <v>GLOBAL</v>
      </c>
      <c r="E4661" s="2" t="str">
        <f>"RELATÓRIO DE LAUDO DE ANÁLISE"</f>
        <v>RELATÓRIO DE LAUDO DE ANÁLISE</v>
      </c>
      <c r="F4661" s="2" t="str">
        <f>"R_LAUDO_ANALISE"</f>
        <v>R_LAUDO_ANALISE</v>
      </c>
      <c r="G4661" s="2" t="str">
        <f>"Serviços de Apoio / Laprod / Relatórios / Operacionais / Laudo Parcial (R_LAUDO_ANALISE)"</f>
        <v>Serviços de Apoio / Laprod / Relatórios / Operacionais / Laudo Parcial (R_LAUDO_ANALISE)</v>
      </c>
    </row>
    <row r="4662" spans="1:7" x14ac:dyDescent="0.3">
      <c r="A4662" s="1" t="s">
        <v>4</v>
      </c>
      <c r="B4662" s="2" t="str">
        <f t="shared" si="389"/>
        <v>SISTEMA DE GERENCIAMENTO DAS TABELAS</v>
      </c>
      <c r="C4662" s="2" t="str">
        <f t="shared" si="390"/>
        <v>GLOBAL</v>
      </c>
      <c r="D4662" s="2" t="str">
        <f t="shared" si="390"/>
        <v>GLOBAL</v>
      </c>
      <c r="E4662" s="2" t="str">
        <f>"RELATÓRIO DE FORMAS FARMACÊUTICAS"</f>
        <v>RELATÓRIO DE FORMAS FARMACÊUTICAS</v>
      </c>
      <c r="F4662" s="2" t="str">
        <f>"R_FORMA_FARMACEUTICA"</f>
        <v>R_FORMA_FARMACEUTICA</v>
      </c>
      <c r="G4662" s="2" t="str">
        <f>"Serviços de Apoio / Laprod / Relatórios / Tabelas / Formas Farmacêuticas (R_FORMA_FARMACEUTICA)"</f>
        <v>Serviços de Apoio / Laprod / Relatórios / Tabelas / Formas Farmacêuticas (R_FORMA_FARMACEUTICA)</v>
      </c>
    </row>
    <row r="4663" spans="1:7" x14ac:dyDescent="0.3">
      <c r="A4663" s="1" t="s">
        <v>4</v>
      </c>
      <c r="B4663" s="2" t="str">
        <f t="shared" si="389"/>
        <v>SISTEMA DE GERENCIAMENTO DAS TABELAS</v>
      </c>
      <c r="C4663" s="2" t="str">
        <f t="shared" si="390"/>
        <v>GLOBAL</v>
      </c>
      <c r="D4663" s="2" t="str">
        <f t="shared" si="390"/>
        <v>GLOBAL</v>
      </c>
      <c r="E4663" s="2" t="str">
        <f>"CADASTRO DE UNIDADES DE ATENDIMENTO"</f>
        <v>CADASTRO DE UNIDADES DE ATENDIMENTO</v>
      </c>
      <c r="F4663" s="2" t="str">
        <f>"M_RESPOSTA_EXAME"</f>
        <v>M_RESPOSTA_EXAME</v>
      </c>
      <c r="G4663" s="2" t="str">
        <f>"Serviços de Apoio / Global / Auxiliares / Respostas a Perguntas de Exames (M_RESPOSTA_EXAME)"</f>
        <v>Serviços de Apoio / Global / Auxiliares / Respostas a Perguntas de Exames (M_RESPOSTA_EXAME)</v>
      </c>
    </row>
    <row r="4664" spans="1:7" x14ac:dyDescent="0.3">
      <c r="A4664" s="1" t="s">
        <v>4</v>
      </c>
      <c r="B4664" s="2" t="str">
        <f t="shared" si="389"/>
        <v>SISTEMA DE GERENCIAMENTO DAS TABELAS</v>
      </c>
      <c r="C4664" s="2" t="str">
        <f t="shared" si="390"/>
        <v>GLOBAL</v>
      </c>
      <c r="D4664" s="2" t="str">
        <f t="shared" si="390"/>
        <v>GLOBAL</v>
      </c>
      <c r="E4664" s="2" t="str">
        <f>"CADASTRO DA OPERADORA"</f>
        <v>CADASTRO DA OPERADORA</v>
      </c>
      <c r="F4664" s="2" t="str">
        <f>"AUTORIZADOR_OPERADORA"</f>
        <v>AUTORIZADOR_OPERADORA</v>
      </c>
      <c r="G4664" s="2" t="str">
        <f>"Serviços de Apoio / Global / Configurações / Autorizador eletronico / Cadastro da Operadora (AUTORIZADOR_OPERADORA)"</f>
        <v>Serviços de Apoio / Global / Configurações / Autorizador eletronico / Cadastro da Operadora (AUTORIZADOR_OPERADORA)</v>
      </c>
    </row>
    <row r="4665" spans="1:7" x14ac:dyDescent="0.3">
      <c r="A4665" s="1" t="s">
        <v>4</v>
      </c>
      <c r="B4665" s="2" t="str">
        <f t="shared" si="389"/>
        <v>SISTEMA DE GERENCIAMENTO DAS TABELAS</v>
      </c>
      <c r="C4665" s="2" t="str">
        <f t="shared" si="390"/>
        <v>GLOBAL</v>
      </c>
      <c r="D4665" s="2" t="str">
        <f t="shared" si="390"/>
        <v>GLOBAL</v>
      </c>
      <c r="E4665" s="2" t="str">
        <f>"CADASTRO DE IMPRESSORA CARACATER DA MAQU"</f>
        <v>CADASTRO DE IMPRESSORA CARACATER DA MAQU</v>
      </c>
      <c r="F4665" s="2" t="str">
        <f>"CADASTRA_IMPRESSORA_MAQUINA"</f>
        <v>CADASTRA_IMPRESSORA_MAQUINA</v>
      </c>
      <c r="G4665" s="2" t="str">
        <f>"Serviços de Apoio / Global / Configurações / Cadastro de Impressora por Máquinas (CADASTRA_IMPRESSORA_MAQUINA)"</f>
        <v>Serviços de Apoio / Global / Configurações / Cadastro de Impressora por Máquinas (CADASTRA_IMPRESSORA_MAQUINA)</v>
      </c>
    </row>
    <row r="4666" spans="1:7" x14ac:dyDescent="0.3">
      <c r="A4666" s="1" t="s">
        <v>4</v>
      </c>
      <c r="B4666" s="2" t="str">
        <f t="shared" si="389"/>
        <v>SISTEMA DE GERENCIAMENTO DAS TABELAS</v>
      </c>
      <c r="C4666" s="2" t="str">
        <f t="shared" si="390"/>
        <v>GLOBAL</v>
      </c>
      <c r="D4666" s="2" t="str">
        <f t="shared" si="390"/>
        <v>GLOBAL</v>
      </c>
      <c r="E4666" s="2" t="str">
        <f>"RELATÓRIO DE PRODUTOS"</f>
        <v>RELATÓRIO DE PRODUTOS</v>
      </c>
      <c r="F4666" s="2" t="str">
        <f>"R_AMOSTRA.RDF"</f>
        <v>R_AMOSTRA.RDF</v>
      </c>
      <c r="G4666" s="2" t="str">
        <f>" ()"</f>
        <v xml:space="preserve"> ()</v>
      </c>
    </row>
    <row r="4667" spans="1:7" x14ac:dyDescent="0.3">
      <c r="A4667" s="1" t="s">
        <v>4</v>
      </c>
      <c r="B4667" s="2" t="str">
        <f t="shared" si="389"/>
        <v>SISTEMA DE GERENCIAMENTO DAS TABELAS</v>
      </c>
      <c r="C4667" s="2" t="str">
        <f t="shared" si="390"/>
        <v>GLOBAL</v>
      </c>
      <c r="D4667" s="2" t="str">
        <f t="shared" si="390"/>
        <v>GLOBAL</v>
      </c>
      <c r="E4667" s="2" t="str">
        <f>"DOENÇAS DE NOTIFICAÇÃO COMPULSÓRIA"</f>
        <v>DOENÇAS DE NOTIFICAÇÃO COMPULSÓRIA</v>
      </c>
      <c r="F4667" s="2" t="str">
        <f>"M_DOENCAS_NOT_COMPULSORIA"</f>
        <v>M_DOENCAS_NOT_COMPULSORIA</v>
      </c>
      <c r="G4667" s="2" t="str">
        <f>" ()"</f>
        <v xml:space="preserve"> ()</v>
      </c>
    </row>
    <row r="4668" spans="1:7" x14ac:dyDescent="0.3">
      <c r="A4668" s="1" t="s">
        <v>4</v>
      </c>
      <c r="B4668" s="2" t="str">
        <f t="shared" si="389"/>
        <v>SISTEMA DE GERENCIAMENTO DAS TABELAS</v>
      </c>
      <c r="C4668" s="2" t="str">
        <f t="shared" si="390"/>
        <v>GLOBAL</v>
      </c>
      <c r="D4668" s="2" t="str">
        <f t="shared" si="390"/>
        <v>GLOBAL</v>
      </c>
      <c r="E4668" s="2" t="str">
        <f>"GLOSAS DO TISS"</f>
        <v>GLOSAS DO TISS</v>
      </c>
      <c r="F4668" s="2" t="str">
        <f>"M_GLOSAS_TISS"</f>
        <v>M_GLOSAS_TISS</v>
      </c>
      <c r="G4668" s="2" t="str">
        <f>"Serviços de Apoio / Global / Auxiliares / Glosas do TISS (M_GLOSAS_TISS)"</f>
        <v>Serviços de Apoio / Global / Auxiliares / Glosas do TISS (M_GLOSAS_TISS)</v>
      </c>
    </row>
    <row r="4669" spans="1:7" x14ac:dyDescent="0.3">
      <c r="A4669" s="1" t="s">
        <v>4</v>
      </c>
      <c r="B4669" s="2" t="str">
        <f t="shared" si="389"/>
        <v>SISTEMA DE GERENCIAMENTO DAS TABELAS</v>
      </c>
      <c r="C4669" s="2" t="str">
        <f t="shared" si="390"/>
        <v>GLOBAL</v>
      </c>
      <c r="D4669" s="2" t="str">
        <f t="shared" si="390"/>
        <v>GLOBAL</v>
      </c>
      <c r="E4669" s="2" t="str">
        <f>"RELATORIOS DE ORIGENS DE ATENDIMENTO"</f>
        <v>RELATORIOS DE ORIGENS DE ATENDIMENTO</v>
      </c>
      <c r="F4669" s="2" t="str">
        <f>"R_ORIATE"</f>
        <v>R_ORIATE</v>
      </c>
      <c r="G4669" s="2" t="str">
        <f>"Serviços de Apoio / Global / Relatórios / Globais / Origens (R_ORIATE)"</f>
        <v>Serviços de Apoio / Global / Relatórios / Globais / Origens (R_ORIATE)</v>
      </c>
    </row>
    <row r="4670" spans="1:7" x14ac:dyDescent="0.3">
      <c r="A4670" s="1" t="s">
        <v>4</v>
      </c>
      <c r="B4670" s="2" t="str">
        <f t="shared" si="389"/>
        <v>SISTEMA DE GERENCIAMENTO DAS TABELAS</v>
      </c>
      <c r="C4670" s="2" t="str">
        <f t="shared" si="390"/>
        <v>GLOBAL</v>
      </c>
      <c r="D4670" s="2" t="str">
        <f t="shared" si="390"/>
        <v>GLOBAL</v>
      </c>
      <c r="E4670" s="2" t="str">
        <f>"RELATORIO DE DISTRITO SANITARIO"</f>
        <v>RELATORIO DE DISTRITO SANITARIO</v>
      </c>
      <c r="F4670" s="2" t="str">
        <f>"R_DISSAN"</f>
        <v>R_DISSAN</v>
      </c>
      <c r="G4670" s="2" t="str">
        <f>"Serviços de Apoio / Global / Relatórios / Auxiliares / Distritos Sanitários (R_DISSAN)"</f>
        <v>Serviços de Apoio / Global / Relatórios / Auxiliares / Distritos Sanitários (R_DISSAN)</v>
      </c>
    </row>
    <row r="4671" spans="1:7" x14ac:dyDescent="0.3">
      <c r="A4671" s="1" t="s">
        <v>4</v>
      </c>
      <c r="B4671" s="2" t="str">
        <f t="shared" si="389"/>
        <v>SISTEMA DE GERENCIAMENTO DAS TABELAS</v>
      </c>
      <c r="C4671" s="2" t="str">
        <f t="shared" ref="C4671:D4690" si="391">"GLOBAL"</f>
        <v>GLOBAL</v>
      </c>
      <c r="D4671" s="2" t="str">
        <f t="shared" si="391"/>
        <v>GLOBAL</v>
      </c>
      <c r="E4671" s="2" t="str">
        <f>"RELATORIOS DE RELIGIÕES"</f>
        <v>RELATORIOS DE RELIGIÕES</v>
      </c>
      <c r="F4671" s="2" t="str">
        <f>"R_RELIGIOES"</f>
        <v>R_RELIGIOES</v>
      </c>
      <c r="G4671" s="2" t="str">
        <f>"Serviços de Apoio / Global / Relatórios / Auxiliares / Religiões (R_RELIGIOES)"</f>
        <v>Serviços de Apoio / Global / Relatórios / Auxiliares / Religiões (R_RELIGIOES)</v>
      </c>
    </row>
    <row r="4672" spans="1:7" x14ac:dyDescent="0.3">
      <c r="A4672" s="1" t="s">
        <v>4</v>
      </c>
      <c r="B4672" s="2" t="str">
        <f t="shared" si="389"/>
        <v>SISTEMA DE GERENCIAMENTO DAS TABELAS</v>
      </c>
      <c r="C4672" s="2" t="str">
        <f t="shared" si="391"/>
        <v>GLOBAL</v>
      </c>
      <c r="D4672" s="2" t="str">
        <f t="shared" si="391"/>
        <v>GLOBAL</v>
      </c>
      <c r="E4672" s="2" t="str">
        <f>"RELATORIO DE CLASSE ECONOMICAS"</f>
        <v>RELATORIO DE CLASSE ECONOMICAS</v>
      </c>
      <c r="F4672" s="2" t="str">
        <f>"R_CLAECO"</f>
        <v>R_CLAECO</v>
      </c>
      <c r="G4672" s="2" t="str">
        <f>"Serviços de Apoio / Global / Relatórios / Auxiliares / Classes Econômicas (R_CLAECO)"</f>
        <v>Serviços de Apoio / Global / Relatórios / Auxiliares / Classes Econômicas (R_CLAECO)</v>
      </c>
    </row>
    <row r="4673" spans="1:7" x14ac:dyDescent="0.3">
      <c r="A4673" s="1" t="s">
        <v>4</v>
      </c>
      <c r="B4673" s="2" t="str">
        <f t="shared" si="389"/>
        <v>SISTEMA DE GERENCIAMENTO DAS TABELAS</v>
      </c>
      <c r="C4673" s="2" t="str">
        <f t="shared" si="391"/>
        <v>GLOBAL</v>
      </c>
      <c r="D4673" s="2" t="str">
        <f t="shared" si="391"/>
        <v>GLOBAL</v>
      </c>
      <c r="E4673" s="2" t="str">
        <f>"RELATORIO DE NACIONALIDADES"</f>
        <v>RELATORIO DE NACIONALIDADES</v>
      </c>
      <c r="F4673" s="2" t="str">
        <f>"R_NACIONALI"</f>
        <v>R_NACIONALI</v>
      </c>
      <c r="G4673" s="2" t="str">
        <f>"Serviços de Apoio / Global / Relatórios / Auxiliares / Nacionalidades (R_NACIONALI)"</f>
        <v>Serviços de Apoio / Global / Relatórios / Auxiliares / Nacionalidades (R_NACIONALI)</v>
      </c>
    </row>
    <row r="4674" spans="1:7" x14ac:dyDescent="0.3">
      <c r="A4674" s="1" t="s">
        <v>4</v>
      </c>
      <c r="B4674" s="2" t="str">
        <f t="shared" si="389"/>
        <v>SISTEMA DE GERENCIAMENTO DAS TABELAS</v>
      </c>
      <c r="C4674" s="2" t="str">
        <f t="shared" si="391"/>
        <v>GLOBAL</v>
      </c>
      <c r="D4674" s="2" t="str">
        <f t="shared" si="391"/>
        <v>GLOBAL</v>
      </c>
      <c r="E4674" s="2" t="str">
        <f>"RELATORIO DE FERIADOS"</f>
        <v>RELATORIO DE FERIADOS</v>
      </c>
      <c r="F4674" s="2" t="str">
        <f>"R_FERIADO"</f>
        <v>R_FERIADO</v>
      </c>
      <c r="G4674" s="2" t="str">
        <f>"Serviços de Apoio / Global / Relatórios / Auxiliares / Feriados (R_FERIADO)"</f>
        <v>Serviços de Apoio / Global / Relatórios / Auxiliares / Feriados (R_FERIADO)</v>
      </c>
    </row>
    <row r="4675" spans="1:7" x14ac:dyDescent="0.3">
      <c r="A4675" s="1" t="s">
        <v>4</v>
      </c>
      <c r="B4675" s="2" t="str">
        <f t="shared" si="389"/>
        <v>SISTEMA DE GERENCIAMENTO DAS TABELAS</v>
      </c>
      <c r="C4675" s="2" t="str">
        <f t="shared" si="391"/>
        <v>GLOBAL</v>
      </c>
      <c r="D4675" s="2" t="str">
        <f t="shared" si="391"/>
        <v>GLOBAL</v>
      </c>
      <c r="E4675" s="2" t="str">
        <f>"RELATORIO DE FERIADOS"</f>
        <v>RELATORIO DE FERIADOS</v>
      </c>
      <c r="F4675" s="2" t="str">
        <f>"R_FERIADO"</f>
        <v>R_FERIADO</v>
      </c>
      <c r="G4675" s="2" t="str">
        <f>"MVSaude / Relatórios / Tabelas / Comercial / Feriados (R_FERIADO)"</f>
        <v>MVSaude / Relatórios / Tabelas / Comercial / Feriados (R_FERIADO)</v>
      </c>
    </row>
    <row r="4676" spans="1:7" x14ac:dyDescent="0.3">
      <c r="A4676" s="1" t="s">
        <v>4</v>
      </c>
      <c r="B4676" s="2" t="str">
        <f t="shared" si="389"/>
        <v>SISTEMA DE GERENCIAMENTO DAS TABELAS</v>
      </c>
      <c r="C4676" s="2" t="str">
        <f t="shared" si="391"/>
        <v>GLOBAL</v>
      </c>
      <c r="D4676" s="2" t="str">
        <f t="shared" si="391"/>
        <v>GLOBAL</v>
      </c>
      <c r="E4676" s="2" t="str">
        <f>"RELATORIO DE SETORES DE EXAMES"</f>
        <v>RELATORIO DE SETORES DE EXAMES</v>
      </c>
      <c r="F4676" s="2" t="str">
        <f>"R_SETEXA"</f>
        <v>R_SETEXA</v>
      </c>
      <c r="G4676" s="2" t="str">
        <f>"Diagnóstico e Terapia / Diagnóstico por Imagem / Relatórios / Tabelas / Setores de Exames (R_SETEXA)"</f>
        <v>Diagnóstico e Terapia / Diagnóstico por Imagem / Relatórios / Tabelas / Setores de Exames (R_SETEXA)</v>
      </c>
    </row>
    <row r="4677" spans="1:7" x14ac:dyDescent="0.3">
      <c r="A4677" s="1" t="s">
        <v>4</v>
      </c>
      <c r="B4677" s="2" t="str">
        <f t="shared" si="389"/>
        <v>SISTEMA DE GERENCIAMENTO DAS TABELAS</v>
      </c>
      <c r="C4677" s="2" t="str">
        <f t="shared" si="391"/>
        <v>GLOBAL</v>
      </c>
      <c r="D4677" s="2" t="str">
        <f t="shared" si="391"/>
        <v>GLOBAL</v>
      </c>
      <c r="E4677" s="2" t="str">
        <f>"RELATORIO DE SETORES DE EXAMES"</f>
        <v>RELATORIO DE SETORES DE EXAMES</v>
      </c>
      <c r="F4677" s="2" t="str">
        <f>"R_SETEXA"</f>
        <v>R_SETEXA</v>
      </c>
      <c r="G4677" s="2" t="str">
        <f>"Serviços de Apoio / Global / Relatórios / Globais / Setores de Exames (R_SETEXA)"</f>
        <v>Serviços de Apoio / Global / Relatórios / Globais / Setores de Exames (R_SETEXA)</v>
      </c>
    </row>
    <row r="4678" spans="1:7" x14ac:dyDescent="0.3">
      <c r="A4678" s="1" t="s">
        <v>4</v>
      </c>
      <c r="B4678" s="2" t="str">
        <f t="shared" si="389"/>
        <v>SISTEMA DE GERENCIAMENTO DAS TABELAS</v>
      </c>
      <c r="C4678" s="2" t="str">
        <f t="shared" si="391"/>
        <v>GLOBAL</v>
      </c>
      <c r="D4678" s="2" t="str">
        <f t="shared" si="391"/>
        <v>GLOBAL</v>
      </c>
      <c r="E4678" s="2" t="str">
        <f>"RELATORIO DE CIDADES"</f>
        <v>RELATORIO DE CIDADES</v>
      </c>
      <c r="F4678" s="2" t="str">
        <f>"R_CIDADE"</f>
        <v>R_CIDADE</v>
      </c>
      <c r="G4678" s="2" t="str">
        <f>"Serviços de Apoio / Global / Relatórios / Globais / Cidades (R_CIDADE)"</f>
        <v>Serviços de Apoio / Global / Relatórios / Globais / Cidades (R_CIDADE)</v>
      </c>
    </row>
    <row r="4679" spans="1:7" x14ac:dyDescent="0.3">
      <c r="A4679" s="1" t="s">
        <v>4</v>
      </c>
      <c r="B4679" s="2" t="str">
        <f t="shared" si="389"/>
        <v>SISTEMA DE GERENCIAMENTO DAS TABELAS</v>
      </c>
      <c r="C4679" s="2" t="str">
        <f t="shared" si="391"/>
        <v>GLOBAL</v>
      </c>
      <c r="D4679" s="2" t="str">
        <f t="shared" si="391"/>
        <v>GLOBAL</v>
      </c>
      <c r="E4679" s="2" t="str">
        <f>"RELATORIO DE CID'S"</f>
        <v>RELATORIO DE CID'S</v>
      </c>
      <c r="F4679" s="2" t="str">
        <f>"R_CID"</f>
        <v>R_CID</v>
      </c>
      <c r="G4679" s="2" t="str">
        <f>"Serviços de Apoio / Global / Relatórios / Globais / CID (R_CID)"</f>
        <v>Serviços de Apoio / Global / Relatórios / Globais / CID (R_CID)</v>
      </c>
    </row>
    <row r="4680" spans="1:7" x14ac:dyDescent="0.3">
      <c r="A4680" s="1" t="s">
        <v>4</v>
      </c>
      <c r="B4680" s="2" t="str">
        <f t="shared" si="389"/>
        <v>SISTEMA DE GERENCIAMENTO DAS TABELAS</v>
      </c>
      <c r="C4680" s="2" t="str">
        <f t="shared" si="391"/>
        <v>GLOBAL</v>
      </c>
      <c r="D4680" s="2" t="str">
        <f t="shared" si="391"/>
        <v>GLOBAL</v>
      </c>
      <c r="E4680" s="2" t="str">
        <f>"RELATORIO DE CID'S"</f>
        <v>RELATORIO DE CID'S</v>
      </c>
      <c r="F4680" s="2" t="str">
        <f>"R_CID"</f>
        <v>R_CID</v>
      </c>
      <c r="G4680" s="2" t="str">
        <f>"MVSaude / Relatórios / Tabelas / Faturamento / CID (R_CID)"</f>
        <v>MVSaude / Relatórios / Tabelas / Faturamento / CID (R_CID)</v>
      </c>
    </row>
    <row r="4681" spans="1:7" x14ac:dyDescent="0.3">
      <c r="A4681" s="1" t="s">
        <v>4</v>
      </c>
      <c r="B4681" s="2" t="str">
        <f t="shared" si="389"/>
        <v>SISTEMA DE GERENCIAMENTO DAS TABELAS</v>
      </c>
      <c r="C4681" s="2" t="str">
        <f t="shared" si="391"/>
        <v>GLOBAL</v>
      </c>
      <c r="D4681" s="2" t="str">
        <f t="shared" si="391"/>
        <v>GLOBAL</v>
      </c>
      <c r="E4681" s="2" t="str">
        <f>"RELATORIOS DE CONVENIOS"</f>
        <v>RELATORIOS DE CONVENIOS</v>
      </c>
      <c r="F4681" s="2" t="str">
        <f>"R_CONVENIO"</f>
        <v>R_CONVENIO</v>
      </c>
      <c r="G4681" s="2" t="str">
        <f>"Serviços de Apoio / Global / Relatórios / Globais / Convênios (R_CONVENIO)"</f>
        <v>Serviços de Apoio / Global / Relatórios / Globais / Convênios (R_CONVENIO)</v>
      </c>
    </row>
    <row r="4682" spans="1:7" x14ac:dyDescent="0.3">
      <c r="A4682" s="1" t="s">
        <v>4</v>
      </c>
      <c r="B4682" s="2" t="str">
        <f t="shared" si="389"/>
        <v>SISTEMA DE GERENCIAMENTO DAS TABELAS</v>
      </c>
      <c r="C4682" s="2" t="str">
        <f t="shared" si="391"/>
        <v>GLOBAL</v>
      </c>
      <c r="D4682" s="2" t="str">
        <f t="shared" si="391"/>
        <v>GLOBAL</v>
      </c>
      <c r="E4682" s="2" t="str">
        <f>"LOCAIS DE TRANSFERÊNCIA"</f>
        <v>LOCAIS DE TRANSFERÊNCIA</v>
      </c>
      <c r="F4682" s="2" t="str">
        <f>"M_LOCTRA"</f>
        <v>M_LOCTRA</v>
      </c>
      <c r="G4682" s="2" t="str">
        <f>"MVSaude / Vendas / Internação / Tabelas / Instituições (M_LOCTRA)"</f>
        <v>MVSaude / Vendas / Internação / Tabelas / Instituições (M_LOCTRA)</v>
      </c>
    </row>
    <row r="4683" spans="1:7" x14ac:dyDescent="0.3">
      <c r="A4683" s="1" t="s">
        <v>4</v>
      </c>
      <c r="B4683" s="2" t="str">
        <f t="shared" si="389"/>
        <v>SISTEMA DE GERENCIAMENTO DAS TABELAS</v>
      </c>
      <c r="C4683" s="2" t="str">
        <f t="shared" si="391"/>
        <v>GLOBAL</v>
      </c>
      <c r="D4683" s="2" t="str">
        <f t="shared" si="391"/>
        <v>GLOBAL</v>
      </c>
      <c r="E4683" s="2" t="str">
        <f>"LOCAIS DE TRANSFERÊNCIA"</f>
        <v>LOCAIS DE TRANSFERÊNCIA</v>
      </c>
      <c r="F4683" s="2" t="str">
        <f>"M_LOCTRA"</f>
        <v>M_LOCTRA</v>
      </c>
      <c r="G4683" s="2" t="str">
        <f>"MVSaude / Atendimento / Autorizações de Guias / Internação / Tabelas / Instituições (M_LOCTRA)"</f>
        <v>MVSaude / Atendimento / Autorizações de Guias / Internação / Tabelas / Instituições (M_LOCTRA)</v>
      </c>
    </row>
    <row r="4684" spans="1:7" x14ac:dyDescent="0.3">
      <c r="A4684" s="1" t="s">
        <v>4</v>
      </c>
      <c r="B4684" s="2" t="str">
        <f t="shared" si="389"/>
        <v>SISTEMA DE GERENCIAMENTO DAS TABELAS</v>
      </c>
      <c r="C4684" s="2" t="str">
        <f t="shared" si="391"/>
        <v>GLOBAL</v>
      </c>
      <c r="D4684" s="2" t="str">
        <f t="shared" si="391"/>
        <v>GLOBAL</v>
      </c>
      <c r="E4684" s="2" t="str">
        <f>"LOCAIS DE TRANSFERÊNCIA"</f>
        <v>LOCAIS DE TRANSFERÊNCIA</v>
      </c>
      <c r="F4684" s="2" t="str">
        <f>"M_LOCTRA"</f>
        <v>M_LOCTRA</v>
      </c>
      <c r="G4684" s="2" t="str">
        <f>"Serviços de Apoio / Serviço Arquivo Médico / Tabelas / Instituições (M_LOCTRA)"</f>
        <v>Serviços de Apoio / Serviço Arquivo Médico / Tabelas / Instituições (M_LOCTRA)</v>
      </c>
    </row>
    <row r="4685" spans="1:7" x14ac:dyDescent="0.3">
      <c r="A4685" s="1" t="s">
        <v>4</v>
      </c>
      <c r="B4685" s="2" t="str">
        <f t="shared" si="389"/>
        <v>SISTEMA DE GERENCIAMENTO DAS TABELAS</v>
      </c>
      <c r="C4685" s="2" t="str">
        <f t="shared" si="391"/>
        <v>GLOBAL</v>
      </c>
      <c r="D4685" s="2" t="str">
        <f t="shared" si="391"/>
        <v>GLOBAL</v>
      </c>
      <c r="E4685" s="2" t="str">
        <f>"LOCAIS DE TRANSFERÊNCIA"</f>
        <v>LOCAIS DE TRANSFERÊNCIA</v>
      </c>
      <c r="F4685" s="2" t="str">
        <f>"M_LOCTRA"</f>
        <v>M_LOCTRA</v>
      </c>
      <c r="G4685" s="2" t="str">
        <f>"Serviços de Apoio / Global / Globais / Locais de transferências - Instituições (M_LOCTRA)"</f>
        <v>Serviços de Apoio / Global / Globais / Locais de transferências - Instituições (M_LOCTRA)</v>
      </c>
    </row>
    <row r="4686" spans="1:7" x14ac:dyDescent="0.3">
      <c r="A4686" s="1" t="s">
        <v>4</v>
      </c>
      <c r="B4686" s="2" t="str">
        <f t="shared" si="389"/>
        <v>SISTEMA DE GERENCIAMENTO DAS TABELAS</v>
      </c>
      <c r="C4686" s="2" t="str">
        <f t="shared" si="391"/>
        <v>GLOBAL</v>
      </c>
      <c r="D4686" s="2" t="str">
        <f t="shared" si="391"/>
        <v>GLOBAL</v>
      </c>
      <c r="E4686" s="2" t="str">
        <f>"LOCAIS DE TRANSFERÊNCIA"</f>
        <v>LOCAIS DE TRANSFERÊNCIA</v>
      </c>
      <c r="F4686" s="2" t="str">
        <f>"M_LOCTRA"</f>
        <v>M_LOCTRA</v>
      </c>
      <c r="G4686" s="2" t="str">
        <f>"Atendimento / Internação Domiciliar (Home Care) / Tabelas / Locais de Transferências (M_LOCTRA)"</f>
        <v>Atendimento / Internação Domiciliar (Home Care) / Tabelas / Locais de Transferências (M_LOCTRA)</v>
      </c>
    </row>
    <row r="4687" spans="1:7" x14ac:dyDescent="0.3">
      <c r="A4687" s="1" t="s">
        <v>4</v>
      </c>
      <c r="B4687" s="2" t="str">
        <f t="shared" si="389"/>
        <v>SISTEMA DE GERENCIAMENTO DAS TABELAS</v>
      </c>
      <c r="C4687" s="2" t="str">
        <f t="shared" si="391"/>
        <v>GLOBAL</v>
      </c>
      <c r="D4687" s="2" t="str">
        <f t="shared" si="391"/>
        <v>GLOBAL</v>
      </c>
      <c r="E4687" s="2" t="str">
        <f>"CONFIGURAÇÃO CATALOGO DE RELATORIOS"</f>
        <v>CONFIGURAÇÃO CATALOGO DE RELATORIOS</v>
      </c>
      <c r="F4687" s="2" t="str">
        <f>"M_CATREP"</f>
        <v>M_CATREP</v>
      </c>
      <c r="G4687" s="2" t="str">
        <f>"Serviços de Apoio / Global / Configurações / Catálogo dos Relatórios (M_CATREP)"</f>
        <v>Serviços de Apoio / Global / Configurações / Catálogo dos Relatórios (M_CATREP)</v>
      </c>
    </row>
    <row r="4688" spans="1:7" x14ac:dyDescent="0.3">
      <c r="A4688" s="1" t="s">
        <v>4</v>
      </c>
      <c r="B4688" s="2" t="str">
        <f t="shared" si="389"/>
        <v>SISTEMA DE GERENCIAMENTO DAS TABELAS</v>
      </c>
      <c r="C4688" s="2" t="str">
        <f t="shared" si="391"/>
        <v>GLOBAL</v>
      </c>
      <c r="D4688" s="2" t="str">
        <f t="shared" si="391"/>
        <v>GLOBAL</v>
      </c>
      <c r="E4688" s="2" t="str">
        <f>"CADASTRO DE DISTRITOS SANITARIOS"</f>
        <v>CADASTRO DE DISTRITOS SANITARIOS</v>
      </c>
      <c r="F4688" s="2" t="str">
        <f>"M_DISSAN"</f>
        <v>M_DISSAN</v>
      </c>
      <c r="G4688" s="2" t="str">
        <f>"Serviços de Apoio / Global / Auxiliares / Distrito Sanitário (M_DISSAN)"</f>
        <v>Serviços de Apoio / Global / Auxiliares / Distrito Sanitário (M_DISSAN)</v>
      </c>
    </row>
    <row r="4689" spans="1:7" x14ac:dyDescent="0.3">
      <c r="A4689" s="1" t="s">
        <v>4</v>
      </c>
      <c r="B4689" s="2" t="str">
        <f t="shared" si="389"/>
        <v>SISTEMA DE GERENCIAMENTO DAS TABELAS</v>
      </c>
      <c r="C4689" s="2" t="str">
        <f t="shared" si="391"/>
        <v>GLOBAL</v>
      </c>
      <c r="D4689" s="2" t="str">
        <f t="shared" si="391"/>
        <v>GLOBAL</v>
      </c>
      <c r="E4689" s="2" t="str">
        <f>"CADASTRO DE TIPOS DE PARENTESCOS"</f>
        <v>CADASTRO DE TIPOS DE PARENTESCOS</v>
      </c>
      <c r="F4689" s="2" t="str">
        <f>"M_TIPPAR"</f>
        <v>M_TIPPAR</v>
      </c>
      <c r="G4689" s="2" t="str">
        <f>"Serviços de Apoio / Global / Auxiliares / Parentesco (M_TIPPAR)"</f>
        <v>Serviços de Apoio / Global / Auxiliares / Parentesco (M_TIPPAR)</v>
      </c>
    </row>
    <row r="4690" spans="1:7" x14ac:dyDescent="0.3">
      <c r="A4690" s="1" t="s">
        <v>4</v>
      </c>
      <c r="B4690" s="2" t="str">
        <f t="shared" si="389"/>
        <v>SISTEMA DE GERENCIAMENTO DAS TABELAS</v>
      </c>
      <c r="C4690" s="2" t="str">
        <f t="shared" si="391"/>
        <v>GLOBAL</v>
      </c>
      <c r="D4690" s="2" t="str">
        <f t="shared" si="391"/>
        <v>GLOBAL</v>
      </c>
      <c r="E4690" s="2" t="str">
        <f>"CADASTRO DE TIPOS DE MORADIA"</f>
        <v>CADASTRO DE TIPOS DE MORADIA</v>
      </c>
      <c r="F4690" s="2" t="str">
        <f>"M_TIPMOR"</f>
        <v>M_TIPMOR</v>
      </c>
      <c r="G4690" s="2" t="str">
        <f>"Serviços de Apoio / Global / Auxiliares / Tipos de Moradia (M_TIPMOR)"</f>
        <v>Serviços de Apoio / Global / Auxiliares / Tipos de Moradia (M_TIPMOR)</v>
      </c>
    </row>
    <row r="4691" spans="1:7" x14ac:dyDescent="0.3">
      <c r="A4691" s="1" t="s">
        <v>4</v>
      </c>
      <c r="B4691" s="2" t="str">
        <f t="shared" si="389"/>
        <v>SISTEMA DE GERENCIAMENTO DAS TABELAS</v>
      </c>
      <c r="C4691" s="2" t="str">
        <f t="shared" ref="C4691:D4710" si="392">"GLOBAL"</f>
        <v>GLOBAL</v>
      </c>
      <c r="D4691" s="2" t="str">
        <f t="shared" si="392"/>
        <v>GLOBAL</v>
      </c>
      <c r="E4691" s="2" t="str">
        <f>"CADASTRO DE RELIGIÕES"</f>
        <v>CADASTRO DE RELIGIÕES</v>
      </c>
      <c r="F4691" s="2" t="str">
        <f>"M_RELIGIAO"</f>
        <v>M_RELIGIAO</v>
      </c>
      <c r="G4691" s="2" t="str">
        <f>"Serviços de Apoio / Global / Auxiliares / Religiões (M_RELIGIAO)"</f>
        <v>Serviços de Apoio / Global / Auxiliares / Religiões (M_RELIGIAO)</v>
      </c>
    </row>
    <row r="4692" spans="1:7" x14ac:dyDescent="0.3">
      <c r="A4692" s="1" t="s">
        <v>4</v>
      </c>
      <c r="B4692" s="2" t="str">
        <f t="shared" si="389"/>
        <v>SISTEMA DE GERENCIAMENTO DAS TABELAS</v>
      </c>
      <c r="C4692" s="2" t="str">
        <f t="shared" si="392"/>
        <v>GLOBAL</v>
      </c>
      <c r="D4692" s="2" t="str">
        <f t="shared" si="392"/>
        <v>GLOBAL</v>
      </c>
      <c r="E4692" s="2" t="str">
        <f>"CADASTRO DE PROFISSÕES"</f>
        <v>CADASTRO DE PROFISSÕES</v>
      </c>
      <c r="F4692" s="2" t="str">
        <f>"M_PROFISSAO"</f>
        <v>M_PROFISSAO</v>
      </c>
      <c r="G4692" s="2" t="str">
        <f>"MVSaude / Vendas / Internação / Tabelas / Profissões (M_PROFISSAO)"</f>
        <v>MVSaude / Vendas / Internação / Tabelas / Profissões (M_PROFISSAO)</v>
      </c>
    </row>
    <row r="4693" spans="1:7" x14ac:dyDescent="0.3">
      <c r="A4693" s="1" t="s">
        <v>4</v>
      </c>
      <c r="B4693" s="2" t="str">
        <f t="shared" si="389"/>
        <v>SISTEMA DE GERENCIAMENTO DAS TABELAS</v>
      </c>
      <c r="C4693" s="2" t="str">
        <f t="shared" si="392"/>
        <v>GLOBAL</v>
      </c>
      <c r="D4693" s="2" t="str">
        <f t="shared" si="392"/>
        <v>GLOBAL</v>
      </c>
      <c r="E4693" s="2" t="str">
        <f>"CADASTRO DE PROFISSÕES"</f>
        <v>CADASTRO DE PROFISSÕES</v>
      </c>
      <c r="F4693" s="2" t="str">
        <f>"M_PROFISSAO"</f>
        <v>M_PROFISSAO</v>
      </c>
      <c r="G4693" s="2" t="str">
        <f>"MVSaude / Atendimento / Autorizações de Guias / Internação / Tabelas / Profissões (M_PROFISSAO)"</f>
        <v>MVSaude / Atendimento / Autorizações de Guias / Internação / Tabelas / Profissões (M_PROFISSAO)</v>
      </c>
    </row>
    <row r="4694" spans="1:7" x14ac:dyDescent="0.3">
      <c r="A4694" s="1" t="s">
        <v>4</v>
      </c>
      <c r="B4694" s="2" t="str">
        <f t="shared" si="389"/>
        <v>SISTEMA DE GERENCIAMENTO DAS TABELAS</v>
      </c>
      <c r="C4694" s="2" t="str">
        <f t="shared" si="392"/>
        <v>GLOBAL</v>
      </c>
      <c r="D4694" s="2" t="str">
        <f t="shared" si="392"/>
        <v>GLOBAL</v>
      </c>
      <c r="E4694" s="2" t="str">
        <f>"CADASTRO DE PROFISSÕES"</f>
        <v>CADASTRO DE PROFISSÕES</v>
      </c>
      <c r="F4694" s="2" t="str">
        <f>"M_PROFISSAO"</f>
        <v>M_PROFISSAO</v>
      </c>
      <c r="G4694" s="2" t="str">
        <f>"Serviços de Apoio / Global / Auxiliares / Profissões (M_PROFISSAO)"</f>
        <v>Serviços de Apoio / Global / Auxiliares / Profissões (M_PROFISSAO)</v>
      </c>
    </row>
    <row r="4695" spans="1:7" x14ac:dyDescent="0.3">
      <c r="A4695" s="1" t="s">
        <v>4</v>
      </c>
      <c r="B4695" s="2" t="str">
        <f t="shared" si="389"/>
        <v>SISTEMA DE GERENCIAMENTO DAS TABELAS</v>
      </c>
      <c r="C4695" s="2" t="str">
        <f t="shared" si="392"/>
        <v>GLOBAL</v>
      </c>
      <c r="D4695" s="2" t="str">
        <f t="shared" si="392"/>
        <v>GLOBAL</v>
      </c>
      <c r="E4695" s="2" t="str">
        <f>"CADASTRO DE GRAUS DE INSTRUÇÃO"</f>
        <v>CADASTRO DE GRAUS DE INSTRUÇÃO</v>
      </c>
      <c r="F4695" s="2" t="str">
        <f>"M_GRAINS"</f>
        <v>M_GRAINS</v>
      </c>
      <c r="G4695" s="2" t="str">
        <f>"Serviços de Apoio / Global / Auxiliares / Grau de Instrução (M_GRAINS)"</f>
        <v>Serviços de Apoio / Global / Auxiliares / Grau de Instrução (M_GRAINS)</v>
      </c>
    </row>
    <row r="4696" spans="1:7" x14ac:dyDescent="0.3">
      <c r="A4696" s="1" t="s">
        <v>4</v>
      </c>
      <c r="B4696" s="2" t="str">
        <f t="shared" si="389"/>
        <v>SISTEMA DE GERENCIAMENTO DAS TABELAS</v>
      </c>
      <c r="C4696" s="2" t="str">
        <f t="shared" si="392"/>
        <v>GLOBAL</v>
      </c>
      <c r="D4696" s="2" t="str">
        <f t="shared" si="392"/>
        <v>GLOBAL</v>
      </c>
      <c r="E4696" s="2" t="str">
        <f>"CADASTRO DE CLASSES ECONOMICAS"</f>
        <v>CADASTRO DE CLASSES ECONOMICAS</v>
      </c>
      <c r="F4696" s="2" t="str">
        <f>"M_CLAECO"</f>
        <v>M_CLAECO</v>
      </c>
      <c r="G4696" s="2" t="str">
        <f>"Serviços de Apoio / Global / Auxiliares / Classe Econômica (M_CLAECO)"</f>
        <v>Serviços de Apoio / Global / Auxiliares / Classe Econômica (M_CLAECO)</v>
      </c>
    </row>
    <row r="4697" spans="1:7" x14ac:dyDescent="0.3">
      <c r="A4697" s="1" t="s">
        <v>4</v>
      </c>
      <c r="B4697" s="2" t="str">
        <f t="shared" si="389"/>
        <v>SISTEMA DE GERENCIAMENTO DAS TABELAS</v>
      </c>
      <c r="C4697" s="2" t="str">
        <f t="shared" si="392"/>
        <v>GLOBAL</v>
      </c>
      <c r="D4697" s="2" t="str">
        <f t="shared" si="392"/>
        <v>GLOBAL</v>
      </c>
      <c r="E4697" s="2" t="str">
        <f>"CADASTRO DE NACIONALIDADES"</f>
        <v>CADASTRO DE NACIONALIDADES</v>
      </c>
      <c r="F4697" s="2" t="str">
        <f>"M_CIDADANIA"</f>
        <v>M_CIDADANIA</v>
      </c>
      <c r="G4697" s="2" t="str">
        <f>"Serviços de Apoio / Global / Auxiliares / Nacionalidades (M_CIDADANIA)"</f>
        <v>Serviços de Apoio / Global / Auxiliares / Nacionalidades (M_CIDADANIA)</v>
      </c>
    </row>
    <row r="4698" spans="1:7" x14ac:dyDescent="0.3">
      <c r="A4698" s="1" t="s">
        <v>4</v>
      </c>
      <c r="B4698" s="2" t="str">
        <f t="shared" si="389"/>
        <v>SISTEMA DE GERENCIAMENTO DAS TABELAS</v>
      </c>
      <c r="C4698" s="2" t="str">
        <f t="shared" si="392"/>
        <v>GLOBAL</v>
      </c>
      <c r="D4698" s="2" t="str">
        <f t="shared" si="392"/>
        <v>GLOBAL</v>
      </c>
      <c r="E4698" s="2" t="str">
        <f>"CADASTRO DE TIPOS DE COMUNICAÇÕES"</f>
        <v>CADASTRO DE TIPOS DE COMUNICAÇÕES</v>
      </c>
      <c r="F4698" s="2" t="str">
        <f>"M_TIPCOM"</f>
        <v>M_TIPCOM</v>
      </c>
      <c r="G4698" s="2" t="str">
        <f>"Serviços de Apoio / Global / Auxiliares / Meios de Comunicação (M_TIPCOM)"</f>
        <v>Serviços de Apoio / Global / Auxiliares / Meios de Comunicação (M_TIPCOM)</v>
      </c>
    </row>
    <row r="4699" spans="1:7" x14ac:dyDescent="0.3">
      <c r="A4699" s="1" t="s">
        <v>4</v>
      </c>
      <c r="B4699" s="2" t="str">
        <f t="shared" ref="B4699:B4746" si="393">"SISTEMA DE GERENCIAMENTO DAS TABELAS"</f>
        <v>SISTEMA DE GERENCIAMENTO DAS TABELAS</v>
      </c>
      <c r="C4699" s="2" t="str">
        <f t="shared" si="392"/>
        <v>GLOBAL</v>
      </c>
      <c r="D4699" s="2" t="str">
        <f t="shared" si="392"/>
        <v>GLOBAL</v>
      </c>
      <c r="E4699" s="2" t="str">
        <f>"CADASTRO DE FERIADOS"</f>
        <v>CADASTRO DE FERIADOS</v>
      </c>
      <c r="F4699" s="2" t="str">
        <f>"M_FERIADO"</f>
        <v>M_FERIADO</v>
      </c>
      <c r="G4699" s="2" t="str">
        <f>"MVSaude / Cadastros / Feriados (M_FERIADO)"</f>
        <v>MVSaude / Cadastros / Feriados (M_FERIADO)</v>
      </c>
    </row>
    <row r="4700" spans="1:7" x14ac:dyDescent="0.3">
      <c r="A4700" s="1" t="s">
        <v>4</v>
      </c>
      <c r="B4700" s="2" t="str">
        <f t="shared" si="393"/>
        <v>SISTEMA DE GERENCIAMENTO DAS TABELAS</v>
      </c>
      <c r="C4700" s="2" t="str">
        <f t="shared" si="392"/>
        <v>GLOBAL</v>
      </c>
      <c r="D4700" s="2" t="str">
        <f t="shared" si="392"/>
        <v>GLOBAL</v>
      </c>
      <c r="E4700" s="2" t="str">
        <f>"CADASTRO DE SETORES DE EXAMES"</f>
        <v>CADASTRO DE SETORES DE EXAMES</v>
      </c>
      <c r="F4700" s="2" t="str">
        <f>"M_SETEXA"</f>
        <v>M_SETEXA</v>
      </c>
      <c r="G4700" s="2" t="str">
        <f>"Serviços de Apoio / Global / Globais / Setores de exames (M_SETEXA)"</f>
        <v>Serviços de Apoio / Global / Globais / Setores de exames (M_SETEXA)</v>
      </c>
    </row>
    <row r="4701" spans="1:7" x14ac:dyDescent="0.3">
      <c r="A4701" s="1" t="s">
        <v>4</v>
      </c>
      <c r="B4701" s="2" t="str">
        <f t="shared" si="393"/>
        <v>SISTEMA DE GERENCIAMENTO DAS TABELAS</v>
      </c>
      <c r="C4701" s="2" t="str">
        <f t="shared" si="392"/>
        <v>GLOBAL</v>
      </c>
      <c r="D4701" s="2" t="str">
        <f t="shared" si="392"/>
        <v>GLOBAL</v>
      </c>
      <c r="E4701" s="2" t="str">
        <f>"CADASTRO DE CIDADES"</f>
        <v>CADASTRO DE CIDADES</v>
      </c>
      <c r="F4701" s="2" t="str">
        <f>"M_CIDADE"</f>
        <v>M_CIDADE</v>
      </c>
      <c r="G4701" s="2" t="str">
        <f>"Serviços de Apoio / Global / Globais / Cidades (M_CIDADE)"</f>
        <v>Serviços de Apoio / Global / Globais / Cidades (M_CIDADE)</v>
      </c>
    </row>
    <row r="4702" spans="1:7" x14ac:dyDescent="0.3">
      <c r="A4702" s="1" t="s">
        <v>4</v>
      </c>
      <c r="B4702" s="2" t="str">
        <f t="shared" si="393"/>
        <v>SISTEMA DE GERENCIAMENTO DAS TABELAS</v>
      </c>
      <c r="C4702" s="2" t="str">
        <f t="shared" si="392"/>
        <v>GLOBAL</v>
      </c>
      <c r="D4702" s="2" t="str">
        <f t="shared" si="392"/>
        <v>GLOBAL</v>
      </c>
      <c r="E4702" s="2" t="str">
        <f>"CADASTRO DE CID'S"</f>
        <v>CADASTRO DE CID'S</v>
      </c>
      <c r="F4702" s="2" t="str">
        <f>"M_CID"</f>
        <v>M_CID</v>
      </c>
      <c r="G4702" s="2" t="str">
        <f>"Serviços de Apoio / Global / Globais / CID (M_CID)"</f>
        <v>Serviços de Apoio / Global / Globais / CID (M_CID)</v>
      </c>
    </row>
    <row r="4703" spans="1:7" x14ac:dyDescent="0.3">
      <c r="A4703" s="1" t="s">
        <v>4</v>
      </c>
      <c r="B4703" s="2" t="str">
        <f t="shared" si="393"/>
        <v>SISTEMA DE GERENCIAMENTO DAS TABELAS</v>
      </c>
      <c r="C4703" s="2" t="str">
        <f t="shared" si="392"/>
        <v>GLOBAL</v>
      </c>
      <c r="D4703" s="2" t="str">
        <f t="shared" si="392"/>
        <v>GLOBAL</v>
      </c>
      <c r="E4703" s="2" t="str">
        <f>"CADASTRO DE  ORIGENS DE ATENDIMENTO"</f>
        <v>CADASTRO DE  ORIGENS DE ATENDIMENTO</v>
      </c>
      <c r="F4703" s="2" t="str">
        <f>"M_ORIATE"</f>
        <v>M_ORIATE</v>
      </c>
      <c r="G4703" s="2" t="str">
        <f>"Serviços de Apoio / Global / Globais / Origens (M_ORIATE)"</f>
        <v>Serviços de Apoio / Global / Globais / Origens (M_ORIATE)</v>
      </c>
    </row>
    <row r="4704" spans="1:7" x14ac:dyDescent="0.3">
      <c r="A4704" s="1" t="s">
        <v>4</v>
      </c>
      <c r="B4704" s="2" t="str">
        <f t="shared" si="393"/>
        <v>SISTEMA DE GERENCIAMENTO DAS TABELAS</v>
      </c>
      <c r="C4704" s="2" t="str">
        <f t="shared" si="392"/>
        <v>GLOBAL</v>
      </c>
      <c r="D4704" s="2" t="str">
        <f t="shared" si="392"/>
        <v>GLOBAL</v>
      </c>
      <c r="E4704" s="2" t="str">
        <f>"CADASTRO DE CENTROS DE CUSTO"</f>
        <v>CADASTRO DE CENTROS DE CUSTO</v>
      </c>
      <c r="F4704" s="2" t="str">
        <f>"M_CENTRO_CUSTO"</f>
        <v>M_CENTRO_CUSTO</v>
      </c>
      <c r="G4704" s="2" t="str">
        <f>"Serviços de Apoio / Global / Globais / Centro de Custo (M_CENTRO_CUSTO)"</f>
        <v>Serviços de Apoio / Global / Globais / Centro de Custo (M_CENTRO_CUSTO)</v>
      </c>
    </row>
    <row r="4705" spans="1:7" x14ac:dyDescent="0.3">
      <c r="A4705" s="1" t="s">
        <v>4</v>
      </c>
      <c r="B4705" s="2" t="str">
        <f t="shared" si="393"/>
        <v>SISTEMA DE GERENCIAMENTO DAS TABELAS</v>
      </c>
      <c r="C4705" s="2" t="str">
        <f t="shared" si="392"/>
        <v>GLOBAL</v>
      </c>
      <c r="D4705" s="2" t="str">
        <f t="shared" si="392"/>
        <v>GLOBAL</v>
      </c>
      <c r="E4705" s="2" t="str">
        <f>"CADASTRO DE GRUPOS DE CUSTO"</f>
        <v>CADASTRO DE GRUPOS DE CUSTO</v>
      </c>
      <c r="F4705" s="2" t="str">
        <f>"M_GRUPO_CUSTO"</f>
        <v>M_GRUPO_CUSTO</v>
      </c>
      <c r="G4705" s="2" t="str">
        <f>" ()"</f>
        <v xml:space="preserve"> ()</v>
      </c>
    </row>
    <row r="4706" spans="1:7" x14ac:dyDescent="0.3">
      <c r="A4706" s="1" t="s">
        <v>4</v>
      </c>
      <c r="B4706" s="2" t="str">
        <f t="shared" si="393"/>
        <v>SISTEMA DE GERENCIAMENTO DAS TABELAS</v>
      </c>
      <c r="C4706" s="2" t="str">
        <f t="shared" si="392"/>
        <v>GLOBAL</v>
      </c>
      <c r="D4706" s="2" t="str">
        <f t="shared" si="392"/>
        <v>GLOBAL</v>
      </c>
      <c r="E4706" s="2" t="str">
        <f>"CONFIG. REL. ATENDIMENTOS (OK)"</f>
        <v>CONFIG. REL. ATENDIMENTOS (OK)</v>
      </c>
      <c r="F4706" s="2" t="str">
        <f>"M_REPO_ATE"</f>
        <v>M_REPO_ATE</v>
      </c>
      <c r="G4706" s="2" t="str">
        <f>"Serviços de Apoio / Diretoria Clinica / Relatórios / Personalizados (M_REPO_ATE)"</f>
        <v>Serviços de Apoio / Diretoria Clinica / Relatórios / Personalizados (M_REPO_ATE)</v>
      </c>
    </row>
    <row r="4707" spans="1:7" x14ac:dyDescent="0.3">
      <c r="A4707" s="1" t="s">
        <v>4</v>
      </c>
      <c r="B4707" s="2" t="str">
        <f t="shared" si="393"/>
        <v>SISTEMA DE GERENCIAMENTO DAS TABELAS</v>
      </c>
      <c r="C4707" s="2" t="str">
        <f t="shared" si="392"/>
        <v>GLOBAL</v>
      </c>
      <c r="D4707" s="2" t="str">
        <f t="shared" si="392"/>
        <v>GLOBAL</v>
      </c>
      <c r="E4707" s="2" t="str">
        <f>"CONFIG. REL. ATENDIMENTOS (OK)"</f>
        <v>CONFIG. REL. ATENDIMENTOS (OK)</v>
      </c>
      <c r="F4707" s="2" t="str">
        <f>"M_REPO_ATE"</f>
        <v>M_REPO_ATE</v>
      </c>
      <c r="G4707" s="2" t="str">
        <f>"Serviços de Apoio / Global / Configurações / Relatórios do Atendimento (M_REPO_ATE)"</f>
        <v>Serviços de Apoio / Global / Configurações / Relatórios do Atendimento (M_REPO_ATE)</v>
      </c>
    </row>
    <row r="4708" spans="1:7" x14ac:dyDescent="0.3">
      <c r="A4708" s="1" t="s">
        <v>4</v>
      </c>
      <c r="B4708" s="2" t="str">
        <f t="shared" si="393"/>
        <v>SISTEMA DE GERENCIAMENTO DAS TABELAS</v>
      </c>
      <c r="C4708" s="2" t="str">
        <f t="shared" si="392"/>
        <v>GLOBAL</v>
      </c>
      <c r="D4708" s="2" t="str">
        <f t="shared" si="392"/>
        <v>GLOBAL</v>
      </c>
      <c r="E4708" s="2" t="str">
        <f>"CADASTRO DE EMPRESAS DO FINANCEIRO"</f>
        <v>CADASTRO DE EMPRESAS DO FINANCEIRO</v>
      </c>
      <c r="F4708" s="2" t="str">
        <f>"M_EMPFIN"</f>
        <v>M_EMPFIN</v>
      </c>
      <c r="G4708" s="2" t="str">
        <f>"Controladoria / Fiscal / Tabelas / Empresas (M_EMPFIN)"</f>
        <v>Controladoria / Fiscal / Tabelas / Empresas (M_EMPFIN)</v>
      </c>
    </row>
    <row r="4709" spans="1:7" x14ac:dyDescent="0.3">
      <c r="A4709" s="1" t="s">
        <v>4</v>
      </c>
      <c r="B4709" s="2" t="str">
        <f t="shared" si="393"/>
        <v>SISTEMA DE GERENCIAMENTO DAS TABELAS</v>
      </c>
      <c r="C4709" s="2" t="str">
        <f t="shared" si="392"/>
        <v>GLOBAL</v>
      </c>
      <c r="D4709" s="2" t="str">
        <f t="shared" si="392"/>
        <v>GLOBAL</v>
      </c>
      <c r="E4709" s="2" t="str">
        <f>"CADASTRO DE EMPRESAS DO FINANCEIRO"</f>
        <v>CADASTRO DE EMPRESAS DO FINANCEIRO</v>
      </c>
      <c r="F4709" s="2" t="str">
        <f>"M_EMPFIN"</f>
        <v>M_EMPFIN</v>
      </c>
      <c r="G4709" s="2" t="s">
        <v>10</v>
      </c>
    </row>
    <row r="4710" spans="1:7" x14ac:dyDescent="0.3">
      <c r="A4710" s="1" t="s">
        <v>4</v>
      </c>
      <c r="B4710" s="2" t="str">
        <f t="shared" si="393"/>
        <v>SISTEMA DE GERENCIAMENTO DAS TABELAS</v>
      </c>
      <c r="C4710" s="2" t="str">
        <f t="shared" si="392"/>
        <v>GLOBAL</v>
      </c>
      <c r="D4710" s="2" t="str">
        <f t="shared" si="392"/>
        <v>GLOBAL</v>
      </c>
      <c r="E4710" s="2" t="str">
        <f>"GRAVAR PADROES NO WINDOWS REGISTRY"</f>
        <v>GRAVAR PADROES NO WINDOWS REGISTRY</v>
      </c>
      <c r="F4710" s="2" t="str">
        <f>"M_CONFIG_PARAM_FORMS"</f>
        <v>M_CONFIG_PARAM_FORMS</v>
      </c>
      <c r="G4710" s="2" t="str">
        <f>" ()"</f>
        <v xml:space="preserve"> ()</v>
      </c>
    </row>
    <row r="4711" spans="1:7" x14ac:dyDescent="0.3">
      <c r="A4711" s="1" t="s">
        <v>4</v>
      </c>
      <c r="B4711" s="2" t="str">
        <f t="shared" si="393"/>
        <v>SISTEMA DE GERENCIAMENTO DAS TABELAS</v>
      </c>
      <c r="C4711" s="2" t="str">
        <f t="shared" ref="C4711:D4730" si="394">"GLOBAL"</f>
        <v>GLOBAL</v>
      </c>
      <c r="D4711" s="2" t="str">
        <f t="shared" si="394"/>
        <v>GLOBAL</v>
      </c>
      <c r="E4711" s="2" t="str">
        <f>"MENU DO SISTEMA MV2000 (DEMONSTRAÇÃO)"</f>
        <v>MENU DO SISTEMA MV2000 (DEMONSTRAÇÃO)</v>
      </c>
      <c r="F4711" s="2" t="str">
        <f>"MENU_MV2000"</f>
        <v>MENU_MV2000</v>
      </c>
      <c r="G4711" s="2" t="str">
        <f>" ()"</f>
        <v xml:space="preserve"> ()</v>
      </c>
    </row>
    <row r="4712" spans="1:7" x14ac:dyDescent="0.3">
      <c r="A4712" s="1" t="s">
        <v>4</v>
      </c>
      <c r="B4712" s="2" t="str">
        <f t="shared" si="393"/>
        <v>SISTEMA DE GERENCIAMENTO DAS TABELAS</v>
      </c>
      <c r="C4712" s="2" t="str">
        <f t="shared" si="394"/>
        <v>GLOBAL</v>
      </c>
      <c r="D4712" s="2" t="str">
        <f t="shared" si="394"/>
        <v>GLOBAL</v>
      </c>
      <c r="E4712" s="2" t="str">
        <f>"CADASTRO DE TIPOS DE RAÇA/COR"</f>
        <v>CADASTRO DE TIPOS DE RAÇA/COR</v>
      </c>
      <c r="F4712" s="2" t="str">
        <f>"M_RACA_COR"</f>
        <v>M_RACA_COR</v>
      </c>
      <c r="G4712" s="2" t="str">
        <f>"Serviços de Apoio / Global / Auxiliares / Raça/Cor (M_RACA_COR)"</f>
        <v>Serviços de Apoio / Global / Auxiliares / Raça/Cor (M_RACA_COR)</v>
      </c>
    </row>
    <row r="4713" spans="1:7" x14ac:dyDescent="0.3">
      <c r="A4713" s="1" t="s">
        <v>4</v>
      </c>
      <c r="B4713" s="2" t="str">
        <f t="shared" si="393"/>
        <v>SISTEMA DE GERENCIAMENTO DAS TABELAS</v>
      </c>
      <c r="C4713" s="2" t="str">
        <f t="shared" si="394"/>
        <v>GLOBAL</v>
      </c>
      <c r="D4713" s="2" t="str">
        <f t="shared" si="394"/>
        <v>GLOBAL</v>
      </c>
      <c r="E4713" s="2" t="str">
        <f>"TABELAS CNS"</f>
        <v>TABELAS CNS</v>
      </c>
      <c r="F4713" s="2" t="str">
        <f>"M_TABELA_CNS"</f>
        <v>M_TABELA_CNS</v>
      </c>
      <c r="G4713" s="2" t="str">
        <f>"Serviços de Apoio / Global / Configurações / Tabelas CNS (M_TABELA_CNS)"</f>
        <v>Serviços de Apoio / Global / Configurações / Tabelas CNS (M_TABELA_CNS)</v>
      </c>
    </row>
    <row r="4714" spans="1:7" x14ac:dyDescent="0.3">
      <c r="A4714" s="1" t="s">
        <v>4</v>
      </c>
      <c r="B4714" s="2" t="str">
        <f t="shared" si="393"/>
        <v>SISTEMA DE GERENCIAMENTO DAS TABELAS</v>
      </c>
      <c r="C4714" s="2" t="str">
        <f t="shared" si="394"/>
        <v>GLOBAL</v>
      </c>
      <c r="D4714" s="2" t="str">
        <f t="shared" si="394"/>
        <v>GLOBAL</v>
      </c>
      <c r="E4714" s="2" t="str">
        <f>"RELATORIO DE PARENTESCOS"</f>
        <v>RELATORIO DE PARENTESCOS</v>
      </c>
      <c r="F4714" s="2" t="str">
        <f>"R_PARENTESCO"</f>
        <v>R_PARENTESCO</v>
      </c>
      <c r="G4714" s="2" t="str">
        <f>"Serviços de Apoio / Global / Relatórios / Auxiliares / Parentescos (R_PARENTESCO)"</f>
        <v>Serviços de Apoio / Global / Relatórios / Auxiliares / Parentescos (R_PARENTESCO)</v>
      </c>
    </row>
    <row r="4715" spans="1:7" x14ac:dyDescent="0.3">
      <c r="A4715" s="1" t="s">
        <v>4</v>
      </c>
      <c r="B4715" s="2" t="str">
        <f t="shared" si="393"/>
        <v>SISTEMA DE GERENCIAMENTO DAS TABELAS</v>
      </c>
      <c r="C4715" s="2" t="str">
        <f t="shared" si="394"/>
        <v>GLOBAL</v>
      </c>
      <c r="D4715" s="2" t="str">
        <f t="shared" si="394"/>
        <v>GLOBAL</v>
      </c>
      <c r="E4715" s="2" t="str">
        <f>"RELATORIO DE GRAU DE INSTRUÇÃO"</f>
        <v>RELATORIO DE GRAU DE INSTRUÇÃO</v>
      </c>
      <c r="F4715" s="2" t="str">
        <f>"R_GRAINS"</f>
        <v>R_GRAINS</v>
      </c>
      <c r="G4715" s="2" t="str">
        <f>"Serviços de Apoio / Global / Relatórios / Auxiliares / Graus de Instrução (R_GRAINS)"</f>
        <v>Serviços de Apoio / Global / Relatórios / Auxiliares / Graus de Instrução (R_GRAINS)</v>
      </c>
    </row>
    <row r="4716" spans="1:7" x14ac:dyDescent="0.3">
      <c r="A4716" s="1" t="s">
        <v>4</v>
      </c>
      <c r="B4716" s="2" t="str">
        <f t="shared" si="393"/>
        <v>SISTEMA DE GERENCIAMENTO DAS TABELAS</v>
      </c>
      <c r="C4716" s="2" t="str">
        <f t="shared" si="394"/>
        <v>GLOBAL</v>
      </c>
      <c r="D4716" s="2" t="str">
        <f t="shared" si="394"/>
        <v>GLOBAL</v>
      </c>
      <c r="E4716" s="2" t="str">
        <f>"RELATORIO DE TIPOS DE COMUNICAÇÕES"</f>
        <v>RELATORIO DE TIPOS DE COMUNICAÇÕES</v>
      </c>
      <c r="F4716" s="2" t="str">
        <f>"R_TIPCOM"</f>
        <v>R_TIPCOM</v>
      </c>
      <c r="G4716" s="2" t="str">
        <f>"Serviços de Apoio / Global / Relatórios / Auxiliares / Meios de Comunicação (R_TIPCOM)"</f>
        <v>Serviços de Apoio / Global / Relatórios / Auxiliares / Meios de Comunicação (R_TIPCOM)</v>
      </c>
    </row>
    <row r="4717" spans="1:7" x14ac:dyDescent="0.3">
      <c r="A4717" s="1" t="s">
        <v>4</v>
      </c>
      <c r="B4717" s="2" t="str">
        <f t="shared" si="393"/>
        <v>SISTEMA DE GERENCIAMENTO DAS TABELAS</v>
      </c>
      <c r="C4717" s="2" t="str">
        <f t="shared" si="394"/>
        <v>GLOBAL</v>
      </c>
      <c r="D4717" s="2" t="str">
        <f t="shared" si="394"/>
        <v>GLOBAL</v>
      </c>
      <c r="E4717" s="2" t="str">
        <f>"CADASTRO DE PERGUNTAS"</f>
        <v>CADASTRO DE PERGUNTAS</v>
      </c>
      <c r="F4717" s="2" t="str">
        <f>"M_PERGUNTAS"</f>
        <v>M_PERGUNTAS</v>
      </c>
      <c r="G4717" s="2" t="str">
        <f>"Serviços de Apoio / Global / Globais / Perguntas (M_PERGUNTAS)"</f>
        <v>Serviços de Apoio / Global / Globais / Perguntas (M_PERGUNTAS)</v>
      </c>
    </row>
    <row r="4718" spans="1:7" x14ac:dyDescent="0.3">
      <c r="A4718" s="1" t="s">
        <v>4</v>
      </c>
      <c r="B4718" s="2" t="str">
        <f t="shared" si="393"/>
        <v>SISTEMA DE GERENCIAMENTO DAS TABELAS</v>
      </c>
      <c r="C4718" s="2" t="str">
        <f t="shared" si="394"/>
        <v>GLOBAL</v>
      </c>
      <c r="D4718" s="2" t="str">
        <f t="shared" si="394"/>
        <v>GLOBAL</v>
      </c>
      <c r="E4718" s="2" t="str">
        <f>"RELATORIOS PERSONALIZADOS"</f>
        <v>RELATORIOS PERSONALIZADOS</v>
      </c>
      <c r="F4718" s="2" t="str">
        <f>"R_PERSON"</f>
        <v>R_PERSON</v>
      </c>
      <c r="G4718" s="2" t="str">
        <f>" ()"</f>
        <v xml:space="preserve"> ()</v>
      </c>
    </row>
    <row r="4719" spans="1:7" x14ac:dyDescent="0.3">
      <c r="A4719" s="1" t="s">
        <v>4</v>
      </c>
      <c r="B4719" s="2" t="str">
        <f t="shared" si="393"/>
        <v>SISTEMA DE GERENCIAMENTO DAS TABELAS</v>
      </c>
      <c r="C4719" s="2" t="str">
        <f t="shared" si="394"/>
        <v>GLOBAL</v>
      </c>
      <c r="D4719" s="2" t="str">
        <f t="shared" si="394"/>
        <v>GLOBAL</v>
      </c>
      <c r="E4719" s="2" t="str">
        <f>"CADASTRO DE QUESTIONARIOS"</f>
        <v>CADASTRO DE QUESTIONARIOS</v>
      </c>
      <c r="F4719" s="2" t="str">
        <f>"M_QUEST"</f>
        <v>M_QUEST</v>
      </c>
      <c r="G4719" s="2" t="str">
        <f>"Serviços de Apoio / Global / Globais / Cadastro de questionários (M_QUEST)"</f>
        <v>Serviços de Apoio / Global / Globais / Cadastro de questionários (M_QUEST)</v>
      </c>
    </row>
    <row r="4720" spans="1:7" x14ac:dyDescent="0.3">
      <c r="A4720" s="1" t="s">
        <v>4</v>
      </c>
      <c r="B4720" s="2" t="str">
        <f t="shared" si="393"/>
        <v>SISTEMA DE GERENCIAMENTO DAS TABELAS</v>
      </c>
      <c r="C4720" s="2" t="str">
        <f t="shared" si="394"/>
        <v>GLOBAL</v>
      </c>
      <c r="D4720" s="2" t="str">
        <f t="shared" si="394"/>
        <v>GLOBAL</v>
      </c>
      <c r="E4720" s="2" t="str">
        <f>"CADASTRO DE GRUPO DE PERGUNTAS"</f>
        <v>CADASTRO DE GRUPO DE PERGUNTAS</v>
      </c>
      <c r="F4720" s="2" t="str">
        <f>"M_GRUPERG"</f>
        <v>M_GRUPERG</v>
      </c>
      <c r="G4720" s="2" t="str">
        <f>"Serviços de Apoio / Global / Globais / Grupo de perguntas (M_GRUPERG)"</f>
        <v>Serviços de Apoio / Global / Globais / Grupo de perguntas (M_GRUPERG)</v>
      </c>
    </row>
    <row r="4721" spans="1:7" x14ac:dyDescent="0.3">
      <c r="A4721" s="1" t="s">
        <v>4</v>
      </c>
      <c r="B4721" s="2" t="str">
        <f t="shared" si="393"/>
        <v>SISTEMA DE GERENCIAMENTO DAS TABELAS</v>
      </c>
      <c r="C4721" s="2" t="str">
        <f t="shared" si="394"/>
        <v>GLOBAL</v>
      </c>
      <c r="D4721" s="2" t="str">
        <f t="shared" si="394"/>
        <v>GLOBAL</v>
      </c>
      <c r="E4721" s="2" t="str">
        <f>"RELATÓRIO DE CENTROS DE CUSTO"</f>
        <v>RELATÓRIO DE CENTROS DE CUSTO</v>
      </c>
      <c r="F4721" s="2" t="str">
        <f>"R_CEN_CUS"</f>
        <v>R_CEN_CUS</v>
      </c>
      <c r="G4721" s="2" t="str">
        <f>" ()"</f>
        <v xml:space="preserve"> ()</v>
      </c>
    </row>
    <row r="4722" spans="1:7" x14ac:dyDescent="0.3">
      <c r="A4722" s="1" t="s">
        <v>4</v>
      </c>
      <c r="B4722" s="2" t="str">
        <f t="shared" si="393"/>
        <v>SISTEMA DE GERENCIAMENTO DAS TABELAS</v>
      </c>
      <c r="C4722" s="2" t="str">
        <f t="shared" si="394"/>
        <v>GLOBAL</v>
      </c>
      <c r="D4722" s="2" t="str">
        <f t="shared" si="394"/>
        <v>GLOBAL</v>
      </c>
      <c r="E4722" s="2" t="str">
        <f>"WIN_PRINCIPAL"</f>
        <v>WIN_PRINCIPAL</v>
      </c>
      <c r="F4722" s="2" t="str">
        <f>"M_CONFIG_GERAL"</f>
        <v>M_CONFIG_GERAL</v>
      </c>
      <c r="G4722" s="2" t="str">
        <f>"Serviços de Apoio / Global / Configurações / Funcionamento (M_CONFIG_GERAL)"</f>
        <v>Serviços de Apoio / Global / Configurações / Funcionamento (M_CONFIG_GERAL)</v>
      </c>
    </row>
    <row r="4723" spans="1:7" x14ac:dyDescent="0.3">
      <c r="A4723" s="1" t="s">
        <v>4</v>
      </c>
      <c r="B4723" s="2" t="str">
        <f t="shared" si="393"/>
        <v>SISTEMA DE GERENCIAMENTO DAS TABELAS</v>
      </c>
      <c r="C4723" s="2" t="str">
        <f t="shared" si="394"/>
        <v>GLOBAL</v>
      </c>
      <c r="D4723" s="2" t="str">
        <f t="shared" si="394"/>
        <v>GLOBAL</v>
      </c>
      <c r="E4723" s="2" t="str">
        <f>"WIN_PRINCIPAL - HOSPITAL MV SISTEMAS"</f>
        <v>WIN_PRINCIPAL - HOSPITAL MV SISTEMAS</v>
      </c>
      <c r="F4723" s="2" t="str">
        <f>"C_ITEM_HOSPITALAR_PEND"</f>
        <v>C_ITEM_HOSPITALAR_PEND</v>
      </c>
      <c r="G4723" s="2" t="str">
        <f>" ()"</f>
        <v xml:space="preserve"> ()</v>
      </c>
    </row>
    <row r="4724" spans="1:7" x14ac:dyDescent="0.3">
      <c r="A4724" s="1" t="s">
        <v>4</v>
      </c>
      <c r="B4724" s="2" t="str">
        <f t="shared" si="393"/>
        <v>SISTEMA DE GERENCIAMENTO DAS TABELAS</v>
      </c>
      <c r="C4724" s="2" t="str">
        <f t="shared" si="394"/>
        <v>GLOBAL</v>
      </c>
      <c r="D4724" s="2" t="str">
        <f t="shared" si="394"/>
        <v>GLOBAL</v>
      </c>
      <c r="E4724" s="2" t="str">
        <f>"CADASTRO: TIPOS DE LOGRADOUROS"</f>
        <v>CADASTRO: TIPOS DE LOGRADOUROS</v>
      </c>
      <c r="F4724" s="2" t="str">
        <f>"M_TIPOS_LOGRADOUROS"</f>
        <v>M_TIPOS_LOGRADOUROS</v>
      </c>
      <c r="G4724" s="2" t="str">
        <f>"Serviços de Apoio / Global / Auxiliares / Tipos de Logradouros (M_TIPOS_LOGRADOUROS)"</f>
        <v>Serviços de Apoio / Global / Auxiliares / Tipos de Logradouros (M_TIPOS_LOGRADOUROS)</v>
      </c>
    </row>
    <row r="4725" spans="1:7" x14ac:dyDescent="0.3">
      <c r="A4725" s="1" t="s">
        <v>4</v>
      </c>
      <c r="B4725" s="2" t="str">
        <f t="shared" si="393"/>
        <v>SISTEMA DE GERENCIAMENTO DAS TABELAS</v>
      </c>
      <c r="C4725" s="2" t="str">
        <f t="shared" si="394"/>
        <v>GLOBAL</v>
      </c>
      <c r="D4725" s="2" t="str">
        <f t="shared" si="394"/>
        <v>GLOBAL</v>
      </c>
      <c r="E4725" s="2" t="str">
        <f>"IMPORTAÇÃO DE PREÇOS DO BRASINDICE"</f>
        <v>IMPORTAÇÃO DE PREÇOS DO BRASINDICE</v>
      </c>
      <c r="F4725" s="2" t="str">
        <f>"O_IMPLAB"</f>
        <v>O_IMPLAB</v>
      </c>
      <c r="G4725" s="2" t="str">
        <f>" ()"</f>
        <v xml:space="preserve"> ()</v>
      </c>
    </row>
    <row r="4726" spans="1:7" x14ac:dyDescent="0.3">
      <c r="A4726" s="1" t="s">
        <v>4</v>
      </c>
      <c r="B4726" s="2" t="str">
        <f t="shared" si="393"/>
        <v>SISTEMA DE GERENCIAMENTO DAS TABELAS</v>
      </c>
      <c r="C4726" s="2" t="str">
        <f t="shared" si="394"/>
        <v>GLOBAL</v>
      </c>
      <c r="D4726" s="2" t="str">
        <f t="shared" si="394"/>
        <v>GLOBAL</v>
      </c>
      <c r="E4726" s="2" t="str">
        <f>"IDENTIFICAÇÃO"</f>
        <v>IDENTIFICAÇÃO</v>
      </c>
      <c r="F4726" s="2" t="str">
        <f>"M_GERENC_INTEGRACAO"</f>
        <v>M_GERENC_INTEGRACAO</v>
      </c>
      <c r="G4726" s="2" t="str">
        <f>" ()"</f>
        <v xml:space="preserve"> ()</v>
      </c>
    </row>
    <row r="4727" spans="1:7" x14ac:dyDescent="0.3">
      <c r="A4727" s="1" t="s">
        <v>4</v>
      </c>
      <c r="B4727" s="2" t="str">
        <f t="shared" si="393"/>
        <v>SISTEMA DE GERENCIAMENTO DAS TABELAS</v>
      </c>
      <c r="C4727" s="2" t="str">
        <f t="shared" si="394"/>
        <v>GLOBAL</v>
      </c>
      <c r="D4727" s="2" t="str">
        <f t="shared" si="394"/>
        <v>GLOBAL</v>
      </c>
      <c r="E4727" s="2" t="str">
        <f>"LOG DE INTEGRAÇÃO PACIENTE - CLIENTE"</f>
        <v>LOG DE INTEGRAÇÃO PACIENTE - CLIENTE</v>
      </c>
      <c r="F4727" s="2" t="str">
        <f>"M_INTEGRA_SAIDA_MVTO"</f>
        <v>M_INTEGRA_SAIDA_MVTO</v>
      </c>
      <c r="G4727" s="2" t="str">
        <f>" ()"</f>
        <v xml:space="preserve"> ()</v>
      </c>
    </row>
    <row r="4728" spans="1:7" x14ac:dyDescent="0.3">
      <c r="A4728" s="1" t="s">
        <v>4</v>
      </c>
      <c r="B4728" s="2" t="str">
        <f t="shared" si="393"/>
        <v>SISTEMA DE GERENCIAMENTO DAS TABELAS</v>
      </c>
      <c r="C4728" s="2" t="str">
        <f t="shared" si="394"/>
        <v>GLOBAL</v>
      </c>
      <c r="D4728" s="2" t="str">
        <f t="shared" si="394"/>
        <v>GLOBAL</v>
      </c>
      <c r="E4728" s="2" t="str">
        <f>"LOG DE INTEGRAÇÃO PACIENTE - CLIENTE"</f>
        <v>LOG DE INTEGRAÇÃO PACIENTE - CLIENTE</v>
      </c>
      <c r="F4728" s="2" t="str">
        <f>"M_INTEGRA_ENTRADA_MVTO"</f>
        <v>M_INTEGRA_ENTRADA_MVTO</v>
      </c>
      <c r="G4728" s="2" t="str">
        <f>" ()"</f>
        <v xml:space="preserve"> ()</v>
      </c>
    </row>
    <row r="4729" spans="1:7" x14ac:dyDescent="0.3">
      <c r="A4729" s="1" t="s">
        <v>4</v>
      </c>
      <c r="B4729" s="2" t="str">
        <f t="shared" si="393"/>
        <v>SISTEMA DE GERENCIAMENTO DAS TABELAS</v>
      </c>
      <c r="C4729" s="2" t="str">
        <f t="shared" si="394"/>
        <v>GLOBAL</v>
      </c>
      <c r="D4729" s="2" t="str">
        <f t="shared" si="394"/>
        <v>GLOBAL</v>
      </c>
      <c r="E4729" s="2" t="str">
        <f>"M_IMPORTA_COLETA"</f>
        <v>M_IMPORTA_COLETA</v>
      </c>
      <c r="F4729" s="2" t="str">
        <f>"M_IMPORTA_COLETA"</f>
        <v>M_IMPORTA_COLETA</v>
      </c>
      <c r="G4729" s="2" t="str">
        <f>"Materiais e Logística / Compras / Integração / Importação / Cotação (M_IMPORTA_COLETA)"</f>
        <v>Materiais e Logística / Compras / Integração / Importação / Cotação (M_IMPORTA_COLETA)</v>
      </c>
    </row>
    <row r="4730" spans="1:7" x14ac:dyDescent="0.3">
      <c r="A4730" s="1" t="s">
        <v>4</v>
      </c>
      <c r="B4730" s="2" t="str">
        <f t="shared" si="393"/>
        <v>SISTEMA DE GERENCIAMENTO DAS TABELAS</v>
      </c>
      <c r="C4730" s="2" t="str">
        <f t="shared" si="394"/>
        <v>GLOBAL</v>
      </c>
      <c r="D4730" s="2" t="str">
        <f t="shared" si="394"/>
        <v>GLOBAL</v>
      </c>
      <c r="E4730" s="2" t="str">
        <f>"WIN_PRINCIPAL - HOSPITAL MV SISTEMAS"</f>
        <v>WIN_PRINCIPAL - HOSPITAL MV SISTEMAS</v>
      </c>
      <c r="F4730" s="2" t="str">
        <f>"M_PROIBICAO_CONSULTA"</f>
        <v>M_PROIBICAO_CONSULTA</v>
      </c>
      <c r="G4730" s="2" t="str">
        <f>" ()"</f>
        <v xml:space="preserve"> ()</v>
      </c>
    </row>
    <row r="4731" spans="1:7" x14ac:dyDescent="0.3">
      <c r="A4731" s="1" t="s">
        <v>4</v>
      </c>
      <c r="B4731" s="2" t="str">
        <f t="shared" si="393"/>
        <v>SISTEMA DE GERENCIAMENTO DAS TABELAS</v>
      </c>
      <c r="C4731" s="2" t="str">
        <f t="shared" ref="C4731:D4746" si="395">"GLOBAL"</f>
        <v>GLOBAL</v>
      </c>
      <c r="D4731" s="2" t="str">
        <f t="shared" si="395"/>
        <v>GLOBAL</v>
      </c>
      <c r="E4731" s="2" t="str">
        <f>"VALIDAÇÃO DE OBJETOS"</f>
        <v>VALIDAÇÃO DE OBJETOS</v>
      </c>
      <c r="F4731" s="2" t="str">
        <f>"M_VALIDACAO"</f>
        <v>M_VALIDACAO</v>
      </c>
      <c r="G4731" s="2" t="str">
        <f>" ()"</f>
        <v xml:space="preserve"> ()</v>
      </c>
    </row>
    <row r="4732" spans="1:7" x14ac:dyDescent="0.3">
      <c r="A4732" s="1" t="s">
        <v>4</v>
      </c>
      <c r="B4732" s="2" t="str">
        <f t="shared" si="393"/>
        <v>SISTEMA DE GERENCIAMENTO DAS TABELAS</v>
      </c>
      <c r="C4732" s="2" t="str">
        <f t="shared" si="395"/>
        <v>GLOBAL</v>
      </c>
      <c r="D4732" s="2" t="str">
        <f t="shared" si="395"/>
        <v>GLOBAL</v>
      </c>
      <c r="E4732" s="2" t="str">
        <f>"CADASTRO: ITENS HOSPITALARES"</f>
        <v>CADASTRO: ITENS HOSPITALARES</v>
      </c>
      <c r="F4732" s="2" t="str">
        <f>"M_ITEM_UNICO"</f>
        <v>M_ITEM_UNICO</v>
      </c>
      <c r="G4732" s="2" t="str">
        <f>"Serviços de Apoio / Global / Globais / Item Hospitalar (M_ITEM_UNICO)"</f>
        <v>Serviços de Apoio / Global / Globais / Item Hospitalar (M_ITEM_UNICO)</v>
      </c>
    </row>
    <row r="4733" spans="1:7" x14ac:dyDescent="0.3">
      <c r="A4733" s="1" t="s">
        <v>4</v>
      </c>
      <c r="B4733" s="2" t="str">
        <f t="shared" si="393"/>
        <v>SISTEMA DE GERENCIAMENTO DAS TABELAS</v>
      </c>
      <c r="C4733" s="2" t="str">
        <f t="shared" si="395"/>
        <v>GLOBAL</v>
      </c>
      <c r="D4733" s="2" t="str">
        <f t="shared" si="395"/>
        <v>GLOBAL</v>
      </c>
      <c r="E4733" s="2" t="str">
        <f>"AUTORIZADOR MV2000I"</f>
        <v>AUTORIZADOR MV2000I</v>
      </c>
      <c r="F4733" s="2" t="str">
        <f>"AUTORIZADOR_MV2000"</f>
        <v>AUTORIZADOR_MV2000</v>
      </c>
      <c r="G4733" s="2" t="str">
        <f>" ()"</f>
        <v xml:space="preserve"> ()</v>
      </c>
    </row>
    <row r="4734" spans="1:7" x14ac:dyDescent="0.3">
      <c r="A4734" s="1" t="s">
        <v>4</v>
      </c>
      <c r="B4734" s="2" t="str">
        <f t="shared" si="393"/>
        <v>SISTEMA DE GERENCIAMENTO DAS TABELAS</v>
      </c>
      <c r="C4734" s="2" t="str">
        <f t="shared" si="395"/>
        <v>GLOBAL</v>
      </c>
      <c r="D4734" s="2" t="str">
        <f t="shared" si="395"/>
        <v>GLOBAL</v>
      </c>
      <c r="E4734" s="2" t="str">
        <f>"M_PROIBICAO_CARTEIRA"</f>
        <v>M_PROIBICAO_CARTEIRA</v>
      </c>
      <c r="F4734" s="2" t="str">
        <f>"M_PROIBICAO_CARTEIRA"</f>
        <v>M_PROIBICAO_CARTEIRA</v>
      </c>
      <c r="G4734" s="2" t="str">
        <f>"Serviços de Apoio / Global / Globais / Proibição de Carteiras do Convênio (M_PROIBICAO_CARTEIRA)"</f>
        <v>Serviços de Apoio / Global / Globais / Proibição de Carteiras do Convênio (M_PROIBICAO_CARTEIRA)</v>
      </c>
    </row>
    <row r="4735" spans="1:7" x14ac:dyDescent="0.3">
      <c r="A4735" s="1" t="s">
        <v>4</v>
      </c>
      <c r="B4735" s="2" t="str">
        <f t="shared" si="393"/>
        <v>SISTEMA DE GERENCIAMENTO DAS TABELAS</v>
      </c>
      <c r="C4735" s="2" t="str">
        <f t="shared" si="395"/>
        <v>GLOBAL</v>
      </c>
      <c r="D4735" s="2" t="str">
        <f t="shared" si="395"/>
        <v>GLOBAL</v>
      </c>
      <c r="E4735" s="2" t="str">
        <f>"CADASTRO GERAL DE PARAMETROS"</f>
        <v>CADASTRO GERAL DE PARAMETROS</v>
      </c>
      <c r="F4735" s="2" t="str">
        <f>"CONFIG_SERVICE"</f>
        <v>CONFIG_SERVICE</v>
      </c>
      <c r="G4735" s="2" t="str">
        <f>"Serviços de Apoio / Global / Configurações / Cadastro Geral de Parâmetros (CONFIG_SERVICE)"</f>
        <v>Serviços de Apoio / Global / Configurações / Cadastro Geral de Parâmetros (CONFIG_SERVICE)</v>
      </c>
    </row>
    <row r="4736" spans="1:7" x14ac:dyDescent="0.3">
      <c r="A4736" s="1" t="s">
        <v>4</v>
      </c>
      <c r="B4736" s="2" t="str">
        <f t="shared" si="393"/>
        <v>SISTEMA DE GERENCIAMENTO DAS TABELAS</v>
      </c>
      <c r="C4736" s="2" t="str">
        <f t="shared" si="395"/>
        <v>GLOBAL</v>
      </c>
      <c r="D4736" s="2" t="str">
        <f t="shared" si="395"/>
        <v>GLOBAL</v>
      </c>
      <c r="E4736" s="2" t="str">
        <f>"PANEL ELECTRÓNICO DIGITAL PARA ATENCIÓN"</f>
        <v>PANEL ELECTRÓNICO DIGITAL PARA ATENCIÓN</v>
      </c>
      <c r="F4736" s="2" t="str">
        <f>"M_CAD_PAINEL"</f>
        <v>M_CAD_PAINEL</v>
      </c>
      <c r="G4736" s="2" t="str">
        <f>"Serviços de Apoio / Global / Configurações / Cadastro de Painel Digital (M_CAD_PAINEL)"</f>
        <v>Serviços de Apoio / Global / Configurações / Cadastro de Painel Digital (M_CAD_PAINEL)</v>
      </c>
    </row>
    <row r="4737" spans="1:7" x14ac:dyDescent="0.3">
      <c r="A4737" s="1" t="s">
        <v>4</v>
      </c>
      <c r="B4737" s="2" t="str">
        <f t="shared" si="393"/>
        <v>SISTEMA DE GERENCIAMENTO DAS TABELAS</v>
      </c>
      <c r="C4737" s="2" t="str">
        <f t="shared" si="395"/>
        <v>GLOBAL</v>
      </c>
      <c r="D4737" s="2" t="str">
        <f t="shared" si="395"/>
        <v>GLOBAL</v>
      </c>
      <c r="E4737" s="2" t="str">
        <f>"CADASTRO DE MÁQUINAS DO MV2000"</f>
        <v>CADASTRO DE MÁQUINAS DO MV2000</v>
      </c>
      <c r="F4737" s="2" t="str">
        <f>"M_REG_MAQUINA"</f>
        <v>M_REG_MAQUINA</v>
      </c>
      <c r="G4737" s="2" t="str">
        <f>"Serviços de Apoio / Global / Configurações / Cadastro de Máquinas (M_REG_MAQUINA)"</f>
        <v>Serviços de Apoio / Global / Configurações / Cadastro de Máquinas (M_REG_MAQUINA)</v>
      </c>
    </row>
    <row r="4738" spans="1:7" x14ac:dyDescent="0.3">
      <c r="A4738" s="1" t="s">
        <v>4</v>
      </c>
      <c r="B4738" s="2" t="str">
        <f t="shared" si="393"/>
        <v>SISTEMA DE GERENCIAMENTO DAS TABELAS</v>
      </c>
      <c r="C4738" s="2" t="str">
        <f t="shared" si="395"/>
        <v>GLOBAL</v>
      </c>
      <c r="D4738" s="2" t="str">
        <f t="shared" si="395"/>
        <v>GLOBAL</v>
      </c>
      <c r="E4738" s="2" t="str">
        <f>"RELATORIO DE BANCOS"</f>
        <v>RELATORIO DE BANCOS</v>
      </c>
      <c r="F4738" s="2" t="str">
        <f>"R_BANCO"</f>
        <v>R_BANCO</v>
      </c>
      <c r="G4738" s="2" t="s">
        <v>10</v>
      </c>
    </row>
    <row r="4739" spans="1:7" x14ac:dyDescent="0.3">
      <c r="A4739" s="1" t="s">
        <v>4</v>
      </c>
      <c r="B4739" s="2" t="str">
        <f t="shared" si="393"/>
        <v>SISTEMA DE GERENCIAMENTO DAS TABELAS</v>
      </c>
      <c r="C4739" s="2" t="str">
        <f t="shared" si="395"/>
        <v>GLOBAL</v>
      </c>
      <c r="D4739" s="2" t="str">
        <f t="shared" si="395"/>
        <v>GLOBAL</v>
      </c>
      <c r="E4739" s="2" t="str">
        <f>"RELATORIO DE BANCOS"</f>
        <v>RELATORIO DE BANCOS</v>
      </c>
      <c r="F4739" s="2" t="str">
        <f>"R_BANCO"</f>
        <v>R_BANCO</v>
      </c>
      <c r="G4739" s="2" t="str">
        <f>"Serviços de Apoio / Global / Relatórios / Globais / Bancos (R_BANCO)"</f>
        <v>Serviços de Apoio / Global / Relatórios / Globais / Bancos (R_BANCO)</v>
      </c>
    </row>
    <row r="4740" spans="1:7" x14ac:dyDescent="0.3">
      <c r="A4740" s="1" t="s">
        <v>4</v>
      </c>
      <c r="B4740" s="2" t="str">
        <f t="shared" si="393"/>
        <v>SISTEMA DE GERENCIAMENTO DAS TABELAS</v>
      </c>
      <c r="C4740" s="2" t="str">
        <f t="shared" si="395"/>
        <v>GLOBAL</v>
      </c>
      <c r="D4740" s="2" t="str">
        <f t="shared" si="395"/>
        <v>GLOBAL</v>
      </c>
      <c r="E4740" s="2" t="str">
        <f>"RELATORIO DE BANCOS"</f>
        <v>RELATORIO DE BANCOS</v>
      </c>
      <c r="F4740" s="2" t="str">
        <f>"R_BANCO"</f>
        <v>R_BANCO</v>
      </c>
      <c r="G4740" s="2" t="str">
        <f>"MVSaude / Relatórios / Tabelas / Comercial / Bancos (R_BANCO)"</f>
        <v>MVSaude / Relatórios / Tabelas / Comercial / Bancos (R_BANCO)</v>
      </c>
    </row>
    <row r="4741" spans="1:7" x14ac:dyDescent="0.3">
      <c r="A4741" s="1" t="s">
        <v>4</v>
      </c>
      <c r="B4741" s="2" t="str">
        <f t="shared" si="393"/>
        <v>SISTEMA DE GERENCIAMENTO DAS TABELAS</v>
      </c>
      <c r="C4741" s="2" t="str">
        <f t="shared" si="395"/>
        <v>GLOBAL</v>
      </c>
      <c r="D4741" s="2" t="str">
        <f t="shared" si="395"/>
        <v>GLOBAL</v>
      </c>
      <c r="E4741" s="2" t="str">
        <f>"CONFIGURAÇÃO CADASTRO DE PACIENTES"</f>
        <v>CONFIGURAÇÃO CADASTRO DE PACIENTES</v>
      </c>
      <c r="F4741" s="2" t="str">
        <f>"M_CONPAC"</f>
        <v>M_CONPAC</v>
      </c>
      <c r="G4741" s="2" t="str">
        <f t="shared" ref="G4741:G4749" si="396">" ()"</f>
        <v xml:space="preserve"> ()</v>
      </c>
    </row>
    <row r="4742" spans="1:7" x14ac:dyDescent="0.3">
      <c r="A4742" s="1" t="s">
        <v>4</v>
      </c>
      <c r="B4742" s="2" t="str">
        <f t="shared" si="393"/>
        <v>SISTEMA DE GERENCIAMENTO DAS TABELAS</v>
      </c>
      <c r="C4742" s="2" t="str">
        <f t="shared" si="395"/>
        <v>GLOBAL</v>
      </c>
      <c r="D4742" s="2" t="str">
        <f t="shared" si="395"/>
        <v>GLOBAL</v>
      </c>
      <c r="E4742" s="2" t="str">
        <f>"MENU DO SISTEMA DE TABELAS"</f>
        <v>MENU DO SISTEMA DE TABELAS</v>
      </c>
      <c r="F4742" s="2" t="str">
        <f>"MSISGLO"</f>
        <v>MSISGLO</v>
      </c>
      <c r="G4742" s="2" t="str">
        <f t="shared" si="396"/>
        <v xml:space="preserve"> ()</v>
      </c>
    </row>
    <row r="4743" spans="1:7" x14ac:dyDescent="0.3">
      <c r="A4743" s="1" t="s">
        <v>4</v>
      </c>
      <c r="B4743" s="2" t="str">
        <f t="shared" si="393"/>
        <v>SISTEMA DE GERENCIAMENTO DAS TABELAS</v>
      </c>
      <c r="C4743" s="2" t="str">
        <f t="shared" si="395"/>
        <v>GLOBAL</v>
      </c>
      <c r="D4743" s="2" t="str">
        <f t="shared" si="395"/>
        <v>GLOBAL</v>
      </c>
      <c r="E4743" s="2" t="str">
        <f>"TELA DE ENTRADA DO SISTEMA"</f>
        <v>TELA DE ENTRADA DO SISTEMA</v>
      </c>
      <c r="F4743" s="2" t="str">
        <f>"GLOBAL"</f>
        <v>GLOBAL</v>
      </c>
      <c r="G4743" s="2" t="str">
        <f t="shared" si="396"/>
        <v xml:space="preserve"> ()</v>
      </c>
    </row>
    <row r="4744" spans="1:7" x14ac:dyDescent="0.3">
      <c r="A4744" s="1" t="s">
        <v>4</v>
      </c>
      <c r="B4744" s="2" t="str">
        <f t="shared" si="393"/>
        <v>SISTEMA DE GERENCIAMENTO DAS TABELAS</v>
      </c>
      <c r="C4744" s="2" t="str">
        <f t="shared" si="395"/>
        <v>GLOBAL</v>
      </c>
      <c r="D4744" s="2" t="str">
        <f t="shared" si="395"/>
        <v>GLOBAL</v>
      </c>
      <c r="E4744" s="2" t="str">
        <f>"DOENÇAS DE NOTIFICAÇÃO COMPULSÓRIA"</f>
        <v>DOENÇAS DE NOTIFICAÇÃO COMPULSÓRIA</v>
      </c>
      <c r="F4744" s="2" t="str">
        <f>"R_PAC_D_COMPULSORIA"</f>
        <v>R_PAC_D_COMPULSORIA</v>
      </c>
      <c r="G4744" s="2" t="str">
        <f t="shared" si="396"/>
        <v xml:space="preserve"> ()</v>
      </c>
    </row>
    <row r="4745" spans="1:7" x14ac:dyDescent="0.3">
      <c r="A4745" s="1" t="s">
        <v>4</v>
      </c>
      <c r="B4745" s="2" t="str">
        <f t="shared" si="393"/>
        <v>SISTEMA DE GERENCIAMENTO DAS TABELAS</v>
      </c>
      <c r="C4745" s="2" t="str">
        <f t="shared" si="395"/>
        <v>GLOBAL</v>
      </c>
      <c r="D4745" s="2" t="str">
        <f t="shared" si="395"/>
        <v>GLOBAL</v>
      </c>
      <c r="E4745" s="2" t="str">
        <f>"M_LANCA_HISTO"</f>
        <v>M_LANCA_HISTO</v>
      </c>
      <c r="F4745" s="2" t="str">
        <f>"M_LANCA_HISTO"</f>
        <v>M_LANCA_HISTO</v>
      </c>
      <c r="G4745" s="2" t="str">
        <f t="shared" si="396"/>
        <v xml:space="preserve"> ()</v>
      </c>
    </row>
    <row r="4746" spans="1:7" x14ac:dyDescent="0.3">
      <c r="A4746" s="1" t="s">
        <v>4</v>
      </c>
      <c r="B4746" s="2" t="str">
        <f t="shared" si="393"/>
        <v>SISTEMA DE GERENCIAMENTO DAS TABELAS</v>
      </c>
      <c r="C4746" s="2" t="str">
        <f t="shared" si="395"/>
        <v>GLOBAL</v>
      </c>
      <c r="D4746" s="2" t="str">
        <f t="shared" si="395"/>
        <v>GLOBAL</v>
      </c>
      <c r="E4746" s="2" t="str">
        <f>"[VERSÃO BETA]"</f>
        <v>[VERSÃO BETA]</v>
      </c>
      <c r="F4746" s="2" t="str">
        <f>"M_LANCA_CITO"</f>
        <v>M_LANCA_CITO</v>
      </c>
      <c r="G4746" s="2" t="str">
        <f t="shared" si="396"/>
        <v xml:space="preserve"> ()</v>
      </c>
    </row>
    <row r="4747" spans="1:7" x14ac:dyDescent="0.3">
      <c r="A4747" s="1" t="s">
        <v>4</v>
      </c>
      <c r="B4747" s="2" t="str">
        <f t="shared" ref="B4747:B4810" si="397">"SISTEMA DE GERENCIAMENTO DE HOME CARE"</f>
        <v>SISTEMA DE GERENCIAMENTO DE HOME CARE</v>
      </c>
      <c r="C4747" s="2" t="str">
        <f t="shared" ref="C4747:C4810" si="398">"APOIO"</f>
        <v>APOIO</v>
      </c>
      <c r="D4747" s="2" t="str">
        <f t="shared" ref="D4747:D4810" si="399">"HOCA"</f>
        <v>HOCA</v>
      </c>
      <c r="E4747" s="2" t="str">
        <f>"RELATÓRIO DE CONFIGURAÇÕES DE PENDÊNCIAS"</f>
        <v>RELATÓRIO DE CONFIGURAÇÕES DE PENDÊNCIAS</v>
      </c>
      <c r="F4747" s="2" t="str">
        <f>"R_CONFIG_PENDENCIA.RDF"</f>
        <v>R_CONFIG_PENDENCIA.RDF</v>
      </c>
      <c r="G4747" s="2" t="str">
        <f t="shared" si="396"/>
        <v xml:space="preserve"> ()</v>
      </c>
    </row>
    <row r="4748" spans="1:7" x14ac:dyDescent="0.3">
      <c r="A4748" s="1" t="s">
        <v>4</v>
      </c>
      <c r="B4748" s="2" t="str">
        <f t="shared" si="397"/>
        <v>SISTEMA DE GERENCIAMENTO DE HOME CARE</v>
      </c>
      <c r="C4748" s="2" t="str">
        <f t="shared" si="398"/>
        <v>APOIO</v>
      </c>
      <c r="D4748" s="2" t="str">
        <f t="shared" si="399"/>
        <v>HOCA</v>
      </c>
      <c r="E4748" s="2" t="str">
        <f>"FORNECEDORES - HOSPITAL MV SISTEMAS"</f>
        <v>FORNECEDORES - HOSPITAL MV SISTEMAS</v>
      </c>
      <c r="F4748" s="2" t="str">
        <f>"M_PROD_FORN_HOCA"</f>
        <v>M_PROD_FORN_HOCA</v>
      </c>
      <c r="G4748" s="2" t="str">
        <f t="shared" si="396"/>
        <v xml:space="preserve"> ()</v>
      </c>
    </row>
    <row r="4749" spans="1:7" x14ac:dyDescent="0.3">
      <c r="A4749" s="1" t="s">
        <v>4</v>
      </c>
      <c r="B4749" s="2" t="str">
        <f t="shared" si="397"/>
        <v>SISTEMA DE GERENCIAMENTO DE HOME CARE</v>
      </c>
      <c r="C4749" s="2" t="str">
        <f t="shared" si="398"/>
        <v>APOIO</v>
      </c>
      <c r="D4749" s="2" t="str">
        <f t="shared" si="399"/>
        <v>HOCA</v>
      </c>
      <c r="E4749" s="2" t="str">
        <f>"RELATÓRIO DE ITENS LOCADOS"</f>
        <v>RELATÓRIO DE ITENS LOCADOS</v>
      </c>
      <c r="F4749" s="2" t="str">
        <f>"R_ITENS_LOCADOS.RDF"</f>
        <v>R_ITENS_LOCADOS.RDF</v>
      </c>
      <c r="G4749" s="2" t="str">
        <f t="shared" si="396"/>
        <v xml:space="preserve"> ()</v>
      </c>
    </row>
    <row r="4750" spans="1:7" x14ac:dyDescent="0.3">
      <c r="A4750" s="1" t="s">
        <v>4</v>
      </c>
      <c r="B4750" s="2" t="str">
        <f t="shared" si="397"/>
        <v>SISTEMA DE GERENCIAMENTO DE HOME CARE</v>
      </c>
      <c r="C4750" s="2" t="str">
        <f t="shared" si="398"/>
        <v>APOIO</v>
      </c>
      <c r="D4750" s="2" t="str">
        <f t="shared" si="399"/>
        <v>HOCA</v>
      </c>
      <c r="E4750" s="2" t="str">
        <f>"TIPOS DE SOLOCITACOES"</f>
        <v>TIPOS DE SOLOCITACOES</v>
      </c>
      <c r="F4750" s="2" t="str">
        <f>"M_TIP_SOLICITACAO"</f>
        <v>M_TIP_SOLICITACAO</v>
      </c>
      <c r="G4750" s="2" t="str">
        <f>"Atendimento / Internação Domiciliar (Home Care) / Tabelas / Tipos de Solicitações (M_TIP_SOLICITACAO)"</f>
        <v>Atendimento / Internação Domiciliar (Home Care) / Tabelas / Tipos de Solicitações (M_TIP_SOLICITACAO)</v>
      </c>
    </row>
    <row r="4751" spans="1:7" x14ac:dyDescent="0.3">
      <c r="A4751" s="1" t="s">
        <v>4</v>
      </c>
      <c r="B4751" s="2" t="str">
        <f t="shared" si="397"/>
        <v>SISTEMA DE GERENCIAMENTO DE HOME CARE</v>
      </c>
      <c r="C4751" s="2" t="str">
        <f t="shared" si="398"/>
        <v>APOIO</v>
      </c>
      <c r="D4751" s="2" t="str">
        <f t="shared" si="399"/>
        <v>HOCA</v>
      </c>
      <c r="E4751" s="2" t="str">
        <f>"Transferência de Tipo de Acomodação"</f>
        <v>Transferência de Tipo de Acomodação</v>
      </c>
      <c r="F4751" s="2" t="str">
        <f>"M_TRANSF_TP_ACOMODACAO"</f>
        <v>M_TRANSF_TP_ACOMODACAO</v>
      </c>
      <c r="G4751" s="2" t="str">
        <f>"Atendimento / Internação Domiciliar (Home Care) / Recepção / Transferência de Tipo de Acomodação (M_TRANSF_TP_ACOMODACAO)"</f>
        <v>Atendimento / Internação Domiciliar (Home Care) / Recepção / Transferência de Tipo de Acomodação (M_TRANSF_TP_ACOMODACAO)</v>
      </c>
    </row>
    <row r="4752" spans="1:7" x14ac:dyDescent="0.3">
      <c r="A4752" s="1" t="s">
        <v>4</v>
      </c>
      <c r="B4752" s="2" t="str">
        <f t="shared" si="397"/>
        <v>SISTEMA DE GERENCIAMENTO DE HOME CARE</v>
      </c>
      <c r="C4752" s="2" t="str">
        <f t="shared" si="398"/>
        <v>APOIO</v>
      </c>
      <c r="D4752" s="2" t="str">
        <f t="shared" si="399"/>
        <v>HOCA</v>
      </c>
      <c r="E4752" s="2" t="str">
        <f>"RELATÓRIO DE PRESTADORES"</f>
        <v>RELATÓRIO DE PRESTADORES</v>
      </c>
      <c r="F4752" s="2" t="str">
        <f>"R_TIPO_PACIENTE"</f>
        <v>R_TIPO_PACIENTE</v>
      </c>
      <c r="G4752" s="2" t="str">
        <f>"Atendimento / Internação Domiciliar (Home Care) / Relatórios / Tabelas / Planos de Cuidados / Tipo de Paciente (R_TIPO_PACIENTE)"</f>
        <v>Atendimento / Internação Domiciliar (Home Care) / Relatórios / Tabelas / Planos de Cuidados / Tipo de Paciente (R_TIPO_PACIENTE)</v>
      </c>
    </row>
    <row r="4753" spans="1:7" x14ac:dyDescent="0.3">
      <c r="A4753" s="1" t="s">
        <v>4</v>
      </c>
      <c r="B4753" s="2" t="str">
        <f t="shared" si="397"/>
        <v>SISTEMA DE GERENCIAMENTO DE HOME CARE</v>
      </c>
      <c r="C4753" s="2" t="str">
        <f t="shared" si="398"/>
        <v>APOIO</v>
      </c>
      <c r="D4753" s="2" t="str">
        <f t="shared" si="399"/>
        <v>HOCA</v>
      </c>
      <c r="E4753" s="2" t="str">
        <f>"CADASTRO PACIENTE - HOCA"</f>
        <v>CADASTRO PACIENTE - HOCA</v>
      </c>
      <c r="F4753" s="2" t="str">
        <f>"CAD_PAC_HOCA"</f>
        <v>CAD_PAC_HOCA</v>
      </c>
      <c r="G4753" s="2" t="str">
        <f>"Atendimento / Internação Domiciliar (Home Care) / Recepção / Cadastro de Paciente (CAD_PAC_HOCA)"</f>
        <v>Atendimento / Internação Domiciliar (Home Care) / Recepção / Cadastro de Paciente (CAD_PAC_HOCA)</v>
      </c>
    </row>
    <row r="4754" spans="1:7" x14ac:dyDescent="0.3">
      <c r="A4754" s="1" t="s">
        <v>4</v>
      </c>
      <c r="B4754" s="2" t="str">
        <f t="shared" si="397"/>
        <v>SISTEMA DE GERENCIAMENTO DE HOME CARE</v>
      </c>
      <c r="C4754" s="2" t="str">
        <f t="shared" si="398"/>
        <v>APOIO</v>
      </c>
      <c r="D4754" s="2" t="str">
        <f t="shared" si="399"/>
        <v>HOCA</v>
      </c>
      <c r="E4754" s="2" t="str">
        <f>"RENTABILIDADE DO PACIENTE"</f>
        <v>RENTABILIDADE DO PACIENTE</v>
      </c>
      <c r="F4754" s="2" t="str">
        <f>"R_RENTABILIDADE"</f>
        <v>R_RENTABILIDADE</v>
      </c>
      <c r="G4754" s="2" t="str">
        <f>"Atendimento / Internação Domiciliar (Home Care) / Relatórios / Operacionais / Rentabilidade do Paciente (R_RENTABILIDADE)"</f>
        <v>Atendimento / Internação Domiciliar (Home Care) / Relatórios / Operacionais / Rentabilidade do Paciente (R_RENTABILIDADE)</v>
      </c>
    </row>
    <row r="4755" spans="1:7" x14ac:dyDescent="0.3">
      <c r="A4755" s="1" t="s">
        <v>4</v>
      </c>
      <c r="B4755" s="2" t="str">
        <f t="shared" si="397"/>
        <v>SISTEMA DE GERENCIAMENTO DE HOME CARE</v>
      </c>
      <c r="C4755" s="2" t="str">
        <f t="shared" si="398"/>
        <v>APOIO</v>
      </c>
      <c r="D4755" s="2" t="str">
        <f t="shared" si="399"/>
        <v>HOCA</v>
      </c>
      <c r="E4755" s="2" t="str">
        <f>"DEVOLUCAO DE ITENS LOCADOS"</f>
        <v>DEVOLUCAO DE ITENS LOCADOS</v>
      </c>
      <c r="F4755" s="2" t="str">
        <f>"M_DEV_ITLOCADOS"</f>
        <v>M_DEV_ITLOCADOS</v>
      </c>
      <c r="G4755" s="2" t="str">
        <f>"Atendimento / Internação Domiciliar (Home Care) / Logística / Devolução de Materiais (M_DEV_ITLOCADOS)"</f>
        <v>Atendimento / Internação Domiciliar (Home Care) / Logística / Devolução de Materiais (M_DEV_ITLOCADOS)</v>
      </c>
    </row>
    <row r="4756" spans="1:7" x14ac:dyDescent="0.3">
      <c r="A4756" s="1" t="s">
        <v>4</v>
      </c>
      <c r="B4756" s="2" t="str">
        <f t="shared" si="397"/>
        <v>SISTEMA DE GERENCIAMENTO DE HOME CARE</v>
      </c>
      <c r="C4756" s="2" t="str">
        <f t="shared" si="398"/>
        <v>APOIO</v>
      </c>
      <c r="D4756" s="2" t="str">
        <f t="shared" si="399"/>
        <v>HOCA</v>
      </c>
      <c r="E4756" s="2" t="str">
        <f>"ORÇAMENTO DE HOME CARE"</f>
        <v>ORÇAMENTO DE HOME CARE</v>
      </c>
      <c r="F4756" s="2" t="str">
        <f>"M_ORCA_HOCA"</f>
        <v>M_ORCA_HOCA</v>
      </c>
      <c r="G4756" s="2" t="str">
        <f>"Atendimento / Internação Domiciliar (Home Care) / Recepção / Orçamento / Cadastro do Orçamento (M_ORCA_HOCA)"</f>
        <v>Atendimento / Internação Domiciliar (Home Care) / Recepção / Orçamento / Cadastro do Orçamento (M_ORCA_HOCA)</v>
      </c>
    </row>
    <row r="4757" spans="1:7" x14ac:dyDescent="0.3">
      <c r="A4757" s="1" t="s">
        <v>4</v>
      </c>
      <c r="B4757" s="2" t="str">
        <f t="shared" si="397"/>
        <v>SISTEMA DE GERENCIAMENTO DE HOME CARE</v>
      </c>
      <c r="C4757" s="2" t="str">
        <f t="shared" si="398"/>
        <v>APOIO</v>
      </c>
      <c r="D4757" s="2" t="str">
        <f t="shared" si="399"/>
        <v>HOCA</v>
      </c>
      <c r="E4757" s="2" t="str">
        <f>"ITENS A EXAMINAR"</f>
        <v>ITENS A EXAMINAR</v>
      </c>
      <c r="F4757" s="2" t="str">
        <f>"M_ITENS_EXAMINAR"</f>
        <v>M_ITENS_EXAMINAR</v>
      </c>
      <c r="G4757" s="2" t="str">
        <f>"Atendimento / Internação Domiciliar (Home Care) / Tabelas / Plano de Cuidados / Itens a Examinar (M_ITENS_EXAMINAR)"</f>
        <v>Atendimento / Internação Domiciliar (Home Care) / Tabelas / Plano de Cuidados / Itens a Examinar (M_ITENS_EXAMINAR)</v>
      </c>
    </row>
    <row r="4758" spans="1:7" x14ac:dyDescent="0.3">
      <c r="A4758" s="1" t="s">
        <v>4</v>
      </c>
      <c r="B4758" s="2" t="str">
        <f t="shared" si="397"/>
        <v>SISTEMA DE GERENCIAMENTO DE HOME CARE</v>
      </c>
      <c r="C4758" s="2" t="str">
        <f t="shared" si="398"/>
        <v>APOIO</v>
      </c>
      <c r="D4758" s="2" t="str">
        <f t="shared" si="399"/>
        <v>HOCA</v>
      </c>
      <c r="E4758" s="2" t="str">
        <f>"TIPOS DE PACIENTES"</f>
        <v>TIPOS DE PACIENTES</v>
      </c>
      <c r="F4758" s="2" t="str">
        <f>"M_TIPO_PACIENTE"</f>
        <v>M_TIPO_PACIENTE</v>
      </c>
      <c r="G4758" s="2" t="str">
        <f>"Atendimento / Internação Domiciliar (Home Care) / Tabelas / Plano de Cuidados / Tipos de Pacientes (M_TIPO_PACIENTE)"</f>
        <v>Atendimento / Internação Domiciliar (Home Care) / Tabelas / Plano de Cuidados / Tipos de Pacientes (M_TIPO_PACIENTE)</v>
      </c>
    </row>
    <row r="4759" spans="1:7" x14ac:dyDescent="0.3">
      <c r="A4759" s="1" t="s">
        <v>4</v>
      </c>
      <c r="B4759" s="2" t="str">
        <f t="shared" si="397"/>
        <v>SISTEMA DE GERENCIAMENTO DE HOME CARE</v>
      </c>
      <c r="C4759" s="2" t="str">
        <f t="shared" si="398"/>
        <v>APOIO</v>
      </c>
      <c r="D4759" s="2" t="str">
        <f t="shared" si="399"/>
        <v>HOCA</v>
      </c>
      <c r="E4759" s="2" t="str">
        <f>"CENSO HOSPITALAR - TESTE"</f>
        <v>CENSO HOSPITALAR - TESTE</v>
      </c>
      <c r="F4759" s="2" t="str">
        <f>"R_CENSO_HCARE"</f>
        <v>R_CENSO_HCARE</v>
      </c>
      <c r="G4759" s="2" t="str">
        <f>"Atendimento / Internação Domiciliar (Home Care) / Relatórios / Operacionais / Censo (R_CENSO_HCARE)"</f>
        <v>Atendimento / Internação Domiciliar (Home Care) / Relatórios / Operacionais / Censo (R_CENSO_HCARE)</v>
      </c>
    </row>
    <row r="4760" spans="1:7" x14ac:dyDescent="0.3">
      <c r="A4760" s="1" t="s">
        <v>4</v>
      </c>
      <c r="B4760" s="2" t="str">
        <f t="shared" si="397"/>
        <v>SISTEMA DE GERENCIAMENTO DE HOME CARE</v>
      </c>
      <c r="C4760" s="2" t="str">
        <f t="shared" si="398"/>
        <v>APOIO</v>
      </c>
      <c r="D4760" s="2" t="str">
        <f t="shared" si="399"/>
        <v>HOCA</v>
      </c>
      <c r="E4760" s="2" t="str">
        <f>"PLANO DE CUIDADOS"</f>
        <v>PLANO DE CUIDADOS</v>
      </c>
      <c r="F4760" s="2" t="str">
        <f>"M_PLANO_CUIDADOS"</f>
        <v>M_PLANO_CUIDADOS</v>
      </c>
      <c r="G4760" s="2" t="str">
        <f>"Atendimento / Internação Domiciliar (Home Care) / Enfermagem / Plano de Cuidados (M_PLANO_CUIDADOS)"</f>
        <v>Atendimento / Internação Domiciliar (Home Care) / Enfermagem / Plano de Cuidados (M_PLANO_CUIDADOS)</v>
      </c>
    </row>
    <row r="4761" spans="1:7" x14ac:dyDescent="0.3">
      <c r="A4761" s="1" t="s">
        <v>4</v>
      </c>
      <c r="B4761" s="2" t="str">
        <f t="shared" si="397"/>
        <v>SISTEMA DE GERENCIAMENTO DE HOME CARE</v>
      </c>
      <c r="C4761" s="2" t="str">
        <f t="shared" si="398"/>
        <v>APOIO</v>
      </c>
      <c r="D4761" s="2" t="str">
        <f t="shared" si="399"/>
        <v>HOCA</v>
      </c>
      <c r="E4761" s="2" t="str">
        <f>"CONSULTA DO QUADRO DE PENDENCIAS"</f>
        <v>CONSULTA DO QUADRO DE PENDENCIAS</v>
      </c>
      <c r="F4761" s="2" t="str">
        <f>"C_QUADRO_PEND"</f>
        <v>C_QUADRO_PEND</v>
      </c>
      <c r="G4761" s="2" t="str">
        <f>" ()"</f>
        <v xml:space="preserve"> ()</v>
      </c>
    </row>
    <row r="4762" spans="1:7" x14ac:dyDescent="0.3">
      <c r="A4762" s="1" t="s">
        <v>4</v>
      </c>
      <c r="B4762" s="2" t="str">
        <f t="shared" si="397"/>
        <v>SISTEMA DE GERENCIAMENTO DE HOME CARE</v>
      </c>
      <c r="C4762" s="2" t="str">
        <f t="shared" si="398"/>
        <v>APOIO</v>
      </c>
      <c r="D4762" s="2" t="str">
        <f t="shared" si="399"/>
        <v>HOCA</v>
      </c>
      <c r="E4762" s="2" t="str">
        <f>"MANUTENÇÃO DE PACIENTES"</f>
        <v>MANUTENÇÃO DE PACIENTES</v>
      </c>
      <c r="F4762" s="2" t="str">
        <f>"R_MANUTENCAO_PACIENTE"</f>
        <v>R_MANUTENCAO_PACIENTE</v>
      </c>
      <c r="G4762" s="2" t="str">
        <f>"Atendimento / Internação Domiciliar (Home Care) / Relatórios / Operacionais / Manutenção de Pacientes (R_MANUTENCAO_PACIENTE)"</f>
        <v>Atendimento / Internação Domiciliar (Home Care) / Relatórios / Operacionais / Manutenção de Pacientes (R_MANUTENCAO_PACIENTE)</v>
      </c>
    </row>
    <row r="4763" spans="1:7" x14ac:dyDescent="0.3">
      <c r="A4763" s="1" t="s">
        <v>4</v>
      </c>
      <c r="B4763" s="2" t="str">
        <f t="shared" si="397"/>
        <v>SISTEMA DE GERENCIAMENTO DE HOME CARE</v>
      </c>
      <c r="C4763" s="2" t="str">
        <f t="shared" si="398"/>
        <v>APOIO</v>
      </c>
      <c r="D4763" s="2" t="str">
        <f t="shared" si="399"/>
        <v>HOCA</v>
      </c>
      <c r="E4763" s="2" t="str">
        <f>"TIPO DE CUSTOS"</f>
        <v>TIPO DE CUSTOS</v>
      </c>
      <c r="F4763" s="2" t="str">
        <f>"M_TIPO_CUSTO"</f>
        <v>M_TIPO_CUSTO</v>
      </c>
      <c r="G4763" s="2" t="str">
        <f>"Atendimento / Internação Domiciliar (Home Care) / Tabelas / Tipos de Custos (M_TIPO_CUSTO)"</f>
        <v>Atendimento / Internação Domiciliar (Home Care) / Tabelas / Tipos de Custos (M_TIPO_CUSTO)</v>
      </c>
    </row>
    <row r="4764" spans="1:7" x14ac:dyDescent="0.3">
      <c r="A4764" s="1" t="s">
        <v>4</v>
      </c>
      <c r="B4764" s="2" t="str">
        <f t="shared" si="397"/>
        <v>SISTEMA DE GERENCIAMENTO DE HOME CARE</v>
      </c>
      <c r="C4764" s="2" t="str">
        <f t="shared" si="398"/>
        <v>APOIO</v>
      </c>
      <c r="D4764" s="2" t="str">
        <f t="shared" si="399"/>
        <v>HOCA</v>
      </c>
      <c r="E4764" s="2" t="str">
        <f>"RELATÓRIO DE TIPOS DE PENDÊNCIAS"</f>
        <v>RELATÓRIO DE TIPOS DE PENDÊNCIAS</v>
      </c>
      <c r="F4764" s="2" t="str">
        <f>"R_TIPO_PENDENCIA_HOCA"</f>
        <v>R_TIPO_PENDENCIA_HOCA</v>
      </c>
      <c r="G4764" s="2" t="str">
        <f>"Atendimento / Internação Domiciliar (Home Care) / Relatórios / Tabelas / Pendências / Tipos de Pendências (R_TIPO_PENDENCIA_HOCA)"</f>
        <v>Atendimento / Internação Domiciliar (Home Care) / Relatórios / Tabelas / Pendências / Tipos de Pendências (R_TIPO_PENDENCIA_HOCA)</v>
      </c>
    </row>
    <row r="4765" spans="1:7" x14ac:dyDescent="0.3">
      <c r="A4765" s="1" t="s">
        <v>4</v>
      </c>
      <c r="B4765" s="2" t="str">
        <f t="shared" si="397"/>
        <v>SISTEMA DE GERENCIAMENTO DE HOME CARE</v>
      </c>
      <c r="C4765" s="2" t="str">
        <f t="shared" si="398"/>
        <v>APOIO</v>
      </c>
      <c r="D4765" s="2" t="str">
        <f t="shared" si="399"/>
        <v>HOCA</v>
      </c>
      <c r="E4765" s="2" t="str">
        <f>"PROCEDIMENTOS DE CUIDADOS"</f>
        <v>PROCEDIMENTOS DE CUIDADOS</v>
      </c>
      <c r="F4765" s="2" t="str">
        <f>"M_PROCED_CUIDADOS"</f>
        <v>M_PROCED_CUIDADOS</v>
      </c>
      <c r="G4765" s="2" t="str">
        <f>"Atendimento / Internação Domiciliar (Home Care) / Tabelas / Plano de Cuidados / Procedimentos de Cuidados (M_PROCED_CUIDADOS)"</f>
        <v>Atendimento / Internação Domiciliar (Home Care) / Tabelas / Plano de Cuidados / Procedimentos de Cuidados (M_PROCED_CUIDADOS)</v>
      </c>
    </row>
    <row r="4766" spans="1:7" x14ac:dyDescent="0.3">
      <c r="A4766" s="1" t="s">
        <v>4</v>
      </c>
      <c r="B4766" s="2" t="str">
        <f t="shared" si="397"/>
        <v>SISTEMA DE GERENCIAMENTO DE HOME CARE</v>
      </c>
      <c r="C4766" s="2" t="str">
        <f t="shared" si="398"/>
        <v>APOIO</v>
      </c>
      <c r="D4766" s="2" t="str">
        <f t="shared" si="399"/>
        <v>HOCA</v>
      </c>
      <c r="E4766" s="2" t="str">
        <f>"R_PACIENTE_ENFERMEIRA"</f>
        <v>R_PACIENTE_ENFERMEIRA</v>
      </c>
      <c r="F4766" s="2" t="str">
        <f>"R_PACIENTE_ENFERMEIRA"</f>
        <v>R_PACIENTE_ENFERMEIRA</v>
      </c>
      <c r="G4766" s="2" t="str">
        <f>"Atendimento / Internação Domiciliar (Home Care) / Relatórios / Internados / por Enfermeiro Supervisor (R_PACIENTE_ENFERMEIRA)"</f>
        <v>Atendimento / Internação Domiciliar (Home Care) / Relatórios / Internados / por Enfermeiro Supervisor (R_PACIENTE_ENFERMEIRA)</v>
      </c>
    </row>
    <row r="4767" spans="1:7" x14ac:dyDescent="0.3">
      <c r="A4767" s="1" t="s">
        <v>4</v>
      </c>
      <c r="B4767" s="2" t="str">
        <f t="shared" si="397"/>
        <v>SISTEMA DE GERENCIAMENTO DE HOME CARE</v>
      </c>
      <c r="C4767" s="2" t="str">
        <f t="shared" si="398"/>
        <v>APOIO</v>
      </c>
      <c r="D4767" s="2" t="str">
        <f t="shared" si="399"/>
        <v>HOCA</v>
      </c>
      <c r="E4767" s="2" t="str">
        <f>"PACIENTES INTERNADOS POR ÁREA"</f>
        <v>PACIENTES INTERNADOS POR ÁREA</v>
      </c>
      <c r="F4767" s="2" t="str">
        <f>"R_PACIENTE_AREA"</f>
        <v>R_PACIENTE_AREA</v>
      </c>
      <c r="G4767" s="2" t="str">
        <f>"Atendimento / Internação Domiciliar (Home Care) / Relatórios / Internados / por Área (R_PACIENTE_AREA)"</f>
        <v>Atendimento / Internação Domiciliar (Home Care) / Relatórios / Internados / por Área (R_PACIENTE_AREA)</v>
      </c>
    </row>
    <row r="4768" spans="1:7" x14ac:dyDescent="0.3">
      <c r="A4768" s="1" t="s">
        <v>4</v>
      </c>
      <c r="B4768" s="2" t="str">
        <f t="shared" si="397"/>
        <v>SISTEMA DE GERENCIAMENTO DE HOME CARE</v>
      </c>
      <c r="C4768" s="2" t="str">
        <f t="shared" si="398"/>
        <v>APOIO</v>
      </c>
      <c r="D4768" s="2" t="str">
        <f t="shared" si="399"/>
        <v>HOCA</v>
      </c>
      <c r="E4768" s="2" t="str">
        <f>"ORDEM DE SERVIÇOS"</f>
        <v>ORDEM DE SERVIÇOS</v>
      </c>
      <c r="F4768" s="2" t="str">
        <f>"R_ORDEM_SERVICO_HC"</f>
        <v>R_ORDEM_SERVICO_HC</v>
      </c>
      <c r="G4768" s="2" t="str">
        <f>"Atendimento / Internação Domiciliar (Home Care) / Relatórios / Operacionais / Ordem de Serviço de Vistoria (R_ORDEM_SERVICO_HC)"</f>
        <v>Atendimento / Internação Domiciliar (Home Care) / Relatórios / Operacionais / Ordem de Serviço de Vistoria (R_ORDEM_SERVICO_HC)</v>
      </c>
    </row>
    <row r="4769" spans="1:7" x14ac:dyDescent="0.3">
      <c r="A4769" s="1" t="s">
        <v>4</v>
      </c>
      <c r="B4769" s="2" t="str">
        <f t="shared" si="397"/>
        <v>SISTEMA DE GERENCIAMENTO DE HOME CARE</v>
      </c>
      <c r="C4769" s="2" t="str">
        <f t="shared" si="398"/>
        <v>APOIO</v>
      </c>
      <c r="D4769" s="2" t="str">
        <f t="shared" si="399"/>
        <v>HOCA</v>
      </c>
      <c r="E4769" s="2" t="str">
        <f>"INTERNAMENTOS PREVISTOS"</f>
        <v>INTERNAMENTOS PREVISTOS</v>
      </c>
      <c r="F4769" s="2" t="str">
        <f>"R_INT_PREVISTOS"</f>
        <v>R_INT_PREVISTOS</v>
      </c>
      <c r="G4769" s="2" t="str">
        <f>"Atendimento / Internação Domiciliar (Home Care) / Relatórios / Operacionais / Internações Previstas (R_INT_PREVISTOS)"</f>
        <v>Atendimento / Internação Domiciliar (Home Care) / Relatórios / Operacionais / Internações Previstas (R_INT_PREVISTOS)</v>
      </c>
    </row>
    <row r="4770" spans="1:7" x14ac:dyDescent="0.3">
      <c r="A4770" s="1" t="s">
        <v>4</v>
      </c>
      <c r="B4770" s="2" t="str">
        <f t="shared" si="397"/>
        <v>SISTEMA DE GERENCIAMENTO DE HOME CARE</v>
      </c>
      <c r="C4770" s="2" t="str">
        <f t="shared" si="398"/>
        <v>APOIO</v>
      </c>
      <c r="D4770" s="2" t="str">
        <f t="shared" si="399"/>
        <v>HOCA</v>
      </c>
      <c r="E4770" s="2" t="str">
        <f>"ESTATÍSTICA DE INTERNAÇÕES POR ÁREA"</f>
        <v>ESTATÍSTICA DE INTERNAÇÕES POR ÁREA</v>
      </c>
      <c r="F4770" s="2" t="str">
        <f>"R_EST_INTER_AREA"</f>
        <v>R_EST_INTER_AREA</v>
      </c>
      <c r="G4770" s="2" t="str">
        <f>"Atendimento / Internação Domiciliar (Home Care) / Relatórios / Estatísticos / Atendimentos por Área (R_EST_INTER_AREA)"</f>
        <v>Atendimento / Internação Domiciliar (Home Care) / Relatórios / Estatísticos / Atendimentos por Área (R_EST_INTER_AREA)</v>
      </c>
    </row>
    <row r="4771" spans="1:7" x14ac:dyDescent="0.3">
      <c r="A4771" s="1" t="s">
        <v>4</v>
      </c>
      <c r="B4771" s="2" t="str">
        <f t="shared" si="397"/>
        <v>SISTEMA DE GERENCIAMENTO DE HOME CARE</v>
      </c>
      <c r="C4771" s="2" t="str">
        <f t="shared" si="398"/>
        <v>APOIO</v>
      </c>
      <c r="D4771" s="2" t="str">
        <f t="shared" si="399"/>
        <v>HOCA</v>
      </c>
      <c r="E4771" s="2" t="str">
        <f>"SOLICITACAO DE PRODUTOS"</f>
        <v>SOLICITACAO DE PRODUTOS</v>
      </c>
      <c r="F4771" s="2" t="str">
        <f>"M_SOLSAIPRO_HC"</f>
        <v>M_SOLSAIPRO_HC</v>
      </c>
      <c r="G4771" s="2" t="str">
        <f>"Atendimento / Internação Domiciliar (Home Care) / Enfermagem / Solicitações / Materiais e Medicamentos (M_SOLSAIPRO_HC)"</f>
        <v>Atendimento / Internação Domiciliar (Home Care) / Enfermagem / Solicitações / Materiais e Medicamentos (M_SOLSAIPRO_HC)</v>
      </c>
    </row>
    <row r="4772" spans="1:7" x14ac:dyDescent="0.3">
      <c r="A4772" s="1" t="s">
        <v>4</v>
      </c>
      <c r="B4772" s="2" t="str">
        <f t="shared" si="397"/>
        <v>SISTEMA DE GERENCIAMENTO DE HOME CARE</v>
      </c>
      <c r="C4772" s="2" t="str">
        <f t="shared" si="398"/>
        <v>APOIO</v>
      </c>
      <c r="D4772" s="2" t="str">
        <f t="shared" si="399"/>
        <v>HOCA</v>
      </c>
      <c r="E4772" s="2" t="str">
        <f>"USUARIOS POR SETOR"</f>
        <v>USUARIOS POR SETOR</v>
      </c>
      <c r="F4772" s="2" t="str">
        <f>"M_USUARIO_SETOR"</f>
        <v>M_USUARIO_SETOR</v>
      </c>
      <c r="G4772" s="2" t="str">
        <f>"Atendimento / Internação Domiciliar (Home Care) / Tabelas / Usuário X Setor (M_USUARIO_SETOR)"</f>
        <v>Atendimento / Internação Domiciliar (Home Care) / Tabelas / Usuário X Setor (M_USUARIO_SETOR)</v>
      </c>
    </row>
    <row r="4773" spans="1:7" x14ac:dyDescent="0.3">
      <c r="A4773" s="1" t="s">
        <v>4</v>
      </c>
      <c r="B4773" s="2" t="str">
        <f t="shared" si="397"/>
        <v>SISTEMA DE GERENCIAMENTO DE HOME CARE</v>
      </c>
      <c r="C4773" s="2" t="str">
        <f t="shared" si="398"/>
        <v>APOIO</v>
      </c>
      <c r="D4773" s="2" t="str">
        <f t="shared" si="399"/>
        <v>HOCA</v>
      </c>
      <c r="E4773" s="2" t="str">
        <f>"RELATÓRIO DE PRODUTOS SOLICITADOS"</f>
        <v>RELATÓRIO DE PRODUTOS SOLICITADOS</v>
      </c>
      <c r="F4773" s="2" t="str">
        <f>"R_PROD_SOLIC_ATEND"</f>
        <v>R_PROD_SOLIC_ATEND</v>
      </c>
      <c r="G4773" s="2" t="str">
        <f>"Atendimento / Internação Domiciliar (Home Care) / Relatórios / Estoque / Produtos Solicitados por Atendimento (R_PROD_SOLIC_ATEND)"</f>
        <v>Atendimento / Internação Domiciliar (Home Care) / Relatórios / Estoque / Produtos Solicitados por Atendimento (R_PROD_SOLIC_ATEND)</v>
      </c>
    </row>
    <row r="4774" spans="1:7" x14ac:dyDescent="0.3">
      <c r="A4774" s="1" t="s">
        <v>4</v>
      </c>
      <c r="B4774" s="2" t="str">
        <f t="shared" si="397"/>
        <v>SISTEMA DE GERENCIAMENTO DE HOME CARE</v>
      </c>
      <c r="C4774" s="2" t="str">
        <f t="shared" si="398"/>
        <v>APOIO</v>
      </c>
      <c r="D4774" s="2" t="str">
        <f t="shared" si="399"/>
        <v>HOCA</v>
      </c>
      <c r="E4774" s="2" t="str">
        <f>"RELATÓRIO DE PRODUTOS SOLICITADOS"</f>
        <v>RELATÓRIO DE PRODUTOS SOLICITADOS</v>
      </c>
      <c r="F4774" s="2" t="str">
        <f>"R_PROD_SOLIC_ATEND"</f>
        <v>R_PROD_SOLIC_ATEND</v>
      </c>
      <c r="G4774" s="2" t="str">
        <f>"Atendimento / Centro Cirúrgico e Obstétrico / Relatórios / Estoque / Relatório de Produtos Solicitados por Atendimento (R_PROD_SOLIC_ATEND)"</f>
        <v>Atendimento / Centro Cirúrgico e Obstétrico / Relatórios / Estoque / Relatório de Produtos Solicitados por Atendimento (R_PROD_SOLIC_ATEND)</v>
      </c>
    </row>
    <row r="4775" spans="1:7" x14ac:dyDescent="0.3">
      <c r="A4775" s="1" t="s">
        <v>4</v>
      </c>
      <c r="B4775" s="2" t="str">
        <f t="shared" si="397"/>
        <v>SISTEMA DE GERENCIAMENTO DE HOME CARE</v>
      </c>
      <c r="C4775" s="2" t="str">
        <f t="shared" si="398"/>
        <v>APOIO</v>
      </c>
      <c r="D4775" s="2" t="str">
        <f t="shared" si="399"/>
        <v>HOCA</v>
      </c>
      <c r="E4775" s="2" t="str">
        <f>"RELATÓRIO DE PRODUTOS LOCADOS"</f>
        <v>RELATÓRIO DE PRODUTOS LOCADOS</v>
      </c>
      <c r="F4775" s="2" t="str">
        <f>"R_PROD_LOC_ATEND"</f>
        <v>R_PROD_LOC_ATEND</v>
      </c>
      <c r="G4775" s="2" t="str">
        <f>"Atendimento / Internação Domiciliar (Home Care) / Relatórios / Estoque / Produtos Locados por Atendimento (R_PROD_LOC_ATEND)"</f>
        <v>Atendimento / Internação Domiciliar (Home Care) / Relatórios / Estoque / Produtos Locados por Atendimento (R_PROD_LOC_ATEND)</v>
      </c>
    </row>
    <row r="4776" spans="1:7" x14ac:dyDescent="0.3">
      <c r="A4776" s="1" t="s">
        <v>4</v>
      </c>
      <c r="B4776" s="2" t="str">
        <f t="shared" si="397"/>
        <v>SISTEMA DE GERENCIAMENTO DE HOME CARE</v>
      </c>
      <c r="C4776" s="2" t="str">
        <f t="shared" si="398"/>
        <v>APOIO</v>
      </c>
      <c r="D4776" s="2" t="str">
        <f t="shared" si="399"/>
        <v>HOCA</v>
      </c>
      <c r="E4776" s="2" t="str">
        <f>"RELATÓRIO DE PRODUTOS LOCADOS"</f>
        <v>RELATÓRIO DE PRODUTOS LOCADOS</v>
      </c>
      <c r="F4776" s="2" t="str">
        <f>"R_PROD_LOC_ATEND"</f>
        <v>R_PROD_LOC_ATEND</v>
      </c>
      <c r="G4776" s="2" t="str">
        <f>"Atendimento / Centro Cirúrgico e Obstétrico / Relatórios / Estoque / Relatório dos Produtos Locados por Atendimento (R_PROD_LOC_ATEND)"</f>
        <v>Atendimento / Centro Cirúrgico e Obstétrico / Relatórios / Estoque / Relatório dos Produtos Locados por Atendimento (R_PROD_LOC_ATEND)</v>
      </c>
    </row>
    <row r="4777" spans="1:7" x14ac:dyDescent="0.3">
      <c r="A4777" s="1" t="s">
        <v>4</v>
      </c>
      <c r="B4777" s="2" t="str">
        <f t="shared" si="397"/>
        <v>SISTEMA DE GERENCIAMENTO DE HOME CARE</v>
      </c>
      <c r="C4777" s="2" t="str">
        <f t="shared" si="398"/>
        <v>APOIO</v>
      </c>
      <c r="D4777" s="2" t="str">
        <f t="shared" si="399"/>
        <v>HOCA</v>
      </c>
      <c r="E4777" s="2" t="str">
        <f>"CONSULTA DE ITENS LOCADOS"</f>
        <v>CONSULTA DE ITENS LOCADOS</v>
      </c>
      <c r="F4777" s="2" t="str">
        <f>"C_ITENS_LOCADOS"</f>
        <v>C_ITENS_LOCADOS</v>
      </c>
      <c r="G4777" s="2" t="str">
        <f>"Atendimento / Internação Domiciliar (Home Care) / Consultas / Materais Locados por Atendimento (C_ITENS_LOCADOS)"</f>
        <v>Atendimento / Internação Domiciliar (Home Care) / Consultas / Materais Locados por Atendimento (C_ITENS_LOCADOS)</v>
      </c>
    </row>
    <row r="4778" spans="1:7" x14ac:dyDescent="0.3">
      <c r="A4778" s="1" t="s">
        <v>4</v>
      </c>
      <c r="B4778" s="2" t="str">
        <f t="shared" si="397"/>
        <v>SISTEMA DE GERENCIAMENTO DE HOME CARE</v>
      </c>
      <c r="C4778" s="2" t="str">
        <f t="shared" si="398"/>
        <v>APOIO</v>
      </c>
      <c r="D4778" s="2" t="str">
        <f t="shared" si="399"/>
        <v>HOCA</v>
      </c>
      <c r="E4778" s="2" t="str">
        <f>"RELATÓRIO DE ORÇAMENTO"</f>
        <v>RELATÓRIO DE ORÇAMENTO</v>
      </c>
      <c r="F4778" s="2" t="str">
        <f>"R_ORCAMENTO"</f>
        <v>R_ORCAMENTO</v>
      </c>
      <c r="G4778" s="2" t="str">
        <f>"Atendimento / Internação Domiciliar (Home Care) / Relatórios / Operacionais / Orçamento (R_ORCAMENTO)"</f>
        <v>Atendimento / Internação Domiciliar (Home Care) / Relatórios / Operacionais / Orçamento (R_ORCAMENTO)</v>
      </c>
    </row>
    <row r="4779" spans="1:7" x14ac:dyDescent="0.3">
      <c r="A4779" s="1" t="s">
        <v>4</v>
      </c>
      <c r="B4779" s="2" t="str">
        <f t="shared" si="397"/>
        <v>SISTEMA DE GERENCIAMENTO DE HOME CARE</v>
      </c>
      <c r="C4779" s="2" t="str">
        <f t="shared" si="398"/>
        <v>APOIO</v>
      </c>
      <c r="D4779" s="2" t="str">
        <f t="shared" si="399"/>
        <v>HOCA</v>
      </c>
      <c r="E4779" s="2" t="str">
        <f>"PRODUTOS POR PACIENTE"</f>
        <v>PRODUTOS POR PACIENTE</v>
      </c>
      <c r="F4779" s="2" t="str">
        <f>"R_PRODUTOS_PACIENTE"</f>
        <v>R_PRODUTOS_PACIENTE</v>
      </c>
      <c r="G4779" s="2" t="str">
        <f>"Atendimento / Internação Domiciliar (Home Care) / Relatórios / Estoque / Produtos por Paciente (R_PRODUTOS_PACIENTE)"</f>
        <v>Atendimento / Internação Domiciliar (Home Care) / Relatórios / Estoque / Produtos por Paciente (R_PRODUTOS_PACIENTE)</v>
      </c>
    </row>
    <row r="4780" spans="1:7" x14ac:dyDescent="0.3">
      <c r="A4780" s="1" t="s">
        <v>4</v>
      </c>
      <c r="B4780" s="2" t="str">
        <f t="shared" si="397"/>
        <v>SISTEMA DE GERENCIAMENTO DE HOME CARE</v>
      </c>
      <c r="C4780" s="2" t="str">
        <f t="shared" si="398"/>
        <v>APOIO</v>
      </c>
      <c r="D4780" s="2" t="str">
        <f t="shared" si="399"/>
        <v>HOCA</v>
      </c>
      <c r="E4780" s="2" t="str">
        <f>"PRODUTOS POR PACIENTE"</f>
        <v>PRODUTOS POR PACIENTE</v>
      </c>
      <c r="F4780" s="2" t="str">
        <f>"R_PRODUTOS_PACIENTE"</f>
        <v>R_PRODUTOS_PACIENTE</v>
      </c>
      <c r="G4780" s="2" t="str">
        <f>"Atendimento / Centro Cirúrgico e Obstétrico / Relatórios / Estoque / Relatório de Produtos por Paciente (R_PRODUTOS_PACIENTE)"</f>
        <v>Atendimento / Centro Cirúrgico e Obstétrico / Relatórios / Estoque / Relatório de Produtos por Paciente (R_PRODUTOS_PACIENTE)</v>
      </c>
    </row>
    <row r="4781" spans="1:7" x14ac:dyDescent="0.3">
      <c r="A4781" s="1" t="s">
        <v>4</v>
      </c>
      <c r="B4781" s="2" t="str">
        <f t="shared" si="397"/>
        <v>SISTEMA DE GERENCIAMENTO DE HOME CARE</v>
      </c>
      <c r="C4781" s="2" t="str">
        <f t="shared" si="398"/>
        <v>APOIO</v>
      </c>
      <c r="D4781" s="2" t="str">
        <f t="shared" si="399"/>
        <v>HOCA</v>
      </c>
      <c r="E4781" s="2" t="str">
        <f>"PENDÊNCIAS POR PACIENTE"</f>
        <v>PENDÊNCIAS POR PACIENTE</v>
      </c>
      <c r="F4781" s="2" t="str">
        <f>"R_PENDENCIA_PACIENTE_HC"</f>
        <v>R_PENDENCIA_PACIENTE_HC</v>
      </c>
      <c r="G4781" s="2" t="str">
        <f>"Atendimento / Internação Domiciliar (Home Care) / Relatórios / Operacionais / Pendências por Paciente (R_PENDENCIA_PACIENTE_HC)"</f>
        <v>Atendimento / Internação Domiciliar (Home Care) / Relatórios / Operacionais / Pendências por Paciente (R_PENDENCIA_PACIENTE_HC)</v>
      </c>
    </row>
    <row r="4782" spans="1:7" x14ac:dyDescent="0.3">
      <c r="A4782" s="1" t="s">
        <v>4</v>
      </c>
      <c r="B4782" s="2" t="str">
        <f t="shared" si="397"/>
        <v>SISTEMA DE GERENCIAMENTO DE HOME CARE</v>
      </c>
      <c r="C4782" s="2" t="str">
        <f t="shared" si="398"/>
        <v>APOIO</v>
      </c>
      <c r="D4782" s="2" t="str">
        <f t="shared" si="399"/>
        <v>HOCA</v>
      </c>
      <c r="E4782" s="2" t="str">
        <f>"PRODUTOS POR ÁREA"</f>
        <v>PRODUTOS POR ÁREA</v>
      </c>
      <c r="F4782" s="2" t="str">
        <f>"R_PRODUTOS_AREA"</f>
        <v>R_PRODUTOS_AREA</v>
      </c>
      <c r="G4782" s="2" t="str">
        <f>"Atendimento / Internação Domiciliar (Home Care) / Relatórios / Estoque / Produtos por Área (R_PRODUTOS_AREA)"</f>
        <v>Atendimento / Internação Domiciliar (Home Care) / Relatórios / Estoque / Produtos por Área (R_PRODUTOS_AREA)</v>
      </c>
    </row>
    <row r="4783" spans="1:7" x14ac:dyDescent="0.3">
      <c r="A4783" s="1" t="s">
        <v>4</v>
      </c>
      <c r="B4783" s="2" t="str">
        <f t="shared" si="397"/>
        <v>SISTEMA DE GERENCIAMENTO DE HOME CARE</v>
      </c>
      <c r="C4783" s="2" t="str">
        <f t="shared" si="398"/>
        <v>APOIO</v>
      </c>
      <c r="D4783" s="2" t="str">
        <f t="shared" si="399"/>
        <v>HOCA</v>
      </c>
      <c r="E4783" s="2" t="str">
        <f>"PRODUTOS POR ÁREA"</f>
        <v>PRODUTOS POR ÁREA</v>
      </c>
      <c r="F4783" s="2" t="str">
        <f>"R_PRODUTOS_AREA"</f>
        <v>R_PRODUTOS_AREA</v>
      </c>
      <c r="G4783" s="2" t="str">
        <f>"Atendimento / Centro Cirúrgico e Obstétrico / Relatórios / Estoque / Relatórios de Produtos por Área (R_PRODUTOS_AREA)"</f>
        <v>Atendimento / Centro Cirúrgico e Obstétrico / Relatórios / Estoque / Relatórios de Produtos por Área (R_PRODUTOS_AREA)</v>
      </c>
    </row>
    <row r="4784" spans="1:7" x14ac:dyDescent="0.3">
      <c r="A4784" s="1" t="s">
        <v>4</v>
      </c>
      <c r="B4784" s="2" t="str">
        <f t="shared" si="397"/>
        <v>SISTEMA DE GERENCIAMENTO DE HOME CARE</v>
      </c>
      <c r="C4784" s="2" t="str">
        <f t="shared" si="398"/>
        <v>APOIO</v>
      </c>
      <c r="D4784" s="2" t="str">
        <f t="shared" si="399"/>
        <v>HOCA</v>
      </c>
      <c r="E4784" s="2" t="str">
        <f>"PACIENTES COM PENDÊNCIAS"</f>
        <v>PACIENTES COM PENDÊNCIAS</v>
      </c>
      <c r="F4784" s="2" t="str">
        <f>"R_PACIENTE_PENDENCIA_HC"</f>
        <v>R_PACIENTE_PENDENCIA_HC</v>
      </c>
      <c r="G4784" s="2" t="str">
        <f>"Atendimento / Internação Domiciliar (Home Care) / Relatórios / Operacionais / Pacientes com Pendências (R_PACIENTE_PENDENCIA_HC)"</f>
        <v>Atendimento / Internação Domiciliar (Home Care) / Relatórios / Operacionais / Pacientes com Pendências (R_PACIENTE_PENDENCIA_HC)</v>
      </c>
    </row>
    <row r="4785" spans="1:7" x14ac:dyDescent="0.3">
      <c r="A4785" s="1" t="s">
        <v>4</v>
      </c>
      <c r="B4785" s="2" t="str">
        <f t="shared" si="397"/>
        <v>SISTEMA DE GERENCIAMENTO DE HOME CARE</v>
      </c>
      <c r="C4785" s="2" t="str">
        <f t="shared" si="398"/>
        <v>APOIO</v>
      </c>
      <c r="D4785" s="2" t="str">
        <f t="shared" si="399"/>
        <v>HOCA</v>
      </c>
      <c r="E4785" s="2" t="str">
        <f>"PACIENTES TRANSFERIDOS NO PERÍODO"</f>
        <v>PACIENTES TRANSFERIDOS NO PERÍODO</v>
      </c>
      <c r="F4785" s="2" t="str">
        <f>"R_PACIENTE_TRANSFERIDO"</f>
        <v>R_PACIENTE_TRANSFERIDO</v>
      </c>
      <c r="G4785" s="2" t="str">
        <f>"Atendimento / Internação Domiciliar (Home Care) / Relatórios / Operacionais / Pacientes Transferidos (R_PACIENTE_TRANSFERIDO)"</f>
        <v>Atendimento / Internação Domiciliar (Home Care) / Relatórios / Operacionais / Pacientes Transferidos (R_PACIENTE_TRANSFERIDO)</v>
      </c>
    </row>
    <row r="4786" spans="1:7" x14ac:dyDescent="0.3">
      <c r="A4786" s="1" t="s">
        <v>4</v>
      </c>
      <c r="B4786" s="2" t="str">
        <f t="shared" si="397"/>
        <v>SISTEMA DE GERENCIAMENTO DE HOME CARE</v>
      </c>
      <c r="C4786" s="2" t="str">
        <f t="shared" si="398"/>
        <v>APOIO</v>
      </c>
      <c r="D4786" s="2" t="str">
        <f t="shared" si="399"/>
        <v>HOCA</v>
      </c>
      <c r="E4786" s="2" t="str">
        <f>"R_PACIENTE_PRESTADOR"</f>
        <v>R_PACIENTE_PRESTADOR</v>
      </c>
      <c r="F4786" s="2" t="str">
        <f>"R_PACIENTE_PRESTADOR"</f>
        <v>R_PACIENTE_PRESTADOR</v>
      </c>
      <c r="G4786" s="2" t="str">
        <f>"Atendimento / Internação Domiciliar (Home Care) / Relatórios / Internados / por Médico Responsável (R_PACIENTE_PRESTADOR)"</f>
        <v>Atendimento / Internação Domiciliar (Home Care) / Relatórios / Internados / por Médico Responsável (R_PACIENTE_PRESTADOR)</v>
      </c>
    </row>
    <row r="4787" spans="1:7" x14ac:dyDescent="0.3">
      <c r="A4787" s="1" t="s">
        <v>4</v>
      </c>
      <c r="B4787" s="2" t="str">
        <f t="shared" si="397"/>
        <v>SISTEMA DE GERENCIAMENTO DE HOME CARE</v>
      </c>
      <c r="C4787" s="2" t="str">
        <f t="shared" si="398"/>
        <v>APOIO</v>
      </c>
      <c r="D4787" s="2" t="str">
        <f t="shared" si="399"/>
        <v>HOCA</v>
      </c>
      <c r="E4787" s="2" t="str">
        <f>"TRANSFERENCIA DE HOME CARE"</f>
        <v>TRANSFERENCIA DE HOME CARE</v>
      </c>
      <c r="F4787" s="2" t="str">
        <f>"M_TRANSF_HOCA"</f>
        <v>M_TRANSF_HOCA</v>
      </c>
      <c r="G4787" s="2" t="str">
        <f>"Atendimento / Internação Domiciliar (Home Care) / Recepção / Transferência de Pacientes (M_TRANSF_HOCA)"</f>
        <v>Atendimento / Internação Domiciliar (Home Care) / Recepção / Transferência de Pacientes (M_TRANSF_HOCA)</v>
      </c>
    </row>
    <row r="4788" spans="1:7" x14ac:dyDescent="0.3">
      <c r="A4788" s="1" t="s">
        <v>4</v>
      </c>
      <c r="B4788" s="2" t="str">
        <f t="shared" si="397"/>
        <v>SISTEMA DE GERENCIAMENTO DE HOME CARE</v>
      </c>
      <c r="C4788" s="2" t="str">
        <f t="shared" si="398"/>
        <v>APOIO</v>
      </c>
      <c r="D4788" s="2" t="str">
        <f t="shared" si="399"/>
        <v>HOCA</v>
      </c>
      <c r="E4788" s="2" t="str">
        <f>"CUSTO DE PROCEDIMENTOS"</f>
        <v>CUSTO DE PROCEDIMENTOS</v>
      </c>
      <c r="F4788" s="2" t="str">
        <f>"M_CUSTO_PRO_FAT"</f>
        <v>M_CUSTO_PRO_FAT</v>
      </c>
      <c r="G4788" s="2" t="str">
        <f>"Atendimento / Internação Domiciliar (Home Care) / Tabelas / Custo Procedimento de Faturamento (M_CUSTO_PRO_FAT)"</f>
        <v>Atendimento / Internação Domiciliar (Home Care) / Tabelas / Custo Procedimento de Faturamento (M_CUSTO_PRO_FAT)</v>
      </c>
    </row>
    <row r="4789" spans="1:7" x14ac:dyDescent="0.3">
      <c r="A4789" s="1" t="s">
        <v>4</v>
      </c>
      <c r="B4789" s="2" t="str">
        <f t="shared" si="397"/>
        <v>SISTEMA DE GERENCIAMENTO DE HOME CARE</v>
      </c>
      <c r="C4789" s="2" t="str">
        <f t="shared" si="398"/>
        <v>APOIO</v>
      </c>
      <c r="D4789" s="2" t="str">
        <f t="shared" si="399"/>
        <v>HOCA</v>
      </c>
      <c r="E4789" s="2" t="str">
        <f>"HABILIDADE DOS PRESTADORES"</f>
        <v>HABILIDADE DOS PRESTADORES</v>
      </c>
      <c r="F4789" s="2" t="str">
        <f>"M_HABILIDADE_PREST"</f>
        <v>M_HABILIDADE_PREST</v>
      </c>
      <c r="G4789" s="2" t="str">
        <f>"Atendimento / Internação Domiciliar (Home Care) / Tabelas / Prestador / Habilidades do Prestador (M_HABILIDADE_PREST)"</f>
        <v>Atendimento / Internação Domiciliar (Home Care) / Tabelas / Prestador / Habilidades do Prestador (M_HABILIDADE_PREST)</v>
      </c>
    </row>
    <row r="4790" spans="1:7" x14ac:dyDescent="0.3">
      <c r="A4790" s="1" t="s">
        <v>4</v>
      </c>
      <c r="B4790" s="2" t="str">
        <f t="shared" si="397"/>
        <v>SISTEMA DE GERENCIAMENTO DE HOME CARE</v>
      </c>
      <c r="C4790" s="2" t="str">
        <f t="shared" si="398"/>
        <v>APOIO</v>
      </c>
      <c r="D4790" s="2" t="str">
        <f t="shared" si="399"/>
        <v>HOCA</v>
      </c>
      <c r="E4790" s="2" t="str">
        <f>"CADASTRO DE HABILIDADES"</f>
        <v>CADASTRO DE HABILIDADES</v>
      </c>
      <c r="F4790" s="2" t="str">
        <f>"M_HABILIDADE"</f>
        <v>M_HABILIDADE</v>
      </c>
      <c r="G4790" s="2" t="str">
        <f>"Atendimento / Internação Domiciliar (Home Care) / Tabelas / Prestador / Habilidades (M_HABILIDADE)"</f>
        <v>Atendimento / Internação Domiciliar (Home Care) / Tabelas / Prestador / Habilidades (M_HABILIDADE)</v>
      </c>
    </row>
    <row r="4791" spans="1:7" x14ac:dyDescent="0.3">
      <c r="A4791" s="1" t="s">
        <v>4</v>
      </c>
      <c r="B4791" s="2" t="str">
        <f t="shared" si="397"/>
        <v>SISTEMA DE GERENCIAMENTO DE HOME CARE</v>
      </c>
      <c r="C4791" s="2" t="str">
        <f t="shared" si="398"/>
        <v>APOIO</v>
      </c>
      <c r="D4791" s="2" t="str">
        <f t="shared" si="399"/>
        <v>HOCA</v>
      </c>
      <c r="E4791" s="2" t="str">
        <f>"MANTENÇÃO DE PERIODOS DE TRABALHO"</f>
        <v>MANTENÇÃO DE PERIODOS DE TRABALHO</v>
      </c>
      <c r="F4791" s="2" t="str">
        <f>"M_PERIODO"</f>
        <v>M_PERIODO</v>
      </c>
      <c r="G4791" s="2" t="str">
        <f>" ()"</f>
        <v xml:space="preserve"> ()</v>
      </c>
    </row>
    <row r="4792" spans="1:7" x14ac:dyDescent="0.3">
      <c r="A4792" s="1" t="s">
        <v>4</v>
      </c>
      <c r="B4792" s="2" t="str">
        <f t="shared" si="397"/>
        <v>SISTEMA DE GERENCIAMENTO DE HOME CARE</v>
      </c>
      <c r="C4792" s="2" t="str">
        <f t="shared" si="398"/>
        <v>APOIO</v>
      </c>
      <c r="D4792" s="2" t="str">
        <f t="shared" si="399"/>
        <v>HOCA</v>
      </c>
      <c r="E4792" s="2" t="str">
        <f>"MOTIVOS DE TRANSFERÊNCIA DO HOME CARE"</f>
        <v>MOTIVOS DE TRANSFERÊNCIA DO HOME CARE</v>
      </c>
      <c r="F4792" s="2" t="str">
        <f>"M_MOT_TRANSF_HOCA"</f>
        <v>M_MOT_TRANSF_HOCA</v>
      </c>
      <c r="G4792" s="2" t="str">
        <f>"Atendimento / Internação Domiciliar (Home Care) / Tabelas / Motivos de Transferência do Home Care (M_MOT_TRANSF_HOCA)"</f>
        <v>Atendimento / Internação Domiciliar (Home Care) / Tabelas / Motivos de Transferência do Home Care (M_MOT_TRANSF_HOCA)</v>
      </c>
    </row>
    <row r="4793" spans="1:7" x14ac:dyDescent="0.3">
      <c r="A4793" s="1" t="s">
        <v>4</v>
      </c>
      <c r="B4793" s="2" t="str">
        <f t="shared" si="397"/>
        <v>SISTEMA DE GERENCIAMENTO DE HOME CARE</v>
      </c>
      <c r="C4793" s="2" t="str">
        <f t="shared" si="398"/>
        <v>APOIO</v>
      </c>
      <c r="D4793" s="2" t="str">
        <f t="shared" si="399"/>
        <v>HOCA</v>
      </c>
      <c r="E4793" s="2" t="str">
        <f>"PARAMETRIZAÇÃO HOME CARE"</f>
        <v>PARAMETRIZAÇÃO HOME CARE</v>
      </c>
      <c r="F4793" s="2" t="str">
        <f>"M_PARA_HOCA"</f>
        <v>M_PARA_HOCA</v>
      </c>
      <c r="G4793" s="2" t="str">
        <f>"Atendimento / Internação Domiciliar (Home Care) / Configurações / Parâmetros Home Care (M_PARA_HOCA)"</f>
        <v>Atendimento / Internação Domiciliar (Home Care) / Configurações / Parâmetros Home Care (M_PARA_HOCA)</v>
      </c>
    </row>
    <row r="4794" spans="1:7" x14ac:dyDescent="0.3">
      <c r="A4794" s="1" t="s">
        <v>4</v>
      </c>
      <c r="B4794" s="2" t="str">
        <f t="shared" si="397"/>
        <v>SISTEMA DE GERENCIAMENTO DE HOME CARE</v>
      </c>
      <c r="C4794" s="2" t="str">
        <f t="shared" si="398"/>
        <v>APOIO</v>
      </c>
      <c r="D4794" s="2" t="str">
        <f t="shared" si="399"/>
        <v>HOCA</v>
      </c>
      <c r="E4794" s="2" t="str">
        <f>"POSSIBILIDADE DE RESULTADOS POR PROCEDIM"</f>
        <v>POSSIBILIDADE DE RESULTADOS POR PROCEDIM</v>
      </c>
      <c r="F4794" s="2" t="str">
        <f>"M_POSSIBILID_PLANO"</f>
        <v>M_POSSIBILID_PLANO</v>
      </c>
      <c r="G4794" s="2" t="str">
        <f>"Atendimento / Internação Domiciliar (Home Care) / Tabelas / Plano de Cuidados / Proced. de Cuidados x Possib. Resultados (M_POSSIBILID_PLANO)"</f>
        <v>Atendimento / Internação Domiciliar (Home Care) / Tabelas / Plano de Cuidados / Proced. de Cuidados x Possib. Resultados (M_POSSIBILID_PLANO)</v>
      </c>
    </row>
    <row r="4795" spans="1:7" x14ac:dyDescent="0.3">
      <c r="A4795" s="1" t="s">
        <v>4</v>
      </c>
      <c r="B4795" s="2" t="str">
        <f t="shared" si="397"/>
        <v>SISTEMA DE GERENCIAMENTO DE HOME CARE</v>
      </c>
      <c r="C4795" s="2" t="str">
        <f t="shared" si="398"/>
        <v>APOIO</v>
      </c>
      <c r="D4795" s="2" t="str">
        <f t="shared" si="399"/>
        <v>HOCA</v>
      </c>
      <c r="E4795" s="2" t="str">
        <f>"SOLICITACOES POR ATENDIMENTO"</f>
        <v>SOLICITACOES POR ATENDIMENTO</v>
      </c>
      <c r="F4795" s="2" t="str">
        <f>"C_SOLIC_ATENDI"</f>
        <v>C_SOLIC_ATENDI</v>
      </c>
      <c r="G4795" s="2" t="str">
        <f>"Atendimento / Internação Domiciliar (Home Care) / Consultas / Solicitações por Atendimento (C_SOLIC_ATENDI)"</f>
        <v>Atendimento / Internação Domiciliar (Home Care) / Consultas / Solicitações por Atendimento (C_SOLIC_ATENDI)</v>
      </c>
    </row>
    <row r="4796" spans="1:7" x14ac:dyDescent="0.3">
      <c r="A4796" s="1" t="s">
        <v>4</v>
      </c>
      <c r="B4796" s="2" t="str">
        <f t="shared" si="397"/>
        <v>SISTEMA DE GERENCIAMENTO DE HOME CARE</v>
      </c>
      <c r="C4796" s="2" t="str">
        <f t="shared" si="398"/>
        <v>APOIO</v>
      </c>
      <c r="D4796" s="2" t="str">
        <f t="shared" si="399"/>
        <v>HOCA</v>
      </c>
      <c r="E4796" s="2" t="str">
        <f>"CONSUMO POR PACIENTE"</f>
        <v>CONSUMO POR PACIENTE</v>
      </c>
      <c r="F4796" s="2" t="str">
        <f>"R_COMSUMO_PACIENTE"</f>
        <v>R_COMSUMO_PACIENTE</v>
      </c>
      <c r="G4796" s="2" t="str">
        <f>" ()"</f>
        <v xml:space="preserve"> ()</v>
      </c>
    </row>
    <row r="4797" spans="1:7" x14ac:dyDescent="0.3">
      <c r="A4797" s="1" t="s">
        <v>4</v>
      </c>
      <c r="B4797" s="2" t="str">
        <f t="shared" si="397"/>
        <v>SISTEMA DE GERENCIAMENTO DE HOME CARE</v>
      </c>
      <c r="C4797" s="2" t="str">
        <f t="shared" si="398"/>
        <v>APOIO</v>
      </c>
      <c r="D4797" s="2" t="str">
        <f t="shared" si="399"/>
        <v>HOCA</v>
      </c>
      <c r="E4797" s="2" t="str">
        <f>"REL DE CONSUMO POR PACIENTE"</f>
        <v>REL DE CONSUMO POR PACIENTE</v>
      </c>
      <c r="F4797" s="2" t="str">
        <f>"R_CONSUMO_PACIENTE"</f>
        <v>R_CONSUMO_PACIENTE</v>
      </c>
      <c r="G4797" s="2" t="str">
        <f>"Atendimento / Internação Domiciliar (Home Care) / Relatórios / Estoque / Consumo por Paciente (R_CONSUMO_PACIENTE)"</f>
        <v>Atendimento / Internação Domiciliar (Home Care) / Relatórios / Estoque / Consumo por Paciente (R_CONSUMO_PACIENTE)</v>
      </c>
    </row>
    <row r="4798" spans="1:7" x14ac:dyDescent="0.3">
      <c r="A4798" s="1" t="s">
        <v>4</v>
      </c>
      <c r="B4798" s="2" t="str">
        <f t="shared" si="397"/>
        <v>SISTEMA DE GERENCIAMENTO DE HOME CARE</v>
      </c>
      <c r="C4798" s="2" t="str">
        <f t="shared" si="398"/>
        <v>APOIO</v>
      </c>
      <c r="D4798" s="2" t="str">
        <f t="shared" si="399"/>
        <v>HOCA</v>
      </c>
      <c r="E4798" s="2" t="str">
        <f>"REL DE CONSUMO POR PACIENTE"</f>
        <v>REL DE CONSUMO POR PACIENTE</v>
      </c>
      <c r="F4798" s="2" t="str">
        <f>"R_CONSUMO_PACIENTE"</f>
        <v>R_CONSUMO_PACIENTE</v>
      </c>
      <c r="G4798" s="2" t="str">
        <f>"Atendimento / Centro Cirúrgico e Obstétrico / Relatórios / Estoque / Relatório de Consumo por Paciente (R_CONSUMO_PACIENTE)"</f>
        <v>Atendimento / Centro Cirúrgico e Obstétrico / Relatórios / Estoque / Relatório de Consumo por Paciente (R_CONSUMO_PACIENTE)</v>
      </c>
    </row>
    <row r="4799" spans="1:7" x14ac:dyDescent="0.3">
      <c r="A4799" s="1" t="s">
        <v>4</v>
      </c>
      <c r="B4799" s="2" t="str">
        <f t="shared" si="397"/>
        <v>SISTEMA DE GERENCIAMENTO DE HOME CARE</v>
      </c>
      <c r="C4799" s="2" t="str">
        <f t="shared" si="398"/>
        <v>APOIO</v>
      </c>
      <c r="D4799" s="2" t="str">
        <f t="shared" si="399"/>
        <v>HOCA</v>
      </c>
      <c r="E4799" s="2" t="str">
        <f>"RELATÓRIOS DE PROCEDIMENTOS DE CUIDADOS"</f>
        <v>RELATÓRIOS DE PROCEDIMENTOS DE CUIDADOS</v>
      </c>
      <c r="F4799" s="2" t="str">
        <f>"R_PROCED_CUIDADOS.RDF"</f>
        <v>R_PROCED_CUIDADOS.RDF</v>
      </c>
      <c r="G4799" s="2" t="str">
        <f>" ()"</f>
        <v xml:space="preserve"> ()</v>
      </c>
    </row>
    <row r="4800" spans="1:7" x14ac:dyDescent="0.3">
      <c r="A4800" s="1" t="s">
        <v>4</v>
      </c>
      <c r="B4800" s="2" t="str">
        <f t="shared" si="397"/>
        <v>SISTEMA DE GERENCIAMENTO DE HOME CARE</v>
      </c>
      <c r="C4800" s="2" t="str">
        <f t="shared" si="398"/>
        <v>APOIO</v>
      </c>
      <c r="D4800" s="2" t="str">
        <f t="shared" si="399"/>
        <v>HOCA</v>
      </c>
      <c r="E4800" s="2" t="str">
        <f>"PERSONALIZADOS DO HOCA"</f>
        <v>PERSONALIZADOS DO HOCA</v>
      </c>
      <c r="F4800" s="2" t="str">
        <f>"R_PERSON_HOCA"</f>
        <v>R_PERSON_HOCA</v>
      </c>
      <c r="G4800" s="2" t="str">
        <f>"Atendimento / Internação Domiciliar (Home Care) / Relatórios / Personalizados (R_PERSON_HOCA)"</f>
        <v>Atendimento / Internação Domiciliar (Home Care) / Relatórios / Personalizados (R_PERSON_HOCA)</v>
      </c>
    </row>
    <row r="4801" spans="1:7" x14ac:dyDescent="0.3">
      <c r="A4801" s="1" t="s">
        <v>4</v>
      </c>
      <c r="B4801" s="2" t="str">
        <f t="shared" si="397"/>
        <v>SISTEMA DE GERENCIAMENTO DE HOME CARE</v>
      </c>
      <c r="C4801" s="2" t="str">
        <f t="shared" si="398"/>
        <v>APOIO</v>
      </c>
      <c r="D4801" s="2" t="str">
        <f t="shared" si="399"/>
        <v>HOCA</v>
      </c>
      <c r="E4801" s="2" t="str">
        <f>"R_TERMO_RESPONSA_HOME_CARE_375"</f>
        <v>R_TERMO_RESPONSA_HOME_CARE_375</v>
      </c>
      <c r="F4801" s="2" t="str">
        <f>"R_TERMO_RESPONSA_HOME_CARE_375"</f>
        <v>R_TERMO_RESPONSA_HOME_CARE_375</v>
      </c>
      <c r="G4801" s="2" t="str">
        <f>" ()"</f>
        <v xml:space="preserve"> ()</v>
      </c>
    </row>
    <row r="4802" spans="1:7" x14ac:dyDescent="0.3">
      <c r="A4802" s="1" t="s">
        <v>4</v>
      </c>
      <c r="B4802" s="2" t="str">
        <f t="shared" si="397"/>
        <v>SISTEMA DE GERENCIAMENTO DE HOME CARE</v>
      </c>
      <c r="C4802" s="2" t="str">
        <f t="shared" si="398"/>
        <v>APOIO</v>
      </c>
      <c r="D4802" s="2" t="str">
        <f t="shared" si="399"/>
        <v>HOCA</v>
      </c>
      <c r="E4802" s="2" t="str">
        <f>"R_LOCAL_TRANSFERENCIA"</f>
        <v>R_LOCAL_TRANSFERENCIA</v>
      </c>
      <c r="F4802" s="2" t="str">
        <f>"R_LOCAL_TRANSFERENCIA"</f>
        <v>R_LOCAL_TRANSFERENCIA</v>
      </c>
      <c r="G4802" s="2" t="str">
        <f>" ()"</f>
        <v xml:space="preserve"> ()</v>
      </c>
    </row>
    <row r="4803" spans="1:7" x14ac:dyDescent="0.3">
      <c r="A4803" s="1" t="s">
        <v>4</v>
      </c>
      <c r="B4803" s="2" t="str">
        <f t="shared" si="397"/>
        <v>SISTEMA DE GERENCIAMENTO DE HOME CARE</v>
      </c>
      <c r="C4803" s="2" t="str">
        <f t="shared" si="398"/>
        <v>APOIO</v>
      </c>
      <c r="D4803" s="2" t="str">
        <f t="shared" si="399"/>
        <v>HOCA</v>
      </c>
      <c r="E4803" s="2" t="str">
        <f>"PLANO_CUIDADOS"</f>
        <v>PLANO_CUIDADOS</v>
      </c>
      <c r="F4803" s="2" t="str">
        <f>"PLANO_CUIDADOS"</f>
        <v>PLANO_CUIDADOS</v>
      </c>
      <c r="G4803" s="2" t="str">
        <f>" ()"</f>
        <v xml:space="preserve"> ()</v>
      </c>
    </row>
    <row r="4804" spans="1:7" x14ac:dyDescent="0.3">
      <c r="A4804" s="1" t="s">
        <v>4</v>
      </c>
      <c r="B4804" s="2" t="str">
        <f t="shared" si="397"/>
        <v>SISTEMA DE GERENCIAMENTO DE HOME CARE</v>
      </c>
      <c r="C4804" s="2" t="str">
        <f t="shared" si="398"/>
        <v>APOIO</v>
      </c>
      <c r="D4804" s="2" t="str">
        <f t="shared" si="399"/>
        <v>HOCA</v>
      </c>
      <c r="E4804" s="2" t="str">
        <f>"HOCA_ANT"</f>
        <v>HOCA_ANT</v>
      </c>
      <c r="F4804" s="2" t="str">
        <f>"HOCA_ANT"</f>
        <v>HOCA_ANT</v>
      </c>
      <c r="G4804" s="2" t="str">
        <f>" ()"</f>
        <v xml:space="preserve"> ()</v>
      </c>
    </row>
    <row r="4805" spans="1:7" x14ac:dyDescent="0.3">
      <c r="A4805" s="1" t="s">
        <v>4</v>
      </c>
      <c r="B4805" s="2" t="str">
        <f t="shared" si="397"/>
        <v>SISTEMA DE GERENCIAMENTO DE HOME CARE</v>
      </c>
      <c r="C4805" s="2" t="str">
        <f t="shared" si="398"/>
        <v>APOIO</v>
      </c>
      <c r="D4805" s="2" t="str">
        <f t="shared" si="399"/>
        <v>HOCA</v>
      </c>
      <c r="E4805" s="2" t="str">
        <f>"HOCA"</f>
        <v>HOCA</v>
      </c>
      <c r="F4805" s="2" t="str">
        <f>"HOCA"</f>
        <v>HOCA</v>
      </c>
      <c r="G4805" s="2" t="str">
        <f>" ()"</f>
        <v xml:space="preserve"> ()</v>
      </c>
    </row>
    <row r="4806" spans="1:7" x14ac:dyDescent="0.3">
      <c r="A4806" s="1" t="s">
        <v>4</v>
      </c>
      <c r="B4806" s="2" t="str">
        <f t="shared" si="397"/>
        <v>SISTEMA DE GERENCIAMENTO DE HOME CARE</v>
      </c>
      <c r="C4806" s="2" t="str">
        <f t="shared" si="398"/>
        <v>APOIO</v>
      </c>
      <c r="D4806" s="2" t="str">
        <f t="shared" si="399"/>
        <v>HOCA</v>
      </c>
      <c r="E4806" s="2" t="str">
        <f>"C_PRODATEND_HC"</f>
        <v>C_PRODATEND_HC</v>
      </c>
      <c r="F4806" s="2" t="str">
        <f>"C_PRODATEND_HC"</f>
        <v>C_PRODATEND_HC</v>
      </c>
      <c r="G4806" s="2" t="str">
        <f>"Atendimento / Internação Domiciliar (Home Care) / Consultas / Produtos por Atendimento (C_PRODATEND_HC)"</f>
        <v>Atendimento / Internação Domiciliar (Home Care) / Consultas / Produtos por Atendimento (C_PRODATEND_HC)</v>
      </c>
    </row>
    <row r="4807" spans="1:7" x14ac:dyDescent="0.3">
      <c r="A4807" s="1" t="s">
        <v>4</v>
      </c>
      <c r="B4807" s="2" t="str">
        <f t="shared" si="397"/>
        <v>SISTEMA DE GERENCIAMENTO DE HOME CARE</v>
      </c>
      <c r="C4807" s="2" t="str">
        <f t="shared" si="398"/>
        <v>APOIO</v>
      </c>
      <c r="D4807" s="2" t="str">
        <f t="shared" si="399"/>
        <v>HOCA</v>
      </c>
      <c r="E4807" s="2" t="str">
        <f>"C_PEND_SETOR_OLD"</f>
        <v>C_PEND_SETOR_OLD</v>
      </c>
      <c r="F4807" s="2" t="str">
        <f>"C_PEND_SETOR_OLD"</f>
        <v>C_PEND_SETOR_OLD</v>
      </c>
      <c r="G4807" s="2" t="str">
        <f>" ()"</f>
        <v xml:space="preserve"> ()</v>
      </c>
    </row>
    <row r="4808" spans="1:7" x14ac:dyDescent="0.3">
      <c r="A4808" s="1" t="s">
        <v>4</v>
      </c>
      <c r="B4808" s="2" t="str">
        <f t="shared" si="397"/>
        <v>SISTEMA DE GERENCIAMENTO DE HOME CARE</v>
      </c>
      <c r="C4808" s="2" t="str">
        <f t="shared" si="398"/>
        <v>APOIO</v>
      </c>
      <c r="D4808" s="2" t="str">
        <f t="shared" si="399"/>
        <v>HOCA</v>
      </c>
      <c r="E4808" s="2" t="str">
        <f>"RELATÓRIO DE TIPO DE PACIENTE"</f>
        <v>RELATÓRIO DE TIPO DE PACIENTE</v>
      </c>
      <c r="F4808" s="2" t="str">
        <f>"R_ITENS_LOCADOS"</f>
        <v>R_ITENS_LOCADOS</v>
      </c>
      <c r="G4808" s="2" t="str">
        <f>"Atendimento / Internação Domiciliar (Home Care) / Relatórios / Tabelas / Materiais Locados (R_ITENS_LOCADOS)"</f>
        <v>Atendimento / Internação Domiciliar (Home Care) / Relatórios / Tabelas / Materiais Locados (R_ITENS_LOCADOS)</v>
      </c>
    </row>
    <row r="4809" spans="1:7" x14ac:dyDescent="0.3">
      <c r="A4809" s="1" t="s">
        <v>4</v>
      </c>
      <c r="B4809" s="2" t="str">
        <f t="shared" si="397"/>
        <v>SISTEMA DE GERENCIAMENTO DE HOME CARE</v>
      </c>
      <c r="C4809" s="2" t="str">
        <f t="shared" si="398"/>
        <v>APOIO</v>
      </c>
      <c r="D4809" s="2" t="str">
        <f t="shared" si="399"/>
        <v>HOCA</v>
      </c>
      <c r="E4809" s="2" t="str">
        <f>"ATENDIMENTO: URGÊNCIA/EMERGÊNCIA"</f>
        <v>ATENDIMENTO: URGÊNCIA/EMERGÊNCIA</v>
      </c>
      <c r="F4809" s="2" t="str">
        <f>"M_ATENDI_SOS"</f>
        <v>M_ATENDI_SOS</v>
      </c>
      <c r="G4809" s="2" t="str">
        <f>" ()"</f>
        <v xml:space="preserve"> ()</v>
      </c>
    </row>
    <row r="4810" spans="1:7" x14ac:dyDescent="0.3">
      <c r="A4810" s="1" t="s">
        <v>4</v>
      </c>
      <c r="B4810" s="2" t="str">
        <f t="shared" si="397"/>
        <v>SISTEMA DE GERENCIAMENTO DE HOME CARE</v>
      </c>
      <c r="C4810" s="2" t="str">
        <f t="shared" si="398"/>
        <v>APOIO</v>
      </c>
      <c r="D4810" s="2" t="str">
        <f t="shared" si="399"/>
        <v>HOCA</v>
      </c>
      <c r="E4810" s="2" t="str">
        <f>"MENU DO SISTEMA HOME CARE"</f>
        <v>MENU DO SISTEMA HOME CARE</v>
      </c>
      <c r="F4810" s="2" t="str">
        <f>"M_HOCA"</f>
        <v>M_HOCA</v>
      </c>
      <c r="G4810" s="2" t="str">
        <f>" ()"</f>
        <v xml:space="preserve"> ()</v>
      </c>
    </row>
    <row r="4811" spans="1:7" x14ac:dyDescent="0.3">
      <c r="A4811" s="1" t="s">
        <v>4</v>
      </c>
      <c r="B4811" s="2" t="str">
        <f t="shared" ref="B4811:B4844" si="400">"SISTEMA DE GERENCIAMENTO DE HOME CARE"</f>
        <v>SISTEMA DE GERENCIAMENTO DE HOME CARE</v>
      </c>
      <c r="C4811" s="2" t="str">
        <f t="shared" ref="C4811:C4844" si="401">"APOIO"</f>
        <v>APOIO</v>
      </c>
      <c r="D4811" s="2" t="str">
        <f t="shared" ref="D4811:D4844" si="402">"HOCA"</f>
        <v>HOCA</v>
      </c>
      <c r="E4811" s="2" t="str">
        <f>"R_PROCED_X_POS_RESULT"</f>
        <v>R_PROCED_X_POS_RESULT</v>
      </c>
      <c r="F4811" s="2" t="str">
        <f>"R_PROCED_X_POS_RESULT"</f>
        <v>R_PROCED_X_POS_RESULT</v>
      </c>
      <c r="G4811" s="2" t="str">
        <f>"Atendimento / Internação Domiciliar (Home Care) / Relatórios / Tabelas / Planos de Cuidados / Proced. de Cuidados x Possib. Resultados (R_PROCED_X_POS_RESULT)"</f>
        <v>Atendimento / Internação Domiciliar (Home Care) / Relatórios / Tabelas / Planos de Cuidados / Proced. de Cuidados x Possib. Resultados (R_PROCED_X_POS_RESULT)</v>
      </c>
    </row>
    <row r="4812" spans="1:7" x14ac:dyDescent="0.3">
      <c r="A4812" s="1" t="s">
        <v>4</v>
      </c>
      <c r="B4812" s="2" t="str">
        <f t="shared" si="400"/>
        <v>SISTEMA DE GERENCIAMENTO DE HOME CARE</v>
      </c>
      <c r="C4812" s="2" t="str">
        <f t="shared" si="401"/>
        <v>APOIO</v>
      </c>
      <c r="D4812" s="2" t="str">
        <f t="shared" si="402"/>
        <v>HOCA</v>
      </c>
      <c r="E4812" s="2" t="str">
        <f>"RELATÓRIO DE PROCEDIMENTOS DE CUIDADOS"</f>
        <v>RELATÓRIO DE PROCEDIMENTOS DE CUIDADOS</v>
      </c>
      <c r="F4812" s="2" t="str">
        <f>"R_PROCED_CUIDADOS"</f>
        <v>R_PROCED_CUIDADOS</v>
      </c>
      <c r="G4812" s="2" t="str">
        <f>"Atendimento / Internação Domiciliar (Home Care) / Relatórios / Tabelas / Planos de Cuidados / Procedimento de Cuidados (R_PROCED_CUIDADOS)"</f>
        <v>Atendimento / Internação Domiciliar (Home Care) / Relatórios / Tabelas / Planos de Cuidados / Procedimento de Cuidados (R_PROCED_CUIDADOS)</v>
      </c>
    </row>
    <row r="4813" spans="1:7" x14ac:dyDescent="0.3">
      <c r="A4813" s="1" t="s">
        <v>4</v>
      </c>
      <c r="B4813" s="2" t="str">
        <f t="shared" si="400"/>
        <v>SISTEMA DE GERENCIAMENTO DE HOME CARE</v>
      </c>
      <c r="C4813" s="2" t="str">
        <f t="shared" si="401"/>
        <v>APOIO</v>
      </c>
      <c r="D4813" s="2" t="str">
        <f t="shared" si="402"/>
        <v>HOCA</v>
      </c>
      <c r="E4813" s="2" t="str">
        <f>"RELATÓRIO DE PROCEDIMENTOS DE CUIDADOS"</f>
        <v>RELATÓRIO DE PROCEDIMENTOS DE CUIDADOS</v>
      </c>
      <c r="F4813" s="2" t="str">
        <f>"R_PROCED_CUIDADOS"</f>
        <v>R_PROCED_CUIDADOS</v>
      </c>
      <c r="G4813" s="2" t="str">
        <f>"Atendimento / Internação Domiciliar (Home Care) / Relatórios / Tabelas / Procedimentos de Internação (R_PROCED_CUIDADOS)"</f>
        <v>Atendimento / Internação Domiciliar (Home Care) / Relatórios / Tabelas / Procedimentos de Internação (R_PROCED_CUIDADOS)</v>
      </c>
    </row>
    <row r="4814" spans="1:7" x14ac:dyDescent="0.3">
      <c r="A4814" s="1" t="s">
        <v>4</v>
      </c>
      <c r="B4814" s="2" t="str">
        <f t="shared" si="400"/>
        <v>SISTEMA DE GERENCIAMENTO DE HOME CARE</v>
      </c>
      <c r="C4814" s="2" t="str">
        <f t="shared" si="401"/>
        <v>APOIO</v>
      </c>
      <c r="D4814" s="2" t="str">
        <f t="shared" si="402"/>
        <v>HOCA</v>
      </c>
      <c r="E4814" s="2" t="str">
        <f>"RELATÓRIO DE PROCEDIMENTOS DE CUIDADOS"</f>
        <v>RELATÓRIO DE PROCEDIMENTOS DE CUIDADOS</v>
      </c>
      <c r="F4814" s="2" t="str">
        <f>"R_CONFIG_PENDENCIA"</f>
        <v>R_CONFIG_PENDENCIA</v>
      </c>
      <c r="G4814" s="2" t="str">
        <f>"Atendimento / Internação Domiciliar (Home Care) / Relatórios / Tabelas / Pendências / Configurações de Pendências (R_CONFIG_PENDENCIA)"</f>
        <v>Atendimento / Internação Domiciliar (Home Care) / Relatórios / Tabelas / Pendências / Configurações de Pendências (R_CONFIG_PENDENCIA)</v>
      </c>
    </row>
    <row r="4815" spans="1:7" x14ac:dyDescent="0.3">
      <c r="A4815" s="1" t="s">
        <v>4</v>
      </c>
      <c r="B4815" s="2" t="str">
        <f t="shared" si="400"/>
        <v>SISTEMA DE GERENCIAMENTO DE HOME CARE</v>
      </c>
      <c r="C4815" s="2" t="str">
        <f t="shared" si="401"/>
        <v>APOIO</v>
      </c>
      <c r="D4815" s="2" t="str">
        <f t="shared" si="402"/>
        <v>HOCA</v>
      </c>
      <c r="E4815" s="2" t="str">
        <f>"PRIODUTOS POR FORNECEDOR"</f>
        <v>PRIODUTOS POR FORNECEDOR</v>
      </c>
      <c r="F4815" s="2" t="str">
        <f>"M_PRO_FORN"</f>
        <v>M_PRO_FORN</v>
      </c>
      <c r="G4815" s="2" t="str">
        <f>" ()"</f>
        <v xml:space="preserve"> ()</v>
      </c>
    </row>
    <row r="4816" spans="1:7" x14ac:dyDescent="0.3">
      <c r="A4816" s="1" t="s">
        <v>4</v>
      </c>
      <c r="B4816" s="2" t="str">
        <f t="shared" si="400"/>
        <v>SISTEMA DE GERENCIAMENTO DE HOME CARE</v>
      </c>
      <c r="C4816" s="2" t="str">
        <f t="shared" si="401"/>
        <v>APOIO</v>
      </c>
      <c r="D4816" s="2" t="str">
        <f t="shared" si="402"/>
        <v>HOCA</v>
      </c>
      <c r="E4816" s="2" t="str">
        <f>"TIPOS DE EXAMES X TIPOS DE PACIENTES"</f>
        <v>TIPOS DE EXAMES X TIPOS DE PACIENTES</v>
      </c>
      <c r="F4816" s="2" t="str">
        <f>"M_TIPOEXA_TIPOPAC"</f>
        <v>M_TIPOEXA_TIPOPAC</v>
      </c>
      <c r="G4816" s="2" t="str">
        <f>"Atendimento / Internação Domiciliar (Home Care) / Tabelas / Plano de Cuidados / Itens a Examinar x Tipos de Pacientes (M_TIPOEXA_TIPOPAC)"</f>
        <v>Atendimento / Internação Domiciliar (Home Care) / Tabelas / Plano de Cuidados / Itens a Examinar x Tipos de Pacientes (M_TIPOEXA_TIPOPAC)</v>
      </c>
    </row>
    <row r="4817" spans="1:7" x14ac:dyDescent="0.3">
      <c r="A4817" s="1" t="s">
        <v>4</v>
      </c>
      <c r="B4817" s="2" t="str">
        <f t="shared" si="400"/>
        <v>SISTEMA DE GERENCIAMENTO DE HOME CARE</v>
      </c>
      <c r="C4817" s="2" t="str">
        <f t="shared" si="401"/>
        <v>APOIO</v>
      </c>
      <c r="D4817" s="2" t="str">
        <f t="shared" si="402"/>
        <v>HOCA</v>
      </c>
      <c r="E4817" s="2" t="str">
        <f>"CONSULTA PENDÊNCIAS POR SETOR"</f>
        <v>CONSULTA PENDÊNCIAS POR SETOR</v>
      </c>
      <c r="F4817" s="2" t="str">
        <f>"C_PEND_SETOR"</f>
        <v>C_PEND_SETOR</v>
      </c>
      <c r="G4817" s="2" t="str">
        <f>"Atendimento / Internação Domiciliar (Home Care) / Consultas / Consulta Pendências por Setor (C_PEND_SETOR)"</f>
        <v>Atendimento / Internação Domiciliar (Home Care) / Consultas / Consulta Pendências por Setor (C_PEND_SETOR)</v>
      </c>
    </row>
    <row r="4818" spans="1:7" x14ac:dyDescent="0.3">
      <c r="A4818" s="1" t="s">
        <v>4</v>
      </c>
      <c r="B4818" s="2" t="str">
        <f t="shared" si="400"/>
        <v>SISTEMA DE GERENCIAMENTO DE HOME CARE</v>
      </c>
      <c r="C4818" s="2" t="str">
        <f t="shared" si="401"/>
        <v>APOIO</v>
      </c>
      <c r="D4818" s="2" t="str">
        <f t="shared" si="402"/>
        <v>HOCA</v>
      </c>
      <c r="E4818" s="2" t="str">
        <f>"LOCACAO DE PRODUTOS POR ATENDIMENTO"</f>
        <v>LOCACAO DE PRODUTOS POR ATENDIMENTO</v>
      </c>
      <c r="F4818" s="2" t="str">
        <f>"M_ITMVT_LOCACAO"</f>
        <v>M_ITMVT_LOCACAO</v>
      </c>
      <c r="G4818" s="2" t="str">
        <f>"Atendimento / Internação Domiciliar (Home Care) / Logística / Locação de Materiais (M_ITMVT_LOCACAO)"</f>
        <v>Atendimento / Internação Domiciliar (Home Care) / Logística / Locação de Materiais (M_ITMVT_LOCACAO)</v>
      </c>
    </row>
    <row r="4819" spans="1:7" x14ac:dyDescent="0.3">
      <c r="A4819" s="1" t="s">
        <v>4</v>
      </c>
      <c r="B4819" s="2" t="str">
        <f t="shared" si="400"/>
        <v>SISTEMA DE GERENCIAMENTO DE HOME CARE</v>
      </c>
      <c r="C4819" s="2" t="str">
        <f t="shared" si="401"/>
        <v>APOIO</v>
      </c>
      <c r="D4819" s="2" t="str">
        <f t="shared" si="402"/>
        <v>HOCA</v>
      </c>
      <c r="E4819" s="2" t="str">
        <f>"PRESTADOR X AREA"</f>
        <v>PRESTADOR X AREA</v>
      </c>
      <c r="F4819" s="2" t="str">
        <f>"M_AREA_PREST"</f>
        <v>M_AREA_PREST</v>
      </c>
      <c r="G4819" s="2" t="str">
        <f>"Atendimento / Internação Domiciliar (Home Care) / Tabelas / Prestador / Área x Prestadores (M_AREA_PREST)"</f>
        <v>Atendimento / Internação Domiciliar (Home Care) / Tabelas / Prestador / Área x Prestadores (M_AREA_PREST)</v>
      </c>
    </row>
    <row r="4820" spans="1:7" x14ac:dyDescent="0.3">
      <c r="A4820" s="1" t="s">
        <v>4</v>
      </c>
      <c r="B4820" s="2" t="str">
        <f t="shared" si="400"/>
        <v>SISTEMA DE GERENCIAMENTO DE HOME CARE</v>
      </c>
      <c r="C4820" s="2" t="str">
        <f t="shared" si="401"/>
        <v>APOIO</v>
      </c>
      <c r="D4820" s="2" t="str">
        <f t="shared" si="402"/>
        <v>HOCA</v>
      </c>
      <c r="E4820" s="2" t="str">
        <f>"PRESTADOR X COOPERATIVA"</f>
        <v>PRESTADOR X COOPERATIVA</v>
      </c>
      <c r="F4820" s="2" t="str">
        <f>"M_COOP_PREST"</f>
        <v>M_COOP_PREST</v>
      </c>
      <c r="G4820" s="2" t="str">
        <f>"Atendimento / Internação Domiciliar (Home Care) / Tabelas / Prestador / Cooperativas x Prestadores (M_COOP_PREST)"</f>
        <v>Atendimento / Internação Domiciliar (Home Care) / Tabelas / Prestador / Cooperativas x Prestadores (M_COOP_PREST)</v>
      </c>
    </row>
    <row r="4821" spans="1:7" x14ac:dyDescent="0.3">
      <c r="A4821" s="1" t="s">
        <v>4</v>
      </c>
      <c r="B4821" s="2" t="str">
        <f t="shared" si="400"/>
        <v>SISTEMA DE GERENCIAMENTO DE HOME CARE</v>
      </c>
      <c r="C4821" s="2" t="str">
        <f t="shared" si="401"/>
        <v>APOIO</v>
      </c>
      <c r="D4821" s="2" t="str">
        <f t="shared" si="402"/>
        <v>HOCA</v>
      </c>
      <c r="E4821" s="2" t="str">
        <f>"CADASTRO DE COOPERATIVAS"</f>
        <v>CADASTRO DE COOPERATIVAS</v>
      </c>
      <c r="F4821" s="2" t="str">
        <f>"M_COOPERATIVA"</f>
        <v>M_COOPERATIVA</v>
      </c>
      <c r="G4821" s="2" t="str">
        <f>"Atendimento / Internação Domiciliar (Home Care) / Tabelas / Cooperativas (M_COOPERATIVA)"</f>
        <v>Atendimento / Internação Domiciliar (Home Care) / Tabelas / Cooperativas (M_COOPERATIVA)</v>
      </c>
    </row>
    <row r="4822" spans="1:7" x14ac:dyDescent="0.3">
      <c r="A4822" s="1" t="s">
        <v>4</v>
      </c>
      <c r="B4822" s="2" t="str">
        <f t="shared" si="400"/>
        <v>SISTEMA DE GERENCIAMENTO DE HOME CARE</v>
      </c>
      <c r="C4822" s="2" t="str">
        <f t="shared" si="401"/>
        <v>APOIO</v>
      </c>
      <c r="D4822" s="2" t="str">
        <f t="shared" si="402"/>
        <v>HOCA</v>
      </c>
      <c r="E4822" s="2" t="str">
        <f>"TIPO DE PENDENCIAS"</f>
        <v>TIPO DE PENDENCIAS</v>
      </c>
      <c r="F4822" s="2" t="str">
        <f>"M_TIPO_PEND"</f>
        <v>M_TIPO_PEND</v>
      </c>
      <c r="G4822" s="2" t="str">
        <f>"Atendimento / Internação Domiciliar (Home Care) / Tabelas / Pendências / Tipos de Pendências (M_TIPO_PEND)"</f>
        <v>Atendimento / Internação Domiciliar (Home Care) / Tabelas / Pendências / Tipos de Pendências (M_TIPO_PEND)</v>
      </c>
    </row>
    <row r="4823" spans="1:7" x14ac:dyDescent="0.3">
      <c r="A4823" s="1" t="s">
        <v>4</v>
      </c>
      <c r="B4823" s="2" t="str">
        <f t="shared" si="400"/>
        <v>SISTEMA DE GERENCIAMENTO DE HOME CARE</v>
      </c>
      <c r="C4823" s="2" t="str">
        <f t="shared" si="401"/>
        <v>APOIO</v>
      </c>
      <c r="D4823" s="2" t="str">
        <f t="shared" si="402"/>
        <v>HOCA</v>
      </c>
      <c r="E4823" s="2" t="str">
        <f>"CONFIGURAÇÕES DE PENDÊNCIAS HOME CARE"</f>
        <v>CONFIGURAÇÕES DE PENDÊNCIAS HOME CARE</v>
      </c>
      <c r="F4823" s="2" t="str">
        <f>"M_CONFIG_PEND"</f>
        <v>M_CONFIG_PEND</v>
      </c>
      <c r="G4823" s="2" t="str">
        <f>"Atendimento / Internação Domiciliar (Home Care) / Tabelas / Pendências / Configurações de Pendências (M_CONFIG_PEND)"</f>
        <v>Atendimento / Internação Domiciliar (Home Care) / Tabelas / Pendências / Configurações de Pendências (M_CONFIG_PEND)</v>
      </c>
    </row>
    <row r="4824" spans="1:7" x14ac:dyDescent="0.3">
      <c r="A4824" s="1" t="s">
        <v>4</v>
      </c>
      <c r="B4824" s="2" t="str">
        <f t="shared" si="400"/>
        <v>SISTEMA DE GERENCIAMENTO DE HOME CARE</v>
      </c>
      <c r="C4824" s="2" t="str">
        <f t="shared" si="401"/>
        <v>APOIO</v>
      </c>
      <c r="D4824" s="2" t="str">
        <f t="shared" si="402"/>
        <v>HOCA</v>
      </c>
      <c r="E4824" s="2" t="str">
        <f>"CADASTRO DE AREAS"</f>
        <v>CADASTRO DE AREAS</v>
      </c>
      <c r="F4824" s="2" t="str">
        <f>"M_AREA"</f>
        <v>M_AREA</v>
      </c>
      <c r="G4824" s="2" t="str">
        <f>"Atendimento / Internação Domiciliar (Home Care) / Tabelas / Áreas de Atuação Home Care (M_AREA)"</f>
        <v>Atendimento / Internação Domiciliar (Home Care) / Tabelas / Áreas de Atuação Home Care (M_AREA)</v>
      </c>
    </row>
    <row r="4825" spans="1:7" x14ac:dyDescent="0.3">
      <c r="A4825" s="1" t="s">
        <v>4</v>
      </c>
      <c r="B4825" s="2" t="str">
        <f t="shared" si="400"/>
        <v>SISTEMA DE GERENCIAMENTO DE HOME CARE</v>
      </c>
      <c r="C4825" s="2" t="str">
        <f t="shared" si="401"/>
        <v>APOIO</v>
      </c>
      <c r="D4825" s="2" t="str">
        <f t="shared" si="402"/>
        <v>HOCA</v>
      </c>
      <c r="E4825" s="2" t="str">
        <f>"INTERNAÇÃO DE HOME CARE"</f>
        <v>INTERNAÇÃO DE HOME CARE</v>
      </c>
      <c r="F4825" s="2" t="str">
        <f>"M_INT_HOCA"</f>
        <v>M_INT_HOCA</v>
      </c>
      <c r="G4825" s="2" t="str">
        <f>"Atendimento / Internação Domiciliar (Home Care) / Recepção / Internação (M_INT_HOCA)"</f>
        <v>Atendimento / Internação Domiciliar (Home Care) / Recepção / Internação (M_INT_HOCA)</v>
      </c>
    </row>
    <row r="4826" spans="1:7" x14ac:dyDescent="0.3">
      <c r="A4826" s="1" t="s">
        <v>4</v>
      </c>
      <c r="B4826" s="2" t="str">
        <f t="shared" si="400"/>
        <v>SISTEMA DE GERENCIAMENTO DE HOME CARE</v>
      </c>
      <c r="C4826" s="2" t="str">
        <f t="shared" si="401"/>
        <v>APOIO</v>
      </c>
      <c r="D4826" s="2" t="str">
        <f t="shared" si="402"/>
        <v>HOCA</v>
      </c>
      <c r="E4826" s="2" t="str">
        <f>"MANUTENÇÃO DO REL. AREA COM BAIRRO"</f>
        <v>MANUTENÇÃO DO REL. AREA COM BAIRRO</v>
      </c>
      <c r="F4826" s="2" t="str">
        <f>"M_AREA_BAIRRO"</f>
        <v>M_AREA_BAIRRO</v>
      </c>
      <c r="G4826" s="2" t="str">
        <f>"Atendimento / Internação Domiciliar (Home Care) / Tabelas / Bairros x Áreas (M_AREA_BAIRRO)"</f>
        <v>Atendimento / Internação Domiciliar (Home Care) / Tabelas / Bairros x Áreas (M_AREA_BAIRRO)</v>
      </c>
    </row>
    <row r="4827" spans="1:7" x14ac:dyDescent="0.3">
      <c r="A4827" s="1" t="s">
        <v>4</v>
      </c>
      <c r="B4827" s="2" t="str">
        <f t="shared" si="400"/>
        <v>SISTEMA DE GERENCIAMENTO DE HOME CARE</v>
      </c>
      <c r="C4827" s="2" t="str">
        <f t="shared" si="401"/>
        <v>APOIO</v>
      </c>
      <c r="D4827" s="2" t="str">
        <f t="shared" si="402"/>
        <v>HOCA</v>
      </c>
      <c r="E4827" s="2" t="str">
        <f>"CONSULTA DE BAIRROS"</f>
        <v>CONSULTA DE BAIRROS</v>
      </c>
      <c r="F4827" s="2" t="str">
        <f>"C_CEP_BAIRROS"</f>
        <v>C_CEP_BAIRROS</v>
      </c>
      <c r="G4827" s="2" t="str">
        <f>"Atendimento / Internação Domiciliar (Home Care) / Consultas / Consulta de Bairros (C_CEP_BAIRROS)"</f>
        <v>Atendimento / Internação Domiciliar (Home Care) / Consultas / Consulta de Bairros (C_CEP_BAIRROS)</v>
      </c>
    </row>
    <row r="4828" spans="1:7" x14ac:dyDescent="0.3">
      <c r="A4828" s="1" t="s">
        <v>4</v>
      </c>
      <c r="B4828" s="2" t="str">
        <f t="shared" si="400"/>
        <v>SISTEMA DE GERENCIAMENTO DE HOME CARE</v>
      </c>
      <c r="C4828" s="2" t="str">
        <f t="shared" si="401"/>
        <v>APOIO</v>
      </c>
      <c r="D4828" s="2" t="str">
        <f t="shared" si="402"/>
        <v>HOCA</v>
      </c>
      <c r="E4828" s="2" t="str">
        <f>"PENDÊNCIAS DO ATENDIMENTO"</f>
        <v>PENDÊNCIAS DO ATENDIMENTO</v>
      </c>
      <c r="F4828" s="2" t="str">
        <f>"CONS_PEND"</f>
        <v>CONS_PEND</v>
      </c>
      <c r="G4828" s="2" t="str">
        <f>" ()"</f>
        <v xml:space="preserve"> ()</v>
      </c>
    </row>
    <row r="4829" spans="1:7" x14ac:dyDescent="0.3">
      <c r="A4829" s="1" t="s">
        <v>4</v>
      </c>
      <c r="B4829" s="2" t="str">
        <f t="shared" si="400"/>
        <v>SISTEMA DE GERENCIAMENTO DE HOME CARE</v>
      </c>
      <c r="C4829" s="2" t="str">
        <f t="shared" si="401"/>
        <v>APOIO</v>
      </c>
      <c r="D4829" s="2" t="str">
        <f t="shared" si="402"/>
        <v>HOCA</v>
      </c>
      <c r="E4829" s="2" t="str">
        <f>"CADASTRO DE ENDEREÇOS DO PACIENTE"</f>
        <v>CADASTRO DE ENDEREÇOS DO PACIENTE</v>
      </c>
      <c r="F4829" s="2" t="str">
        <f>"M_ENDERECO_PAC"</f>
        <v>M_ENDERECO_PAC</v>
      </c>
      <c r="G4829" s="2" t="str">
        <f>" ()"</f>
        <v xml:space="preserve"> ()</v>
      </c>
    </row>
    <row r="4830" spans="1:7" x14ac:dyDescent="0.3">
      <c r="A4830" s="1" t="s">
        <v>4</v>
      </c>
      <c r="B4830" s="2" t="str">
        <f t="shared" si="400"/>
        <v>SISTEMA DE GERENCIAMENTO DE HOME CARE</v>
      </c>
      <c r="C4830" s="2" t="str">
        <f t="shared" si="401"/>
        <v>APOIO</v>
      </c>
      <c r="D4830" s="2" t="str">
        <f t="shared" si="402"/>
        <v>HOCA</v>
      </c>
      <c r="E4830" s="2" t="str">
        <f>"R_SOLIC_TIPO_SOLIC"</f>
        <v>R_SOLIC_TIPO_SOLIC</v>
      </c>
      <c r="F4830" s="2" t="str">
        <f>"R_SOLIC_TIPO_SOLIC"</f>
        <v>R_SOLIC_TIPO_SOLIC</v>
      </c>
      <c r="G4830" s="2" t="str">
        <f>"Atendimento / Internação Domiciliar (Home Care) / Relatórios / Estatísticos / Solicitações de Materiais por Tipo (R_SOLIC_TIPO_SOLIC)"</f>
        <v>Atendimento / Internação Domiciliar (Home Care) / Relatórios / Estatísticos / Solicitações de Materiais por Tipo (R_SOLIC_TIPO_SOLIC)</v>
      </c>
    </row>
    <row r="4831" spans="1:7" x14ac:dyDescent="0.3">
      <c r="A4831" s="1" t="s">
        <v>4</v>
      </c>
      <c r="B4831" s="2" t="str">
        <f t="shared" si="400"/>
        <v>SISTEMA DE GERENCIAMENTO DE HOME CARE</v>
      </c>
      <c r="C4831" s="2" t="str">
        <f t="shared" si="401"/>
        <v>APOIO</v>
      </c>
      <c r="D4831" s="2" t="str">
        <f t="shared" si="402"/>
        <v>HOCA</v>
      </c>
      <c r="E4831" s="2" t="str">
        <f>"SOLICITAÇÕES POR TIPO"</f>
        <v>SOLICITAÇÕES POR TIPO</v>
      </c>
      <c r="F4831" s="2" t="str">
        <f>"R_SOLICITACOES_TIPO_SOLICITACA"</f>
        <v>R_SOLICITACOES_TIPO_SOLICITACA</v>
      </c>
      <c r="G4831" s="2" t="str">
        <f>" ()"</f>
        <v xml:space="preserve"> ()</v>
      </c>
    </row>
    <row r="4832" spans="1:7" x14ac:dyDescent="0.3">
      <c r="A4832" s="1" t="s">
        <v>4</v>
      </c>
      <c r="B4832" s="2" t="str">
        <f t="shared" si="400"/>
        <v>SISTEMA DE GERENCIAMENTO DE HOME CARE</v>
      </c>
      <c r="C4832" s="2" t="str">
        <f t="shared" si="401"/>
        <v>APOIO</v>
      </c>
      <c r="D4832" s="2" t="str">
        <f t="shared" si="402"/>
        <v>HOCA</v>
      </c>
      <c r="E4832" s="2" t="str">
        <f>"R_SOLSAI_PRO_800"</f>
        <v>R_SOLSAI_PRO_800</v>
      </c>
      <c r="F4832" s="2" t="str">
        <f>"R_SOLSAI_PRO_800"</f>
        <v>R_SOLSAI_PRO_800</v>
      </c>
      <c r="G4832" s="2" t="str">
        <f>" ()"</f>
        <v xml:space="preserve"> ()</v>
      </c>
    </row>
    <row r="4833" spans="1:7" x14ac:dyDescent="0.3">
      <c r="A4833" s="1" t="s">
        <v>4</v>
      </c>
      <c r="B4833" s="2" t="str">
        <f t="shared" si="400"/>
        <v>SISTEMA DE GERENCIAMENTO DE HOME CARE</v>
      </c>
      <c r="C4833" s="2" t="str">
        <f t="shared" si="401"/>
        <v>APOIO</v>
      </c>
      <c r="D4833" s="2" t="str">
        <f t="shared" si="402"/>
        <v>HOCA</v>
      </c>
      <c r="E4833" s="2" t="str">
        <f>"RELATÓRIO DE CENSO"</f>
        <v>RELATÓRIO DE CENSO</v>
      </c>
      <c r="F4833" s="2" t="str">
        <f>"R_CENSO_HCARE.RDF"</f>
        <v>R_CENSO_HCARE.RDF</v>
      </c>
      <c r="G4833" s="2" t="str">
        <f>" ()"</f>
        <v xml:space="preserve"> ()</v>
      </c>
    </row>
    <row r="4834" spans="1:7" x14ac:dyDescent="0.3">
      <c r="A4834" s="1" t="s">
        <v>4</v>
      </c>
      <c r="B4834" s="2" t="str">
        <f t="shared" si="400"/>
        <v>SISTEMA DE GERENCIAMENTO DE HOME CARE</v>
      </c>
      <c r="C4834" s="2" t="str">
        <f t="shared" si="401"/>
        <v>APOIO</v>
      </c>
      <c r="D4834" s="2" t="str">
        <f t="shared" si="402"/>
        <v>HOCA</v>
      </c>
      <c r="E4834" s="2" t="str">
        <f>"RELATÓRIO DE ALTAS POR MÉDICO"</f>
        <v>RELATÓRIO DE ALTAS POR MÉDICO</v>
      </c>
      <c r="F4834" s="2" t="str">
        <f>"R_ALTASMEDICO.RDF"</f>
        <v>R_ALTASMEDICO.RDF</v>
      </c>
      <c r="G4834" s="2" t="str">
        <f>" ()"</f>
        <v xml:space="preserve"> ()</v>
      </c>
    </row>
    <row r="4835" spans="1:7" x14ac:dyDescent="0.3">
      <c r="A4835" s="1" t="s">
        <v>4</v>
      </c>
      <c r="B4835" s="2" t="str">
        <f t="shared" si="400"/>
        <v>SISTEMA DE GERENCIAMENTO DE HOME CARE</v>
      </c>
      <c r="C4835" s="2" t="str">
        <f t="shared" si="401"/>
        <v>APOIO</v>
      </c>
      <c r="D4835" s="2" t="str">
        <f t="shared" si="402"/>
        <v>HOCA</v>
      </c>
      <c r="E4835" s="2" t="str">
        <f>"RELATÓRIO DE TIPO DE PACIENTE"</f>
        <v>RELATÓRIO DE TIPO DE PACIENTE</v>
      </c>
      <c r="F4835" s="2" t="str">
        <f>"R_ITENS_X_TIPOPAC"</f>
        <v>R_ITENS_X_TIPOPAC</v>
      </c>
      <c r="G4835" s="2" t="str">
        <f>"Atendimento / Internação Domiciliar (Home Care) / Relatórios / Tabelas / Planos de Cuidados / Itens a Examinar x Tipos de Pacientes (R_ITENS_X_TIPOPAC)"</f>
        <v>Atendimento / Internação Domiciliar (Home Care) / Relatórios / Tabelas / Planos de Cuidados / Itens a Examinar x Tipos de Pacientes (R_ITENS_X_TIPOPAC)</v>
      </c>
    </row>
    <row r="4836" spans="1:7" x14ac:dyDescent="0.3">
      <c r="A4836" s="1" t="s">
        <v>4</v>
      </c>
      <c r="B4836" s="2" t="str">
        <f t="shared" si="400"/>
        <v>SISTEMA DE GERENCIAMENTO DE HOME CARE</v>
      </c>
      <c r="C4836" s="2" t="str">
        <f t="shared" si="401"/>
        <v>APOIO</v>
      </c>
      <c r="D4836" s="2" t="str">
        <f t="shared" si="402"/>
        <v>HOCA</v>
      </c>
      <c r="E4836" s="2" t="str">
        <f>"RELATÓRIO DE TIPO DE PACIENTE"</f>
        <v>RELATÓRIO DE TIPO DE PACIENTE</v>
      </c>
      <c r="F4836" s="2" t="str">
        <f>"R_ITENS_EXAMINAR"</f>
        <v>R_ITENS_EXAMINAR</v>
      </c>
      <c r="G4836" s="2" t="str">
        <f>"Atendimento / Internação Domiciliar (Home Care) / Relatórios / Tabelas / Planos de Cuidados / Itens a Examinar (R_ITENS_EXAMINAR)"</f>
        <v>Atendimento / Internação Domiciliar (Home Care) / Relatórios / Tabelas / Planos de Cuidados / Itens a Examinar (R_ITENS_EXAMINAR)</v>
      </c>
    </row>
    <row r="4837" spans="1:7" x14ac:dyDescent="0.3">
      <c r="A4837" s="1" t="s">
        <v>4</v>
      </c>
      <c r="B4837" s="2" t="str">
        <f t="shared" si="400"/>
        <v>SISTEMA DE GERENCIAMENTO DE HOME CARE</v>
      </c>
      <c r="C4837" s="2" t="str">
        <f t="shared" si="401"/>
        <v>APOIO</v>
      </c>
      <c r="D4837" s="2" t="str">
        <f t="shared" si="402"/>
        <v>HOCA</v>
      </c>
      <c r="E4837" s="2" t="str">
        <f>"RELATÓRIO DE RENTABILIDADE DO PACIENTE"</f>
        <v>RELATÓRIO DE RENTABILIDADE DO PACIENTE</v>
      </c>
      <c r="F4837" s="2" t="str">
        <f>"R_RENTABILIDADE.RDF"</f>
        <v>R_RENTABILIDADE.RDF</v>
      </c>
      <c r="G4837" s="2" t="str">
        <f t="shared" ref="G4837:G4848" si="403">" ()"</f>
        <v xml:space="preserve"> ()</v>
      </c>
    </row>
    <row r="4838" spans="1:7" x14ac:dyDescent="0.3">
      <c r="A4838" s="1" t="s">
        <v>4</v>
      </c>
      <c r="B4838" s="2" t="str">
        <f t="shared" si="400"/>
        <v>SISTEMA DE GERENCIAMENTO DE HOME CARE</v>
      </c>
      <c r="C4838" s="2" t="str">
        <f t="shared" si="401"/>
        <v>APOIO</v>
      </c>
      <c r="D4838" s="2" t="str">
        <f t="shared" si="402"/>
        <v>HOCA</v>
      </c>
      <c r="E4838" s="2" t="str">
        <f>"RELATÓRIO DE TIPOS DE PENDÊNCIAS"</f>
        <v>RELATÓRIO DE TIPOS DE PENDÊNCIAS</v>
      </c>
      <c r="F4838" s="2" t="str">
        <f>"R_TIPO_PENDENCIA.RDF"</f>
        <v>R_TIPO_PENDENCIA.RDF</v>
      </c>
      <c r="G4838" s="2" t="str">
        <f t="shared" si="403"/>
        <v xml:space="preserve"> ()</v>
      </c>
    </row>
    <row r="4839" spans="1:7" x14ac:dyDescent="0.3">
      <c r="A4839" s="1" t="s">
        <v>4</v>
      </c>
      <c r="B4839" s="2" t="str">
        <f t="shared" si="400"/>
        <v>SISTEMA DE GERENCIAMENTO DE HOME CARE</v>
      </c>
      <c r="C4839" s="2" t="str">
        <f t="shared" si="401"/>
        <v>APOIO</v>
      </c>
      <c r="D4839" s="2" t="str">
        <f t="shared" si="402"/>
        <v>HOCA</v>
      </c>
      <c r="E4839" s="2" t="str">
        <f>"REL. DE INTERNAÇOES POR MÉDICO"</f>
        <v>REL. DE INTERNAÇOES POR MÉDICO</v>
      </c>
      <c r="F4839" s="2" t="str">
        <f>"R_INTERNACOESMEDICO.RDF"</f>
        <v>R_INTERNACOESMEDICO.RDF</v>
      </c>
      <c r="G4839" s="2" t="str">
        <f t="shared" si="403"/>
        <v xml:space="preserve"> ()</v>
      </c>
    </row>
    <row r="4840" spans="1:7" x14ac:dyDescent="0.3">
      <c r="A4840" s="1" t="s">
        <v>4</v>
      </c>
      <c r="B4840" s="2" t="str">
        <f t="shared" si="400"/>
        <v>SISTEMA DE GERENCIAMENTO DE HOME CARE</v>
      </c>
      <c r="C4840" s="2" t="str">
        <f t="shared" si="401"/>
        <v>APOIO</v>
      </c>
      <c r="D4840" s="2" t="str">
        <f t="shared" si="402"/>
        <v>HOCA</v>
      </c>
      <c r="E4840" s="2" t="str">
        <f>"RELATÓRIO DE INTERNAÇÕES POR CONVENIO"</f>
        <v>RELATÓRIO DE INTERNAÇÕES POR CONVENIO</v>
      </c>
      <c r="F4840" s="2" t="str">
        <f>"R_INTERNACOESCONVENIO.RDF"</f>
        <v>R_INTERNACOESCONVENIO.RDF</v>
      </c>
      <c r="G4840" s="2" t="str">
        <f t="shared" si="403"/>
        <v xml:space="preserve"> ()</v>
      </c>
    </row>
    <row r="4841" spans="1:7" x14ac:dyDescent="0.3">
      <c r="A4841" s="1" t="s">
        <v>4</v>
      </c>
      <c r="B4841" s="2" t="str">
        <f t="shared" si="400"/>
        <v>SISTEMA DE GERENCIAMENTO DE HOME CARE</v>
      </c>
      <c r="C4841" s="2" t="str">
        <f t="shared" si="401"/>
        <v>APOIO</v>
      </c>
      <c r="D4841" s="2" t="str">
        <f t="shared" si="402"/>
        <v>HOCA</v>
      </c>
      <c r="E4841" s="2" t="str">
        <f>"RELAT DE POSS. DE RESUL X PROC DE CUI"</f>
        <v>RELAT DE POSS. DE RESUL X PROC DE CUI</v>
      </c>
      <c r="F4841" s="2" t="str">
        <f>"R_PROCED_X_POS_RESULT.RDF"</f>
        <v>R_PROCED_X_POS_RESULT.RDF</v>
      </c>
      <c r="G4841" s="2" t="str">
        <f t="shared" si="403"/>
        <v xml:space="preserve"> ()</v>
      </c>
    </row>
    <row r="4842" spans="1:7" x14ac:dyDescent="0.3">
      <c r="A4842" s="1" t="s">
        <v>4</v>
      </c>
      <c r="B4842" s="2" t="str">
        <f t="shared" si="400"/>
        <v>SISTEMA DE GERENCIAMENTO DE HOME CARE</v>
      </c>
      <c r="C4842" s="2" t="str">
        <f t="shared" si="401"/>
        <v>APOIO</v>
      </c>
      <c r="D4842" s="2" t="str">
        <f t="shared" si="402"/>
        <v>HOCA</v>
      </c>
      <c r="E4842" s="2" t="str">
        <f>"RELAT. DE ITENS A EXAMINAR XTIPOS DE PAC"</f>
        <v>RELAT. DE ITENS A EXAMINAR XTIPOS DE PAC</v>
      </c>
      <c r="F4842" s="2" t="str">
        <f>"R_ITENS_X_TIPOPAC.RDF"</f>
        <v>R_ITENS_X_TIPOPAC.RDF</v>
      </c>
      <c r="G4842" s="2" t="str">
        <f t="shared" si="403"/>
        <v xml:space="preserve"> ()</v>
      </c>
    </row>
    <row r="4843" spans="1:7" x14ac:dyDescent="0.3">
      <c r="A4843" s="1" t="s">
        <v>4</v>
      </c>
      <c r="B4843" s="2" t="str">
        <f t="shared" si="400"/>
        <v>SISTEMA DE GERENCIAMENTO DE HOME CARE</v>
      </c>
      <c r="C4843" s="2" t="str">
        <f t="shared" si="401"/>
        <v>APOIO</v>
      </c>
      <c r="D4843" s="2" t="str">
        <f t="shared" si="402"/>
        <v>HOCA</v>
      </c>
      <c r="E4843" s="2" t="str">
        <f>"RELATÓRIO DE ITENS A EXAMINAR"</f>
        <v>RELATÓRIO DE ITENS A EXAMINAR</v>
      </c>
      <c r="F4843" s="2" t="str">
        <f>"R_ITENS_EXAMINAR.RDF"</f>
        <v>R_ITENS_EXAMINAR.RDF</v>
      </c>
      <c r="G4843" s="2" t="str">
        <f t="shared" si="403"/>
        <v xml:space="preserve"> ()</v>
      </c>
    </row>
    <row r="4844" spans="1:7" x14ac:dyDescent="0.3">
      <c r="A4844" s="1" t="s">
        <v>4</v>
      </c>
      <c r="B4844" s="2" t="str">
        <f t="shared" si="400"/>
        <v>SISTEMA DE GERENCIAMENTO DE HOME CARE</v>
      </c>
      <c r="C4844" s="2" t="str">
        <f t="shared" si="401"/>
        <v>APOIO</v>
      </c>
      <c r="D4844" s="2" t="str">
        <f t="shared" si="402"/>
        <v>HOCA</v>
      </c>
      <c r="E4844" s="2" t="str">
        <f>"RELATÓRIOS DE TIPO DE PACIENTE"</f>
        <v>RELATÓRIOS DE TIPO DE PACIENTE</v>
      </c>
      <c r="F4844" s="2" t="str">
        <f>"R_TIPO_PACIENTE.RDF"</f>
        <v>R_TIPO_PACIENTE.RDF</v>
      </c>
      <c r="G4844" s="2" t="str">
        <f t="shared" si="403"/>
        <v xml:space="preserve"> ()</v>
      </c>
    </row>
    <row r="4845" spans="1:7" x14ac:dyDescent="0.3">
      <c r="A4845" s="1" t="s">
        <v>4</v>
      </c>
      <c r="B4845" s="2" t="str">
        <f t="shared" ref="B4845:B4854" si="404">"SISTEMA DE INTEGRACAO"</f>
        <v>SISTEMA DE INTEGRACAO</v>
      </c>
      <c r="C4845" s="2" t="str">
        <f t="shared" ref="C4845:C4854" si="405">"INTEGRACAO"</f>
        <v>INTEGRACAO</v>
      </c>
      <c r="D4845" s="2" t="str">
        <f t="shared" ref="D4845:D4854" si="406">"IMV"</f>
        <v>IMV</v>
      </c>
      <c r="E4845" s="2" t="str">
        <f>"RELATÓRIO DE INVENTÁRIO POR ESPÉCIE"</f>
        <v>RELATÓRIO DE INVENTÁRIO POR ESPÉCIE</v>
      </c>
      <c r="F4845" s="2" t="str">
        <f>"R_INVENTARIO_ESPECIE_IMV263"</f>
        <v>R_INVENTARIO_ESPECIE_IMV263</v>
      </c>
      <c r="G4845" s="2" t="str">
        <f t="shared" si="403"/>
        <v xml:space="preserve"> ()</v>
      </c>
    </row>
    <row r="4846" spans="1:7" x14ac:dyDescent="0.3">
      <c r="A4846" s="1" t="s">
        <v>4</v>
      </c>
      <c r="B4846" s="2" t="str">
        <f t="shared" si="404"/>
        <v>SISTEMA DE INTEGRACAO</v>
      </c>
      <c r="C4846" s="2" t="str">
        <f t="shared" si="405"/>
        <v>INTEGRACAO</v>
      </c>
      <c r="D4846" s="2" t="str">
        <f t="shared" si="406"/>
        <v>IMV</v>
      </c>
      <c r="E4846" s="2" t="str">
        <f>"CADASTRO DAS INTEGRAÇÕES"</f>
        <v>CADASTRO DAS INTEGRAÇÕES</v>
      </c>
      <c r="F4846" s="2" t="str">
        <f>"M_CADASTRO_SAIDA"</f>
        <v>M_CADASTRO_SAIDA</v>
      </c>
      <c r="G4846" s="2" t="str">
        <f t="shared" si="403"/>
        <v xml:space="preserve"> ()</v>
      </c>
    </row>
    <row r="4847" spans="1:7" x14ac:dyDescent="0.3">
      <c r="A4847" s="1" t="s">
        <v>4</v>
      </c>
      <c r="B4847" s="2" t="str">
        <f t="shared" si="404"/>
        <v>SISTEMA DE INTEGRACAO</v>
      </c>
      <c r="C4847" s="2" t="str">
        <f t="shared" si="405"/>
        <v>INTEGRACAO</v>
      </c>
      <c r="D4847" s="2" t="str">
        <f t="shared" si="406"/>
        <v>IMV</v>
      </c>
      <c r="E4847" s="2" t="str">
        <f>"MANUTENÇÃO - INTEGRAÇÃO RIS/LIS"</f>
        <v>MANUTENÇÃO - INTEGRAÇÃO RIS/LIS</v>
      </c>
      <c r="F4847" s="2" t="str">
        <f>"O_MONITORAMENTO_LOG_ENTRADA_WS"</f>
        <v>O_MONITORAMENTO_LOG_ENTRADA_WS</v>
      </c>
      <c r="G4847" s="2" t="str">
        <f t="shared" si="403"/>
        <v xml:space="preserve"> ()</v>
      </c>
    </row>
    <row r="4848" spans="1:7" x14ac:dyDescent="0.3">
      <c r="A4848" s="1" t="s">
        <v>4</v>
      </c>
      <c r="B4848" s="2" t="str">
        <f t="shared" si="404"/>
        <v>SISTEMA DE INTEGRACAO</v>
      </c>
      <c r="C4848" s="2" t="str">
        <f t="shared" si="405"/>
        <v>INTEGRACAO</v>
      </c>
      <c r="D4848" s="2" t="str">
        <f t="shared" si="406"/>
        <v>IMV</v>
      </c>
      <c r="E4848" s="2" t="str">
        <f>"WIN_PRINCIPAL"</f>
        <v>WIN_PRINCIPAL</v>
      </c>
      <c r="F4848" s="2" t="str">
        <f>"M_CONFIGURA_DEPARA"</f>
        <v>M_CONFIGURA_DEPARA</v>
      </c>
      <c r="G4848" s="2" t="str">
        <f t="shared" si="403"/>
        <v xml:space="preserve"> ()</v>
      </c>
    </row>
    <row r="4849" spans="1:7" x14ac:dyDescent="0.3">
      <c r="A4849" s="1" t="s">
        <v>4</v>
      </c>
      <c r="B4849" s="2" t="str">
        <f t="shared" si="404"/>
        <v>SISTEMA DE INTEGRACAO</v>
      </c>
      <c r="C4849" s="2" t="str">
        <f t="shared" si="405"/>
        <v>INTEGRACAO</v>
      </c>
      <c r="D4849" s="2" t="str">
        <f t="shared" si="406"/>
        <v>IMV</v>
      </c>
      <c r="E4849" s="2" t="str">
        <f>"MENSAGEM DE TABELA"</f>
        <v>MENSAGEM DE TABELA</v>
      </c>
      <c r="F4849" s="2" t="str">
        <f>"O_MONITORAMENTO_LOG_TABELA"</f>
        <v>O_MONITORAMENTO_LOG_TABELA</v>
      </c>
      <c r="G4849" s="2" t="str">
        <f>"Mensagem de Tabela (O_MONITORAMENTO_LOG_TABELA)"</f>
        <v>Mensagem de Tabela (O_MONITORAMENTO_LOG_TABELA)</v>
      </c>
    </row>
    <row r="4850" spans="1:7" x14ac:dyDescent="0.3">
      <c r="A4850" s="1" t="s">
        <v>4</v>
      </c>
      <c r="B4850" s="2" t="str">
        <f t="shared" si="404"/>
        <v>SISTEMA DE INTEGRACAO</v>
      </c>
      <c r="C4850" s="2" t="str">
        <f t="shared" si="405"/>
        <v>INTEGRACAO</v>
      </c>
      <c r="D4850" s="2" t="str">
        <f t="shared" si="406"/>
        <v>IMV</v>
      </c>
      <c r="E4850" s="2" t="str">
        <f>"MANUTENÇÃO - INTEGRAÇÃO RIS/LIS"</f>
        <v>MANUTENÇÃO - INTEGRAÇÃO RIS/LIS</v>
      </c>
      <c r="F4850" s="2" t="str">
        <f>"O_MONITORAMENTO_LOG_SAIDA_WS"</f>
        <v>O_MONITORAMENTO_LOG_SAIDA_WS</v>
      </c>
      <c r="G4850" s="2" t="str">
        <f t="shared" ref="G4850:G4884" si="407">" ()"</f>
        <v xml:space="preserve"> ()</v>
      </c>
    </row>
    <row r="4851" spans="1:7" x14ac:dyDescent="0.3">
      <c r="A4851" s="1" t="s">
        <v>4</v>
      </c>
      <c r="B4851" s="2" t="str">
        <f t="shared" si="404"/>
        <v>SISTEMA DE INTEGRACAO</v>
      </c>
      <c r="C4851" s="2" t="str">
        <f t="shared" si="405"/>
        <v>INTEGRACAO</v>
      </c>
      <c r="D4851" s="2" t="str">
        <f t="shared" si="406"/>
        <v>IMV</v>
      </c>
      <c r="E4851" s="2" t="str">
        <f>"M_HABILITA_INTEGRACOES"</f>
        <v>M_HABILITA_INTEGRACOES</v>
      </c>
      <c r="F4851" s="2" t="str">
        <f>"M_HABILITA_INTEGRACOES"</f>
        <v>M_HABILITA_INTEGRACOES</v>
      </c>
      <c r="G4851" s="2" t="str">
        <f t="shared" si="407"/>
        <v xml:space="preserve"> ()</v>
      </c>
    </row>
    <row r="4852" spans="1:7" x14ac:dyDescent="0.3">
      <c r="A4852" s="1" t="s">
        <v>4</v>
      </c>
      <c r="B4852" s="2" t="str">
        <f t="shared" si="404"/>
        <v>SISTEMA DE INTEGRACAO</v>
      </c>
      <c r="C4852" s="2" t="str">
        <f t="shared" si="405"/>
        <v>INTEGRACAO</v>
      </c>
      <c r="D4852" s="2" t="str">
        <f t="shared" si="406"/>
        <v>IMV</v>
      </c>
      <c r="E4852" s="2" t="str">
        <f>"CADASTRO DAS INTEGRAÇÕES"</f>
        <v>CADASTRO DAS INTEGRAÇÕES</v>
      </c>
      <c r="F4852" s="2" t="str">
        <f>"M_INTEGRACAO"</f>
        <v>M_INTEGRACAO</v>
      </c>
      <c r="G4852" s="2" t="str">
        <f t="shared" si="407"/>
        <v xml:space="preserve"> ()</v>
      </c>
    </row>
    <row r="4853" spans="1:7" x14ac:dyDescent="0.3">
      <c r="A4853" s="1" t="s">
        <v>4</v>
      </c>
      <c r="B4853" s="2" t="str">
        <f t="shared" si="404"/>
        <v>SISTEMA DE INTEGRACAO</v>
      </c>
      <c r="C4853" s="2" t="str">
        <f t="shared" si="405"/>
        <v>INTEGRACAO</v>
      </c>
      <c r="D4853" s="2" t="str">
        <f t="shared" si="406"/>
        <v>IMV</v>
      </c>
      <c r="E4853" s="2" t="str">
        <f>"CONFIGURAÇÕES DE FUNCIONAMENTO DO CME"</f>
        <v>CONFIGURAÇÕES DE FUNCIONAMENTO DO CME</v>
      </c>
      <c r="F4853" s="2" t="str">
        <f>"M_CONFIGURACAO"</f>
        <v>M_CONFIGURACAO</v>
      </c>
      <c r="G4853" s="2" t="str">
        <f t="shared" si="407"/>
        <v xml:space="preserve"> ()</v>
      </c>
    </row>
    <row r="4854" spans="1:7" x14ac:dyDescent="0.3">
      <c r="A4854" s="1" t="s">
        <v>4</v>
      </c>
      <c r="B4854" s="2" t="str">
        <f t="shared" si="404"/>
        <v>SISTEMA DE INTEGRACAO</v>
      </c>
      <c r="C4854" s="2" t="str">
        <f t="shared" si="405"/>
        <v>INTEGRACAO</v>
      </c>
      <c r="D4854" s="2" t="str">
        <f t="shared" si="406"/>
        <v>IMV</v>
      </c>
      <c r="E4854" s="2" t="str">
        <f>"RELATÓRIO DE BAIXAS POR ESPÉCIE"</f>
        <v>RELATÓRIO DE BAIXAS POR ESPÉCIE</v>
      </c>
      <c r="F4854" s="2" t="str">
        <f>"R_BAIXAS_ESPECIE_IMV263"</f>
        <v>R_BAIXAS_ESPECIE_IMV263</v>
      </c>
      <c r="G4854" s="2" t="str">
        <f t="shared" si="407"/>
        <v xml:space="preserve"> ()</v>
      </c>
    </row>
    <row r="4855" spans="1:7" x14ac:dyDescent="0.3">
      <c r="A4855" s="1" t="s">
        <v>4</v>
      </c>
      <c r="B4855" s="2" t="str">
        <f t="shared" ref="B4855:B4884" si="408">"INTEGRAÇÃO MV2000 COM ORACLE APPLICATION"</f>
        <v>INTEGRAÇÃO MV2000 COM ORACLE APPLICATION</v>
      </c>
      <c r="C4855" s="2" t="str">
        <f>""</f>
        <v/>
      </c>
      <c r="D4855" s="2" t="str">
        <f t="shared" ref="D4855:D4884" si="409">"IMVAPP"</f>
        <v>IMVAPP</v>
      </c>
      <c r="E4855" s="2" t="str">
        <f>"CONFIGURAÇÃO DO SISTERMA"</f>
        <v>CONFIGURAÇÃO DO SISTERMA</v>
      </c>
      <c r="F4855" s="2" t="str">
        <f>"M_HOSPIT_SITE"</f>
        <v>M_HOSPIT_SITE</v>
      </c>
      <c r="G4855" s="2" t="str">
        <f t="shared" si="407"/>
        <v xml:space="preserve"> ()</v>
      </c>
    </row>
    <row r="4856" spans="1:7" x14ac:dyDescent="0.3">
      <c r="A4856" s="1" t="s">
        <v>4</v>
      </c>
      <c r="B4856" s="2" t="str">
        <f t="shared" si="408"/>
        <v>INTEGRAÇÃO MV2000 COM ORACLE APPLICATION</v>
      </c>
      <c r="C4856" s="2" t="str">
        <f>""</f>
        <v/>
      </c>
      <c r="D4856" s="2" t="str">
        <f t="shared" si="409"/>
        <v>IMVAPP</v>
      </c>
      <c r="E4856" s="2" t="str">
        <f>"EXPORTACAO DE DADOS DE PESSOA PARA ULBRA"</f>
        <v>EXPORTACAO DE DADOS DE PESSOA PARA ULBRA</v>
      </c>
      <c r="F4856" s="2" t="str">
        <f>"O_EXP_MV_PESSOA_ULBRA"</f>
        <v>O_EXP_MV_PESSOA_ULBRA</v>
      </c>
      <c r="G4856" s="2" t="str">
        <f t="shared" si="407"/>
        <v xml:space="preserve"> ()</v>
      </c>
    </row>
    <row r="4857" spans="1:7" x14ac:dyDescent="0.3">
      <c r="A4857" s="1" t="s">
        <v>4</v>
      </c>
      <c r="B4857" s="2" t="str">
        <f t="shared" si="408"/>
        <v>INTEGRAÇÃO MV2000 COM ORACLE APPLICATION</v>
      </c>
      <c r="C4857" s="2" t="str">
        <f>""</f>
        <v/>
      </c>
      <c r="D4857" s="2" t="str">
        <f t="shared" si="409"/>
        <v>IMVAPP</v>
      </c>
      <c r="E4857" s="2" t="str">
        <f>"PACKAGE INTEGRAÇÃO MV2000 APPLICATIONS"</f>
        <v>PACKAGE INTEGRAÇÃO MV2000 APPLICATIONS</v>
      </c>
      <c r="F4857" s="2" t="str">
        <f>"PACK_IMVAPP"</f>
        <v>PACK_IMVAPP</v>
      </c>
      <c r="G4857" s="2" t="str">
        <f t="shared" si="407"/>
        <v xml:space="preserve"> ()</v>
      </c>
    </row>
    <row r="4858" spans="1:7" x14ac:dyDescent="0.3">
      <c r="A4858" s="1" t="s">
        <v>4</v>
      </c>
      <c r="B4858" s="2" t="str">
        <f t="shared" si="408"/>
        <v>INTEGRAÇÃO MV2000 COM ORACLE APPLICATION</v>
      </c>
      <c r="C4858" s="2" t="str">
        <f>""</f>
        <v/>
      </c>
      <c r="D4858" s="2" t="str">
        <f t="shared" si="409"/>
        <v>IMVAPP</v>
      </c>
      <c r="E4858" s="2" t="str">
        <f>"MANTER TIPOS DE TRANSAÇÃO COM AR"</f>
        <v>MANTER TIPOS DE TRANSAÇÃO COM AR</v>
      </c>
      <c r="F4858" s="2" t="str">
        <f>"M_TIPO_TRANSACAO_AR"</f>
        <v>M_TIPO_TRANSACAO_AR</v>
      </c>
      <c r="G4858" s="2" t="str">
        <f t="shared" si="407"/>
        <v xml:space="preserve"> ()</v>
      </c>
    </row>
    <row r="4859" spans="1:7" x14ac:dyDescent="0.3">
      <c r="A4859" s="1" t="s">
        <v>4</v>
      </c>
      <c r="B4859" s="2" t="str">
        <f t="shared" si="408"/>
        <v>INTEGRAÇÃO MV2000 COM ORACLE APPLICATION</v>
      </c>
      <c r="C4859" s="2" t="str">
        <f>""</f>
        <v/>
      </c>
      <c r="D4859" s="2" t="str">
        <f t="shared" si="409"/>
        <v>IMVAPP</v>
      </c>
      <c r="E4859" s="2" t="str">
        <f>"MANTER SETOR X CENTRO DE CUSTO APPS"</f>
        <v>MANTER SETOR X CENTRO DE CUSTO APPS</v>
      </c>
      <c r="F4859" s="2" t="str">
        <f>"M_SETOR_CCUSTO"</f>
        <v>M_SETOR_CCUSTO</v>
      </c>
      <c r="G4859" s="2" t="str">
        <f t="shared" si="407"/>
        <v xml:space="preserve"> ()</v>
      </c>
    </row>
    <row r="4860" spans="1:7" x14ac:dyDescent="0.3">
      <c r="A4860" s="1" t="s">
        <v>4</v>
      </c>
      <c r="B4860" s="2" t="str">
        <f t="shared" si="408"/>
        <v>INTEGRAÇÃO MV2000 COM ORACLE APPLICATION</v>
      </c>
      <c r="C4860" s="2" t="str">
        <f>""</f>
        <v/>
      </c>
      <c r="D4860" s="2" t="str">
        <f t="shared" si="409"/>
        <v>IMVAPP</v>
      </c>
      <c r="E4860" s="2" t="str">
        <f>"O_ESTORNO_MV_AP"</f>
        <v>O_ESTORNO_MV_AP</v>
      </c>
      <c r="F4860" s="2" t="str">
        <f>"O_ESTORNO_MV_AP"</f>
        <v>O_ESTORNO_MV_AP</v>
      </c>
      <c r="G4860" s="2" t="str">
        <f t="shared" si="407"/>
        <v xml:space="preserve"> ()</v>
      </c>
    </row>
    <row r="4861" spans="1:7" x14ac:dyDescent="0.3">
      <c r="A4861" s="1" t="s">
        <v>4</v>
      </c>
      <c r="B4861" s="2" t="str">
        <f t="shared" si="408"/>
        <v>INTEGRAÇÃO MV2000 COM ORACLE APPLICATION</v>
      </c>
      <c r="C4861" s="2" t="str">
        <f>""</f>
        <v/>
      </c>
      <c r="D4861" s="2" t="str">
        <f t="shared" si="409"/>
        <v>IMVAPP</v>
      </c>
      <c r="E4861" s="2" t="str">
        <f>"O_INTERFACE_MV_AP"</f>
        <v>O_INTERFACE_MV_AP</v>
      </c>
      <c r="F4861" s="2" t="str">
        <f>"O_INTERFACE_MV_AP"</f>
        <v>O_INTERFACE_MV_AP</v>
      </c>
      <c r="G4861" s="2" t="str">
        <f t="shared" si="407"/>
        <v xml:space="preserve"> ()</v>
      </c>
    </row>
    <row r="4862" spans="1:7" x14ac:dyDescent="0.3">
      <c r="A4862" s="1" t="s">
        <v>4</v>
      </c>
      <c r="B4862" s="2" t="str">
        <f t="shared" si="408"/>
        <v>INTEGRAÇÃO MV2000 COM ORACLE APPLICATION</v>
      </c>
      <c r="C4862" s="2" t="str">
        <f>""</f>
        <v/>
      </c>
      <c r="D4862" s="2" t="str">
        <f t="shared" si="409"/>
        <v>IMVAPP</v>
      </c>
      <c r="E4862" s="2" t="str">
        <f>"MANUTENÇÃO DE USUARIOS COM ORA APP"</f>
        <v>MANUTENÇÃO DE USUARIOS COM ORA APP</v>
      </c>
      <c r="F4862" s="2" t="str">
        <f>"M_USUARIO_APP"</f>
        <v>M_USUARIO_APP</v>
      </c>
      <c r="G4862" s="2" t="str">
        <f t="shared" si="407"/>
        <v xml:space="preserve"> ()</v>
      </c>
    </row>
    <row r="4863" spans="1:7" x14ac:dyDescent="0.3">
      <c r="A4863" s="1" t="s">
        <v>4</v>
      </c>
      <c r="B4863" s="2" t="str">
        <f t="shared" si="408"/>
        <v>INTEGRAÇÃO MV2000 COM ORACLE APPLICATION</v>
      </c>
      <c r="C4863" s="2" t="str">
        <f>""</f>
        <v/>
      </c>
      <c r="D4863" s="2" t="str">
        <f t="shared" si="409"/>
        <v>IMVAPP</v>
      </c>
      <c r="E4863" s="2" t="str">
        <f>"ESTORNO DO MOVIMENTO DO AR PELO MV"</f>
        <v>ESTORNO DO MOVIMENTO DO AR PELO MV</v>
      </c>
      <c r="F4863" s="2" t="str">
        <f>"O_ESTORNO_MV_AR"</f>
        <v>O_ESTORNO_MV_AR</v>
      </c>
      <c r="G4863" s="2" t="str">
        <f t="shared" si="407"/>
        <v xml:space="preserve"> ()</v>
      </c>
    </row>
    <row r="4864" spans="1:7" x14ac:dyDescent="0.3">
      <c r="A4864" s="1" t="s">
        <v>4</v>
      </c>
      <c r="B4864" s="2" t="str">
        <f t="shared" si="408"/>
        <v>INTEGRAÇÃO MV2000 COM ORACLE APPLICATION</v>
      </c>
      <c r="C4864" s="2" t="str">
        <f>""</f>
        <v/>
      </c>
      <c r="D4864" s="2" t="str">
        <f t="shared" si="409"/>
        <v>IMVAPP</v>
      </c>
      <c r="E4864" s="2" t="str">
        <f>"INTERFACE DOS DADOS DO MV2000 COM INV"</f>
        <v>INTERFACE DOS DADOS DO MV2000 COM INV</v>
      </c>
      <c r="F4864" s="2" t="str">
        <f>"O_INTERFACE_MV_INV"</f>
        <v>O_INTERFACE_MV_INV</v>
      </c>
      <c r="G4864" s="2" t="str">
        <f t="shared" si="407"/>
        <v xml:space="preserve"> ()</v>
      </c>
    </row>
    <row r="4865" spans="1:7" x14ac:dyDescent="0.3">
      <c r="A4865" s="1" t="s">
        <v>4</v>
      </c>
      <c r="B4865" s="2" t="str">
        <f t="shared" si="408"/>
        <v>INTEGRAÇÃO MV2000 COM ORACLE APPLICATION</v>
      </c>
      <c r="C4865" s="2" t="str">
        <f>""</f>
        <v/>
      </c>
      <c r="D4865" s="2" t="str">
        <f t="shared" si="409"/>
        <v>IMVAPP</v>
      </c>
      <c r="E4865" s="2" t="str">
        <f>"IMPORTACAO DE REMESSAS PARA O AR"</f>
        <v>IMPORTACAO DE REMESSAS PARA O AR</v>
      </c>
      <c r="F4865" s="2" t="str">
        <f>"O_INTERFACE_MV_AR"</f>
        <v>O_INTERFACE_MV_AR</v>
      </c>
      <c r="G4865" s="2" t="str">
        <f t="shared" si="407"/>
        <v xml:space="preserve"> ()</v>
      </c>
    </row>
    <row r="4866" spans="1:7" x14ac:dyDescent="0.3">
      <c r="A4866" s="1" t="s">
        <v>4</v>
      </c>
      <c r="B4866" s="2" t="str">
        <f t="shared" si="408"/>
        <v>INTEGRAÇÃO MV2000 COM ORACLE APPLICATION</v>
      </c>
      <c r="C4866" s="2" t="str">
        <f>""</f>
        <v/>
      </c>
      <c r="D4866" s="2" t="str">
        <f t="shared" si="409"/>
        <v>IMVAPP</v>
      </c>
      <c r="E4866" s="2" t="str">
        <f>"MANUTENCAO DE SEQUENCES"</f>
        <v>MANUTENCAO DE SEQUENCES</v>
      </c>
      <c r="F4866" s="2" t="str">
        <f>"M_SEQUENCE"</f>
        <v>M_SEQUENCE</v>
      </c>
      <c r="G4866" s="2" t="str">
        <f t="shared" si="407"/>
        <v xml:space="preserve"> ()</v>
      </c>
    </row>
    <row r="4867" spans="1:7" x14ac:dyDescent="0.3">
      <c r="A4867" s="1" t="s">
        <v>4</v>
      </c>
      <c r="B4867" s="2" t="str">
        <f t="shared" si="408"/>
        <v>INTEGRAÇÃO MV2000 COM ORACLE APPLICATION</v>
      </c>
      <c r="C4867" s="2" t="str">
        <f>""</f>
        <v/>
      </c>
      <c r="D4867" s="2" t="str">
        <f t="shared" si="409"/>
        <v>IMVAPP</v>
      </c>
      <c r="E4867" s="2" t="str">
        <f>"MANTER TABELA CONFIGURAÇÃO MV X INV"</f>
        <v>MANTER TABELA CONFIGURAÇÃO MV X INV</v>
      </c>
      <c r="F4867" s="2" t="str">
        <f>"M_CONFIG_MV_INV"</f>
        <v>M_CONFIG_MV_INV</v>
      </c>
      <c r="G4867" s="2" t="str">
        <f t="shared" si="407"/>
        <v xml:space="preserve"> ()</v>
      </c>
    </row>
    <row r="4868" spans="1:7" x14ac:dyDescent="0.3">
      <c r="A4868" s="1" t="s">
        <v>4</v>
      </c>
      <c r="B4868" s="2" t="str">
        <f t="shared" si="408"/>
        <v>INTEGRAÇÃO MV2000 COM ORACLE APPLICATION</v>
      </c>
      <c r="C4868" s="2" t="str">
        <f>""</f>
        <v/>
      </c>
      <c r="D4868" s="2" t="str">
        <f t="shared" si="409"/>
        <v>IMVAPP</v>
      </c>
      <c r="E4868" s="2" t="str">
        <f>"MANTER TABELA CONFIGURAÇÃO MV X AR"</f>
        <v>MANTER TABELA CONFIGURAÇÃO MV X AR</v>
      </c>
      <c r="F4868" s="2" t="str">
        <f>"M_CONFIG_MV_AR"</f>
        <v>M_CONFIG_MV_AR</v>
      </c>
      <c r="G4868" s="2" t="str">
        <f t="shared" si="407"/>
        <v xml:space="preserve"> ()</v>
      </c>
    </row>
    <row r="4869" spans="1:7" x14ac:dyDescent="0.3">
      <c r="A4869" s="1" t="s">
        <v>4</v>
      </c>
      <c r="B4869" s="2" t="str">
        <f t="shared" si="408"/>
        <v>INTEGRAÇÃO MV2000 COM ORACLE APPLICATION</v>
      </c>
      <c r="C4869" s="2" t="str">
        <f>""</f>
        <v/>
      </c>
      <c r="D4869" s="2" t="str">
        <f t="shared" si="409"/>
        <v>IMVAPP</v>
      </c>
      <c r="E4869" s="2" t="str">
        <f>"MANTER TABELA CONFIGURAÇÃO MV X AP"</f>
        <v>MANTER TABELA CONFIGURAÇÃO MV X AP</v>
      </c>
      <c r="F4869" s="2" t="str">
        <f>"M_CONFIG_MV_AP"</f>
        <v>M_CONFIG_MV_AP</v>
      </c>
      <c r="G4869" s="2" t="str">
        <f t="shared" si="407"/>
        <v xml:space="preserve"> ()</v>
      </c>
    </row>
    <row r="4870" spans="1:7" x14ac:dyDescent="0.3">
      <c r="A4870" s="1" t="s">
        <v>4</v>
      </c>
      <c r="B4870" s="2" t="str">
        <f t="shared" si="408"/>
        <v>INTEGRAÇÃO MV2000 COM ORACLE APPLICATION</v>
      </c>
      <c r="C4870" s="2" t="str">
        <f>""</f>
        <v/>
      </c>
      <c r="D4870" s="2" t="str">
        <f t="shared" si="409"/>
        <v>IMVAPP</v>
      </c>
      <c r="E4870" s="2" t="str">
        <f>"C_AP_REJEITADO"</f>
        <v>C_AP_REJEITADO</v>
      </c>
      <c r="F4870" s="2" t="str">
        <f>"C_AP_REJEITADO"</f>
        <v>C_AP_REJEITADO</v>
      </c>
      <c r="G4870" s="2" t="str">
        <f t="shared" si="407"/>
        <v xml:space="preserve"> ()</v>
      </c>
    </row>
    <row r="4871" spans="1:7" x14ac:dyDescent="0.3">
      <c r="A4871" s="1" t="s">
        <v>4</v>
      </c>
      <c r="B4871" s="2" t="str">
        <f t="shared" si="408"/>
        <v>INTEGRAÇÃO MV2000 COM ORACLE APPLICATION</v>
      </c>
      <c r="C4871" s="2" t="str">
        <f>""</f>
        <v/>
      </c>
      <c r="D4871" s="2" t="str">
        <f t="shared" si="409"/>
        <v>IMVAPP</v>
      </c>
      <c r="E4871" s="2" t="str">
        <f>"C_ENT_NEXP"</f>
        <v>C_ENT_NEXP</v>
      </c>
      <c r="F4871" s="2" t="str">
        <f>"C_ENT_NEXP"</f>
        <v>C_ENT_NEXP</v>
      </c>
      <c r="G4871" s="2" t="str">
        <f t="shared" si="407"/>
        <v xml:space="preserve"> ()</v>
      </c>
    </row>
    <row r="4872" spans="1:7" x14ac:dyDescent="0.3">
      <c r="A4872" s="1" t="s">
        <v>4</v>
      </c>
      <c r="B4872" s="2" t="str">
        <f t="shared" si="408"/>
        <v>INTEGRAÇÃO MV2000 COM ORACLE APPLICATION</v>
      </c>
      <c r="C4872" s="2" t="str">
        <f>""</f>
        <v/>
      </c>
      <c r="D4872" s="2" t="str">
        <f t="shared" si="409"/>
        <v>IMVAPP</v>
      </c>
      <c r="E4872" s="2" t="str">
        <f>"O_ESTORNO_MV_INV"</f>
        <v>O_ESTORNO_MV_INV</v>
      </c>
      <c r="F4872" s="2" t="str">
        <f>"O_ESTORNO_MV_INV"</f>
        <v>O_ESTORNO_MV_INV</v>
      </c>
      <c r="G4872" s="2" t="str">
        <f t="shared" si="407"/>
        <v xml:space="preserve"> ()</v>
      </c>
    </row>
    <row r="4873" spans="1:7" x14ac:dyDescent="0.3">
      <c r="A4873" s="1" t="s">
        <v>4</v>
      </c>
      <c r="B4873" s="2" t="str">
        <f t="shared" si="408"/>
        <v>INTEGRAÇÃO MV2000 COM ORACLE APPLICATION</v>
      </c>
      <c r="C4873" s="2" t="str">
        <f>""</f>
        <v/>
      </c>
      <c r="D4873" s="2" t="str">
        <f t="shared" si="409"/>
        <v>IMVAPP</v>
      </c>
      <c r="E4873" s="2" t="str">
        <f>"O_IMP_ESTOQUE_INV"</f>
        <v>O_IMP_ESTOQUE_INV</v>
      </c>
      <c r="F4873" s="2" t="str">
        <f>"O_IMP_ESTOQUE_INV"</f>
        <v>O_IMP_ESTOQUE_INV</v>
      </c>
      <c r="G4873" s="2" t="str">
        <f t="shared" si="407"/>
        <v xml:space="preserve"> ()</v>
      </c>
    </row>
    <row r="4874" spans="1:7" x14ac:dyDescent="0.3">
      <c r="A4874" s="1" t="s">
        <v>4</v>
      </c>
      <c r="B4874" s="2" t="str">
        <f t="shared" si="408"/>
        <v>INTEGRAÇÃO MV2000 COM ORACLE APPLICATION</v>
      </c>
      <c r="C4874" s="2" t="str">
        <f>""</f>
        <v/>
      </c>
      <c r="D4874" s="2" t="str">
        <f t="shared" si="409"/>
        <v>IMVAPP</v>
      </c>
      <c r="E4874" s="2" t="str">
        <f>"PARAMETROS DE CONFIGURAÇÃO DO MV X AR"</f>
        <v>PARAMETROS DE CONFIGURAÇÃO DO MV X AR</v>
      </c>
      <c r="F4874" s="2" t="str">
        <f>"M_ESTOQUE_INV"</f>
        <v>M_ESTOQUE_INV</v>
      </c>
      <c r="G4874" s="2" t="str">
        <f t="shared" si="407"/>
        <v xml:space="preserve"> ()</v>
      </c>
    </row>
    <row r="4875" spans="1:7" x14ac:dyDescent="0.3">
      <c r="A4875" s="1" t="s">
        <v>4</v>
      </c>
      <c r="B4875" s="2" t="str">
        <f t="shared" si="408"/>
        <v>INTEGRAÇÃO MV2000 COM ORACLE APPLICATION</v>
      </c>
      <c r="C4875" s="2" t="str">
        <f>""</f>
        <v/>
      </c>
      <c r="D4875" s="2" t="str">
        <f t="shared" si="409"/>
        <v>IMVAPP</v>
      </c>
      <c r="E4875" s="2" t="str">
        <f>"PARAMETROS DE CONFIGURAÇÃO DO MV X AR"</f>
        <v>PARAMETROS DE CONFIGURAÇÃO DO MV X AR</v>
      </c>
      <c r="F4875" s="2" t="str">
        <f>"M_TP_MVTO_ESTOQUE_INV"</f>
        <v>M_TP_MVTO_ESTOQUE_INV</v>
      </c>
      <c r="G4875" s="2" t="str">
        <f t="shared" si="407"/>
        <v xml:space="preserve"> ()</v>
      </c>
    </row>
    <row r="4876" spans="1:7" x14ac:dyDescent="0.3">
      <c r="A4876" s="1" t="s">
        <v>4</v>
      </c>
      <c r="B4876" s="2" t="str">
        <f t="shared" si="408"/>
        <v>INTEGRAÇÃO MV2000 COM ORACLE APPLICATION</v>
      </c>
      <c r="C4876" s="2" t="str">
        <f>""</f>
        <v/>
      </c>
      <c r="D4876" s="2" t="str">
        <f t="shared" si="409"/>
        <v>IMVAPP</v>
      </c>
      <c r="E4876" s="2" t="str">
        <f>"EXTORNO DA EXPORTACAO PARA INV"</f>
        <v>EXTORNO DA EXPORTACAO PARA INV</v>
      </c>
      <c r="F4876" s="2" t="str">
        <f>"O_EXTORNO_MV_INV"</f>
        <v>O_EXTORNO_MV_INV</v>
      </c>
      <c r="G4876" s="2" t="str">
        <f t="shared" si="407"/>
        <v xml:space="preserve"> ()</v>
      </c>
    </row>
    <row r="4877" spans="1:7" x14ac:dyDescent="0.3">
      <c r="A4877" s="1" t="s">
        <v>4</v>
      </c>
      <c r="B4877" s="2" t="str">
        <f t="shared" si="408"/>
        <v>INTEGRAÇÃO MV2000 COM ORACLE APPLICATION</v>
      </c>
      <c r="C4877" s="2" t="str">
        <f>""</f>
        <v/>
      </c>
      <c r="D4877" s="2" t="str">
        <f t="shared" si="409"/>
        <v>IMVAPP</v>
      </c>
      <c r="E4877" s="2" t="str">
        <f>"M_ORGANIZACAO"</f>
        <v>M_ORGANIZACAO</v>
      </c>
      <c r="F4877" s="2" t="str">
        <f>"M_ORGANIZACAO"</f>
        <v>M_ORGANIZACAO</v>
      </c>
      <c r="G4877" s="2" t="str">
        <f t="shared" si="407"/>
        <v xml:space="preserve"> ()</v>
      </c>
    </row>
    <row r="4878" spans="1:7" x14ac:dyDescent="0.3">
      <c r="A4878" s="1" t="s">
        <v>4</v>
      </c>
      <c r="B4878" s="2" t="str">
        <f t="shared" si="408"/>
        <v>INTEGRAÇÃO MV2000 COM ORACLE APPLICATION</v>
      </c>
      <c r="C4878" s="2" t="str">
        <f>""</f>
        <v/>
      </c>
      <c r="D4878" s="2" t="str">
        <f t="shared" si="409"/>
        <v>IMVAPP</v>
      </c>
      <c r="E4878" s="2" t="str">
        <f>"O_IMP_MATERIAL_ULBRA"</f>
        <v>O_IMP_MATERIAL_ULBRA</v>
      </c>
      <c r="F4878" s="2" t="str">
        <f>"O_IMP_MATERIAL_ULBRA"</f>
        <v>O_IMP_MATERIAL_ULBRA</v>
      </c>
      <c r="G4878" s="2" t="str">
        <f t="shared" si="407"/>
        <v xml:space="preserve"> ()</v>
      </c>
    </row>
    <row r="4879" spans="1:7" x14ac:dyDescent="0.3">
      <c r="A4879" s="1" t="s">
        <v>4</v>
      </c>
      <c r="B4879" s="2" t="str">
        <f t="shared" si="408"/>
        <v>INTEGRAÇÃO MV2000 COM ORACLE APPLICATION</v>
      </c>
      <c r="C4879" s="2" t="str">
        <f>""</f>
        <v/>
      </c>
      <c r="D4879" s="2" t="str">
        <f t="shared" si="409"/>
        <v>IMVAPP</v>
      </c>
      <c r="E4879" s="2" t="str">
        <f>"CONSULTA: CONTAS A PAGAR E PAGAS"</f>
        <v>CONSULTA: CONTAS A PAGAR E PAGAS</v>
      </c>
      <c r="F4879" s="2" t="str">
        <f>"C_CON_PAG_ORAPP"</f>
        <v>C_CON_PAG_ORAPP</v>
      </c>
      <c r="G4879" s="2" t="str">
        <f t="shared" si="407"/>
        <v xml:space="preserve"> ()</v>
      </c>
    </row>
    <row r="4880" spans="1:7" x14ac:dyDescent="0.3">
      <c r="A4880" s="1" t="s">
        <v>4</v>
      </c>
      <c r="B4880" s="2" t="str">
        <f t="shared" si="408"/>
        <v>INTEGRAÇÃO MV2000 COM ORACLE APPLICATION</v>
      </c>
      <c r="C4880" s="2" t="str">
        <f>""</f>
        <v/>
      </c>
      <c r="D4880" s="2" t="str">
        <f t="shared" si="409"/>
        <v>IMVAPP</v>
      </c>
      <c r="E4880" s="2" t="str">
        <f>"CONSULTAS DE RECEBIMENTOS"</f>
        <v>CONSULTAS DE RECEBIMENTOS</v>
      </c>
      <c r="F4880" s="2" t="str">
        <f>"C_CON_REC_ORAPP"</f>
        <v>C_CON_REC_ORAPP</v>
      </c>
      <c r="G4880" s="2" t="str">
        <f t="shared" si="407"/>
        <v xml:space="preserve"> ()</v>
      </c>
    </row>
    <row r="4881" spans="1:7" x14ac:dyDescent="0.3">
      <c r="A4881" s="1" t="s">
        <v>4</v>
      </c>
      <c r="B4881" s="2" t="str">
        <f t="shared" si="408"/>
        <v>INTEGRAÇÃO MV2000 COM ORACLE APPLICATION</v>
      </c>
      <c r="C4881" s="2" t="str">
        <f>""</f>
        <v/>
      </c>
      <c r="D4881" s="2" t="str">
        <f t="shared" si="409"/>
        <v>IMVAPP</v>
      </c>
      <c r="E4881" s="2" t="str">
        <f>"C_AR_REJEITADO"</f>
        <v>C_AR_REJEITADO</v>
      </c>
      <c r="F4881" s="2" t="str">
        <f>"C_AR_REJEITADO"</f>
        <v>C_AR_REJEITADO</v>
      </c>
      <c r="G4881" s="2" t="str">
        <f t="shared" si="407"/>
        <v xml:space="preserve"> ()</v>
      </c>
    </row>
    <row r="4882" spans="1:7" x14ac:dyDescent="0.3">
      <c r="A4882" s="1" t="s">
        <v>4</v>
      </c>
      <c r="B4882" s="2" t="str">
        <f t="shared" si="408"/>
        <v>INTEGRAÇÃO MV2000 COM ORACLE APPLICATION</v>
      </c>
      <c r="C4882" s="2" t="str">
        <f>""</f>
        <v/>
      </c>
      <c r="D4882" s="2" t="str">
        <f t="shared" si="409"/>
        <v>IMVAPP</v>
      </c>
      <c r="E4882" s="2" t="str">
        <f>"PARAMETROS DE CONFIGURAÇÃO DO MV X AR"</f>
        <v>PARAMETROS DE CONFIGURAÇÃO DO MV X AR</v>
      </c>
      <c r="F4882" s="2" t="str">
        <f>"M_CONVENIO_TP_ATENDIMENTO"</f>
        <v>M_CONVENIO_TP_ATENDIMENTO</v>
      </c>
      <c r="G4882" s="2" t="str">
        <f t="shared" si="407"/>
        <v xml:space="preserve"> ()</v>
      </c>
    </row>
    <row r="4883" spans="1:7" x14ac:dyDescent="0.3">
      <c r="A4883" s="1" t="s">
        <v>4</v>
      </c>
      <c r="B4883" s="2" t="str">
        <f t="shared" si="408"/>
        <v>INTEGRAÇÃO MV2000 COM ORACLE APPLICATION</v>
      </c>
      <c r="C4883" s="2" t="str">
        <f>""</f>
        <v/>
      </c>
      <c r="D4883" s="2" t="str">
        <f t="shared" si="409"/>
        <v>IMVAPP</v>
      </c>
      <c r="E4883" s="2" t="str">
        <f>"PARAMETROS DE CONFIGURAÇÃO DO MV X AR"</f>
        <v>PARAMETROS DE CONFIGURAÇÃO DO MV X AR</v>
      </c>
      <c r="F4883" s="2" t="str">
        <f>"C_LOG_INTEGRACAO"</f>
        <v>C_LOG_INTEGRACAO</v>
      </c>
      <c r="G4883" s="2" t="str">
        <f t="shared" si="407"/>
        <v xml:space="preserve"> ()</v>
      </c>
    </row>
    <row r="4884" spans="1:7" x14ac:dyDescent="0.3">
      <c r="A4884" s="1" t="s">
        <v>4</v>
      </c>
      <c r="B4884" s="2" t="str">
        <f t="shared" si="408"/>
        <v>INTEGRAÇÃO MV2000 COM ORACLE APPLICATION</v>
      </c>
      <c r="C4884" s="2" t="str">
        <f>""</f>
        <v/>
      </c>
      <c r="D4884" s="2" t="str">
        <f t="shared" si="409"/>
        <v>IMVAPP</v>
      </c>
      <c r="E4884" s="2" t="str">
        <f>"O_EXP_MV_ORAAPP"</f>
        <v>O_EXP_MV_ORAAPP</v>
      </c>
      <c r="F4884" s="2" t="str">
        <f>"O_EXP_MV_ORAAPP"</f>
        <v>O_EXP_MV_ORAAPP</v>
      </c>
      <c r="G4884" s="2" t="str">
        <f t="shared" si="407"/>
        <v xml:space="preserve"> ()</v>
      </c>
    </row>
    <row r="4885" spans="1:7" x14ac:dyDescent="0.3">
      <c r="A4885" s="1" t="s">
        <v>4</v>
      </c>
      <c r="B4885" s="2" t="str">
        <f>"SISTEMA DE INTEGRACAO MV2000 X DATASUL"</f>
        <v>SISTEMA DE INTEGRACAO MV2000 X DATASUL</v>
      </c>
      <c r="C4885" s="2" t="str">
        <f>""</f>
        <v/>
      </c>
      <c r="D4885" s="2" t="str">
        <f>"IMVDTS"</f>
        <v>IMVDTS</v>
      </c>
      <c r="E4885" s="2" t="str">
        <f>"JOB´S ( MV2000 X DATASUL )"</f>
        <v>JOB´S ( MV2000 X DATASUL )</v>
      </c>
      <c r="F4885" s="2" t="str">
        <f>"O_JOB"</f>
        <v>O_JOB</v>
      </c>
      <c r="G4885" s="2" t="str">
        <f>"Apoio a TI / Gestão de Usuários / Administração do Sistema / Integração / Integração Datasul / Jobs (O_JOB)"</f>
        <v>Apoio a TI / Gestão de Usuários / Administração do Sistema / Integração / Integração Datasul / Jobs (O_JOB)</v>
      </c>
    </row>
    <row r="4886" spans="1:7" x14ac:dyDescent="0.3">
      <c r="A4886" s="1" t="s">
        <v>4</v>
      </c>
      <c r="B4886" s="2" t="str">
        <f>"SISTEMA DE INTEGRACAO MV2000 X DATASUL"</f>
        <v>SISTEMA DE INTEGRACAO MV2000 X DATASUL</v>
      </c>
      <c r="C4886" s="2" t="str">
        <f>""</f>
        <v/>
      </c>
      <c r="D4886" s="2" t="str">
        <f>"IMVDTS"</f>
        <v>IMVDTS</v>
      </c>
      <c r="E4886" s="2" t="str">
        <f>"TRIGGER´S ( MV2000 X DATASUL )"</f>
        <v>TRIGGER´S ( MV2000 X DATASUL )</v>
      </c>
      <c r="F4886" s="2" t="str">
        <f>"O_TRIGGER"</f>
        <v>O_TRIGGER</v>
      </c>
      <c r="G4886" s="2" t="str">
        <f>"Apoio a TI / Gestão de Usuários / Administração do Sistema / Integração / Integração Datasul / Triggers (O_TRIGGER)"</f>
        <v>Apoio a TI / Gestão de Usuários / Administração do Sistema / Integração / Integração Datasul / Triggers (O_TRIGGER)</v>
      </c>
    </row>
    <row r="4887" spans="1:7" x14ac:dyDescent="0.3">
      <c r="A4887" s="1" t="s">
        <v>4</v>
      </c>
      <c r="B4887" s="2" t="str">
        <f>"SISTEMA DE INTEGRACAO MV2000 X DATASUL"</f>
        <v>SISTEMA DE INTEGRACAO MV2000 X DATASUL</v>
      </c>
      <c r="C4887" s="2" t="str">
        <f>""</f>
        <v/>
      </c>
      <c r="D4887" s="2" t="str">
        <f>"IMVDTS"</f>
        <v>IMVDTS</v>
      </c>
      <c r="E4887" s="2" t="str">
        <f>"MATERIAIS_02"</f>
        <v>MATERIAIS_02</v>
      </c>
      <c r="F4887" s="2" t="str">
        <f>"MATERIAIS_02"</f>
        <v>MATERIAIS_02</v>
      </c>
      <c r="G4887" s="2" t="str">
        <f t="shared" ref="G4887:G4916" si="410">" ()"</f>
        <v xml:space="preserve"> ()</v>
      </c>
    </row>
    <row r="4888" spans="1:7" x14ac:dyDescent="0.3">
      <c r="A4888" s="1" t="s">
        <v>4</v>
      </c>
      <c r="B4888" s="2" t="str">
        <f>""</f>
        <v/>
      </c>
      <c r="C4888" s="2" t="str">
        <f>""</f>
        <v/>
      </c>
      <c r="D4888" s="2" t="str">
        <f>"IMVLAB"</f>
        <v>IMVLAB</v>
      </c>
      <c r="E4888" s="2" t="str">
        <f>"M_MANUTENCAO_LAB"</f>
        <v>M_MANUTENCAO_LAB</v>
      </c>
      <c r="F4888" s="2" t="str">
        <f>"M_MANUTENCAO_LAB"</f>
        <v>M_MANUTENCAO_LAB</v>
      </c>
      <c r="G4888" s="2" t="str">
        <f t="shared" si="410"/>
        <v xml:space="preserve"> ()</v>
      </c>
    </row>
    <row r="4889" spans="1:7" x14ac:dyDescent="0.3">
      <c r="A4889" s="1" t="s">
        <v>4</v>
      </c>
      <c r="B4889" s="2" t="str">
        <f>""</f>
        <v/>
      </c>
      <c r="C4889" s="2" t="str">
        <f>""</f>
        <v/>
      </c>
      <c r="D4889" s="2" t="str">
        <f>"IMVLAB"</f>
        <v>IMVLAB</v>
      </c>
      <c r="E4889" s="2" t="str">
        <f>"C_LOG_INTEGRA_LAB"</f>
        <v>C_LOG_INTEGRA_LAB</v>
      </c>
      <c r="F4889" s="2" t="str">
        <f>"C_LOG_INTEGRA_LAB"</f>
        <v>C_LOG_INTEGRA_LAB</v>
      </c>
      <c r="G4889" s="2" t="str">
        <f t="shared" si="410"/>
        <v xml:space="preserve"> ()</v>
      </c>
    </row>
    <row r="4890" spans="1:7" x14ac:dyDescent="0.3">
      <c r="A4890" s="1" t="s">
        <v>4</v>
      </c>
      <c r="B4890" s="2" t="str">
        <f t="shared" ref="B4890:B4913" si="411">"SISTEMA DE INTEGRACAO MV2000 X SAP"</f>
        <v>SISTEMA DE INTEGRACAO MV2000 X SAP</v>
      </c>
      <c r="C4890" s="2" t="str">
        <f>""</f>
        <v/>
      </c>
      <c r="D4890" s="2" t="str">
        <f t="shared" ref="D4890:D4913" si="412">"IMVSAP"</f>
        <v>IMVSAP</v>
      </c>
      <c r="E4890" s="2" t="str">
        <f>"M_SETOR_SAP"</f>
        <v>M_SETOR_SAP</v>
      </c>
      <c r="F4890" s="2" t="str">
        <f>"M_SETOR_SAP"</f>
        <v>M_SETOR_SAP</v>
      </c>
      <c r="G4890" s="2" t="str">
        <f t="shared" si="410"/>
        <v xml:space="preserve"> ()</v>
      </c>
    </row>
    <row r="4891" spans="1:7" x14ac:dyDescent="0.3">
      <c r="A4891" s="1" t="s">
        <v>4</v>
      </c>
      <c r="B4891" s="2" t="str">
        <f t="shared" si="411"/>
        <v>SISTEMA DE INTEGRACAO MV2000 X SAP</v>
      </c>
      <c r="C4891" s="2" t="str">
        <f>""</f>
        <v/>
      </c>
      <c r="D4891" s="2" t="str">
        <f t="shared" si="412"/>
        <v>IMVSAP</v>
      </c>
      <c r="E4891" s="2" t="str">
        <f>"RELATÓRIO DE RAZÃO CONTÁBIL -"</f>
        <v>RELATÓRIO DE RAZÃO CONTÁBIL -</v>
      </c>
      <c r="F4891" s="2" t="str">
        <f>"R_IMVSAP_PROTOCOLO_338"</f>
        <v>R_IMVSAP_PROTOCOLO_338</v>
      </c>
      <c r="G4891" s="2" t="str">
        <f t="shared" si="410"/>
        <v xml:space="preserve"> ()</v>
      </c>
    </row>
    <row r="4892" spans="1:7" x14ac:dyDescent="0.3">
      <c r="A4892" s="1" t="s">
        <v>4</v>
      </c>
      <c r="B4892" s="2" t="str">
        <f t="shared" si="411"/>
        <v>SISTEMA DE INTEGRACAO MV2000 X SAP</v>
      </c>
      <c r="C4892" s="2" t="str">
        <f>""</f>
        <v/>
      </c>
      <c r="D4892" s="2" t="str">
        <f t="shared" si="412"/>
        <v>IMVSAP</v>
      </c>
      <c r="E4892" s="2" t="str">
        <f>"O_IMP_IMVSAP_FORNEC_388"</f>
        <v>O_IMP_IMVSAP_FORNEC_388</v>
      </c>
      <c r="F4892" s="2" t="str">
        <f>"O_IMP_IMVSAP_FORNEC_388"</f>
        <v>O_IMP_IMVSAP_FORNEC_388</v>
      </c>
      <c r="G4892" s="2" t="str">
        <f t="shared" si="410"/>
        <v xml:space="preserve"> ()</v>
      </c>
    </row>
    <row r="4893" spans="1:7" x14ac:dyDescent="0.3">
      <c r="A4893" s="1" t="s">
        <v>4</v>
      </c>
      <c r="B4893" s="2" t="str">
        <f t="shared" si="411"/>
        <v>SISTEMA DE INTEGRACAO MV2000 X SAP</v>
      </c>
      <c r="C4893" s="2" t="str">
        <f>""</f>
        <v/>
      </c>
      <c r="D4893" s="2" t="str">
        <f t="shared" si="412"/>
        <v>IMVSAP</v>
      </c>
      <c r="E4893" s="2" t="str">
        <f>"IMPORTACAO_IMVSAP"</f>
        <v>IMPORTACAO_IMVSAP</v>
      </c>
      <c r="F4893" s="2" t="str">
        <f>"IMPORTACAO_IMVSAP"</f>
        <v>IMPORTACAO_IMVSAP</v>
      </c>
      <c r="G4893" s="2" t="str">
        <f t="shared" si="410"/>
        <v xml:space="preserve"> ()</v>
      </c>
    </row>
    <row r="4894" spans="1:7" x14ac:dyDescent="0.3">
      <c r="A4894" s="1" t="s">
        <v>4</v>
      </c>
      <c r="B4894" s="2" t="str">
        <f t="shared" si="411"/>
        <v>SISTEMA DE INTEGRACAO MV2000 X SAP</v>
      </c>
      <c r="C4894" s="2" t="str">
        <f>""</f>
        <v/>
      </c>
      <c r="D4894" s="2" t="str">
        <f t="shared" si="412"/>
        <v>IMVSAP</v>
      </c>
      <c r="E4894" s="2" t="str">
        <f>"CLASSIFICAÇÃO CONTÁBIL DO CONSUMO"</f>
        <v>CLASSIFICAÇÃO CONTÁBIL DO CONSUMO</v>
      </c>
      <c r="F4894" s="2" t="str">
        <f>"R_CLAS_CONTAB_CONS"</f>
        <v>R_CLAS_CONTAB_CONS</v>
      </c>
      <c r="G4894" s="2" t="str">
        <f t="shared" si="410"/>
        <v xml:space="preserve"> ()</v>
      </c>
    </row>
    <row r="4895" spans="1:7" x14ac:dyDescent="0.3">
      <c r="A4895" s="1" t="s">
        <v>4</v>
      </c>
      <c r="B4895" s="2" t="str">
        <f t="shared" si="411"/>
        <v>SISTEMA DE INTEGRACAO MV2000 X SAP</v>
      </c>
      <c r="C4895" s="2" t="str">
        <f>""</f>
        <v/>
      </c>
      <c r="D4895" s="2" t="str">
        <f t="shared" si="412"/>
        <v>IMVSAP</v>
      </c>
      <c r="E4895" s="2" t="str">
        <f>"EXPORTAÇÃO -  CONTAS À RECEBER"</f>
        <v>EXPORTAÇÃO -  CONTAS À RECEBER</v>
      </c>
      <c r="F4895" s="2" t="str">
        <f>"O_IMP_IMVSAP_CONTA_REC"</f>
        <v>O_IMP_IMVSAP_CONTA_REC</v>
      </c>
      <c r="G4895" s="2" t="str">
        <f t="shared" si="410"/>
        <v xml:space="preserve"> ()</v>
      </c>
    </row>
    <row r="4896" spans="1:7" x14ac:dyDescent="0.3">
      <c r="A4896" s="1" t="s">
        <v>4</v>
      </c>
      <c r="B4896" s="2" t="str">
        <f t="shared" si="411"/>
        <v>SISTEMA DE INTEGRACAO MV2000 X SAP</v>
      </c>
      <c r="C4896" s="2" t="str">
        <f>""</f>
        <v/>
      </c>
      <c r="D4896" s="2" t="str">
        <f t="shared" si="412"/>
        <v>IMVSAP</v>
      </c>
      <c r="E4896" s="2" t="str">
        <f>"NOTAS_SAP"</f>
        <v>NOTAS_SAP</v>
      </c>
      <c r="F4896" s="2" t="str">
        <f>"NOTAS_SAP"</f>
        <v>NOTAS_SAP</v>
      </c>
      <c r="G4896" s="2" t="str">
        <f t="shared" si="410"/>
        <v xml:space="preserve"> ()</v>
      </c>
    </row>
    <row r="4897" spans="1:7" x14ac:dyDescent="0.3">
      <c r="A4897" s="1" t="s">
        <v>4</v>
      </c>
      <c r="B4897" s="2" t="str">
        <f t="shared" si="411"/>
        <v>SISTEMA DE INTEGRACAO MV2000 X SAP</v>
      </c>
      <c r="C4897" s="2" t="str">
        <f>""</f>
        <v/>
      </c>
      <c r="D4897" s="2" t="str">
        <f t="shared" si="412"/>
        <v>IMVSAP</v>
      </c>
      <c r="E4897" s="2" t="str">
        <f>"O_IMP_IMVSAP_NOTAS_338"</f>
        <v>O_IMP_IMVSAP_NOTAS_338</v>
      </c>
      <c r="F4897" s="2" t="str">
        <f>"O_IMP_IMVSAP_NOTAS_338"</f>
        <v>O_IMP_IMVSAP_NOTAS_338</v>
      </c>
      <c r="G4897" s="2" t="str">
        <f t="shared" si="410"/>
        <v xml:space="preserve"> ()</v>
      </c>
    </row>
    <row r="4898" spans="1:7" x14ac:dyDescent="0.3">
      <c r="A4898" s="1" t="s">
        <v>4</v>
      </c>
      <c r="B4898" s="2" t="str">
        <f t="shared" si="411"/>
        <v>SISTEMA DE INTEGRACAO MV2000 X SAP</v>
      </c>
      <c r="C4898" s="2" t="str">
        <f>""</f>
        <v/>
      </c>
      <c r="D4898" s="2" t="str">
        <f t="shared" si="412"/>
        <v>IMVSAP</v>
      </c>
      <c r="E4898" s="2" t="str">
        <f>"RELATÓRIO GUIA DE RECOLHIMENTO"</f>
        <v>RELATÓRIO GUIA DE RECOLHIMENTO</v>
      </c>
      <c r="F4898" s="2" t="str">
        <f>"R_IMVSAP_REL_MGES"</f>
        <v>R_IMVSAP_REL_MGES</v>
      </c>
      <c r="G4898" s="2" t="str">
        <f t="shared" si="410"/>
        <v xml:space="preserve"> ()</v>
      </c>
    </row>
    <row r="4899" spans="1:7" x14ac:dyDescent="0.3">
      <c r="A4899" s="1" t="s">
        <v>4</v>
      </c>
      <c r="B4899" s="2" t="str">
        <f t="shared" si="411"/>
        <v>SISTEMA DE INTEGRACAO MV2000 X SAP</v>
      </c>
      <c r="C4899" s="2" t="str">
        <f>""</f>
        <v/>
      </c>
      <c r="D4899" s="2" t="str">
        <f t="shared" si="412"/>
        <v>IMVSAP</v>
      </c>
      <c r="E4899" s="2" t="str">
        <f>"O_IMP_IMVSAP"</f>
        <v>O_IMP_IMVSAP</v>
      </c>
      <c r="F4899" s="2" t="str">
        <f>"O_IMP_IMVSAP"</f>
        <v>O_IMP_IMVSAP</v>
      </c>
      <c r="G4899" s="2" t="str">
        <f t="shared" si="410"/>
        <v xml:space="preserve"> ()</v>
      </c>
    </row>
    <row r="4900" spans="1:7" x14ac:dyDescent="0.3">
      <c r="A4900" s="1" t="s">
        <v>4</v>
      </c>
      <c r="B4900" s="2" t="str">
        <f t="shared" si="411"/>
        <v>SISTEMA DE INTEGRACAO MV2000 X SAP</v>
      </c>
      <c r="C4900" s="2" t="str">
        <f>""</f>
        <v/>
      </c>
      <c r="D4900" s="2" t="str">
        <f t="shared" si="412"/>
        <v>IMVSAP</v>
      </c>
      <c r="E4900" s="2" t="str">
        <f>"O_IMP_IMVSAP_NOTAS"</f>
        <v>O_IMP_IMVSAP_NOTAS</v>
      </c>
      <c r="F4900" s="2" t="str">
        <f>"O_IMP_IMVSAP_NOTAS"</f>
        <v>O_IMP_IMVSAP_NOTAS</v>
      </c>
      <c r="G4900" s="2" t="str">
        <f t="shared" si="410"/>
        <v xml:space="preserve"> ()</v>
      </c>
    </row>
    <row r="4901" spans="1:7" x14ac:dyDescent="0.3">
      <c r="A4901" s="1" t="s">
        <v>4</v>
      </c>
      <c r="B4901" s="2" t="str">
        <f t="shared" si="411"/>
        <v>SISTEMA DE INTEGRACAO MV2000 X SAP</v>
      </c>
      <c r="C4901" s="2" t="str">
        <f>""</f>
        <v/>
      </c>
      <c r="D4901" s="2" t="str">
        <f t="shared" si="412"/>
        <v>IMVSAP</v>
      </c>
      <c r="E4901" s="2" t="str">
        <f>"R_IMVSAP_REL_NOTAS"</f>
        <v>R_IMVSAP_REL_NOTAS</v>
      </c>
      <c r="F4901" s="2" t="str">
        <f>"R_IMVSAP_REL_NOTAS"</f>
        <v>R_IMVSAP_REL_NOTAS</v>
      </c>
      <c r="G4901" s="2" t="str">
        <f t="shared" si="410"/>
        <v xml:space="preserve"> ()</v>
      </c>
    </row>
    <row r="4902" spans="1:7" x14ac:dyDescent="0.3">
      <c r="A4902" s="1" t="s">
        <v>4</v>
      </c>
      <c r="B4902" s="2" t="str">
        <f t="shared" si="411"/>
        <v>SISTEMA DE INTEGRACAO MV2000 X SAP</v>
      </c>
      <c r="C4902" s="2" t="str">
        <f>""</f>
        <v/>
      </c>
      <c r="D4902" s="2" t="str">
        <f t="shared" si="412"/>
        <v>IMVSAP</v>
      </c>
      <c r="E4902" s="2" t="str">
        <f>"EXPORTAÇÃO -  CADASTRO (FORNECEDORES)"</f>
        <v>EXPORTAÇÃO -  CADASTRO (FORNECEDORES)</v>
      </c>
      <c r="F4902" s="2" t="str">
        <f>"O_IMP_IMVSAP_FORNEC"</f>
        <v>O_IMP_IMVSAP_FORNEC</v>
      </c>
      <c r="G4902" s="2" t="str">
        <f t="shared" si="410"/>
        <v xml:space="preserve"> ()</v>
      </c>
    </row>
    <row r="4903" spans="1:7" x14ac:dyDescent="0.3">
      <c r="A4903" s="1" t="s">
        <v>4</v>
      </c>
      <c r="B4903" s="2" t="str">
        <f t="shared" si="411"/>
        <v>SISTEMA DE INTEGRACAO MV2000 X SAP</v>
      </c>
      <c r="C4903" s="2" t="str">
        <f>""</f>
        <v/>
      </c>
      <c r="D4903" s="2" t="str">
        <f t="shared" si="412"/>
        <v>IMVSAP</v>
      </c>
      <c r="E4903" s="2" t="str">
        <f>"IMVSAP"</f>
        <v>IMVSAP</v>
      </c>
      <c r="F4903" s="2" t="str">
        <f>"IMVSAP"</f>
        <v>IMVSAP</v>
      </c>
      <c r="G4903" s="2" t="str">
        <f t="shared" si="410"/>
        <v xml:space="preserve"> ()</v>
      </c>
    </row>
    <row r="4904" spans="1:7" x14ac:dyDescent="0.3">
      <c r="A4904" s="1" t="s">
        <v>4</v>
      </c>
      <c r="B4904" s="2" t="str">
        <f t="shared" si="411"/>
        <v>SISTEMA DE INTEGRACAO MV2000 X SAP</v>
      </c>
      <c r="C4904" s="2" t="str">
        <f>""</f>
        <v/>
      </c>
      <c r="D4904" s="2" t="str">
        <f t="shared" si="412"/>
        <v>IMVSAP</v>
      </c>
      <c r="E4904" s="2" t="str">
        <f>"M_PLANO_SAP"</f>
        <v>M_PLANO_SAP</v>
      </c>
      <c r="F4904" s="2" t="str">
        <f>"M_PLANO_SAP"</f>
        <v>M_PLANO_SAP</v>
      </c>
      <c r="G4904" s="2" t="str">
        <f t="shared" si="410"/>
        <v xml:space="preserve"> ()</v>
      </c>
    </row>
    <row r="4905" spans="1:7" x14ac:dyDescent="0.3">
      <c r="A4905" s="1" t="s">
        <v>4</v>
      </c>
      <c r="B4905" s="2" t="str">
        <f t="shared" si="411"/>
        <v>SISTEMA DE INTEGRACAO MV2000 X SAP</v>
      </c>
      <c r="C4905" s="2" t="str">
        <f>""</f>
        <v/>
      </c>
      <c r="D4905" s="2" t="str">
        <f t="shared" si="412"/>
        <v>IMVSAP</v>
      </c>
      <c r="E4905" s="2" t="str">
        <f>"IMPORTAÇÃO DO ESTOQUE"</f>
        <v>IMPORTAÇÃO DO ESTOQUE</v>
      </c>
      <c r="F4905" s="2" t="str">
        <f>"O_IMP_IMVSAP_MGES"</f>
        <v>O_IMP_IMVSAP_MGES</v>
      </c>
      <c r="G4905" s="2" t="str">
        <f t="shared" si="410"/>
        <v xml:space="preserve"> ()</v>
      </c>
    </row>
    <row r="4906" spans="1:7" x14ac:dyDescent="0.3">
      <c r="A4906" s="1" t="s">
        <v>4</v>
      </c>
      <c r="B4906" s="2" t="str">
        <f t="shared" si="411"/>
        <v>SISTEMA DE INTEGRACAO MV2000 X SAP</v>
      </c>
      <c r="C4906" s="2" t="str">
        <f>""</f>
        <v/>
      </c>
      <c r="D4906" s="2" t="str">
        <f t="shared" si="412"/>
        <v>IMVSAP</v>
      </c>
      <c r="E4906" s="2" t="str">
        <f>"EXPORTAÇÃO DE CLIENTES MV2000 X SAP"</f>
        <v>EXPORTAÇÃO DE CLIENTES MV2000 X SAP</v>
      </c>
      <c r="F4906" s="2" t="str">
        <f>"O_IMP_IMVSAP_CLIENTE"</f>
        <v>O_IMP_IMVSAP_CLIENTE</v>
      </c>
      <c r="G4906" s="2" t="str">
        <f t="shared" si="410"/>
        <v xml:space="preserve"> ()</v>
      </c>
    </row>
    <row r="4907" spans="1:7" x14ac:dyDescent="0.3">
      <c r="A4907" s="1" t="s">
        <v>4</v>
      </c>
      <c r="B4907" s="2" t="str">
        <f t="shared" si="411"/>
        <v>SISTEMA DE INTEGRACAO MV2000 X SAP</v>
      </c>
      <c r="C4907" s="2" t="str">
        <f>""</f>
        <v/>
      </c>
      <c r="D4907" s="2" t="str">
        <f t="shared" si="412"/>
        <v>IMVSAP</v>
      </c>
      <c r="E4907" s="2" t="str">
        <f>"M_IMVSAP_INT_MGES"</f>
        <v>M_IMVSAP_INT_MGES</v>
      </c>
      <c r="F4907" s="2" t="str">
        <f>"M_IMVSAP_INT_MGES"</f>
        <v>M_IMVSAP_INT_MGES</v>
      </c>
      <c r="G4907" s="2" t="str">
        <f t="shared" si="410"/>
        <v xml:space="preserve"> ()</v>
      </c>
    </row>
    <row r="4908" spans="1:7" x14ac:dyDescent="0.3">
      <c r="A4908" s="1" t="s">
        <v>4</v>
      </c>
      <c r="B4908" s="2" t="str">
        <f t="shared" si="411"/>
        <v>SISTEMA DE INTEGRACAO MV2000 X SAP</v>
      </c>
      <c r="C4908" s="2" t="str">
        <f>""</f>
        <v/>
      </c>
      <c r="D4908" s="2" t="str">
        <f t="shared" si="412"/>
        <v>IMVSAP</v>
      </c>
      <c r="E4908" s="2" t="str">
        <f>"RELATÓRIO DE CONSISTÊNCIA DAS INTERFACES"</f>
        <v>RELATÓRIO DE CONSISTÊNCIA DAS INTERFACES</v>
      </c>
      <c r="F4908" s="2" t="str">
        <f>"R_IMVSAP_REL_CONF"</f>
        <v>R_IMVSAP_REL_CONF</v>
      </c>
      <c r="G4908" s="2" t="str">
        <f t="shared" si="410"/>
        <v xml:space="preserve"> ()</v>
      </c>
    </row>
    <row r="4909" spans="1:7" x14ac:dyDescent="0.3">
      <c r="A4909" s="1" t="s">
        <v>4</v>
      </c>
      <c r="B4909" s="2" t="str">
        <f t="shared" si="411"/>
        <v>SISTEMA DE INTEGRACAO MV2000 X SAP</v>
      </c>
      <c r="C4909" s="2" t="str">
        <f>""</f>
        <v/>
      </c>
      <c r="D4909" s="2" t="str">
        <f t="shared" si="412"/>
        <v>IMVSAP</v>
      </c>
      <c r="E4909" s="2" t="str">
        <f>"O_IMP_IMVSAP_MGES_900"</f>
        <v>O_IMP_IMVSAP_MGES_900</v>
      </c>
      <c r="F4909" s="2" t="str">
        <f>"O_IMP_IMVSAP_MGES_900"</f>
        <v>O_IMP_IMVSAP_MGES_900</v>
      </c>
      <c r="G4909" s="2" t="str">
        <f t="shared" si="410"/>
        <v xml:space="preserve"> ()</v>
      </c>
    </row>
    <row r="4910" spans="1:7" x14ac:dyDescent="0.3">
      <c r="A4910" s="1" t="s">
        <v>4</v>
      </c>
      <c r="B4910" s="2" t="str">
        <f t="shared" si="411"/>
        <v>SISTEMA DE INTEGRACAO MV2000 X SAP</v>
      </c>
      <c r="C4910" s="2" t="str">
        <f>""</f>
        <v/>
      </c>
      <c r="D4910" s="2" t="str">
        <f t="shared" si="412"/>
        <v>IMVSAP</v>
      </c>
      <c r="E4910" s="2" t="str">
        <f>"CONTAS EXPORTADAS"</f>
        <v>CONTAS EXPORTADAS</v>
      </c>
      <c r="F4910" s="2" t="str">
        <f>"C_IMP_IMVSAP_NOTAS"</f>
        <v>C_IMP_IMVSAP_NOTAS</v>
      </c>
      <c r="G4910" s="2" t="str">
        <f t="shared" si="410"/>
        <v xml:space="preserve"> ()</v>
      </c>
    </row>
    <row r="4911" spans="1:7" x14ac:dyDescent="0.3">
      <c r="A4911" s="1" t="s">
        <v>4</v>
      </c>
      <c r="B4911" s="2" t="str">
        <f t="shared" si="411"/>
        <v>SISTEMA DE INTEGRACAO MV2000 X SAP</v>
      </c>
      <c r="C4911" s="2" t="str">
        <f>""</f>
        <v/>
      </c>
      <c r="D4911" s="2" t="str">
        <f t="shared" si="412"/>
        <v>IMVSAP</v>
      </c>
      <c r="E4911" s="2" t="str">
        <f>"CLASSIFICAÇÃO CONTÁBIL DA CONTAGEM"</f>
        <v>CLASSIFICAÇÃO CONTÁBIL DA CONTAGEM</v>
      </c>
      <c r="F4911" s="2" t="str">
        <f>"R_CLAS_CONTAB_INVENTARIO"</f>
        <v>R_CLAS_CONTAB_INVENTARIO</v>
      </c>
      <c r="G4911" s="2" t="str">
        <f t="shared" si="410"/>
        <v xml:space="preserve"> ()</v>
      </c>
    </row>
    <row r="4912" spans="1:7" x14ac:dyDescent="0.3">
      <c r="A4912" s="1" t="s">
        <v>4</v>
      </c>
      <c r="B4912" s="2" t="str">
        <f t="shared" si="411"/>
        <v>SISTEMA DE INTEGRACAO MV2000 X SAP</v>
      </c>
      <c r="C4912" s="2" t="str">
        <f>""</f>
        <v/>
      </c>
      <c r="D4912" s="2" t="str">
        <f t="shared" si="412"/>
        <v>IMVSAP</v>
      </c>
      <c r="E4912" s="2" t="str">
        <f>"CONTAS EXPORTADAS"</f>
        <v>CONTAS EXPORTADAS</v>
      </c>
      <c r="F4912" s="2" t="str">
        <f>"C_IMVSAP_EXP_CONTA_REC"</f>
        <v>C_IMVSAP_EXP_CONTA_REC</v>
      </c>
      <c r="G4912" s="2" t="str">
        <f t="shared" si="410"/>
        <v xml:space="preserve"> ()</v>
      </c>
    </row>
    <row r="4913" spans="1:7" x14ac:dyDescent="0.3">
      <c r="A4913" s="1" t="s">
        <v>4</v>
      </c>
      <c r="B4913" s="2" t="str">
        <f t="shared" si="411"/>
        <v>SISTEMA DE INTEGRACAO MV2000 X SAP</v>
      </c>
      <c r="C4913" s="2" t="str">
        <f>""</f>
        <v/>
      </c>
      <c r="D4913" s="2" t="str">
        <f t="shared" si="412"/>
        <v>IMVSAP</v>
      </c>
      <c r="E4913" s="2" t="str">
        <f>"M_EMPRESA_SAP"</f>
        <v>M_EMPRESA_SAP</v>
      </c>
      <c r="F4913" s="2" t="str">
        <f>"M_EMPRESA_SAP"</f>
        <v>M_EMPRESA_SAP</v>
      </c>
      <c r="G4913" s="2" t="str">
        <f t="shared" si="410"/>
        <v xml:space="preserve"> ()</v>
      </c>
    </row>
    <row r="4914" spans="1:7" x14ac:dyDescent="0.3">
      <c r="A4914" s="1" t="s">
        <v>4</v>
      </c>
      <c r="B4914" s="2" t="str">
        <f>""</f>
        <v/>
      </c>
      <c r="C4914" s="2" t="str">
        <f>""</f>
        <v/>
      </c>
      <c r="D4914" s="2" t="str">
        <f>"IMV967"</f>
        <v>IMV967</v>
      </c>
      <c r="E4914" s="2" t="str">
        <f>"TELA DE MANUTENÇÃO"</f>
        <v>TELA DE MANUTENÇÃO</v>
      </c>
      <c r="F4914" s="2" t="str">
        <f>"M_MANUTENCAO_PATHO"</f>
        <v>M_MANUTENCAO_PATHO</v>
      </c>
      <c r="G4914" s="2" t="str">
        <f t="shared" si="410"/>
        <v xml:space="preserve"> ()</v>
      </c>
    </row>
    <row r="4915" spans="1:7" x14ac:dyDescent="0.3">
      <c r="A4915" s="1" t="s">
        <v>4</v>
      </c>
      <c r="B4915" s="2" t="str">
        <f t="shared" ref="B4915:B4968" si="413">"LABORATORIO DE ANALISE DE PRODUTOS"</f>
        <v>LABORATORIO DE ANALISE DE PRODUTOS</v>
      </c>
      <c r="C4915" s="2" t="str">
        <f t="shared" ref="C4915:C4968" si="414">"DIAGN"</f>
        <v>DIAGN</v>
      </c>
      <c r="D4915" s="2" t="str">
        <f t="shared" ref="D4915:D4968" si="415">"LAPROD"</f>
        <v>LAPROD</v>
      </c>
      <c r="E4915" s="2" t="str">
        <f>"ENSAIOS POR SITUAÇÃO"</f>
        <v>ENSAIOS POR SITUAÇÃO</v>
      </c>
      <c r="F4915" s="2" t="str">
        <f>"R_ENSAIO_SITUACAO.RDF"</f>
        <v>R_ENSAIO_SITUACAO.RDF</v>
      </c>
      <c r="G4915" s="2" t="str">
        <f t="shared" si="410"/>
        <v xml:space="preserve"> ()</v>
      </c>
    </row>
    <row r="4916" spans="1:7" x14ac:dyDescent="0.3">
      <c r="A4916" s="1" t="s">
        <v>4</v>
      </c>
      <c r="B4916" s="2" t="str">
        <f t="shared" si="413"/>
        <v>LABORATORIO DE ANALISE DE PRODUTOS</v>
      </c>
      <c r="C4916" s="2" t="str">
        <f t="shared" si="414"/>
        <v>DIAGN</v>
      </c>
      <c r="D4916" s="2" t="str">
        <f t="shared" si="415"/>
        <v>LAPROD</v>
      </c>
      <c r="E4916" s="2" t="str">
        <f>"LPROD"</f>
        <v>LPROD</v>
      </c>
      <c r="F4916" s="2" t="str">
        <f>"LPROD"</f>
        <v>LPROD</v>
      </c>
      <c r="G4916" s="2" t="str">
        <f t="shared" si="410"/>
        <v xml:space="preserve"> ()</v>
      </c>
    </row>
    <row r="4917" spans="1:7" x14ac:dyDescent="0.3">
      <c r="A4917" s="1" t="s">
        <v>4</v>
      </c>
      <c r="B4917" s="2" t="str">
        <f t="shared" si="413"/>
        <v>LABORATORIO DE ANALISE DE PRODUTOS</v>
      </c>
      <c r="C4917" s="2" t="str">
        <f t="shared" si="414"/>
        <v>DIAGN</v>
      </c>
      <c r="D4917" s="2" t="str">
        <f t="shared" si="415"/>
        <v>LAPROD</v>
      </c>
      <c r="E4917" s="2" t="str">
        <f>"RELATÓRIO DE VIAS DE ADMINISTRAÇÃO"</f>
        <v>RELATÓRIO DE VIAS DE ADMINISTRAÇÃO</v>
      </c>
      <c r="F4917" s="2" t="str">
        <f>"R_VIA_ADMINISTRACAO"</f>
        <v>R_VIA_ADMINISTRACAO</v>
      </c>
      <c r="G4917" s="2" t="str">
        <f>"Serviços de Apoio / Laprod / Relatórios / Tabelas / Vias de Administração (R_VIA_ADMINISTRACAO)"</f>
        <v>Serviços de Apoio / Laprod / Relatórios / Tabelas / Vias de Administração (R_VIA_ADMINISTRACAO)</v>
      </c>
    </row>
    <row r="4918" spans="1:7" x14ac:dyDescent="0.3">
      <c r="A4918" s="1" t="s">
        <v>4</v>
      </c>
      <c r="B4918" s="2" t="str">
        <f t="shared" si="413"/>
        <v>LABORATORIO DE ANALISE DE PRODUTOS</v>
      </c>
      <c r="C4918" s="2" t="str">
        <f t="shared" si="414"/>
        <v>DIAGN</v>
      </c>
      <c r="D4918" s="2" t="str">
        <f t="shared" si="415"/>
        <v>LAPROD</v>
      </c>
      <c r="E4918" s="2" t="str">
        <f>"CADASTRO DE FORMAS FARMACÊUTICAS"</f>
        <v>CADASTRO DE FORMAS FARMACÊUTICAS</v>
      </c>
      <c r="F4918" s="2" t="str">
        <f>"M_FORMA_FARMACEUTICA"</f>
        <v>M_FORMA_FARMACEUTICA</v>
      </c>
      <c r="G4918" s="2" t="str">
        <f>"Serviços de Apoio / Laprod / Tabelas / Formas Farmacêuticas (M_FORMA_FARMACEUTICA)"</f>
        <v>Serviços de Apoio / Laprod / Tabelas / Formas Farmacêuticas (M_FORMA_FARMACEUTICA)</v>
      </c>
    </row>
    <row r="4919" spans="1:7" x14ac:dyDescent="0.3">
      <c r="A4919" s="1" t="s">
        <v>4</v>
      </c>
      <c r="B4919" s="2" t="str">
        <f t="shared" si="413"/>
        <v>LABORATORIO DE ANALISE DE PRODUTOS</v>
      </c>
      <c r="C4919" s="2" t="str">
        <f t="shared" si="414"/>
        <v>DIAGN</v>
      </c>
      <c r="D4919" s="2" t="str">
        <f t="shared" si="415"/>
        <v>LAPROD</v>
      </c>
      <c r="E4919" s="2" t="str">
        <f>"RELATÓRIO DE BOLETIM DE ANÁLISE"</f>
        <v>RELATÓRIO DE BOLETIM DE ANÁLISE</v>
      </c>
      <c r="F4919" s="2" t="str">
        <f>"R_BOLETIM_ANALISE"</f>
        <v>R_BOLETIM_ANALISE</v>
      </c>
      <c r="G4919" s="2" t="str">
        <f>"Serviços de Apoio / Laprod / Relatórios / Operacionais / Boletim de Análise (R_BOLETIM_ANALISE)"</f>
        <v>Serviços de Apoio / Laprod / Relatórios / Operacionais / Boletim de Análise (R_BOLETIM_ANALISE)</v>
      </c>
    </row>
    <row r="4920" spans="1:7" x14ac:dyDescent="0.3">
      <c r="A4920" s="1" t="s">
        <v>4</v>
      </c>
      <c r="B4920" s="2" t="str">
        <f t="shared" si="413"/>
        <v>LABORATORIO DE ANALISE DE PRODUTOS</v>
      </c>
      <c r="C4920" s="2" t="str">
        <f t="shared" si="414"/>
        <v>DIAGN</v>
      </c>
      <c r="D4920" s="2" t="str">
        <f t="shared" si="415"/>
        <v>LAPROD</v>
      </c>
      <c r="E4920" s="2" t="str">
        <f>"R_FICHA_AMOSTRA"</f>
        <v>R_FICHA_AMOSTRA</v>
      </c>
      <c r="F4920" s="2" t="str">
        <f>"R_FICHA_AMOSTRA"</f>
        <v>R_FICHA_AMOSTRA</v>
      </c>
      <c r="G4920" s="2" t="str">
        <f>"Serviços de Apoio / Laprod / Relatórios / Operacionais / Ficha de Cadastro da Amostra (R_FICHA_AMOSTRA)"</f>
        <v>Serviços de Apoio / Laprod / Relatórios / Operacionais / Ficha de Cadastro da Amostra (R_FICHA_AMOSTRA)</v>
      </c>
    </row>
    <row r="4921" spans="1:7" x14ac:dyDescent="0.3">
      <c r="A4921" s="1" t="s">
        <v>4</v>
      </c>
      <c r="B4921" s="2" t="str">
        <f t="shared" si="413"/>
        <v>LABORATORIO DE ANALISE DE PRODUTOS</v>
      </c>
      <c r="C4921" s="2" t="str">
        <f t="shared" si="414"/>
        <v>DIAGN</v>
      </c>
      <c r="D4921" s="2" t="str">
        <f t="shared" si="415"/>
        <v>LAPROD</v>
      </c>
      <c r="E4921" s="2" t="str">
        <f>"CADASTRO : PRODUTOS"</f>
        <v>CADASTRO : PRODUTOS</v>
      </c>
      <c r="F4921" s="2" t="str">
        <f>"M_PRODUTO_ANALISE"</f>
        <v>M_PRODUTO_ANALISE</v>
      </c>
      <c r="G4921" s="2" t="str">
        <f>" ()"</f>
        <v xml:space="preserve"> ()</v>
      </c>
    </row>
    <row r="4922" spans="1:7" x14ac:dyDescent="0.3">
      <c r="A4922" s="1" t="s">
        <v>4</v>
      </c>
      <c r="B4922" s="2" t="str">
        <f t="shared" si="413"/>
        <v>LABORATORIO DE ANALISE DE PRODUTOS</v>
      </c>
      <c r="C4922" s="2" t="str">
        <f t="shared" si="414"/>
        <v>DIAGN</v>
      </c>
      <c r="D4922" s="2" t="str">
        <f t="shared" si="415"/>
        <v>LAPROD</v>
      </c>
      <c r="E4922" s="2" t="str">
        <f>"CADASTRO : MODALIDADES DE ANÁLISE"</f>
        <v>CADASTRO : MODALIDADES DE ANÁLISE</v>
      </c>
      <c r="F4922" s="2" t="str">
        <f>"M_MODALIDADE_ANALISE"</f>
        <v>M_MODALIDADE_ANALISE</v>
      </c>
      <c r="G4922" s="2" t="str">
        <f>"Serviços de Apoio / Laprod / Tabelas / Modalidades de Análise (M_MODALIDADE_ANALISE)"</f>
        <v>Serviços de Apoio / Laprod / Tabelas / Modalidades de Análise (M_MODALIDADE_ANALISE)</v>
      </c>
    </row>
    <row r="4923" spans="1:7" x14ac:dyDescent="0.3">
      <c r="A4923" s="1" t="s">
        <v>4</v>
      </c>
      <c r="B4923" s="2" t="str">
        <f t="shared" si="413"/>
        <v>LABORATORIO DE ANALISE DE PRODUTOS</v>
      </c>
      <c r="C4923" s="2" t="str">
        <f t="shared" si="414"/>
        <v>DIAGN</v>
      </c>
      <c r="D4923" s="2" t="str">
        <f t="shared" si="415"/>
        <v>LAPROD</v>
      </c>
      <c r="E4923" s="2" t="str">
        <f>"CADASTRO : VIAS DE ADMINSTRAÇÃO"</f>
        <v>CADASTRO : VIAS DE ADMINSTRAÇÃO</v>
      </c>
      <c r="F4923" s="2" t="str">
        <f>"M_VIA_ADMINISTRACAO"</f>
        <v>M_VIA_ADMINISTRACAO</v>
      </c>
      <c r="G4923" s="2" t="str">
        <f>"Serviços de Apoio / Laprod / Tabelas / Vias de Administração (M_VIA_ADMINISTRACAO)"</f>
        <v>Serviços de Apoio / Laprod / Tabelas / Vias de Administração (M_VIA_ADMINISTRACAO)</v>
      </c>
    </row>
    <row r="4924" spans="1:7" x14ac:dyDescent="0.3">
      <c r="A4924" s="1" t="s">
        <v>4</v>
      </c>
      <c r="B4924" s="2" t="str">
        <f t="shared" si="413"/>
        <v>LABORATORIO DE ANALISE DE PRODUTOS</v>
      </c>
      <c r="C4924" s="2" t="str">
        <f t="shared" si="414"/>
        <v>DIAGN</v>
      </c>
      <c r="D4924" s="2" t="str">
        <f t="shared" si="415"/>
        <v>LAPROD</v>
      </c>
      <c r="E4924" s="2" t="str">
        <f>"M_VERSAO_INICIO_LAUDO"</f>
        <v>M_VERSAO_INICIO_LAUDO</v>
      </c>
      <c r="F4924" s="2" t="str">
        <f>"M_VERSAO_INICIO_LAUDO"</f>
        <v>M_VERSAO_INICIO_LAUDO</v>
      </c>
      <c r="G4924" s="2" t="str">
        <f>"Serviços de Apoio / Laprod / Configurações / Layouts do Laudo / Informações Iniciais (M_VERSAO_INICIO_LAUDO)"</f>
        <v>Serviços de Apoio / Laprod / Configurações / Layouts do Laudo / Informações Iniciais (M_VERSAO_INICIO_LAUDO)</v>
      </c>
    </row>
    <row r="4925" spans="1:7" x14ac:dyDescent="0.3">
      <c r="A4925" s="1" t="s">
        <v>4</v>
      </c>
      <c r="B4925" s="2" t="str">
        <f t="shared" si="413"/>
        <v>LABORATORIO DE ANALISE DE PRODUTOS</v>
      </c>
      <c r="C4925" s="2" t="str">
        <f t="shared" si="414"/>
        <v>DIAGN</v>
      </c>
      <c r="D4925" s="2" t="str">
        <f t="shared" si="415"/>
        <v>LAPROD</v>
      </c>
      <c r="E4925" s="2" t="str">
        <f>"M_VERSAO_ENSAIO"</f>
        <v>M_VERSAO_ENSAIO</v>
      </c>
      <c r="F4925" s="2" t="str">
        <f>"M_VERSAO_ENSAIO"</f>
        <v>M_VERSAO_ENSAIO</v>
      </c>
      <c r="G4925" s="2" t="str">
        <f>"Serviços de Apoio / Laprod / Configurações / Layouts do Laudo / Corpo dos Ensaios (M_VERSAO_ENSAIO)"</f>
        <v>Serviços de Apoio / Laprod / Configurações / Layouts do Laudo / Corpo dos Ensaios (M_VERSAO_ENSAIO)</v>
      </c>
    </row>
    <row r="4926" spans="1:7" x14ac:dyDescent="0.3">
      <c r="A4926" s="1" t="s">
        <v>4</v>
      </c>
      <c r="B4926" s="2" t="str">
        <f t="shared" si="413"/>
        <v>LABORATORIO DE ANALISE DE PRODUTOS</v>
      </c>
      <c r="C4926" s="2" t="str">
        <f t="shared" si="414"/>
        <v>DIAGN</v>
      </c>
      <c r="D4926" s="2" t="str">
        <f t="shared" si="415"/>
        <v>LAPROD</v>
      </c>
      <c r="E4926" s="2" t="str">
        <f>"CADASTRO : TIPOS DE EMBALAGEM"</f>
        <v>CADASTRO : TIPOS DE EMBALAGEM</v>
      </c>
      <c r="F4926" s="2" t="str">
        <f>"M_TIPO_EMBALAGEM"</f>
        <v>M_TIPO_EMBALAGEM</v>
      </c>
      <c r="G4926" s="2" t="str">
        <f>"Serviços de Apoio / Laprod / Tabelas / Tipos de Embalagem (M_TIPO_EMBALAGEM)"</f>
        <v>Serviços de Apoio / Laprod / Tabelas / Tipos de Embalagem (M_TIPO_EMBALAGEM)</v>
      </c>
    </row>
    <row r="4927" spans="1:7" x14ac:dyDescent="0.3">
      <c r="A4927" s="1" t="s">
        <v>4</v>
      </c>
      <c r="B4927" s="2" t="str">
        <f t="shared" si="413"/>
        <v>LABORATORIO DE ANALISE DE PRODUTOS</v>
      </c>
      <c r="C4927" s="2" t="str">
        <f t="shared" si="414"/>
        <v>DIAGN</v>
      </c>
      <c r="D4927" s="2" t="str">
        <f t="shared" si="415"/>
        <v>LAPROD</v>
      </c>
      <c r="E4927" s="2" t="str">
        <f>"CADASTRO : RESULTADOS PADRÕES"</f>
        <v>CADASTRO : RESULTADOS PADRÕES</v>
      </c>
      <c r="F4927" s="2" t="str">
        <f>"M_RESULTADO_PADRAO"</f>
        <v>M_RESULTADO_PADRAO</v>
      </c>
      <c r="G4927" s="2" t="str">
        <f>"Serviços de Apoio / Laprod / Tabelas / Resultados Padrão (M_RESULTADO_PADRAO)"</f>
        <v>Serviços de Apoio / Laprod / Tabelas / Resultados Padrão (M_RESULTADO_PADRAO)</v>
      </c>
    </row>
    <row r="4928" spans="1:7" x14ac:dyDescent="0.3">
      <c r="A4928" s="1" t="s">
        <v>4</v>
      </c>
      <c r="B4928" s="2" t="str">
        <f t="shared" si="413"/>
        <v>LABORATORIO DE ANALISE DE PRODUTOS</v>
      </c>
      <c r="C4928" s="2" t="str">
        <f t="shared" si="414"/>
        <v>DIAGN</v>
      </c>
      <c r="D4928" s="2" t="str">
        <f t="shared" si="415"/>
        <v>LAPROD</v>
      </c>
      <c r="E4928" s="2" t="str">
        <f>"M_REFERENCIAS"</f>
        <v>M_REFERENCIAS</v>
      </c>
      <c r="F4928" s="2" t="str">
        <f>"M_REFERENCIAS"</f>
        <v>M_REFERENCIAS</v>
      </c>
      <c r="G4928" s="2" t="str">
        <f>"Serviços de Apoio / Laprod / Tabelas / Referências (M_REFERENCIAS)"</f>
        <v>Serviços de Apoio / Laprod / Tabelas / Referências (M_REFERENCIAS)</v>
      </c>
    </row>
    <row r="4929" spans="1:7" x14ac:dyDescent="0.3">
      <c r="A4929" s="1" t="s">
        <v>4</v>
      </c>
      <c r="B4929" s="2" t="str">
        <f t="shared" si="413"/>
        <v>LABORATORIO DE ANALISE DE PRODUTOS</v>
      </c>
      <c r="C4929" s="2" t="str">
        <f t="shared" si="414"/>
        <v>DIAGN</v>
      </c>
      <c r="D4929" s="2" t="str">
        <f t="shared" si="415"/>
        <v>LAPROD</v>
      </c>
      <c r="E4929" s="2" t="str">
        <f>"CADASTRO : MOTIVOS DE EXIGÊNCIA"</f>
        <v>CADASTRO : MOTIVOS DE EXIGÊNCIA</v>
      </c>
      <c r="F4929" s="2" t="str">
        <f>"M_MOTIVO_EXIGENCIA"</f>
        <v>M_MOTIVO_EXIGENCIA</v>
      </c>
      <c r="G4929" s="2" t="str">
        <f>"Serviços de Apoio / Laprod / Tabelas / Motivos de Exigência (M_MOTIVO_EXIGENCIA)"</f>
        <v>Serviços de Apoio / Laprod / Tabelas / Motivos de Exigência (M_MOTIVO_EXIGENCIA)</v>
      </c>
    </row>
    <row r="4930" spans="1:7" x14ac:dyDescent="0.3">
      <c r="A4930" s="1" t="s">
        <v>4</v>
      </c>
      <c r="B4930" s="2" t="str">
        <f t="shared" si="413"/>
        <v>LABORATORIO DE ANALISE DE PRODUTOS</v>
      </c>
      <c r="C4930" s="2" t="str">
        <f t="shared" si="414"/>
        <v>DIAGN</v>
      </c>
      <c r="D4930" s="2" t="str">
        <f t="shared" si="415"/>
        <v>LAPROD</v>
      </c>
      <c r="E4930" s="2" t="str">
        <f>"CADASTRO : MOTIVOS DE CANCELAMENTO"</f>
        <v>CADASTRO : MOTIVOS DE CANCELAMENTO</v>
      </c>
      <c r="F4930" s="2" t="str">
        <f>"M_MOTIVO_CANCELA"</f>
        <v>M_MOTIVO_CANCELA</v>
      </c>
      <c r="G4930" s="2" t="str">
        <f>"Serviços de Apoio / Laprod / Tabelas / Motivos de Cancelamento (M_MOTIVO_CANCELA)"</f>
        <v>Serviços de Apoio / Laprod / Tabelas / Motivos de Cancelamento (M_MOTIVO_CANCELA)</v>
      </c>
    </row>
    <row r="4931" spans="1:7" x14ac:dyDescent="0.3">
      <c r="A4931" s="1" t="s">
        <v>4</v>
      </c>
      <c r="B4931" s="2" t="str">
        <f t="shared" si="413"/>
        <v>LABORATORIO DE ANALISE DE PRODUTOS</v>
      </c>
      <c r="C4931" s="2" t="str">
        <f t="shared" si="414"/>
        <v>DIAGN</v>
      </c>
      <c r="D4931" s="2" t="str">
        <f t="shared" si="415"/>
        <v>LAPROD</v>
      </c>
      <c r="E4931" s="2" t="str">
        <f>"CADASTRO : MENSAGENS PADRÕES"</f>
        <v>CADASTRO : MENSAGENS PADRÕES</v>
      </c>
      <c r="F4931" s="2" t="str">
        <f>"M_MENSAGEM_PADRAO"</f>
        <v>M_MENSAGEM_PADRAO</v>
      </c>
      <c r="G4931" s="2" t="str">
        <f>"Serviços de Apoio / Laprod / Tabelas / Mensagens Padrão (M_MENSAGEM_PADRAO)"</f>
        <v>Serviços de Apoio / Laprod / Tabelas / Mensagens Padrão (M_MENSAGEM_PADRAO)</v>
      </c>
    </row>
    <row r="4932" spans="1:7" x14ac:dyDescent="0.3">
      <c r="A4932" s="1" t="s">
        <v>4</v>
      </c>
      <c r="B4932" s="2" t="str">
        <f t="shared" si="413"/>
        <v>LABORATORIO DE ANALISE DE PRODUTOS</v>
      </c>
      <c r="C4932" s="2" t="str">
        <f t="shared" si="414"/>
        <v>DIAGN</v>
      </c>
      <c r="D4932" s="2" t="str">
        <f t="shared" si="415"/>
        <v>LAPROD</v>
      </c>
      <c r="E4932" s="2" t="str">
        <f>"CADASTRO : MARCAS DOS PRODUTOS"</f>
        <v>CADASTRO : MARCAS DOS PRODUTOS</v>
      </c>
      <c r="F4932" s="2" t="str">
        <f>"M_MARCA_PRODUTO"</f>
        <v>M_MARCA_PRODUTO</v>
      </c>
      <c r="G4932" s="2" t="str">
        <f>"Serviços de Apoio / Laprod / Tabelas / Marcas de Produtos (M_MARCA_PRODUTO)"</f>
        <v>Serviços de Apoio / Laprod / Tabelas / Marcas de Produtos (M_MARCA_PRODUTO)</v>
      </c>
    </row>
    <row r="4933" spans="1:7" x14ac:dyDescent="0.3">
      <c r="A4933" s="1" t="s">
        <v>4</v>
      </c>
      <c r="B4933" s="2" t="str">
        <f t="shared" si="413"/>
        <v>LABORATORIO DE ANALISE DE PRODUTOS</v>
      </c>
      <c r="C4933" s="2" t="str">
        <f t="shared" si="414"/>
        <v>DIAGN</v>
      </c>
      <c r="D4933" s="2" t="str">
        <f t="shared" si="415"/>
        <v>LAPROD</v>
      </c>
      <c r="E4933" s="2" t="str">
        <f>"M_CONSULTA_ENSAIO"</f>
        <v>M_CONSULTA_ENSAIO</v>
      </c>
      <c r="F4933" s="2" t="str">
        <f>"M_CONSULTA_ENSAIO"</f>
        <v>M_CONSULTA_ENSAIO</v>
      </c>
      <c r="G4933" s="2" t="str">
        <f>" ()"</f>
        <v xml:space="preserve"> ()</v>
      </c>
    </row>
    <row r="4934" spans="1:7" x14ac:dyDescent="0.3">
      <c r="A4934" s="1" t="s">
        <v>4</v>
      </c>
      <c r="B4934" s="2" t="str">
        <f t="shared" si="413"/>
        <v>LABORATORIO DE ANALISE DE PRODUTOS</v>
      </c>
      <c r="C4934" s="2" t="str">
        <f t="shared" si="414"/>
        <v>DIAGN</v>
      </c>
      <c r="D4934" s="2" t="str">
        <f t="shared" si="415"/>
        <v>LAPROD</v>
      </c>
      <c r="E4934" s="2" t="str">
        <f>"ETIQUETAS DE CÓDIGO DE BARRAS"</f>
        <v>ETIQUETAS DE CÓDIGO DE BARRAS</v>
      </c>
      <c r="F4934" s="2" t="str">
        <f>"M_CONFIG_ETIQUETA_LAPROD"</f>
        <v>M_CONFIG_ETIQUETA_LAPROD</v>
      </c>
      <c r="G4934" s="2" t="str">
        <f>" ()"</f>
        <v xml:space="preserve"> ()</v>
      </c>
    </row>
    <row r="4935" spans="1:7" x14ac:dyDescent="0.3">
      <c r="A4935" s="1" t="s">
        <v>4</v>
      </c>
      <c r="B4935" s="2" t="str">
        <f t="shared" si="413"/>
        <v>LABORATORIO DE ANALISE DE PRODUTOS</v>
      </c>
      <c r="C4935" s="2" t="str">
        <f t="shared" si="414"/>
        <v>DIAGN</v>
      </c>
      <c r="D4935" s="2" t="str">
        <f t="shared" si="415"/>
        <v>LAPROD</v>
      </c>
      <c r="E4935" s="2" t="str">
        <f>"CADASTRO : ADVERTÊNCIAS"</f>
        <v>CADASTRO : ADVERTÊNCIAS</v>
      </c>
      <c r="F4935" s="2" t="str">
        <f>"M_ADVERTENCIA"</f>
        <v>M_ADVERTENCIA</v>
      </c>
      <c r="G4935" s="2" t="str">
        <f>"Serviços de Apoio / Laprod / Tabelas / Advertências (M_ADVERTENCIA)"</f>
        <v>Serviços de Apoio / Laprod / Tabelas / Advertências (M_ADVERTENCIA)</v>
      </c>
    </row>
    <row r="4936" spans="1:7" x14ac:dyDescent="0.3">
      <c r="A4936" s="1" t="s">
        <v>4</v>
      </c>
      <c r="B4936" s="2" t="str">
        <f t="shared" si="413"/>
        <v>LABORATORIO DE ANALISE DE PRODUTOS</v>
      </c>
      <c r="C4936" s="2" t="str">
        <f t="shared" si="414"/>
        <v>DIAGN</v>
      </c>
      <c r="D4936" s="2" t="str">
        <f t="shared" si="415"/>
        <v>LAPROD</v>
      </c>
      <c r="E4936" s="2" t="str">
        <f>"WIN_PRINCIPAL - HOSPITAL MV SISTEMAS"</f>
        <v>WIN_PRINCIPAL - HOSPITAL MV SISTEMAS</v>
      </c>
      <c r="F4936" s="2" t="str">
        <f>"C_ESTA_PRODUCAO"</f>
        <v>C_ESTA_PRODUCAO</v>
      </c>
      <c r="G4936" s="2" t="str">
        <f>" ()"</f>
        <v xml:space="preserve"> ()</v>
      </c>
    </row>
    <row r="4937" spans="1:7" x14ac:dyDescent="0.3">
      <c r="A4937" s="1" t="s">
        <v>4</v>
      </c>
      <c r="B4937" s="2" t="str">
        <f t="shared" si="413"/>
        <v>LABORATORIO DE ANALISE DE PRODUTOS</v>
      </c>
      <c r="C4937" s="2" t="str">
        <f t="shared" si="414"/>
        <v>DIAGN</v>
      </c>
      <c r="D4937" s="2" t="str">
        <f t="shared" si="415"/>
        <v>LAPROD</v>
      </c>
      <c r="E4937" s="2" t="str">
        <f>"CONSULTA DE ENSAIOS"</f>
        <v>CONSULTA DE ENSAIOS</v>
      </c>
      <c r="F4937" s="2" t="str">
        <f>"C_CONSULTA_ENSAIO"</f>
        <v>C_CONSULTA_ENSAIO</v>
      </c>
      <c r="G4937" s="2" t="str">
        <f>"Serviços de Apoio / Laprod / Consultas / Ensaios (C_CONSULTA_ENSAIO)"</f>
        <v>Serviços de Apoio / Laprod / Consultas / Ensaios (C_CONSULTA_ENSAIO)</v>
      </c>
    </row>
    <row r="4938" spans="1:7" x14ac:dyDescent="0.3">
      <c r="A4938" s="1" t="s">
        <v>4</v>
      </c>
      <c r="B4938" s="2" t="str">
        <f t="shared" si="413"/>
        <v>LABORATORIO DE ANALISE DE PRODUTOS</v>
      </c>
      <c r="C4938" s="2" t="str">
        <f t="shared" si="414"/>
        <v>DIAGN</v>
      </c>
      <c r="D4938" s="2" t="str">
        <f t="shared" si="415"/>
        <v>LAPROD</v>
      </c>
      <c r="E4938" s="2" t="str">
        <f>"CONSULTA: AMOSTRAS"</f>
        <v>CONSULTA: AMOSTRAS</v>
      </c>
      <c r="F4938" s="2" t="str">
        <f>"C_CONSULTA_AMOSTRA"</f>
        <v>C_CONSULTA_AMOSTRA</v>
      </c>
      <c r="G4938" s="2" t="str">
        <f>"Serviços de Apoio / Laprod / Consultas / Amostras (C_CONSULTA_AMOSTRA)"</f>
        <v>Serviços de Apoio / Laprod / Consultas / Amostras (C_CONSULTA_AMOSTRA)</v>
      </c>
    </row>
    <row r="4939" spans="1:7" x14ac:dyDescent="0.3">
      <c r="A4939" s="1" t="s">
        <v>4</v>
      </c>
      <c r="B4939" s="2" t="str">
        <f t="shared" si="413"/>
        <v>LABORATORIO DE ANALISE DE PRODUTOS</v>
      </c>
      <c r="C4939" s="2" t="str">
        <f t="shared" si="414"/>
        <v>DIAGN</v>
      </c>
      <c r="D4939" s="2" t="str">
        <f t="shared" si="415"/>
        <v>LAPROD</v>
      </c>
      <c r="E4939" s="2" t="str">
        <f>"CADASTRO : ENSAIOS"</f>
        <v>CADASTRO : ENSAIOS</v>
      </c>
      <c r="F4939" s="2" t="str">
        <f>"M_ENSAIO"</f>
        <v>M_ENSAIO</v>
      </c>
      <c r="G4939" s="2" t="str">
        <f>" ()"</f>
        <v xml:space="preserve"> ()</v>
      </c>
    </row>
    <row r="4940" spans="1:7" x14ac:dyDescent="0.3">
      <c r="A4940" s="1" t="s">
        <v>4</v>
      </c>
      <c r="B4940" s="2" t="str">
        <f t="shared" si="413"/>
        <v>LABORATORIO DE ANALISE DE PRODUTOS</v>
      </c>
      <c r="C4940" s="2" t="str">
        <f t="shared" si="414"/>
        <v>DIAGN</v>
      </c>
      <c r="D4940" s="2" t="str">
        <f t="shared" si="415"/>
        <v>LAPROD</v>
      </c>
      <c r="E4940" s="2" t="str">
        <f>"CADASTRO DE SETORES DE EXAMES"</f>
        <v>CADASTRO DE SETORES DE EXAMES</v>
      </c>
      <c r="F4940" s="2" t="str">
        <f>"M_SETOR_EXECUTANTE"</f>
        <v>M_SETOR_EXECUTANTE</v>
      </c>
      <c r="G4940" s="2" t="str">
        <f>" ()"</f>
        <v xml:space="preserve"> ()</v>
      </c>
    </row>
    <row r="4941" spans="1:7" x14ac:dyDescent="0.3">
      <c r="A4941" s="1" t="s">
        <v>4</v>
      </c>
      <c r="B4941" s="2" t="str">
        <f t="shared" si="413"/>
        <v>LABORATORIO DE ANALISE DE PRODUTOS</v>
      </c>
      <c r="C4941" s="2" t="str">
        <f t="shared" si="414"/>
        <v>DIAGN</v>
      </c>
      <c r="D4941" s="2" t="str">
        <f t="shared" si="415"/>
        <v>LAPROD</v>
      </c>
      <c r="E4941" s="2" t="str">
        <f>"RELATÓRIO DE PRODUTOS"</f>
        <v>RELATÓRIO DE PRODUTOS</v>
      </c>
      <c r="F4941" s="2" t="str">
        <f>"R_AMOSTRA"</f>
        <v>R_AMOSTRA</v>
      </c>
      <c r="G4941" s="2" t="str">
        <f>"Serviços de Apoio / Laprod / Relatórios / Tabelas / Produtos (R_AMOSTRA)"</f>
        <v>Serviços de Apoio / Laprod / Relatórios / Tabelas / Produtos (R_AMOSTRA)</v>
      </c>
    </row>
    <row r="4942" spans="1:7" x14ac:dyDescent="0.3">
      <c r="A4942" s="1" t="s">
        <v>4</v>
      </c>
      <c r="B4942" s="2" t="str">
        <f t="shared" si="413"/>
        <v>LABORATORIO DE ANALISE DE PRODUTOS</v>
      </c>
      <c r="C4942" s="2" t="str">
        <f t="shared" si="414"/>
        <v>DIAGN</v>
      </c>
      <c r="D4942" s="2" t="str">
        <f t="shared" si="415"/>
        <v>LAPROD</v>
      </c>
      <c r="E4942" s="2" t="str">
        <f>"REL. DE FICHA DE CADASTRO DA AMOSTRA"</f>
        <v>REL. DE FICHA DE CADASTRO DA AMOSTRA</v>
      </c>
      <c r="F4942" s="2" t="str">
        <f>"R_FICHA_AMOSTRA.RDF"</f>
        <v>R_FICHA_AMOSTRA.RDF</v>
      </c>
      <c r="G4942" s="2" t="str">
        <f t="shared" ref="G4942:G4957" si="416">" ()"</f>
        <v xml:space="preserve"> ()</v>
      </c>
    </row>
    <row r="4943" spans="1:7" x14ac:dyDescent="0.3">
      <c r="A4943" s="1" t="s">
        <v>4</v>
      </c>
      <c r="B4943" s="2" t="str">
        <f t="shared" si="413"/>
        <v>LABORATORIO DE ANALISE DE PRODUTOS</v>
      </c>
      <c r="C4943" s="2" t="str">
        <f t="shared" si="414"/>
        <v>DIAGN</v>
      </c>
      <c r="D4943" s="2" t="str">
        <f t="shared" si="415"/>
        <v>LAPROD</v>
      </c>
      <c r="E4943" s="2" t="str">
        <f>"RELATÓRIO DE MOTIVOS DE CANCELAMENTO"</f>
        <v>RELATÓRIO DE MOTIVOS DE CANCELAMENTO</v>
      </c>
      <c r="F4943" s="2" t="str">
        <f>"R_MOTIVO_CANCELAMENTO.RDF"</f>
        <v>R_MOTIVO_CANCELAMENTO.RDF</v>
      </c>
      <c r="G4943" s="2" t="str">
        <f t="shared" si="416"/>
        <v xml:space="preserve"> ()</v>
      </c>
    </row>
    <row r="4944" spans="1:7" x14ac:dyDescent="0.3">
      <c r="A4944" s="1" t="s">
        <v>4</v>
      </c>
      <c r="B4944" s="2" t="str">
        <f t="shared" si="413"/>
        <v>LABORATORIO DE ANALISE DE PRODUTOS</v>
      </c>
      <c r="C4944" s="2" t="str">
        <f t="shared" si="414"/>
        <v>DIAGN</v>
      </c>
      <c r="D4944" s="2" t="str">
        <f t="shared" si="415"/>
        <v>LAPROD</v>
      </c>
      <c r="E4944" s="2" t="str">
        <f>"RELATÓRIO DE ADVERTÊNCIAS"</f>
        <v>RELATÓRIO DE ADVERTÊNCIAS</v>
      </c>
      <c r="F4944" s="2" t="str">
        <f>"R_ADVERTENCIA.RDF"</f>
        <v>R_ADVERTENCIA.RDF</v>
      </c>
      <c r="G4944" s="2" t="str">
        <f t="shared" si="416"/>
        <v xml:space="preserve"> ()</v>
      </c>
    </row>
    <row r="4945" spans="1:7" x14ac:dyDescent="0.3">
      <c r="A4945" s="1" t="s">
        <v>4</v>
      </c>
      <c r="B4945" s="2" t="str">
        <f t="shared" si="413"/>
        <v>LABORATORIO DE ANALISE DE PRODUTOS</v>
      </c>
      <c r="C4945" s="2" t="str">
        <f t="shared" si="414"/>
        <v>DIAGN</v>
      </c>
      <c r="D4945" s="2" t="str">
        <f t="shared" si="415"/>
        <v>LAPROD</v>
      </c>
      <c r="E4945" s="2" t="str">
        <f>"RELATÓRIO DE MOTIVOS DE EXIGÊNCIA"</f>
        <v>RELATÓRIO DE MOTIVOS DE EXIGÊNCIA</v>
      </c>
      <c r="F4945" s="2" t="str">
        <f>"R_MOTIVO_EXIGENCIA.RDF"</f>
        <v>R_MOTIVO_EXIGENCIA.RDF</v>
      </c>
      <c r="G4945" s="2" t="str">
        <f t="shared" si="416"/>
        <v xml:space="preserve"> ()</v>
      </c>
    </row>
    <row r="4946" spans="1:7" x14ac:dyDescent="0.3">
      <c r="A4946" s="1" t="s">
        <v>4</v>
      </c>
      <c r="B4946" s="2" t="str">
        <f t="shared" si="413"/>
        <v>LABORATORIO DE ANALISE DE PRODUTOS</v>
      </c>
      <c r="C4946" s="2" t="str">
        <f t="shared" si="414"/>
        <v>DIAGN</v>
      </c>
      <c r="D4946" s="2" t="str">
        <f t="shared" si="415"/>
        <v>LAPROD</v>
      </c>
      <c r="E4946" s="2" t="str">
        <f>"RELATÓRIO DE EMPRESAS"</f>
        <v>RELATÓRIO DE EMPRESAS</v>
      </c>
      <c r="F4946" s="2" t="str">
        <f>"R_EMPRESA.RDF"</f>
        <v>R_EMPRESA.RDF</v>
      </c>
      <c r="G4946" s="2" t="str">
        <f t="shared" si="416"/>
        <v xml:space="preserve"> ()</v>
      </c>
    </row>
    <row r="4947" spans="1:7" x14ac:dyDescent="0.3">
      <c r="A4947" s="1" t="s">
        <v>4</v>
      </c>
      <c r="B4947" s="2" t="str">
        <f t="shared" si="413"/>
        <v>LABORATORIO DE ANALISE DE PRODUTOS</v>
      </c>
      <c r="C4947" s="2" t="str">
        <f t="shared" si="414"/>
        <v>DIAGN</v>
      </c>
      <c r="D4947" s="2" t="str">
        <f t="shared" si="415"/>
        <v>LAPROD</v>
      </c>
      <c r="E4947" s="2" t="str">
        <f>"RELATÓRIO DE MARCAS DE PRODUTOS"</f>
        <v>RELATÓRIO DE MARCAS DE PRODUTOS</v>
      </c>
      <c r="F4947" s="2" t="str">
        <f>"R_MARCA_PRODUTO.RDF"</f>
        <v>R_MARCA_PRODUTO.RDF</v>
      </c>
      <c r="G4947" s="2" t="str">
        <f t="shared" si="416"/>
        <v xml:space="preserve"> ()</v>
      </c>
    </row>
    <row r="4948" spans="1:7" x14ac:dyDescent="0.3">
      <c r="A4948" s="1" t="s">
        <v>4</v>
      </c>
      <c r="B4948" s="2" t="str">
        <f t="shared" si="413"/>
        <v>LABORATORIO DE ANALISE DE PRODUTOS</v>
      </c>
      <c r="C4948" s="2" t="str">
        <f t="shared" si="414"/>
        <v>DIAGN</v>
      </c>
      <c r="D4948" s="2" t="str">
        <f t="shared" si="415"/>
        <v>LAPROD</v>
      </c>
      <c r="E4948" s="2" t="str">
        <f>"RELATÓRIO DE VIAS DE ADMINISTRAÇÃO"</f>
        <v>RELATÓRIO DE VIAS DE ADMINISTRAÇÃO</v>
      </c>
      <c r="F4948" s="2" t="str">
        <f>"R_VIA_ADMINISTRACAO.RDF"</f>
        <v>R_VIA_ADMINISTRACAO.RDF</v>
      </c>
      <c r="G4948" s="2" t="str">
        <f t="shared" si="416"/>
        <v xml:space="preserve"> ()</v>
      </c>
    </row>
    <row r="4949" spans="1:7" x14ac:dyDescent="0.3">
      <c r="A4949" s="1" t="s">
        <v>4</v>
      </c>
      <c r="B4949" s="2" t="str">
        <f t="shared" si="413"/>
        <v>LABORATORIO DE ANALISE DE PRODUTOS</v>
      </c>
      <c r="C4949" s="2" t="str">
        <f t="shared" si="414"/>
        <v>DIAGN</v>
      </c>
      <c r="D4949" s="2" t="str">
        <f t="shared" si="415"/>
        <v>LAPROD</v>
      </c>
      <c r="E4949" s="2" t="str">
        <f>"RELATÓRIO DE MENSAGENS PADRÕES"</f>
        <v>RELATÓRIO DE MENSAGENS PADRÕES</v>
      </c>
      <c r="F4949" s="2" t="str">
        <f>"R_MENSAGEM_PADRAO.RDF"</f>
        <v>R_MENSAGEM_PADRAO.RDF</v>
      </c>
      <c r="G4949" s="2" t="str">
        <f t="shared" si="416"/>
        <v xml:space="preserve"> ()</v>
      </c>
    </row>
    <row r="4950" spans="1:7" x14ac:dyDescent="0.3">
      <c r="A4950" s="1" t="s">
        <v>4</v>
      </c>
      <c r="B4950" s="2" t="str">
        <f t="shared" si="413"/>
        <v>LABORATORIO DE ANALISE DE PRODUTOS</v>
      </c>
      <c r="C4950" s="2" t="str">
        <f t="shared" si="414"/>
        <v>DIAGN</v>
      </c>
      <c r="D4950" s="2" t="str">
        <f t="shared" si="415"/>
        <v>LAPROD</v>
      </c>
      <c r="E4950" s="2" t="str">
        <f>"RELATÓRIO DE FORMAS FARMACÊUTICAS"</f>
        <v>RELATÓRIO DE FORMAS FARMACÊUTICAS</v>
      </c>
      <c r="F4950" s="2" t="str">
        <f>"R_FORMA_FARMACEUTICA.RDF"</f>
        <v>R_FORMA_FARMACEUTICA.RDF</v>
      </c>
      <c r="G4950" s="2" t="str">
        <f t="shared" si="416"/>
        <v xml:space="preserve"> ()</v>
      </c>
    </row>
    <row r="4951" spans="1:7" x14ac:dyDescent="0.3">
      <c r="A4951" s="1" t="s">
        <v>4</v>
      </c>
      <c r="B4951" s="2" t="str">
        <f t="shared" si="413"/>
        <v>LABORATORIO DE ANALISE DE PRODUTOS</v>
      </c>
      <c r="C4951" s="2" t="str">
        <f t="shared" si="414"/>
        <v>DIAGN</v>
      </c>
      <c r="D4951" s="2" t="str">
        <f t="shared" si="415"/>
        <v>LAPROD</v>
      </c>
      <c r="E4951" s="2" t="str">
        <f>"RELATÓRIO DE RESULTADOS PADRÕES"</f>
        <v>RELATÓRIO DE RESULTADOS PADRÕES</v>
      </c>
      <c r="F4951" s="2" t="str">
        <f>"R_RESULTADO_PADRAO.RDF"</f>
        <v>R_RESULTADO_PADRAO.RDF</v>
      </c>
      <c r="G4951" s="2" t="str">
        <f t="shared" si="416"/>
        <v xml:space="preserve"> ()</v>
      </c>
    </row>
    <row r="4952" spans="1:7" x14ac:dyDescent="0.3">
      <c r="A4952" s="1" t="s">
        <v>4</v>
      </c>
      <c r="B4952" s="2" t="str">
        <f t="shared" si="413"/>
        <v>LABORATORIO DE ANALISE DE PRODUTOS</v>
      </c>
      <c r="C4952" s="2" t="str">
        <f t="shared" si="414"/>
        <v>DIAGN</v>
      </c>
      <c r="D4952" s="2" t="str">
        <f t="shared" si="415"/>
        <v>LAPROD</v>
      </c>
      <c r="E4952" s="2" t="str">
        <f>"RELATÓRIO DE REFERÊNCIAS"</f>
        <v>RELATÓRIO DE REFERÊNCIAS</v>
      </c>
      <c r="F4952" s="2" t="str">
        <f>"R_REFERENCIA.RDF"</f>
        <v>R_REFERENCIA.RDF</v>
      </c>
      <c r="G4952" s="2" t="str">
        <f t="shared" si="416"/>
        <v xml:space="preserve"> ()</v>
      </c>
    </row>
    <row r="4953" spans="1:7" x14ac:dyDescent="0.3">
      <c r="A4953" s="1" t="s">
        <v>4</v>
      </c>
      <c r="B4953" s="2" t="str">
        <f t="shared" si="413"/>
        <v>LABORATORIO DE ANALISE DE PRODUTOS</v>
      </c>
      <c r="C4953" s="2" t="str">
        <f t="shared" si="414"/>
        <v>DIAGN</v>
      </c>
      <c r="D4953" s="2" t="str">
        <f t="shared" si="415"/>
        <v>LAPROD</v>
      </c>
      <c r="E4953" s="2" t="str">
        <f>"RELATÓRIO DE ENSAIOS"</f>
        <v>RELATÓRIO DE ENSAIOS</v>
      </c>
      <c r="F4953" s="2" t="str">
        <f>"R_ENSAIO.RDF"</f>
        <v>R_ENSAIO.RDF</v>
      </c>
      <c r="G4953" s="2" t="str">
        <f t="shared" si="416"/>
        <v xml:space="preserve"> ()</v>
      </c>
    </row>
    <row r="4954" spans="1:7" x14ac:dyDescent="0.3">
      <c r="A4954" s="1" t="s">
        <v>4</v>
      </c>
      <c r="B4954" s="2" t="str">
        <f t="shared" si="413"/>
        <v>LABORATORIO DE ANALISE DE PRODUTOS</v>
      </c>
      <c r="C4954" s="2" t="str">
        <f t="shared" si="414"/>
        <v>DIAGN</v>
      </c>
      <c r="D4954" s="2" t="str">
        <f t="shared" si="415"/>
        <v>LAPROD</v>
      </c>
      <c r="E4954" s="2" t="str">
        <f>"CADASTRO DOS PROGRAMAS DE ANÁLISE"</f>
        <v>CADASTRO DOS PROGRAMAS DE ANÁLISE</v>
      </c>
      <c r="F4954" s="2" t="str">
        <f>"R_PROGRAMA.RDF"</f>
        <v>R_PROGRAMA.RDF</v>
      </c>
      <c r="G4954" s="2" t="str">
        <f t="shared" si="416"/>
        <v xml:space="preserve"> ()</v>
      </c>
    </row>
    <row r="4955" spans="1:7" x14ac:dyDescent="0.3">
      <c r="A4955" s="1" t="s">
        <v>4</v>
      </c>
      <c r="B4955" s="2" t="str">
        <f t="shared" si="413"/>
        <v>LABORATORIO DE ANALISE DE PRODUTOS</v>
      </c>
      <c r="C4955" s="2" t="str">
        <f t="shared" si="414"/>
        <v>DIAGN</v>
      </c>
      <c r="D4955" s="2" t="str">
        <f t="shared" si="415"/>
        <v>LAPROD</v>
      </c>
      <c r="E4955" s="2" t="str">
        <f>"RELATÓRIO DE MODALIDADES DE ANÁLISES"</f>
        <v>RELATÓRIO DE MODALIDADES DE ANÁLISES</v>
      </c>
      <c r="F4955" s="2" t="str">
        <f>"R_MODALIDADE.RDF"</f>
        <v>R_MODALIDADE.RDF</v>
      </c>
      <c r="G4955" s="2" t="str">
        <f t="shared" si="416"/>
        <v xml:space="preserve"> ()</v>
      </c>
    </row>
    <row r="4956" spans="1:7" x14ac:dyDescent="0.3">
      <c r="A4956" s="1" t="s">
        <v>4</v>
      </c>
      <c r="B4956" s="2" t="str">
        <f t="shared" si="413"/>
        <v>LABORATORIO DE ANALISE DE PRODUTOS</v>
      </c>
      <c r="C4956" s="2" t="str">
        <f t="shared" si="414"/>
        <v>DIAGN</v>
      </c>
      <c r="D4956" s="2" t="str">
        <f t="shared" si="415"/>
        <v>LAPROD</v>
      </c>
      <c r="E4956" s="2" t="str">
        <f>"RELATÓRIO DE UNIDADES ANALÍTICAS"</f>
        <v>RELATÓRIO DE UNIDADES ANALÍTICAS</v>
      </c>
      <c r="F4956" s="2" t="str">
        <f>"R_UNIDADE_ANALITICA.RDF"</f>
        <v>R_UNIDADE_ANALITICA.RDF</v>
      </c>
      <c r="G4956" s="2" t="str">
        <f t="shared" si="416"/>
        <v xml:space="preserve"> ()</v>
      </c>
    </row>
    <row r="4957" spans="1:7" x14ac:dyDescent="0.3">
      <c r="A4957" s="1" t="s">
        <v>4</v>
      </c>
      <c r="B4957" s="2" t="str">
        <f t="shared" si="413"/>
        <v>LABORATORIO DE ANALISE DE PRODUTOS</v>
      </c>
      <c r="C4957" s="2" t="str">
        <f t="shared" si="414"/>
        <v>DIAGN</v>
      </c>
      <c r="D4957" s="2" t="str">
        <f t="shared" si="415"/>
        <v>LAPROD</v>
      </c>
      <c r="E4957" s="2" t="str">
        <f>"REL ESTATÍSTICO DE ENSAIOS POR SITUAÇÃO"</f>
        <v>REL ESTATÍSTICO DE ENSAIOS POR SITUAÇÃO</v>
      </c>
      <c r="F4957" s="2" t="str">
        <f>"R_EST_ENSAIO_SITUACAO.RDF"</f>
        <v>R_EST_ENSAIO_SITUACAO.RDF</v>
      </c>
      <c r="G4957" s="2" t="str">
        <f t="shared" si="416"/>
        <v xml:space="preserve"> ()</v>
      </c>
    </row>
    <row r="4958" spans="1:7" x14ac:dyDescent="0.3">
      <c r="A4958" s="1" t="s">
        <v>4</v>
      </c>
      <c r="B4958" s="2" t="str">
        <f t="shared" si="413"/>
        <v>LABORATORIO DE ANALISE DE PRODUTOS</v>
      </c>
      <c r="C4958" s="2" t="str">
        <f t="shared" si="414"/>
        <v>DIAGN</v>
      </c>
      <c r="D4958" s="2" t="str">
        <f t="shared" si="415"/>
        <v>LAPROD</v>
      </c>
      <c r="E4958" s="2" t="str">
        <f>"REL ESTATÍSTICO DE AMOSTRA POR SITUAÇÃO"</f>
        <v>REL ESTATÍSTICO DE AMOSTRA POR SITUAÇÃO</v>
      </c>
      <c r="F4958" s="2" t="str">
        <f>"R_EST_AMOSTRA_SITUACAO.RDF"</f>
        <v>R_EST_AMOSTRA_SITUACAO.RDF</v>
      </c>
      <c r="G4958" s="2" t="str">
        <f>"Serviços de Apoio / Laprod / Relatórios / Estatísticos / Amostra por Situação (R_EST_AMOSTRA_SITUACAO.RDF)"</f>
        <v>Serviços de Apoio / Laprod / Relatórios / Estatísticos / Amostra por Situação (R_EST_AMOSTRA_SITUACAO.RDF)</v>
      </c>
    </row>
    <row r="4959" spans="1:7" x14ac:dyDescent="0.3">
      <c r="A4959" s="1" t="s">
        <v>4</v>
      </c>
      <c r="B4959" s="2" t="str">
        <f t="shared" si="413"/>
        <v>LABORATORIO DE ANALISE DE PRODUTOS</v>
      </c>
      <c r="C4959" s="2" t="str">
        <f t="shared" si="414"/>
        <v>DIAGN</v>
      </c>
      <c r="D4959" s="2" t="str">
        <f t="shared" si="415"/>
        <v>LAPROD</v>
      </c>
      <c r="E4959" s="2" t="str">
        <f>"M_CADASTRO_AMOSTRA"</f>
        <v>M_CADASTRO_AMOSTRA</v>
      </c>
      <c r="F4959" s="2" t="str">
        <f>"M_CADASTRO_AMOSTRA"</f>
        <v>M_CADASTRO_AMOSTRA</v>
      </c>
      <c r="G4959" s="2" t="str">
        <f>"Serviços de Apoio / Laprod / Amostras / Registro de Amostras (M_CADASTRO_AMOSTRA)"</f>
        <v>Serviços de Apoio / Laprod / Amostras / Registro de Amostras (M_CADASTRO_AMOSTRA)</v>
      </c>
    </row>
    <row r="4960" spans="1:7" x14ac:dyDescent="0.3">
      <c r="A4960" s="1" t="s">
        <v>4</v>
      </c>
      <c r="B4960" s="2" t="str">
        <f t="shared" si="413"/>
        <v>LABORATORIO DE ANALISE DE PRODUTOS</v>
      </c>
      <c r="C4960" s="2" t="str">
        <f t="shared" si="414"/>
        <v>DIAGN</v>
      </c>
      <c r="D4960" s="2" t="str">
        <f t="shared" si="415"/>
        <v>LAPROD</v>
      </c>
      <c r="E4960" s="2" t="str">
        <f>"CADASTRO DE PERFIL DE USUÁRIOS"</f>
        <v>CADASTRO DE PERFIL DE USUÁRIOS</v>
      </c>
      <c r="F4960" s="2" t="str">
        <f>"M_CONTROLE_ACESSO"</f>
        <v>M_CONTROLE_ACESSO</v>
      </c>
      <c r="G4960" s="2" t="str">
        <f>" ()"</f>
        <v xml:space="preserve"> ()</v>
      </c>
    </row>
    <row r="4961" spans="1:7" x14ac:dyDescent="0.3">
      <c r="A4961" s="1" t="s">
        <v>4</v>
      </c>
      <c r="B4961" s="2" t="str">
        <f t="shared" si="413"/>
        <v>LABORATORIO DE ANALISE DE PRODUTOS</v>
      </c>
      <c r="C4961" s="2" t="str">
        <f t="shared" si="414"/>
        <v>DIAGN</v>
      </c>
      <c r="D4961" s="2" t="str">
        <f t="shared" si="415"/>
        <v>LAPROD</v>
      </c>
      <c r="E4961" s="2" t="str">
        <f>"CADASTRO : UNIDADES ANALÍTICAS"</f>
        <v>CADASTRO : UNIDADES ANALÍTICAS</v>
      </c>
      <c r="F4961" s="2" t="str">
        <f>"M_UNIDADE_ANALITICA"</f>
        <v>M_UNIDADE_ANALITICA</v>
      </c>
      <c r="G4961" s="2" t="str">
        <f>"Serviços de Apoio / Laprod / Tabelas / Unidades de Analítica (M_UNIDADE_ANALITICA)"</f>
        <v>Serviços de Apoio / Laprod / Tabelas / Unidades de Analítica (M_UNIDADE_ANALITICA)</v>
      </c>
    </row>
    <row r="4962" spans="1:7" x14ac:dyDescent="0.3">
      <c r="A4962" s="1" t="s">
        <v>4</v>
      </c>
      <c r="B4962" s="2" t="str">
        <f t="shared" si="413"/>
        <v>LABORATORIO DE ANALISE DE PRODUTOS</v>
      </c>
      <c r="C4962" s="2" t="str">
        <f t="shared" si="414"/>
        <v>DIAGN</v>
      </c>
      <c r="D4962" s="2" t="str">
        <f t="shared" si="415"/>
        <v>LAPROD</v>
      </c>
      <c r="E4962" s="2" t="str">
        <f>"M_USUARIOS_UNIDADE_ANALITICA"</f>
        <v>M_USUARIOS_UNIDADE_ANALITICA</v>
      </c>
      <c r="F4962" s="2" t="str">
        <f>"M_USUARIOS_UNIDADE_ANALITICA"</f>
        <v>M_USUARIOS_UNIDADE_ANALITICA</v>
      </c>
      <c r="G4962" s="2" t="str">
        <f>"Serviços de Apoio / Laprod / Configurações / Usuários x Unid. Analítica (M_USUARIOS_UNIDADE_ANALITICA)"</f>
        <v>Serviços de Apoio / Laprod / Configurações / Usuários x Unid. Analítica (M_USUARIOS_UNIDADE_ANALITICA)</v>
      </c>
    </row>
    <row r="4963" spans="1:7" x14ac:dyDescent="0.3">
      <c r="A4963" s="1" t="s">
        <v>4</v>
      </c>
      <c r="B4963" s="2" t="str">
        <f t="shared" si="413"/>
        <v>LABORATORIO DE ANALISE DE PRODUTOS</v>
      </c>
      <c r="C4963" s="2" t="str">
        <f t="shared" si="414"/>
        <v>DIAGN</v>
      </c>
      <c r="D4963" s="2" t="str">
        <f t="shared" si="415"/>
        <v>LAPROD</v>
      </c>
      <c r="E4963" s="2" t="str">
        <f>"AMOSTRAS: CONTROLE DE ENSAIOS"</f>
        <v>AMOSTRAS: CONTROLE DE ENSAIOS</v>
      </c>
      <c r="F4963" s="2" t="str">
        <f>"M_CONTROLE_ENSAIO"</f>
        <v>M_CONTROLE_ENSAIO</v>
      </c>
      <c r="G4963" s="2" t="str">
        <f>"Serviços de Apoio / Laprod / Amostras / Controle de Ensaios (M_CONTROLE_ENSAIO)"</f>
        <v>Serviços de Apoio / Laprod / Amostras / Controle de Ensaios (M_CONTROLE_ENSAIO)</v>
      </c>
    </row>
    <row r="4964" spans="1:7" x14ac:dyDescent="0.3">
      <c r="A4964" s="1" t="s">
        <v>4</v>
      </c>
      <c r="B4964" s="2" t="str">
        <f t="shared" si="413"/>
        <v>LABORATORIO DE ANALISE DE PRODUTOS</v>
      </c>
      <c r="C4964" s="2" t="str">
        <f t="shared" si="414"/>
        <v>DIAGN</v>
      </c>
      <c r="D4964" s="2" t="str">
        <f t="shared" si="415"/>
        <v>LAPROD</v>
      </c>
      <c r="E4964" s="2" t="str">
        <f>"CADASTRO : PROGRAMAS DE ANÁLISE"</f>
        <v>CADASTRO : PROGRAMAS DE ANÁLISE</v>
      </c>
      <c r="F4964" s="2" t="str">
        <f>"M_PROGRAMA"</f>
        <v>M_PROGRAMA</v>
      </c>
      <c r="G4964" s="2" t="str">
        <f>"Serviços de Apoio / Laprod / Tabelas / Programas de Análise (M_PROGRAMA)"</f>
        <v>Serviços de Apoio / Laprod / Tabelas / Programas de Análise (M_PROGRAMA)</v>
      </c>
    </row>
    <row r="4965" spans="1:7" x14ac:dyDescent="0.3">
      <c r="A4965" s="1" t="s">
        <v>4</v>
      </c>
      <c r="B4965" s="2" t="str">
        <f t="shared" si="413"/>
        <v>LABORATORIO DE ANALISE DE PRODUTOS</v>
      </c>
      <c r="C4965" s="2" t="str">
        <f t="shared" si="414"/>
        <v>DIAGN</v>
      </c>
      <c r="D4965" s="2" t="str">
        <f t="shared" si="415"/>
        <v>LAPROD</v>
      </c>
      <c r="E4965" s="2" t="str">
        <f>"M_RESTAURA_AMOSTRA"</f>
        <v>M_RESTAURA_AMOSTRA</v>
      </c>
      <c r="F4965" s="2" t="str">
        <f>"M_RESTAURA_AMOSTRA"</f>
        <v>M_RESTAURA_AMOSTRA</v>
      </c>
      <c r="G4965" s="2" t="str">
        <f>"Serviços de Apoio / Laprod / Amostras / Restaurar Cancelamento (M_RESTAURA_AMOSTRA)"</f>
        <v>Serviços de Apoio / Laprod / Amostras / Restaurar Cancelamento (M_RESTAURA_AMOSTRA)</v>
      </c>
    </row>
    <row r="4966" spans="1:7" x14ac:dyDescent="0.3">
      <c r="A4966" s="1" t="s">
        <v>4</v>
      </c>
      <c r="B4966" s="2" t="str">
        <f t="shared" si="413"/>
        <v>LABORATORIO DE ANALISE DE PRODUTOS</v>
      </c>
      <c r="C4966" s="2" t="str">
        <f t="shared" si="414"/>
        <v>DIAGN</v>
      </c>
      <c r="D4966" s="2" t="str">
        <f t="shared" si="415"/>
        <v>LAPROD</v>
      </c>
      <c r="E4966" s="2" t="str">
        <f>"AMOSTRAS POR SITUAÇÃO"</f>
        <v>AMOSTRAS POR SITUAÇÃO</v>
      </c>
      <c r="F4966" s="2" t="str">
        <f>"R_AMOSTRA_SITUACAO.RDF"</f>
        <v>R_AMOSTRA_SITUACAO.RDF</v>
      </c>
      <c r="G4966" s="2" t="str">
        <f t="shared" ref="G4966:G5029" si="417">" ()"</f>
        <v xml:space="preserve"> ()</v>
      </c>
    </row>
    <row r="4967" spans="1:7" x14ac:dyDescent="0.3">
      <c r="A4967" s="1" t="s">
        <v>4</v>
      </c>
      <c r="B4967" s="2" t="str">
        <f t="shared" si="413"/>
        <v>LABORATORIO DE ANALISE DE PRODUTOS</v>
      </c>
      <c r="C4967" s="2" t="str">
        <f t="shared" si="414"/>
        <v>DIAGN</v>
      </c>
      <c r="D4967" s="2" t="str">
        <f t="shared" si="415"/>
        <v>LAPROD</v>
      </c>
      <c r="E4967" s="2" t="str">
        <f>"RELATÓRIO DE LAUDO PARCIAL"</f>
        <v>RELATÓRIO DE LAUDO PARCIAL</v>
      </c>
      <c r="F4967" s="2" t="str">
        <f>"R_LAUDO_ANALISE.RDF"</f>
        <v>R_LAUDO_ANALISE.RDF</v>
      </c>
      <c r="G4967" s="2" t="str">
        <f t="shared" si="417"/>
        <v xml:space="preserve"> ()</v>
      </c>
    </row>
    <row r="4968" spans="1:7" x14ac:dyDescent="0.3">
      <c r="A4968" s="1" t="s">
        <v>4</v>
      </c>
      <c r="B4968" s="2" t="str">
        <f t="shared" si="413"/>
        <v>LABORATORIO DE ANALISE DE PRODUTOS</v>
      </c>
      <c r="C4968" s="2" t="str">
        <f t="shared" si="414"/>
        <v>DIAGN</v>
      </c>
      <c r="D4968" s="2" t="str">
        <f t="shared" si="415"/>
        <v>LAPROD</v>
      </c>
      <c r="E4968" s="2" t="str">
        <f>"RELATÓRIO DE BOLETIM DE ANÁLISE"</f>
        <v>RELATÓRIO DE BOLETIM DE ANÁLISE</v>
      </c>
      <c r="F4968" s="2" t="str">
        <f>"R_BOLETIM_ANALISE.RDF"</f>
        <v>R_BOLETIM_ANALISE.RDF</v>
      </c>
      <c r="G4968" s="2" t="str">
        <f t="shared" si="417"/>
        <v xml:space="preserve"> ()</v>
      </c>
    </row>
    <row r="4969" spans="1:7" x14ac:dyDescent="0.3">
      <c r="A4969" s="1" t="s">
        <v>4</v>
      </c>
      <c r="B4969" s="2" t="str">
        <f t="shared" ref="B4969:B5032" si="418">"SISTEMA PARA MODULOS FORA DO PADRAO"</f>
        <v>SISTEMA PARA MODULOS FORA DO PADRAO</v>
      </c>
      <c r="C4969" s="2" t="str">
        <f>""</f>
        <v/>
      </c>
      <c r="D4969" s="2" t="str">
        <f t="shared" ref="D4969:D5032" si="419">"LGDPEP"</f>
        <v>LGDPEP</v>
      </c>
      <c r="E4969" s="2" t="str">
        <f>"APRAZAMENTO"</f>
        <v>APRAZAMENTO</v>
      </c>
      <c r="F4969" s="2" t="str">
        <f>"MVPEP_APRAZAMENTO"</f>
        <v>MVPEP_APRAZAMENTO</v>
      </c>
      <c r="G4969" s="2" t="str">
        <f t="shared" si="417"/>
        <v xml:space="preserve"> ()</v>
      </c>
    </row>
    <row r="4970" spans="1:7" x14ac:dyDescent="0.3">
      <c r="A4970" s="1" t="s">
        <v>4</v>
      </c>
      <c r="B4970" s="2" t="str">
        <f t="shared" si="418"/>
        <v>SISTEMA PARA MODULOS FORA DO PADRAO</v>
      </c>
      <c r="C4970" s="2" t="str">
        <f>""</f>
        <v/>
      </c>
      <c r="D4970" s="2" t="str">
        <f t="shared" si="419"/>
        <v>LGDPEP</v>
      </c>
      <c r="E4970" s="2" t="str">
        <f>"CONFIG_SEGMENTOS_ASSINATURA"</f>
        <v>CONFIG_SEGMENTOS_ASSINATURA</v>
      </c>
      <c r="F4970" s="2" t="str">
        <f>"CONFIG_SEGMENTOS_ASSINATURA"</f>
        <v>CONFIG_SEGMENTOS_ASSINATURA</v>
      </c>
      <c r="G4970" s="2" t="str">
        <f t="shared" si="417"/>
        <v xml:space="preserve"> ()</v>
      </c>
    </row>
    <row r="4971" spans="1:7" x14ac:dyDescent="0.3">
      <c r="A4971" s="1" t="s">
        <v>4</v>
      </c>
      <c r="B4971" s="2" t="str">
        <f t="shared" si="418"/>
        <v>SISTEMA PARA MODULOS FORA DO PADRAO</v>
      </c>
      <c r="C4971" s="2" t="str">
        <f>""</f>
        <v/>
      </c>
      <c r="D4971" s="2" t="str">
        <f t="shared" si="419"/>
        <v>LGDPEP</v>
      </c>
      <c r="E4971" s="2" t="str">
        <f>"Relatório de Receituário MVPEP"</f>
        <v>Relatório de Receituário MVPEP</v>
      </c>
      <c r="F4971" s="2" t="str">
        <f>"R_PREMED_RECEITA"</f>
        <v>R_PREMED_RECEITA</v>
      </c>
      <c r="G4971" s="2" t="str">
        <f t="shared" si="417"/>
        <v xml:space="preserve"> ()</v>
      </c>
    </row>
    <row r="4972" spans="1:7" x14ac:dyDescent="0.3">
      <c r="A4972" s="1" t="s">
        <v>4</v>
      </c>
      <c r="B4972" s="2" t="str">
        <f t="shared" si="418"/>
        <v>SISTEMA PARA MODULOS FORA DO PADRAO</v>
      </c>
      <c r="C4972" s="2" t="str">
        <f>""</f>
        <v/>
      </c>
      <c r="D4972" s="2" t="str">
        <f t="shared" si="419"/>
        <v>LGDPEP</v>
      </c>
      <c r="E4972" s="2" t="str">
        <f>"MVPEP_TESTE_NEUROCLINICA"</f>
        <v>MVPEP_TESTE_NEUROCLINICA</v>
      </c>
      <c r="F4972" s="2" t="str">
        <f>"TESTE_NEUROCLINICA"</f>
        <v>TESTE_NEUROCLINICA</v>
      </c>
      <c r="G4972" s="2" t="str">
        <f t="shared" si="417"/>
        <v xml:space="preserve"> ()</v>
      </c>
    </row>
    <row r="4973" spans="1:7" x14ac:dyDescent="0.3">
      <c r="A4973" s="1" t="s">
        <v>4</v>
      </c>
      <c r="B4973" s="2" t="str">
        <f t="shared" si="418"/>
        <v>SISTEMA PARA MODULOS FORA DO PADRAO</v>
      </c>
      <c r="C4973" s="2" t="str">
        <f>""</f>
        <v/>
      </c>
      <c r="D4973" s="2" t="str">
        <f t="shared" si="419"/>
        <v>LGDPEP</v>
      </c>
      <c r="E4973" s="2" t="str">
        <f>"MVPEP_TESTE_NEUROCIRURGIA"</f>
        <v>MVPEP_TESTE_NEUROCIRURGIA</v>
      </c>
      <c r="F4973" s="2" t="str">
        <f>"TESTE_NEURO"</f>
        <v>TESTE_NEURO</v>
      </c>
      <c r="G4973" s="2" t="str">
        <f t="shared" si="417"/>
        <v xml:space="preserve"> ()</v>
      </c>
    </row>
    <row r="4974" spans="1:7" x14ac:dyDescent="0.3">
      <c r="A4974" s="1" t="s">
        <v>4</v>
      </c>
      <c r="B4974" s="2" t="str">
        <f t="shared" si="418"/>
        <v>SISTEMA PARA MODULOS FORA DO PADRAO</v>
      </c>
      <c r="C4974" s="2" t="str">
        <f>""</f>
        <v/>
      </c>
      <c r="D4974" s="2" t="str">
        <f t="shared" si="419"/>
        <v>LGDPEP</v>
      </c>
      <c r="E4974" s="2" t="str">
        <f>"FECHAMENTO PLANTÃO"</f>
        <v>FECHAMENTO PLANTÃO</v>
      </c>
      <c r="F4974" s="2" t="str">
        <f>"MVPEP_TEMA_FECHAMENTO_PLANTAO"</f>
        <v>MVPEP_TEMA_FECHAMENTO_PLANTAO</v>
      </c>
      <c r="G4974" s="2" t="str">
        <f t="shared" si="417"/>
        <v xml:space="preserve"> ()</v>
      </c>
    </row>
    <row r="4975" spans="1:7" x14ac:dyDescent="0.3">
      <c r="A4975" s="1" t="s">
        <v>4</v>
      </c>
      <c r="B4975" s="2" t="str">
        <f t="shared" si="418"/>
        <v>SISTEMA PARA MODULOS FORA DO PADRAO</v>
      </c>
      <c r="C4975" s="2" t="str">
        <f>""</f>
        <v/>
      </c>
      <c r="D4975" s="2" t="str">
        <f t="shared" si="419"/>
        <v>LGDPEP</v>
      </c>
      <c r="E4975" s="2" t="str">
        <f>"SOLICITAÇÃO INTERNACAO TEMA"</f>
        <v>SOLICITAÇÃO INTERNACAO TEMA</v>
      </c>
      <c r="F4975" s="2" t="str">
        <f>"MVPEP_APP_SOLICITACAO_INTERNACAO"</f>
        <v>MVPEP_APP_SOLICITACAO_INTERNACAO</v>
      </c>
      <c r="G4975" s="2" t="str">
        <f t="shared" si="417"/>
        <v xml:space="preserve"> ()</v>
      </c>
    </row>
    <row r="4976" spans="1:7" x14ac:dyDescent="0.3">
      <c r="A4976" s="1" t="s">
        <v>4</v>
      </c>
      <c r="B4976" s="2" t="str">
        <f t="shared" si="418"/>
        <v>SISTEMA PARA MODULOS FORA DO PADRAO</v>
      </c>
      <c r="C4976" s="2" t="str">
        <f>""</f>
        <v/>
      </c>
      <c r="D4976" s="2" t="str">
        <f t="shared" si="419"/>
        <v>LGDPEP</v>
      </c>
      <c r="E4976" s="2" t="str">
        <f>"EVOLUÇÃO TEMA MEDICO"</f>
        <v>EVOLUÇÃO TEMA MEDICO</v>
      </c>
      <c r="F4976" s="2" t="str">
        <f>"MVPEP_APP_EVOLUCAO_MEDICA"</f>
        <v>MVPEP_APP_EVOLUCAO_MEDICA</v>
      </c>
      <c r="G4976" s="2" t="str">
        <f t="shared" si="417"/>
        <v xml:space="preserve"> ()</v>
      </c>
    </row>
    <row r="4977" spans="1:7" x14ac:dyDescent="0.3">
      <c r="A4977" s="1" t="s">
        <v>4</v>
      </c>
      <c r="B4977" s="2" t="str">
        <f t="shared" si="418"/>
        <v>SISTEMA PARA MODULOS FORA DO PADRAO</v>
      </c>
      <c r="C4977" s="2" t="str">
        <f>""</f>
        <v/>
      </c>
      <c r="D4977" s="2" t="str">
        <f t="shared" si="419"/>
        <v>LGDPEP</v>
      </c>
      <c r="E4977" s="2" t="str">
        <f>"ANOTAÇÃO DE ENFERMAGEM APP"</f>
        <v>ANOTAÇÃO DE ENFERMAGEM APP</v>
      </c>
      <c r="F4977" s="2" t="str">
        <f>"MVPEP_APP_ANOTACAO_ENFERMAGEM"</f>
        <v>MVPEP_APP_ANOTACAO_ENFERMAGEM</v>
      </c>
      <c r="G4977" s="2" t="str">
        <f t="shared" si="417"/>
        <v xml:space="preserve"> ()</v>
      </c>
    </row>
    <row r="4978" spans="1:7" x14ac:dyDescent="0.3">
      <c r="A4978" s="1" t="s">
        <v>4</v>
      </c>
      <c r="B4978" s="2" t="str">
        <f t="shared" si="418"/>
        <v>SISTEMA PARA MODULOS FORA DO PADRAO</v>
      </c>
      <c r="C4978" s="2" t="str">
        <f>""</f>
        <v/>
      </c>
      <c r="D4978" s="2" t="str">
        <f t="shared" si="419"/>
        <v>LGDPEP</v>
      </c>
      <c r="E4978" s="2" t="str">
        <f>"FECHAMENTO PLANTÃO"</f>
        <v>FECHAMENTO PLANTÃO</v>
      </c>
      <c r="F4978" s="2" t="str">
        <f>"MVPEP_FECHAMENTO_PLANTAO"</f>
        <v>MVPEP_FECHAMENTO_PLANTAO</v>
      </c>
      <c r="G4978" s="2" t="str">
        <f t="shared" si="417"/>
        <v xml:space="preserve"> ()</v>
      </c>
    </row>
    <row r="4979" spans="1:7" x14ac:dyDescent="0.3">
      <c r="A4979" s="1" t="s">
        <v>4</v>
      </c>
      <c r="B4979" s="2" t="str">
        <f t="shared" si="418"/>
        <v>SISTEMA PARA MODULOS FORA DO PADRAO</v>
      </c>
      <c r="C4979" s="2" t="str">
        <f>""</f>
        <v/>
      </c>
      <c r="D4979" s="2" t="str">
        <f t="shared" si="419"/>
        <v>LGDPEP</v>
      </c>
      <c r="E4979" s="2" t="str">
        <f>"REGISTRO DE MEDICAMENTO EM USO"</f>
        <v>REGISTRO DE MEDICAMENTO EM USO</v>
      </c>
      <c r="F4979" s="2" t="str">
        <f>"MVPEP_MEDIAMENTO_USO"</f>
        <v>MVPEP_MEDIAMENTO_USO</v>
      </c>
      <c r="G4979" s="2" t="str">
        <f t="shared" si="417"/>
        <v xml:space="preserve"> ()</v>
      </c>
    </row>
    <row r="4980" spans="1:7" x14ac:dyDescent="0.3">
      <c r="A4980" s="1" t="s">
        <v>4</v>
      </c>
      <c r="B4980" s="2" t="str">
        <f t="shared" si="418"/>
        <v>SISTEMA PARA MODULOS FORA DO PADRAO</v>
      </c>
      <c r="C4980" s="2" t="str">
        <f>""</f>
        <v/>
      </c>
      <c r="D4980" s="2" t="str">
        <f t="shared" si="419"/>
        <v>LGDPEP</v>
      </c>
      <c r="E4980" s="2" t="str">
        <f>"PAINEL ABORDAGEM - SACR"</f>
        <v>PAINEL ABORDAGEM - SACR</v>
      </c>
      <c r="F4980" s="2" t="str">
        <f>"MVSACR_PAINELABORDAGEM"</f>
        <v>MVSACR_PAINELABORDAGEM</v>
      </c>
      <c r="G4980" s="2" t="str">
        <f t="shared" si="417"/>
        <v xml:space="preserve"> ()</v>
      </c>
    </row>
    <row r="4981" spans="1:7" x14ac:dyDescent="0.3">
      <c r="A4981" s="1" t="s">
        <v>4</v>
      </c>
      <c r="B4981" s="2" t="str">
        <f t="shared" si="418"/>
        <v>SISTEMA PARA MODULOS FORA DO PADRAO</v>
      </c>
      <c r="C4981" s="2" t="str">
        <f>""</f>
        <v/>
      </c>
      <c r="D4981" s="2" t="str">
        <f t="shared" si="419"/>
        <v>LGDPEP</v>
      </c>
      <c r="E4981" s="2" t="str">
        <f>"TERMO CONSENTIMENTO"</f>
        <v>TERMO CONSENTIMENTO</v>
      </c>
      <c r="F4981" s="2" t="str">
        <f>"MVPEP_TERMOCONSENTIMENTO"</f>
        <v>MVPEP_TERMOCONSENTIMENTO</v>
      </c>
      <c r="G4981" s="2" t="str">
        <f t="shared" si="417"/>
        <v xml:space="preserve"> ()</v>
      </c>
    </row>
    <row r="4982" spans="1:7" x14ac:dyDescent="0.3">
      <c r="A4982" s="1" t="s">
        <v>4</v>
      </c>
      <c r="B4982" s="2" t="str">
        <f t="shared" si="418"/>
        <v>SISTEMA PARA MODULOS FORA DO PADRAO</v>
      </c>
      <c r="C4982" s="2" t="str">
        <f>""</f>
        <v/>
      </c>
      <c r="D4982" s="2" t="str">
        <f t="shared" si="419"/>
        <v>LGDPEP</v>
      </c>
      <c r="E4982" s="2" t="str">
        <f>"MVPEP_LINKURL_CONFIG"</f>
        <v>MVPEP_LINKURL_CONFIG</v>
      </c>
      <c r="F4982" s="2" t="str">
        <f>"MVPEP_LINKURL_CONFIG"</f>
        <v>MVPEP_LINKURL_CONFIG</v>
      </c>
      <c r="G4982" s="2" t="str">
        <f t="shared" si="417"/>
        <v xml:space="preserve"> ()</v>
      </c>
    </row>
    <row r="4983" spans="1:7" x14ac:dyDescent="0.3">
      <c r="A4983" s="1" t="s">
        <v>4</v>
      </c>
      <c r="B4983" s="2" t="str">
        <f t="shared" si="418"/>
        <v>SISTEMA PARA MODULOS FORA DO PADRAO</v>
      </c>
      <c r="C4983" s="2" t="str">
        <f>""</f>
        <v/>
      </c>
      <c r="D4983" s="2" t="str">
        <f t="shared" si="419"/>
        <v>LGDPEP</v>
      </c>
      <c r="E4983" s="2" t="str">
        <f>"FICHA A"</f>
        <v>FICHA A</v>
      </c>
      <c r="F4983" s="2" t="str">
        <f>"MVPEP_FICHAA"</f>
        <v>MVPEP_FICHAA</v>
      </c>
      <c r="G4983" s="2" t="str">
        <f t="shared" si="417"/>
        <v xml:space="preserve"> ()</v>
      </c>
    </row>
    <row r="4984" spans="1:7" x14ac:dyDescent="0.3">
      <c r="A4984" s="1" t="s">
        <v>4</v>
      </c>
      <c r="B4984" s="2" t="str">
        <f t="shared" si="418"/>
        <v>SISTEMA PARA MODULOS FORA DO PADRAO</v>
      </c>
      <c r="C4984" s="2" t="str">
        <f>""</f>
        <v/>
      </c>
      <c r="D4984" s="2" t="str">
        <f t="shared" si="419"/>
        <v>LGDPEP</v>
      </c>
      <c r="E4984" s="2" t="str">
        <f>"PROTOCOLO DE INFUSAO"</f>
        <v>PROTOCOLO DE INFUSAO</v>
      </c>
      <c r="F4984" s="2" t="str">
        <f>"PRO_DE_INFUSAO"</f>
        <v>PRO_DE_INFUSAO</v>
      </c>
      <c r="G4984" s="2" t="str">
        <f t="shared" si="417"/>
        <v xml:space="preserve"> ()</v>
      </c>
    </row>
    <row r="4985" spans="1:7" x14ac:dyDescent="0.3">
      <c r="A4985" s="1" t="s">
        <v>4</v>
      </c>
      <c r="B4985" s="2" t="str">
        <f t="shared" si="418"/>
        <v>SISTEMA PARA MODULOS FORA DO PADRAO</v>
      </c>
      <c r="C4985" s="2" t="str">
        <f>""</f>
        <v/>
      </c>
      <c r="D4985" s="2" t="str">
        <f t="shared" si="419"/>
        <v>LGDPEP</v>
      </c>
      <c r="E4985" s="2" t="str">
        <f>"LEGADO ADM"</f>
        <v>LEGADO ADM</v>
      </c>
      <c r="F4985" s="2" t="str">
        <f>"LEGADO_ADM"</f>
        <v>LEGADO_ADM</v>
      </c>
      <c r="G4985" s="2" t="str">
        <f t="shared" si="417"/>
        <v xml:space="preserve"> ()</v>
      </c>
    </row>
    <row r="4986" spans="1:7" x14ac:dyDescent="0.3">
      <c r="A4986" s="1" t="s">
        <v>4</v>
      </c>
      <c r="B4986" s="2" t="str">
        <f t="shared" si="418"/>
        <v>SISTEMA PARA MODULOS FORA DO PADRAO</v>
      </c>
      <c r="C4986" s="2" t="str">
        <f>""</f>
        <v/>
      </c>
      <c r="D4986" s="2" t="str">
        <f t="shared" si="419"/>
        <v>LGDPEP</v>
      </c>
      <c r="E4986" s="2" t="str">
        <f>"CONFIG_LISTA_PACIENTES"</f>
        <v>CONFIG_LISTA_PACIENTES</v>
      </c>
      <c r="F4986" s="2" t="str">
        <f>"CONFIG_LISTA_PACIENTES"</f>
        <v>CONFIG_LISTA_PACIENTES</v>
      </c>
      <c r="G4986" s="2" t="str">
        <f t="shared" si="417"/>
        <v xml:space="preserve"> ()</v>
      </c>
    </row>
    <row r="4987" spans="1:7" x14ac:dyDescent="0.3">
      <c r="A4987" s="1" t="s">
        <v>4</v>
      </c>
      <c r="B4987" s="2" t="str">
        <f t="shared" si="418"/>
        <v>SISTEMA PARA MODULOS FORA DO PADRAO</v>
      </c>
      <c r="C4987" s="2" t="str">
        <f>""</f>
        <v/>
      </c>
      <c r="D4987" s="2" t="str">
        <f t="shared" si="419"/>
        <v>LGDPEP</v>
      </c>
      <c r="E4987" s="2" t="str">
        <f>"Admissão médica"</f>
        <v>Admissão médica</v>
      </c>
      <c r="F4987" s="2" t="str">
        <f>"MVPEP_ADMISSAO_PACIENTE"</f>
        <v>MVPEP_ADMISSAO_PACIENTE</v>
      </c>
      <c r="G4987" s="2" t="str">
        <f t="shared" si="417"/>
        <v xml:space="preserve"> ()</v>
      </c>
    </row>
    <row r="4988" spans="1:7" x14ac:dyDescent="0.3">
      <c r="A4988" s="1" t="s">
        <v>4</v>
      </c>
      <c r="B4988" s="2" t="str">
        <f t="shared" si="418"/>
        <v>SISTEMA PARA MODULOS FORA DO PADRAO</v>
      </c>
      <c r="C4988" s="2" t="str">
        <f>""</f>
        <v/>
      </c>
      <c r="D4988" s="2" t="str">
        <f t="shared" si="419"/>
        <v>LGDPEP</v>
      </c>
      <c r="E4988" s="2" t="str">
        <f>"CONFIG_CERTIFICADO_USUARIO"</f>
        <v>CONFIG_CERTIFICADO_USUARIO</v>
      </c>
      <c r="F4988" s="2" t="str">
        <f>"CONFIG_CERTIFICADO_USUARIO"</f>
        <v>CONFIG_CERTIFICADO_USUARIO</v>
      </c>
      <c r="G4988" s="2" t="str">
        <f t="shared" si="417"/>
        <v xml:space="preserve"> ()</v>
      </c>
    </row>
    <row r="4989" spans="1:7" x14ac:dyDescent="0.3">
      <c r="A4989" s="1" t="s">
        <v>4</v>
      </c>
      <c r="B4989" s="2" t="str">
        <f t="shared" si="418"/>
        <v>SISTEMA PARA MODULOS FORA DO PADRAO</v>
      </c>
      <c r="C4989" s="2" t="str">
        <f>""</f>
        <v/>
      </c>
      <c r="D4989" s="2" t="str">
        <f t="shared" si="419"/>
        <v>LGDPEP</v>
      </c>
      <c r="E4989" s="2" t="str">
        <f>"DADOS CRONOLOGICOS"</f>
        <v>DADOS CRONOLOGICOS</v>
      </c>
      <c r="F4989" s="2" t="str">
        <f>"MVPEP_DADOS_CRONOLOGICOS"</f>
        <v>MVPEP_DADOS_CRONOLOGICOS</v>
      </c>
      <c r="G4989" s="2" t="str">
        <f t="shared" si="417"/>
        <v xml:space="preserve"> ()</v>
      </c>
    </row>
    <row r="4990" spans="1:7" x14ac:dyDescent="0.3">
      <c r="A4990" s="1" t="s">
        <v>4</v>
      </c>
      <c r="B4990" s="2" t="str">
        <f t="shared" si="418"/>
        <v>SISTEMA PARA MODULOS FORA DO PADRAO</v>
      </c>
      <c r="C4990" s="2" t="str">
        <f>""</f>
        <v/>
      </c>
      <c r="D4990" s="2" t="str">
        <f t="shared" si="419"/>
        <v>LGDPEP</v>
      </c>
      <c r="E4990" s="2" t="str">
        <f>"HISTÓRICO DE ATENDIMENTOS"</f>
        <v>HISTÓRICO DE ATENDIMENTOS</v>
      </c>
      <c r="F4990" s="2" t="str">
        <f>"MVPEP_HIST_ATENDIMENTO"</f>
        <v>MVPEP_HIST_ATENDIMENTO</v>
      </c>
      <c r="G4990" s="2" t="str">
        <f t="shared" si="417"/>
        <v xml:space="preserve"> ()</v>
      </c>
    </row>
    <row r="4991" spans="1:7" x14ac:dyDescent="0.3">
      <c r="A4991" s="1" t="s">
        <v>4</v>
      </c>
      <c r="B4991" s="2" t="str">
        <f t="shared" si="418"/>
        <v>SISTEMA PARA MODULOS FORA DO PADRAO</v>
      </c>
      <c r="C4991" s="2" t="str">
        <f>""</f>
        <v/>
      </c>
      <c r="D4991" s="2" t="str">
        <f t="shared" si="419"/>
        <v>LGDPEP</v>
      </c>
      <c r="E4991" s="2" t="str">
        <f>"SUBSEGMENTO"</f>
        <v>SUBSEGMENTO</v>
      </c>
      <c r="F4991" s="2" t="str">
        <f>"SUBSEGMENTO"</f>
        <v>SUBSEGMENTO</v>
      </c>
      <c r="G4991" s="2" t="str">
        <f t="shared" si="417"/>
        <v xml:space="preserve"> ()</v>
      </c>
    </row>
    <row r="4992" spans="1:7" x14ac:dyDescent="0.3">
      <c r="A4992" s="1" t="s">
        <v>4</v>
      </c>
      <c r="B4992" s="2" t="str">
        <f t="shared" si="418"/>
        <v>SISTEMA PARA MODULOS FORA DO PADRAO</v>
      </c>
      <c r="C4992" s="2" t="str">
        <f>""</f>
        <v/>
      </c>
      <c r="D4992" s="2" t="str">
        <f t="shared" si="419"/>
        <v>LGDPEP</v>
      </c>
      <c r="E4992" s="2" t="str">
        <f>"EVOLUCAO ENFERMAGEM"</f>
        <v>EVOLUCAO ENFERMAGEM</v>
      </c>
      <c r="F4992" s="2" t="str">
        <f>"MVPEP_EVOLUCAO_ENFERM"</f>
        <v>MVPEP_EVOLUCAO_ENFERM</v>
      </c>
      <c r="G4992" s="2" t="str">
        <f t="shared" si="417"/>
        <v xml:space="preserve"> ()</v>
      </c>
    </row>
    <row r="4993" spans="1:7" x14ac:dyDescent="0.3">
      <c r="A4993" s="1" t="s">
        <v>4</v>
      </c>
      <c r="B4993" s="2" t="str">
        <f t="shared" si="418"/>
        <v>SISTEMA PARA MODULOS FORA DO PADRAO</v>
      </c>
      <c r="C4993" s="2" t="str">
        <f>""</f>
        <v/>
      </c>
      <c r="D4993" s="2" t="str">
        <f t="shared" si="419"/>
        <v>LGDPEP</v>
      </c>
      <c r="E4993" s="2" t="str">
        <f>"CONFIG_AUT_ACESSO_PRONTUARIO"</f>
        <v>CONFIG_AUT_ACESSO_PRONTUARIO</v>
      </c>
      <c r="F4993" s="2" t="str">
        <f>"MVPEP_CONFIG_AUT_ACESSO_PRONT"</f>
        <v>MVPEP_CONFIG_AUT_ACESSO_PRONT</v>
      </c>
      <c r="G4993" s="2" t="str">
        <f t="shared" si="417"/>
        <v xml:space="preserve"> ()</v>
      </c>
    </row>
    <row r="4994" spans="1:7" x14ac:dyDescent="0.3">
      <c r="A4994" s="1" t="s">
        <v>4</v>
      </c>
      <c r="B4994" s="2" t="str">
        <f t="shared" si="418"/>
        <v>SISTEMA PARA MODULOS FORA DO PADRAO</v>
      </c>
      <c r="C4994" s="2" t="str">
        <f>""</f>
        <v/>
      </c>
      <c r="D4994" s="2" t="str">
        <f t="shared" si="419"/>
        <v>LGDPEP</v>
      </c>
      <c r="E4994" s="2" t="str">
        <f>"VISUALIZAR COMPLETO DO PACIENTE"</f>
        <v>VISUALIZAR COMPLETO DO PACIENTE</v>
      </c>
      <c r="F4994" s="2" t="str">
        <f>"MVPEP_VISUALIZADOR"</f>
        <v>MVPEP_VISUALIZADOR</v>
      </c>
      <c r="G4994" s="2" t="str">
        <f t="shared" si="417"/>
        <v xml:space="preserve"> ()</v>
      </c>
    </row>
    <row r="4995" spans="1:7" x14ac:dyDescent="0.3">
      <c r="A4995" s="1" t="s">
        <v>4</v>
      </c>
      <c r="B4995" s="2" t="str">
        <f t="shared" si="418"/>
        <v>SISTEMA PARA MODULOS FORA DO PADRAO</v>
      </c>
      <c r="C4995" s="2" t="str">
        <f>""</f>
        <v/>
      </c>
      <c r="D4995" s="2" t="str">
        <f t="shared" si="419"/>
        <v>LGDPEP</v>
      </c>
      <c r="E4995" s="2" t="str">
        <f>"REGISTRO DA OPINIÃO DO PACIENTE"</f>
        <v>REGISTRO DA OPINIÃO DO PACIENTE</v>
      </c>
      <c r="F4995" s="2" t="str">
        <f>"MVPEP_OPINIAO_PACIENTE"</f>
        <v>MVPEP_OPINIAO_PACIENTE</v>
      </c>
      <c r="G4995" s="2" t="str">
        <f t="shared" si="417"/>
        <v xml:space="preserve"> ()</v>
      </c>
    </row>
    <row r="4996" spans="1:7" x14ac:dyDescent="0.3">
      <c r="A4996" s="1" t="s">
        <v>4</v>
      </c>
      <c r="B4996" s="2" t="str">
        <f t="shared" si="418"/>
        <v>SISTEMA PARA MODULOS FORA DO PADRAO</v>
      </c>
      <c r="C4996" s="2" t="str">
        <f>""</f>
        <v/>
      </c>
      <c r="D4996" s="2" t="str">
        <f t="shared" si="419"/>
        <v>LGDPEP</v>
      </c>
      <c r="E4996" s="2" t="str">
        <f>"PESQUISA CONTEUDO DO PRONTUARIO"</f>
        <v>PESQUISA CONTEUDO DO PRONTUARIO</v>
      </c>
      <c r="F4996" s="2" t="str">
        <f>"MVPEP_PESQ_CONT_PRONTUARIO"</f>
        <v>MVPEP_PESQ_CONT_PRONTUARIO</v>
      </c>
      <c r="G4996" s="2" t="str">
        <f t="shared" si="417"/>
        <v xml:space="preserve"> ()</v>
      </c>
    </row>
    <row r="4997" spans="1:7" x14ac:dyDescent="0.3">
      <c r="A4997" s="1" t="s">
        <v>4</v>
      </c>
      <c r="B4997" s="2" t="str">
        <f t="shared" si="418"/>
        <v>SISTEMA PARA MODULOS FORA DO PADRAO</v>
      </c>
      <c r="C4997" s="2" t="str">
        <f>""</f>
        <v/>
      </c>
      <c r="D4997" s="2" t="str">
        <f t="shared" si="419"/>
        <v>LGDPEP</v>
      </c>
      <c r="E4997" s="2" t="str">
        <f>"PRESCRICAO DE DIETAS"</f>
        <v>PRESCRICAO DE DIETAS</v>
      </c>
      <c r="F4997" s="2" t="str">
        <f>"M_PRESCRICAO_DIETA_PEP"</f>
        <v>M_PRESCRICAO_DIETA_PEP</v>
      </c>
      <c r="G4997" s="2" t="str">
        <f t="shared" si="417"/>
        <v xml:space="preserve"> ()</v>
      </c>
    </row>
    <row r="4998" spans="1:7" x14ac:dyDescent="0.3">
      <c r="A4998" s="1" t="s">
        <v>4</v>
      </c>
      <c r="B4998" s="2" t="str">
        <f t="shared" si="418"/>
        <v>SISTEMA PARA MODULOS FORA DO PADRAO</v>
      </c>
      <c r="C4998" s="2" t="str">
        <f>""</f>
        <v/>
      </c>
      <c r="D4998" s="2" t="str">
        <f t="shared" si="419"/>
        <v>LGDPEP</v>
      </c>
      <c r="E4998" s="2" t="str">
        <f>"NOTIFICACAO AGRAVO"</f>
        <v>NOTIFICACAO AGRAVO</v>
      </c>
      <c r="F4998" s="2" t="str">
        <f>"MVPEP_NOTIFICACAOAGRAVO"</f>
        <v>MVPEP_NOTIFICACAOAGRAVO</v>
      </c>
      <c r="G4998" s="2" t="str">
        <f t="shared" si="417"/>
        <v xml:space="preserve"> ()</v>
      </c>
    </row>
    <row r="4999" spans="1:7" x14ac:dyDescent="0.3">
      <c r="A4999" s="1" t="s">
        <v>4</v>
      </c>
      <c r="B4999" s="2" t="str">
        <f t="shared" si="418"/>
        <v>SISTEMA PARA MODULOS FORA DO PADRAO</v>
      </c>
      <c r="C4999" s="2" t="str">
        <f>""</f>
        <v/>
      </c>
      <c r="D4999" s="2" t="str">
        <f t="shared" si="419"/>
        <v>LGDPEP</v>
      </c>
      <c r="E4999" s="2" t="str">
        <f>"ENCAMINHAR"</f>
        <v>ENCAMINHAR</v>
      </c>
      <c r="F4999" s="2" t="str">
        <f>"MVPEP_ENCAMINHAR"</f>
        <v>MVPEP_ENCAMINHAR</v>
      </c>
      <c r="G4999" s="2" t="str">
        <f t="shared" si="417"/>
        <v xml:space="preserve"> ()</v>
      </c>
    </row>
    <row r="5000" spans="1:7" x14ac:dyDescent="0.3">
      <c r="A5000" s="1" t="s">
        <v>4</v>
      </c>
      <c r="B5000" s="2" t="str">
        <f t="shared" si="418"/>
        <v>SISTEMA PARA MODULOS FORA DO PADRAO</v>
      </c>
      <c r="C5000" s="2" t="str">
        <f>""</f>
        <v/>
      </c>
      <c r="D5000" s="2" t="str">
        <f t="shared" si="419"/>
        <v>LGDPEP</v>
      </c>
      <c r="E5000" s="2" t="str">
        <f>"PRESCRICAO INTERNADO"</f>
        <v>PRESCRICAO INTERNADO</v>
      </c>
      <c r="F5000" s="2" t="str">
        <f>"MVPEP_PRESCRICAOINTERNADO"</f>
        <v>MVPEP_PRESCRICAOINTERNADO</v>
      </c>
      <c r="G5000" s="2" t="str">
        <f t="shared" si="417"/>
        <v xml:space="preserve"> ()</v>
      </c>
    </row>
    <row r="5001" spans="1:7" x14ac:dyDescent="0.3">
      <c r="A5001" s="1" t="s">
        <v>4</v>
      </c>
      <c r="B5001" s="2" t="str">
        <f t="shared" si="418"/>
        <v>SISTEMA PARA MODULOS FORA DO PADRAO</v>
      </c>
      <c r="C5001" s="2" t="str">
        <f>""</f>
        <v/>
      </c>
      <c r="D5001" s="2" t="str">
        <f t="shared" si="419"/>
        <v>LGDPEP</v>
      </c>
      <c r="E5001" s="2" t="str">
        <f>"TRANSCRICAO"</f>
        <v>TRANSCRICAO</v>
      </c>
      <c r="F5001" s="2" t="str">
        <f>"MVPEP_TRANSCRICAO"</f>
        <v>MVPEP_TRANSCRICAO</v>
      </c>
      <c r="G5001" s="2" t="str">
        <f t="shared" si="417"/>
        <v xml:space="preserve"> ()</v>
      </c>
    </row>
    <row r="5002" spans="1:7" x14ac:dyDescent="0.3">
      <c r="A5002" s="1" t="s">
        <v>4</v>
      </c>
      <c r="B5002" s="2" t="str">
        <f t="shared" si="418"/>
        <v>SISTEMA PARA MODULOS FORA DO PADRAO</v>
      </c>
      <c r="C5002" s="2" t="str">
        <f>""</f>
        <v/>
      </c>
      <c r="D5002" s="2" t="str">
        <f t="shared" si="419"/>
        <v>LGDPEP</v>
      </c>
      <c r="E5002" s="2" t="str">
        <f>"ATESTADO"</f>
        <v>ATESTADO</v>
      </c>
      <c r="F5002" s="2" t="str">
        <f>"MVPEP_ATESTADO"</f>
        <v>MVPEP_ATESTADO</v>
      </c>
      <c r="G5002" s="2" t="str">
        <f t="shared" si="417"/>
        <v xml:space="preserve"> ()</v>
      </c>
    </row>
    <row r="5003" spans="1:7" x14ac:dyDescent="0.3">
      <c r="A5003" s="1" t="s">
        <v>4</v>
      </c>
      <c r="B5003" s="2" t="str">
        <f t="shared" si="418"/>
        <v>SISTEMA PARA MODULOS FORA DO PADRAO</v>
      </c>
      <c r="C5003" s="2" t="str">
        <f>""</f>
        <v/>
      </c>
      <c r="D5003" s="2" t="str">
        <f t="shared" si="419"/>
        <v>LGDPEP</v>
      </c>
      <c r="E5003" s="2" t="str">
        <f>"EXAME IMAGEM"</f>
        <v>EXAME IMAGEM</v>
      </c>
      <c r="F5003" s="2" t="str">
        <f>"MVPEP_EXAMEIMAGEM"</f>
        <v>MVPEP_EXAMEIMAGEM</v>
      </c>
      <c r="G5003" s="2" t="str">
        <f t="shared" si="417"/>
        <v xml:space="preserve"> ()</v>
      </c>
    </row>
    <row r="5004" spans="1:7" x14ac:dyDescent="0.3">
      <c r="A5004" s="1" t="s">
        <v>4</v>
      </c>
      <c r="B5004" s="2" t="str">
        <f t="shared" si="418"/>
        <v>SISTEMA PARA MODULOS FORA DO PADRAO</v>
      </c>
      <c r="C5004" s="2" t="str">
        <f>""</f>
        <v/>
      </c>
      <c r="D5004" s="2" t="str">
        <f t="shared" si="419"/>
        <v>LGDPEP</v>
      </c>
      <c r="E5004" s="2" t="str">
        <f>"EXAME LABORATORIAL"</f>
        <v>EXAME LABORATORIAL</v>
      </c>
      <c r="F5004" s="2" t="str">
        <f>"MVPEP_EXAMELABORATORIAL"</f>
        <v>MVPEP_EXAMELABORATORIAL</v>
      </c>
      <c r="G5004" s="2" t="str">
        <f t="shared" si="417"/>
        <v xml:space="preserve"> ()</v>
      </c>
    </row>
    <row r="5005" spans="1:7" x14ac:dyDescent="0.3">
      <c r="A5005" s="1" t="s">
        <v>4</v>
      </c>
      <c r="B5005" s="2" t="str">
        <f t="shared" si="418"/>
        <v>SISTEMA PARA MODULOS FORA DO PADRAO</v>
      </c>
      <c r="C5005" s="2" t="str">
        <f>""</f>
        <v/>
      </c>
      <c r="D5005" s="2" t="str">
        <f t="shared" si="419"/>
        <v>LGDPEP</v>
      </c>
      <c r="E5005" s="2" t="str">
        <f>"RECEITUARIO"</f>
        <v>RECEITUARIO</v>
      </c>
      <c r="F5005" s="2" t="str">
        <f>"MVPEP_RECEITUARIO"</f>
        <v>MVPEP_RECEITUARIO</v>
      </c>
      <c r="G5005" s="2" t="str">
        <f t="shared" si="417"/>
        <v xml:space="preserve"> ()</v>
      </c>
    </row>
    <row r="5006" spans="1:7" x14ac:dyDescent="0.3">
      <c r="A5006" s="1" t="s">
        <v>4</v>
      </c>
      <c r="B5006" s="2" t="str">
        <f t="shared" si="418"/>
        <v>SISTEMA PARA MODULOS FORA DO PADRAO</v>
      </c>
      <c r="C5006" s="2" t="str">
        <f>""</f>
        <v/>
      </c>
      <c r="D5006" s="2" t="str">
        <f t="shared" si="419"/>
        <v>LGDPEP</v>
      </c>
      <c r="E5006" s="2" t="str">
        <f>"OPINIAO PACIENTE"</f>
        <v>OPINIAO PACIENTE</v>
      </c>
      <c r="F5006" s="2" t="str">
        <f>"MVPEP_OPINIAOPACIENTE"</f>
        <v>MVPEP_OPINIAOPACIENTE</v>
      </c>
      <c r="G5006" s="2" t="str">
        <f t="shared" si="417"/>
        <v xml:space="preserve"> ()</v>
      </c>
    </row>
    <row r="5007" spans="1:7" x14ac:dyDescent="0.3">
      <c r="A5007" s="1" t="s">
        <v>4</v>
      </c>
      <c r="B5007" s="2" t="str">
        <f t="shared" si="418"/>
        <v>SISTEMA PARA MODULOS FORA DO PADRAO</v>
      </c>
      <c r="C5007" s="2" t="str">
        <f>""</f>
        <v/>
      </c>
      <c r="D5007" s="2" t="str">
        <f t="shared" si="419"/>
        <v>LGDPEP</v>
      </c>
      <c r="E5007" s="2" t="str">
        <f>"PRESCRICAO MEDICA"</f>
        <v>PRESCRICAO MEDICA</v>
      </c>
      <c r="F5007" s="2" t="str">
        <f>"MVPEP_PRESCRICAOMEDICA"</f>
        <v>MVPEP_PRESCRICAOMEDICA</v>
      </c>
      <c r="G5007" s="2" t="str">
        <f t="shared" si="417"/>
        <v xml:space="preserve"> ()</v>
      </c>
    </row>
    <row r="5008" spans="1:7" x14ac:dyDescent="0.3">
      <c r="A5008" s="1" t="s">
        <v>4</v>
      </c>
      <c r="B5008" s="2" t="str">
        <f t="shared" si="418"/>
        <v>SISTEMA PARA MODULOS FORA DO PADRAO</v>
      </c>
      <c r="C5008" s="2" t="str">
        <f>""</f>
        <v/>
      </c>
      <c r="D5008" s="2" t="str">
        <f t="shared" si="419"/>
        <v>LGDPEP</v>
      </c>
      <c r="E5008" s="2" t="str">
        <f>"EVOLUCAO"</f>
        <v>EVOLUCAO</v>
      </c>
      <c r="F5008" s="2" t="str">
        <f>"MVPEP_EVOLUCAO"</f>
        <v>MVPEP_EVOLUCAO</v>
      </c>
      <c r="G5008" s="2" t="str">
        <f t="shared" si="417"/>
        <v xml:space="preserve"> ()</v>
      </c>
    </row>
    <row r="5009" spans="1:7" x14ac:dyDescent="0.3">
      <c r="A5009" s="1" t="s">
        <v>4</v>
      </c>
      <c r="B5009" s="2" t="str">
        <f t="shared" si="418"/>
        <v>SISTEMA PARA MODULOS FORA DO PADRAO</v>
      </c>
      <c r="C5009" s="2" t="str">
        <f>""</f>
        <v/>
      </c>
      <c r="D5009" s="2" t="str">
        <f t="shared" si="419"/>
        <v>LGDPEP</v>
      </c>
      <c r="E5009" s="2" t="str">
        <f>"EXAME FISICO"</f>
        <v>EXAME FISICO</v>
      </c>
      <c r="F5009" s="2" t="str">
        <f>"MVPEP_EXAMEFISICO"</f>
        <v>MVPEP_EXAMEFISICO</v>
      </c>
      <c r="G5009" s="2" t="str">
        <f t="shared" si="417"/>
        <v xml:space="preserve"> ()</v>
      </c>
    </row>
    <row r="5010" spans="1:7" x14ac:dyDescent="0.3">
      <c r="A5010" s="1" t="s">
        <v>4</v>
      </c>
      <c r="B5010" s="2" t="str">
        <f t="shared" si="418"/>
        <v>SISTEMA PARA MODULOS FORA DO PADRAO</v>
      </c>
      <c r="C5010" s="2" t="str">
        <f>""</f>
        <v/>
      </c>
      <c r="D5010" s="2" t="str">
        <f t="shared" si="419"/>
        <v>LGDPEP</v>
      </c>
      <c r="E5010" s="2" t="str">
        <f>"ANAMNESE"</f>
        <v>ANAMNESE</v>
      </c>
      <c r="F5010" s="2" t="str">
        <f>"MVPEP_ANAMNESE"</f>
        <v>MVPEP_ANAMNESE</v>
      </c>
      <c r="G5010" s="2" t="str">
        <f t="shared" si="417"/>
        <v xml:space="preserve"> ()</v>
      </c>
    </row>
    <row r="5011" spans="1:7" x14ac:dyDescent="0.3">
      <c r="A5011" s="1" t="s">
        <v>4</v>
      </c>
      <c r="B5011" s="2" t="str">
        <f t="shared" si="418"/>
        <v>SISTEMA PARA MODULOS FORA DO PADRAO</v>
      </c>
      <c r="C5011" s="2" t="str">
        <f>""</f>
        <v/>
      </c>
      <c r="D5011" s="2" t="str">
        <f t="shared" si="419"/>
        <v>LGDPEP</v>
      </c>
      <c r="E5011" s="2" t="str">
        <f>"CONFIGURACAO UNIDADE DURACAO"</f>
        <v>CONFIGURACAO UNIDADE DURACAO</v>
      </c>
      <c r="F5011" s="2" t="str">
        <f>"MVPEP_CONFIG_UNID_DURACAO"</f>
        <v>MVPEP_CONFIG_UNID_DURACAO</v>
      </c>
      <c r="G5011" s="2" t="str">
        <f t="shared" si="417"/>
        <v xml:space="preserve"> ()</v>
      </c>
    </row>
    <row r="5012" spans="1:7" x14ac:dyDescent="0.3">
      <c r="A5012" s="1" t="s">
        <v>4</v>
      </c>
      <c r="B5012" s="2" t="str">
        <f t="shared" si="418"/>
        <v>SISTEMA PARA MODULOS FORA DO PADRAO</v>
      </c>
      <c r="C5012" s="2" t="str">
        <f>""</f>
        <v/>
      </c>
      <c r="D5012" s="2" t="str">
        <f t="shared" si="419"/>
        <v>LGDPEP</v>
      </c>
      <c r="E5012" s="2" t="str">
        <f>"CONFIGURACAO OPINIAO PACIENTE"</f>
        <v>CONFIGURACAO OPINIAO PACIENTE</v>
      </c>
      <c r="F5012" s="2" t="str">
        <f>"MVPEP_CONFIG_OPINIAOPACIENTE"</f>
        <v>MVPEP_CONFIG_OPINIAOPACIENTE</v>
      </c>
      <c r="G5012" s="2" t="str">
        <f t="shared" si="417"/>
        <v xml:space="preserve"> ()</v>
      </c>
    </row>
    <row r="5013" spans="1:7" x14ac:dyDescent="0.3">
      <c r="A5013" s="1" t="s">
        <v>4</v>
      </c>
      <c r="B5013" s="2" t="str">
        <f t="shared" si="418"/>
        <v>SISTEMA PARA MODULOS FORA DO PADRAO</v>
      </c>
      <c r="C5013" s="2" t="str">
        <f>""</f>
        <v/>
      </c>
      <c r="D5013" s="2" t="str">
        <f t="shared" si="419"/>
        <v>LGDPEP</v>
      </c>
      <c r="E5013" s="2" t="str">
        <f>"CONFIGURACAO RECEITA PADRAO"</f>
        <v>CONFIGURACAO RECEITA PADRAO</v>
      </c>
      <c r="F5013" s="2" t="str">
        <f>"MVPEP_CONFIG_RECEITA_PADRAO"</f>
        <v>MVPEP_CONFIG_RECEITA_PADRAO</v>
      </c>
      <c r="G5013" s="2" t="str">
        <f t="shared" si="417"/>
        <v xml:space="preserve"> ()</v>
      </c>
    </row>
    <row r="5014" spans="1:7" x14ac:dyDescent="0.3">
      <c r="A5014" s="1" t="s">
        <v>4</v>
      </c>
      <c r="B5014" s="2" t="str">
        <f t="shared" si="418"/>
        <v>SISTEMA PARA MODULOS FORA DO PADRAO</v>
      </c>
      <c r="C5014" s="2" t="str">
        <f>""</f>
        <v/>
      </c>
      <c r="D5014" s="2" t="str">
        <f t="shared" si="419"/>
        <v>LGDPEP</v>
      </c>
      <c r="E5014" s="2" t="str">
        <f>"CONFIGURACAO ASSINATURA DIGITAL"</f>
        <v>CONFIGURACAO ASSINATURA DIGITAL</v>
      </c>
      <c r="F5014" s="2" t="str">
        <f>"MVPEP_CONFIG_ASS_DIGITAL"</f>
        <v>MVPEP_CONFIG_ASS_DIGITAL</v>
      </c>
      <c r="G5014" s="2" t="str">
        <f t="shared" si="417"/>
        <v xml:space="preserve"> ()</v>
      </c>
    </row>
    <row r="5015" spans="1:7" x14ac:dyDescent="0.3">
      <c r="A5015" s="1" t="s">
        <v>4</v>
      </c>
      <c r="B5015" s="2" t="str">
        <f t="shared" si="418"/>
        <v>SISTEMA PARA MODULOS FORA DO PADRAO</v>
      </c>
      <c r="C5015" s="2" t="str">
        <f>""</f>
        <v/>
      </c>
      <c r="D5015" s="2" t="str">
        <f t="shared" si="419"/>
        <v>LGDPEP</v>
      </c>
      <c r="E5015" s="2" t="str">
        <f>"TRIAGEM"</f>
        <v>TRIAGEM</v>
      </c>
      <c r="F5015" s="2" t="str">
        <f>"MVPEP_TRIAGEM"</f>
        <v>MVPEP_TRIAGEM</v>
      </c>
      <c r="G5015" s="2" t="str">
        <f t="shared" si="417"/>
        <v xml:space="preserve"> ()</v>
      </c>
    </row>
    <row r="5016" spans="1:7" x14ac:dyDescent="0.3">
      <c r="A5016" s="1" t="s">
        <v>4</v>
      </c>
      <c r="B5016" s="2" t="str">
        <f t="shared" si="418"/>
        <v>SISTEMA PARA MODULOS FORA DO PADRAO</v>
      </c>
      <c r="C5016" s="2" t="str">
        <f>""</f>
        <v/>
      </c>
      <c r="D5016" s="2" t="str">
        <f t="shared" si="419"/>
        <v>LGDPEP</v>
      </c>
      <c r="E5016" s="2" t="str">
        <f>"OUTROS_DOCUMENTOS"</f>
        <v>OUTROS_DOCUMENTOS</v>
      </c>
      <c r="F5016" s="2" t="str">
        <f>"MVPEP_OUTROS_DOCS"</f>
        <v>MVPEP_OUTROS_DOCS</v>
      </c>
      <c r="G5016" s="2" t="str">
        <f t="shared" si="417"/>
        <v xml:space="preserve"> ()</v>
      </c>
    </row>
    <row r="5017" spans="1:7" x14ac:dyDescent="0.3">
      <c r="A5017" s="1" t="s">
        <v>4</v>
      </c>
      <c r="B5017" s="2" t="str">
        <f t="shared" si="418"/>
        <v>SISTEMA PARA MODULOS FORA DO PADRAO</v>
      </c>
      <c r="C5017" s="2" t="str">
        <f>""</f>
        <v/>
      </c>
      <c r="D5017" s="2" t="str">
        <f t="shared" si="419"/>
        <v>LGDPEP</v>
      </c>
      <c r="E5017" s="2" t="str">
        <f>"ATENDIMENTO SOCIAL - SACR"</f>
        <v>ATENDIMENTO SOCIAL - SACR</v>
      </c>
      <c r="F5017" s="2" t="str">
        <f>"MVSACR_ATENDIMENTOSOCIAL"</f>
        <v>MVSACR_ATENDIMENTOSOCIAL</v>
      </c>
      <c r="G5017" s="2" t="str">
        <f t="shared" si="417"/>
        <v xml:space="preserve"> ()</v>
      </c>
    </row>
    <row r="5018" spans="1:7" x14ac:dyDescent="0.3">
      <c r="A5018" s="1" t="s">
        <v>4</v>
      </c>
      <c r="B5018" s="2" t="str">
        <f t="shared" si="418"/>
        <v>SISTEMA PARA MODULOS FORA DO PADRAO</v>
      </c>
      <c r="C5018" s="2" t="str">
        <f>""</f>
        <v/>
      </c>
      <c r="D5018" s="2" t="str">
        <f t="shared" si="419"/>
        <v>LGDPEP</v>
      </c>
      <c r="E5018" s="2" t="str">
        <f>"PRESCRICAO ENFERMAGEM"</f>
        <v>PRESCRICAO ENFERMAGEM</v>
      </c>
      <c r="F5018" s="2" t="str">
        <f>"MVPEP_PRESCRICAO_ENFERMAGEM"</f>
        <v>MVPEP_PRESCRICAO_ENFERMAGEM</v>
      </c>
      <c r="G5018" s="2" t="str">
        <f t="shared" si="417"/>
        <v xml:space="preserve"> ()</v>
      </c>
    </row>
    <row r="5019" spans="1:7" x14ac:dyDescent="0.3">
      <c r="A5019" s="1" t="s">
        <v>4</v>
      </c>
      <c r="B5019" s="2" t="str">
        <f t="shared" si="418"/>
        <v>SISTEMA PARA MODULOS FORA DO PADRAO</v>
      </c>
      <c r="C5019" s="2" t="str">
        <f>""</f>
        <v/>
      </c>
      <c r="D5019" s="2" t="str">
        <f t="shared" si="419"/>
        <v>LGDPEP</v>
      </c>
      <c r="E5019" s="2" t="str">
        <f>"RESUMO ACOLHIMENTO - SACR"</f>
        <v>RESUMO ACOLHIMENTO - SACR</v>
      </c>
      <c r="F5019" s="2" t="str">
        <f>"MVSACR_RESUMOACOLHIMENTO"</f>
        <v>MVSACR_RESUMOACOLHIMENTO</v>
      </c>
      <c r="G5019" s="2" t="str">
        <f t="shared" si="417"/>
        <v xml:space="preserve"> ()</v>
      </c>
    </row>
    <row r="5020" spans="1:7" x14ac:dyDescent="0.3">
      <c r="A5020" s="1" t="s">
        <v>4</v>
      </c>
      <c r="B5020" s="2" t="str">
        <f t="shared" si="418"/>
        <v>SISTEMA PARA MODULOS FORA DO PADRAO</v>
      </c>
      <c r="C5020" s="2" t="str">
        <f>""</f>
        <v/>
      </c>
      <c r="D5020" s="2" t="str">
        <f t="shared" si="419"/>
        <v>LGDPEP</v>
      </c>
      <c r="E5020" s="2" t="str">
        <f>"DADOS DO PACIENTE - SACR"</f>
        <v>DADOS DO PACIENTE - SACR</v>
      </c>
      <c r="F5020" s="2" t="str">
        <f>"MVSACR_DADOSPACIENTE"</f>
        <v>MVSACR_DADOSPACIENTE</v>
      </c>
      <c r="G5020" s="2" t="str">
        <f t="shared" si="417"/>
        <v xml:space="preserve"> ()</v>
      </c>
    </row>
    <row r="5021" spans="1:7" x14ac:dyDescent="0.3">
      <c r="A5021" s="1" t="s">
        <v>4</v>
      </c>
      <c r="B5021" s="2" t="str">
        <f t="shared" si="418"/>
        <v>SISTEMA PARA MODULOS FORA DO PADRAO</v>
      </c>
      <c r="C5021" s="2" t="str">
        <f>""</f>
        <v/>
      </c>
      <c r="D5021" s="2" t="str">
        <f t="shared" si="419"/>
        <v>LGDPEP</v>
      </c>
      <c r="E5021" s="2" t="str">
        <f>"AVALIACAO - SACR"</f>
        <v>AVALIACAO - SACR</v>
      </c>
      <c r="F5021" s="2" t="str">
        <f>"MVSACR_AVALIACAO"</f>
        <v>MVSACR_AVALIACAO</v>
      </c>
      <c r="G5021" s="2" t="str">
        <f t="shared" si="417"/>
        <v xml:space="preserve"> ()</v>
      </c>
    </row>
    <row r="5022" spans="1:7" x14ac:dyDescent="0.3">
      <c r="A5022" s="1" t="s">
        <v>4</v>
      </c>
      <c r="B5022" s="2" t="str">
        <f t="shared" si="418"/>
        <v>SISTEMA PARA MODULOS FORA DO PADRAO</v>
      </c>
      <c r="C5022" s="2" t="str">
        <f>""</f>
        <v/>
      </c>
      <c r="D5022" s="2" t="str">
        <f t="shared" si="419"/>
        <v>LGDPEP</v>
      </c>
      <c r="E5022" s="2" t="str">
        <f>"AFERICAO - SACR"</f>
        <v>AFERICAO - SACR</v>
      </c>
      <c r="F5022" s="2" t="str">
        <f>"MVSACR_AFERICAO"</f>
        <v>MVSACR_AFERICAO</v>
      </c>
      <c r="G5022" s="2" t="str">
        <f t="shared" si="417"/>
        <v xml:space="preserve"> ()</v>
      </c>
    </row>
    <row r="5023" spans="1:7" x14ac:dyDescent="0.3">
      <c r="A5023" s="1" t="s">
        <v>4</v>
      </c>
      <c r="B5023" s="2" t="str">
        <f t="shared" si="418"/>
        <v>SISTEMA PARA MODULOS FORA DO PADRAO</v>
      </c>
      <c r="C5023" s="2" t="str">
        <f>""</f>
        <v/>
      </c>
      <c r="D5023" s="2" t="str">
        <f t="shared" si="419"/>
        <v>LGDPEP</v>
      </c>
      <c r="E5023" s="2" t="str">
        <f>"SITUACAO INCOMPATIVEL - SACR"</f>
        <v>SITUACAO INCOMPATIVEL - SACR</v>
      </c>
      <c r="F5023" s="2" t="str">
        <f>"MVSACR_SITUACAOINCOMPATIVEL"</f>
        <v>MVSACR_SITUACAOINCOMPATIVEL</v>
      </c>
      <c r="G5023" s="2" t="str">
        <f t="shared" si="417"/>
        <v xml:space="preserve"> ()</v>
      </c>
    </row>
    <row r="5024" spans="1:7" x14ac:dyDescent="0.3">
      <c r="A5024" s="1" t="s">
        <v>4</v>
      </c>
      <c r="B5024" s="2" t="str">
        <f t="shared" si="418"/>
        <v>SISTEMA PARA MODULOS FORA DO PADRAO</v>
      </c>
      <c r="C5024" s="2" t="str">
        <f>""</f>
        <v/>
      </c>
      <c r="D5024" s="2" t="str">
        <f t="shared" si="419"/>
        <v>LGDPEP</v>
      </c>
      <c r="E5024" s="2" t="str">
        <f>"CLASSIFICACAO - SACR"</f>
        <v>CLASSIFICACAO - SACR</v>
      </c>
      <c r="F5024" s="2" t="str">
        <f>"MVSACR_CLASSIFICACAO"</f>
        <v>MVSACR_CLASSIFICACAO</v>
      </c>
      <c r="G5024" s="2" t="str">
        <f t="shared" si="417"/>
        <v xml:space="preserve"> ()</v>
      </c>
    </row>
    <row r="5025" spans="1:7" x14ac:dyDescent="0.3">
      <c r="A5025" s="1" t="s">
        <v>4</v>
      </c>
      <c r="B5025" s="2" t="str">
        <f t="shared" si="418"/>
        <v>SISTEMA PARA MODULOS FORA DO PADRAO</v>
      </c>
      <c r="C5025" s="2" t="str">
        <f>""</f>
        <v/>
      </c>
      <c r="D5025" s="2" t="str">
        <f t="shared" si="419"/>
        <v>LGDPEP</v>
      </c>
      <c r="E5025" s="2" t="str">
        <f>"CONFIG_INSTITUICOES_ASSINATURA"</f>
        <v>CONFIG_INSTITUICOES_ASSINATURA</v>
      </c>
      <c r="F5025" s="2" t="str">
        <f>"CONFIG_INSTITUICOES_ASSINATURA"</f>
        <v>CONFIG_INSTITUICOES_ASSINATURA</v>
      </c>
      <c r="G5025" s="2" t="str">
        <f t="shared" si="417"/>
        <v xml:space="preserve"> ()</v>
      </c>
    </row>
    <row r="5026" spans="1:7" x14ac:dyDescent="0.3">
      <c r="A5026" s="1" t="s">
        <v>4</v>
      </c>
      <c r="B5026" s="2" t="str">
        <f t="shared" si="418"/>
        <v>SISTEMA PARA MODULOS FORA DO PADRAO</v>
      </c>
      <c r="C5026" s="2" t="str">
        <f>""</f>
        <v/>
      </c>
      <c r="D5026" s="2" t="str">
        <f t="shared" si="419"/>
        <v>LGDPEP</v>
      </c>
      <c r="E5026" s="2" t="str">
        <f>"CONFIG DIAGNOSTICO ITEM"</f>
        <v>CONFIG DIAGNOSTICO ITEM</v>
      </c>
      <c r="F5026" s="2" t="str">
        <f>"MVPEP_CONFIG_DIAGNOSTICO_ITEM"</f>
        <v>MVPEP_CONFIG_DIAGNOSTICO_ITEM</v>
      </c>
      <c r="G5026" s="2" t="str">
        <f t="shared" si="417"/>
        <v xml:space="preserve"> ()</v>
      </c>
    </row>
    <row r="5027" spans="1:7" x14ac:dyDescent="0.3">
      <c r="A5027" s="1" t="s">
        <v>4</v>
      </c>
      <c r="B5027" s="2" t="str">
        <f t="shared" si="418"/>
        <v>SISTEMA PARA MODULOS FORA DO PADRAO</v>
      </c>
      <c r="C5027" s="2" t="str">
        <f>""</f>
        <v/>
      </c>
      <c r="D5027" s="2" t="str">
        <f t="shared" si="419"/>
        <v>LGDPEP</v>
      </c>
      <c r="E5027" s="2" t="str">
        <f>"CONFIG DIAG MEDICO"</f>
        <v>CONFIG DIAG MEDICO</v>
      </c>
      <c r="F5027" s="2" t="str">
        <f>"MVPEP_CONFIG_DIAG_MEDICO"</f>
        <v>MVPEP_CONFIG_DIAG_MEDICO</v>
      </c>
      <c r="G5027" s="2" t="str">
        <f t="shared" si="417"/>
        <v xml:space="preserve"> ()</v>
      </c>
    </row>
    <row r="5028" spans="1:7" x14ac:dyDescent="0.3">
      <c r="A5028" s="1" t="s">
        <v>4</v>
      </c>
      <c r="B5028" s="2" t="str">
        <f t="shared" si="418"/>
        <v>SISTEMA PARA MODULOS FORA DO PADRAO</v>
      </c>
      <c r="C5028" s="2" t="str">
        <f>""</f>
        <v/>
      </c>
      <c r="D5028" s="2" t="str">
        <f t="shared" si="419"/>
        <v>LGDPEP</v>
      </c>
      <c r="E5028" s="2" t="str">
        <f>"CONFIG CLASSE"</f>
        <v>CONFIG CLASSE</v>
      </c>
      <c r="F5028" s="2" t="str">
        <f>"MVPEP_CONFIG_CLASSE"</f>
        <v>MVPEP_CONFIG_CLASSE</v>
      </c>
      <c r="G5028" s="2" t="str">
        <f t="shared" si="417"/>
        <v xml:space="preserve"> ()</v>
      </c>
    </row>
    <row r="5029" spans="1:7" x14ac:dyDescent="0.3">
      <c r="A5029" s="1" t="s">
        <v>4</v>
      </c>
      <c r="B5029" s="2" t="str">
        <f t="shared" si="418"/>
        <v>SISTEMA PARA MODULOS FORA DO PADRAO</v>
      </c>
      <c r="C5029" s="2" t="str">
        <f>""</f>
        <v/>
      </c>
      <c r="D5029" s="2" t="str">
        <f t="shared" si="419"/>
        <v>LGDPEP</v>
      </c>
      <c r="E5029" s="2" t="str">
        <f>"CONFIG TIPO DIAGNOSTICO ENFERMAGEM"</f>
        <v>CONFIG TIPO DIAGNOSTICO ENFERMAGEM</v>
      </c>
      <c r="F5029" s="2" t="str">
        <f>"MVPEP_CONFIG_TP_DIAG_ENFERM"</f>
        <v>MVPEP_CONFIG_TP_DIAG_ENFERM</v>
      </c>
      <c r="G5029" s="2" t="str">
        <f t="shared" si="417"/>
        <v xml:space="preserve"> ()</v>
      </c>
    </row>
    <row r="5030" spans="1:7" x14ac:dyDescent="0.3">
      <c r="A5030" s="1" t="s">
        <v>4</v>
      </c>
      <c r="B5030" s="2" t="str">
        <f t="shared" si="418"/>
        <v>SISTEMA PARA MODULOS FORA DO PADRAO</v>
      </c>
      <c r="C5030" s="2" t="str">
        <f>""</f>
        <v/>
      </c>
      <c r="D5030" s="2" t="str">
        <f t="shared" si="419"/>
        <v>LGDPEP</v>
      </c>
      <c r="E5030" s="2" t="str">
        <f>"CONFIG CARACT FTR"</f>
        <v>CONFIG CARACT FTR</v>
      </c>
      <c r="F5030" s="2" t="str">
        <f>"MVPEP_CONFIG_CARACT_FTR"</f>
        <v>MVPEP_CONFIG_CARACT_FTR</v>
      </c>
      <c r="G5030" s="2" t="str">
        <f t="shared" ref="G5030:G5069" si="420">" ()"</f>
        <v xml:space="preserve"> ()</v>
      </c>
    </row>
    <row r="5031" spans="1:7" x14ac:dyDescent="0.3">
      <c r="A5031" s="1" t="s">
        <v>4</v>
      </c>
      <c r="B5031" s="2" t="str">
        <f t="shared" si="418"/>
        <v>SISTEMA PARA MODULOS FORA DO PADRAO</v>
      </c>
      <c r="C5031" s="2" t="str">
        <f>""</f>
        <v/>
      </c>
      <c r="D5031" s="2" t="str">
        <f t="shared" si="419"/>
        <v>LGDPEP</v>
      </c>
      <c r="E5031" s="2" t="str">
        <f>"CONFIG GRUPO CARCT FTR"</f>
        <v>CONFIG GRUPO CARCT FTR</v>
      </c>
      <c r="F5031" s="2" t="str">
        <f>"MVPEP_CONFIG_GRP_CARACT_FTR"</f>
        <v>MVPEP_CONFIG_GRP_CARACT_FTR</v>
      </c>
      <c r="G5031" s="2" t="str">
        <f t="shared" si="420"/>
        <v xml:space="preserve"> ()</v>
      </c>
    </row>
    <row r="5032" spans="1:7" x14ac:dyDescent="0.3">
      <c r="A5032" s="1" t="s">
        <v>4</v>
      </c>
      <c r="B5032" s="2" t="str">
        <f t="shared" si="418"/>
        <v>SISTEMA PARA MODULOS FORA DO PADRAO</v>
      </c>
      <c r="C5032" s="2" t="str">
        <f>""</f>
        <v/>
      </c>
      <c r="D5032" s="2" t="str">
        <f t="shared" si="419"/>
        <v>LGDPEP</v>
      </c>
      <c r="E5032" s="2" t="str">
        <f>"CONFIG DIAGNOSTICO ENFERMAGEM"</f>
        <v>CONFIG DIAGNOSTICO ENFERMAGEM</v>
      </c>
      <c r="F5032" s="2" t="str">
        <f>"MVPEP_CONFIG_DIAGNOSTICO_ENF"</f>
        <v>MVPEP_CONFIG_DIAGNOSTICO_ENF</v>
      </c>
      <c r="G5032" s="2" t="str">
        <f t="shared" si="420"/>
        <v xml:space="preserve"> ()</v>
      </c>
    </row>
    <row r="5033" spans="1:7" x14ac:dyDescent="0.3">
      <c r="A5033" s="1" t="s">
        <v>4</v>
      </c>
      <c r="B5033" s="2" t="str">
        <f t="shared" ref="B5033:B5069" si="421">"SISTEMA PARA MODULOS FORA DO PADRAO"</f>
        <v>SISTEMA PARA MODULOS FORA DO PADRAO</v>
      </c>
      <c r="C5033" s="2" t="str">
        <f>""</f>
        <v/>
      </c>
      <c r="D5033" s="2" t="str">
        <f t="shared" ref="D5033:D5069" si="422">"LGDPEP"</f>
        <v>LGDPEP</v>
      </c>
      <c r="E5033" s="2" t="str">
        <f>"CONFIG DOMINIO"</f>
        <v>CONFIG DOMINIO</v>
      </c>
      <c r="F5033" s="2" t="str">
        <f>"MVPEP_CONFIG_DOMINIO"</f>
        <v>MVPEP_CONFIG_DOMINIO</v>
      </c>
      <c r="G5033" s="2" t="str">
        <f t="shared" si="420"/>
        <v xml:space="preserve"> ()</v>
      </c>
    </row>
    <row r="5034" spans="1:7" x14ac:dyDescent="0.3">
      <c r="A5034" s="1" t="s">
        <v>4</v>
      </c>
      <c r="B5034" s="2" t="str">
        <f t="shared" si="421"/>
        <v>SISTEMA PARA MODULOS FORA DO PADRAO</v>
      </c>
      <c r="C5034" s="2" t="str">
        <f>""</f>
        <v/>
      </c>
      <c r="D5034" s="2" t="str">
        <f t="shared" si="422"/>
        <v>LGDPEP</v>
      </c>
      <c r="E5034" s="2" t="str">
        <f>"TERMO_CONSENTIMENTO_ATENDIME"</f>
        <v>TERMO_CONSENTIMENTO_ATENDIME</v>
      </c>
      <c r="F5034" s="2" t="str">
        <f>"MVPEP_TERMO_CONSENTIMENTO_ATENDIME"</f>
        <v>MVPEP_TERMO_CONSENTIMENTO_ATENDIME</v>
      </c>
      <c r="G5034" s="2" t="str">
        <f t="shared" si="420"/>
        <v xml:space="preserve"> ()</v>
      </c>
    </row>
    <row r="5035" spans="1:7" x14ac:dyDescent="0.3">
      <c r="A5035" s="1" t="s">
        <v>4</v>
      </c>
      <c r="B5035" s="2" t="str">
        <f t="shared" si="421"/>
        <v>SISTEMA PARA MODULOS FORA DO PADRAO</v>
      </c>
      <c r="C5035" s="2" t="str">
        <f>""</f>
        <v/>
      </c>
      <c r="D5035" s="2" t="str">
        <f t="shared" si="422"/>
        <v>LGDPEP</v>
      </c>
      <c r="E5035" s="2" t="str">
        <f>"CADASTRO DE FORMULÁRIO"</f>
        <v>CADASTRO DE FORMULÁRIO</v>
      </c>
      <c r="F5035" s="2" t="str">
        <f>"MVPEP_CONFIG_FORMULARIO"</f>
        <v>MVPEP_CONFIG_FORMULARIO</v>
      </c>
      <c r="G5035" s="2" t="str">
        <f t="shared" si="420"/>
        <v xml:space="preserve"> ()</v>
      </c>
    </row>
    <row r="5036" spans="1:7" x14ac:dyDescent="0.3">
      <c r="A5036" s="1" t="s">
        <v>4</v>
      </c>
      <c r="B5036" s="2" t="str">
        <f t="shared" si="421"/>
        <v>SISTEMA PARA MODULOS FORA DO PADRAO</v>
      </c>
      <c r="C5036" s="2" t="str">
        <f>""</f>
        <v/>
      </c>
      <c r="D5036" s="2" t="str">
        <f t="shared" si="422"/>
        <v>LGDPEP</v>
      </c>
      <c r="E5036" s="2" t="str">
        <f>"LINK URL"</f>
        <v>LINK URL</v>
      </c>
      <c r="F5036" s="2" t="str">
        <f>"MVPEP_LINKURL"</f>
        <v>MVPEP_LINKURL</v>
      </c>
      <c r="G5036" s="2" t="str">
        <f t="shared" si="420"/>
        <v xml:space="preserve"> ()</v>
      </c>
    </row>
    <row r="5037" spans="1:7" x14ac:dyDescent="0.3">
      <c r="A5037" s="1" t="s">
        <v>4</v>
      </c>
      <c r="B5037" s="2" t="str">
        <f t="shared" si="421"/>
        <v>SISTEMA PARA MODULOS FORA DO PADRAO</v>
      </c>
      <c r="C5037" s="2" t="str">
        <f>""</f>
        <v/>
      </c>
      <c r="D5037" s="2" t="str">
        <f t="shared" si="422"/>
        <v>LGDPEP</v>
      </c>
      <c r="E5037" s="2" t="str">
        <f>"CONSULTAR PEP"</f>
        <v>CONSULTAR PEP</v>
      </c>
      <c r="F5037" s="2" t="str">
        <f>"MVPEP_CONSULTARPEP"</f>
        <v>MVPEP_CONSULTARPEP</v>
      </c>
      <c r="G5037" s="2" t="str">
        <f t="shared" si="420"/>
        <v xml:space="preserve"> ()</v>
      </c>
    </row>
    <row r="5038" spans="1:7" x14ac:dyDescent="0.3">
      <c r="A5038" s="1" t="s">
        <v>4</v>
      </c>
      <c r="B5038" s="2" t="str">
        <f t="shared" si="421"/>
        <v>SISTEMA PARA MODULOS FORA DO PADRAO</v>
      </c>
      <c r="C5038" s="2" t="str">
        <f>""</f>
        <v/>
      </c>
      <c r="D5038" s="2" t="str">
        <f t="shared" si="422"/>
        <v>LGDPEP</v>
      </c>
      <c r="E5038" s="2" t="str">
        <f>"CLASSIFICACAO DE RISCO"</f>
        <v>CLASSIFICACAO DE RISCO</v>
      </c>
      <c r="F5038" s="2" t="str">
        <f>"MVPEP_CLASSIFICACAO"</f>
        <v>MVPEP_CLASSIFICACAO</v>
      </c>
      <c r="G5038" s="2" t="str">
        <f t="shared" si="420"/>
        <v xml:space="preserve"> ()</v>
      </c>
    </row>
    <row r="5039" spans="1:7" x14ac:dyDescent="0.3">
      <c r="A5039" s="1" t="s">
        <v>4</v>
      </c>
      <c r="B5039" s="2" t="str">
        <f t="shared" si="421"/>
        <v>SISTEMA PARA MODULOS FORA DO PADRAO</v>
      </c>
      <c r="C5039" s="2" t="str">
        <f>""</f>
        <v/>
      </c>
      <c r="D5039" s="2" t="str">
        <f t="shared" si="422"/>
        <v>LGDPEP</v>
      </c>
      <c r="E5039" s="2" t="str">
        <f>"ACOLHIMENTO"</f>
        <v>ACOLHIMENTO</v>
      </c>
      <c r="F5039" s="2" t="str">
        <f>"MVPEP_ACOLHIMENTO"</f>
        <v>MVPEP_ACOLHIMENTO</v>
      </c>
      <c r="G5039" s="2" t="str">
        <f t="shared" si="420"/>
        <v xml:space="preserve"> ()</v>
      </c>
    </row>
    <row r="5040" spans="1:7" x14ac:dyDescent="0.3">
      <c r="A5040" s="1" t="s">
        <v>4</v>
      </c>
      <c r="B5040" s="2" t="str">
        <f t="shared" si="421"/>
        <v>SISTEMA PARA MODULOS FORA DO PADRAO</v>
      </c>
      <c r="C5040" s="2" t="str">
        <f>""</f>
        <v/>
      </c>
      <c r="D5040" s="2" t="str">
        <f t="shared" si="422"/>
        <v>LGDPEP</v>
      </c>
      <c r="E5040" s="2" t="str">
        <f>"SOLICITAÇÃO DE PROCEDIMENTO"</f>
        <v>SOLICITAÇÃO DE PROCEDIMENTO</v>
      </c>
      <c r="F5040" s="2" t="str">
        <f>"MVPEP_SOLICITACAO_PROCEDIMENTO"</f>
        <v>MVPEP_SOLICITACAO_PROCEDIMENTO</v>
      </c>
      <c r="G5040" s="2" t="str">
        <f t="shared" si="420"/>
        <v xml:space="preserve"> ()</v>
      </c>
    </row>
    <row r="5041" spans="1:7" x14ac:dyDescent="0.3">
      <c r="A5041" s="1" t="s">
        <v>4</v>
      </c>
      <c r="B5041" s="2" t="str">
        <f t="shared" si="421"/>
        <v>SISTEMA PARA MODULOS FORA DO PADRAO</v>
      </c>
      <c r="C5041" s="2" t="str">
        <f>""</f>
        <v/>
      </c>
      <c r="D5041" s="2" t="str">
        <f t="shared" si="422"/>
        <v>LGDPEP</v>
      </c>
      <c r="E5041" s="2" t="str">
        <f>"PARECER MÉDICO"</f>
        <v>PARECER MÉDICO</v>
      </c>
      <c r="F5041" s="2" t="str">
        <f>"MVPEP_PARECERMEDICO"</f>
        <v>MVPEP_PARECERMEDICO</v>
      </c>
      <c r="G5041" s="2" t="str">
        <f t="shared" si="420"/>
        <v xml:space="preserve"> ()</v>
      </c>
    </row>
    <row r="5042" spans="1:7" x14ac:dyDescent="0.3">
      <c r="A5042" s="1" t="s">
        <v>4</v>
      </c>
      <c r="B5042" s="2" t="str">
        <f t="shared" si="421"/>
        <v>SISTEMA PARA MODULOS FORA DO PADRAO</v>
      </c>
      <c r="C5042" s="2" t="str">
        <f>""</f>
        <v/>
      </c>
      <c r="D5042" s="2" t="str">
        <f t="shared" si="422"/>
        <v>LGDPEP</v>
      </c>
      <c r="E5042" s="2" t="str">
        <f>"CONFIGURACAO PERFIL"</f>
        <v>CONFIGURACAO PERFIL</v>
      </c>
      <c r="F5042" s="2" t="str">
        <f>"MVPEP_CONFIG_PERFIL"</f>
        <v>MVPEP_CONFIG_PERFIL</v>
      </c>
      <c r="G5042" s="2" t="str">
        <f t="shared" si="420"/>
        <v xml:space="preserve"> ()</v>
      </c>
    </row>
    <row r="5043" spans="1:7" x14ac:dyDescent="0.3">
      <c r="A5043" s="1" t="s">
        <v>4</v>
      </c>
      <c r="B5043" s="2" t="str">
        <f t="shared" si="421"/>
        <v>SISTEMA PARA MODULOS FORA DO PADRAO</v>
      </c>
      <c r="C5043" s="2" t="str">
        <f>""</f>
        <v/>
      </c>
      <c r="D5043" s="2" t="str">
        <f t="shared" si="422"/>
        <v>LGDPEP</v>
      </c>
      <c r="E5043" s="2" t="str">
        <f>"CONFIGURACAO SEGMENTO"</f>
        <v>CONFIGURACAO SEGMENTO</v>
      </c>
      <c r="F5043" s="2" t="str">
        <f>"MVPEP_CONFIG_SEGMENTO"</f>
        <v>MVPEP_CONFIG_SEGMENTO</v>
      </c>
      <c r="G5043" s="2" t="str">
        <f t="shared" si="420"/>
        <v xml:space="preserve"> ()</v>
      </c>
    </row>
    <row r="5044" spans="1:7" x14ac:dyDescent="0.3">
      <c r="A5044" s="1" t="s">
        <v>4</v>
      </c>
      <c r="B5044" s="2" t="str">
        <f t="shared" si="421"/>
        <v>SISTEMA PARA MODULOS FORA DO PADRAO</v>
      </c>
      <c r="C5044" s="2" t="str">
        <f>""</f>
        <v/>
      </c>
      <c r="D5044" s="2" t="str">
        <f t="shared" si="422"/>
        <v>LGDPEP</v>
      </c>
      <c r="E5044" s="2" t="str">
        <f>"CONFIGURACAO PROTOCOLO MULTI EMPRESA"</f>
        <v>CONFIGURACAO PROTOCOLO MULTI EMPRESA</v>
      </c>
      <c r="F5044" s="2" t="str">
        <f>"MVPEP_CONFIG_PROT_MULTI_EMP"</f>
        <v>MVPEP_CONFIG_PROT_MULTI_EMP</v>
      </c>
      <c r="G5044" s="2" t="str">
        <f t="shared" si="420"/>
        <v xml:space="preserve"> ()</v>
      </c>
    </row>
    <row r="5045" spans="1:7" x14ac:dyDescent="0.3">
      <c r="A5045" s="1" t="s">
        <v>4</v>
      </c>
      <c r="B5045" s="2" t="str">
        <f t="shared" si="421"/>
        <v>SISTEMA PARA MODULOS FORA DO PADRAO</v>
      </c>
      <c r="C5045" s="2" t="str">
        <f>""</f>
        <v/>
      </c>
      <c r="D5045" s="2" t="str">
        <f t="shared" si="422"/>
        <v>LGDPEP</v>
      </c>
      <c r="E5045" s="2" t="str">
        <f>"CONFIGURACAO PERGUNTA AVALIACAO GRUPO"</f>
        <v>CONFIGURACAO PERGUNTA AVALIACAO GRUPO</v>
      </c>
      <c r="F5045" s="2" t="str">
        <f>"MVPEP_CONFIG_PERG_AVAL_GRUPO"</f>
        <v>MVPEP_CONFIG_PERG_AVAL_GRUPO</v>
      </c>
      <c r="G5045" s="2" t="str">
        <f t="shared" si="420"/>
        <v xml:space="preserve"> ()</v>
      </c>
    </row>
    <row r="5046" spans="1:7" x14ac:dyDescent="0.3">
      <c r="A5046" s="1" t="s">
        <v>4</v>
      </c>
      <c r="B5046" s="2" t="str">
        <f t="shared" si="421"/>
        <v>SISTEMA PARA MODULOS FORA DO PADRAO</v>
      </c>
      <c r="C5046" s="2" t="str">
        <f>""</f>
        <v/>
      </c>
      <c r="D5046" s="2" t="str">
        <f t="shared" si="422"/>
        <v>LGDPEP</v>
      </c>
      <c r="E5046" s="2" t="str">
        <f>"CONFIGURACAO COR REFERENCIA"</f>
        <v>CONFIGURACAO COR REFERENCIA</v>
      </c>
      <c r="F5046" s="2" t="str">
        <f>"MVPEP_CONFIG_COR_REFERENCIA"</f>
        <v>MVPEP_CONFIG_COR_REFERENCIA</v>
      </c>
      <c r="G5046" s="2" t="str">
        <f t="shared" si="420"/>
        <v xml:space="preserve"> ()</v>
      </c>
    </row>
    <row r="5047" spans="1:7" x14ac:dyDescent="0.3">
      <c r="A5047" s="1" t="s">
        <v>4</v>
      </c>
      <c r="B5047" s="2" t="str">
        <f t="shared" si="421"/>
        <v>SISTEMA PARA MODULOS FORA DO PADRAO</v>
      </c>
      <c r="C5047" s="2" t="str">
        <f>""</f>
        <v/>
      </c>
      <c r="D5047" s="2" t="str">
        <f t="shared" si="422"/>
        <v>LGDPEP</v>
      </c>
      <c r="E5047" s="2" t="str">
        <f>"CONFIGURACAO PROTOCOLO SACR"</f>
        <v>CONFIGURACAO PROTOCOLO SACR</v>
      </c>
      <c r="F5047" s="2" t="str">
        <f>"MVPEP_CONFIG_PROTOCOLO_SACR"</f>
        <v>MVPEP_CONFIG_PROTOCOLO_SACR</v>
      </c>
      <c r="G5047" s="2" t="str">
        <f t="shared" si="420"/>
        <v xml:space="preserve"> ()</v>
      </c>
    </row>
    <row r="5048" spans="1:7" x14ac:dyDescent="0.3">
      <c r="A5048" s="1" t="s">
        <v>4</v>
      </c>
      <c r="B5048" s="2" t="str">
        <f t="shared" si="421"/>
        <v>SISTEMA PARA MODULOS FORA DO PADRAO</v>
      </c>
      <c r="C5048" s="2" t="str">
        <f>""</f>
        <v/>
      </c>
      <c r="D5048" s="2" t="str">
        <f t="shared" si="422"/>
        <v>LGDPEP</v>
      </c>
      <c r="E5048" s="2" t="str">
        <f>"CONFIGURACAO VACINA"</f>
        <v>CONFIGURACAO VACINA</v>
      </c>
      <c r="F5048" s="2" t="str">
        <f>"MVPEP_CONFIG_VACINA"</f>
        <v>MVPEP_CONFIG_VACINA</v>
      </c>
      <c r="G5048" s="2" t="str">
        <f t="shared" si="420"/>
        <v xml:space="preserve"> ()</v>
      </c>
    </row>
    <row r="5049" spans="1:7" x14ac:dyDescent="0.3">
      <c r="A5049" s="1" t="s">
        <v>4</v>
      </c>
      <c r="B5049" s="2" t="str">
        <f t="shared" si="421"/>
        <v>SISTEMA PARA MODULOS FORA DO PADRAO</v>
      </c>
      <c r="C5049" s="2" t="str">
        <f>""</f>
        <v/>
      </c>
      <c r="D5049" s="2" t="str">
        <f t="shared" si="422"/>
        <v>LGDPEP</v>
      </c>
      <c r="E5049" s="2" t="str">
        <f>"CONFIGURACAO DOSE"</f>
        <v>CONFIGURACAO DOSE</v>
      </c>
      <c r="F5049" s="2" t="str">
        <f>"MVPEP_CONFIG_DOSE"</f>
        <v>MVPEP_CONFIG_DOSE</v>
      </c>
      <c r="G5049" s="2" t="str">
        <f t="shared" si="420"/>
        <v xml:space="preserve"> ()</v>
      </c>
    </row>
    <row r="5050" spans="1:7" x14ac:dyDescent="0.3">
      <c r="A5050" s="1" t="s">
        <v>4</v>
      </c>
      <c r="B5050" s="2" t="str">
        <f t="shared" si="421"/>
        <v>SISTEMA PARA MODULOS FORA DO PADRAO</v>
      </c>
      <c r="C5050" s="2" t="str">
        <f>""</f>
        <v/>
      </c>
      <c r="D5050" s="2" t="str">
        <f t="shared" si="422"/>
        <v>LGDPEP</v>
      </c>
      <c r="E5050" s="2" t="str">
        <f>"CONFIGURACAO PERG. AVALIACAO FLUXOGRAMA"</f>
        <v>CONFIGURACAO PERG. AVALIACAO FLUXOGRAMA</v>
      </c>
      <c r="F5050" s="2" t="str">
        <f>"MVPEP_CONFIG_PERG_AVAL_FLUX"</f>
        <v>MVPEP_CONFIG_PERG_AVAL_FLUX</v>
      </c>
      <c r="G5050" s="2" t="str">
        <f t="shared" si="420"/>
        <v xml:space="preserve"> ()</v>
      </c>
    </row>
    <row r="5051" spans="1:7" x14ac:dyDescent="0.3">
      <c r="A5051" s="1" t="s">
        <v>4</v>
      </c>
      <c r="B5051" s="2" t="str">
        <f t="shared" si="421"/>
        <v>SISTEMA PARA MODULOS FORA DO PADRAO</v>
      </c>
      <c r="C5051" s="2" t="str">
        <f>""</f>
        <v/>
      </c>
      <c r="D5051" s="2" t="str">
        <f t="shared" si="422"/>
        <v>LGDPEP</v>
      </c>
      <c r="E5051" s="2" t="str">
        <f>"CONFIGURACAO ITEM AFERICAO"</f>
        <v>CONFIGURACAO ITEM AFERICAO</v>
      </c>
      <c r="F5051" s="2" t="str">
        <f>"MVPEP_CONFIG_ITEM_AFERICAO"</f>
        <v>MVPEP_CONFIG_ITEM_AFERICAO</v>
      </c>
      <c r="G5051" s="2" t="str">
        <f t="shared" si="420"/>
        <v xml:space="preserve"> ()</v>
      </c>
    </row>
    <row r="5052" spans="1:7" x14ac:dyDescent="0.3">
      <c r="A5052" s="1" t="s">
        <v>4</v>
      </c>
      <c r="B5052" s="2" t="str">
        <f t="shared" si="421"/>
        <v>SISTEMA PARA MODULOS FORA DO PADRAO</v>
      </c>
      <c r="C5052" s="2" t="str">
        <f>""</f>
        <v/>
      </c>
      <c r="D5052" s="2" t="str">
        <f t="shared" si="422"/>
        <v>LGDPEP</v>
      </c>
      <c r="E5052" s="2" t="str">
        <f>"CONFIGURACAO UNID. AFERICAO"</f>
        <v>CONFIGURACAO UNID. AFERICAO</v>
      </c>
      <c r="F5052" s="2" t="str">
        <f>"MVPEP_CONFIG_UNID_AFERICAO"</f>
        <v>MVPEP_CONFIG_UNID_AFERICAO</v>
      </c>
      <c r="G5052" s="2" t="str">
        <f t="shared" si="420"/>
        <v xml:space="preserve"> ()</v>
      </c>
    </row>
    <row r="5053" spans="1:7" x14ac:dyDescent="0.3">
      <c r="A5053" s="1" t="s">
        <v>4</v>
      </c>
      <c r="B5053" s="2" t="str">
        <f t="shared" si="421"/>
        <v>SISTEMA PARA MODULOS FORA DO PADRAO</v>
      </c>
      <c r="C5053" s="2" t="str">
        <f>""</f>
        <v/>
      </c>
      <c r="D5053" s="2" t="str">
        <f t="shared" si="422"/>
        <v>LGDPEP</v>
      </c>
      <c r="E5053" s="2" t="str">
        <f>"CONFIGURACAO INST. AFERICAO"</f>
        <v>CONFIGURACAO INST. AFERICAO</v>
      </c>
      <c r="F5053" s="2" t="str">
        <f>"MVPEP_CONFIG_INST_AFERICAO"</f>
        <v>MVPEP_CONFIG_INST_AFERICAO</v>
      </c>
      <c r="G5053" s="2" t="str">
        <f t="shared" si="420"/>
        <v xml:space="preserve"> ()</v>
      </c>
    </row>
    <row r="5054" spans="1:7" x14ac:dyDescent="0.3">
      <c r="A5054" s="1" t="s">
        <v>4</v>
      </c>
      <c r="B5054" s="2" t="str">
        <f t="shared" si="421"/>
        <v>SISTEMA PARA MODULOS FORA DO PADRAO</v>
      </c>
      <c r="C5054" s="2" t="str">
        <f>""</f>
        <v/>
      </c>
      <c r="D5054" s="2" t="str">
        <f t="shared" si="422"/>
        <v>LGDPEP</v>
      </c>
      <c r="E5054" s="2" t="str">
        <f>"CONFIGURACAO ITEM PADRAO"</f>
        <v>CONFIGURACAO ITEM PADRAO</v>
      </c>
      <c r="F5054" s="2" t="str">
        <f>"MVPEP_CONFIG_ITEM_PADRAO"</f>
        <v>MVPEP_CONFIG_ITEM_PADRAO</v>
      </c>
      <c r="G5054" s="2" t="str">
        <f t="shared" si="420"/>
        <v xml:space="preserve"> ()</v>
      </c>
    </row>
    <row r="5055" spans="1:7" x14ac:dyDescent="0.3">
      <c r="A5055" s="1" t="s">
        <v>4</v>
      </c>
      <c r="B5055" s="2" t="str">
        <f t="shared" si="421"/>
        <v>SISTEMA PARA MODULOS FORA DO PADRAO</v>
      </c>
      <c r="C5055" s="2" t="str">
        <f>""</f>
        <v/>
      </c>
      <c r="D5055" s="2" t="str">
        <f t="shared" si="422"/>
        <v>LGDPEP</v>
      </c>
      <c r="E5055" s="2" t="str">
        <f>"CONFIGURACAO CLASSIFICACAO"</f>
        <v>CONFIGURACAO CLASSIFICACAO</v>
      </c>
      <c r="F5055" s="2" t="str">
        <f>"MVPEP_CONFIG_CLASSIFICACAO"</f>
        <v>MVPEP_CONFIG_CLASSIFICACAO</v>
      </c>
      <c r="G5055" s="2" t="str">
        <f t="shared" si="420"/>
        <v xml:space="preserve"> ()</v>
      </c>
    </row>
    <row r="5056" spans="1:7" x14ac:dyDescent="0.3">
      <c r="A5056" s="1" t="s">
        <v>4</v>
      </c>
      <c r="B5056" s="2" t="str">
        <f t="shared" si="421"/>
        <v>SISTEMA PARA MODULOS FORA DO PADRAO</v>
      </c>
      <c r="C5056" s="2" t="str">
        <f>""</f>
        <v/>
      </c>
      <c r="D5056" s="2" t="str">
        <f t="shared" si="422"/>
        <v>LGDPEP</v>
      </c>
      <c r="E5056" s="2" t="str">
        <f>"CONFIGURACAO SINTOMA AVALIACAO"</f>
        <v>CONFIGURACAO SINTOMA AVALIACAO</v>
      </c>
      <c r="F5056" s="2" t="str">
        <f>"MVPEP_CONFIG_SINTOMA_AVALIACAO"</f>
        <v>MVPEP_CONFIG_SINTOMA_AVALIACAO</v>
      </c>
      <c r="G5056" s="2" t="str">
        <f t="shared" si="420"/>
        <v xml:space="preserve"> ()</v>
      </c>
    </row>
    <row r="5057" spans="1:7" x14ac:dyDescent="0.3">
      <c r="A5057" s="1" t="s">
        <v>4</v>
      </c>
      <c r="B5057" s="2" t="str">
        <f t="shared" si="421"/>
        <v>SISTEMA PARA MODULOS FORA DO PADRAO</v>
      </c>
      <c r="C5057" s="2" t="str">
        <f>""</f>
        <v/>
      </c>
      <c r="D5057" s="2" t="str">
        <f t="shared" si="422"/>
        <v>LGDPEP</v>
      </c>
      <c r="E5057" s="2" t="str">
        <f>"CONFIGURACAO AVALIACAO TELA"</f>
        <v>CONFIGURACAO AVALIACAO TELA</v>
      </c>
      <c r="F5057" s="2" t="str">
        <f>"MVPEP_CONFIG_AVAL_TELA"</f>
        <v>MVPEP_CONFIG_AVAL_TELA</v>
      </c>
      <c r="G5057" s="2" t="str">
        <f t="shared" si="420"/>
        <v xml:space="preserve"> ()</v>
      </c>
    </row>
    <row r="5058" spans="1:7" x14ac:dyDescent="0.3">
      <c r="A5058" s="1" t="s">
        <v>4</v>
      </c>
      <c r="B5058" s="2" t="str">
        <f t="shared" si="421"/>
        <v>SISTEMA PARA MODULOS FORA DO PADRAO</v>
      </c>
      <c r="C5058" s="2" t="str">
        <f>""</f>
        <v/>
      </c>
      <c r="D5058" s="2" t="str">
        <f t="shared" si="422"/>
        <v>LGDPEP</v>
      </c>
      <c r="E5058" s="2" t="str">
        <f>"CONFIGURACAO PERGUNTA TRIAGEM"</f>
        <v>CONFIGURACAO PERGUNTA TRIAGEM</v>
      </c>
      <c r="F5058" s="2" t="str">
        <f>"MVPEP_CONFIG_PERG_TRIAGEM"</f>
        <v>MVPEP_CONFIG_PERG_TRIAGEM</v>
      </c>
      <c r="G5058" s="2" t="str">
        <f t="shared" si="420"/>
        <v xml:space="preserve"> ()</v>
      </c>
    </row>
    <row r="5059" spans="1:7" x14ac:dyDescent="0.3">
      <c r="A5059" s="1" t="s">
        <v>4</v>
      </c>
      <c r="B5059" s="2" t="str">
        <f t="shared" si="421"/>
        <v>SISTEMA PARA MODULOS FORA DO PADRAO</v>
      </c>
      <c r="C5059" s="2" t="str">
        <f>""</f>
        <v/>
      </c>
      <c r="D5059" s="2" t="str">
        <f t="shared" si="422"/>
        <v>LGDPEP</v>
      </c>
      <c r="E5059" s="2" t="str">
        <f>"CONFIGURACAO LIMITE SINAL VITAL"</f>
        <v>CONFIGURACAO LIMITE SINAL VITAL</v>
      </c>
      <c r="F5059" s="2" t="str">
        <f>"MVPEP_CONFIG_LIM_SINAL_VITAL"</f>
        <v>MVPEP_CONFIG_LIM_SINAL_VITAL</v>
      </c>
      <c r="G5059" s="2" t="str">
        <f t="shared" si="420"/>
        <v xml:space="preserve"> ()</v>
      </c>
    </row>
    <row r="5060" spans="1:7" x14ac:dyDescent="0.3">
      <c r="A5060" s="1" t="s">
        <v>4</v>
      </c>
      <c r="B5060" s="2" t="str">
        <f t="shared" si="421"/>
        <v>SISTEMA PARA MODULOS FORA DO PADRAO</v>
      </c>
      <c r="C5060" s="2" t="str">
        <f>""</f>
        <v/>
      </c>
      <c r="D5060" s="2" t="str">
        <f t="shared" si="422"/>
        <v>LGDPEP</v>
      </c>
      <c r="E5060" s="2" t="str">
        <f>"CONFIGURACAO ITEM AFERICAO SETOR"</f>
        <v>CONFIGURACAO ITEM AFERICAO SETOR</v>
      </c>
      <c r="F5060" s="2" t="str">
        <f>"MVPEP_CONFIG_ITEM_AFER_SETOR"</f>
        <v>MVPEP_CONFIG_ITEM_AFER_SETOR</v>
      </c>
      <c r="G5060" s="2" t="str">
        <f t="shared" si="420"/>
        <v xml:space="preserve"> ()</v>
      </c>
    </row>
    <row r="5061" spans="1:7" x14ac:dyDescent="0.3">
      <c r="A5061" s="1" t="s">
        <v>4</v>
      </c>
      <c r="B5061" s="2" t="str">
        <f t="shared" si="421"/>
        <v>SISTEMA PARA MODULOS FORA DO PADRAO</v>
      </c>
      <c r="C5061" s="2" t="str">
        <f>""</f>
        <v/>
      </c>
      <c r="D5061" s="2" t="str">
        <f t="shared" si="422"/>
        <v>LGDPEP</v>
      </c>
      <c r="E5061" s="2" t="str">
        <f>"LOG DE AUDITORIA"</f>
        <v>LOG DE AUDITORIA</v>
      </c>
      <c r="F5061" s="2" t="str">
        <f>"MVPEP_CONFIG_HIST_LOG"</f>
        <v>MVPEP_CONFIG_HIST_LOG</v>
      </c>
      <c r="G5061" s="2" t="str">
        <f t="shared" si="420"/>
        <v xml:space="preserve"> ()</v>
      </c>
    </row>
    <row r="5062" spans="1:7" x14ac:dyDescent="0.3">
      <c r="A5062" s="1" t="s">
        <v>4</v>
      </c>
      <c r="B5062" s="2" t="str">
        <f t="shared" si="421"/>
        <v>SISTEMA PARA MODULOS FORA DO PADRAO</v>
      </c>
      <c r="C5062" s="2" t="str">
        <f>""</f>
        <v/>
      </c>
      <c r="D5062" s="2" t="str">
        <f t="shared" si="422"/>
        <v>LGDPEP</v>
      </c>
      <c r="E5062" s="2" t="str">
        <f>"CONFIGURACAO MANTER SETOR"</f>
        <v>CONFIGURACAO MANTER SETOR</v>
      </c>
      <c r="F5062" s="2" t="str">
        <f>"MVPEP_CONFIG_MANTER_SETOR"</f>
        <v>MVPEP_CONFIG_MANTER_SETOR</v>
      </c>
      <c r="G5062" s="2" t="str">
        <f t="shared" si="420"/>
        <v xml:space="preserve"> ()</v>
      </c>
    </row>
    <row r="5063" spans="1:7" x14ac:dyDescent="0.3">
      <c r="A5063" s="1" t="s">
        <v>4</v>
      </c>
      <c r="B5063" s="2" t="str">
        <f t="shared" si="421"/>
        <v>SISTEMA PARA MODULOS FORA DO PADRAO</v>
      </c>
      <c r="C5063" s="2" t="str">
        <f>""</f>
        <v/>
      </c>
      <c r="D5063" s="2" t="str">
        <f t="shared" si="422"/>
        <v>LGDPEP</v>
      </c>
      <c r="E5063" s="2" t="str">
        <f>"CONFIGURACAO CID CAPITULO"</f>
        <v>CONFIGURACAO CID CAPITULO</v>
      </c>
      <c r="F5063" s="2" t="str">
        <f>"MVPEP_CONFIG_CID_CAPITULO"</f>
        <v>MVPEP_CONFIG_CID_CAPITULO</v>
      </c>
      <c r="G5063" s="2" t="str">
        <f t="shared" si="420"/>
        <v xml:space="preserve"> ()</v>
      </c>
    </row>
    <row r="5064" spans="1:7" x14ac:dyDescent="0.3">
      <c r="A5064" s="1" t="s">
        <v>4</v>
      </c>
      <c r="B5064" s="2" t="str">
        <f t="shared" si="421"/>
        <v>SISTEMA PARA MODULOS FORA DO PADRAO</v>
      </c>
      <c r="C5064" s="2" t="str">
        <f>""</f>
        <v/>
      </c>
      <c r="D5064" s="2" t="str">
        <f t="shared" si="422"/>
        <v>LGDPEP</v>
      </c>
      <c r="E5064" s="2" t="str">
        <f>"CONFIGURACAO CID GRUPO"</f>
        <v>CONFIGURACAO CID GRUPO</v>
      </c>
      <c r="F5064" s="2" t="str">
        <f>"MVPEP_CONFIG_CID_GRUPO"</f>
        <v>MVPEP_CONFIG_CID_GRUPO</v>
      </c>
      <c r="G5064" s="2" t="str">
        <f t="shared" si="420"/>
        <v xml:space="preserve"> ()</v>
      </c>
    </row>
    <row r="5065" spans="1:7" x14ac:dyDescent="0.3">
      <c r="A5065" s="1" t="s">
        <v>4</v>
      </c>
      <c r="B5065" s="2" t="str">
        <f t="shared" si="421"/>
        <v>SISTEMA PARA MODULOS FORA DO PADRAO</v>
      </c>
      <c r="C5065" s="2" t="str">
        <f>""</f>
        <v/>
      </c>
      <c r="D5065" s="2" t="str">
        <f t="shared" si="422"/>
        <v>LGDPEP</v>
      </c>
      <c r="E5065" s="2" t="str">
        <f>"CONFIG_CATEGORIA_CID"</f>
        <v>CONFIG_CATEGORIA_CID</v>
      </c>
      <c r="F5065" s="2" t="str">
        <f>"MVPEP_CONFIG_CATEGORIA_CID"</f>
        <v>MVPEP_CONFIG_CATEGORIA_CID</v>
      </c>
      <c r="G5065" s="2" t="str">
        <f t="shared" si="420"/>
        <v xml:space="preserve"> ()</v>
      </c>
    </row>
    <row r="5066" spans="1:7" x14ac:dyDescent="0.3">
      <c r="A5066" s="1" t="s">
        <v>4</v>
      </c>
      <c r="B5066" s="2" t="str">
        <f t="shared" si="421"/>
        <v>SISTEMA PARA MODULOS FORA DO PADRAO</v>
      </c>
      <c r="C5066" s="2" t="str">
        <f>""</f>
        <v/>
      </c>
      <c r="D5066" s="2" t="str">
        <f t="shared" si="422"/>
        <v>LGDPEP</v>
      </c>
      <c r="E5066" s="2" t="str">
        <f>"CONFIGURACAO CID"</f>
        <v>CONFIGURACAO CID</v>
      </c>
      <c r="F5066" s="2" t="str">
        <f>"MVPEP_CONFIG_CID"</f>
        <v>MVPEP_CONFIG_CID</v>
      </c>
      <c r="G5066" s="2" t="str">
        <f t="shared" si="420"/>
        <v xml:space="preserve"> ()</v>
      </c>
    </row>
    <row r="5067" spans="1:7" x14ac:dyDescent="0.3">
      <c r="A5067" s="1" t="s">
        <v>4</v>
      </c>
      <c r="B5067" s="2" t="str">
        <f t="shared" si="421"/>
        <v>SISTEMA PARA MODULOS FORA DO PADRAO</v>
      </c>
      <c r="C5067" s="2" t="str">
        <f>""</f>
        <v/>
      </c>
      <c r="D5067" s="2" t="str">
        <f t="shared" si="422"/>
        <v>LGDPEP</v>
      </c>
      <c r="E5067" s="2" t="str">
        <f>"CONFIGURACAO TERMO CONSENTIMENTO"</f>
        <v>CONFIGURACAO TERMO CONSENTIMENTO</v>
      </c>
      <c r="F5067" s="2" t="str">
        <f>"MVPEP_CONFIG_TERMO_CONSENT"</f>
        <v>MVPEP_CONFIG_TERMO_CONSENT</v>
      </c>
      <c r="G5067" s="2" t="str">
        <f t="shared" si="420"/>
        <v xml:space="preserve"> ()</v>
      </c>
    </row>
    <row r="5068" spans="1:7" x14ac:dyDescent="0.3">
      <c r="A5068" s="1" t="s">
        <v>4</v>
      </c>
      <c r="B5068" s="2" t="str">
        <f t="shared" si="421"/>
        <v>SISTEMA PARA MODULOS FORA DO PADRAO</v>
      </c>
      <c r="C5068" s="2" t="str">
        <f>""</f>
        <v/>
      </c>
      <c r="D5068" s="2" t="str">
        <f t="shared" si="422"/>
        <v>LGDPEP</v>
      </c>
      <c r="E5068" s="2" t="str">
        <f>"CONFIGURACAO HISTORICO PRONTUARIO"</f>
        <v>CONFIGURACAO HISTORICO PRONTUARIO</v>
      </c>
      <c r="F5068" s="2" t="str">
        <f>"MVPEP_CONFIG_HIST_PRONTUARIO"</f>
        <v>MVPEP_CONFIG_HIST_PRONTUARIO</v>
      </c>
      <c r="G5068" s="2" t="str">
        <f t="shared" si="420"/>
        <v xml:space="preserve"> ()</v>
      </c>
    </row>
    <row r="5069" spans="1:7" x14ac:dyDescent="0.3">
      <c r="A5069" s="1" t="s">
        <v>4</v>
      </c>
      <c r="B5069" s="2" t="str">
        <f t="shared" si="421"/>
        <v>SISTEMA PARA MODULOS FORA DO PADRAO</v>
      </c>
      <c r="C5069" s="2" t="str">
        <f>""</f>
        <v/>
      </c>
      <c r="D5069" s="2" t="str">
        <f t="shared" si="422"/>
        <v>LGDPEP</v>
      </c>
      <c r="E5069" s="2" t="str">
        <f>"PRESCRICAO FUTURA"</f>
        <v>PRESCRICAO FUTURA</v>
      </c>
      <c r="F5069" s="2" t="str">
        <f>"MVPEP_PRESCRICAOFUTURA"</f>
        <v>MVPEP_PRESCRICAOFUTURA</v>
      </c>
      <c r="G5069" s="2" t="str">
        <f t="shared" si="420"/>
        <v xml:space="preserve"> ()</v>
      </c>
    </row>
    <row r="5070" spans="1:7" x14ac:dyDescent="0.3">
      <c r="A5070" s="1" t="s">
        <v>4</v>
      </c>
      <c r="B5070" s="2" t="str">
        <f>""</f>
        <v/>
      </c>
      <c r="C5070" s="2" t="str">
        <f>""</f>
        <v/>
      </c>
      <c r="D5070" s="2" t="str">
        <f>"LPROD"</f>
        <v>LPROD</v>
      </c>
      <c r="E5070" s="2" t="str">
        <f>"R_AMOSTRA_SITUACAO"</f>
        <v>R_AMOSTRA_SITUACAO</v>
      </c>
      <c r="F5070" s="2" t="str">
        <f>"R_AMOSTRA_SITUACAO"</f>
        <v>R_AMOSTRA_SITUACAO</v>
      </c>
      <c r="G5070" s="2" t="str">
        <f>"Serviços de Apoio / Laprod / Relatórios / Operacionais / Amostras por Situação (R_AMOSTRA_SITUACAO)"</f>
        <v>Serviços de Apoio / Laprod / Relatórios / Operacionais / Amostras por Situação (R_AMOSTRA_SITUACAO)</v>
      </c>
    </row>
    <row r="5071" spans="1:7" x14ac:dyDescent="0.3">
      <c r="A5071" s="1" t="s">
        <v>4</v>
      </c>
      <c r="B5071" s="2" t="str">
        <f t="shared" ref="B5071:B5134" si="423">"CONTROLE DE ESTERILIZAÇÃO"</f>
        <v>CONTROLE DE ESTERILIZAÇÃO</v>
      </c>
      <c r="C5071" s="2" t="str">
        <f t="shared" ref="C5071:C5134" si="424">"SUPRI"</f>
        <v>SUPRI</v>
      </c>
      <c r="D5071" s="2" t="str">
        <f t="shared" ref="D5071:D5134" si="425">"MGCE"</f>
        <v>MGCE</v>
      </c>
      <c r="E5071" s="2" t="str">
        <f>"ENTRAD NO EXPURGO"</f>
        <v>ENTRAD NO EXPURGO</v>
      </c>
      <c r="F5071" s="2" t="str">
        <f>"R_ENTRADA_EXPURGO_SINT"</f>
        <v>R_ENTRADA_EXPURGO_SINT</v>
      </c>
      <c r="G5071" s="2" t="str">
        <f>" ()"</f>
        <v xml:space="preserve"> ()</v>
      </c>
    </row>
    <row r="5072" spans="1:7" x14ac:dyDescent="0.3">
      <c r="A5072" s="1" t="s">
        <v>4</v>
      </c>
      <c r="B5072" s="2" t="str">
        <f t="shared" si="423"/>
        <v>CONTROLE DE ESTERILIZAÇÃO</v>
      </c>
      <c r="C5072" s="2" t="str">
        <f t="shared" si="424"/>
        <v>SUPRI</v>
      </c>
      <c r="D5072" s="2" t="str">
        <f t="shared" si="425"/>
        <v>MGCE</v>
      </c>
      <c r="E5072" s="2" t="str">
        <f>"CADASTRO DOS TIPOS DE EMBALAGENS"</f>
        <v>CADASTRO DOS TIPOS DE EMBALAGENS</v>
      </c>
      <c r="F5072" s="2" t="str">
        <f>"M_TP_EMBALAGEM"</f>
        <v>M_TP_EMBALAGEM</v>
      </c>
      <c r="G5072" s="2" t="str">
        <f>"Serviços de Apoio / Central de Materiais Esterilizados / Tabelas / Tipos de Embalagens (M_TP_EMBALAGEM)"</f>
        <v>Serviços de Apoio / Central de Materiais Esterilizados / Tabelas / Tipos de Embalagens (M_TP_EMBALAGEM)</v>
      </c>
    </row>
    <row r="5073" spans="1:7" x14ac:dyDescent="0.3">
      <c r="A5073" s="1" t="s">
        <v>4</v>
      </c>
      <c r="B5073" s="2" t="str">
        <f t="shared" si="423"/>
        <v>CONTROLE DE ESTERILIZAÇÃO</v>
      </c>
      <c r="C5073" s="2" t="str">
        <f t="shared" si="424"/>
        <v>SUPRI</v>
      </c>
      <c r="D5073" s="2" t="str">
        <f t="shared" si="425"/>
        <v>MGCE</v>
      </c>
      <c r="E5073" s="2" t="str">
        <f>"M_MVTO_SOLIC_ESTERILIZACAO"</f>
        <v>M_MVTO_SOLIC_ESTERILIZACAO</v>
      </c>
      <c r="F5073" s="2" t="str">
        <f>"M_MVTO_SOLIC_ESTERILIZACAO"</f>
        <v>M_MVTO_SOLIC_ESTERILIZACAO</v>
      </c>
      <c r="G5073" s="2" t="str">
        <f>" ()"</f>
        <v xml:space="preserve"> ()</v>
      </c>
    </row>
    <row r="5074" spans="1:7" x14ac:dyDescent="0.3">
      <c r="A5074" s="1" t="s">
        <v>4</v>
      </c>
      <c r="B5074" s="2" t="str">
        <f t="shared" si="423"/>
        <v>CONTROLE DE ESTERILIZAÇÃO</v>
      </c>
      <c r="C5074" s="2" t="str">
        <f t="shared" si="424"/>
        <v>SUPRI</v>
      </c>
      <c r="D5074" s="2" t="str">
        <f t="shared" si="425"/>
        <v>MGCE</v>
      </c>
      <c r="E5074" s="2" t="str">
        <f>"R_MOV_SETOR_AVISO"</f>
        <v>R_MOV_SETOR_AVISO</v>
      </c>
      <c r="F5074" s="2" t="str">
        <f>"R_MOV_SETOR_AVISO"</f>
        <v>R_MOV_SETOR_AVISO</v>
      </c>
      <c r="G5074" s="2" t="str">
        <f>" ()"</f>
        <v xml:space="preserve"> ()</v>
      </c>
    </row>
    <row r="5075" spans="1:7" x14ac:dyDescent="0.3">
      <c r="A5075" s="1" t="s">
        <v>4</v>
      </c>
      <c r="B5075" s="2" t="str">
        <f t="shared" si="423"/>
        <v>CONTROLE DE ESTERILIZAÇÃO</v>
      </c>
      <c r="C5075" s="2" t="str">
        <f t="shared" si="424"/>
        <v>SUPRI</v>
      </c>
      <c r="D5075" s="2" t="str">
        <f t="shared" si="425"/>
        <v>MGCE</v>
      </c>
      <c r="E5075" s="2" t="str">
        <f>"R_MOV_CICLO"</f>
        <v>R_MOV_CICLO</v>
      </c>
      <c r="F5075" s="2" t="str">
        <f>"R_MOV_CICLO"</f>
        <v>R_MOV_CICLO</v>
      </c>
      <c r="G5075" s="2" t="str">
        <f>" ()"</f>
        <v xml:space="preserve"> ()</v>
      </c>
    </row>
    <row r="5076" spans="1:7" x14ac:dyDescent="0.3">
      <c r="A5076" s="1" t="s">
        <v>4</v>
      </c>
      <c r="B5076" s="2" t="str">
        <f t="shared" si="423"/>
        <v>CONTROLE DE ESTERILIZAÇÃO</v>
      </c>
      <c r="C5076" s="2" t="str">
        <f t="shared" si="424"/>
        <v>SUPRI</v>
      </c>
      <c r="D5076" s="2" t="str">
        <f t="shared" si="425"/>
        <v>MGCE</v>
      </c>
      <c r="E5076" s="2" t="str">
        <f>"M_PROTOCOLO_ESTERILIZACAO"</f>
        <v>M_PROTOCOLO_ESTERILIZACAO</v>
      </c>
      <c r="F5076" s="2" t="str">
        <f>"M_PROTOCOLO_ESTERILIZACAO"</f>
        <v>M_PROTOCOLO_ESTERILIZACAO</v>
      </c>
      <c r="G5076" s="2" t="str">
        <f>" ()"</f>
        <v xml:space="preserve"> ()</v>
      </c>
    </row>
    <row r="5077" spans="1:7" x14ac:dyDescent="0.3">
      <c r="A5077" s="1" t="s">
        <v>4</v>
      </c>
      <c r="B5077" s="2" t="str">
        <f t="shared" si="423"/>
        <v>CONTROLE DE ESTERILIZAÇÃO</v>
      </c>
      <c r="C5077" s="2" t="str">
        <f t="shared" si="424"/>
        <v>SUPRI</v>
      </c>
      <c r="D5077" s="2" t="str">
        <f t="shared" si="425"/>
        <v>MGCE</v>
      </c>
      <c r="E5077" s="2" t="str">
        <f>"Consultas do Arsenal"</f>
        <v>Consultas do Arsenal</v>
      </c>
      <c r="F5077" s="2" t="str">
        <f>"C_CONSULTA_ARSENAL"</f>
        <v>C_CONSULTA_ARSENAL</v>
      </c>
      <c r="G5077" s="2" t="str">
        <f>" ()"</f>
        <v xml:space="preserve"> ()</v>
      </c>
    </row>
    <row r="5078" spans="1:7" x14ac:dyDescent="0.3">
      <c r="A5078" s="1" t="s">
        <v>4</v>
      </c>
      <c r="B5078" s="2" t="str">
        <f t="shared" si="423"/>
        <v>CONTROLE DE ESTERILIZAÇÃO</v>
      </c>
      <c r="C5078" s="2" t="str">
        <f t="shared" si="424"/>
        <v>SUPRI</v>
      </c>
      <c r="D5078" s="2" t="str">
        <f t="shared" si="425"/>
        <v>MGCE</v>
      </c>
      <c r="E5078" s="2" t="str">
        <f>"ComposiÃ§Ã£o de Caixas CirÃºrgicas"</f>
        <v>ComposiÃ§Ã£o de Caixas CirÃºrgicas</v>
      </c>
      <c r="F5078" s="2" t="str">
        <f>"C_COMP_CAIXA"</f>
        <v>C_COMP_CAIXA</v>
      </c>
      <c r="G5078" s="2" t="str">
        <f>"ComposiÃ§Ã£o de Caixas CirÃºrgicas (C_COMP_CAIXA)"</f>
        <v>ComposiÃ§Ã£o de Caixas CirÃºrgicas (C_COMP_CAIXA)</v>
      </c>
    </row>
    <row r="5079" spans="1:7" x14ac:dyDescent="0.3">
      <c r="A5079" s="1" t="s">
        <v>4</v>
      </c>
      <c r="B5079" s="2" t="str">
        <f t="shared" si="423"/>
        <v>CONTROLE DE ESTERILIZAÇÃO</v>
      </c>
      <c r="C5079" s="2" t="str">
        <f t="shared" si="424"/>
        <v>SUPRI</v>
      </c>
      <c r="D5079" s="2" t="str">
        <f t="shared" si="425"/>
        <v>MGCE</v>
      </c>
      <c r="E5079" s="2" t="str">
        <f>"SolicitaÃ§Ã£o"</f>
        <v>SolicitaÃ§Ã£o</v>
      </c>
      <c r="F5079" s="2" t="str">
        <f>"M_MVTO_SOLIC_ARSENAL"</f>
        <v>M_MVTO_SOLIC_ARSENAL</v>
      </c>
      <c r="G5079" s="2" t="str">
        <f>"SolicitaÃ§Ã£o (M_MVTO_SOLIC_ARSENAL)"</f>
        <v>SolicitaÃ§Ã£o (M_MVTO_SOLIC_ARSENAL)</v>
      </c>
    </row>
    <row r="5080" spans="1:7" x14ac:dyDescent="0.3">
      <c r="A5080" s="1" t="s">
        <v>4</v>
      </c>
      <c r="B5080" s="2" t="str">
        <f t="shared" si="423"/>
        <v>CONTROLE DE ESTERILIZAÇÃO</v>
      </c>
      <c r="C5080" s="2" t="str">
        <f t="shared" si="424"/>
        <v>SUPRI</v>
      </c>
      <c r="D5080" s="2" t="str">
        <f t="shared" si="425"/>
        <v>MGCE</v>
      </c>
      <c r="E5080" s="2" t="str">
        <f>"Entrada no Expurgo"</f>
        <v>Entrada no Expurgo</v>
      </c>
      <c r="F5080" s="2" t="str">
        <f>"M_MVTO_ENTRADA_EXPURGO"</f>
        <v>M_MVTO_ENTRADA_EXPURGO</v>
      </c>
      <c r="G5080" s="2" t="str">
        <f>"Entrada no Expurgo (M_MVTO_ENTRADA_EXPURGO)"</f>
        <v>Entrada no Expurgo (M_MVTO_ENTRADA_EXPURGO)</v>
      </c>
    </row>
    <row r="5081" spans="1:7" x14ac:dyDescent="0.3">
      <c r="A5081" s="1" t="s">
        <v>4</v>
      </c>
      <c r="B5081" s="2" t="str">
        <f t="shared" si="423"/>
        <v>CONTROLE DE ESTERILIZAÇÃO</v>
      </c>
      <c r="C5081" s="2" t="str">
        <f t="shared" si="424"/>
        <v>SUPRI</v>
      </c>
      <c r="D5081" s="2" t="str">
        <f t="shared" si="425"/>
        <v>MGCE</v>
      </c>
      <c r="E5081" s="2" t="str">
        <f>"ComposiÃ§Ã£o de Kits"</f>
        <v>ComposiÃ§Ã£o de Kits</v>
      </c>
      <c r="F5081" s="2" t="str">
        <f>"C_COMP_KIT"</f>
        <v>C_COMP_KIT</v>
      </c>
      <c r="G5081" s="2" t="str">
        <f>"ComposiÃ§Ã£o de Kits (C_COMP_KIT)"</f>
        <v>ComposiÃ§Ã£o de Kits (C_COMP_KIT)</v>
      </c>
    </row>
    <row r="5082" spans="1:7" x14ac:dyDescent="0.3">
      <c r="A5082" s="1" t="s">
        <v>4</v>
      </c>
      <c r="B5082" s="2" t="str">
        <f t="shared" si="423"/>
        <v>CONTROLE DE ESTERILIZAÇÃO</v>
      </c>
      <c r="C5082" s="2" t="str">
        <f t="shared" si="424"/>
        <v>SUPRI</v>
      </c>
      <c r="D5082" s="2" t="str">
        <f t="shared" si="425"/>
        <v>MGCE</v>
      </c>
      <c r="E5082" s="2" t="str">
        <f>"Transferência de Arsenal"</f>
        <v>Transferência de Arsenal</v>
      </c>
      <c r="F5082" s="2" t="str">
        <f>"M_MVTO_ARSENAL_TRANSF"</f>
        <v>M_MVTO_ARSENAL_TRANSF</v>
      </c>
      <c r="G5082" s="2" t="str">
        <f>"Serviços de Apoio / Central de Materiais Esterilizados / Movimentações / Arsenal / Transferência (M_MVTO_ARSENAL_TRANSF)"</f>
        <v>Serviços de Apoio / Central de Materiais Esterilizados / Movimentações / Arsenal / Transferência (M_MVTO_ARSENAL_TRANSF)</v>
      </c>
    </row>
    <row r="5083" spans="1:7" x14ac:dyDescent="0.3">
      <c r="A5083" s="1" t="s">
        <v>4</v>
      </c>
      <c r="B5083" s="2" t="str">
        <f t="shared" si="423"/>
        <v>CONTROLE DE ESTERILIZAÇÃO</v>
      </c>
      <c r="C5083" s="2" t="str">
        <f t="shared" si="424"/>
        <v>SUPRI</v>
      </c>
      <c r="D5083" s="2" t="str">
        <f t="shared" si="425"/>
        <v>MGCE</v>
      </c>
      <c r="E5083" s="2" t="str">
        <f>"Log de Movimentações da Composição"</f>
        <v>Log de Movimentações da Composição</v>
      </c>
      <c r="F5083" s="2" t="str">
        <f>"M_LOG_COMPOSICAO"</f>
        <v>M_LOG_COMPOSICAO</v>
      </c>
      <c r="G5083" s="2" t="str">
        <f>"Serviços de Apoio / Central de Materiais Esterilizados / Consultas / Log de Movimentações da Composição (M_LOG_COMPOSICAO)"</f>
        <v>Serviços de Apoio / Central de Materiais Esterilizados / Consultas / Log de Movimentações da Composição (M_LOG_COMPOSICAO)</v>
      </c>
    </row>
    <row r="5084" spans="1:7" x14ac:dyDescent="0.3">
      <c r="A5084" s="1" t="s">
        <v>4</v>
      </c>
      <c r="B5084" s="2" t="str">
        <f t="shared" si="423"/>
        <v>CONTROLE DE ESTERILIZAÇÃO</v>
      </c>
      <c r="C5084" s="2" t="str">
        <f t="shared" si="424"/>
        <v>SUPRI</v>
      </c>
      <c r="D5084" s="2" t="str">
        <f t="shared" si="425"/>
        <v>MGCE</v>
      </c>
      <c r="E5084" s="2" t="str">
        <f>"Envio para Terceirização"</f>
        <v>Envio para Terceirização</v>
      </c>
      <c r="F5084" s="2" t="str">
        <f>"M_TERCEIRIZACAO"</f>
        <v>M_TERCEIRIZACAO</v>
      </c>
      <c r="G5084" s="2" t="str">
        <f>"Serviços de Apoio / Central de Materiais Esterilizados / Movimentações / Envio para Terceirização (M_TERCEIRIZACAO)"</f>
        <v>Serviços de Apoio / Central de Materiais Esterilizados / Movimentações / Envio para Terceirização (M_TERCEIRIZACAO)</v>
      </c>
    </row>
    <row r="5085" spans="1:7" x14ac:dyDescent="0.3">
      <c r="A5085" s="1" t="s">
        <v>4</v>
      </c>
      <c r="B5085" s="2" t="str">
        <f t="shared" si="423"/>
        <v>CONTROLE DE ESTERILIZAÇÃO</v>
      </c>
      <c r="C5085" s="2" t="str">
        <f t="shared" si="424"/>
        <v>SUPRI</v>
      </c>
      <c r="D5085" s="2" t="str">
        <f t="shared" si="425"/>
        <v>MGCE</v>
      </c>
      <c r="E5085" s="2" t="str">
        <f>"Tipos de Lavagem"</f>
        <v>Tipos de Lavagem</v>
      </c>
      <c r="F5085" s="2" t="str">
        <f>"M_TIP_LAVAGEM"</f>
        <v>M_TIP_LAVAGEM</v>
      </c>
      <c r="G5085" s="2" t="str">
        <f>"Serviços de Apoio / Central de Materiais Esterilizados / Tabelas / Tipos de Lavagem (M_TIP_LAVAGEM)"</f>
        <v>Serviços de Apoio / Central de Materiais Esterilizados / Tabelas / Tipos de Lavagem (M_TIP_LAVAGEM)</v>
      </c>
    </row>
    <row r="5086" spans="1:7" x14ac:dyDescent="0.3">
      <c r="A5086" s="1" t="s">
        <v>4</v>
      </c>
      <c r="B5086" s="2" t="str">
        <f t="shared" si="423"/>
        <v>CONTROLE DE ESTERILIZAÇÃO</v>
      </c>
      <c r="C5086" s="2" t="str">
        <f t="shared" si="424"/>
        <v>SUPRI</v>
      </c>
      <c r="D5086" s="2" t="str">
        <f t="shared" si="425"/>
        <v>MGCE</v>
      </c>
      <c r="E5086" s="2" t="str">
        <f>"Usuários por C. Cirúrgico e Movimentação"</f>
        <v>Usuários por C. Cirúrgico e Movimentação</v>
      </c>
      <c r="F5086" s="2" t="str">
        <f>"M_USU_CEN_CIR_MOV"</f>
        <v>M_USU_CEN_CIR_MOV</v>
      </c>
      <c r="G5086" s="2" t="str">
        <f>"Apoio a TI / Gestão de Usuários / Configurações de Acesso / Acessos Suprimentos / Usuários por C. Cirúrgico e Movimentação (M_USU_CEN_CIR_MOV)"</f>
        <v>Apoio a TI / Gestão de Usuários / Configurações de Acesso / Acessos Suprimentos / Usuários por C. Cirúrgico e Movimentação (M_USU_CEN_CIR_MOV)</v>
      </c>
    </row>
    <row r="5087" spans="1:7" x14ac:dyDescent="0.3">
      <c r="A5087" s="1" t="s">
        <v>4</v>
      </c>
      <c r="B5087" s="2" t="str">
        <f t="shared" si="423"/>
        <v>CONTROLE DE ESTERILIZAÇÃO</v>
      </c>
      <c r="C5087" s="2" t="str">
        <f t="shared" si="424"/>
        <v>SUPRI</v>
      </c>
      <c r="D5087" s="2" t="str">
        <f t="shared" si="425"/>
        <v>MGCE</v>
      </c>
      <c r="E5087" s="2" t="str">
        <f>"MOVIMENTAÇÃO DOS INSTRUMENTAIS AVULSO"</f>
        <v>MOVIMENTAÇÃO DOS INSTRUMENTAIS AVULSO</v>
      </c>
      <c r="F5087" s="2" t="str">
        <f>"M_MVTO_INSTRUMENTAL"</f>
        <v>M_MVTO_INSTRUMENTAL</v>
      </c>
      <c r="G5087" s="2" t="str">
        <f>" ()"</f>
        <v xml:space="preserve"> ()</v>
      </c>
    </row>
    <row r="5088" spans="1:7" x14ac:dyDescent="0.3">
      <c r="A5088" s="1" t="s">
        <v>4</v>
      </c>
      <c r="B5088" s="2" t="str">
        <f t="shared" si="423"/>
        <v>CONTROLE DE ESTERILIZAÇÃO</v>
      </c>
      <c r="C5088" s="2" t="str">
        <f t="shared" si="424"/>
        <v>SUPRI</v>
      </c>
      <c r="D5088" s="2" t="str">
        <f t="shared" si="425"/>
        <v>MGCE</v>
      </c>
      <c r="E5088" s="2" t="str">
        <f>"CONSULTA DAS MVTOS DOS INSTRUMENTAIS"</f>
        <v>CONSULTA DAS MVTOS DOS INSTRUMENTAIS</v>
      </c>
      <c r="F5088" s="2" t="str">
        <f>"C_MVTO_INSTRUMENTAL"</f>
        <v>C_MVTO_INSTRUMENTAL</v>
      </c>
      <c r="G5088" s="2" t="str">
        <f>" ()"</f>
        <v xml:space="preserve"> ()</v>
      </c>
    </row>
    <row r="5089" spans="1:7" x14ac:dyDescent="0.3">
      <c r="A5089" s="1" t="s">
        <v>4</v>
      </c>
      <c r="B5089" s="2" t="str">
        <f t="shared" si="423"/>
        <v>CONTROLE DE ESTERILIZAÇÃO</v>
      </c>
      <c r="C5089" s="2" t="str">
        <f t="shared" si="424"/>
        <v>SUPRI</v>
      </c>
      <c r="D5089" s="2" t="str">
        <f t="shared" si="425"/>
        <v>MGCE</v>
      </c>
      <c r="E5089" s="2" t="str">
        <f>"RELATÓRIO DE INSTRUMENTAIS INATIVOS"</f>
        <v>RELATÓRIO DE INSTRUMENTAIS INATIVOS</v>
      </c>
      <c r="F5089" s="2" t="str">
        <f>"R_VENC_EST"</f>
        <v>R_VENC_EST</v>
      </c>
      <c r="G5089" s="2" t="str">
        <f>"Serviços de Apoio / Central de Materiais Esterilizados / Relatórios / Gerencial / Vencimento de Esterilizações (R_VENC_EST)"</f>
        <v>Serviços de Apoio / Central de Materiais Esterilizados / Relatórios / Gerencial / Vencimento de Esterilizações (R_VENC_EST)</v>
      </c>
    </row>
    <row r="5090" spans="1:7" x14ac:dyDescent="0.3">
      <c r="A5090" s="1" t="s">
        <v>4</v>
      </c>
      <c r="B5090" s="2" t="str">
        <f t="shared" si="423"/>
        <v>CONTROLE DE ESTERILIZAÇÃO</v>
      </c>
      <c r="C5090" s="2" t="str">
        <f t="shared" si="424"/>
        <v>SUPRI</v>
      </c>
      <c r="D5090" s="2" t="str">
        <f t="shared" si="425"/>
        <v>MGCE</v>
      </c>
      <c r="E5090" s="2" t="str">
        <f>"TIPOS DE EMBALAGENS"</f>
        <v>TIPOS DE EMBALAGENS</v>
      </c>
      <c r="F5090" s="2" t="str">
        <f>"R_TP_EMBALAGEM.RDF"</f>
        <v>R_TP_EMBALAGEM.RDF</v>
      </c>
      <c r="G5090" s="2" t="str">
        <f>" ()"</f>
        <v xml:space="preserve"> ()</v>
      </c>
    </row>
    <row r="5091" spans="1:7" x14ac:dyDescent="0.3">
      <c r="A5091" s="1" t="s">
        <v>4</v>
      </c>
      <c r="B5091" s="2" t="str">
        <f t="shared" si="423"/>
        <v>CONTROLE DE ESTERILIZAÇÃO</v>
      </c>
      <c r="C5091" s="2" t="str">
        <f t="shared" si="424"/>
        <v>SUPRI</v>
      </c>
      <c r="D5091" s="2" t="str">
        <f t="shared" si="425"/>
        <v>MGCE</v>
      </c>
      <c r="E5091" s="2" t="str">
        <f>"Relatório de Solic. de Esterilização"</f>
        <v>Relatório de Solic. de Esterilização</v>
      </c>
      <c r="F5091" s="2" t="str">
        <f>"R_LISTA_SOLIC_ESTERILIZACAO"</f>
        <v>R_LISTA_SOLIC_ESTERILIZACAO</v>
      </c>
      <c r="G5091" s="2" t="str">
        <f>" ()"</f>
        <v xml:space="preserve"> ()</v>
      </c>
    </row>
    <row r="5092" spans="1:7" x14ac:dyDescent="0.3">
      <c r="A5092" s="1" t="s">
        <v>4</v>
      </c>
      <c r="B5092" s="2" t="str">
        <f t="shared" si="423"/>
        <v>CONTROLE DE ESTERILIZAÇÃO</v>
      </c>
      <c r="C5092" s="2" t="str">
        <f t="shared" si="424"/>
        <v>SUPRI</v>
      </c>
      <c r="D5092" s="2" t="str">
        <f t="shared" si="425"/>
        <v>MGCE</v>
      </c>
      <c r="E5092" s="2" t="str">
        <f>"Informações Adicionais dos Instrumentais"</f>
        <v>Informações Adicionais dos Instrumentais</v>
      </c>
      <c r="F5092" s="2" t="str">
        <f>"M_INFO_ADIC_INSTR"</f>
        <v>M_INFO_ADIC_INSTR</v>
      </c>
      <c r="G5092" s="2" t="str">
        <f>"Serviços de Apoio / Central de Materiais Esterilizados / Tabelas / Informações Adicionais dos Instrumentais (M_INFO_ADIC_INSTR)"</f>
        <v>Serviços de Apoio / Central de Materiais Esterilizados / Tabelas / Informações Adicionais dos Instrumentais (M_INFO_ADIC_INSTR)</v>
      </c>
    </row>
    <row r="5093" spans="1:7" x14ac:dyDescent="0.3">
      <c r="A5093" s="1" t="s">
        <v>4</v>
      </c>
      <c r="B5093" s="2" t="str">
        <f t="shared" si="423"/>
        <v>CONTROLE DE ESTERILIZAÇÃO</v>
      </c>
      <c r="C5093" s="2" t="str">
        <f t="shared" si="424"/>
        <v>SUPRI</v>
      </c>
      <c r="D5093" s="2" t="str">
        <f t="shared" si="425"/>
        <v>MGCE</v>
      </c>
      <c r="E5093" s="2" t="str">
        <f>"MOVIMENTAÇÃO DE ESTERILIZAÇÃO"</f>
        <v>MOVIMENTAÇÃO DE ESTERILIZAÇÃO</v>
      </c>
      <c r="F5093" s="2" t="str">
        <f>"M_ESTERILIZACAO"</f>
        <v>M_ESTERILIZACAO</v>
      </c>
      <c r="G5093" s="2" t="str">
        <f>"Serviços de Apoio / Central de Materiais Esterilizados / Movimentações / Esterilização (M_ESTERILIZACAO)"</f>
        <v>Serviços de Apoio / Central de Materiais Esterilizados / Movimentações / Esterilização (M_ESTERILIZACAO)</v>
      </c>
    </row>
    <row r="5094" spans="1:7" x14ac:dyDescent="0.3">
      <c r="A5094" s="1" t="s">
        <v>4</v>
      </c>
      <c r="B5094" s="2" t="str">
        <f t="shared" si="423"/>
        <v>CONTROLE DE ESTERILIZAÇÃO</v>
      </c>
      <c r="C5094" s="2" t="str">
        <f t="shared" si="424"/>
        <v>SUPRI</v>
      </c>
      <c r="D5094" s="2" t="str">
        <f t="shared" si="425"/>
        <v>MGCE</v>
      </c>
      <c r="E5094" s="2" t="str">
        <f>"MOVIMENTAÇÃO DE PREPARO"</f>
        <v>MOVIMENTAÇÃO DE PREPARO</v>
      </c>
      <c r="F5094" s="2" t="str">
        <f>"M_PREPARO"</f>
        <v>M_PREPARO</v>
      </c>
      <c r="G5094" s="2" t="str">
        <f>"Serviços de Apoio / Central de Materiais Esterilizados / Movimentações / Preparo (M_PREPARO)"</f>
        <v>Serviços de Apoio / Central de Materiais Esterilizados / Movimentações / Preparo (M_PREPARO)</v>
      </c>
    </row>
    <row r="5095" spans="1:7" x14ac:dyDescent="0.3">
      <c r="A5095" s="1" t="s">
        <v>4</v>
      </c>
      <c r="B5095" s="2" t="str">
        <f t="shared" si="423"/>
        <v>CONTROLE DE ESTERILIZAÇÃO</v>
      </c>
      <c r="C5095" s="2" t="str">
        <f t="shared" si="424"/>
        <v>SUPRI</v>
      </c>
      <c r="D5095" s="2" t="str">
        <f t="shared" si="425"/>
        <v>MGCE</v>
      </c>
      <c r="E5095" s="2" t="str">
        <f>"MOVIMENTAÇÃO DE DEVOLUÇÃO DE ARSENAL"</f>
        <v>MOVIMENTAÇÃO DE DEVOLUÇÃO DE ARSENAL</v>
      </c>
      <c r="F5095" s="2" t="str">
        <f>"M_MVTO_ARSENAL_DEVOL"</f>
        <v>M_MVTO_ARSENAL_DEVOL</v>
      </c>
      <c r="G5095" s="2" t="str">
        <f>" ()"</f>
        <v xml:space="preserve"> ()</v>
      </c>
    </row>
    <row r="5096" spans="1:7" x14ac:dyDescent="0.3">
      <c r="A5096" s="1" t="s">
        <v>4</v>
      </c>
      <c r="B5096" s="2" t="str">
        <f t="shared" si="423"/>
        <v>CONTROLE DE ESTERILIZAÇÃO</v>
      </c>
      <c r="C5096" s="2" t="str">
        <f t="shared" si="424"/>
        <v>SUPRI</v>
      </c>
      <c r="D5096" s="2" t="str">
        <f t="shared" si="425"/>
        <v>MGCE</v>
      </c>
      <c r="E5096" s="2" t="str">
        <f>"MOVIMENTAÇÃO DE SAÍDA DO ARSENAL"</f>
        <v>MOVIMENTAÇÃO DE SAÍDA DO ARSENAL</v>
      </c>
      <c r="F5096" s="2" t="str">
        <f>"M_MVTO_ARSENAL_SAI"</f>
        <v>M_MVTO_ARSENAL_SAI</v>
      </c>
      <c r="G5096" s="2" t="str">
        <f>" ()"</f>
        <v xml:space="preserve"> ()</v>
      </c>
    </row>
    <row r="5097" spans="1:7" x14ac:dyDescent="0.3">
      <c r="A5097" s="1" t="s">
        <v>4</v>
      </c>
      <c r="B5097" s="2" t="str">
        <f t="shared" si="423"/>
        <v>CONTROLE DE ESTERILIZAÇÃO</v>
      </c>
      <c r="C5097" s="2" t="str">
        <f t="shared" si="424"/>
        <v>SUPRI</v>
      </c>
      <c r="D5097" s="2" t="str">
        <f t="shared" si="425"/>
        <v>MGCE</v>
      </c>
      <c r="E5097" s="2" t="str">
        <f>"MOVIMENTAÇÃO DE DESINFECÇÃO DE EXPURGO"</f>
        <v>MOVIMENTAÇÃO DE DESINFECÇÃO DE EXPURGO</v>
      </c>
      <c r="F5097" s="2" t="str">
        <f>"M_DESINFECCAO"</f>
        <v>M_DESINFECCAO</v>
      </c>
      <c r="G5097" s="2" t="str">
        <f>"Serviços de Apoio / Central de Materiais Esterilizados / Movimentações / Desinfecção (M_DESINFECCAO)"</f>
        <v>Serviços de Apoio / Central de Materiais Esterilizados / Movimentações / Desinfecção (M_DESINFECCAO)</v>
      </c>
    </row>
    <row r="5098" spans="1:7" x14ac:dyDescent="0.3">
      <c r="A5098" s="1" t="s">
        <v>4</v>
      </c>
      <c r="B5098" s="2" t="str">
        <f t="shared" si="423"/>
        <v>CONTROLE DE ESTERILIZAÇÃO</v>
      </c>
      <c r="C5098" s="2" t="str">
        <f t="shared" si="424"/>
        <v>SUPRI</v>
      </c>
      <c r="D5098" s="2" t="str">
        <f t="shared" si="425"/>
        <v>MGCE</v>
      </c>
      <c r="E5098" s="2" t="str">
        <f>"MOVIMENTAÇÃO DE ENTRADA DO EXPURGO"</f>
        <v>MOVIMENTAÇÃO DE ENTRADA DO EXPURGO</v>
      </c>
      <c r="F5098" s="2" t="str">
        <f>"M_EXPURGO"</f>
        <v>M_EXPURGO</v>
      </c>
      <c r="G5098" s="2" t="str">
        <f>"Serviços de Apoio / Central de Materiais Esterilizados / Movimentações / Expurgo (M_EXPURGO)"</f>
        <v>Serviços de Apoio / Central de Materiais Esterilizados / Movimentações / Expurgo (M_EXPURGO)</v>
      </c>
    </row>
    <row r="5099" spans="1:7" x14ac:dyDescent="0.3">
      <c r="A5099" s="1" t="s">
        <v>4</v>
      </c>
      <c r="B5099" s="2" t="str">
        <f t="shared" si="423"/>
        <v>CONTROLE DE ESTERILIZAÇÃO</v>
      </c>
      <c r="C5099" s="2" t="str">
        <f t="shared" si="424"/>
        <v>SUPRI</v>
      </c>
      <c r="D5099" s="2" t="str">
        <f t="shared" si="425"/>
        <v>MGCE</v>
      </c>
      <c r="E5099" s="2" t="str">
        <f>"MOVIMENTAÇÃO DE ENTRADA NO ARSENAL"</f>
        <v>MOVIMENTAÇÃO DE ENTRADA NO ARSENAL</v>
      </c>
      <c r="F5099" s="2" t="str">
        <f>"M_MVTO_ARSENAL_ENT"</f>
        <v>M_MVTO_ARSENAL_ENT</v>
      </c>
      <c r="G5099" s="2" t="str">
        <f>"Serviços de Apoio / Central de Materiais Esterilizados / Movimentações / Arsenal / Entrada (M_MVTO_ARSENAL_ENT)"</f>
        <v>Serviços de Apoio / Central de Materiais Esterilizados / Movimentações / Arsenal / Entrada (M_MVTO_ARSENAL_ENT)</v>
      </c>
    </row>
    <row r="5100" spans="1:7" x14ac:dyDescent="0.3">
      <c r="A5100" s="1" t="s">
        <v>4</v>
      </c>
      <c r="B5100" s="2" t="str">
        <f t="shared" si="423"/>
        <v>CONTROLE DE ESTERILIZAÇÃO</v>
      </c>
      <c r="C5100" s="2" t="str">
        <f t="shared" si="424"/>
        <v>SUPRI</v>
      </c>
      <c r="D5100" s="2" t="str">
        <f t="shared" si="425"/>
        <v>MGCE</v>
      </c>
      <c r="E5100" s="2" t="str">
        <f>"CADASTRO DA COMPOSIÇÃO DOS KITS"</f>
        <v>CADASTRO DA COMPOSIÇÃO DOS KITS</v>
      </c>
      <c r="F5100" s="2" t="str">
        <f>"M_COMP_KIT"</f>
        <v>M_COMP_KIT</v>
      </c>
      <c r="G5100" s="2" t="str">
        <f>"Serviços de Apoio / Central de Materiais Esterilizados / Tabelas / Composição de Kits (M_COMP_KIT)"</f>
        <v>Serviços de Apoio / Central de Materiais Esterilizados / Tabelas / Composição de Kits (M_COMP_KIT)</v>
      </c>
    </row>
    <row r="5101" spans="1:7" x14ac:dyDescent="0.3">
      <c r="A5101" s="1" t="s">
        <v>4</v>
      </c>
      <c r="B5101" s="2" t="str">
        <f t="shared" si="423"/>
        <v>CONTROLE DE ESTERILIZAÇÃO</v>
      </c>
      <c r="C5101" s="2" t="str">
        <f t="shared" si="424"/>
        <v>SUPRI</v>
      </c>
      <c r="D5101" s="2" t="str">
        <f t="shared" si="425"/>
        <v>MGCE</v>
      </c>
      <c r="E5101" s="2" t="str">
        <f>"CADASTRO DOS MOTIVOS DE CANCELAMENTO"</f>
        <v>CADASTRO DOS MOTIVOS DE CANCELAMENTO</v>
      </c>
      <c r="F5101" s="2" t="str">
        <f>"M_CANCELAMENTO"</f>
        <v>M_CANCELAMENTO</v>
      </c>
      <c r="G5101" s="2" t="str">
        <f>"Serviços de Apoio / Central de Materiais Esterilizados / Tabelas / Motivo de Cancelamento (M_CANCELAMENTO)"</f>
        <v>Serviços de Apoio / Central de Materiais Esterilizados / Tabelas / Motivo de Cancelamento (M_CANCELAMENTO)</v>
      </c>
    </row>
    <row r="5102" spans="1:7" x14ac:dyDescent="0.3">
      <c r="A5102" s="1" t="s">
        <v>4</v>
      </c>
      <c r="B5102" s="2" t="str">
        <f t="shared" si="423"/>
        <v>CONTROLE DE ESTERILIZAÇÃO</v>
      </c>
      <c r="C5102" s="2" t="str">
        <f t="shared" si="424"/>
        <v>SUPRI</v>
      </c>
      <c r="D5102" s="2" t="str">
        <f t="shared" si="425"/>
        <v>MGCE</v>
      </c>
      <c r="E5102" s="2" t="str">
        <f>"PERSONALIZADOS DO MGCE"</f>
        <v>PERSONALIZADOS DO MGCE</v>
      </c>
      <c r="F5102" s="2" t="str">
        <f>"R_PERSON_MGCE"</f>
        <v>R_PERSON_MGCE</v>
      </c>
      <c r="G5102" s="2" t="str">
        <f>"Serviços de Apoio / Central de Materiais Esterilizados / Relatórios / Personalizados (R_PERSON_MGCE)"</f>
        <v>Serviços de Apoio / Central de Materiais Esterilizados / Relatórios / Personalizados (R_PERSON_MGCE)</v>
      </c>
    </row>
    <row r="5103" spans="1:7" x14ac:dyDescent="0.3">
      <c r="A5103" s="1" t="s">
        <v>4</v>
      </c>
      <c r="B5103" s="2" t="str">
        <f t="shared" si="423"/>
        <v>CONTROLE DE ESTERILIZAÇÃO</v>
      </c>
      <c r="C5103" s="2" t="str">
        <f t="shared" si="424"/>
        <v>SUPRI</v>
      </c>
      <c r="D5103" s="2" t="str">
        <f t="shared" si="425"/>
        <v>MGCE</v>
      </c>
      <c r="E5103" s="2" t="str">
        <f>"M_TP_CX_CIRURGICA"</f>
        <v>M_TP_CX_CIRURGICA</v>
      </c>
      <c r="F5103" s="2" t="str">
        <f>"M_TP_CX_CIRURGICA"</f>
        <v>M_TP_CX_CIRURGICA</v>
      </c>
      <c r="G5103" s="2" t="str">
        <f>"Serviços de Apoio / Central de Materiais Esterilizados / Tabelas / Tipos de Caixas Cirúrgicas (M_TP_CX_CIRURGICA)"</f>
        <v>Serviços de Apoio / Central de Materiais Esterilizados / Tabelas / Tipos de Caixas Cirúrgicas (M_TP_CX_CIRURGICA)</v>
      </c>
    </row>
    <row r="5104" spans="1:7" x14ac:dyDescent="0.3">
      <c r="A5104" s="1" t="s">
        <v>4</v>
      </c>
      <c r="B5104" s="2" t="str">
        <f t="shared" si="423"/>
        <v>CONTROLE DE ESTERILIZAÇÃO</v>
      </c>
      <c r="C5104" s="2" t="str">
        <f t="shared" si="424"/>
        <v>SUPRI</v>
      </c>
      <c r="D5104" s="2" t="str">
        <f t="shared" si="425"/>
        <v>MGCE</v>
      </c>
      <c r="E5104" s="2" t="str">
        <f>"M_CONFIG_CME"</f>
        <v>M_CONFIG_CME</v>
      </c>
      <c r="F5104" s="2" t="str">
        <f>"M_CONFIG_CME"</f>
        <v>M_CONFIG_CME</v>
      </c>
      <c r="G5104" s="2" t="str">
        <f>"Serviços de Apoio / Central de Materiais Esterilizados / Configurações / Funcionamento (M_CONFIG_CME)"</f>
        <v>Serviços de Apoio / Central de Materiais Esterilizados / Configurações / Funcionamento (M_CONFIG_CME)</v>
      </c>
    </row>
    <row r="5105" spans="1:7" x14ac:dyDescent="0.3">
      <c r="A5105" s="1" t="s">
        <v>4</v>
      </c>
      <c r="B5105" s="2" t="str">
        <f t="shared" si="423"/>
        <v>CONTROLE DE ESTERILIZAÇÃO</v>
      </c>
      <c r="C5105" s="2" t="str">
        <f t="shared" si="424"/>
        <v>SUPRI</v>
      </c>
      <c r="D5105" s="2" t="str">
        <f t="shared" si="425"/>
        <v>MGCE</v>
      </c>
      <c r="E5105" s="2" t="str">
        <f>"M_CAD_PRE"</f>
        <v>M_CAD_PRE</v>
      </c>
      <c r="F5105" s="2" t="str">
        <f>"M_CAD_PRE"</f>
        <v>M_CAD_PRE</v>
      </c>
      <c r="G5105" s="2" t="str">
        <f>"Serviços de Apoio / Central de Materiais Esterilizados / Tabelas / Cadastro de Colaboradores (M_CAD_PRE)"</f>
        <v>Serviços de Apoio / Central de Materiais Esterilizados / Tabelas / Cadastro de Colaboradores (M_CAD_PRE)</v>
      </c>
    </row>
    <row r="5106" spans="1:7" x14ac:dyDescent="0.3">
      <c r="A5106" s="1" t="s">
        <v>4</v>
      </c>
      <c r="B5106" s="2" t="str">
        <f t="shared" si="423"/>
        <v>CONTROLE DE ESTERILIZAÇÃO</v>
      </c>
      <c r="C5106" s="2" t="str">
        <f t="shared" si="424"/>
        <v>SUPRI</v>
      </c>
      <c r="D5106" s="2" t="str">
        <f t="shared" si="425"/>
        <v>MGCE</v>
      </c>
      <c r="E5106" s="2" t="str">
        <f>"RELATÓRIO DE INSTRUMENTAIS INATIVOS"</f>
        <v>RELATÓRIO DE INSTRUMENTAIS INATIVOS</v>
      </c>
      <c r="F5106" s="2" t="str">
        <f>"R_PROD_FASE_COLABORA"</f>
        <v>R_PROD_FASE_COLABORA</v>
      </c>
      <c r="G5106" s="2" t="str">
        <f>"Serviços de Apoio / Central de Materiais Esterilizados / Relatórios / Gerencial / Produção por Fase - Colaborador (R_PROD_FASE_COLABORA)"</f>
        <v>Serviços de Apoio / Central de Materiais Esterilizados / Relatórios / Gerencial / Produção por Fase - Colaborador (R_PROD_FASE_COLABORA)</v>
      </c>
    </row>
    <row r="5107" spans="1:7" x14ac:dyDescent="0.3">
      <c r="A5107" s="1" t="s">
        <v>4</v>
      </c>
      <c r="B5107" s="2" t="str">
        <f t="shared" si="423"/>
        <v>CONTROLE DE ESTERILIZAÇÃO</v>
      </c>
      <c r="C5107" s="2" t="str">
        <f t="shared" si="424"/>
        <v>SUPRI</v>
      </c>
      <c r="D5107" s="2" t="str">
        <f t="shared" si="425"/>
        <v>MGCE</v>
      </c>
      <c r="E5107" s="2" t="str">
        <f>"RELATÓRIO DE PRODUÇÃO POR FASE"</f>
        <v>RELATÓRIO DE PRODUÇÃO POR FASE</v>
      </c>
      <c r="F5107" s="2" t="str">
        <f>"R_PROD_FASE"</f>
        <v>R_PROD_FASE</v>
      </c>
      <c r="G5107" s="2" t="str">
        <f>"Serviços de Apoio / Central de Materiais Esterilizados / Relatórios / Gerencial / Produção por Fase (R_PROD_FASE)"</f>
        <v>Serviços de Apoio / Central de Materiais Esterilizados / Relatórios / Gerencial / Produção por Fase (R_PROD_FASE)</v>
      </c>
    </row>
    <row r="5108" spans="1:7" x14ac:dyDescent="0.3">
      <c r="A5108" s="1" t="s">
        <v>4</v>
      </c>
      <c r="B5108" s="2" t="str">
        <f t="shared" si="423"/>
        <v>CONTROLE DE ESTERILIZAÇÃO</v>
      </c>
      <c r="C5108" s="2" t="str">
        <f t="shared" si="424"/>
        <v>SUPRI</v>
      </c>
      <c r="D5108" s="2" t="str">
        <f t="shared" si="425"/>
        <v>MGCE</v>
      </c>
      <c r="E5108" s="2" t="str">
        <f>"RELATÓRIO DE LOCALIDADES DO ARSENAL"</f>
        <v>RELATÓRIO DE LOCALIDADES DO ARSENAL</v>
      </c>
      <c r="F5108" s="2" t="str">
        <f>"R_LOC_ARSENAL"</f>
        <v>R_LOC_ARSENAL</v>
      </c>
      <c r="G5108" s="2" t="str">
        <f>"Serviços de Apoio / Central de Materiais Esterilizados / Relatórios / Tabelas / Localidades do Arsenal (R_LOC_ARSENAL)"</f>
        <v>Serviços de Apoio / Central de Materiais Esterilizados / Relatórios / Tabelas / Localidades do Arsenal (R_LOC_ARSENAL)</v>
      </c>
    </row>
    <row r="5109" spans="1:7" x14ac:dyDescent="0.3">
      <c r="A5109" s="1" t="s">
        <v>4</v>
      </c>
      <c r="B5109" s="2" t="str">
        <f t="shared" si="423"/>
        <v>CONTROLE DE ESTERILIZAÇÃO</v>
      </c>
      <c r="C5109" s="2" t="str">
        <f t="shared" si="424"/>
        <v>SUPRI</v>
      </c>
      <c r="D5109" s="2" t="str">
        <f t="shared" si="425"/>
        <v>MGCE</v>
      </c>
      <c r="E5109" s="2" t="str">
        <f>"CADASTRO DA LOCALIZAÇÃO DO INSTRUMENTAL"</f>
        <v>CADASTRO DA LOCALIZAÇÃO DO INSTRUMENTAL</v>
      </c>
      <c r="F5109" s="2" t="str">
        <f>"M_ARSENAL"</f>
        <v>M_ARSENAL</v>
      </c>
      <c r="G5109" s="2" t="str">
        <f>"Serviços de Apoio / Central de Materiais Esterilizados / Tabelas / Cadastro da Localidade do Arsenal (M_ARSENAL)"</f>
        <v>Serviços de Apoio / Central de Materiais Esterilizados / Tabelas / Cadastro da Localidade do Arsenal (M_ARSENAL)</v>
      </c>
    </row>
    <row r="5110" spans="1:7" x14ac:dyDescent="0.3">
      <c r="A5110" s="1" t="s">
        <v>4</v>
      </c>
      <c r="B5110" s="2" t="str">
        <f t="shared" si="423"/>
        <v>CONTROLE DE ESTERILIZAÇÃO</v>
      </c>
      <c r="C5110" s="2" t="str">
        <f t="shared" si="424"/>
        <v>SUPRI</v>
      </c>
      <c r="D5110" s="2" t="str">
        <f t="shared" si="425"/>
        <v>MGCE</v>
      </c>
      <c r="E5110" s="2" t="str">
        <f>"CADASTRO  DAS MÁQUINAS ESTERILIZADORAS"</f>
        <v>CADASTRO  DAS MÁQUINAS ESTERILIZADORAS</v>
      </c>
      <c r="F5110" s="2" t="str">
        <f>"M_MAQ_ESTERILIZADORA"</f>
        <v>M_MAQ_ESTERILIZADORA</v>
      </c>
      <c r="G5110" s="2" t="str">
        <f>"Serviços de Apoio / Central de Materiais Esterilizados / Tabelas / Cadastro de Máquinas Esterilizadoras (M_MAQ_ESTERILIZADORA)"</f>
        <v>Serviços de Apoio / Central de Materiais Esterilizados / Tabelas / Cadastro de Máquinas Esterilizadoras (M_MAQ_ESTERILIZADORA)</v>
      </c>
    </row>
    <row r="5111" spans="1:7" x14ac:dyDescent="0.3">
      <c r="A5111" s="1" t="s">
        <v>4</v>
      </c>
      <c r="B5111" s="2" t="str">
        <f t="shared" si="423"/>
        <v>CONTROLE DE ESTERILIZAÇÃO</v>
      </c>
      <c r="C5111" s="2" t="str">
        <f t="shared" si="424"/>
        <v>SUPRI</v>
      </c>
      <c r="D5111" s="2" t="str">
        <f t="shared" si="425"/>
        <v>MGCE</v>
      </c>
      <c r="E5111" s="2" t="str">
        <f>"CADASTRO DOS TIPOS DE CAIXAS CIRÚRGICAS"</f>
        <v>CADASTRO DOS TIPOS DE CAIXAS CIRÚRGICAS</v>
      </c>
      <c r="F5111" s="2" t="str">
        <f>"M_TIPO_CX_CIRURGICA"</f>
        <v>M_TIPO_CX_CIRURGICA</v>
      </c>
      <c r="G5111" s="2" t="str">
        <f>" ()"</f>
        <v xml:space="preserve"> ()</v>
      </c>
    </row>
    <row r="5112" spans="1:7" x14ac:dyDescent="0.3">
      <c r="A5112" s="1" t="s">
        <v>4</v>
      </c>
      <c r="B5112" s="2" t="str">
        <f t="shared" si="423"/>
        <v>CONTROLE DE ESTERILIZAÇÃO</v>
      </c>
      <c r="C5112" s="2" t="str">
        <f t="shared" si="424"/>
        <v>SUPRI</v>
      </c>
      <c r="D5112" s="2" t="str">
        <f t="shared" si="425"/>
        <v>MGCE</v>
      </c>
      <c r="E5112" s="2" t="str">
        <f>"CADASTRO DOS TIPOS DE INSTRUMENTAIS"</f>
        <v>CADASTRO DOS TIPOS DE INSTRUMENTAIS</v>
      </c>
      <c r="F5112" s="2" t="str">
        <f>"M_TP_INSTRUMENTAL"</f>
        <v>M_TP_INSTRUMENTAL</v>
      </c>
      <c r="G5112" s="2" t="str">
        <f>"Serviços de Apoio / Central de Materiais Esterilizados / Tabelas / Tipos de Instrumentais ( Ciclo ) (M_TP_INSTRUMENTAL)"</f>
        <v>Serviços de Apoio / Central de Materiais Esterilizados / Tabelas / Tipos de Instrumentais ( Ciclo ) (M_TP_INSTRUMENTAL)</v>
      </c>
    </row>
    <row r="5113" spans="1:7" x14ac:dyDescent="0.3">
      <c r="A5113" s="1" t="s">
        <v>4</v>
      </c>
      <c r="B5113" s="2" t="str">
        <f t="shared" si="423"/>
        <v>CONTROLE DE ESTERILIZAÇÃO</v>
      </c>
      <c r="C5113" s="2" t="str">
        <f t="shared" si="424"/>
        <v>SUPRI</v>
      </c>
      <c r="D5113" s="2" t="str">
        <f t="shared" si="425"/>
        <v>MGCE</v>
      </c>
      <c r="E5113" s="2" t="str">
        <f>"INSTRUMENTAIS INATIVOS"</f>
        <v>INSTRUMENTAIS INATIVOS</v>
      </c>
      <c r="F5113" s="2" t="str">
        <f>"R_INST_INATIVO.RDF"</f>
        <v>R_INST_INATIVO.RDF</v>
      </c>
      <c r="G5113" s="2" t="str">
        <f>" ()"</f>
        <v xml:space="preserve"> ()</v>
      </c>
    </row>
    <row r="5114" spans="1:7" x14ac:dyDescent="0.3">
      <c r="A5114" s="1" t="s">
        <v>4</v>
      </c>
      <c r="B5114" s="2" t="str">
        <f t="shared" si="423"/>
        <v>CONTROLE DE ESTERILIZAÇÃO</v>
      </c>
      <c r="C5114" s="2" t="str">
        <f t="shared" si="424"/>
        <v>SUPRI</v>
      </c>
      <c r="D5114" s="2" t="str">
        <f t="shared" si="425"/>
        <v>MGCE</v>
      </c>
      <c r="E5114" s="2" t="str">
        <f>"MOVIMENTAÇÃO FINAL DE ESTERILIZAÇÃO"</f>
        <v>MOVIMENTAÇÃO FINAL DE ESTERILIZAÇÃO</v>
      </c>
      <c r="F5114" s="2" t="str">
        <f>"R_FINAL_ESTERILIZACAO"</f>
        <v>R_FINAL_ESTERILIZACAO</v>
      </c>
      <c r="G5114" s="2" t="str">
        <f>"Serviços de Apoio / Central de Materiais Esterilizados / Relatórios / Movimentações / Final de Esterilização (R_FINAL_ESTERILIZACAO)"</f>
        <v>Serviços de Apoio / Central de Materiais Esterilizados / Relatórios / Movimentações / Final de Esterilização (R_FINAL_ESTERILIZACAO)</v>
      </c>
    </row>
    <row r="5115" spans="1:7" x14ac:dyDescent="0.3">
      <c r="A5115" s="1" t="s">
        <v>4</v>
      </c>
      <c r="B5115" s="2" t="str">
        <f t="shared" si="423"/>
        <v>CONTROLE DE ESTERILIZAÇÃO</v>
      </c>
      <c r="C5115" s="2" t="str">
        <f t="shared" si="424"/>
        <v>SUPRI</v>
      </c>
      <c r="D5115" s="2" t="str">
        <f t="shared" si="425"/>
        <v>MGCE</v>
      </c>
      <c r="E5115" s="2" t="str">
        <f>"DEVOLUÇÃO ARTESANAL"</f>
        <v>DEVOLUÇÃO ARTESANAL</v>
      </c>
      <c r="F5115" s="2" t="str">
        <f>"M_MVTO_ARTESANAL_DEVOL"</f>
        <v>M_MVTO_ARTESANAL_DEVOL</v>
      </c>
      <c r="G5115" s="2" t="str">
        <f>"Serviços de Apoio / Central de Materiais Esterilizados / Movimentações / Arsenal / Devolução (M_MVTO_ARTESANAL_DEVOL)"</f>
        <v>Serviços de Apoio / Central de Materiais Esterilizados / Movimentações / Arsenal / Devolução (M_MVTO_ARTESANAL_DEVOL)</v>
      </c>
    </row>
    <row r="5116" spans="1:7" x14ac:dyDescent="0.3">
      <c r="A5116" s="1" t="s">
        <v>4</v>
      </c>
      <c r="B5116" s="2" t="str">
        <f t="shared" si="423"/>
        <v>CONTROLE DE ESTERILIZAÇÃO</v>
      </c>
      <c r="C5116" s="2" t="str">
        <f t="shared" si="424"/>
        <v>SUPRI</v>
      </c>
      <c r="D5116" s="2" t="str">
        <f t="shared" si="425"/>
        <v>MGCE</v>
      </c>
      <c r="E5116" s="2" t="str">
        <f>"SAÍDA ARTESANAL"</f>
        <v>SAÍDA ARTESANAL</v>
      </c>
      <c r="F5116" s="2" t="str">
        <f>"M_MVTO_ARTESANAL_SAI"</f>
        <v>M_MVTO_ARTESANAL_SAI</v>
      </c>
      <c r="G5116" s="2" t="str">
        <f>"Serviços de Apoio / Central de Materiais Esterilizados / Movimentações / Arsenal / Saída (M_MVTO_ARTESANAL_SAI)"</f>
        <v>Serviços de Apoio / Central de Materiais Esterilizados / Movimentações / Arsenal / Saída (M_MVTO_ARTESANAL_SAI)</v>
      </c>
    </row>
    <row r="5117" spans="1:7" x14ac:dyDescent="0.3">
      <c r="A5117" s="1" t="s">
        <v>4</v>
      </c>
      <c r="B5117" s="2" t="str">
        <f t="shared" si="423"/>
        <v>CONTROLE DE ESTERILIZAÇÃO</v>
      </c>
      <c r="C5117" s="2" t="str">
        <f t="shared" si="424"/>
        <v>SUPRI</v>
      </c>
      <c r="D5117" s="2" t="str">
        <f t="shared" si="425"/>
        <v>MGCE</v>
      </c>
      <c r="E5117" s="2" t="str">
        <f>"ENTRADA ARTESANAL"</f>
        <v>ENTRADA ARTESANAL</v>
      </c>
      <c r="F5117" s="2" t="str">
        <f>"M_MVTO_ARTESANAL_ENT"</f>
        <v>M_MVTO_ARTESANAL_ENT</v>
      </c>
      <c r="G5117" s="2" t="str">
        <f>" ()"</f>
        <v xml:space="preserve"> ()</v>
      </c>
    </row>
    <row r="5118" spans="1:7" x14ac:dyDescent="0.3">
      <c r="A5118" s="1" t="s">
        <v>4</v>
      </c>
      <c r="B5118" s="2" t="str">
        <f t="shared" si="423"/>
        <v>CONTROLE DE ESTERILIZAÇÃO</v>
      </c>
      <c r="C5118" s="2" t="str">
        <f t="shared" si="424"/>
        <v>SUPRI</v>
      </c>
      <c r="D5118" s="2" t="str">
        <f t="shared" si="425"/>
        <v>MGCE</v>
      </c>
      <c r="E5118" s="2" t="str">
        <f>"INFORME DE MOVIMIENTO DE ESTERILIZACIÓN"</f>
        <v>INFORME DE MOVIMIENTO DE ESTERILIZACIÓN</v>
      </c>
      <c r="F5118" s="2" t="str">
        <f>"R_MOV_ESTERILIZADOR"</f>
        <v>R_MOV_ESTERILIZADOR</v>
      </c>
      <c r="G5118" s="2" t="str">
        <f>"Serviços de Apoio / Central de Materiais Esterilizados / Relatórios / Movimentações / Estatística de Esterilização (R_MOV_ESTERILIZADOR)"</f>
        <v>Serviços de Apoio / Central de Materiais Esterilizados / Relatórios / Movimentações / Estatística de Esterilização (R_MOV_ESTERILIZADOR)</v>
      </c>
    </row>
    <row r="5119" spans="1:7" x14ac:dyDescent="0.3">
      <c r="A5119" s="1" t="s">
        <v>4</v>
      </c>
      <c r="B5119" s="2" t="str">
        <f t="shared" si="423"/>
        <v>CONTROLE DE ESTERILIZAÇÃO</v>
      </c>
      <c r="C5119" s="2" t="str">
        <f t="shared" si="424"/>
        <v>SUPRI</v>
      </c>
      <c r="D5119" s="2" t="str">
        <f t="shared" si="425"/>
        <v>MGCE</v>
      </c>
      <c r="E5119" s="2" t="str">
        <f>"DIGITAÇÃO DOS TESTES"</f>
        <v>DIGITAÇÃO DOS TESTES</v>
      </c>
      <c r="F5119" s="2" t="str">
        <f>"M_DIG_TESTE"</f>
        <v>M_DIG_TESTE</v>
      </c>
      <c r="G5119" s="2" t="str">
        <f>"Serviços de Apoio / Central de Materiais Esterilizados / Movimentações / Digitação dos Testes (M_DIG_TESTE)"</f>
        <v>Serviços de Apoio / Central de Materiais Esterilizados / Movimentações / Digitação dos Testes (M_DIG_TESTE)</v>
      </c>
    </row>
    <row r="5120" spans="1:7" x14ac:dyDescent="0.3">
      <c r="A5120" s="1" t="s">
        <v>4</v>
      </c>
      <c r="B5120" s="2" t="str">
        <f t="shared" si="423"/>
        <v>CONTROLE DE ESTERILIZAÇÃO</v>
      </c>
      <c r="C5120" s="2" t="str">
        <f t="shared" si="424"/>
        <v>SUPRI</v>
      </c>
      <c r="D5120" s="2" t="str">
        <f t="shared" si="425"/>
        <v>MGCE</v>
      </c>
      <c r="E5120" s="2" t="str">
        <f>"M_ESTERILIZACAO_TST"</f>
        <v>M_ESTERILIZACAO_TST</v>
      </c>
      <c r="F5120" s="2" t="str">
        <f>"M_ESTERILIZACAO_TST"</f>
        <v>M_ESTERILIZACAO_TST</v>
      </c>
      <c r="G5120" s="2" t="str">
        <f>" ()"</f>
        <v xml:space="preserve"> ()</v>
      </c>
    </row>
    <row r="5121" spans="1:7" x14ac:dyDescent="0.3">
      <c r="A5121" s="1" t="s">
        <v>4</v>
      </c>
      <c r="B5121" s="2" t="str">
        <f t="shared" si="423"/>
        <v>CONTROLE DE ESTERILIZAÇÃO</v>
      </c>
      <c r="C5121" s="2" t="str">
        <f t="shared" si="424"/>
        <v>SUPRI</v>
      </c>
      <c r="D5121" s="2" t="str">
        <f t="shared" si="425"/>
        <v>MGCE</v>
      </c>
      <c r="E5121" s="2" t="str">
        <f>"MOVIMENTAÇÃO DE ENTRADA NO ARSENAL"</f>
        <v>MOVIMENTAÇÃO DE ENTRADA NO ARSENAL</v>
      </c>
      <c r="F5121" s="2" t="str">
        <f>"M_MVTO_ARSENAL_TST"</f>
        <v>M_MVTO_ARSENAL_TST</v>
      </c>
      <c r="G5121" s="2" t="str">
        <f>" ()"</f>
        <v xml:space="preserve"> ()</v>
      </c>
    </row>
    <row r="5122" spans="1:7" x14ac:dyDescent="0.3">
      <c r="A5122" s="1" t="s">
        <v>4</v>
      </c>
      <c r="B5122" s="2" t="str">
        <f t="shared" si="423"/>
        <v>CONTROLE DE ESTERILIZAÇÃO</v>
      </c>
      <c r="C5122" s="2" t="str">
        <f t="shared" si="424"/>
        <v>SUPRI</v>
      </c>
      <c r="D5122" s="2" t="str">
        <f t="shared" si="425"/>
        <v>MGCE</v>
      </c>
      <c r="E5122" s="2" t="str">
        <f>"MOTIVOS DE CANCELAMENTO"</f>
        <v>MOTIVOS DE CANCELAMENTO</v>
      </c>
      <c r="F5122" s="2" t="str">
        <f>"R_MOT_CANCEL.RDF"</f>
        <v>R_MOT_CANCEL.RDF</v>
      </c>
      <c r="G5122" s="2" t="str">
        <f>" ()"</f>
        <v xml:space="preserve"> ()</v>
      </c>
    </row>
    <row r="5123" spans="1:7" x14ac:dyDescent="0.3">
      <c r="A5123" s="1" t="s">
        <v>4</v>
      </c>
      <c r="B5123" s="2" t="str">
        <f t="shared" si="423"/>
        <v>CONTROLE DE ESTERILIZAÇÃO</v>
      </c>
      <c r="C5123" s="2" t="str">
        <f t="shared" si="424"/>
        <v>SUPRI</v>
      </c>
      <c r="D5123" s="2" t="str">
        <f t="shared" si="425"/>
        <v>MGCE</v>
      </c>
      <c r="E5123" s="2" t="str">
        <f>"CONSULTA CIRURGIAS DE OPME"</f>
        <v>CONSULTA CIRURGIAS DE OPME</v>
      </c>
      <c r="F5123" s="2" t="str">
        <f>"M_LOG_ESTERILIZACAO"</f>
        <v>M_LOG_ESTERILIZACAO</v>
      </c>
      <c r="G5123" s="2" t="str">
        <f>"Serviços de Apoio / Central de Materiais Esterilizados / Consultas / Registro de Erros na Esterilização (M_LOG_ESTERILIZACAO)"</f>
        <v>Serviços de Apoio / Central de Materiais Esterilizados / Consultas / Registro de Erros na Esterilização (M_LOG_ESTERILIZACAO)</v>
      </c>
    </row>
    <row r="5124" spans="1:7" x14ac:dyDescent="0.3">
      <c r="A5124" s="1" t="s">
        <v>4</v>
      </c>
      <c r="B5124" s="2" t="str">
        <f t="shared" si="423"/>
        <v>CONTROLE DE ESTERILIZAÇÃO</v>
      </c>
      <c r="C5124" s="2" t="str">
        <f t="shared" si="424"/>
        <v>SUPRI</v>
      </c>
      <c r="D5124" s="2" t="str">
        <f t="shared" si="425"/>
        <v>MGCE</v>
      </c>
      <c r="E5124" s="2" t="str">
        <f>"M_FUNCIONAL_CME"</f>
        <v>M_FUNCIONAL_CME</v>
      </c>
      <c r="F5124" s="2" t="str">
        <f>"M_FUNCIONAL_CME"</f>
        <v>M_FUNCIONAL_CME</v>
      </c>
      <c r="G5124" s="2" t="str">
        <f>"Serviços de Apoio / Central de Materiais Esterilizados / Configurações / Funcionalidades Palm (M_FUNCIONAL_CME)"</f>
        <v>Serviços de Apoio / Central de Materiais Esterilizados / Configurações / Funcionalidades Palm (M_FUNCIONAL_CME)</v>
      </c>
    </row>
    <row r="5125" spans="1:7" x14ac:dyDescent="0.3">
      <c r="A5125" s="1" t="s">
        <v>4</v>
      </c>
      <c r="B5125" s="2" t="str">
        <f t="shared" si="423"/>
        <v>CONTROLE DE ESTERILIZAÇÃO</v>
      </c>
      <c r="C5125" s="2" t="str">
        <f t="shared" si="424"/>
        <v>SUPRI</v>
      </c>
      <c r="D5125" s="2" t="str">
        <f t="shared" si="425"/>
        <v>MGCE</v>
      </c>
      <c r="E5125" s="2" t="str">
        <f>"IDENTIFICAÇÃO"</f>
        <v>IDENTIFICAÇÃO</v>
      </c>
      <c r="F5125" s="2" t="str">
        <f>"MGCE"</f>
        <v>MGCE</v>
      </c>
      <c r="G5125" s="2" t="str">
        <f>" ()"</f>
        <v xml:space="preserve"> ()</v>
      </c>
    </row>
    <row r="5126" spans="1:7" x14ac:dyDescent="0.3">
      <c r="A5126" s="1" t="s">
        <v>4</v>
      </c>
      <c r="B5126" s="2" t="str">
        <f t="shared" si="423"/>
        <v>CONTROLE DE ESTERILIZAÇÃO</v>
      </c>
      <c r="C5126" s="2" t="str">
        <f t="shared" si="424"/>
        <v>SUPRI</v>
      </c>
      <c r="D5126" s="2" t="str">
        <f t="shared" si="425"/>
        <v>MGCE</v>
      </c>
      <c r="E5126" s="2" t="str">
        <f>"WIN_PRINCIPAL - HOSPITAL MV SISTEMAS"</f>
        <v>WIN_PRINCIPAL - HOSPITAL MV SISTEMAS</v>
      </c>
      <c r="F5126" s="2" t="str">
        <f>"M_ESTERILIZA_MOVEL"</f>
        <v>M_ESTERILIZA_MOVEL</v>
      </c>
      <c r="G5126" s="2" t="str">
        <f>"Serviços de Apoio / Central de Materiais Esterilizados / Movimentações / Esterilização Palm (M_ESTERILIZA_MOVEL)"</f>
        <v>Serviços de Apoio / Central de Materiais Esterilizados / Movimentações / Esterilização Palm (M_ESTERILIZA_MOVEL)</v>
      </c>
    </row>
    <row r="5127" spans="1:7" x14ac:dyDescent="0.3">
      <c r="A5127" s="1" t="s">
        <v>4</v>
      </c>
      <c r="B5127" s="2" t="str">
        <f t="shared" si="423"/>
        <v>CONTROLE DE ESTERILIZAÇÃO</v>
      </c>
      <c r="C5127" s="2" t="str">
        <f t="shared" si="424"/>
        <v>SUPRI</v>
      </c>
      <c r="D5127" s="2" t="str">
        <f t="shared" si="425"/>
        <v>MGCE</v>
      </c>
      <c r="E5127" s="2" t="str">
        <f>"RELATÓRIO DE SAÍDA DO ARSENAL"</f>
        <v>RELATÓRIO DE SAÍDA DO ARSENAL</v>
      </c>
      <c r="F5127" s="2" t="str">
        <f>"R_MVTO_ARSENAL_SAI"</f>
        <v>R_MVTO_ARSENAL_SAI</v>
      </c>
      <c r="G5127" s="2" t="str">
        <f t="shared" ref="G5127:G5138" si="426">" ()"</f>
        <v xml:space="preserve"> ()</v>
      </c>
    </row>
    <row r="5128" spans="1:7" x14ac:dyDescent="0.3">
      <c r="A5128" s="1" t="s">
        <v>4</v>
      </c>
      <c r="B5128" s="2" t="str">
        <f t="shared" si="423"/>
        <v>CONTROLE DE ESTERILIZAÇÃO</v>
      </c>
      <c r="C5128" s="2" t="str">
        <f t="shared" si="424"/>
        <v>SUPRI</v>
      </c>
      <c r="D5128" s="2" t="str">
        <f t="shared" si="425"/>
        <v>MGCE</v>
      </c>
      <c r="E5128" s="2" t="str">
        <f>"PRODUÇÃO POR FASE - COLABORADOR"</f>
        <v>PRODUÇÃO POR FASE - COLABORADOR</v>
      </c>
      <c r="F5128" s="2" t="str">
        <f>"R_PROD_FASE_COLABORA.RDF"</f>
        <v>R_PROD_FASE_COLABORA.RDF</v>
      </c>
      <c r="G5128" s="2" t="str">
        <f t="shared" si="426"/>
        <v xml:space="preserve"> ()</v>
      </c>
    </row>
    <row r="5129" spans="1:7" x14ac:dyDescent="0.3">
      <c r="A5129" s="1" t="s">
        <v>4</v>
      </c>
      <c r="B5129" s="2" t="str">
        <f t="shared" si="423"/>
        <v>CONTROLE DE ESTERILIZAÇÃO</v>
      </c>
      <c r="C5129" s="2" t="str">
        <f t="shared" si="424"/>
        <v>SUPRI</v>
      </c>
      <c r="D5129" s="2" t="str">
        <f t="shared" si="425"/>
        <v>MGCE</v>
      </c>
      <c r="E5129" s="2" t="str">
        <f>"RELATÓRIO DE PRODUÇÃO POR FASE"</f>
        <v>RELATÓRIO DE PRODUÇÃO POR FASE</v>
      </c>
      <c r="F5129" s="2" t="str">
        <f>"R_PROD_FASE.RDF"</f>
        <v>R_PROD_FASE.RDF</v>
      </c>
      <c r="G5129" s="2" t="str">
        <f t="shared" si="426"/>
        <v xml:space="preserve"> ()</v>
      </c>
    </row>
    <row r="5130" spans="1:7" x14ac:dyDescent="0.3">
      <c r="A5130" s="1" t="s">
        <v>4</v>
      </c>
      <c r="B5130" s="2" t="str">
        <f t="shared" si="423"/>
        <v>CONTROLE DE ESTERILIZAÇÃO</v>
      </c>
      <c r="C5130" s="2" t="str">
        <f t="shared" si="424"/>
        <v>SUPRI</v>
      </c>
      <c r="D5130" s="2" t="str">
        <f t="shared" si="425"/>
        <v>MGCE</v>
      </c>
      <c r="E5130" s="2" t="str">
        <f>"RELAÇÃO DE PRESTADORES NO ARSENAL"</f>
        <v>RELAÇÃO DE PRESTADORES NO ARSENAL</v>
      </c>
      <c r="F5130" s="2" t="str">
        <f>"R_LOC_INST_PRESTADOR.RDF"</f>
        <v>R_LOC_INST_PRESTADOR.RDF</v>
      </c>
      <c r="G5130" s="2" t="str">
        <f t="shared" si="426"/>
        <v xml:space="preserve"> ()</v>
      </c>
    </row>
    <row r="5131" spans="1:7" x14ac:dyDescent="0.3">
      <c r="A5131" s="1" t="s">
        <v>4</v>
      </c>
      <c r="B5131" s="2" t="str">
        <f t="shared" si="423"/>
        <v>CONTROLE DE ESTERILIZAÇÃO</v>
      </c>
      <c r="C5131" s="2" t="str">
        <f t="shared" si="424"/>
        <v>SUPRI</v>
      </c>
      <c r="D5131" s="2" t="str">
        <f t="shared" si="425"/>
        <v>MGCE</v>
      </c>
      <c r="E5131" s="2" t="str">
        <f>"CANCELAMENTO DE MOVIMENTAÇÕES"</f>
        <v>CANCELAMENTO DE MOVIMENTAÇÕES</v>
      </c>
      <c r="F5131" s="2" t="str">
        <f>"R_CANCELA_MOV.RDF"</f>
        <v>R_CANCELA_MOV.RDF</v>
      </c>
      <c r="G5131" s="2" t="str">
        <f t="shared" si="426"/>
        <v xml:space="preserve"> ()</v>
      </c>
    </row>
    <row r="5132" spans="1:7" x14ac:dyDescent="0.3">
      <c r="A5132" s="1" t="s">
        <v>4</v>
      </c>
      <c r="B5132" s="2" t="str">
        <f t="shared" si="423"/>
        <v>CONTROLE DE ESTERILIZAÇÃO</v>
      </c>
      <c r="C5132" s="2" t="str">
        <f t="shared" si="424"/>
        <v>SUPRI</v>
      </c>
      <c r="D5132" s="2" t="str">
        <f t="shared" si="425"/>
        <v>MGCE</v>
      </c>
      <c r="E5132" s="2" t="str">
        <f>"VENCIMENTO DE ESTERILIZAÇÕES"</f>
        <v>VENCIMENTO DE ESTERILIZAÇÕES</v>
      </c>
      <c r="F5132" s="2" t="str">
        <f>"R_VENC_EST.RDF"</f>
        <v>R_VENC_EST.RDF</v>
      </c>
      <c r="G5132" s="2" t="str">
        <f t="shared" si="426"/>
        <v xml:space="preserve"> ()</v>
      </c>
    </row>
    <row r="5133" spans="1:7" x14ac:dyDescent="0.3">
      <c r="A5133" s="1" t="s">
        <v>4</v>
      </c>
      <c r="B5133" s="2" t="str">
        <f t="shared" si="423"/>
        <v>CONTROLE DE ESTERILIZAÇÃO</v>
      </c>
      <c r="C5133" s="2" t="str">
        <f t="shared" si="424"/>
        <v>SUPRI</v>
      </c>
      <c r="D5133" s="2" t="str">
        <f t="shared" si="425"/>
        <v>MGCE</v>
      </c>
      <c r="E5133" s="2" t="str">
        <f>"ESTATÍSTICAS DE ESTERILIZAÇÃO"</f>
        <v>ESTATÍSTICAS DE ESTERILIZAÇÃO</v>
      </c>
      <c r="F5133" s="2" t="str">
        <f>"R_MOV_ESTERILIZADOR.RDF"</f>
        <v>R_MOV_ESTERILIZADOR.RDF</v>
      </c>
      <c r="G5133" s="2" t="str">
        <f t="shared" si="426"/>
        <v xml:space="preserve"> ()</v>
      </c>
    </row>
    <row r="5134" spans="1:7" x14ac:dyDescent="0.3">
      <c r="A5134" s="1" t="s">
        <v>4</v>
      </c>
      <c r="B5134" s="2" t="str">
        <f t="shared" si="423"/>
        <v>CONTROLE DE ESTERILIZAÇÃO</v>
      </c>
      <c r="C5134" s="2" t="str">
        <f t="shared" si="424"/>
        <v>SUPRI</v>
      </c>
      <c r="D5134" s="2" t="str">
        <f t="shared" si="425"/>
        <v>MGCE</v>
      </c>
      <c r="E5134" s="2" t="str">
        <f>"ESTERILIZAÇÃO"</f>
        <v>ESTERILIZAÇÃO</v>
      </c>
      <c r="F5134" s="2" t="str">
        <f>"R_MOV_ESTERILIZA.RDF"</f>
        <v>R_MOV_ESTERILIZA.RDF</v>
      </c>
      <c r="G5134" s="2" t="str">
        <f t="shared" si="426"/>
        <v xml:space="preserve"> ()</v>
      </c>
    </row>
    <row r="5135" spans="1:7" x14ac:dyDescent="0.3">
      <c r="A5135" s="1" t="s">
        <v>4</v>
      </c>
      <c r="B5135" s="2" t="str">
        <f t="shared" ref="B5135:B5169" si="427">"CONTROLE DE ESTERILIZAÇÃO"</f>
        <v>CONTROLE DE ESTERILIZAÇÃO</v>
      </c>
      <c r="C5135" s="2" t="str">
        <f t="shared" ref="C5135:C5198" si="428">"SUPRI"</f>
        <v>SUPRI</v>
      </c>
      <c r="D5135" s="2" t="str">
        <f t="shared" ref="D5135:D5169" si="429">"MGCE"</f>
        <v>MGCE</v>
      </c>
      <c r="E5135" s="2" t="str">
        <f>"PREPARO"</f>
        <v>PREPARO</v>
      </c>
      <c r="F5135" s="2" t="str">
        <f>"R_MOV_PREPARO.RDF"</f>
        <v>R_MOV_PREPARO.RDF</v>
      </c>
      <c r="G5135" s="2" t="str">
        <f t="shared" si="426"/>
        <v xml:space="preserve"> ()</v>
      </c>
    </row>
    <row r="5136" spans="1:7" x14ac:dyDescent="0.3">
      <c r="A5136" s="1" t="s">
        <v>4</v>
      </c>
      <c r="B5136" s="2" t="str">
        <f t="shared" si="427"/>
        <v>CONTROLE DE ESTERILIZAÇÃO</v>
      </c>
      <c r="C5136" s="2" t="str">
        <f t="shared" si="428"/>
        <v>SUPRI</v>
      </c>
      <c r="D5136" s="2" t="str">
        <f t="shared" si="429"/>
        <v>MGCE</v>
      </c>
      <c r="E5136" s="2" t="str">
        <f>"DESINFECÇÃO"</f>
        <v>DESINFECÇÃO</v>
      </c>
      <c r="F5136" s="2" t="str">
        <f>"R_MOV_DESINFECCAO.RDF"</f>
        <v>R_MOV_DESINFECCAO.RDF</v>
      </c>
      <c r="G5136" s="2" t="str">
        <f t="shared" si="426"/>
        <v xml:space="preserve"> ()</v>
      </c>
    </row>
    <row r="5137" spans="1:7" x14ac:dyDescent="0.3">
      <c r="A5137" s="1" t="s">
        <v>4</v>
      </c>
      <c r="B5137" s="2" t="str">
        <f t="shared" si="427"/>
        <v>CONTROLE DE ESTERILIZAÇÃO</v>
      </c>
      <c r="C5137" s="2" t="str">
        <f t="shared" si="428"/>
        <v>SUPRI</v>
      </c>
      <c r="D5137" s="2" t="str">
        <f t="shared" si="429"/>
        <v>MGCE</v>
      </c>
      <c r="E5137" s="2" t="str">
        <f>"EXPURGO"</f>
        <v>EXPURGO</v>
      </c>
      <c r="F5137" s="2" t="str">
        <f>"R_ENTRADA_EXPURGO.RDF"</f>
        <v>R_ENTRADA_EXPURGO.RDF</v>
      </c>
      <c r="G5137" s="2" t="str">
        <f t="shared" si="426"/>
        <v xml:space="preserve"> ()</v>
      </c>
    </row>
    <row r="5138" spans="1:7" x14ac:dyDescent="0.3">
      <c r="A5138" s="1" t="s">
        <v>4</v>
      </c>
      <c r="B5138" s="2" t="str">
        <f t="shared" si="427"/>
        <v>CONTROLE DE ESTERILIZAÇÃO</v>
      </c>
      <c r="C5138" s="2" t="str">
        <f t="shared" si="428"/>
        <v>SUPRI</v>
      </c>
      <c r="D5138" s="2" t="str">
        <f t="shared" si="429"/>
        <v>MGCE</v>
      </c>
      <c r="E5138" s="2" t="str">
        <f>"ETIQUETA DE CÓDIGO DE BARRA"</f>
        <v>ETIQUETA DE CÓDIGO DE BARRA</v>
      </c>
      <c r="F5138" s="2" t="str">
        <f>"M_CONFIG_ETIQUETA_CME.RDF"</f>
        <v>M_CONFIG_ETIQUETA_CME.RDF</v>
      </c>
      <c r="G5138" s="2" t="str">
        <f t="shared" si="426"/>
        <v xml:space="preserve"> ()</v>
      </c>
    </row>
    <row r="5139" spans="1:7" x14ac:dyDescent="0.3">
      <c r="A5139" s="1" t="s">
        <v>4</v>
      </c>
      <c r="B5139" s="2" t="str">
        <f t="shared" si="427"/>
        <v>CONTROLE DE ESTERILIZAÇÃO</v>
      </c>
      <c r="C5139" s="2" t="str">
        <f t="shared" si="428"/>
        <v>SUPRI</v>
      </c>
      <c r="D5139" s="2" t="str">
        <f t="shared" si="429"/>
        <v>MGCE</v>
      </c>
      <c r="E5139" s="2" t="str">
        <f>"R_LOC_INST_PRESTADOR"</f>
        <v>R_LOC_INST_PRESTADOR</v>
      </c>
      <c r="F5139" s="2" t="str">
        <f>"R_LOC_INST_PRESTADOR"</f>
        <v>R_LOC_INST_PRESTADOR</v>
      </c>
      <c r="G5139" s="2" t="str">
        <f>"Serviços de Apoio / Central de Materiais Esterilizados / Relatórios / Gerencial / Relação de Prestadores no Arsenal (R_LOC_INST_PRESTADOR)"</f>
        <v>Serviços de Apoio / Central de Materiais Esterilizados / Relatórios / Gerencial / Relação de Prestadores no Arsenal (R_LOC_INST_PRESTADOR)</v>
      </c>
    </row>
    <row r="5140" spans="1:7" x14ac:dyDescent="0.3">
      <c r="A5140" s="1" t="s">
        <v>4</v>
      </c>
      <c r="B5140" s="2" t="str">
        <f t="shared" si="427"/>
        <v>CONTROLE DE ESTERILIZAÇÃO</v>
      </c>
      <c r="C5140" s="2" t="str">
        <f t="shared" si="428"/>
        <v>SUPRI</v>
      </c>
      <c r="D5140" s="2" t="str">
        <f t="shared" si="429"/>
        <v>MGCE</v>
      </c>
      <c r="E5140" s="2" t="str">
        <f>"RELATÓRIO DE INSTRUMENTAIS INATIVOS"</f>
        <v>RELATÓRIO DE INSTRUMENTAIS INATIVOS</v>
      </c>
      <c r="F5140" s="2" t="str">
        <f>"R_CANCELA_MOV"</f>
        <v>R_CANCELA_MOV</v>
      </c>
      <c r="G5140" s="2" t="str">
        <f>"Serviços de Apoio / Central de Materiais Esterilizados / Relatórios / Gerencial / Cancelamentos de Movimentações (R_CANCELA_MOV)"</f>
        <v>Serviços de Apoio / Central de Materiais Esterilizados / Relatórios / Gerencial / Cancelamentos de Movimentações (R_CANCELA_MOV)</v>
      </c>
    </row>
    <row r="5141" spans="1:7" x14ac:dyDescent="0.3">
      <c r="A5141" s="1" t="s">
        <v>4</v>
      </c>
      <c r="B5141" s="2" t="str">
        <f t="shared" si="427"/>
        <v>CONTROLE DE ESTERILIZAÇÃO</v>
      </c>
      <c r="C5141" s="2" t="str">
        <f t="shared" si="428"/>
        <v>SUPRI</v>
      </c>
      <c r="D5141" s="2" t="str">
        <f t="shared" si="429"/>
        <v>MGCE</v>
      </c>
      <c r="E5141" s="2" t="str">
        <f>"R_INST_PRESTADOR"</f>
        <v>R_INST_PRESTADOR</v>
      </c>
      <c r="F5141" s="2" t="str">
        <f>"R_INST_PRESTADOR"</f>
        <v>R_INST_PRESTADOR</v>
      </c>
      <c r="G5141" s="2" t="str">
        <f>"Serviços de Apoio / Central de Materiais Esterilizados / Relatórios / Tabelas / Instrumentais dos Prestadores (R_INST_PRESTADOR)"</f>
        <v>Serviços de Apoio / Central de Materiais Esterilizados / Relatórios / Tabelas / Instrumentais dos Prestadores (R_INST_PRESTADOR)</v>
      </c>
    </row>
    <row r="5142" spans="1:7" x14ac:dyDescent="0.3">
      <c r="A5142" s="1" t="s">
        <v>4</v>
      </c>
      <c r="B5142" s="2" t="str">
        <f t="shared" si="427"/>
        <v>CONTROLE DE ESTERILIZAÇÃO</v>
      </c>
      <c r="C5142" s="2" t="str">
        <f t="shared" si="428"/>
        <v>SUPRI</v>
      </c>
      <c r="D5142" s="2" t="str">
        <f t="shared" si="429"/>
        <v>MGCE</v>
      </c>
      <c r="E5142" s="2" t="str">
        <f>"CADASTRO  DAS MÁQUINAS ESTERILIZADORAS"</f>
        <v>CADASTRO  DAS MÁQUINAS ESTERILIZADORAS</v>
      </c>
      <c r="F5142" s="2" t="str">
        <f>"M_TP_ESTERILIZACAO"</f>
        <v>M_TP_ESTERILIZACAO</v>
      </c>
      <c r="G5142" s="2" t="str">
        <f>"Serviços de Apoio / Central de Materiais Esterilizados / Tabelas / Tipo de Esterilização (M_TP_ESTERILIZACAO)"</f>
        <v>Serviços de Apoio / Central de Materiais Esterilizados / Tabelas / Tipo de Esterilização (M_TP_ESTERILIZACAO)</v>
      </c>
    </row>
    <row r="5143" spans="1:7" x14ac:dyDescent="0.3">
      <c r="A5143" s="1" t="s">
        <v>4</v>
      </c>
      <c r="B5143" s="2" t="str">
        <f t="shared" si="427"/>
        <v>CONTROLE DE ESTERILIZAÇÃO</v>
      </c>
      <c r="C5143" s="2" t="str">
        <f t="shared" si="428"/>
        <v>SUPRI</v>
      </c>
      <c r="D5143" s="2" t="str">
        <f t="shared" si="429"/>
        <v>MGCE</v>
      </c>
      <c r="E5143" s="2" t="str">
        <f>"RELATÓRIO DE MOVIMENTAÇÃO DE PREPARO"</f>
        <v>RELATÓRIO DE MOVIMENTAÇÃO DE PREPARO</v>
      </c>
      <c r="F5143" s="2" t="str">
        <f>"R_MOV_PREPARO"</f>
        <v>R_MOV_PREPARO</v>
      </c>
      <c r="G5143" s="2" t="str">
        <f>"Serviços de Apoio / Central de Materiais Esterilizados / Relatórios / Movimentações / Preparo (R_MOV_PREPARO)"</f>
        <v>Serviços de Apoio / Central de Materiais Esterilizados / Relatórios / Movimentações / Preparo (R_MOV_PREPARO)</v>
      </c>
    </row>
    <row r="5144" spans="1:7" x14ac:dyDescent="0.3">
      <c r="A5144" s="1" t="s">
        <v>4</v>
      </c>
      <c r="B5144" s="2" t="str">
        <f t="shared" si="427"/>
        <v>CONTROLE DE ESTERILIZAÇÃO</v>
      </c>
      <c r="C5144" s="2" t="str">
        <f t="shared" si="428"/>
        <v>SUPRI</v>
      </c>
      <c r="D5144" s="2" t="str">
        <f t="shared" si="429"/>
        <v>MGCE</v>
      </c>
      <c r="E5144" s="2" t="str">
        <f>"RELATÓRIO DE MOVIMENTAÇÃO DE DESINFECÇÃO"</f>
        <v>RELATÓRIO DE MOVIMENTAÇÃO DE DESINFECÇÃO</v>
      </c>
      <c r="F5144" s="2" t="str">
        <f>"R_MOV_DESINFECCAO"</f>
        <v>R_MOV_DESINFECCAO</v>
      </c>
      <c r="G5144" s="2" t="str">
        <f>"Serviços de Apoio / Central de Materiais Esterilizados / Relatórios / Movimentações / Desinfecção (R_MOV_DESINFECCAO)"</f>
        <v>Serviços de Apoio / Central de Materiais Esterilizados / Relatórios / Movimentações / Desinfecção (R_MOV_DESINFECCAO)</v>
      </c>
    </row>
    <row r="5145" spans="1:7" x14ac:dyDescent="0.3">
      <c r="A5145" s="1" t="s">
        <v>4</v>
      </c>
      <c r="B5145" s="2" t="str">
        <f t="shared" si="427"/>
        <v>CONTROLE DE ESTERILIZAÇÃO</v>
      </c>
      <c r="C5145" s="2" t="str">
        <f t="shared" si="428"/>
        <v>SUPRI</v>
      </c>
      <c r="D5145" s="2" t="str">
        <f t="shared" si="429"/>
        <v>MGCE</v>
      </c>
      <c r="E5145" s="2" t="str">
        <f>"IMAGEM - 01-HOSPITAL MV SISTEMAS"</f>
        <v>IMAGEM - 01-HOSPITAL MV SISTEMAS</v>
      </c>
      <c r="F5145" s="2" t="str">
        <f>"M_COMP_CAIXA"</f>
        <v>M_COMP_CAIXA</v>
      </c>
      <c r="G5145" s="2" t="str">
        <f>"Serviços de Apoio / Central de Materiais Esterilizados / Tabelas / Composição de Caixas Cirúrgicas (M_COMP_CAIXA)"</f>
        <v>Serviços de Apoio / Central de Materiais Esterilizados / Tabelas / Composição de Caixas Cirúrgicas (M_COMP_CAIXA)</v>
      </c>
    </row>
    <row r="5146" spans="1:7" x14ac:dyDescent="0.3">
      <c r="A5146" s="1" t="s">
        <v>4</v>
      </c>
      <c r="B5146" s="2" t="str">
        <f t="shared" si="427"/>
        <v>CONTROLE DE ESTERILIZAÇÃO</v>
      </c>
      <c r="C5146" s="2" t="str">
        <f t="shared" si="428"/>
        <v>SUPRI</v>
      </c>
      <c r="D5146" s="2" t="str">
        <f t="shared" si="429"/>
        <v>MGCE</v>
      </c>
      <c r="E5146" s="2" t="str">
        <f>"RELATÓRIO DE MOVIMENTAÇÃO DE EXPURGO"</f>
        <v>RELATÓRIO DE MOVIMENTAÇÃO DE EXPURGO</v>
      </c>
      <c r="F5146" s="2" t="str">
        <f>"R_ENTRADA_EXPURGO"</f>
        <v>R_ENTRADA_EXPURGO</v>
      </c>
      <c r="G5146" s="2" t="str">
        <f>"Serviços de Apoio / Central de Materiais Esterilizados / Relatórios / Movimentações / Expurgo (R_ENTRADA_EXPURGO)"</f>
        <v>Serviços de Apoio / Central de Materiais Esterilizados / Relatórios / Movimentações / Expurgo (R_ENTRADA_EXPURGO)</v>
      </c>
    </row>
    <row r="5147" spans="1:7" x14ac:dyDescent="0.3">
      <c r="A5147" s="1" t="s">
        <v>4</v>
      </c>
      <c r="B5147" s="2" t="str">
        <f t="shared" si="427"/>
        <v>CONTROLE DE ESTERILIZAÇÃO</v>
      </c>
      <c r="C5147" s="2" t="str">
        <f t="shared" si="428"/>
        <v>SUPRI</v>
      </c>
      <c r="D5147" s="2" t="str">
        <f t="shared" si="429"/>
        <v>MGCE</v>
      </c>
      <c r="E5147" s="2" t="str">
        <f>"INFORME DE APARATOS ESTERILIZADORES"</f>
        <v>INFORME DE APARATOS ESTERILIZADORES</v>
      </c>
      <c r="F5147" s="2" t="str">
        <f>"R_EQUI_EST"</f>
        <v>R_EQUI_EST</v>
      </c>
      <c r="G5147" s="2" t="str">
        <f>"Serviços de Apoio / Central de Materiais Esterilizados / Relatórios / Tabelas / Equipamentos Esterilizadores (R_EQUI_EST)"</f>
        <v>Serviços de Apoio / Central de Materiais Esterilizados / Relatórios / Tabelas / Equipamentos Esterilizadores (R_EQUI_EST)</v>
      </c>
    </row>
    <row r="5148" spans="1:7" x14ac:dyDescent="0.3">
      <c r="A5148" s="1" t="s">
        <v>4</v>
      </c>
      <c r="B5148" s="2" t="str">
        <f t="shared" si="427"/>
        <v>CONTROLE DE ESTERILIZAÇÃO</v>
      </c>
      <c r="C5148" s="2" t="str">
        <f t="shared" si="428"/>
        <v>SUPRI</v>
      </c>
      <c r="D5148" s="2" t="str">
        <f t="shared" si="429"/>
        <v>MGCE</v>
      </c>
      <c r="E5148" s="2" t="str">
        <f>"RELATÓRIOS DE TIPOS DE INSTRUMENTAIS"</f>
        <v>RELATÓRIOS DE TIPOS DE INSTRUMENTAIS</v>
      </c>
      <c r="F5148" s="2" t="str">
        <f>"R_TP_INSTRUMENTAL"</f>
        <v>R_TP_INSTRUMENTAL</v>
      </c>
      <c r="G5148" s="2" t="str">
        <f>"Serviços de Apoio / Central de Materiais Esterilizados / Relatórios / Tabelas / Tipos de Instrumentais (R_TP_INSTRUMENTAL)"</f>
        <v>Serviços de Apoio / Central de Materiais Esterilizados / Relatórios / Tabelas / Tipos de Instrumentais (R_TP_INSTRUMENTAL)</v>
      </c>
    </row>
    <row r="5149" spans="1:7" x14ac:dyDescent="0.3">
      <c r="A5149" s="1" t="s">
        <v>4</v>
      </c>
      <c r="B5149" s="2" t="str">
        <f t="shared" si="427"/>
        <v>CONTROLE DE ESTERILIZAÇÃO</v>
      </c>
      <c r="C5149" s="2" t="str">
        <f t="shared" si="428"/>
        <v>SUPRI</v>
      </c>
      <c r="D5149" s="2" t="str">
        <f t="shared" si="429"/>
        <v>MGCE</v>
      </c>
      <c r="E5149" s="2" t="str">
        <f>"R_COM_CAIXA"</f>
        <v>R_COM_CAIXA</v>
      </c>
      <c r="F5149" s="2" t="str">
        <f>"R_COM_CAIXA"</f>
        <v>R_COM_CAIXA</v>
      </c>
      <c r="G5149" s="2" t="str">
        <f>"Serviços de Apoio / Central de Materiais Esterilizados / Relatórios / Tabelas / Composição de Caixas Cirúrgicas (R_COM_CAIXA)"</f>
        <v>Serviços de Apoio / Central de Materiais Esterilizados / Relatórios / Tabelas / Composição de Caixas Cirúrgicas (R_COM_CAIXA)</v>
      </c>
    </row>
    <row r="5150" spans="1:7" x14ac:dyDescent="0.3">
      <c r="A5150" s="1" t="s">
        <v>4</v>
      </c>
      <c r="B5150" s="2" t="str">
        <f t="shared" si="427"/>
        <v>CONTROLE DE ESTERILIZAÇÃO</v>
      </c>
      <c r="C5150" s="2" t="str">
        <f t="shared" si="428"/>
        <v>SUPRI</v>
      </c>
      <c r="D5150" s="2" t="str">
        <f t="shared" si="429"/>
        <v>MGCE</v>
      </c>
      <c r="E5150" s="2" t="str">
        <f>"RELATÓRIOS DE MOTIVOS DE CANCELAMENTO"</f>
        <v>RELATÓRIOS DE MOTIVOS DE CANCELAMENTO</v>
      </c>
      <c r="F5150" s="2" t="str">
        <f>"R_MOT_CANCEL"</f>
        <v>R_MOT_CANCEL</v>
      </c>
      <c r="G5150" s="2" t="str">
        <f>"Serviços de Apoio / Central de Materiais Esterilizados / Relatórios / Tabelas / Motivos de Cancelamento (R_MOT_CANCEL)"</f>
        <v>Serviços de Apoio / Central de Materiais Esterilizados / Relatórios / Tabelas / Motivos de Cancelamento (R_MOT_CANCEL)</v>
      </c>
    </row>
    <row r="5151" spans="1:7" x14ac:dyDescent="0.3">
      <c r="A5151" s="1" t="s">
        <v>4</v>
      </c>
      <c r="B5151" s="2" t="str">
        <f t="shared" si="427"/>
        <v>CONTROLE DE ESTERILIZAÇÃO</v>
      </c>
      <c r="C5151" s="2" t="str">
        <f t="shared" si="428"/>
        <v>SUPRI</v>
      </c>
      <c r="D5151" s="2" t="str">
        <f t="shared" si="429"/>
        <v>MGCE</v>
      </c>
      <c r="E5151" s="2" t="str">
        <f>"INFORME DE MOVIMIENTO DE ESTERILIZACIÓN"</f>
        <v>INFORME DE MOVIMIENTO DE ESTERILIZACIÓN</v>
      </c>
      <c r="F5151" s="2" t="str">
        <f>"R_MOV_ESTERILIZA"</f>
        <v>R_MOV_ESTERILIZA</v>
      </c>
      <c r="G5151" s="2" t="str">
        <f>"Serviços de Apoio / Central de Materiais Esterilizados / Relatórios / Movimentações / Esterilização (R_MOV_ESTERILIZA)"</f>
        <v>Serviços de Apoio / Central de Materiais Esterilizados / Relatórios / Movimentações / Esterilização (R_MOV_ESTERILIZA)</v>
      </c>
    </row>
    <row r="5152" spans="1:7" x14ac:dyDescent="0.3">
      <c r="A5152" s="1" t="s">
        <v>4</v>
      </c>
      <c r="B5152" s="2" t="str">
        <f t="shared" si="427"/>
        <v>CONTROLE DE ESTERILIZAÇÃO</v>
      </c>
      <c r="C5152" s="2" t="str">
        <f t="shared" si="428"/>
        <v>SUPRI</v>
      </c>
      <c r="D5152" s="2" t="str">
        <f t="shared" si="429"/>
        <v>MGCE</v>
      </c>
      <c r="E5152" s="2" t="str">
        <f>"RELATÓRIO DE TIPOS DE EMBALAGENS"</f>
        <v>RELATÓRIO DE TIPOS DE EMBALAGENS</v>
      </c>
      <c r="F5152" s="2" t="str">
        <f>"R_TP_EMBALAGEM"</f>
        <v>R_TP_EMBALAGEM</v>
      </c>
      <c r="G5152" s="2" t="str">
        <f>"Serviços de Apoio / Central de Materiais Esterilizados / Relatórios / Tabelas / Tipos de Embalagens (R_TP_EMBALAGEM)"</f>
        <v>Serviços de Apoio / Central de Materiais Esterilizados / Relatórios / Tabelas / Tipos de Embalagens (R_TP_EMBALAGEM)</v>
      </c>
    </row>
    <row r="5153" spans="1:7" x14ac:dyDescent="0.3">
      <c r="A5153" s="1" t="s">
        <v>4</v>
      </c>
      <c r="B5153" s="2" t="str">
        <f t="shared" si="427"/>
        <v>CONTROLE DE ESTERILIZAÇÃO</v>
      </c>
      <c r="C5153" s="2" t="str">
        <f t="shared" si="428"/>
        <v>SUPRI</v>
      </c>
      <c r="D5153" s="2" t="str">
        <f t="shared" si="429"/>
        <v>MGCE</v>
      </c>
      <c r="E5153" s="2" t="str">
        <f>"RELATÓRIO DE INSTRUMENTAIS INATIVOS"</f>
        <v>RELATÓRIO DE INSTRUMENTAIS INATIVOS</v>
      </c>
      <c r="F5153" s="2" t="str">
        <f>"R_COM_KIT"</f>
        <v>R_COM_KIT</v>
      </c>
      <c r="G5153" s="2" t="str">
        <f>"Serviços de Apoio / Central de Materiais Esterilizados / Relatórios / Tabelas / Composição de Kit's (R_COM_KIT)"</f>
        <v>Serviços de Apoio / Central de Materiais Esterilizados / Relatórios / Tabelas / Composição de Kit's (R_COM_KIT)</v>
      </c>
    </row>
    <row r="5154" spans="1:7" x14ac:dyDescent="0.3">
      <c r="A5154" s="1" t="s">
        <v>4</v>
      </c>
      <c r="B5154" s="2" t="str">
        <f t="shared" si="427"/>
        <v>CONTROLE DE ESTERILIZAÇÃO</v>
      </c>
      <c r="C5154" s="2" t="str">
        <f t="shared" si="428"/>
        <v>SUPRI</v>
      </c>
      <c r="D5154" s="2" t="str">
        <f t="shared" si="429"/>
        <v>MGCE</v>
      </c>
      <c r="E5154" s="2" t="str">
        <f>"RELATÓRIO DE INSTRUMENTAIS INATIVOS"</f>
        <v>RELATÓRIO DE INSTRUMENTAIS INATIVOS</v>
      </c>
      <c r="F5154" s="2" t="str">
        <f>"R_INST_INATIVO"</f>
        <v>R_INST_INATIVO</v>
      </c>
      <c r="G5154" s="2" t="str">
        <f>"Serviços de Apoio / Central de Materiais Esterilizados / Relatórios / Listagens / Instrumentais Inativos (R_INST_INATIVO)"</f>
        <v>Serviços de Apoio / Central de Materiais Esterilizados / Relatórios / Listagens / Instrumentais Inativos (R_INST_INATIVO)</v>
      </c>
    </row>
    <row r="5155" spans="1:7" x14ac:dyDescent="0.3">
      <c r="A5155" s="1" t="s">
        <v>4</v>
      </c>
      <c r="B5155" s="2" t="str">
        <f t="shared" si="427"/>
        <v>CONTROLE DE ESTERILIZAÇÃO</v>
      </c>
      <c r="C5155" s="2" t="str">
        <f t="shared" si="428"/>
        <v>SUPRI</v>
      </c>
      <c r="D5155" s="2" t="str">
        <f t="shared" si="429"/>
        <v>MGCE</v>
      </c>
      <c r="E5155" s="2" t="str">
        <f>"CONSULTA DA LOCALIZAÇÃO DO INSTRUMENTAL"</f>
        <v>CONSULTA DA LOCALIZAÇÃO DO INSTRUMENTAL</v>
      </c>
      <c r="F5155" s="2" t="str">
        <f>"C_LOCALIZACAO_INSTRUMENTAL"</f>
        <v>C_LOCALIZACAO_INSTRUMENTAL</v>
      </c>
      <c r="G5155" s="2" t="str">
        <f>"Serviços de Apoio / Central de Materiais Esterilizados / Consultas / Localização de Instrumentais (C_LOCALIZACAO_INSTRUMENTAL)"</f>
        <v>Serviços de Apoio / Central de Materiais Esterilizados / Consultas / Localização de Instrumentais (C_LOCALIZACAO_INSTRUMENTAL)</v>
      </c>
    </row>
    <row r="5156" spans="1:7" x14ac:dyDescent="0.3">
      <c r="A5156" s="1" t="s">
        <v>4</v>
      </c>
      <c r="B5156" s="2" t="str">
        <f t="shared" si="427"/>
        <v>CONTROLE DE ESTERILIZAÇÃO</v>
      </c>
      <c r="C5156" s="2" t="str">
        <f t="shared" si="428"/>
        <v>SUPRI</v>
      </c>
      <c r="D5156" s="2" t="str">
        <f t="shared" si="429"/>
        <v>MGCE</v>
      </c>
      <c r="E5156" s="2" t="str">
        <f>"RELAÇÃO DE ETIQUETA DAS COMPOSIÇÕES"</f>
        <v>RELAÇÃO DE ETIQUETA DAS COMPOSIÇÕES</v>
      </c>
      <c r="F5156" s="2" t="str">
        <f>"R_IMPRIMI_ETIQ_CME"</f>
        <v>R_IMPRIMI_ETIQ_CME</v>
      </c>
      <c r="G5156" s="2" t="str">
        <f>" ()"</f>
        <v xml:space="preserve"> ()</v>
      </c>
    </row>
    <row r="5157" spans="1:7" x14ac:dyDescent="0.3">
      <c r="A5157" s="1" t="s">
        <v>4</v>
      </c>
      <c r="B5157" s="2" t="str">
        <f t="shared" si="427"/>
        <v>CONTROLE DE ESTERILIZAÇÃO</v>
      </c>
      <c r="C5157" s="2" t="str">
        <f t="shared" si="428"/>
        <v>SUPRI</v>
      </c>
      <c r="D5157" s="2" t="str">
        <f t="shared" si="429"/>
        <v>MGCE</v>
      </c>
      <c r="E5157" s="2" t="str">
        <f>"ETIQUETAS DE CÓDIGO DE BARRAS"</f>
        <v>ETIQUETAS DE CÓDIGO DE BARRAS</v>
      </c>
      <c r="F5157" s="2" t="str">
        <f>"M_CONFIG_ETIQUETA_CME"</f>
        <v>M_CONFIG_ETIQUETA_CME</v>
      </c>
      <c r="G5157" s="2" t="str">
        <f>"Serviços de Apoio / Central de Materiais Esterilizados / Relatórios / Etiqueta de Código de Barra (M_CONFIG_ETIQUETA_CME)"</f>
        <v>Serviços de Apoio / Central de Materiais Esterilizados / Relatórios / Etiqueta de Código de Barra (M_CONFIG_ETIQUETA_CME)</v>
      </c>
    </row>
    <row r="5158" spans="1:7" x14ac:dyDescent="0.3">
      <c r="A5158" s="1" t="s">
        <v>4</v>
      </c>
      <c r="B5158" s="2" t="str">
        <f t="shared" si="427"/>
        <v>CONTROLE DE ESTERILIZAÇÃO</v>
      </c>
      <c r="C5158" s="2" t="str">
        <f t="shared" si="428"/>
        <v>SUPRI</v>
      </c>
      <c r="D5158" s="2" t="str">
        <f t="shared" si="429"/>
        <v>MGCE</v>
      </c>
      <c r="E5158" s="2" t="str">
        <f>"ETIQUETAS DE CÓDIGO DE BARRAS"</f>
        <v>ETIQUETAS DE CÓDIGO DE BARRAS</v>
      </c>
      <c r="F5158" s="2" t="str">
        <f>"M_CONFIG_ETIQUETA_CME"</f>
        <v>M_CONFIG_ETIQUETA_CME</v>
      </c>
      <c r="G5158" s="2" t="str">
        <f>"Serviços de Apoio / Central de Materiais Esterilizados / Configurações / Etiqueta de Código de Barras (M_CONFIG_ETIQUETA_CME)"</f>
        <v>Serviços de Apoio / Central de Materiais Esterilizados / Configurações / Etiqueta de Código de Barras (M_CONFIG_ETIQUETA_CME)</v>
      </c>
    </row>
    <row r="5159" spans="1:7" x14ac:dyDescent="0.3">
      <c r="A5159" s="1" t="s">
        <v>4</v>
      </c>
      <c r="B5159" s="2" t="str">
        <f t="shared" si="427"/>
        <v>CONTROLE DE ESTERILIZAÇÃO</v>
      </c>
      <c r="C5159" s="2" t="str">
        <f t="shared" si="428"/>
        <v>SUPRI</v>
      </c>
      <c r="D5159" s="2" t="str">
        <f t="shared" si="429"/>
        <v>MGCE</v>
      </c>
      <c r="E5159" s="2" t="str">
        <f>"COLABORADORES"</f>
        <v>COLABORADORES</v>
      </c>
      <c r="F5159" s="2" t="str">
        <f>"M_CAD_PRE.RDF"</f>
        <v>M_CAD_PRE.RDF</v>
      </c>
      <c r="G5159" s="2" t="str">
        <f t="shared" ref="G5159:G5172" si="430">" ()"</f>
        <v xml:space="preserve"> ()</v>
      </c>
    </row>
    <row r="5160" spans="1:7" x14ac:dyDescent="0.3">
      <c r="A5160" s="1" t="s">
        <v>4</v>
      </c>
      <c r="B5160" s="2" t="str">
        <f t="shared" si="427"/>
        <v>CONTROLE DE ESTERILIZAÇÃO</v>
      </c>
      <c r="C5160" s="2" t="str">
        <f t="shared" si="428"/>
        <v>SUPRI</v>
      </c>
      <c r="D5160" s="2" t="str">
        <f t="shared" si="429"/>
        <v>MGCE</v>
      </c>
      <c r="E5160" s="2" t="str">
        <f>"COMPOSIÇÃO DE CAIXAS CIRÚRGICAS"</f>
        <v>COMPOSIÇÃO DE CAIXAS CIRÚRGICAS</v>
      </c>
      <c r="F5160" s="2" t="str">
        <f>"M_COMP_CAIXA.RDF"</f>
        <v>M_COMP_CAIXA.RDF</v>
      </c>
      <c r="G5160" s="2" t="str">
        <f t="shared" si="430"/>
        <v xml:space="preserve"> ()</v>
      </c>
    </row>
    <row r="5161" spans="1:7" x14ac:dyDescent="0.3">
      <c r="A5161" s="1" t="s">
        <v>4</v>
      </c>
      <c r="B5161" s="2" t="str">
        <f t="shared" si="427"/>
        <v>CONTROLE DE ESTERILIZAÇÃO</v>
      </c>
      <c r="C5161" s="2" t="str">
        <f t="shared" si="428"/>
        <v>SUPRI</v>
      </c>
      <c r="D5161" s="2" t="str">
        <f t="shared" si="429"/>
        <v>MGCE</v>
      </c>
      <c r="E5161" s="2" t="str">
        <f>"COMPOSIÇÃO DE KIT'S"</f>
        <v>COMPOSIÇÃO DE KIT'S</v>
      </c>
      <c r="F5161" s="2" t="str">
        <f>"M_COMP_KIT.RDF"</f>
        <v>M_COMP_KIT.RDF</v>
      </c>
      <c r="G5161" s="2" t="str">
        <f t="shared" si="430"/>
        <v xml:space="preserve"> ()</v>
      </c>
    </row>
    <row r="5162" spans="1:7" x14ac:dyDescent="0.3">
      <c r="A5162" s="1" t="s">
        <v>4</v>
      </c>
      <c r="B5162" s="2" t="str">
        <f t="shared" si="427"/>
        <v>CONTROLE DE ESTERILIZAÇÃO</v>
      </c>
      <c r="C5162" s="2" t="str">
        <f t="shared" si="428"/>
        <v>SUPRI</v>
      </c>
      <c r="D5162" s="2" t="str">
        <f t="shared" si="429"/>
        <v>MGCE</v>
      </c>
      <c r="E5162" s="2" t="str">
        <f>"INSTRUMENTAIS DOS PRESTADORES"</f>
        <v>INSTRUMENTAIS DOS PRESTADORES</v>
      </c>
      <c r="F5162" s="2" t="str">
        <f>"R_INST_PRESTADOR.RDF"</f>
        <v>R_INST_PRESTADOR.RDF</v>
      </c>
      <c r="G5162" s="2" t="str">
        <f t="shared" si="430"/>
        <v xml:space="preserve"> ()</v>
      </c>
    </row>
    <row r="5163" spans="1:7" x14ac:dyDescent="0.3">
      <c r="A5163" s="1" t="s">
        <v>4</v>
      </c>
      <c r="B5163" s="2" t="str">
        <f t="shared" si="427"/>
        <v>CONTROLE DE ESTERILIZAÇÃO</v>
      </c>
      <c r="C5163" s="2" t="str">
        <f t="shared" si="428"/>
        <v>SUPRI</v>
      </c>
      <c r="D5163" s="2" t="str">
        <f t="shared" si="429"/>
        <v>MGCE</v>
      </c>
      <c r="E5163" s="2" t="str">
        <f>"LOCALIDADE DO ARSENAL"</f>
        <v>LOCALIDADE DO ARSENAL</v>
      </c>
      <c r="F5163" s="2" t="str">
        <f>"R_LOC_ARSENAL.RDF"</f>
        <v>R_LOC_ARSENAL.RDF</v>
      </c>
      <c r="G5163" s="2" t="str">
        <f t="shared" si="430"/>
        <v xml:space="preserve"> ()</v>
      </c>
    </row>
    <row r="5164" spans="1:7" x14ac:dyDescent="0.3">
      <c r="A5164" s="1" t="s">
        <v>4</v>
      </c>
      <c r="B5164" s="2" t="str">
        <f t="shared" si="427"/>
        <v>CONTROLE DE ESTERILIZAÇÃO</v>
      </c>
      <c r="C5164" s="2" t="str">
        <f t="shared" si="428"/>
        <v>SUPRI</v>
      </c>
      <c r="D5164" s="2" t="str">
        <f t="shared" si="429"/>
        <v>MGCE</v>
      </c>
      <c r="E5164" s="2" t="str">
        <f>"EQUIPAMENTOS ESTERILIZADORES"</f>
        <v>EQUIPAMENTOS ESTERILIZADORES</v>
      </c>
      <c r="F5164" s="2" t="str">
        <f>"R_EQUI_EST.RDF"</f>
        <v>R_EQUI_EST.RDF</v>
      </c>
      <c r="G5164" s="2" t="str">
        <f t="shared" si="430"/>
        <v xml:space="preserve"> ()</v>
      </c>
    </row>
    <row r="5165" spans="1:7" x14ac:dyDescent="0.3">
      <c r="A5165" s="1" t="s">
        <v>4</v>
      </c>
      <c r="B5165" s="2" t="str">
        <f t="shared" si="427"/>
        <v>CONTROLE DE ESTERILIZAÇÃO</v>
      </c>
      <c r="C5165" s="2" t="str">
        <f t="shared" si="428"/>
        <v>SUPRI</v>
      </c>
      <c r="D5165" s="2" t="str">
        <f t="shared" si="429"/>
        <v>MGCE</v>
      </c>
      <c r="E5165" s="2" t="str">
        <f>"TIPOS DE INSTRUMENTAIS"</f>
        <v>TIPOS DE INSTRUMENTAIS</v>
      </c>
      <c r="F5165" s="2" t="str">
        <f>"R_TP_INSTRUMENTAL.RDF"</f>
        <v>R_TP_INSTRUMENTAL.RDF</v>
      </c>
      <c r="G5165" s="2" t="str">
        <f t="shared" si="430"/>
        <v xml:space="preserve"> ()</v>
      </c>
    </row>
    <row r="5166" spans="1:7" x14ac:dyDescent="0.3">
      <c r="A5166" s="1" t="s">
        <v>4</v>
      </c>
      <c r="B5166" s="2" t="str">
        <f t="shared" si="427"/>
        <v>CONTROLE DE ESTERILIZAÇÃO</v>
      </c>
      <c r="C5166" s="2" t="str">
        <f t="shared" si="428"/>
        <v>SUPRI</v>
      </c>
      <c r="D5166" s="2" t="str">
        <f t="shared" si="429"/>
        <v>MGCE</v>
      </c>
      <c r="E5166" s="2" t="str">
        <f>"ESTATÍSTICA DE ESTERIIZAÇÃO SINTÉTICO"</f>
        <v>ESTATÍSTICA DE ESTERIIZAÇÃO SINTÉTICO</v>
      </c>
      <c r="F5166" s="2" t="str">
        <f>"R_MOV_ESTERILIZADOR_SINT"</f>
        <v>R_MOV_ESTERILIZADOR_SINT</v>
      </c>
      <c r="G5166" s="2" t="str">
        <f t="shared" si="430"/>
        <v xml:space="preserve"> ()</v>
      </c>
    </row>
    <row r="5167" spans="1:7" x14ac:dyDescent="0.3">
      <c r="A5167" s="1" t="s">
        <v>4</v>
      </c>
      <c r="B5167" s="2" t="str">
        <f t="shared" si="427"/>
        <v>CONTROLE DE ESTERILIZAÇÃO</v>
      </c>
      <c r="C5167" s="2" t="str">
        <f t="shared" si="428"/>
        <v>SUPRI</v>
      </c>
      <c r="D5167" s="2" t="str">
        <f t="shared" si="429"/>
        <v>MGCE</v>
      </c>
      <c r="E5167" s="2" t="str">
        <f>"ESTERILIZAÇÃO"</f>
        <v>ESTERILIZAÇÃO</v>
      </c>
      <c r="F5167" s="2" t="str">
        <f>"R_MOV_ESTERILIZA_SINT"</f>
        <v>R_MOV_ESTERILIZA_SINT</v>
      </c>
      <c r="G5167" s="2" t="str">
        <f t="shared" si="430"/>
        <v xml:space="preserve"> ()</v>
      </c>
    </row>
    <row r="5168" spans="1:7" x14ac:dyDescent="0.3">
      <c r="A5168" s="1" t="s">
        <v>4</v>
      </c>
      <c r="B5168" s="2" t="str">
        <f t="shared" si="427"/>
        <v>CONTROLE DE ESTERILIZAÇÃO</v>
      </c>
      <c r="C5168" s="2" t="str">
        <f t="shared" si="428"/>
        <v>SUPRI</v>
      </c>
      <c r="D5168" s="2" t="str">
        <f t="shared" si="429"/>
        <v>MGCE</v>
      </c>
      <c r="E5168" s="2" t="str">
        <f>"PREPARO"</f>
        <v>PREPARO</v>
      </c>
      <c r="F5168" s="2" t="str">
        <f>"R_MOV_PREPARO_SINT"</f>
        <v>R_MOV_PREPARO_SINT</v>
      </c>
      <c r="G5168" s="2" t="str">
        <f t="shared" si="430"/>
        <v xml:space="preserve"> ()</v>
      </c>
    </row>
    <row r="5169" spans="1:7" x14ac:dyDescent="0.3">
      <c r="A5169" s="1" t="s">
        <v>4</v>
      </c>
      <c r="B5169" s="2" t="str">
        <f t="shared" si="427"/>
        <v>CONTROLE DE ESTERILIZAÇÃO</v>
      </c>
      <c r="C5169" s="2" t="str">
        <f t="shared" si="428"/>
        <v>SUPRI</v>
      </c>
      <c r="D5169" s="2" t="str">
        <f t="shared" si="429"/>
        <v>MGCE</v>
      </c>
      <c r="E5169" s="2" t="str">
        <f>"DESINFECÇÃO"</f>
        <v>DESINFECÇÃO</v>
      </c>
      <c r="F5169" s="2" t="str">
        <f>"R_MOV_DESINFECCAO_SINT"</f>
        <v>R_MOV_DESINFECCAO_SINT</v>
      </c>
      <c r="G5169" s="2" t="str">
        <f t="shared" si="430"/>
        <v xml:space="preserve"> ()</v>
      </c>
    </row>
    <row r="5170" spans="1:7" x14ac:dyDescent="0.3">
      <c r="A5170" s="1" t="s">
        <v>4</v>
      </c>
      <c r="B5170" s="2" t="str">
        <f t="shared" ref="B5170:B5233" si="431">"SISTEMA DE GERENCIAMENTO DE COMPRAS"</f>
        <v>SISTEMA DE GERENCIAMENTO DE COMPRAS</v>
      </c>
      <c r="C5170" s="2" t="str">
        <f t="shared" si="428"/>
        <v>SUPRI</v>
      </c>
      <c r="D5170" s="2" t="str">
        <f t="shared" ref="D5170:D5233" si="432">"MGCO"</f>
        <v>MGCO</v>
      </c>
      <c r="E5170" s="2" t="str">
        <f>"SERVIÇOS"</f>
        <v>SERVIÇOS</v>
      </c>
      <c r="F5170" s="2" t="str">
        <f>"R_SERSOL.RDF"</f>
        <v>R_SERSOL.RDF</v>
      </c>
      <c r="G5170" s="2" t="str">
        <f t="shared" si="430"/>
        <v xml:space="preserve"> ()</v>
      </c>
    </row>
    <row r="5171" spans="1:7" x14ac:dyDescent="0.3">
      <c r="A5171" s="1" t="s">
        <v>4</v>
      </c>
      <c r="B5171" s="2" t="str">
        <f t="shared" si="431"/>
        <v>SISTEMA DE GERENCIAMENTO DE COMPRAS</v>
      </c>
      <c r="C5171" s="2" t="str">
        <f t="shared" si="428"/>
        <v>SUPRI</v>
      </c>
      <c r="D5171" s="2" t="str">
        <f t="shared" si="432"/>
        <v>MGCO</v>
      </c>
      <c r="E5171" s="2" t="str">
        <f>"Projeto Cadastro"</f>
        <v>Projeto Cadastro</v>
      </c>
      <c r="F5171" s="2" t="str">
        <f>"M_PROJETO_CADASTRO"</f>
        <v>M_PROJETO_CADASTRO</v>
      </c>
      <c r="G5171" s="2" t="str">
        <f t="shared" si="430"/>
        <v xml:space="preserve"> ()</v>
      </c>
    </row>
    <row r="5172" spans="1:7" x14ac:dyDescent="0.3">
      <c r="A5172" s="1" t="s">
        <v>4</v>
      </c>
      <c r="B5172" s="2" t="str">
        <f t="shared" si="431"/>
        <v>SISTEMA DE GERENCIAMENTO DE COMPRAS</v>
      </c>
      <c r="C5172" s="2" t="str">
        <f t="shared" si="428"/>
        <v>SUPRI</v>
      </c>
      <c r="D5172" s="2" t="str">
        <f t="shared" si="432"/>
        <v>MGCO</v>
      </c>
      <c r="E5172" s="2" t="str">
        <f>"R_SOL_COM_110"</f>
        <v>R_SOL_COM_110</v>
      </c>
      <c r="F5172" s="2" t="str">
        <f>"R_SOL_COM_110"</f>
        <v>R_SOL_COM_110</v>
      </c>
      <c r="G5172" s="2" t="str">
        <f t="shared" si="430"/>
        <v xml:space="preserve"> ()</v>
      </c>
    </row>
    <row r="5173" spans="1:7" x14ac:dyDescent="0.3">
      <c r="A5173" s="1" t="s">
        <v>4</v>
      </c>
      <c r="B5173" s="2" t="str">
        <f t="shared" si="431"/>
        <v>SISTEMA DE GERENCIAMENTO DE COMPRAS</v>
      </c>
      <c r="C5173" s="2" t="str">
        <f t="shared" si="428"/>
        <v>SUPRI</v>
      </c>
      <c r="D5173" s="2" t="str">
        <f t="shared" si="432"/>
        <v>MGCO</v>
      </c>
      <c r="E5173" s="2" t="str">
        <f>"CADASTRO: PRESTADORES"</f>
        <v>CADASTRO: PRESTADORES</v>
      </c>
      <c r="F5173" s="2" t="str">
        <f>"M_USU_ASSINATURA"</f>
        <v>M_USU_ASSINATURA</v>
      </c>
      <c r="G5173" s="2" t="str">
        <f>"Materiais e Logística / Compras / Configuração / Assinatura Eletrônica (M_USU_ASSINATURA)"</f>
        <v>Materiais e Logística / Compras / Configuração / Assinatura Eletrônica (M_USU_ASSINATURA)</v>
      </c>
    </row>
    <row r="5174" spans="1:7" x14ac:dyDescent="0.3">
      <c r="A5174" s="1" t="s">
        <v>4</v>
      </c>
      <c r="B5174" s="2" t="str">
        <f t="shared" si="431"/>
        <v>SISTEMA DE GERENCIAMENTO DE COMPRAS</v>
      </c>
      <c r="C5174" s="2" t="str">
        <f t="shared" si="428"/>
        <v>SUPRI</v>
      </c>
      <c r="D5174" s="2" t="str">
        <f t="shared" si="432"/>
        <v>MGCO</v>
      </c>
      <c r="E5174" s="2" t="str">
        <f>"RELATÓRIO DE ORDEM DE COMPRA POR PRODUTO"</f>
        <v>RELATÓRIO DE ORDEM DE COMPRA POR PRODUTO</v>
      </c>
      <c r="F5174" s="2" t="str">
        <f>"R_ORD_COM_PROD"</f>
        <v>R_ORD_COM_PROD</v>
      </c>
      <c r="G5174" s="2" t="str">
        <f>"Materiais e Logística / Compras / Relatórios / Ordem de Compra / Ordem de Compra por Produto (R_ORD_COM_PROD)"</f>
        <v>Materiais e Logística / Compras / Relatórios / Ordem de Compra / Ordem de Compra por Produto (R_ORD_COM_PROD)</v>
      </c>
    </row>
    <row r="5175" spans="1:7" x14ac:dyDescent="0.3">
      <c r="A5175" s="1" t="s">
        <v>4</v>
      </c>
      <c r="B5175" s="2" t="str">
        <f t="shared" si="431"/>
        <v>SISTEMA DE GERENCIAMENTO DE COMPRAS</v>
      </c>
      <c r="C5175" s="2" t="str">
        <f t="shared" si="428"/>
        <v>SUPRI</v>
      </c>
      <c r="D5175" s="2" t="str">
        <f t="shared" si="432"/>
        <v>MGCO</v>
      </c>
      <c r="E5175" s="2" t="str">
        <f>"CADASTRO: USUÁRIOS POR ESTOQUE"</f>
        <v>CADASTRO: USUÁRIOS POR ESTOQUE</v>
      </c>
      <c r="F5175" s="2" t="str">
        <f>"M_FORN_CONDPAGTO"</f>
        <v>M_FORN_CONDPAGTO</v>
      </c>
      <c r="G5175" s="2" t="str">
        <f>"Materiais e Logística / Compras / Configuração / Fornecedor x Condição de Pagamento (M_FORN_CONDPAGTO)"</f>
        <v>Materiais e Logística / Compras / Configuração / Fornecedor x Condição de Pagamento (M_FORN_CONDPAGTO)</v>
      </c>
    </row>
    <row r="5176" spans="1:7" x14ac:dyDescent="0.3">
      <c r="A5176" s="1" t="s">
        <v>4</v>
      </c>
      <c r="B5176" s="2" t="str">
        <f t="shared" si="431"/>
        <v>SISTEMA DE GERENCIAMENTO DE COMPRAS</v>
      </c>
      <c r="C5176" s="2" t="str">
        <f t="shared" si="428"/>
        <v>SUPRI</v>
      </c>
      <c r="D5176" s="2" t="str">
        <f t="shared" si="432"/>
        <v>MGCO</v>
      </c>
      <c r="E5176" s="2" t="str">
        <f>"Ordens de Compra bloqueadas"</f>
        <v>Ordens de Compra bloqueadas</v>
      </c>
      <c r="F5176" s="2" t="str">
        <f>"M_OC_BLOQUEADA"</f>
        <v>M_OC_BLOQUEADA</v>
      </c>
      <c r="G5176" s="2" t="str">
        <f>"Materiais e Logística / Compras / Compras / Ordem de Compra / Ordens de Compra bloqueadas (M_OC_BLOQUEADA)"</f>
        <v>Materiais e Logística / Compras / Compras / Ordem de Compra / Ordens de Compra bloqueadas (M_OC_BLOQUEADA)</v>
      </c>
    </row>
    <row r="5177" spans="1:7" x14ac:dyDescent="0.3">
      <c r="A5177" s="1" t="s">
        <v>4</v>
      </c>
      <c r="B5177" s="2" t="str">
        <f t="shared" si="431"/>
        <v>SISTEMA DE GERENCIAMENTO DE COMPRAS</v>
      </c>
      <c r="C5177" s="2" t="str">
        <f t="shared" si="428"/>
        <v>SUPRI</v>
      </c>
      <c r="D5177" s="2" t="str">
        <f t="shared" si="432"/>
        <v>MGCO</v>
      </c>
      <c r="E5177" s="2" t="str">
        <f>"Autorização de GUIA de OPME (Alçada)"</f>
        <v>Autorização de GUIA de OPME (Alçada)</v>
      </c>
      <c r="F5177" s="2" t="str">
        <f>"M_AUTORIZA_GUIA"</f>
        <v>M_AUTORIZA_GUIA</v>
      </c>
      <c r="G5177" s="2" t="str">
        <f>"Materiais e Logística / Compras / Compras / Ordem de Compra / Autorização de GUIA de OPME (Alçada) (M_AUTORIZA_GUIA)"</f>
        <v>Materiais e Logística / Compras / Compras / Ordem de Compra / Autorização de GUIA de OPME (Alçada) (M_AUTORIZA_GUIA)</v>
      </c>
    </row>
    <row r="5178" spans="1:7" x14ac:dyDescent="0.3">
      <c r="A5178" s="1" t="s">
        <v>4</v>
      </c>
      <c r="B5178" s="2" t="str">
        <f t="shared" si="431"/>
        <v>SISTEMA DE GERENCIAMENTO DE COMPRAS</v>
      </c>
      <c r="C5178" s="2" t="str">
        <f t="shared" si="428"/>
        <v>SUPRI</v>
      </c>
      <c r="D5178" s="2" t="str">
        <f t="shared" si="432"/>
        <v>MGCO</v>
      </c>
      <c r="E5178" s="2" t="str">
        <f>"Usuários Autorizadores de Alçada de OPME"</f>
        <v>Usuários Autorizadores de Alçada de OPME</v>
      </c>
      <c r="F5178" s="2" t="str">
        <f>"M_AUT_GUIA_OPME_ALCADA"</f>
        <v>M_AUT_GUIA_OPME_ALCADA</v>
      </c>
      <c r="G5178" s="2" t="str">
        <f>"Usuários Autorizadores de Alçada de OPME (M_AUT_GUIA_OPME_ALCADA)"</f>
        <v>Usuários Autorizadores de Alçada de OPME (M_AUT_GUIA_OPME_ALCADA)</v>
      </c>
    </row>
    <row r="5179" spans="1:7" x14ac:dyDescent="0.3">
      <c r="A5179" s="1" t="s">
        <v>4</v>
      </c>
      <c r="B5179" s="2" t="str">
        <f t="shared" si="431"/>
        <v>SISTEMA DE GERENCIAMENTO DE COMPRAS</v>
      </c>
      <c r="C5179" s="2" t="str">
        <f t="shared" si="428"/>
        <v>SUPRI</v>
      </c>
      <c r="D5179" s="2" t="str">
        <f t="shared" si="432"/>
        <v>MGCO</v>
      </c>
      <c r="E5179" s="2" t="str">
        <f>"Autorização de GUIA de OPME (Alçada)"</f>
        <v>Autorização de GUIA de OPME (Alçada)</v>
      </c>
      <c r="F5179" s="2" t="str">
        <f>"M_AUTORIZA_GUIA "</f>
        <v xml:space="preserve">M_AUTORIZA_GUIA </v>
      </c>
      <c r="G5179" s="2" t="str">
        <f>"Materiais e Logística / Compras / Compras / Ordem de Compra / Autorização de GUIA de OPME (Alçada) (M_AUTORIZA_GUIA )"</f>
        <v>Materiais e Logística / Compras / Compras / Ordem de Compra / Autorização de GUIA de OPME (Alçada) (M_AUTORIZA_GUIA )</v>
      </c>
    </row>
    <row r="5180" spans="1:7" x14ac:dyDescent="0.3">
      <c r="A5180" s="1" t="s">
        <v>4</v>
      </c>
      <c r="B5180" s="2" t="str">
        <f t="shared" si="431"/>
        <v>SISTEMA DE GERENCIAMENTO DE COMPRAS</v>
      </c>
      <c r="C5180" s="2" t="str">
        <f t="shared" si="428"/>
        <v>SUPRI</v>
      </c>
      <c r="D5180" s="2" t="str">
        <f t="shared" si="432"/>
        <v>MGCO</v>
      </c>
      <c r="E5180" s="2" t="str">
        <f>"Notificação de Fornecedor "</f>
        <v xml:space="preserve">Notificação de Fornecedor </v>
      </c>
      <c r="F5180" s="2" t="str">
        <f>"M_NOTIFICACAO_FORNECEDOR"</f>
        <v>M_NOTIFICACAO_FORNECEDOR</v>
      </c>
      <c r="G5180" s="2" t="str">
        <f>"Materiais e Logística / Compras / Compras / Ordem de Compra / Notificação de Fornecedor  (M_NOTIFICACAO_FORNECEDOR)"</f>
        <v>Materiais e Logística / Compras / Compras / Ordem de Compra / Notificação de Fornecedor  (M_NOTIFICACAO_FORNECEDOR)</v>
      </c>
    </row>
    <row r="5181" spans="1:7" x14ac:dyDescent="0.3">
      <c r="A5181" s="1" t="s">
        <v>4</v>
      </c>
      <c r="B5181" s="2" t="str">
        <f t="shared" si="431"/>
        <v>SISTEMA DE GERENCIAMENTO DE COMPRAS</v>
      </c>
      <c r="C5181" s="2" t="str">
        <f t="shared" si="428"/>
        <v>SUPRI</v>
      </c>
      <c r="D5181" s="2" t="str">
        <f t="shared" si="432"/>
        <v>MGCO</v>
      </c>
      <c r="E5181" s="2" t="str">
        <f>"ACOMPANHAMENTO DE COMPRAS POR PRODUTO"</f>
        <v>ACOMPANHAMENTO DE COMPRAS POR PRODUTO</v>
      </c>
      <c r="F5181" s="2" t="str">
        <f>"C_ACOM_PROD"</f>
        <v>C_ACOM_PROD</v>
      </c>
      <c r="G5181" s="2" t="str">
        <f>"Materiais e Logística / Compras / Consultas / Monitoreo de compras por producto (C_ACOM_PROD)"</f>
        <v>Materiais e Logística / Compras / Consultas / Monitoreo de compras por producto (C_ACOM_PROD)</v>
      </c>
    </row>
    <row r="5182" spans="1:7" x14ac:dyDescent="0.3">
      <c r="A5182" s="1" t="s">
        <v>4</v>
      </c>
      <c r="B5182" s="2" t="str">
        <f t="shared" si="431"/>
        <v>SISTEMA DE GERENCIAMENTO DE COMPRAS</v>
      </c>
      <c r="C5182" s="2" t="str">
        <f t="shared" si="428"/>
        <v>SUPRI</v>
      </c>
      <c r="D5182" s="2" t="str">
        <f t="shared" si="432"/>
        <v>MGCO</v>
      </c>
      <c r="E5182" s="2" t="str">
        <f>"Condição Pagamento Mercado Eletrônico"</f>
        <v>Condição Pagamento Mercado Eletrônico</v>
      </c>
      <c r="F5182" s="2" t="str">
        <f>"M_CONDICAO_PAGAMENTO_ME"</f>
        <v>M_CONDICAO_PAGAMENTO_ME</v>
      </c>
      <c r="G5182" s="2" t="str">
        <f>"Materiais e Logística / Compras / Integração / Mercado Eletrônico / Condição Pagamento (M_CONDICAO_PAGAMENTO_ME)"</f>
        <v>Materiais e Logística / Compras / Integração / Mercado Eletrônico / Condição Pagamento (M_CONDICAO_PAGAMENTO_ME)</v>
      </c>
    </row>
    <row r="5183" spans="1:7" x14ac:dyDescent="0.3">
      <c r="A5183" s="1" t="s">
        <v>4</v>
      </c>
      <c r="B5183" s="2" t="str">
        <f t="shared" si="431"/>
        <v>SISTEMA DE GERENCIAMENTO DE COMPRAS</v>
      </c>
      <c r="C5183" s="2" t="str">
        <f t="shared" si="428"/>
        <v>SUPRI</v>
      </c>
      <c r="D5183" s="2" t="str">
        <f t="shared" si="432"/>
        <v>MGCO</v>
      </c>
      <c r="E5183" s="2" t="str">
        <f>"Condição Pagamento Mercado Eletrônico"</f>
        <v>Condição Pagamento Mercado Eletrônico</v>
      </c>
      <c r="F5183" s="2" t="str">
        <f>"M_CONDICAO_PAGAMENTO_ME"</f>
        <v>M_CONDICAO_PAGAMENTO_ME</v>
      </c>
      <c r="G5183" s="2" t="str">
        <f>"Materiais e Logística / Compras / Integração / Mercado Eletrônico / Condição Pagamento (M_CONDICAO_PAGAMENTO_ME)"</f>
        <v>Materiais e Logística / Compras / Integração / Mercado Eletrônico / Condição Pagamento (M_CONDICAO_PAGAMENTO_ME)</v>
      </c>
    </row>
    <row r="5184" spans="1:7" x14ac:dyDescent="0.3">
      <c r="A5184" s="1" t="s">
        <v>4</v>
      </c>
      <c r="B5184" s="2" t="str">
        <f t="shared" si="431"/>
        <v>SISTEMA DE GERENCIAMENTO DE COMPRAS</v>
      </c>
      <c r="C5184" s="2" t="str">
        <f t="shared" si="428"/>
        <v>SUPRI</v>
      </c>
      <c r="D5184" s="2" t="str">
        <f t="shared" si="432"/>
        <v>MGCO</v>
      </c>
      <c r="E5184" s="2" t="str">
        <f>"Produto / Unidade Mercado Eletrônico"</f>
        <v>Produto / Unidade Mercado Eletrônico</v>
      </c>
      <c r="F5184" s="2" t="str">
        <f>"M_PRODUTO_UNIDADE_ME"</f>
        <v>M_PRODUTO_UNIDADE_ME</v>
      </c>
      <c r="G5184" s="2" t="str">
        <f>"Materiais e Logística / Compras / Integração / Mercado Eletrônico / Produto / Unidade (M_PRODUTO_UNIDADE_ME)"</f>
        <v>Materiais e Logística / Compras / Integração / Mercado Eletrônico / Produto / Unidade (M_PRODUTO_UNIDADE_ME)</v>
      </c>
    </row>
    <row r="5185" spans="1:7" x14ac:dyDescent="0.3">
      <c r="A5185" s="1" t="s">
        <v>4</v>
      </c>
      <c r="B5185" s="2" t="str">
        <f t="shared" si="431"/>
        <v>SISTEMA DE GERENCIAMENTO DE COMPRAS</v>
      </c>
      <c r="C5185" s="2" t="str">
        <f t="shared" si="428"/>
        <v>SUPRI</v>
      </c>
      <c r="D5185" s="2" t="str">
        <f t="shared" si="432"/>
        <v>MGCO</v>
      </c>
      <c r="E5185" s="2" t="str">
        <f>"Produto / Unidade Mercado Eletrônico"</f>
        <v>Produto / Unidade Mercado Eletrônico</v>
      </c>
      <c r="F5185" s="2" t="str">
        <f>"M_PRODUTO_UNIDADE_ME"</f>
        <v>M_PRODUTO_UNIDADE_ME</v>
      </c>
      <c r="G5185" s="2" t="str">
        <f>"Materiais e Logística / Compras / Integração / Mercado Eletrônico / Produto / Unidade (M_PRODUTO_UNIDADE_ME)"</f>
        <v>Materiais e Logística / Compras / Integração / Mercado Eletrônico / Produto / Unidade (M_PRODUTO_UNIDADE_ME)</v>
      </c>
    </row>
    <row r="5186" spans="1:7" x14ac:dyDescent="0.3">
      <c r="A5186" s="1" t="s">
        <v>4</v>
      </c>
      <c r="B5186" s="2" t="str">
        <f t="shared" si="431"/>
        <v>SISTEMA DE GERENCIAMENTO DE COMPRAS</v>
      </c>
      <c r="C5186" s="2" t="str">
        <f t="shared" si="428"/>
        <v>SUPRI</v>
      </c>
      <c r="D5186" s="2" t="str">
        <f t="shared" si="432"/>
        <v>MGCO</v>
      </c>
      <c r="E5186" s="2" t="str">
        <f>"ADJUDICAÇÃO DE ORDEM DE FORNECEDIMENTO"</f>
        <v>ADJUDICAÇÃO DE ORDEM DE FORNECEDIMENTO</v>
      </c>
      <c r="F5186" s="2" t="str">
        <f>"M_ADJUDICACAO_OC"</f>
        <v>M_ADJUDICACAO_OC</v>
      </c>
      <c r="G5186" s="2" t="str">
        <f>"Materiais e Logística / Compras / Compras / Ordem de Compra / Adjudicação da Ordem de Compra (M_ADJUDICACAO_OC)"</f>
        <v>Materiais e Logística / Compras / Compras / Ordem de Compra / Adjudicação da Ordem de Compra (M_ADJUDICACAO_OC)</v>
      </c>
    </row>
    <row r="5187" spans="1:7" x14ac:dyDescent="0.3">
      <c r="A5187" s="1" t="s">
        <v>4</v>
      </c>
      <c r="B5187" s="2" t="str">
        <f t="shared" si="431"/>
        <v>SISTEMA DE GERENCIAMENTO DE COMPRAS</v>
      </c>
      <c r="C5187" s="2" t="str">
        <f t="shared" si="428"/>
        <v>SUPRI</v>
      </c>
      <c r="D5187" s="2" t="str">
        <f t="shared" si="432"/>
        <v>MGCO</v>
      </c>
      <c r="E5187" s="2" t="str">
        <f>"PERSONALIZADOS DO MGCO"</f>
        <v>PERSONALIZADOS DO MGCO</v>
      </c>
      <c r="F5187" s="2" t="str">
        <f>"R_PERSON_MGCO"</f>
        <v>R_PERSON_MGCO</v>
      </c>
      <c r="G5187" s="2" t="str">
        <f>" ()"</f>
        <v xml:space="preserve"> ()</v>
      </c>
    </row>
    <row r="5188" spans="1:7" x14ac:dyDescent="0.3">
      <c r="A5188" s="1" t="s">
        <v>4</v>
      </c>
      <c r="B5188" s="2" t="str">
        <f t="shared" si="431"/>
        <v>SISTEMA DE GERENCIAMENTO DE COMPRAS</v>
      </c>
      <c r="C5188" s="2" t="str">
        <f t="shared" si="428"/>
        <v>SUPRI</v>
      </c>
      <c r="D5188" s="2" t="str">
        <f t="shared" si="432"/>
        <v>MGCO</v>
      </c>
      <c r="E5188" s="2" t="str">
        <f>"RELATORIO DE SUGESTAO DE PREÇOS"</f>
        <v>RELATORIO DE SUGESTAO DE PREÇOS</v>
      </c>
      <c r="F5188" s="2" t="str">
        <f>"R_SUGESTAO_PRE"</f>
        <v>R_SUGESTAO_PRE</v>
      </c>
      <c r="G5188" s="2" t="str">
        <f>"Materiais e Logística / Compras / Relatórios / Coleta de Preços / Sugestão de Preço (R_SUGESTAO_PRE)"</f>
        <v>Materiais e Logística / Compras / Relatórios / Coleta de Preços / Sugestão de Preço (R_SUGESTAO_PRE)</v>
      </c>
    </row>
    <row r="5189" spans="1:7" x14ac:dyDescent="0.3">
      <c r="A5189" s="1" t="s">
        <v>4</v>
      </c>
      <c r="B5189" s="2" t="str">
        <f t="shared" si="431"/>
        <v>SISTEMA DE GERENCIAMENTO DE COMPRAS</v>
      </c>
      <c r="C5189" s="2" t="str">
        <f t="shared" si="428"/>
        <v>SUPRI</v>
      </c>
      <c r="D5189" s="2" t="str">
        <f t="shared" si="432"/>
        <v>MGCO</v>
      </c>
      <c r="E5189" s="2" t="str">
        <f>"R_SOL_COM_S_FORNEC"</f>
        <v>R_SOL_COM_S_FORNEC</v>
      </c>
      <c r="F5189" s="2" t="str">
        <f>"R_SOL_COM_S_FORNEC"</f>
        <v>R_SOL_COM_S_FORNEC</v>
      </c>
      <c r="G5189" s="2" t="str">
        <f>"Materiais e Logística / Compras / Relatórios / Solicitações / Solic Compra para Cotação de Preços Sem Fornecedor (R_SOL_COM_S_FORNEC)"</f>
        <v>Materiais e Logística / Compras / Relatórios / Solicitações / Solic Compra para Cotação de Preços Sem Fornecedor (R_SOL_COM_S_FORNEC)</v>
      </c>
    </row>
    <row r="5190" spans="1:7" x14ac:dyDescent="0.3">
      <c r="A5190" s="1" t="s">
        <v>4</v>
      </c>
      <c r="B5190" s="2" t="str">
        <f t="shared" si="431"/>
        <v>SISTEMA DE GERENCIAMENTO DE COMPRAS</v>
      </c>
      <c r="C5190" s="2" t="str">
        <f t="shared" si="428"/>
        <v>SUPRI</v>
      </c>
      <c r="D5190" s="2" t="str">
        <f t="shared" si="432"/>
        <v>MGCO</v>
      </c>
      <c r="E5190" s="2" t="str">
        <f>"SOLICITACAO CANCELADA"</f>
        <v>SOLICITACAO CANCELADA</v>
      </c>
      <c r="F5190" s="2" t="str">
        <f>"R_SOL_CANCE"</f>
        <v>R_SOL_CANCE</v>
      </c>
      <c r="G5190" s="2" t="str">
        <f>"Materiais e Logística / Compras / Relatórios / Solicitações / Canceladas por Setor/Estoque/Comprador (R_SOL_CANCE)"</f>
        <v>Materiais e Logística / Compras / Relatórios / Solicitações / Canceladas por Setor/Estoque/Comprador (R_SOL_CANCE)</v>
      </c>
    </row>
    <row r="5191" spans="1:7" x14ac:dyDescent="0.3">
      <c r="A5191" s="1" t="s">
        <v>4</v>
      </c>
      <c r="B5191" s="2" t="str">
        <f t="shared" si="431"/>
        <v>SISTEMA DE GERENCIAMENTO DE COMPRAS</v>
      </c>
      <c r="C5191" s="2" t="str">
        <f t="shared" si="428"/>
        <v>SUPRI</v>
      </c>
      <c r="D5191" s="2" t="str">
        <f t="shared" si="432"/>
        <v>MGCO</v>
      </c>
      <c r="E5191" s="2" t="str">
        <f>"Geração de Relatório CSV"</f>
        <v>Geração de Relatório CSV</v>
      </c>
      <c r="F5191" s="2" t="str">
        <f>"O_GERA_RELATORIO_CSV"</f>
        <v>O_GERA_RELATORIO_CSV</v>
      </c>
      <c r="G5191" s="2" t="str">
        <f>" ()"</f>
        <v xml:space="preserve"> ()</v>
      </c>
    </row>
    <row r="5192" spans="1:7" x14ac:dyDescent="0.3">
      <c r="A5192" s="1" t="s">
        <v>4</v>
      </c>
      <c r="B5192" s="2" t="str">
        <f t="shared" si="431"/>
        <v>SISTEMA DE GERENCIAMENTO DE COMPRAS</v>
      </c>
      <c r="C5192" s="2" t="str">
        <f t="shared" si="428"/>
        <v>SUPRI</v>
      </c>
      <c r="D5192" s="2" t="str">
        <f t="shared" si="432"/>
        <v>MGCO</v>
      </c>
      <c r="E5192" s="2" t="str">
        <f>"Importação de Ordens de Compras"</f>
        <v>Importação de Ordens de Compras</v>
      </c>
      <c r="F5192" s="2" t="str">
        <f>"M_PENDENCIA_IMPORTACAO_OC"</f>
        <v>M_PENDENCIA_IMPORTACAO_OC</v>
      </c>
      <c r="G5192" s="2" t="str">
        <f>" ()"</f>
        <v xml:space="preserve"> ()</v>
      </c>
    </row>
    <row r="5193" spans="1:7" x14ac:dyDescent="0.3">
      <c r="A5193" s="1" t="s">
        <v>4</v>
      </c>
      <c r="B5193" s="2" t="str">
        <f t="shared" si="431"/>
        <v>SISTEMA DE GERENCIAMENTO DE COMPRAS</v>
      </c>
      <c r="C5193" s="2" t="str">
        <f t="shared" si="428"/>
        <v>SUPRI</v>
      </c>
      <c r="D5193" s="2" t="str">
        <f t="shared" si="432"/>
        <v>MGCO</v>
      </c>
      <c r="E5193" s="2" t="str">
        <f>"DISPONIB. DO CADASTRO DE FORNECEDORES"</f>
        <v>DISPONIB. DO CADASTRO DE FORNECEDORES</v>
      </c>
      <c r="F5193" s="2" t="str">
        <f>"M_REC_NOVO_CAD_FORNEC"</f>
        <v>M_REC_NOVO_CAD_FORNEC</v>
      </c>
      <c r="G5193" s="2" t="str">
        <f>" ()"</f>
        <v xml:space="preserve"> ()</v>
      </c>
    </row>
    <row r="5194" spans="1:7" x14ac:dyDescent="0.3">
      <c r="A5194" s="1" t="s">
        <v>4</v>
      </c>
      <c r="B5194" s="2" t="str">
        <f t="shared" si="431"/>
        <v>SISTEMA DE GERENCIAMENTO DE COMPRAS</v>
      </c>
      <c r="C5194" s="2" t="str">
        <f t="shared" si="428"/>
        <v>SUPRI</v>
      </c>
      <c r="D5194" s="2" t="str">
        <f t="shared" si="432"/>
        <v>MGCO</v>
      </c>
      <c r="E5194" s="2" t="str">
        <f>"SOLICITACAO DE COMPRAS"</f>
        <v>SOLICITACAO DE COMPRAS</v>
      </c>
      <c r="F5194" s="2" t="str">
        <f>"R_SOLCOM"</f>
        <v>R_SOLCOM</v>
      </c>
      <c r="G5194" s="2" t="str">
        <f>"Materiais e Logística / Compras / Relatórios / Solicitações / Solicitação de Compra (R_SOLCOM)"</f>
        <v>Materiais e Logística / Compras / Relatórios / Solicitações / Solicitação de Compra (R_SOLCOM)</v>
      </c>
    </row>
    <row r="5195" spans="1:7" x14ac:dyDescent="0.3">
      <c r="A5195" s="1" t="s">
        <v>4</v>
      </c>
      <c r="B5195" s="2" t="str">
        <f t="shared" si="431"/>
        <v>SISTEMA DE GERENCIAMENTO DE COMPRAS</v>
      </c>
      <c r="C5195" s="2" t="str">
        <f t="shared" si="428"/>
        <v>SUPRI</v>
      </c>
      <c r="D5195" s="2" t="str">
        <f t="shared" si="432"/>
        <v>MGCO</v>
      </c>
      <c r="E5195" s="2" t="str">
        <f>"SOLICITACAO DE COMPRAS"</f>
        <v>SOLICITACAO DE COMPRAS</v>
      </c>
      <c r="F5195" s="2" t="str">
        <f>"R_SOLCOM"</f>
        <v>R_SOLCOM</v>
      </c>
      <c r="G5195" s="2" t="str">
        <f>"Serviços de Apoio / Central de Materiais Esterilizados / Relatórios / Solicitações / Solicitação de Compra (R_SOLCOM)"</f>
        <v>Serviços de Apoio / Central de Materiais Esterilizados / Relatórios / Solicitações / Solicitação de Compra (R_SOLCOM)</v>
      </c>
    </row>
    <row r="5196" spans="1:7" x14ac:dyDescent="0.3">
      <c r="A5196" s="1" t="s">
        <v>4</v>
      </c>
      <c r="B5196" s="2" t="str">
        <f t="shared" si="431"/>
        <v>SISTEMA DE GERENCIAMENTO DE COMPRAS</v>
      </c>
      <c r="C5196" s="2" t="str">
        <f t="shared" si="428"/>
        <v>SUPRI</v>
      </c>
      <c r="D5196" s="2" t="str">
        <f t="shared" si="432"/>
        <v>MGCO</v>
      </c>
      <c r="E5196" s="2" t="str">
        <f>"SOLICITACAO DE COMPRAS"</f>
        <v>SOLICITACAO DE COMPRAS</v>
      </c>
      <c r="F5196" s="2" t="str">
        <f>"R_SOLCOM"</f>
        <v>R_SOLCOM</v>
      </c>
      <c r="G5196" s="2" t="str">
        <f>"Materiais e Logística / Almoxarifado / Relatórios / Solicitações do Compras / Solicitação de Compra (R_SOLCOM)"</f>
        <v>Materiais e Logística / Almoxarifado / Relatórios / Solicitações do Compras / Solicitação de Compra (R_SOLCOM)</v>
      </c>
    </row>
    <row r="5197" spans="1:7" x14ac:dyDescent="0.3">
      <c r="A5197" s="1" t="s">
        <v>4</v>
      </c>
      <c r="B5197" s="2" t="str">
        <f t="shared" si="431"/>
        <v>SISTEMA DE GERENCIAMENTO DE COMPRAS</v>
      </c>
      <c r="C5197" s="2" t="str">
        <f t="shared" si="428"/>
        <v>SUPRI</v>
      </c>
      <c r="D5197" s="2" t="str">
        <f t="shared" si="432"/>
        <v>MGCO</v>
      </c>
      <c r="E5197" s="2" t="str">
        <f>"R_QUADRO_DEMONSTRATIVO_750"</f>
        <v>R_QUADRO_DEMONSTRATIVO_750</v>
      </c>
      <c r="F5197" s="2" t="str">
        <f>"R_QUADRO_DEMONSTRATIVO_750"</f>
        <v>R_QUADRO_DEMONSTRATIVO_750</v>
      </c>
      <c r="G5197" s="2" t="str">
        <f>" ()"</f>
        <v xml:space="preserve"> ()</v>
      </c>
    </row>
    <row r="5198" spans="1:7" x14ac:dyDescent="0.3">
      <c r="A5198" s="1" t="s">
        <v>4</v>
      </c>
      <c r="B5198" s="2" t="str">
        <f t="shared" si="431"/>
        <v>SISTEMA DE GERENCIAMENTO DE COMPRAS</v>
      </c>
      <c r="C5198" s="2" t="str">
        <f t="shared" si="428"/>
        <v>SUPRI</v>
      </c>
      <c r="D5198" s="2" t="str">
        <f t="shared" si="432"/>
        <v>MGCO</v>
      </c>
      <c r="E5198" s="2" t="str">
        <f>"CONTRATO"</f>
        <v>CONTRATO</v>
      </c>
      <c r="F5198" s="2" t="str">
        <f>"M_ORDCOM_CONTRATO"</f>
        <v>M_ORDCOM_CONTRATO</v>
      </c>
      <c r="G5198" s="2" t="str">
        <f>"Materiais e Logística / Compras / Compras / Contratos / Cadastro (M_ORDCOM_CONTRATO)"</f>
        <v>Materiais e Logística / Compras / Compras / Contratos / Cadastro (M_ORDCOM_CONTRATO)</v>
      </c>
    </row>
    <row r="5199" spans="1:7" x14ac:dyDescent="0.3">
      <c r="A5199" s="1" t="s">
        <v>4</v>
      </c>
      <c r="B5199" s="2" t="str">
        <f t="shared" si="431"/>
        <v>SISTEMA DE GERENCIAMENTO DE COMPRAS</v>
      </c>
      <c r="C5199" s="2" t="str">
        <f t="shared" ref="C5199:C5262" si="433">"SUPRI"</f>
        <v>SUPRI</v>
      </c>
      <c r="D5199" s="2" t="str">
        <f t="shared" si="432"/>
        <v>MGCO</v>
      </c>
      <c r="E5199" s="2" t="str">
        <f>"M_CABECALHOS_EMAIL"</f>
        <v>M_CABECALHOS_EMAIL</v>
      </c>
      <c r="F5199" s="2" t="str">
        <f>"M_CABECALHOS_EMAIL"</f>
        <v>M_CABECALHOS_EMAIL</v>
      </c>
      <c r="G5199" s="2" t="str">
        <f>" ()"</f>
        <v xml:space="preserve"> ()</v>
      </c>
    </row>
    <row r="5200" spans="1:7" x14ac:dyDescent="0.3">
      <c r="A5200" s="1" t="s">
        <v>4</v>
      </c>
      <c r="B5200" s="2" t="str">
        <f t="shared" si="431"/>
        <v>SISTEMA DE GERENCIAMENTO DE COMPRAS</v>
      </c>
      <c r="C5200" s="2" t="str">
        <f t="shared" si="433"/>
        <v>SUPRI</v>
      </c>
      <c r="D5200" s="2" t="str">
        <f t="shared" si="432"/>
        <v>MGCO</v>
      </c>
      <c r="E5200" s="2" t="str">
        <f>"Caixa de Entrada para o setor Compras"</f>
        <v>Caixa de Entrada para o setor Compras</v>
      </c>
      <c r="F5200" s="2" t="str">
        <f>"CAIXA_ENTRADA"</f>
        <v>CAIXA_ENTRADA</v>
      </c>
      <c r="G5200" s="2" t="str">
        <f>" ()"</f>
        <v xml:space="preserve"> ()</v>
      </c>
    </row>
    <row r="5201" spans="1:7" x14ac:dyDescent="0.3">
      <c r="A5201" s="1" t="s">
        <v>4</v>
      </c>
      <c r="B5201" s="2" t="str">
        <f t="shared" si="431"/>
        <v>SISTEMA DE GERENCIAMENTO DE COMPRAS</v>
      </c>
      <c r="C5201" s="2" t="str">
        <f t="shared" si="433"/>
        <v>SUPRI</v>
      </c>
      <c r="D5201" s="2" t="str">
        <f t="shared" si="432"/>
        <v>MGCO</v>
      </c>
      <c r="E5201" s="2" t="str">
        <f>"RELAT. SOLICITACOES DE COMPRAS"</f>
        <v>RELAT. SOLICITACOES DE COMPRAS</v>
      </c>
      <c r="F5201" s="2" t="str">
        <f>"R_SOLIC_COMPRAS"</f>
        <v>R_SOLIC_COMPRAS</v>
      </c>
      <c r="G5201" s="2" t="str">
        <f>"Materiais e Logística / Compras / Relatórios / Gerenciais / Ordem de Compras por Estoque x Compras (R_SOLIC_COMPRAS)"</f>
        <v>Materiais e Logística / Compras / Relatórios / Gerenciais / Ordem de Compras por Estoque x Compras (R_SOLIC_COMPRAS)</v>
      </c>
    </row>
    <row r="5202" spans="1:7" x14ac:dyDescent="0.3">
      <c r="A5202" s="1" t="s">
        <v>4</v>
      </c>
      <c r="B5202" s="2" t="str">
        <f t="shared" si="431"/>
        <v>SISTEMA DE GERENCIAMENTO DE COMPRAS</v>
      </c>
      <c r="C5202" s="2" t="str">
        <f t="shared" si="433"/>
        <v>SUPRI</v>
      </c>
      <c r="D5202" s="2" t="str">
        <f t="shared" si="432"/>
        <v>MGCO</v>
      </c>
      <c r="E5202" s="2" t="str">
        <f>"RELAT. DE SOLIC  DE PRODUTOS POR ESPEC"</f>
        <v>RELAT. DE SOLIC  DE PRODUTOS POR ESPEC</v>
      </c>
      <c r="F5202" s="2" t="str">
        <f>"R_SOLIC_PRODUTO_ESP"</f>
        <v>R_SOLIC_PRODUTO_ESP</v>
      </c>
      <c r="G5202" s="2" t="str">
        <f>"Materiais e Logística / Compras / Relatórios / Gerenciais / Ordem de Compras por Produto (R_SOLIC_PRODUTO_ESP)"</f>
        <v>Materiais e Logística / Compras / Relatórios / Gerenciais / Ordem de Compras por Produto (R_SOLIC_PRODUTO_ESP)</v>
      </c>
    </row>
    <row r="5203" spans="1:7" x14ac:dyDescent="0.3">
      <c r="A5203" s="1" t="s">
        <v>4</v>
      </c>
      <c r="B5203" s="2" t="str">
        <f t="shared" si="431"/>
        <v>SISTEMA DE GERENCIAMENTO DE COMPRAS</v>
      </c>
      <c r="C5203" s="2" t="str">
        <f t="shared" si="433"/>
        <v>SUPRI</v>
      </c>
      <c r="D5203" s="2" t="str">
        <f t="shared" si="432"/>
        <v>MGCO</v>
      </c>
      <c r="E5203" s="2" t="str">
        <f>"3"</f>
        <v>3</v>
      </c>
      <c r="F5203" s="2" t="str">
        <f>"3"</f>
        <v>3</v>
      </c>
      <c r="G5203" s="2" t="str">
        <f>" ()"</f>
        <v xml:space="preserve"> ()</v>
      </c>
    </row>
    <row r="5204" spans="1:7" x14ac:dyDescent="0.3">
      <c r="A5204" s="1" t="s">
        <v>4</v>
      </c>
      <c r="B5204" s="2" t="str">
        <f t="shared" si="431"/>
        <v>SISTEMA DE GERENCIAMENTO DE COMPRAS</v>
      </c>
      <c r="C5204" s="2" t="str">
        <f t="shared" si="433"/>
        <v>SUPRI</v>
      </c>
      <c r="D5204" s="2" t="str">
        <f t="shared" si="432"/>
        <v>MGCO</v>
      </c>
      <c r="E5204" s="2" t="str">
        <f>"R_PENDECIA_PROD_FORNEC"</f>
        <v>R_PENDECIA_PROD_FORNEC</v>
      </c>
      <c r="F5204" s="2" t="str">
        <f>"R_PENDECIA_PROD_FORNEC"</f>
        <v>R_PENDECIA_PROD_FORNEC</v>
      </c>
      <c r="G5204" s="2" t="str">
        <f>"Materiais e Logística / Compras / Relatórios / Administrativos / Pendências de Produtos por Fornecedor (R_PENDECIA_PROD_FORNEC)"</f>
        <v>Materiais e Logística / Compras / Relatórios / Administrativos / Pendências de Produtos por Fornecedor (R_PENDECIA_PROD_FORNEC)</v>
      </c>
    </row>
    <row r="5205" spans="1:7" x14ac:dyDescent="0.3">
      <c r="A5205" s="1" t="s">
        <v>4</v>
      </c>
      <c r="B5205" s="2" t="str">
        <f t="shared" si="431"/>
        <v>SISTEMA DE GERENCIAMENTO DE COMPRAS</v>
      </c>
      <c r="C5205" s="2" t="str">
        <f t="shared" si="433"/>
        <v>SUPRI</v>
      </c>
      <c r="D5205" s="2" t="str">
        <f t="shared" si="432"/>
        <v>MGCO</v>
      </c>
      <c r="E5205" s="2" t="str">
        <f>"RELATÓRIO DE RANKING"</f>
        <v>RELATÓRIO DE RANKING</v>
      </c>
      <c r="F5205" s="2" t="str">
        <f>"R_RANKING"</f>
        <v>R_RANKING</v>
      </c>
      <c r="G5205" s="2" t="str">
        <f>"Materiais e Logística / Compras / Relatórios / Tabelas / Certificação ISO / Ranking (R_RANKING)"</f>
        <v>Materiais e Logística / Compras / Relatórios / Tabelas / Certificação ISO / Ranking (R_RANKING)</v>
      </c>
    </row>
    <row r="5206" spans="1:7" x14ac:dyDescent="0.3">
      <c r="A5206" s="1" t="s">
        <v>4</v>
      </c>
      <c r="B5206" s="2" t="str">
        <f t="shared" si="431"/>
        <v>SISTEMA DE GERENCIAMENTO DE COMPRAS</v>
      </c>
      <c r="C5206" s="2" t="str">
        <f t="shared" si="433"/>
        <v>SUPRI</v>
      </c>
      <c r="D5206" s="2" t="str">
        <f t="shared" si="432"/>
        <v>MGCO</v>
      </c>
      <c r="E5206" s="2" t="str">
        <f>"R_ISO_FORMULA"</f>
        <v>R_ISO_FORMULA</v>
      </c>
      <c r="F5206" s="2" t="str">
        <f>"R_ISO_FORMULA"</f>
        <v>R_ISO_FORMULA</v>
      </c>
      <c r="G5206" s="2" t="str">
        <f>"Materiais e Logística / Compras / Relatórios / Tabelas / Certificação ISO / Fórmula (R_ISO_FORMULA)"</f>
        <v>Materiais e Logística / Compras / Relatórios / Tabelas / Certificação ISO / Fórmula (R_ISO_FORMULA)</v>
      </c>
    </row>
    <row r="5207" spans="1:7" x14ac:dyDescent="0.3">
      <c r="A5207" s="1" t="s">
        <v>4</v>
      </c>
      <c r="B5207" s="2" t="str">
        <f t="shared" si="431"/>
        <v>SISTEMA DE GERENCIAMENTO DE COMPRAS</v>
      </c>
      <c r="C5207" s="2" t="str">
        <f t="shared" si="433"/>
        <v>SUPRI</v>
      </c>
      <c r="D5207" s="2" t="str">
        <f t="shared" si="432"/>
        <v>MGCO</v>
      </c>
      <c r="E5207" s="2" t="str">
        <f>"CADASTRO JUSTIFICATIVAS"</f>
        <v>CADASTRO JUSTIFICATIVAS</v>
      </c>
      <c r="F5207" s="2" t="str">
        <f>"M_JUSTIFICA"</f>
        <v>M_JUSTIFICA</v>
      </c>
      <c r="G5207" s="2" t="str">
        <f>"Materiais e Logística / Compras / Tabelas / Cadastro justificativas (M_JUSTIFICA)"</f>
        <v>Materiais e Logística / Compras / Tabelas / Cadastro justificativas (M_JUSTIFICA)</v>
      </c>
    </row>
    <row r="5208" spans="1:7" x14ac:dyDescent="0.3">
      <c r="A5208" s="1" t="s">
        <v>4</v>
      </c>
      <c r="B5208" s="2" t="str">
        <f t="shared" si="431"/>
        <v>SISTEMA DE GERENCIAMENTO DE COMPRAS</v>
      </c>
      <c r="C5208" s="2" t="str">
        <f t="shared" si="433"/>
        <v>SUPRI</v>
      </c>
      <c r="D5208" s="2" t="str">
        <f t="shared" si="432"/>
        <v>MGCO</v>
      </c>
      <c r="E5208" s="2" t="str">
        <f>"PRIVILEGIO AUTORIZAÇÃO ORDEM DE COMPRAS"</f>
        <v>PRIVILEGIO AUTORIZAÇÃO ORDEM DE COMPRAS</v>
      </c>
      <c r="F5208" s="2" t="str">
        <f>"M_USU_AUT_OC"</f>
        <v>M_USU_AUT_OC</v>
      </c>
      <c r="G5208" s="2" t="str">
        <f>"Apoio a TI / Gestão de Usuários / Configurações de Acesso / Acessos Suprimentos / Privilégio de autorização de OC (M_USU_AUT_OC)"</f>
        <v>Apoio a TI / Gestão de Usuários / Configurações de Acesso / Acessos Suprimentos / Privilégio de autorização de OC (M_USU_AUT_OC)</v>
      </c>
    </row>
    <row r="5209" spans="1:7" x14ac:dyDescent="0.3">
      <c r="A5209" s="1" t="s">
        <v>4</v>
      </c>
      <c r="B5209" s="2" t="str">
        <f t="shared" si="431"/>
        <v>SISTEMA DE GERENCIAMENTO DE COMPRAS</v>
      </c>
      <c r="C5209" s="2" t="str">
        <f t="shared" si="433"/>
        <v>SUPRI</v>
      </c>
      <c r="D5209" s="2" t="str">
        <f t="shared" si="432"/>
        <v>MGCO</v>
      </c>
      <c r="E5209" s="2" t="str">
        <f>"SOLICITACAO DE COMPRAS PARA COTACAO"</f>
        <v>SOLICITACAO DE COMPRAS PARA COTACAO</v>
      </c>
      <c r="F5209" s="2" t="str">
        <f>"R_SOL_COM_COTACAO"</f>
        <v>R_SOL_COM_COTACAO</v>
      </c>
      <c r="G5209" s="2" t="str">
        <f>"Materiais e Logística / Compras / Relatórios / Solicitações / Solicitação de Compra para Cotação de Preços (R_SOL_COM_COTACAO)"</f>
        <v>Materiais e Logística / Compras / Relatórios / Solicitações / Solicitação de Compra para Cotação de Preços (R_SOL_COM_COTACAO)</v>
      </c>
    </row>
    <row r="5210" spans="1:7" x14ac:dyDescent="0.3">
      <c r="A5210" s="1" t="s">
        <v>4</v>
      </c>
      <c r="B5210" s="2" t="str">
        <f t="shared" si="431"/>
        <v>SISTEMA DE GERENCIAMENTO DE COMPRAS</v>
      </c>
      <c r="C5210" s="2" t="str">
        <f t="shared" si="433"/>
        <v>SUPRI</v>
      </c>
      <c r="D5210" s="2" t="str">
        <f t="shared" si="432"/>
        <v>MGCO</v>
      </c>
      <c r="E5210" s="2" t="str">
        <f>"ENVIO DE SOLICITAÇÕES VIA E-MAIL"</f>
        <v>ENVIO DE SOLICITAÇÕES VIA E-MAIL</v>
      </c>
      <c r="F5210" s="2" t="str">
        <f>"M_ENVIO_SOL"</f>
        <v>M_ENVIO_SOL</v>
      </c>
      <c r="G5210" s="2" t="str">
        <f>" ()"</f>
        <v xml:space="preserve"> ()</v>
      </c>
    </row>
    <row r="5211" spans="1:7" x14ac:dyDescent="0.3">
      <c r="A5211" s="1" t="s">
        <v>4</v>
      </c>
      <c r="B5211" s="2" t="str">
        <f t="shared" si="431"/>
        <v>SISTEMA DE GERENCIAMENTO DE COMPRAS</v>
      </c>
      <c r="C5211" s="2" t="str">
        <f t="shared" si="433"/>
        <v>SUPRI</v>
      </c>
      <c r="D5211" s="2" t="str">
        <f t="shared" si="432"/>
        <v>MGCO</v>
      </c>
      <c r="E5211" s="2" t="str">
        <f>"ORDEM DE COMPRA POR FORNECEDOR(PERIODO)"</f>
        <v>ORDEM DE COMPRA POR FORNECEDOR(PERIODO)</v>
      </c>
      <c r="F5211" s="2" t="str">
        <f>"R_ORD_COM_FOR_PERIODO"</f>
        <v>R_ORD_COM_FOR_PERIODO</v>
      </c>
      <c r="G5211" s="2" t="str">
        <f>"Materiais e Logística / Compras / Relatórios / Ordem de Compra / Resumo das Ordens de Compras por Fornecedor (R_ORD_COM_FOR_PERIODO)"</f>
        <v>Materiais e Logística / Compras / Relatórios / Ordem de Compra / Resumo das Ordens de Compras por Fornecedor (R_ORD_COM_FOR_PERIODO)</v>
      </c>
    </row>
    <row r="5212" spans="1:7" x14ac:dyDescent="0.3">
      <c r="A5212" s="1" t="s">
        <v>4</v>
      </c>
      <c r="B5212" s="2" t="str">
        <f t="shared" si="431"/>
        <v>SISTEMA DE GERENCIAMENTO DE COMPRAS</v>
      </c>
      <c r="C5212" s="2" t="str">
        <f t="shared" si="433"/>
        <v>SUPRI</v>
      </c>
      <c r="D5212" s="2" t="str">
        <f t="shared" si="432"/>
        <v>MGCO</v>
      </c>
      <c r="E5212" s="2" t="str">
        <f>"REL. DE COLETA DE MATERIAIS"</f>
        <v>REL. DE COLETA DE MATERIAIS</v>
      </c>
      <c r="F5212" s="2" t="str">
        <f>"R_COLETA"</f>
        <v>R_COLETA</v>
      </c>
      <c r="G5212" s="2" t="str">
        <f>"Diagnóstico e Terapia / Laboratório de Análises Clínicas / Relatórios / Administrativos / Coleta de Materiais / Solicitação (R_COLETA)"</f>
        <v>Diagnóstico e Terapia / Laboratório de Análises Clínicas / Relatórios / Administrativos / Coleta de Materiais / Solicitação (R_COLETA)</v>
      </c>
    </row>
    <row r="5213" spans="1:7" x14ac:dyDescent="0.3">
      <c r="A5213" s="1" t="s">
        <v>4</v>
      </c>
      <c r="B5213" s="2" t="str">
        <f t="shared" si="431"/>
        <v>SISTEMA DE GERENCIAMENTO DE COMPRAS</v>
      </c>
      <c r="C5213" s="2" t="str">
        <f t="shared" si="433"/>
        <v>SUPRI</v>
      </c>
      <c r="D5213" s="2" t="str">
        <f t="shared" si="432"/>
        <v>MGCO</v>
      </c>
      <c r="E5213" s="2" t="str">
        <f>"RELATÓRIO DE TIPOS DE EMPENHO"</f>
        <v>RELATÓRIO DE TIPOS DE EMPENHO</v>
      </c>
      <c r="F5213" s="2" t="str">
        <f>"R_TIPEMP"</f>
        <v>R_TIPEMP</v>
      </c>
      <c r="G5213" s="2" t="str">
        <f>"Materiais e Logística / Compras / Relatórios / Tabelas / Tipos de Empenho (R_TIPEMP)"</f>
        <v>Materiais e Logística / Compras / Relatórios / Tabelas / Tipos de Empenho (R_TIPEMP)</v>
      </c>
    </row>
    <row r="5214" spans="1:7" x14ac:dyDescent="0.3">
      <c r="A5214" s="1" t="s">
        <v>4</v>
      </c>
      <c r="B5214" s="2" t="str">
        <f t="shared" si="431"/>
        <v>SISTEMA DE GERENCIAMENTO DE COMPRAS</v>
      </c>
      <c r="C5214" s="2" t="str">
        <f t="shared" si="433"/>
        <v>SUPRI</v>
      </c>
      <c r="D5214" s="2" t="str">
        <f t="shared" si="432"/>
        <v>MGCO</v>
      </c>
      <c r="E5214" s="2" t="str">
        <f>"RELATÓRIO DE TIPOS DE EMPENHO"</f>
        <v>RELATÓRIO DE TIPOS DE EMPENHO</v>
      </c>
      <c r="F5214" s="2" t="str">
        <f>"R_TIPEMP"</f>
        <v>R_TIPEMP</v>
      </c>
      <c r="G5214" s="2" t="str">
        <f>"MVSaude / Relatórios / Tabelas / Empresa / Tipos de Empresa (R_TIPEMP)"</f>
        <v>MVSaude / Relatórios / Tabelas / Empresa / Tipos de Empresa (R_TIPEMP)</v>
      </c>
    </row>
    <row r="5215" spans="1:7" x14ac:dyDescent="0.3">
      <c r="A5215" s="1" t="s">
        <v>4</v>
      </c>
      <c r="B5215" s="2" t="str">
        <f t="shared" si="431"/>
        <v>SISTEMA DE GERENCIAMENTO DE COMPRAS</v>
      </c>
      <c r="C5215" s="2" t="str">
        <f t="shared" si="433"/>
        <v>SUPRI</v>
      </c>
      <c r="D5215" s="2" t="str">
        <f t="shared" si="432"/>
        <v>MGCO</v>
      </c>
      <c r="E5215" s="2" t="str">
        <f>"MOTIVOS DO PEDIDO"</f>
        <v>MOTIVOS DO PEDIDO</v>
      </c>
      <c r="F5215" s="2" t="str">
        <f>"R_MOTPED"</f>
        <v>R_MOTPED</v>
      </c>
      <c r="G5215" s="2" t="str">
        <f>"Materiais e Logística / Compras / Relatórios / Tabelas / Motivos de Pedido (R_MOTPED)"</f>
        <v>Materiais e Logística / Compras / Relatórios / Tabelas / Motivos de Pedido (R_MOTPED)</v>
      </c>
    </row>
    <row r="5216" spans="1:7" x14ac:dyDescent="0.3">
      <c r="A5216" s="1" t="s">
        <v>4</v>
      </c>
      <c r="B5216" s="2" t="str">
        <f t="shared" si="431"/>
        <v>SISTEMA DE GERENCIAMENTO DE COMPRAS</v>
      </c>
      <c r="C5216" s="2" t="str">
        <f t="shared" si="433"/>
        <v>SUPRI</v>
      </c>
      <c r="D5216" s="2" t="str">
        <f t="shared" si="432"/>
        <v>MGCO</v>
      </c>
      <c r="E5216" s="2" t="str">
        <f>"RELATÓRIO DE PRODUTOS X FORNECEDORES"</f>
        <v>RELATÓRIO DE PRODUTOS X FORNECEDORES</v>
      </c>
      <c r="F5216" s="2" t="str">
        <f>"R_PRODFORN"</f>
        <v>R_PRODFORN</v>
      </c>
      <c r="G5216" s="2" t="str">
        <f>"Materiais e Logística / Compras / Relatórios / Tabelas / Produto X Fornecedores (R_PRODFORN)"</f>
        <v>Materiais e Logística / Compras / Relatórios / Tabelas / Produto X Fornecedores (R_PRODFORN)</v>
      </c>
    </row>
    <row r="5217" spans="1:7" x14ac:dyDescent="0.3">
      <c r="A5217" s="1" t="s">
        <v>4</v>
      </c>
      <c r="B5217" s="2" t="str">
        <f t="shared" si="431"/>
        <v>SISTEMA DE GERENCIAMENTO DE COMPRAS</v>
      </c>
      <c r="C5217" s="2" t="str">
        <f t="shared" si="433"/>
        <v>SUPRI</v>
      </c>
      <c r="D5217" s="2" t="str">
        <f t="shared" si="432"/>
        <v>MGCO</v>
      </c>
      <c r="E5217" s="2" t="str">
        <f>"CADASTRO DE TIPO DE ATIVIDADE"</f>
        <v>CADASTRO DE TIPO DE ATIVIDADE</v>
      </c>
      <c r="F5217" s="2" t="str">
        <f>"M_TIPATI"</f>
        <v>M_TIPATI</v>
      </c>
      <c r="G5217" s="2" t="str">
        <f>"Materiais e Logística / Compras / Tabelas / Tipos de Atividade (M_TIPATI)"</f>
        <v>Materiais e Logística / Compras / Tabelas / Tipos de Atividade (M_TIPATI)</v>
      </c>
    </row>
    <row r="5218" spans="1:7" x14ac:dyDescent="0.3">
      <c r="A5218" s="1" t="s">
        <v>4</v>
      </c>
      <c r="B5218" s="2" t="str">
        <f t="shared" si="431"/>
        <v>SISTEMA DE GERENCIAMENTO DE COMPRAS</v>
      </c>
      <c r="C5218" s="2" t="str">
        <f t="shared" si="433"/>
        <v>SUPRI</v>
      </c>
      <c r="D5218" s="2" t="str">
        <f t="shared" si="432"/>
        <v>MGCO</v>
      </c>
      <c r="E5218" s="2" t="str">
        <f>"TIPO DE EMPENHO"</f>
        <v>TIPO DE EMPENHO</v>
      </c>
      <c r="F5218" s="2" t="str">
        <f>"M_TIPEMP"</f>
        <v>M_TIPEMP</v>
      </c>
      <c r="G5218" s="2" t="str">
        <f>"Materiais e Logística / Compras / Tabelas / Tipos de Empenho (M_TIPEMP)"</f>
        <v>Materiais e Logística / Compras / Tabelas / Tipos de Empenho (M_TIPEMP)</v>
      </c>
    </row>
    <row r="5219" spans="1:7" x14ac:dyDescent="0.3">
      <c r="A5219" s="1" t="s">
        <v>4</v>
      </c>
      <c r="B5219" s="2" t="str">
        <f t="shared" si="431"/>
        <v>SISTEMA DE GERENCIAMENTO DE COMPRAS</v>
      </c>
      <c r="C5219" s="2" t="str">
        <f t="shared" si="433"/>
        <v>SUPRI</v>
      </c>
      <c r="D5219" s="2" t="str">
        <f t="shared" si="432"/>
        <v>MGCO</v>
      </c>
      <c r="E5219" s="2" t="str">
        <f>"REL. COMPRAS POR MOTIVO DE PEDIDO"</f>
        <v>REL. COMPRAS POR MOTIVO DE PEDIDO</v>
      </c>
      <c r="F5219" s="2" t="str">
        <f>"R_COMPRA_MOT_PED"</f>
        <v>R_COMPRA_MOT_PED</v>
      </c>
      <c r="G5219" s="2" t="str">
        <f>"Materiais e Logística / Compras / Relatórios / Gerenciais / Compras por Motivo de Pedido (R_COMPRA_MOT_PED)"</f>
        <v>Materiais e Logística / Compras / Relatórios / Gerenciais / Compras por Motivo de Pedido (R_COMPRA_MOT_PED)</v>
      </c>
    </row>
    <row r="5220" spans="1:7" x14ac:dyDescent="0.3">
      <c r="A5220" s="1" t="s">
        <v>4</v>
      </c>
      <c r="B5220" s="2" t="str">
        <f t="shared" si="431"/>
        <v>SISTEMA DE GERENCIAMENTO DE COMPRAS</v>
      </c>
      <c r="C5220" s="2" t="str">
        <f t="shared" si="433"/>
        <v>SUPRI</v>
      </c>
      <c r="D5220" s="2" t="str">
        <f t="shared" si="432"/>
        <v>MGCO</v>
      </c>
      <c r="E5220" s="2" t="str">
        <f>"CADASTRO DE COMPRADORES"</f>
        <v>CADASTRO DE COMPRADORES</v>
      </c>
      <c r="F5220" s="2" t="str">
        <f>"M_COTADOR"</f>
        <v>M_COTADOR</v>
      </c>
      <c r="G5220" s="2" t="str">
        <f>"Materiais e Logística / Compras / Tabelas / Comprador (M_COTADOR)"</f>
        <v>Materiais e Logística / Compras / Tabelas / Comprador (M_COTADOR)</v>
      </c>
    </row>
    <row r="5221" spans="1:7" x14ac:dyDescent="0.3">
      <c r="A5221" s="1" t="s">
        <v>4</v>
      </c>
      <c r="B5221" s="2" t="str">
        <f t="shared" si="431"/>
        <v>SISTEMA DE GERENCIAMENTO DE COMPRAS</v>
      </c>
      <c r="C5221" s="2" t="str">
        <f t="shared" si="433"/>
        <v>SUPRI</v>
      </c>
      <c r="D5221" s="2" t="str">
        <f t="shared" si="432"/>
        <v>MGCO</v>
      </c>
      <c r="E5221" s="2" t="str">
        <f>"MOTIVO DE PEDIDO"</f>
        <v>MOTIVO DE PEDIDO</v>
      </c>
      <c r="F5221" s="2" t="str">
        <f>"M_MOTPED"</f>
        <v>M_MOTPED</v>
      </c>
      <c r="G5221" s="2" t="str">
        <f>"Materiais e Logística / Compras / Tabelas / Motivos de Pedido (M_MOTPED)"</f>
        <v>Materiais e Logística / Compras / Tabelas / Motivos de Pedido (M_MOTPED)</v>
      </c>
    </row>
    <row r="5222" spans="1:7" x14ac:dyDescent="0.3">
      <c r="A5222" s="1" t="s">
        <v>4</v>
      </c>
      <c r="B5222" s="2" t="str">
        <f t="shared" si="431"/>
        <v>SISTEMA DE GERENCIAMENTO DE COMPRAS</v>
      </c>
      <c r="C5222" s="2" t="str">
        <f t="shared" si="433"/>
        <v>SUPRI</v>
      </c>
      <c r="D5222" s="2" t="str">
        <f t="shared" si="432"/>
        <v>MGCO</v>
      </c>
      <c r="E5222" s="2" t="str">
        <f>"FORMAÇÃO DE ORDEM DE COMPRA"</f>
        <v>FORMAÇÃO DE ORDEM DE COMPRA</v>
      </c>
      <c r="F5222" s="2" t="str">
        <f>"O_GERAORDCOM"</f>
        <v>O_GERAORDCOM</v>
      </c>
      <c r="G5222" s="2" t="str">
        <f>" ()"</f>
        <v xml:space="preserve"> ()</v>
      </c>
    </row>
    <row r="5223" spans="1:7" x14ac:dyDescent="0.3">
      <c r="A5223" s="1" t="s">
        <v>4</v>
      </c>
      <c r="B5223" s="2" t="str">
        <f t="shared" si="431"/>
        <v>SISTEMA DE GERENCIAMENTO DE COMPRAS</v>
      </c>
      <c r="C5223" s="2" t="str">
        <f t="shared" si="433"/>
        <v>SUPRI</v>
      </c>
      <c r="D5223" s="2" t="str">
        <f t="shared" si="432"/>
        <v>MGCO</v>
      </c>
      <c r="E5223" s="2" t="str">
        <f>"COMPRA POR ESPÉCIE"</f>
        <v>COMPRA POR ESPÉCIE</v>
      </c>
      <c r="F5223" s="2" t="str">
        <f>"R_COMPRA_ESP"</f>
        <v>R_COMPRA_ESP</v>
      </c>
      <c r="G5223" s="2" t="str">
        <f>"Materiais e Logística / Compras / Relatórios / Gerenciais / Compras por Espécie (R_COMPRA_ESP)"</f>
        <v>Materiais e Logística / Compras / Relatórios / Gerenciais / Compras por Espécie (R_COMPRA_ESP)</v>
      </c>
    </row>
    <row r="5224" spans="1:7" x14ac:dyDescent="0.3">
      <c r="A5224" s="1" t="s">
        <v>4</v>
      </c>
      <c r="B5224" s="2" t="str">
        <f t="shared" si="431"/>
        <v>SISTEMA DE GERENCIAMENTO DE COMPRAS</v>
      </c>
      <c r="C5224" s="2" t="str">
        <f t="shared" si="433"/>
        <v>SUPRI</v>
      </c>
      <c r="D5224" s="2" t="str">
        <f t="shared" si="432"/>
        <v>MGCO</v>
      </c>
      <c r="E5224" s="2" t="str">
        <f>"CATÁLOGO DOS FORNECEDORES"</f>
        <v>CATÁLOGO DOS FORNECEDORES</v>
      </c>
      <c r="F5224" s="2" t="str">
        <f>"M_CADPROD"</f>
        <v>M_CADPROD</v>
      </c>
      <c r="G5224" s="2" t="str">
        <f>" ()"</f>
        <v xml:space="preserve"> ()</v>
      </c>
    </row>
    <row r="5225" spans="1:7" x14ac:dyDescent="0.3">
      <c r="A5225" s="1" t="s">
        <v>4</v>
      </c>
      <c r="B5225" s="2" t="str">
        <f t="shared" si="431"/>
        <v>SISTEMA DE GERENCIAMENTO DE COMPRAS</v>
      </c>
      <c r="C5225" s="2" t="str">
        <f t="shared" si="433"/>
        <v>SUPRI</v>
      </c>
      <c r="D5225" s="2" t="str">
        <f t="shared" si="432"/>
        <v>MGCO</v>
      </c>
      <c r="E5225" s="2" t="str">
        <f>"CADASTRO: LICITAÇÃO DE COMPRA"</f>
        <v>CADASTRO: LICITAÇÃO DE COMPRA</v>
      </c>
      <c r="F5225" s="2" t="str">
        <f>"M_PROCESSO"</f>
        <v>M_PROCESSO</v>
      </c>
      <c r="G5225" s="2" t="str">
        <f>"Materiais e Logística / Compras / Compras / Coleta de Preços (Licitação) / Abertura do Processo (M_PROCESSO)"</f>
        <v>Materiais e Logística / Compras / Compras / Coleta de Preços (Licitação) / Abertura do Processo (M_PROCESSO)</v>
      </c>
    </row>
    <row r="5226" spans="1:7" x14ac:dyDescent="0.3">
      <c r="A5226" s="1" t="s">
        <v>4</v>
      </c>
      <c r="B5226" s="2" t="str">
        <f t="shared" si="431"/>
        <v>SISTEMA DE GERENCIAMENTO DE COMPRAS</v>
      </c>
      <c r="C5226" s="2" t="str">
        <f t="shared" si="433"/>
        <v>SUPRI</v>
      </c>
      <c r="D5226" s="2" t="str">
        <f t="shared" si="432"/>
        <v>MGCO</v>
      </c>
      <c r="E5226" s="2" t="str">
        <f>"R_LICITACAO"</f>
        <v>R_LICITACAO</v>
      </c>
      <c r="F5226" s="2" t="str">
        <f>"R_LICITACAO"</f>
        <v>R_LICITACAO</v>
      </c>
      <c r="G5226" s="2" t="str">
        <f>" ()"</f>
        <v xml:space="preserve"> ()</v>
      </c>
    </row>
    <row r="5227" spans="1:7" x14ac:dyDescent="0.3">
      <c r="A5227" s="1" t="s">
        <v>4</v>
      </c>
      <c r="B5227" s="2" t="str">
        <f t="shared" si="431"/>
        <v>SISTEMA DE GERENCIAMENTO DE COMPRAS</v>
      </c>
      <c r="C5227" s="2" t="str">
        <f t="shared" si="433"/>
        <v>SUPRI</v>
      </c>
      <c r="D5227" s="2" t="str">
        <f t="shared" si="432"/>
        <v>MGCO</v>
      </c>
      <c r="E5227" s="2" t="str">
        <f>"AVALIAÇÃO DO FORNECEDOR"</f>
        <v>AVALIAÇÃO DO FORNECEDOR</v>
      </c>
      <c r="F5227" s="2" t="str">
        <f>"M_AVALIACAO"</f>
        <v>M_AVALIACAO</v>
      </c>
      <c r="G5227" s="2" t="str">
        <f>"Materiais e Logística / Compras / Compras / Ordem de Compra / Avaliação do Fornecedor (M_AVALIACAO)"</f>
        <v>Materiais e Logística / Compras / Compras / Ordem de Compra / Avaliação do Fornecedor (M_AVALIACAO)</v>
      </c>
    </row>
    <row r="5228" spans="1:7" x14ac:dyDescent="0.3">
      <c r="A5228" s="1" t="s">
        <v>4</v>
      </c>
      <c r="B5228" s="2" t="str">
        <f t="shared" si="431"/>
        <v>SISTEMA DE GERENCIAMENTO DE COMPRAS</v>
      </c>
      <c r="C5228" s="2" t="str">
        <f t="shared" si="433"/>
        <v>SUPRI</v>
      </c>
      <c r="D5228" s="2" t="str">
        <f t="shared" si="432"/>
        <v>MGCO</v>
      </c>
      <c r="E5228" s="2" t="str">
        <f>"RANKING POSSÍVEIS PARA OS FORNECEDORES"</f>
        <v>RANKING POSSÍVEIS PARA OS FORNECEDORES</v>
      </c>
      <c r="F5228" s="2" t="str">
        <f>"M_RANKING"</f>
        <v>M_RANKING</v>
      </c>
      <c r="G5228" s="2" t="str">
        <f>"Materiais e Logística / Compras / Tabelas / Certificação ISO / Ranking (M_RANKING)"</f>
        <v>Materiais e Logística / Compras / Tabelas / Certificação ISO / Ranking (M_RANKING)</v>
      </c>
    </row>
    <row r="5229" spans="1:7" x14ac:dyDescent="0.3">
      <c r="A5229" s="1" t="s">
        <v>4</v>
      </c>
      <c r="B5229" s="2" t="str">
        <f t="shared" si="431"/>
        <v>SISTEMA DE GERENCIAMENTO DE COMPRAS</v>
      </c>
      <c r="C5229" s="2" t="str">
        <f t="shared" si="433"/>
        <v>SUPRI</v>
      </c>
      <c r="D5229" s="2" t="str">
        <f t="shared" si="432"/>
        <v>MGCO</v>
      </c>
      <c r="E5229" s="2" t="str">
        <f>"FÓRMULA PARA CÁLCULO DO RANKING"</f>
        <v>FÓRMULA PARA CÁLCULO DO RANKING</v>
      </c>
      <c r="F5229" s="2" t="str">
        <f>"M_ISO_FORMULA"</f>
        <v>M_ISO_FORMULA</v>
      </c>
      <c r="G5229" s="2" t="str">
        <f>"Materiais e Logística / Compras / Tabelas / Certificação ISO / Questionário (M_ISO_FORMULA)"</f>
        <v>Materiais e Logística / Compras / Tabelas / Certificação ISO / Questionário (M_ISO_FORMULA)</v>
      </c>
    </row>
    <row r="5230" spans="1:7" x14ac:dyDescent="0.3">
      <c r="A5230" s="1" t="s">
        <v>4</v>
      </c>
      <c r="B5230" s="2" t="str">
        <f t="shared" si="431"/>
        <v>SISTEMA DE GERENCIAMENTO DE COMPRAS</v>
      </c>
      <c r="C5230" s="2" t="str">
        <f t="shared" si="433"/>
        <v>SUPRI</v>
      </c>
      <c r="D5230" s="2" t="str">
        <f t="shared" si="432"/>
        <v>MGCO</v>
      </c>
      <c r="E5230" s="2" t="str">
        <f>"RELAT.COMPARATIVOS_PRECOS"</f>
        <v>RELAT.COMPARATIVOS_PRECOS</v>
      </c>
      <c r="F5230" s="2" t="str">
        <f>"R_COMPARATIVO_PRECOS"</f>
        <v>R_COMPARATIVO_PRECOS</v>
      </c>
      <c r="G5230" s="2" t="str">
        <f>"Materiais e Logística / Compras / Relatórios / Gerenciais / Comparativo de Preços (R_COMPARATIVO_PRECOS)"</f>
        <v>Materiais e Logística / Compras / Relatórios / Gerenciais / Comparativo de Preços (R_COMPARATIVO_PRECOS)</v>
      </c>
    </row>
    <row r="5231" spans="1:7" x14ac:dyDescent="0.3">
      <c r="A5231" s="1" t="s">
        <v>4</v>
      </c>
      <c r="B5231" s="2" t="str">
        <f t="shared" si="431"/>
        <v>SISTEMA DE GERENCIAMENTO DE COMPRAS</v>
      </c>
      <c r="C5231" s="2" t="str">
        <f t="shared" si="433"/>
        <v>SUPRI</v>
      </c>
      <c r="D5231" s="2" t="str">
        <f t="shared" si="432"/>
        <v>MGCO</v>
      </c>
      <c r="E5231" s="2" t="str">
        <f>"R_PERGUNTA"</f>
        <v>R_PERGUNTA</v>
      </c>
      <c r="F5231" s="2" t="str">
        <f>"R_PERGUNTA"</f>
        <v>R_PERGUNTA</v>
      </c>
      <c r="G5231" s="2" t="str">
        <f>"Materiais e Logística / Compras / Relatórios / Tabelas / Certificação ISO / Perguntas (R_PERGUNTA)"</f>
        <v>Materiais e Logística / Compras / Relatórios / Tabelas / Certificação ISO / Perguntas (R_PERGUNTA)</v>
      </c>
    </row>
    <row r="5232" spans="1:7" x14ac:dyDescent="0.3">
      <c r="A5232" s="1" t="s">
        <v>4</v>
      </c>
      <c r="B5232" s="2" t="str">
        <f t="shared" si="431"/>
        <v>SISTEMA DE GERENCIAMENTO DE COMPRAS</v>
      </c>
      <c r="C5232" s="2" t="str">
        <f t="shared" si="433"/>
        <v>SUPRI</v>
      </c>
      <c r="D5232" s="2" t="str">
        <f t="shared" si="432"/>
        <v>MGCO</v>
      </c>
      <c r="E5232" s="2" t="str">
        <f>"R_ORD_COM_CONTRATO"</f>
        <v>R_ORD_COM_CONTRATO</v>
      </c>
      <c r="F5232" s="2" t="str">
        <f>"R_ORD_COM_CONTRATO"</f>
        <v>R_ORD_COM_CONTRATO</v>
      </c>
      <c r="G5232" s="2" t="str">
        <f>" ()"</f>
        <v xml:space="preserve"> ()</v>
      </c>
    </row>
    <row r="5233" spans="1:7" x14ac:dyDescent="0.3">
      <c r="A5233" s="1" t="s">
        <v>4</v>
      </c>
      <c r="B5233" s="2" t="str">
        <f t="shared" si="431"/>
        <v>SISTEMA DE GERENCIAMENTO DE COMPRAS</v>
      </c>
      <c r="C5233" s="2" t="str">
        <f t="shared" si="433"/>
        <v>SUPRI</v>
      </c>
      <c r="D5233" s="2" t="str">
        <f t="shared" si="432"/>
        <v>MGCO</v>
      </c>
      <c r="E5233" s="2" t="str">
        <f>"R_ORDCOM_GRA_273"</f>
        <v>R_ORDCOM_GRA_273</v>
      </c>
      <c r="F5233" s="2" t="str">
        <f>"R_ORDCOM_GRA_273"</f>
        <v>R_ORDCOM_GRA_273</v>
      </c>
      <c r="G5233" s="2" t="str">
        <f>" ()"</f>
        <v xml:space="preserve"> ()</v>
      </c>
    </row>
    <row r="5234" spans="1:7" x14ac:dyDescent="0.3">
      <c r="A5234" s="1" t="s">
        <v>4</v>
      </c>
      <c r="B5234" s="2" t="str">
        <f t="shared" ref="B5234:B5297" si="434">"SISTEMA DE GERENCIAMENTO DE COMPRAS"</f>
        <v>SISTEMA DE GERENCIAMENTO DE COMPRAS</v>
      </c>
      <c r="C5234" s="2" t="str">
        <f t="shared" si="433"/>
        <v>SUPRI</v>
      </c>
      <c r="D5234" s="2" t="str">
        <f t="shared" ref="D5234:D5297" si="435">"MGCO"</f>
        <v>MGCO</v>
      </c>
      <c r="E5234" s="2" t="str">
        <f>"RELATÓRIO DAS FONTES DE RECURSO"</f>
        <v>RELATÓRIO DAS FONTES DE RECURSO</v>
      </c>
      <c r="F5234" s="2" t="str">
        <f>"R_FONTE_RECURSO"</f>
        <v>R_FONTE_RECURSO</v>
      </c>
      <c r="G5234" s="2" t="str">
        <f>"Materiais e Logística / Compras / Relatórios / Tabelas / Licitação / Fonte de Recurso (R_FONTE_RECURSO)"</f>
        <v>Materiais e Logística / Compras / Relatórios / Tabelas / Licitação / Fonte de Recurso (R_FONTE_RECURSO)</v>
      </c>
    </row>
    <row r="5235" spans="1:7" x14ac:dyDescent="0.3">
      <c r="A5235" s="1" t="s">
        <v>4</v>
      </c>
      <c r="B5235" s="2" t="str">
        <f t="shared" si="434"/>
        <v>SISTEMA DE GERENCIAMENTO DE COMPRAS</v>
      </c>
      <c r="C5235" s="2" t="str">
        <f t="shared" si="433"/>
        <v>SUPRI</v>
      </c>
      <c r="D5235" s="2" t="str">
        <f t="shared" si="435"/>
        <v>MGCO</v>
      </c>
      <c r="E5235" s="2" t="str">
        <f>"MVSC_COMPRAS"</f>
        <v>MVSC_COMPRAS</v>
      </c>
      <c r="F5235" s="2" t="str">
        <f>"MVSC_COMPRAS"</f>
        <v>MVSC_COMPRAS</v>
      </c>
      <c r="G5235" s="2" t="str">
        <f>" ()"</f>
        <v xml:space="preserve"> ()</v>
      </c>
    </row>
    <row r="5236" spans="1:7" x14ac:dyDescent="0.3">
      <c r="A5236" s="1" t="s">
        <v>4</v>
      </c>
      <c r="B5236" s="2" t="str">
        <f t="shared" si="434"/>
        <v>SISTEMA DE GERENCIAMENTO DE COMPRAS</v>
      </c>
      <c r="C5236" s="2" t="str">
        <f t="shared" si="433"/>
        <v>SUPRI</v>
      </c>
      <c r="D5236" s="2" t="str">
        <f t="shared" si="435"/>
        <v>MGCO</v>
      </c>
      <c r="E5236" s="2" t="str">
        <f>"R_MAPA_CUSTO_339"</f>
        <v>R_MAPA_CUSTO_339</v>
      </c>
      <c r="F5236" s="2" t="str">
        <f>"R_MAPA_CUSTO_339"</f>
        <v>R_MAPA_CUSTO_339</v>
      </c>
      <c r="G5236" s="2" t="str">
        <f>" ()"</f>
        <v xml:space="preserve"> ()</v>
      </c>
    </row>
    <row r="5237" spans="1:7" x14ac:dyDescent="0.3">
      <c r="A5237" s="1" t="s">
        <v>4</v>
      </c>
      <c r="B5237" s="2" t="str">
        <f t="shared" si="434"/>
        <v>SISTEMA DE GERENCIAMENTO DE COMPRAS</v>
      </c>
      <c r="C5237" s="2" t="str">
        <f t="shared" si="433"/>
        <v>SUPRI</v>
      </c>
      <c r="D5237" s="2" t="str">
        <f t="shared" si="435"/>
        <v>MGCO</v>
      </c>
      <c r="E5237" s="2" t="str">
        <f>"M_SOLCOM_OLD"</f>
        <v>M_SOLCOM_OLD</v>
      </c>
      <c r="F5237" s="2" t="str">
        <f>"M_SOLCOM_OLD"</f>
        <v>M_SOLCOM_OLD</v>
      </c>
      <c r="G5237" s="2" t="str">
        <f>" ()"</f>
        <v xml:space="preserve"> ()</v>
      </c>
    </row>
    <row r="5238" spans="1:7" x14ac:dyDescent="0.3">
      <c r="A5238" s="1" t="s">
        <v>4</v>
      </c>
      <c r="B5238" s="2" t="str">
        <f t="shared" si="434"/>
        <v>SISTEMA DE GERENCIAMENTO DE COMPRAS</v>
      </c>
      <c r="C5238" s="2" t="str">
        <f t="shared" si="433"/>
        <v>SUPRI</v>
      </c>
      <c r="D5238" s="2" t="str">
        <f t="shared" si="435"/>
        <v>MGCO</v>
      </c>
      <c r="E5238" s="2" t="str">
        <f>"M_SOLCOM_20061021"</f>
        <v>M_SOLCOM_20061021</v>
      </c>
      <c r="F5238" s="2" t="str">
        <f>"M_SOLCOM_20061021"</f>
        <v>M_SOLCOM_20061021</v>
      </c>
      <c r="G5238" s="2" t="str">
        <f>" ()"</f>
        <v xml:space="preserve"> ()</v>
      </c>
    </row>
    <row r="5239" spans="1:7" x14ac:dyDescent="0.3">
      <c r="A5239" s="1" t="s">
        <v>4</v>
      </c>
      <c r="B5239" s="2" t="str">
        <f t="shared" si="434"/>
        <v>SISTEMA DE GERENCIAMENTO DE COMPRAS</v>
      </c>
      <c r="C5239" s="2" t="str">
        <f t="shared" si="433"/>
        <v>SUPRI</v>
      </c>
      <c r="D5239" s="2" t="str">
        <f t="shared" si="435"/>
        <v>MGCO</v>
      </c>
      <c r="E5239" s="2" t="str">
        <f>"M_MOTCANCEL"</f>
        <v>M_MOTCANCEL</v>
      </c>
      <c r="F5239" s="2" t="str">
        <f>"M_MOTCANCEL"</f>
        <v>M_MOTCANCEL</v>
      </c>
      <c r="G5239" s="2" t="str">
        <f>" ()"</f>
        <v xml:space="preserve"> ()</v>
      </c>
    </row>
    <row r="5240" spans="1:7" x14ac:dyDescent="0.3">
      <c r="A5240" s="1" t="s">
        <v>4</v>
      </c>
      <c r="B5240" s="2" t="str">
        <f t="shared" si="434"/>
        <v>SISTEMA DE GERENCIAMENTO DE COMPRAS</v>
      </c>
      <c r="C5240" s="2" t="str">
        <f t="shared" si="433"/>
        <v>SUPRI</v>
      </c>
      <c r="D5240" s="2" t="str">
        <f t="shared" si="435"/>
        <v>MGCO</v>
      </c>
      <c r="E5240" s="2" t="str">
        <f>"M_CATPROD"</f>
        <v>M_CATPROD</v>
      </c>
      <c r="F5240" s="2" t="str">
        <f>"M_CATPROD"</f>
        <v>M_CATPROD</v>
      </c>
      <c r="G5240" s="2" t="str">
        <f>"Materiais e Logística / Compras / Catálogo / Produto (M_CATPROD)"</f>
        <v>Materiais e Logística / Compras / Catálogo / Produto (M_CATPROD)</v>
      </c>
    </row>
    <row r="5241" spans="1:7" x14ac:dyDescent="0.3">
      <c r="A5241" s="1" t="s">
        <v>4</v>
      </c>
      <c r="B5241" s="2" t="str">
        <f t="shared" si="434"/>
        <v>SISTEMA DE GERENCIAMENTO DE COMPRAS</v>
      </c>
      <c r="C5241" s="2" t="str">
        <f t="shared" si="433"/>
        <v>SUPRI</v>
      </c>
      <c r="D5241" s="2" t="str">
        <f t="shared" si="435"/>
        <v>MGCO</v>
      </c>
      <c r="E5241" s="2" t="str">
        <f>"WIN_PRINCIPAL"</f>
        <v>WIN_PRINCIPAL</v>
      </c>
      <c r="F5241" s="2" t="str">
        <f>"M_REGRA_ENTREGA_SOLCOM"</f>
        <v>M_REGRA_ENTREGA_SOLCOM</v>
      </c>
      <c r="G5241" s="2" t="str">
        <f>"Materiais e Logística / Compras / Configuração / Regras de Entrega de Solicitações e Ordens Compras (M_REGRA_ENTREGA_SOLCOM)"</f>
        <v>Materiais e Logística / Compras / Configuração / Regras de Entrega de Solicitações e Ordens Compras (M_REGRA_ENTREGA_SOLCOM)</v>
      </c>
    </row>
    <row r="5242" spans="1:7" x14ac:dyDescent="0.3">
      <c r="A5242" s="1" t="s">
        <v>4</v>
      </c>
      <c r="B5242" s="2" t="str">
        <f t="shared" si="434"/>
        <v>SISTEMA DE GERENCIAMENTO DE COMPRAS</v>
      </c>
      <c r="C5242" s="2" t="str">
        <f t="shared" si="433"/>
        <v>SUPRI</v>
      </c>
      <c r="D5242" s="2" t="str">
        <f t="shared" si="435"/>
        <v>MGCO</v>
      </c>
      <c r="E5242" s="2" t="str">
        <f>"RELATÓRIO DE QUALIDADE  DO FORNECEDOR"</f>
        <v>RELATÓRIO DE QUALIDADE  DO FORNECEDOR</v>
      </c>
      <c r="F5242" s="2" t="str">
        <f>"R_QUAL_FORNEC_MES"</f>
        <v>R_QUAL_FORNEC_MES</v>
      </c>
      <c r="G5242" s="2" t="str">
        <f>"Materiais e Logística / Compras / Relatórios / Administrativos / Qualidade dos Fornecedores (R_QUAL_FORNEC_MES)"</f>
        <v>Materiais e Logística / Compras / Relatórios / Administrativos / Qualidade dos Fornecedores (R_QUAL_FORNEC_MES)</v>
      </c>
    </row>
    <row r="5243" spans="1:7" x14ac:dyDescent="0.3">
      <c r="A5243" s="1" t="s">
        <v>4</v>
      </c>
      <c r="B5243" s="2" t="str">
        <f t="shared" si="434"/>
        <v>SISTEMA DE GERENCIAMENTO DE COMPRAS</v>
      </c>
      <c r="C5243" s="2" t="str">
        <f t="shared" si="433"/>
        <v>SUPRI</v>
      </c>
      <c r="D5243" s="2" t="str">
        <f t="shared" si="435"/>
        <v>MGCO</v>
      </c>
      <c r="E5243" s="2" t="str">
        <f>"RELATÓRIO DE QUALIDADE  DO FORNECEDOR"</f>
        <v>RELATÓRIO DE QUALIDADE  DO FORNECEDOR</v>
      </c>
      <c r="F5243" s="2" t="str">
        <f>"R_QUAL_FORNEC_MES"</f>
        <v>R_QUAL_FORNEC_MES</v>
      </c>
      <c r="G5243" s="2" t="str">
        <f>"Materiais e Logística / Almoxarifado / Relatórios / Operacionais / Documento de Entradas e Entradas de Produtos / Qualidade dos Fornecedores (R_QUAL_FORNEC_MES)"</f>
        <v>Materiais e Logística / Almoxarifado / Relatórios / Operacionais / Documento de Entradas e Entradas de Produtos / Qualidade dos Fornecedores (R_QUAL_FORNEC_MES)</v>
      </c>
    </row>
    <row r="5244" spans="1:7" x14ac:dyDescent="0.3">
      <c r="A5244" s="1" t="s">
        <v>4</v>
      </c>
      <c r="B5244" s="2" t="str">
        <f t="shared" si="434"/>
        <v>SISTEMA DE GERENCIAMENTO DE COMPRAS</v>
      </c>
      <c r="C5244" s="2" t="str">
        <f t="shared" si="433"/>
        <v>SUPRI</v>
      </c>
      <c r="D5244" s="2" t="str">
        <f t="shared" si="435"/>
        <v>MGCO</v>
      </c>
      <c r="E5244" s="2" t="str">
        <f>"FOLLOW UP"</f>
        <v>FOLLOW UP</v>
      </c>
      <c r="F5244" s="2" t="str">
        <f>"M_ACOMPANHAMENTO_ORD_COM"</f>
        <v>M_ACOMPANHAMENTO_ORD_COM</v>
      </c>
      <c r="G5244" s="2" t="str">
        <f>"Materiais e Logística / Compras / Tabelas / Follow Up (M_ACOMPANHAMENTO_ORD_COM)"</f>
        <v>Materiais e Logística / Compras / Tabelas / Follow Up (M_ACOMPANHAMENTO_ORD_COM)</v>
      </c>
    </row>
    <row r="5245" spans="1:7" x14ac:dyDescent="0.3">
      <c r="A5245" s="1" t="s">
        <v>4</v>
      </c>
      <c r="B5245" s="2" t="str">
        <f t="shared" si="434"/>
        <v>SISTEMA DE GERENCIAMENTO DE COMPRAS</v>
      </c>
      <c r="C5245" s="2" t="str">
        <f t="shared" si="433"/>
        <v>SUPRI</v>
      </c>
      <c r="D5245" s="2" t="str">
        <f t="shared" si="435"/>
        <v>MGCO</v>
      </c>
      <c r="E5245" s="2" t="str">
        <f>"RELATÓRIO DOS TIPOS DE ORÇAMENTO"</f>
        <v>RELATÓRIO DOS TIPOS DE ORÇAMENTO</v>
      </c>
      <c r="F5245" s="2" t="str">
        <f>"R_ALT_ORD_COM_737"</f>
        <v>R_ALT_ORD_COM_737</v>
      </c>
      <c r="G5245" s="2" t="str">
        <f t="shared" ref="G5245:G5250" si="436">" ()"</f>
        <v xml:space="preserve"> ()</v>
      </c>
    </row>
    <row r="5246" spans="1:7" x14ac:dyDescent="0.3">
      <c r="A5246" s="1" t="s">
        <v>4</v>
      </c>
      <c r="B5246" s="2" t="str">
        <f t="shared" si="434"/>
        <v>SISTEMA DE GERENCIAMENTO DE COMPRAS</v>
      </c>
      <c r="C5246" s="2" t="str">
        <f t="shared" si="433"/>
        <v>SUPRI</v>
      </c>
      <c r="D5246" s="2" t="str">
        <f t="shared" si="435"/>
        <v>MGCO</v>
      </c>
      <c r="E5246" s="2" t="str">
        <f>"R_ORD_COM_GRA"</f>
        <v>R_ORD_COM_GRA</v>
      </c>
      <c r="F5246" s="2" t="str">
        <f>"R_ORD_COM_GRA"</f>
        <v>R_ORD_COM_GRA</v>
      </c>
      <c r="G5246" s="2" t="str">
        <f t="shared" si="436"/>
        <v xml:space="preserve"> ()</v>
      </c>
    </row>
    <row r="5247" spans="1:7" x14ac:dyDescent="0.3">
      <c r="A5247" s="1" t="s">
        <v>4</v>
      </c>
      <c r="B5247" s="2" t="str">
        <f t="shared" si="434"/>
        <v>SISTEMA DE GERENCIAMENTO DE COMPRAS</v>
      </c>
      <c r="C5247" s="2" t="str">
        <f t="shared" si="433"/>
        <v>SUPRI</v>
      </c>
      <c r="D5247" s="2" t="str">
        <f t="shared" si="435"/>
        <v>MGCO</v>
      </c>
      <c r="E5247" s="2" t="str">
        <f>"CONSUMO MENSAL / AQUISIÇÃO MENSAL"</f>
        <v>CONSUMO MENSAL / AQUISIÇÃO MENSAL</v>
      </c>
      <c r="F5247" s="2" t="str">
        <f>"R_CONS_AQUISI_SORO"</f>
        <v>R_CONS_AQUISI_SORO</v>
      </c>
      <c r="G5247" s="2" t="str">
        <f t="shared" si="436"/>
        <v xml:space="preserve"> ()</v>
      </c>
    </row>
    <row r="5248" spans="1:7" x14ac:dyDescent="0.3">
      <c r="A5248" s="1" t="s">
        <v>4</v>
      </c>
      <c r="B5248" s="2" t="str">
        <f t="shared" si="434"/>
        <v>SISTEMA DE GERENCIAMENTO DE COMPRAS</v>
      </c>
      <c r="C5248" s="2" t="str">
        <f t="shared" si="433"/>
        <v>SUPRI</v>
      </c>
      <c r="D5248" s="2" t="str">
        <f t="shared" si="435"/>
        <v>MGCO</v>
      </c>
      <c r="E5248" s="2" t="str">
        <f>"R_ORD_COM_CAR"</f>
        <v>R_ORD_COM_CAR</v>
      </c>
      <c r="F5248" s="2" t="str">
        <f>"R_ORD_COM_CAR"</f>
        <v>R_ORD_COM_CAR</v>
      </c>
      <c r="G5248" s="2" t="str">
        <f t="shared" si="436"/>
        <v xml:space="preserve"> ()</v>
      </c>
    </row>
    <row r="5249" spans="1:7" x14ac:dyDescent="0.3">
      <c r="A5249" s="1" t="s">
        <v>4</v>
      </c>
      <c r="B5249" s="2" t="str">
        <f t="shared" si="434"/>
        <v>SISTEMA DE GERENCIAMENTO DE COMPRAS</v>
      </c>
      <c r="C5249" s="2" t="str">
        <f t="shared" si="433"/>
        <v>SUPRI</v>
      </c>
      <c r="D5249" s="2" t="str">
        <f t="shared" si="435"/>
        <v>MGCO</v>
      </c>
      <c r="E5249" s="2" t="str">
        <f>"R_ORD_COM_CONTRATO_CAR"</f>
        <v>R_ORD_COM_CONTRATO_CAR</v>
      </c>
      <c r="F5249" s="2" t="str">
        <f>"R_ORD_COM_CONTRATO_CAR"</f>
        <v>R_ORD_COM_CONTRATO_CAR</v>
      </c>
      <c r="G5249" s="2" t="str">
        <f t="shared" si="436"/>
        <v xml:space="preserve"> ()</v>
      </c>
    </row>
    <row r="5250" spans="1:7" x14ac:dyDescent="0.3">
      <c r="A5250" s="1" t="s">
        <v>4</v>
      </c>
      <c r="B5250" s="2" t="str">
        <f t="shared" si="434"/>
        <v>SISTEMA DE GERENCIAMENTO DE COMPRAS</v>
      </c>
      <c r="C5250" s="2" t="str">
        <f t="shared" si="433"/>
        <v>SUPRI</v>
      </c>
      <c r="D5250" s="2" t="str">
        <f t="shared" si="435"/>
        <v>MGCO</v>
      </c>
      <c r="E5250" s="2" t="str">
        <f>"CADASTRO: PRESTADORES"</f>
        <v>CADASTRO: PRESTADORES</v>
      </c>
      <c r="F5250" s="2" t="str">
        <f>"USU_ASSINATURA"</f>
        <v>USU_ASSINATURA</v>
      </c>
      <c r="G5250" s="2" t="str">
        <f t="shared" si="436"/>
        <v xml:space="preserve"> ()</v>
      </c>
    </row>
    <row r="5251" spans="1:7" x14ac:dyDescent="0.3">
      <c r="A5251" s="1" t="s">
        <v>4</v>
      </c>
      <c r="B5251" s="2" t="str">
        <f t="shared" si="434"/>
        <v>SISTEMA DE GERENCIAMENTO DE COMPRAS</v>
      </c>
      <c r="C5251" s="2" t="str">
        <f t="shared" si="433"/>
        <v>SUPRI</v>
      </c>
      <c r="D5251" s="2" t="str">
        <f t="shared" si="435"/>
        <v>MGCO</v>
      </c>
      <c r="E5251" s="2" t="str">
        <f>"RELATÓRIO DE QUADRO DEMONSTRATIVO"</f>
        <v>RELATÓRIO DE QUADRO DEMONSTRATIVO</v>
      </c>
      <c r="F5251" s="2" t="str">
        <f>"R_QUADRO_DEMONSTRATIVO"</f>
        <v>R_QUADRO_DEMONSTRATIVO</v>
      </c>
      <c r="G5251" s="2" t="str">
        <f>"Materiais e Logística / Compras / Relatórios / Coleta de Preços / Quadro Demonstrativo (R_QUADRO_DEMONSTRATIVO)"</f>
        <v>Materiais e Logística / Compras / Relatórios / Coleta de Preços / Quadro Demonstrativo (R_QUADRO_DEMONSTRATIVO)</v>
      </c>
    </row>
    <row r="5252" spans="1:7" x14ac:dyDescent="0.3">
      <c r="A5252" s="1" t="s">
        <v>4</v>
      </c>
      <c r="B5252" s="2" t="str">
        <f t="shared" si="434"/>
        <v>SISTEMA DE GERENCIAMENTO DE COMPRAS</v>
      </c>
      <c r="C5252" s="2" t="str">
        <f t="shared" si="433"/>
        <v>SUPRI</v>
      </c>
      <c r="D5252" s="2" t="str">
        <f t="shared" si="435"/>
        <v>MGCO</v>
      </c>
      <c r="E5252" s="2" t="str">
        <f>"REL. MOVIMENTACAO DE ENTRADA DE PROD"</f>
        <v>REL. MOVIMENTACAO DE ENTRADA DE PROD</v>
      </c>
      <c r="F5252" s="2" t="str">
        <f>"R_MOV_ENT_PROD"</f>
        <v>R_MOV_ENT_PROD</v>
      </c>
      <c r="G5252" s="2" t="str">
        <f>" ()"</f>
        <v xml:space="preserve"> ()</v>
      </c>
    </row>
    <row r="5253" spans="1:7" x14ac:dyDescent="0.3">
      <c r="A5253" s="1" t="s">
        <v>4</v>
      </c>
      <c r="B5253" s="2" t="str">
        <f t="shared" si="434"/>
        <v>SISTEMA DE GERENCIAMENTO DE COMPRAS</v>
      </c>
      <c r="C5253" s="2" t="str">
        <f t="shared" si="433"/>
        <v>SUPRI</v>
      </c>
      <c r="D5253" s="2" t="str">
        <f t="shared" si="435"/>
        <v>MGCO</v>
      </c>
      <c r="E5253" s="2" t="str">
        <f>"RELAT. DOS CUSTOS DE PROD C/ ADICIONIAS"</f>
        <v>RELAT. DOS CUSTOS DE PROD C/ ADICIONIAS</v>
      </c>
      <c r="F5253" s="2" t="str">
        <f>"R_CUS_PROD_ADIC"</f>
        <v>R_CUS_PROD_ADIC</v>
      </c>
      <c r="G5253" s="2" t="str">
        <f>"Materiais e Logística / Compras / Relatórios / Gerenciais / Custos dos Produtos com Adicionais (R_CUS_PROD_ADIC)"</f>
        <v>Materiais e Logística / Compras / Relatórios / Gerenciais / Custos dos Produtos com Adicionais (R_CUS_PROD_ADIC)</v>
      </c>
    </row>
    <row r="5254" spans="1:7" x14ac:dyDescent="0.3">
      <c r="A5254" s="1" t="s">
        <v>4</v>
      </c>
      <c r="B5254" s="2" t="str">
        <f t="shared" si="434"/>
        <v>SISTEMA DE GERENCIAMENTO DE COMPRAS</v>
      </c>
      <c r="C5254" s="2" t="str">
        <f t="shared" si="433"/>
        <v>SUPRI</v>
      </c>
      <c r="D5254" s="2" t="str">
        <f t="shared" si="435"/>
        <v>MGCO</v>
      </c>
      <c r="E5254" s="2" t="str">
        <f>"RELAT. SOLICITAÇÕES DE PRODUTO"</f>
        <v>RELAT. SOLICITAÇÕES DE PRODUTO</v>
      </c>
      <c r="F5254" s="2" t="str">
        <f>"R_SOLIC_PRODUTO"</f>
        <v>R_SOLIC_PRODUTO</v>
      </c>
      <c r="G5254" s="2" t="str">
        <f>"Materiais e Logística / Compras / Relatórios / Gerenciais / Ordem de Compras por Estoque x Produtos (R_SOLIC_PRODUTO)"</f>
        <v>Materiais e Logística / Compras / Relatórios / Gerenciais / Ordem de Compras por Estoque x Produtos (R_SOLIC_PRODUTO)</v>
      </c>
    </row>
    <row r="5255" spans="1:7" x14ac:dyDescent="0.3">
      <c r="A5255" s="1" t="s">
        <v>4</v>
      </c>
      <c r="B5255" s="2" t="str">
        <f t="shared" si="434"/>
        <v>SISTEMA DE GERENCIAMENTO DE COMPRAS</v>
      </c>
      <c r="C5255" s="2" t="str">
        <f t="shared" si="433"/>
        <v>SUPRI</v>
      </c>
      <c r="D5255" s="2" t="str">
        <f t="shared" si="435"/>
        <v>MGCO</v>
      </c>
      <c r="E5255" s="2" t="str">
        <f>"MVSC_COMPRAS.MMB"</f>
        <v>MVSC_COMPRAS.MMB</v>
      </c>
      <c r="F5255" s="2" t="str">
        <f>"MVSC_COMPRAS.MMB"</f>
        <v>MVSC_COMPRAS.MMB</v>
      </c>
      <c r="G5255" s="2" t="str">
        <f>" ()"</f>
        <v xml:space="preserve"> ()</v>
      </c>
    </row>
    <row r="5256" spans="1:7" x14ac:dyDescent="0.3">
      <c r="A5256" s="1" t="s">
        <v>4</v>
      </c>
      <c r="B5256" s="2" t="str">
        <f t="shared" si="434"/>
        <v>SISTEMA DE GERENCIAMENTO DE COMPRAS</v>
      </c>
      <c r="C5256" s="2" t="str">
        <f t="shared" si="433"/>
        <v>SUPRI</v>
      </c>
      <c r="D5256" s="2" t="str">
        <f t="shared" si="435"/>
        <v>MGCO</v>
      </c>
      <c r="E5256" s="2" t="str">
        <f>"MVSC_COMPRAS.FMB"</f>
        <v>MVSC_COMPRAS.FMB</v>
      </c>
      <c r="F5256" s="2" t="str">
        <f>"MVSC_COMPRAS.FMB"</f>
        <v>MVSC_COMPRAS.FMB</v>
      </c>
      <c r="G5256" s="2" t="str">
        <f>" ()"</f>
        <v xml:space="preserve"> ()</v>
      </c>
    </row>
    <row r="5257" spans="1:7" x14ac:dyDescent="0.3">
      <c r="A5257" s="1" t="s">
        <v>4</v>
      </c>
      <c r="B5257" s="2" t="str">
        <f t="shared" si="434"/>
        <v>SISTEMA DE GERENCIAMENTO DE COMPRAS</v>
      </c>
      <c r="C5257" s="2" t="str">
        <f t="shared" si="433"/>
        <v>SUPRI</v>
      </c>
      <c r="D5257" s="2" t="str">
        <f t="shared" si="435"/>
        <v>MGCO</v>
      </c>
      <c r="E5257" s="2" t="str">
        <f>"M_NOVO"</f>
        <v>M_NOVO</v>
      </c>
      <c r="F5257" s="2" t="str">
        <f>"M_NOVO"</f>
        <v>M_NOVO</v>
      </c>
      <c r="G5257" s="2" t="str">
        <f>" ()"</f>
        <v xml:space="preserve"> ()</v>
      </c>
    </row>
    <row r="5258" spans="1:7" x14ac:dyDescent="0.3">
      <c r="A5258" s="1" t="s">
        <v>4</v>
      </c>
      <c r="B5258" s="2" t="str">
        <f t="shared" si="434"/>
        <v>SISTEMA DE GERENCIAMENTO DE COMPRAS</v>
      </c>
      <c r="C5258" s="2" t="str">
        <f t="shared" si="433"/>
        <v>SUPRI</v>
      </c>
      <c r="D5258" s="2" t="str">
        <f t="shared" si="435"/>
        <v>MGCO</v>
      </c>
      <c r="E5258" s="2" t="str">
        <f>"IMPORTAÇÃO"</f>
        <v>IMPORTAÇÃO</v>
      </c>
      <c r="F5258" s="2" t="str">
        <f>"M_MVSC_EXPORT"</f>
        <v>M_MVSC_EXPORT</v>
      </c>
      <c r="G5258" s="2" t="str">
        <f>"Materiais e Logística / Compras / Importação / Exportação da Ordem de compras (M_MVSC_EXPORT)"</f>
        <v>Materiais e Logística / Compras / Importação / Exportação da Ordem de compras (M_MVSC_EXPORT)</v>
      </c>
    </row>
    <row r="5259" spans="1:7" x14ac:dyDescent="0.3">
      <c r="A5259" s="1" t="s">
        <v>4</v>
      </c>
      <c r="B5259" s="2" t="str">
        <f t="shared" si="434"/>
        <v>SISTEMA DE GERENCIAMENTO DE COMPRAS</v>
      </c>
      <c r="C5259" s="2" t="str">
        <f t="shared" si="433"/>
        <v>SUPRI</v>
      </c>
      <c r="D5259" s="2" t="str">
        <f t="shared" si="435"/>
        <v>MGCO</v>
      </c>
      <c r="E5259" s="2" t="str">
        <f>"IMPORTAÇÃO"</f>
        <v>IMPORTAÇÃO</v>
      </c>
      <c r="F5259" s="2" t="str">
        <f>"M_MVSC_IMPORT"</f>
        <v>M_MVSC_IMPORT</v>
      </c>
      <c r="G5259" s="2" t="str">
        <f>"Materiais e Logística / Compras / Importação / Importação de Solicitação (M_MVSC_IMPORT)"</f>
        <v>Materiais e Logística / Compras / Importação / Importação de Solicitação (M_MVSC_IMPORT)</v>
      </c>
    </row>
    <row r="5260" spans="1:7" x14ac:dyDescent="0.3">
      <c r="A5260" s="1" t="s">
        <v>4</v>
      </c>
      <c r="B5260" s="2" t="str">
        <f t="shared" si="434"/>
        <v>SISTEMA DE GERENCIAMENTO DE COMPRAS</v>
      </c>
      <c r="C5260" s="2" t="str">
        <f t="shared" si="433"/>
        <v>SUPRI</v>
      </c>
      <c r="D5260" s="2" t="str">
        <f t="shared" si="435"/>
        <v>MGCO</v>
      </c>
      <c r="E5260" s="2" t="str">
        <f>"CADASTRO: COTAS (CONSUMO PREVISTO)"</f>
        <v>CADASTRO: COTAS (CONSUMO PREVISTO)</v>
      </c>
      <c r="F5260" s="2" t="str">
        <f>"M_MVSC_EMPRESA"</f>
        <v>M_MVSC_EMPRESA</v>
      </c>
      <c r="G5260" s="2" t="str">
        <f>" ()"</f>
        <v xml:space="preserve"> ()</v>
      </c>
    </row>
    <row r="5261" spans="1:7" x14ac:dyDescent="0.3">
      <c r="A5261" s="1" t="s">
        <v>4</v>
      </c>
      <c r="B5261" s="2" t="str">
        <f t="shared" si="434"/>
        <v>SISTEMA DE GERENCIAMENTO DE COMPRAS</v>
      </c>
      <c r="C5261" s="2" t="str">
        <f t="shared" si="433"/>
        <v>SUPRI</v>
      </c>
      <c r="D5261" s="2" t="str">
        <f t="shared" si="435"/>
        <v>MGCO</v>
      </c>
      <c r="E5261" s="2" t="str">
        <f>"CADASTRO: COTAS (CONSUMO PREVISTO)"</f>
        <v>CADASTRO: COTAS (CONSUMO PREVISTO)</v>
      </c>
      <c r="F5261" s="2" t="str">
        <f>"M_MVSC_PROD"</f>
        <v>M_MVSC_PROD</v>
      </c>
      <c r="G5261" s="2" t="str">
        <f>" ()"</f>
        <v xml:space="preserve"> ()</v>
      </c>
    </row>
    <row r="5262" spans="1:7" x14ac:dyDescent="0.3">
      <c r="A5262" s="1" t="s">
        <v>4</v>
      </c>
      <c r="B5262" s="2" t="str">
        <f t="shared" si="434"/>
        <v>SISTEMA DE GERENCIAMENTO DE COMPRAS</v>
      </c>
      <c r="C5262" s="2" t="str">
        <f t="shared" si="433"/>
        <v>SUPRI</v>
      </c>
      <c r="D5262" s="2" t="str">
        <f t="shared" si="435"/>
        <v>MGCO</v>
      </c>
      <c r="E5262" s="2" t="str">
        <f>"R_ORDCOM1"</f>
        <v>R_ORDCOM1</v>
      </c>
      <c r="F5262" s="2" t="str">
        <f>"R_ORDCOM1"</f>
        <v>R_ORDCOM1</v>
      </c>
      <c r="G5262" s="2" t="str">
        <f>" ()"</f>
        <v xml:space="preserve"> ()</v>
      </c>
    </row>
    <row r="5263" spans="1:7" x14ac:dyDescent="0.3">
      <c r="A5263" s="1" t="s">
        <v>4</v>
      </c>
      <c r="B5263" s="2" t="str">
        <f t="shared" si="434"/>
        <v>SISTEMA DE GERENCIAMENTO DE COMPRAS</v>
      </c>
      <c r="C5263" s="2" t="str">
        <f t="shared" ref="C5263:C5326" si="437">"SUPRI"</f>
        <v>SUPRI</v>
      </c>
      <c r="D5263" s="2" t="str">
        <f t="shared" si="435"/>
        <v>MGCO</v>
      </c>
      <c r="E5263" s="2" t="str">
        <f>"RELATÓRIO ORDEM DE COMPRAS CANCELADAS"</f>
        <v>RELATÓRIO ORDEM DE COMPRAS CANCELADAS</v>
      </c>
      <c r="F5263" s="2" t="str">
        <f>"R_ORDCOM_CANCELAMENTO"</f>
        <v>R_ORDCOM_CANCELAMENTO</v>
      </c>
      <c r="G5263" s="2" t="str">
        <f>" ()"</f>
        <v xml:space="preserve"> ()</v>
      </c>
    </row>
    <row r="5264" spans="1:7" x14ac:dyDescent="0.3">
      <c r="A5264" s="1" t="s">
        <v>4</v>
      </c>
      <c r="B5264" s="2" t="str">
        <f t="shared" si="434"/>
        <v>SISTEMA DE GERENCIAMENTO DE COMPRAS</v>
      </c>
      <c r="C5264" s="2" t="str">
        <f t="shared" si="437"/>
        <v>SUPRI</v>
      </c>
      <c r="D5264" s="2" t="str">
        <f t="shared" si="435"/>
        <v>MGCO</v>
      </c>
      <c r="E5264" s="2" t="str">
        <f>"ATIVAÇÃO/DESATIVAÇÃO DO FORNECEDOR"</f>
        <v>ATIVAÇÃO/DESATIVAÇÃO DO FORNECEDOR</v>
      </c>
      <c r="F5264" s="2" t="str">
        <f>"M_HOMOLOGA"</f>
        <v>M_HOMOLOGA</v>
      </c>
      <c r="G5264" s="2" t="str">
        <f>"Materiais e Logística / Compras / Tabelas / Certificação ISO / Homologa (M_HOMOLOGA)"</f>
        <v>Materiais e Logística / Compras / Tabelas / Certificação ISO / Homologa (M_HOMOLOGA)</v>
      </c>
    </row>
    <row r="5265" spans="1:7" x14ac:dyDescent="0.3">
      <c r="A5265" s="1" t="s">
        <v>4</v>
      </c>
      <c r="B5265" s="2" t="str">
        <f t="shared" si="434"/>
        <v>SISTEMA DE GERENCIAMENTO DE COMPRAS</v>
      </c>
      <c r="C5265" s="2" t="str">
        <f t="shared" si="437"/>
        <v>SUPRI</v>
      </c>
      <c r="D5265" s="2" t="str">
        <f t="shared" si="435"/>
        <v>MGCO</v>
      </c>
      <c r="E5265" s="2" t="str">
        <f>"CONSUMO E COMPRA DE PRODUTOS"</f>
        <v>CONSUMO E COMPRA DE PRODUTOS</v>
      </c>
      <c r="F5265" s="2" t="str">
        <f>"R_CONSUMO_COMPRA_SORO"</f>
        <v>R_CONSUMO_COMPRA_SORO</v>
      </c>
      <c r="G5265" s="2" t="str">
        <f t="shared" ref="G5265:G5270" si="438">" ()"</f>
        <v xml:space="preserve"> ()</v>
      </c>
    </row>
    <row r="5266" spans="1:7" x14ac:dyDescent="0.3">
      <c r="A5266" s="1" t="s">
        <v>4</v>
      </c>
      <c r="B5266" s="2" t="str">
        <f t="shared" si="434"/>
        <v>SISTEMA DE GERENCIAMENTO DE COMPRAS</v>
      </c>
      <c r="C5266" s="2" t="str">
        <f t="shared" si="437"/>
        <v>SUPRI</v>
      </c>
      <c r="D5266" s="2" t="str">
        <f t="shared" si="435"/>
        <v>MGCO</v>
      </c>
      <c r="E5266" s="2" t="str">
        <f>"R_SUGESTAO_COM.RDF"</f>
        <v>R_SUGESTAO_COM.RDF</v>
      </c>
      <c r="F5266" s="2" t="str">
        <f>"R_SUGESTAO_COM.RDF"</f>
        <v>R_SUGESTAO_COM.RDF</v>
      </c>
      <c r="G5266" s="2" t="str">
        <f t="shared" si="438"/>
        <v xml:space="preserve"> ()</v>
      </c>
    </row>
    <row r="5267" spans="1:7" x14ac:dyDescent="0.3">
      <c r="A5267" s="1" t="s">
        <v>4</v>
      </c>
      <c r="B5267" s="2" t="str">
        <f t="shared" si="434"/>
        <v>SISTEMA DE GERENCIAMENTO DE COMPRAS</v>
      </c>
      <c r="C5267" s="2" t="str">
        <f t="shared" si="437"/>
        <v>SUPRI</v>
      </c>
      <c r="D5267" s="2" t="str">
        <f t="shared" si="435"/>
        <v>MGCO</v>
      </c>
      <c r="E5267" s="2" t="str">
        <f>"R_CURVA_ABC_FARM_MESTRE_755"</f>
        <v>R_CURVA_ABC_FARM_MESTRE_755</v>
      </c>
      <c r="F5267" s="2" t="str">
        <f>"R_CURVA_ABC_FARM_MESTRE_755"</f>
        <v>R_CURVA_ABC_FARM_MESTRE_755</v>
      </c>
      <c r="G5267" s="2" t="str">
        <f t="shared" si="438"/>
        <v xml:space="preserve"> ()</v>
      </c>
    </row>
    <row r="5268" spans="1:7" x14ac:dyDescent="0.3">
      <c r="A5268" s="1" t="s">
        <v>4</v>
      </c>
      <c r="B5268" s="2" t="str">
        <f t="shared" si="434"/>
        <v>SISTEMA DE GERENCIAMENTO DE COMPRAS</v>
      </c>
      <c r="C5268" s="2" t="str">
        <f t="shared" si="437"/>
        <v>SUPRI</v>
      </c>
      <c r="D5268" s="2" t="str">
        <f t="shared" si="435"/>
        <v>MGCO</v>
      </c>
      <c r="E5268" s="2" t="str">
        <f>"R_CONSUMO_COMPRA_SORO.REP"</f>
        <v>R_CONSUMO_COMPRA_SORO.REP</v>
      </c>
      <c r="F5268" s="2" t="str">
        <f>"R_CONSUMO_COMPRA_SORO.REP"</f>
        <v>R_CONSUMO_COMPRA_SORO.REP</v>
      </c>
      <c r="G5268" s="2" t="str">
        <f t="shared" si="438"/>
        <v xml:space="preserve"> ()</v>
      </c>
    </row>
    <row r="5269" spans="1:7" x14ac:dyDescent="0.3">
      <c r="A5269" s="1" t="s">
        <v>4</v>
      </c>
      <c r="B5269" s="2" t="str">
        <f t="shared" si="434"/>
        <v>SISTEMA DE GERENCIAMENTO DE COMPRAS</v>
      </c>
      <c r="C5269" s="2" t="str">
        <f t="shared" si="437"/>
        <v>SUPRI</v>
      </c>
      <c r="D5269" s="2" t="str">
        <f t="shared" si="435"/>
        <v>MGCO</v>
      </c>
      <c r="E5269" s="2" t="str">
        <f>"RELATÓRIO ORDEM DE COMPRAS"</f>
        <v>RELATÓRIO ORDEM DE COMPRAS</v>
      </c>
      <c r="F5269" s="2" t="str">
        <f>"R_ORDCOM_UNIMED"</f>
        <v>R_ORDCOM_UNIMED</v>
      </c>
      <c r="G5269" s="2" t="str">
        <f t="shared" si="438"/>
        <v xml:space="preserve"> ()</v>
      </c>
    </row>
    <row r="5270" spans="1:7" x14ac:dyDescent="0.3">
      <c r="A5270" s="1" t="s">
        <v>4</v>
      </c>
      <c r="B5270" s="2" t="str">
        <f t="shared" si="434"/>
        <v>SISTEMA DE GERENCIAMENTO DE COMPRAS</v>
      </c>
      <c r="C5270" s="2" t="str">
        <f t="shared" si="437"/>
        <v>SUPRI</v>
      </c>
      <c r="D5270" s="2" t="str">
        <f t="shared" si="435"/>
        <v>MGCO</v>
      </c>
      <c r="E5270" s="2" t="str">
        <f>"ORDENS DE COMPRA CANCELADAS"</f>
        <v>ORDENS DE COMPRA CANCELADAS</v>
      </c>
      <c r="F5270" s="2" t="str">
        <f>"R_ORD_COM_CANC"</f>
        <v>R_ORD_COM_CANC</v>
      </c>
      <c r="G5270" s="2" t="str">
        <f t="shared" si="438"/>
        <v xml:space="preserve"> ()</v>
      </c>
    </row>
    <row r="5271" spans="1:7" x14ac:dyDescent="0.3">
      <c r="A5271" s="1" t="s">
        <v>4</v>
      </c>
      <c r="B5271" s="2" t="str">
        <f t="shared" si="434"/>
        <v>SISTEMA DE GERENCIAMENTO DE COMPRAS</v>
      </c>
      <c r="C5271" s="2" t="str">
        <f t="shared" si="437"/>
        <v>SUPRI</v>
      </c>
      <c r="D5271" s="2" t="str">
        <f t="shared" si="435"/>
        <v>MGCO</v>
      </c>
      <c r="E5271" s="2" t="s">
        <v>19</v>
      </c>
      <c r="F5271" s="2" t="s">
        <v>20</v>
      </c>
      <c r="G5271" s="2" t="s">
        <v>21</v>
      </c>
    </row>
    <row r="5272" spans="1:7" x14ac:dyDescent="0.3">
      <c r="A5272" s="1" t="s">
        <v>4</v>
      </c>
      <c r="B5272" s="2" t="str">
        <f t="shared" si="434"/>
        <v>SISTEMA DE GERENCIAMENTO DE COMPRAS</v>
      </c>
      <c r="C5272" s="2" t="str">
        <f t="shared" si="437"/>
        <v>SUPRI</v>
      </c>
      <c r="D5272" s="2" t="str">
        <f t="shared" si="435"/>
        <v>MGCO</v>
      </c>
      <c r="E5272" s="2" t="str">
        <f>"WIN_PRINCIPAL"</f>
        <v>WIN_PRINCIPAL</v>
      </c>
      <c r="F5272" s="2" t="str">
        <f>"O_IMP_RESPOSTAS_XML"</f>
        <v>O_IMP_RESPOSTAS_XML</v>
      </c>
      <c r="G5272" s="2" t="str">
        <f>" ()"</f>
        <v xml:space="preserve"> ()</v>
      </c>
    </row>
    <row r="5273" spans="1:7" x14ac:dyDescent="0.3">
      <c r="A5273" s="1" t="s">
        <v>4</v>
      </c>
      <c r="B5273" s="2" t="str">
        <f t="shared" si="434"/>
        <v>SISTEMA DE GERENCIAMENTO DE COMPRAS</v>
      </c>
      <c r="C5273" s="2" t="str">
        <f t="shared" si="437"/>
        <v>SUPRI</v>
      </c>
      <c r="D5273" s="2" t="str">
        <f t="shared" si="435"/>
        <v>MGCO</v>
      </c>
      <c r="E5273" s="2" t="str">
        <f>"RELATORIO SOLIC. PENDENTES DE DATA"</f>
        <v>RELATORIO SOLIC. PENDENTES DE DATA</v>
      </c>
      <c r="F5273" s="2" t="str">
        <f>"R_SOL_PEND_DATA_MGCO"</f>
        <v>R_SOL_PEND_DATA_MGCO</v>
      </c>
      <c r="G5273" s="2" t="str">
        <f>" ()"</f>
        <v xml:space="preserve"> ()</v>
      </c>
    </row>
    <row r="5274" spans="1:7" x14ac:dyDescent="0.3">
      <c r="A5274" s="1" t="s">
        <v>4</v>
      </c>
      <c r="B5274" s="2" t="str">
        <f t="shared" si="434"/>
        <v>SISTEMA DE GERENCIAMENTO DE COMPRAS</v>
      </c>
      <c r="C5274" s="2" t="str">
        <f t="shared" si="437"/>
        <v>SUPRI</v>
      </c>
      <c r="D5274" s="2" t="str">
        <f t="shared" si="435"/>
        <v>MGCO</v>
      </c>
      <c r="E5274" s="2" t="str">
        <f>"RELATORIO DE SOLIC. PENDENTE DATA"</f>
        <v>RELATORIO DE SOLIC. PENDENTE DATA</v>
      </c>
      <c r="F5274" s="2" t="str">
        <f>"R_LAB_X_DISTR_MGCO"</f>
        <v>R_LAB_X_DISTR_MGCO</v>
      </c>
      <c r="G5274" s="2" t="str">
        <f>" ()"</f>
        <v xml:space="preserve"> ()</v>
      </c>
    </row>
    <row r="5275" spans="1:7" x14ac:dyDescent="0.3">
      <c r="A5275" s="1" t="s">
        <v>4</v>
      </c>
      <c r="B5275" s="2" t="str">
        <f t="shared" si="434"/>
        <v>SISTEMA DE GERENCIAMENTO DE COMPRAS</v>
      </c>
      <c r="C5275" s="2" t="str">
        <f t="shared" si="437"/>
        <v>SUPRI</v>
      </c>
      <c r="D5275" s="2" t="str">
        <f t="shared" si="435"/>
        <v>MGCO</v>
      </c>
      <c r="E5275" s="2" t="str">
        <f>"VINCULAÇÃO"</f>
        <v>VINCULAÇÃO</v>
      </c>
      <c r="F5275" s="2" t="str">
        <f>"M_VINCULACAO_MGCO"</f>
        <v>M_VINCULACAO_MGCO</v>
      </c>
      <c r="G5275" s="2" t="str">
        <f>"Materiais e Logística / Compras / Tabelas / Licitação / Vinculação (M_VINCULACAO_MGCO)"</f>
        <v>Materiais e Logística / Compras / Tabelas / Licitação / Vinculação (M_VINCULACAO_MGCO)</v>
      </c>
    </row>
    <row r="5276" spans="1:7" x14ac:dyDescent="0.3">
      <c r="A5276" s="1" t="s">
        <v>4</v>
      </c>
      <c r="B5276" s="2" t="str">
        <f t="shared" si="434"/>
        <v>SISTEMA DE GERENCIAMENTO DE COMPRAS</v>
      </c>
      <c r="C5276" s="2" t="str">
        <f t="shared" si="437"/>
        <v>SUPRI</v>
      </c>
      <c r="D5276" s="2" t="str">
        <f t="shared" si="435"/>
        <v>MGCO</v>
      </c>
      <c r="E5276" s="2" t="str">
        <f>"R_SERVICO"</f>
        <v>R_SERVICO</v>
      </c>
      <c r="F5276" s="2" t="str">
        <f>"R_SERVICO"</f>
        <v>R_SERVICO</v>
      </c>
      <c r="G5276" s="2" t="str">
        <f>" ()"</f>
        <v xml:space="preserve"> ()</v>
      </c>
    </row>
    <row r="5277" spans="1:7" x14ac:dyDescent="0.3">
      <c r="A5277" s="1" t="s">
        <v>4</v>
      </c>
      <c r="B5277" s="2" t="str">
        <f t="shared" si="434"/>
        <v>SISTEMA DE GERENCIAMENTO DE COMPRAS</v>
      </c>
      <c r="C5277" s="2" t="str">
        <f t="shared" si="437"/>
        <v>SUPRI</v>
      </c>
      <c r="D5277" s="2" t="str">
        <f t="shared" si="435"/>
        <v>MGCO</v>
      </c>
      <c r="E5277" s="2" t="str">
        <f>"O_TRANS_NF_CONS"</f>
        <v>O_TRANS_NF_CONS</v>
      </c>
      <c r="F5277" s="2" t="str">
        <f>"O_TRANS_NF_CONS"</f>
        <v>O_TRANS_NF_CONS</v>
      </c>
      <c r="G5277" s="2" t="str">
        <f>"Materiais e Logística / Compras / Personalizados / Transferencia de Nota Fiscal de Consignados (O_TRANS_NF_CONS)"</f>
        <v>Materiais e Logística / Compras / Personalizados / Transferencia de Nota Fiscal de Consignados (O_TRANS_NF_CONS)</v>
      </c>
    </row>
    <row r="5278" spans="1:7" x14ac:dyDescent="0.3">
      <c r="A5278" s="1" t="s">
        <v>4</v>
      </c>
      <c r="B5278" s="2" t="str">
        <f t="shared" si="434"/>
        <v>SISTEMA DE GERENCIAMENTO DE COMPRAS</v>
      </c>
      <c r="C5278" s="2" t="str">
        <f t="shared" si="437"/>
        <v>SUPRI</v>
      </c>
      <c r="D5278" s="2" t="str">
        <f t="shared" si="435"/>
        <v>MGCO</v>
      </c>
      <c r="E5278" s="2" t="str">
        <f>"SOLICITAÇÃO DE COMPRA"</f>
        <v>SOLICITAÇÃO DE COMPRA</v>
      </c>
      <c r="F5278" s="2" t="str">
        <f>"R_SOL_ALTERADA"</f>
        <v>R_SOL_ALTERADA</v>
      </c>
      <c r="G5278" s="2" t="str">
        <f>"Materiais e Logística / Compras / Relatórios / Solicitações / Solicitação Alteradas na coleta preços (R_SOL_ALTERADA)"</f>
        <v>Materiais e Logística / Compras / Relatórios / Solicitações / Solicitação Alteradas na coleta preços (R_SOL_ALTERADA)</v>
      </c>
    </row>
    <row r="5279" spans="1:7" x14ac:dyDescent="0.3">
      <c r="A5279" s="1" t="s">
        <v>4</v>
      </c>
      <c r="B5279" s="2" t="str">
        <f t="shared" si="434"/>
        <v>SISTEMA DE GERENCIAMENTO DE COMPRAS</v>
      </c>
      <c r="C5279" s="2" t="str">
        <f t="shared" si="437"/>
        <v>SUPRI</v>
      </c>
      <c r="D5279" s="2" t="str">
        <f t="shared" si="435"/>
        <v>MGCO</v>
      </c>
      <c r="E5279" s="2" t="str">
        <f>"WIN_PRINCIPAL"</f>
        <v>WIN_PRINCIPAL</v>
      </c>
      <c r="F5279" s="2" t="str">
        <f>"M_NIVEL_AUTORIZACAO"</f>
        <v>M_NIVEL_AUTORIZACAO</v>
      </c>
      <c r="G5279" s="2" t="str">
        <f>"Materiais e Logística / Compras / Configuração / Nível hierárquico de autorização (M_NIVEL_AUTORIZACAO)"</f>
        <v>Materiais e Logística / Compras / Configuração / Nível hierárquico de autorização (M_NIVEL_AUTORIZACAO)</v>
      </c>
    </row>
    <row r="5280" spans="1:7" x14ac:dyDescent="0.3">
      <c r="A5280" s="1" t="s">
        <v>4</v>
      </c>
      <c r="B5280" s="2" t="str">
        <f t="shared" si="434"/>
        <v>SISTEMA DE GERENCIAMENTO DE COMPRAS</v>
      </c>
      <c r="C5280" s="2" t="str">
        <f t="shared" si="437"/>
        <v>SUPRI</v>
      </c>
      <c r="D5280" s="2" t="str">
        <f t="shared" si="435"/>
        <v>MGCO</v>
      </c>
      <c r="E5280" s="2" t="str">
        <f>"ESTIMATIVA COLETA DE PREÇOS"</f>
        <v>ESTIMATIVA COLETA DE PREÇOS</v>
      </c>
      <c r="F5280" s="2" t="str">
        <f>"M_COLPRE_ESTIMA"</f>
        <v>M_COLPRE_ESTIMA</v>
      </c>
      <c r="G5280" s="2" t="str">
        <f>"Materiais e Logística / Compras / Compras / Coleta de Preços (Licitação) / Estimativa de Preço (M_COLPRE_ESTIMA)"</f>
        <v>Materiais e Logística / Compras / Compras / Coleta de Preços (Licitação) / Estimativa de Preço (M_COLPRE_ESTIMA)</v>
      </c>
    </row>
    <row r="5281" spans="1:7" x14ac:dyDescent="0.3">
      <c r="A5281" s="1" t="s">
        <v>4</v>
      </c>
      <c r="B5281" s="2" t="str">
        <f t="shared" si="434"/>
        <v>SISTEMA DE GERENCIAMENTO DE COMPRAS</v>
      </c>
      <c r="C5281" s="2" t="str">
        <f t="shared" si="437"/>
        <v>SUPRI</v>
      </c>
      <c r="D5281" s="2" t="str">
        <f t="shared" si="435"/>
        <v>MGCO</v>
      </c>
      <c r="E5281" s="2" t="str">
        <f>"SOLICITAÇÃO DE PRODUTOS - COMPRAS"</f>
        <v>SOLICITAÇÃO DE PRODUTOS - COMPRAS</v>
      </c>
      <c r="F5281" s="2" t="str">
        <f>"M_SOLCOM_COMPRAS"</f>
        <v>M_SOLCOM_COMPRAS</v>
      </c>
      <c r="G5281" s="2" t="str">
        <f>"Materiais e Logística / Compras / Compras / Solicitação de Compras / Cadastro (M_SOLCOM_COMPRAS)"</f>
        <v>Materiais e Logística / Compras / Compras / Solicitação de Compras / Cadastro (M_SOLCOM_COMPRAS)</v>
      </c>
    </row>
    <row r="5282" spans="1:7" x14ac:dyDescent="0.3">
      <c r="A5282" s="1" t="s">
        <v>4</v>
      </c>
      <c r="B5282" s="2" t="str">
        <f t="shared" si="434"/>
        <v>SISTEMA DE GERENCIAMENTO DE COMPRAS</v>
      </c>
      <c r="C5282" s="2" t="str">
        <f t="shared" si="437"/>
        <v>SUPRI</v>
      </c>
      <c r="D5282" s="2" t="str">
        <f t="shared" si="435"/>
        <v>MGCO</v>
      </c>
      <c r="E5282" s="2" t="str">
        <f>"WIN_PRINCIPAL"</f>
        <v>WIN_PRINCIPAL</v>
      </c>
      <c r="F5282" s="2" t="str">
        <f>"M_SOLICITA_OPME"</f>
        <v>M_SOLICITA_OPME</v>
      </c>
      <c r="G5282" s="2" t="str">
        <f>"Materiais e Logística / Compras / Integração / Seleção itens para compra pelo OPMENEXO (M_SOLICITA_OPME)"</f>
        <v>Materiais e Logística / Compras / Integração / Seleção itens para compra pelo OPMENEXO (M_SOLICITA_OPME)</v>
      </c>
    </row>
    <row r="5283" spans="1:7" x14ac:dyDescent="0.3">
      <c r="A5283" s="1" t="s">
        <v>4</v>
      </c>
      <c r="B5283" s="2" t="str">
        <f t="shared" si="434"/>
        <v>SISTEMA DE GERENCIAMENTO DE COMPRAS</v>
      </c>
      <c r="C5283" s="2" t="str">
        <f t="shared" si="437"/>
        <v>SUPRI</v>
      </c>
      <c r="D5283" s="2" t="str">
        <f t="shared" si="435"/>
        <v>MGCO</v>
      </c>
      <c r="E5283" s="2" t="str">
        <f>"WIN_PRINCIPAL"</f>
        <v>WIN_PRINCIPAL</v>
      </c>
      <c r="F5283" s="2" t="str">
        <f>"M_LIBCOT_OPME"</f>
        <v>M_LIBCOT_OPME</v>
      </c>
      <c r="G5283" s="2" t="str">
        <f>"Materiais e Logística / Compras / Integração / Liberação de Cotação de OPME (M_LIBCOT_OPME)"</f>
        <v>Materiais e Logística / Compras / Integração / Liberação de Cotação de OPME (M_LIBCOT_OPME)</v>
      </c>
    </row>
    <row r="5284" spans="1:7" x14ac:dyDescent="0.3">
      <c r="A5284" s="1" t="s">
        <v>4</v>
      </c>
      <c r="B5284" s="2" t="str">
        <f t="shared" si="434"/>
        <v>SISTEMA DE GERENCIAMENTO DE COMPRAS</v>
      </c>
      <c r="C5284" s="2" t="str">
        <f t="shared" si="437"/>
        <v>SUPRI</v>
      </c>
      <c r="D5284" s="2" t="str">
        <f t="shared" si="435"/>
        <v>MGCO</v>
      </c>
      <c r="E5284" s="2" t="str">
        <f>"CADASTRO: MOTIVOS DE CANCELAMENTO"</f>
        <v>CADASTRO: MOTIVOS DE CANCELAMENTO</v>
      </c>
      <c r="F5284" s="2" t="str">
        <f>"M_PLANO_INTERNO"</f>
        <v>M_PLANO_INTERNO</v>
      </c>
      <c r="G5284" s="2" t="str">
        <f>"Materiais e Logística / Compras / Tabelas / Cadastro do Plano Interno (M_PLANO_INTERNO)"</f>
        <v>Materiais e Logística / Compras / Tabelas / Cadastro do Plano Interno (M_PLANO_INTERNO)</v>
      </c>
    </row>
    <row r="5285" spans="1:7" x14ac:dyDescent="0.3">
      <c r="A5285" s="1" t="s">
        <v>4</v>
      </c>
      <c r="B5285" s="2" t="str">
        <f t="shared" si="434"/>
        <v>SISTEMA DE GERENCIAMENTO DE COMPRAS</v>
      </c>
      <c r="C5285" s="2" t="str">
        <f t="shared" si="437"/>
        <v>SUPRI</v>
      </c>
      <c r="D5285" s="2" t="str">
        <f t="shared" si="435"/>
        <v>MGCO</v>
      </c>
      <c r="E5285" s="2" t="str">
        <f>"SOLIC DE COMPRAS PARA COTACAO DE PRECOS"</f>
        <v>SOLIC DE COMPRAS PARA COTACAO DE PRECOS</v>
      </c>
      <c r="F5285" s="2" t="str">
        <f>"R_SOL_COM"</f>
        <v>R_SOL_COM</v>
      </c>
      <c r="G5285" s="2" t="str">
        <f>" ()"</f>
        <v xml:space="preserve"> ()</v>
      </c>
    </row>
    <row r="5286" spans="1:7" x14ac:dyDescent="0.3">
      <c r="A5286" s="1" t="s">
        <v>4</v>
      </c>
      <c r="B5286" s="2" t="str">
        <f t="shared" si="434"/>
        <v>SISTEMA DE GERENCIAMENTO DE COMPRAS</v>
      </c>
      <c r="C5286" s="2" t="str">
        <f t="shared" si="437"/>
        <v>SUPRI</v>
      </c>
      <c r="D5286" s="2" t="str">
        <f t="shared" si="435"/>
        <v>MGCO</v>
      </c>
      <c r="E5286" s="2" t="str">
        <f>"AUTORIZACAO DE ORDEM DE COMPRAS"</f>
        <v>AUTORIZACAO DE ORDEM DE COMPRAS</v>
      </c>
      <c r="F5286" s="2" t="str">
        <f>"O_AUTORD"</f>
        <v>O_AUTORD</v>
      </c>
      <c r="G5286" s="2" t="str">
        <f>"Materiais e Logística / Compras / Compras / Ordem de Compra / Autorização (O_AUTORD)"</f>
        <v>Materiais e Logística / Compras / Compras / Ordem de Compra / Autorização (O_AUTORD)</v>
      </c>
    </row>
    <row r="5287" spans="1:7" x14ac:dyDescent="0.3">
      <c r="A5287" s="1" t="s">
        <v>4</v>
      </c>
      <c r="B5287" s="2" t="str">
        <f t="shared" si="434"/>
        <v>SISTEMA DE GERENCIAMENTO DE COMPRAS</v>
      </c>
      <c r="C5287" s="2" t="str">
        <f t="shared" si="437"/>
        <v>SUPRI</v>
      </c>
      <c r="D5287" s="2" t="str">
        <f t="shared" si="435"/>
        <v>MGCO</v>
      </c>
      <c r="E5287" s="2" t="str">
        <f>"RECEBE SOLICITACAO DE COMPRAS"</f>
        <v>RECEBE SOLICITACAO DE COMPRAS</v>
      </c>
      <c r="F5287" s="2" t="str">
        <f>"O_RECEBE_SOL"</f>
        <v>O_RECEBE_SOL</v>
      </c>
      <c r="G5287" s="2" t="str">
        <f>"Materiais e Logística / Compras / Compras / Solicitação de Compras / Receber Solicitação (O_RECEBE_SOL)"</f>
        <v>Materiais e Logística / Compras / Compras / Solicitação de Compras / Receber Solicitação (O_RECEBE_SOL)</v>
      </c>
    </row>
    <row r="5288" spans="1:7" x14ac:dyDescent="0.3">
      <c r="A5288" s="1" t="s">
        <v>4</v>
      </c>
      <c r="B5288" s="2" t="str">
        <f t="shared" si="434"/>
        <v>SISTEMA DE GERENCIAMENTO DE COMPRAS</v>
      </c>
      <c r="C5288" s="2" t="str">
        <f t="shared" si="437"/>
        <v>SUPRI</v>
      </c>
      <c r="D5288" s="2" t="str">
        <f t="shared" si="435"/>
        <v>MGCO</v>
      </c>
      <c r="E5288" s="2" t="str">
        <f>"CANCELAMENTO DE SOLICITAÇÃO DE COMPRAS"</f>
        <v>CANCELAMENTO DE SOLICITAÇÃO DE COMPRAS</v>
      </c>
      <c r="F5288" s="2" t="str">
        <f>"O_CANSOL"</f>
        <v>O_CANSOL</v>
      </c>
      <c r="G5288" s="2" t="str">
        <f>"Materiais e Logística / Compras / Compras / Solicitação de Compras / Cancelamento (O_CANSOL)"</f>
        <v>Materiais e Logística / Compras / Compras / Solicitação de Compras / Cancelamento (O_CANSOL)</v>
      </c>
    </row>
    <row r="5289" spans="1:7" x14ac:dyDescent="0.3">
      <c r="A5289" s="1" t="s">
        <v>4</v>
      </c>
      <c r="B5289" s="2" t="str">
        <f t="shared" si="434"/>
        <v>SISTEMA DE GERENCIAMENTO DE COMPRAS</v>
      </c>
      <c r="C5289" s="2" t="str">
        <f t="shared" si="437"/>
        <v>SUPRI</v>
      </c>
      <c r="D5289" s="2" t="str">
        <f t="shared" si="435"/>
        <v>MGCO</v>
      </c>
      <c r="E5289" s="2" t="str">
        <f>"CANCELAMENTO DE SOLICITAÇÃO DE COMPRAS"</f>
        <v>CANCELAMENTO DE SOLICITAÇÃO DE COMPRAS</v>
      </c>
      <c r="F5289" s="2" t="str">
        <f>"O_CANSOL"</f>
        <v>O_CANSOL</v>
      </c>
      <c r="G5289" s="2" t="str">
        <f>"Materiais e Logística / Farmácia / Movimentação / Solicitação de Compra / Cancelamento (O_CANSOL)"</f>
        <v>Materiais e Logística / Farmácia / Movimentação / Solicitação de Compra / Cancelamento (O_CANSOL)</v>
      </c>
    </row>
    <row r="5290" spans="1:7" x14ac:dyDescent="0.3">
      <c r="A5290" s="1" t="s">
        <v>4</v>
      </c>
      <c r="B5290" s="2" t="str">
        <f t="shared" si="434"/>
        <v>SISTEMA DE GERENCIAMENTO DE COMPRAS</v>
      </c>
      <c r="C5290" s="2" t="str">
        <f t="shared" si="437"/>
        <v>SUPRI</v>
      </c>
      <c r="D5290" s="2" t="str">
        <f t="shared" si="435"/>
        <v>MGCO</v>
      </c>
      <c r="E5290" s="2" t="str">
        <f>"CONSULTA DE ORDEM DE COMPRAS NO ESTOQUE"</f>
        <v>CONSULTA DE ORDEM DE COMPRAS NO ESTOQUE</v>
      </c>
      <c r="F5290" s="2" t="str">
        <f>"C_ORDCOM_EST"</f>
        <v>C_ORDCOM_EST</v>
      </c>
      <c r="G5290" s="2" t="str">
        <f>" ()"</f>
        <v xml:space="preserve"> ()</v>
      </c>
    </row>
    <row r="5291" spans="1:7" x14ac:dyDescent="0.3">
      <c r="A5291" s="1" t="s">
        <v>4</v>
      </c>
      <c r="B5291" s="2" t="str">
        <f t="shared" si="434"/>
        <v>SISTEMA DE GERENCIAMENTO DE COMPRAS</v>
      </c>
      <c r="C5291" s="2" t="str">
        <f t="shared" si="437"/>
        <v>SUPRI</v>
      </c>
      <c r="D5291" s="2" t="str">
        <f t="shared" si="435"/>
        <v>MGCO</v>
      </c>
      <c r="E5291" s="2" t="str">
        <f>"SOLICITACAO PENDENTE  POR DATA MAXIMA"</f>
        <v>SOLICITACAO PENDENTE  POR DATA MAXIMA</v>
      </c>
      <c r="F5291" s="2" t="str">
        <f>"R_SOL_PEND_DATA"</f>
        <v>R_SOL_PEND_DATA</v>
      </c>
      <c r="G5291" s="2" t="str">
        <f>"Materiais e Logística / Compras / Relatórios / Solicitações / Solicitações Pendentes por Data Máxima (R_SOL_PEND_DATA)"</f>
        <v>Materiais e Logística / Compras / Relatórios / Solicitações / Solicitações Pendentes por Data Máxima (R_SOL_PEND_DATA)</v>
      </c>
    </row>
    <row r="5292" spans="1:7" x14ac:dyDescent="0.3">
      <c r="A5292" s="1" t="s">
        <v>4</v>
      </c>
      <c r="B5292" s="2" t="str">
        <f t="shared" si="434"/>
        <v>SISTEMA DE GERENCIAMENTO DE COMPRAS</v>
      </c>
      <c r="C5292" s="2" t="str">
        <f t="shared" si="437"/>
        <v>SUPRI</v>
      </c>
      <c r="D5292" s="2" t="str">
        <f t="shared" si="435"/>
        <v>MGCO</v>
      </c>
      <c r="E5292" s="2" t="str">
        <f>"CADASTRO DE ORDEM DE COMPRAS"</f>
        <v>CADASTRO DE ORDEM DE COMPRAS</v>
      </c>
      <c r="F5292" s="2" t="str">
        <f>"M_ORDCOM"</f>
        <v>M_ORDCOM</v>
      </c>
      <c r="G5292" s="2" t="str">
        <f>"Materiais e Logística / Compras / Compras / Ordem de Compra / Cadastro (M_ORDCOM)"</f>
        <v>Materiais e Logística / Compras / Compras / Ordem de Compra / Cadastro (M_ORDCOM)</v>
      </c>
    </row>
    <row r="5293" spans="1:7" x14ac:dyDescent="0.3">
      <c r="A5293" s="1" t="s">
        <v>4</v>
      </c>
      <c r="B5293" s="2" t="str">
        <f t="shared" si="434"/>
        <v>SISTEMA DE GERENCIAMENTO DE COMPRAS</v>
      </c>
      <c r="C5293" s="2" t="str">
        <f t="shared" si="437"/>
        <v>SUPRI</v>
      </c>
      <c r="D5293" s="2" t="str">
        <f t="shared" si="435"/>
        <v>MGCO</v>
      </c>
      <c r="E5293" s="2" t="str">
        <f>"CATALOGO DE FORNECEDOR X ATIVIDADE"</f>
        <v>CATALOGO DE FORNECEDOR X ATIVIDADE</v>
      </c>
      <c r="F5293" s="2" t="str">
        <f>"M_FORATI"</f>
        <v>M_FORATI</v>
      </c>
      <c r="G5293" s="2" t="str">
        <f>"Materiais e Logística / Compras / Catálogo / Fornecedores (M_FORATI)"</f>
        <v>Materiais e Logística / Compras / Catálogo / Fornecedores (M_FORATI)</v>
      </c>
    </row>
    <row r="5294" spans="1:7" x14ac:dyDescent="0.3">
      <c r="A5294" s="1" t="s">
        <v>4</v>
      </c>
      <c r="B5294" s="2" t="str">
        <f t="shared" si="434"/>
        <v>SISTEMA DE GERENCIAMENTO DE COMPRAS</v>
      </c>
      <c r="C5294" s="2" t="str">
        <f t="shared" si="437"/>
        <v>SUPRI</v>
      </c>
      <c r="D5294" s="2" t="str">
        <f t="shared" si="435"/>
        <v>MGCO</v>
      </c>
      <c r="E5294" s="2" t="str">
        <f>"LICITACAO DE COMPRA"</f>
        <v>LICITACAO DE COMPRA</v>
      </c>
      <c r="F5294" s="2" t="str">
        <f>"M_LICITACAO"</f>
        <v>M_LICITACAO</v>
      </c>
      <c r="G5294" s="2" t="str">
        <f>"Materiais e Logística / Compras / Compras / Coleta de Preços (Licitação) / Marcação da Licitação (M_LICITACAO)"</f>
        <v>Materiais e Logística / Compras / Compras / Coleta de Preços (Licitação) / Marcação da Licitação (M_LICITACAO)</v>
      </c>
    </row>
    <row r="5295" spans="1:7" x14ac:dyDescent="0.3">
      <c r="A5295" s="1" t="s">
        <v>4</v>
      </c>
      <c r="B5295" s="2" t="str">
        <f t="shared" si="434"/>
        <v>SISTEMA DE GERENCIAMENTO DE COMPRAS</v>
      </c>
      <c r="C5295" s="2" t="str">
        <f t="shared" si="437"/>
        <v>SUPRI</v>
      </c>
      <c r="D5295" s="2" t="str">
        <f t="shared" si="435"/>
        <v>MGCO</v>
      </c>
      <c r="E5295" s="2" t="str">
        <f>"RELATORIO DE RAMO DE ATIVIDADE"</f>
        <v>RELATORIO DE RAMO DE ATIVIDADE</v>
      </c>
      <c r="F5295" s="2" t="str">
        <f>"R_RAMO_ATIVIDADE"</f>
        <v>R_RAMO_ATIVIDADE</v>
      </c>
      <c r="G5295" s="2" t="str">
        <f>"Materiais e Logística / Compras / Relatórios / Tabelas / Ramo de Atividade (R_RAMO_ATIVIDADE)"</f>
        <v>Materiais e Logística / Compras / Relatórios / Tabelas / Ramo de Atividade (R_RAMO_ATIVIDADE)</v>
      </c>
    </row>
    <row r="5296" spans="1:7" x14ac:dyDescent="0.3">
      <c r="A5296" s="1" t="s">
        <v>4</v>
      </c>
      <c r="B5296" s="2" t="str">
        <f t="shared" si="434"/>
        <v>SISTEMA DE GERENCIAMENTO DE COMPRAS</v>
      </c>
      <c r="C5296" s="2" t="str">
        <f t="shared" si="437"/>
        <v>SUPRI</v>
      </c>
      <c r="D5296" s="2" t="str">
        <f t="shared" si="435"/>
        <v>MGCO</v>
      </c>
      <c r="E5296" s="2" t="str">
        <f>"RELATORIO DE SERVIÇOS"</f>
        <v>RELATORIO DE SERVIÇOS</v>
      </c>
      <c r="F5296" s="2" t="str">
        <f>"R_SERSOL"</f>
        <v>R_SERSOL</v>
      </c>
      <c r="G5296" s="2" t="str">
        <f>"Materiais e Logística / Compras / Relatórios / Tabelas / Serviços (R_SERSOL)"</f>
        <v>Materiais e Logística / Compras / Relatórios / Tabelas / Serviços (R_SERSOL)</v>
      </c>
    </row>
    <row r="5297" spans="1:7" x14ac:dyDescent="0.3">
      <c r="A5297" s="1" t="s">
        <v>4</v>
      </c>
      <c r="B5297" s="2" t="str">
        <f t="shared" si="434"/>
        <v>SISTEMA DE GERENCIAMENTO DE COMPRAS</v>
      </c>
      <c r="C5297" s="2" t="str">
        <f t="shared" si="437"/>
        <v>SUPRI</v>
      </c>
      <c r="D5297" s="2" t="str">
        <f t="shared" si="435"/>
        <v>MGCO</v>
      </c>
      <c r="E5297" s="2" t="str">
        <f>"SERVIÇOS"</f>
        <v>SERVIÇOS</v>
      </c>
      <c r="F5297" s="2" t="str">
        <f>"M_SERSOL"</f>
        <v>M_SERSOL</v>
      </c>
      <c r="G5297" s="2" t="str">
        <f>"Materiais e Logística / Compras / Personalizados / Serviços (M_SERSOL)"</f>
        <v>Materiais e Logística / Compras / Personalizados / Serviços (M_SERSOL)</v>
      </c>
    </row>
    <row r="5298" spans="1:7" x14ac:dyDescent="0.3">
      <c r="A5298" s="1" t="s">
        <v>4</v>
      </c>
      <c r="B5298" s="2" t="str">
        <f t="shared" ref="B5298:B5361" si="439">"SISTEMA DE GERENCIAMENTO DE COMPRAS"</f>
        <v>SISTEMA DE GERENCIAMENTO DE COMPRAS</v>
      </c>
      <c r="C5298" s="2" t="str">
        <f t="shared" si="437"/>
        <v>SUPRI</v>
      </c>
      <c r="D5298" s="2" t="str">
        <f t="shared" ref="D5298:D5361" si="440">"MGCO"</f>
        <v>MGCO</v>
      </c>
      <c r="E5298" s="2" t="str">
        <f>"RELATÓRÍO DAS CONDIÇÕES DE PAGAMENTO"</f>
        <v>RELATÓRÍO DAS CONDIÇÕES DE PAGAMENTO</v>
      </c>
      <c r="F5298" s="2" t="str">
        <f>"R_COND_PAG"</f>
        <v>R_COND_PAG</v>
      </c>
      <c r="G5298" s="2" t="str">
        <f>"Materiais e Logística / Compras / Relatórios / Tabelas / Condições de Pagamento (R_COND_PAG)"</f>
        <v>Materiais e Logística / Compras / Relatórios / Tabelas / Condições de Pagamento (R_COND_PAG)</v>
      </c>
    </row>
    <row r="5299" spans="1:7" x14ac:dyDescent="0.3">
      <c r="A5299" s="1" t="s">
        <v>4</v>
      </c>
      <c r="B5299" s="2" t="str">
        <f t="shared" si="439"/>
        <v>SISTEMA DE GERENCIAMENTO DE COMPRAS</v>
      </c>
      <c r="C5299" s="2" t="str">
        <f t="shared" si="437"/>
        <v>SUPRI</v>
      </c>
      <c r="D5299" s="2" t="str">
        <f t="shared" si="440"/>
        <v>MGCO</v>
      </c>
      <c r="E5299" s="2" t="str">
        <f>"RELATORIO FORNECEDORES DA COT. DE PREÇOS"</f>
        <v>RELATORIO FORNECEDORES DA COT. DE PREÇOS</v>
      </c>
      <c r="F5299" s="2" t="str">
        <f>"R_FORNEC_COTACAO"</f>
        <v>R_FORNEC_COTACAO</v>
      </c>
      <c r="G5299" s="2" t="str">
        <f>"Materiais e Logística / Compras / Relatórios / Coleta de Preços / Fornecedores da Cotação (R_FORNEC_COTACAO)"</f>
        <v>Materiais e Logística / Compras / Relatórios / Coleta de Preços / Fornecedores da Cotação (R_FORNEC_COTACAO)</v>
      </c>
    </row>
    <row r="5300" spans="1:7" x14ac:dyDescent="0.3">
      <c r="A5300" s="1" t="s">
        <v>4</v>
      </c>
      <c r="B5300" s="2" t="str">
        <f t="shared" si="439"/>
        <v>SISTEMA DE GERENCIAMENTO DE COMPRAS</v>
      </c>
      <c r="C5300" s="2" t="str">
        <f t="shared" si="437"/>
        <v>SUPRI</v>
      </c>
      <c r="D5300" s="2" t="str">
        <f t="shared" si="440"/>
        <v>MGCO</v>
      </c>
      <c r="E5300" s="2" t="str">
        <f>"RESUMO DAS COLETAS DE PREÇO"</f>
        <v>RESUMO DAS COLETAS DE PREÇO</v>
      </c>
      <c r="F5300" s="2" t="str">
        <f>"R_RESUMO_COLETA"</f>
        <v>R_RESUMO_COLETA</v>
      </c>
      <c r="G5300" s="2" t="str">
        <f>"Materiais e Logística / Compras / Relatórios / Coleta de Preços / Resumo das Coletas de Preço (R_RESUMO_COLETA)"</f>
        <v>Materiais e Logística / Compras / Relatórios / Coleta de Preços / Resumo das Coletas de Preço (R_RESUMO_COLETA)</v>
      </c>
    </row>
    <row r="5301" spans="1:7" x14ac:dyDescent="0.3">
      <c r="A5301" s="1" t="s">
        <v>4</v>
      </c>
      <c r="B5301" s="2" t="str">
        <f t="shared" si="439"/>
        <v>SISTEMA DE GERENCIAMENTO DE COMPRAS</v>
      </c>
      <c r="C5301" s="2" t="str">
        <f t="shared" si="437"/>
        <v>SUPRI</v>
      </c>
      <c r="D5301" s="2" t="str">
        <f t="shared" si="440"/>
        <v>MGCO</v>
      </c>
      <c r="E5301" s="2" t="str">
        <f>"AGRUPAMENTO DE SOLICITAÇÕES"</f>
        <v>AGRUPAMENTO DE SOLICITAÇÕES</v>
      </c>
      <c r="F5301" s="2" t="str">
        <f>"M_AGRU_SOLCOM"</f>
        <v>M_AGRU_SOLCOM</v>
      </c>
      <c r="G5301" s="2" t="str">
        <f>"Materiais e Logística / Compras / Compras / Solicitação de Compras / Agrupamento (M_AGRU_SOLCOM)"</f>
        <v>Materiais e Logística / Compras / Compras / Solicitação de Compras / Agrupamento (M_AGRU_SOLCOM)</v>
      </c>
    </row>
    <row r="5302" spans="1:7" x14ac:dyDescent="0.3">
      <c r="A5302" s="1" t="s">
        <v>4</v>
      </c>
      <c r="B5302" s="2" t="str">
        <f t="shared" si="439"/>
        <v>SISTEMA DE GERENCIAMENTO DE COMPRAS</v>
      </c>
      <c r="C5302" s="2" t="str">
        <f t="shared" si="437"/>
        <v>SUPRI</v>
      </c>
      <c r="D5302" s="2" t="str">
        <f t="shared" si="440"/>
        <v>MGCO</v>
      </c>
      <c r="E5302" s="2" t="str">
        <f>"DILIGENCIAMENTO"</f>
        <v>DILIGENCIAMENTO</v>
      </c>
      <c r="F5302" s="2" t="str">
        <f>"M_DILIGENC"</f>
        <v>M_DILIGENC</v>
      </c>
      <c r="G5302" s="2" t="str">
        <f>" ()"</f>
        <v xml:space="preserve"> ()</v>
      </c>
    </row>
    <row r="5303" spans="1:7" x14ac:dyDescent="0.3">
      <c r="A5303" s="1" t="s">
        <v>4</v>
      </c>
      <c r="B5303" s="2" t="str">
        <f t="shared" si="439"/>
        <v>SISTEMA DE GERENCIAMENTO DE COMPRAS</v>
      </c>
      <c r="C5303" s="2" t="str">
        <f t="shared" si="437"/>
        <v>SUPRI</v>
      </c>
      <c r="D5303" s="2" t="str">
        <f t="shared" si="440"/>
        <v>MGCO</v>
      </c>
      <c r="E5303" s="2" t="str">
        <f>"CADASTRO DE RAMO DE ATIVIDADE"</f>
        <v>CADASTRO DE RAMO DE ATIVIDADE</v>
      </c>
      <c r="F5303" s="2" t="str">
        <f>"M_RAMO_ATIVIDADE"</f>
        <v>M_RAMO_ATIVIDADE</v>
      </c>
      <c r="G5303" s="2" t="str">
        <f>"Materiais e Logística / Compras / Tabelas / Ramo de Atividade (M_RAMO_ATIVIDADE)"</f>
        <v>Materiais e Logística / Compras / Tabelas / Ramo de Atividade (M_RAMO_ATIVIDADE)</v>
      </c>
    </row>
    <row r="5304" spans="1:7" x14ac:dyDescent="0.3">
      <c r="A5304" s="1" t="s">
        <v>4</v>
      </c>
      <c r="B5304" s="2" t="str">
        <f t="shared" si="439"/>
        <v>SISTEMA DE GERENCIAMENTO DE COMPRAS</v>
      </c>
      <c r="C5304" s="2" t="str">
        <f t="shared" si="437"/>
        <v>SUPRI</v>
      </c>
      <c r="D5304" s="2" t="str">
        <f t="shared" si="440"/>
        <v>MGCO</v>
      </c>
      <c r="E5304" s="2" t="str">
        <f>"CONDICAO DE PAGAMENTO"</f>
        <v>CONDICAO DE PAGAMENTO</v>
      </c>
      <c r="F5304" s="2" t="str">
        <f>"M_COND_PAGTO"</f>
        <v>M_COND_PAGTO</v>
      </c>
      <c r="G5304" s="2" t="str">
        <f>"Materiais e Logística / Compras / Tabelas / Condição de Pagamento (M_COND_PAGTO)"</f>
        <v>Materiais e Logística / Compras / Tabelas / Condição de Pagamento (M_COND_PAGTO)</v>
      </c>
    </row>
    <row r="5305" spans="1:7" x14ac:dyDescent="0.3">
      <c r="A5305" s="1" t="s">
        <v>4</v>
      </c>
      <c r="B5305" s="2" t="str">
        <f t="shared" si="439"/>
        <v>SISTEMA DE GERENCIAMENTO DE COMPRAS</v>
      </c>
      <c r="C5305" s="2" t="str">
        <f t="shared" si="437"/>
        <v>SUPRI</v>
      </c>
      <c r="D5305" s="2" t="str">
        <f t="shared" si="440"/>
        <v>MGCO</v>
      </c>
      <c r="E5305" s="2" t="str">
        <f>"FORMAÇÃO DA ORDEM DE COMPRA"</f>
        <v>FORMAÇÃO DA ORDEM DE COMPRA</v>
      </c>
      <c r="F5305" s="2" t="str">
        <f>"O_GERA_ORDCOM"</f>
        <v>O_GERA_ORDCOM</v>
      </c>
      <c r="G5305" s="2" t="str">
        <f>"Materiais e Logística / Compras / Compras / Ordem de Compra / Formação da Ordem de Compra (O_GERA_ORDCOM)"</f>
        <v>Materiais e Logística / Compras / Compras / Ordem de Compra / Formação da Ordem de Compra (O_GERA_ORDCOM)</v>
      </c>
    </row>
    <row r="5306" spans="1:7" x14ac:dyDescent="0.3">
      <c r="A5306" s="1" t="s">
        <v>4</v>
      </c>
      <c r="B5306" s="2" t="str">
        <f t="shared" si="439"/>
        <v>SISTEMA DE GERENCIAMENTO DE COMPRAS</v>
      </c>
      <c r="C5306" s="2" t="str">
        <f t="shared" si="437"/>
        <v>SUPRI</v>
      </c>
      <c r="D5306" s="2" t="str">
        <f t="shared" si="440"/>
        <v>MGCO</v>
      </c>
      <c r="E5306" s="2" t="str">
        <f>"COLETA DE PREÇOS"</f>
        <v>COLETA DE PREÇOS</v>
      </c>
      <c r="F5306" s="2" t="str">
        <f>"M_COLPRE"</f>
        <v>M_COLPRE</v>
      </c>
      <c r="G5306" s="2" t="str">
        <f>"Materiais e Logística / Compras / Compras / Coleta de Preços (Licitação) / Cadastro de Coleta de Preços (M_COLPRE)"</f>
        <v>Materiais e Logística / Compras / Compras / Coleta de Preços (Licitação) / Cadastro de Coleta de Preços (M_COLPRE)</v>
      </c>
    </row>
    <row r="5307" spans="1:7" x14ac:dyDescent="0.3">
      <c r="A5307" s="1" t="s">
        <v>4</v>
      </c>
      <c r="B5307" s="2" t="str">
        <f t="shared" si="439"/>
        <v>SISTEMA DE GERENCIAMENTO DE COMPRAS</v>
      </c>
      <c r="C5307" s="2" t="str">
        <f t="shared" si="437"/>
        <v>SUPRI</v>
      </c>
      <c r="D5307" s="2" t="str">
        <f t="shared" si="440"/>
        <v>MGCO</v>
      </c>
      <c r="E5307" s="2" t="str">
        <f>"RELAT. TIPO DE ATIVIDADE"</f>
        <v>RELAT. TIPO DE ATIVIDADE</v>
      </c>
      <c r="F5307" s="2" t="str">
        <f>"R_TIPATI"</f>
        <v>R_TIPATI</v>
      </c>
      <c r="G5307" s="2" t="str">
        <f>"Materiais e Logística / Compras / Relatórios / Tabelas / Tipos de Atividade (R_TIPATI)"</f>
        <v>Materiais e Logística / Compras / Relatórios / Tabelas / Tipos de Atividade (R_TIPATI)</v>
      </c>
    </row>
    <row r="5308" spans="1:7" x14ac:dyDescent="0.3">
      <c r="A5308" s="1" t="s">
        <v>4</v>
      </c>
      <c r="B5308" s="2" t="str">
        <f t="shared" si="439"/>
        <v>SISTEMA DE GERENCIAMENTO DE COMPRAS</v>
      </c>
      <c r="C5308" s="2" t="str">
        <f t="shared" si="437"/>
        <v>SUPRI</v>
      </c>
      <c r="D5308" s="2" t="str">
        <f t="shared" si="440"/>
        <v>MGCO</v>
      </c>
      <c r="E5308" s="2" t="str">
        <f>"RELATORIO PEDIDO DE COMPRAS"</f>
        <v>RELATORIO PEDIDO DE COMPRAS</v>
      </c>
      <c r="F5308" s="2" t="str">
        <f>"R_PEDCOMP"</f>
        <v>R_PEDCOMP</v>
      </c>
      <c r="G5308" s="2" t="str">
        <f>" ()"</f>
        <v xml:space="preserve"> ()</v>
      </c>
    </row>
    <row r="5309" spans="1:7" x14ac:dyDescent="0.3">
      <c r="A5309" s="1" t="s">
        <v>4</v>
      </c>
      <c r="B5309" s="2" t="str">
        <f t="shared" si="439"/>
        <v>SISTEMA DE GERENCIAMENTO DE COMPRAS</v>
      </c>
      <c r="C5309" s="2" t="str">
        <f t="shared" si="437"/>
        <v>SUPRI</v>
      </c>
      <c r="D5309" s="2" t="str">
        <f t="shared" si="440"/>
        <v>MGCO</v>
      </c>
      <c r="E5309" s="2" t="str">
        <f>"RELATÓRIO DE DILIGENCIAMENTO"</f>
        <v>RELATÓRIO DE DILIGENCIAMENTO</v>
      </c>
      <c r="F5309" s="2" t="str">
        <f>"R_DILIGENC"</f>
        <v>R_DILIGENC</v>
      </c>
      <c r="G5309" s="2" t="str">
        <f>" ()"</f>
        <v xml:space="preserve"> ()</v>
      </c>
    </row>
    <row r="5310" spans="1:7" x14ac:dyDescent="0.3">
      <c r="A5310" s="1" t="s">
        <v>4</v>
      </c>
      <c r="B5310" s="2" t="str">
        <f t="shared" si="439"/>
        <v>SISTEMA DE GERENCIAMENTO DE COMPRAS</v>
      </c>
      <c r="C5310" s="2" t="str">
        <f t="shared" si="437"/>
        <v>SUPRI</v>
      </c>
      <c r="D5310" s="2" t="str">
        <f t="shared" si="440"/>
        <v>MGCO</v>
      </c>
      <c r="E5310" s="2" t="str">
        <f>"ORDEM DE COMPRAS POR ESTOQUE"</f>
        <v>ORDEM DE COMPRAS POR ESTOQUE</v>
      </c>
      <c r="F5310" s="2" t="str">
        <f>"R_ORD_COM_EST"</f>
        <v>R_ORD_COM_EST</v>
      </c>
      <c r="G5310" s="2" t="str">
        <f>"Materiais e Logística / Compras / Relatórios / Ordem de Compra / Emissão por Estoque (R_ORD_COM_EST)"</f>
        <v>Materiais e Logística / Compras / Relatórios / Ordem de Compra / Emissão por Estoque (R_ORD_COM_EST)</v>
      </c>
    </row>
    <row r="5311" spans="1:7" x14ac:dyDescent="0.3">
      <c r="A5311" s="1" t="s">
        <v>4</v>
      </c>
      <c r="B5311" s="2" t="str">
        <f t="shared" si="439"/>
        <v>SISTEMA DE GERENCIAMENTO DE COMPRAS</v>
      </c>
      <c r="C5311" s="2" t="str">
        <f t="shared" si="437"/>
        <v>SUPRI</v>
      </c>
      <c r="D5311" s="2" t="str">
        <f t="shared" si="440"/>
        <v>MGCO</v>
      </c>
      <c r="E5311" s="2" t="str">
        <f>"ORDENS DE COMPRA AUTORIZADAS"</f>
        <v>ORDENS DE COMPRA AUTORIZADAS</v>
      </c>
      <c r="F5311" s="2" t="str">
        <f>"R_ORD_COM_AUTO"</f>
        <v>R_ORD_COM_AUTO</v>
      </c>
      <c r="G5311" s="2" t="s">
        <v>22</v>
      </c>
    </row>
    <row r="5312" spans="1:7" x14ac:dyDescent="0.3">
      <c r="A5312" s="1" t="s">
        <v>4</v>
      </c>
      <c r="B5312" s="2" t="str">
        <f t="shared" si="439"/>
        <v>SISTEMA DE GERENCIAMENTO DE COMPRAS</v>
      </c>
      <c r="C5312" s="2" t="str">
        <f t="shared" si="437"/>
        <v>SUPRI</v>
      </c>
      <c r="D5312" s="2" t="str">
        <f t="shared" si="440"/>
        <v>MGCO</v>
      </c>
      <c r="E5312" s="2" t="str">
        <f>"ORDENS DE COMPRAS NÃO AUTORIZADAS"</f>
        <v>ORDENS DE COMPRAS NÃO AUTORIZADAS</v>
      </c>
      <c r="F5312" s="2" t="str">
        <f>"R_ORD_COM_N_AUTO"</f>
        <v>R_ORD_COM_N_AUTO</v>
      </c>
      <c r="G5312" s="2" t="str">
        <f>" ()"</f>
        <v xml:space="preserve"> ()</v>
      </c>
    </row>
    <row r="5313" spans="1:7" x14ac:dyDescent="0.3">
      <c r="A5313" s="1" t="s">
        <v>4</v>
      </c>
      <c r="B5313" s="2" t="str">
        <f t="shared" si="439"/>
        <v>SISTEMA DE GERENCIAMENTO DE COMPRAS</v>
      </c>
      <c r="C5313" s="2" t="str">
        <f t="shared" si="437"/>
        <v>SUPRI</v>
      </c>
      <c r="D5313" s="2" t="str">
        <f t="shared" si="440"/>
        <v>MGCO</v>
      </c>
      <c r="E5313" s="2" t="str">
        <f>"RELATORIO DE SUGESTAO DE COMPRAS"</f>
        <v>RELATORIO DE SUGESTAO DE COMPRAS</v>
      </c>
      <c r="F5313" s="2" t="str">
        <f>"R_SUGESTAO_COM"</f>
        <v>R_SUGESTAO_COM</v>
      </c>
      <c r="G5313" s="2" t="str">
        <f>"Materiais e Logística / Compras / Relatórios / Coleta de Preços / Sugestão de Compra (R_SUGESTAO_COM)"</f>
        <v>Materiais e Logística / Compras / Relatórios / Coleta de Preços / Sugestão de Compra (R_SUGESTAO_COM)</v>
      </c>
    </row>
    <row r="5314" spans="1:7" x14ac:dyDescent="0.3">
      <c r="A5314" s="1" t="s">
        <v>4</v>
      </c>
      <c r="B5314" s="2" t="str">
        <f t="shared" si="439"/>
        <v>SISTEMA DE GERENCIAMENTO DE COMPRAS</v>
      </c>
      <c r="C5314" s="2" t="str">
        <f t="shared" si="437"/>
        <v>SUPRI</v>
      </c>
      <c r="D5314" s="2" t="str">
        <f t="shared" si="440"/>
        <v>MGCO</v>
      </c>
      <c r="E5314" s="2" t="str">
        <f>"ORDEM DE COMPRA POR FORNECEDOR"</f>
        <v>ORDEM DE COMPRA POR FORNECEDOR</v>
      </c>
      <c r="F5314" s="2" t="str">
        <f>"R_ORD_COM_FOR"</f>
        <v>R_ORD_COM_FOR</v>
      </c>
      <c r="G5314" s="2" t="str">
        <f>"Materiais e Logística / Compras / Relatórios / Ordem de Compra / Em Aberto por Fornecedor / Estoque (R_ORD_COM_FOR)"</f>
        <v>Materiais e Logística / Compras / Relatórios / Ordem de Compra / Em Aberto por Fornecedor / Estoque (R_ORD_COM_FOR)</v>
      </c>
    </row>
    <row r="5315" spans="1:7" x14ac:dyDescent="0.3">
      <c r="A5315" s="1" t="s">
        <v>4</v>
      </c>
      <c r="B5315" s="2" t="str">
        <f t="shared" si="439"/>
        <v>SISTEMA DE GERENCIAMENTO DE COMPRAS</v>
      </c>
      <c r="C5315" s="2" t="str">
        <f t="shared" si="437"/>
        <v>SUPRI</v>
      </c>
      <c r="D5315" s="2" t="str">
        <f t="shared" si="440"/>
        <v>MGCO</v>
      </c>
      <c r="E5315" s="2" t="str">
        <f>"RELAT. DE ORDEM DE COMPRAS"</f>
        <v>RELAT. DE ORDEM DE COMPRAS</v>
      </c>
      <c r="F5315" s="2" t="str">
        <f>"R_ORDCOM"</f>
        <v>R_ORDCOM</v>
      </c>
      <c r="G5315" s="2" t="str">
        <f>"Materiais e Logística / Compras / Relatórios / Ordem de Compra / Ordem de Compra (R_ORDCOM)"</f>
        <v>Materiais e Logística / Compras / Relatórios / Ordem de Compra / Ordem de Compra (R_ORDCOM)</v>
      </c>
    </row>
    <row r="5316" spans="1:7" x14ac:dyDescent="0.3">
      <c r="A5316" s="1" t="s">
        <v>4</v>
      </c>
      <c r="B5316" s="2" t="str">
        <f t="shared" si="439"/>
        <v>SISTEMA DE GERENCIAMENTO DE COMPRAS</v>
      </c>
      <c r="C5316" s="2" t="str">
        <f t="shared" si="437"/>
        <v>SUPRI</v>
      </c>
      <c r="D5316" s="2" t="str">
        <f t="shared" si="440"/>
        <v>MGCO</v>
      </c>
      <c r="E5316" s="2" t="str">
        <f>"CANCELAMENTO DE ORDEM DE COMPRAS"</f>
        <v>CANCELAMENTO DE ORDEM DE COMPRAS</v>
      </c>
      <c r="F5316" s="2" t="str">
        <f>"O_CANORD"</f>
        <v>O_CANORD</v>
      </c>
      <c r="G5316" s="2" t="str">
        <f>"Materiais e Logística / Compras / Compras / Ordem de Compra / Cancelamento (O_CANORD)"</f>
        <v>Materiais e Logística / Compras / Compras / Ordem de Compra / Cancelamento (O_CANORD)</v>
      </c>
    </row>
    <row r="5317" spans="1:7" x14ac:dyDescent="0.3">
      <c r="A5317" s="1" t="s">
        <v>4</v>
      </c>
      <c r="B5317" s="2" t="str">
        <f t="shared" si="439"/>
        <v>SISTEMA DE GERENCIAMENTO DE COMPRAS</v>
      </c>
      <c r="C5317" s="2" t="str">
        <f t="shared" si="437"/>
        <v>SUPRI</v>
      </c>
      <c r="D5317" s="2" t="str">
        <f t="shared" si="440"/>
        <v>MGCO</v>
      </c>
      <c r="E5317" s="2" t="str">
        <f>"CADASTRO DE DILIGENCIAMENTO DE COMPRAS"</f>
        <v>CADASTRO DE DILIGENCIAMENTO DE COMPRAS</v>
      </c>
      <c r="F5317" s="2" t="str">
        <f>"M_DILIGEN"</f>
        <v>M_DILIGEN</v>
      </c>
      <c r="G5317" s="2" t="str">
        <f>" ()"</f>
        <v xml:space="preserve"> ()</v>
      </c>
    </row>
    <row r="5318" spans="1:7" x14ac:dyDescent="0.3">
      <c r="A5318" s="1" t="s">
        <v>4</v>
      </c>
      <c r="B5318" s="2" t="str">
        <f t="shared" si="439"/>
        <v>SISTEMA DE GERENCIAMENTO DE COMPRAS</v>
      </c>
      <c r="C5318" s="2" t="str">
        <f t="shared" si="437"/>
        <v>SUPRI</v>
      </c>
      <c r="D5318" s="2" t="str">
        <f t="shared" si="440"/>
        <v>MGCO</v>
      </c>
      <c r="E5318" s="2" t="str">
        <f>"CONSULTA DE DILIGICENCIAMENTO DE COMPRAS"</f>
        <v>CONSULTA DE DILIGICENCIAMENTO DE COMPRAS</v>
      </c>
      <c r="F5318" s="2" t="str">
        <f>"C_DILIGENCIAMENTO"</f>
        <v>C_DILIGENCIAMENTO</v>
      </c>
      <c r="G5318" s="2" t="str">
        <f>" ()"</f>
        <v xml:space="preserve"> ()</v>
      </c>
    </row>
    <row r="5319" spans="1:7" x14ac:dyDescent="0.3">
      <c r="A5319" s="1" t="s">
        <v>4</v>
      </c>
      <c r="B5319" s="2" t="str">
        <f t="shared" si="439"/>
        <v>SISTEMA DE GERENCIAMENTO DE COMPRAS</v>
      </c>
      <c r="C5319" s="2" t="str">
        <f t="shared" si="437"/>
        <v>SUPRI</v>
      </c>
      <c r="D5319" s="2" t="str">
        <f t="shared" si="440"/>
        <v>MGCO</v>
      </c>
      <c r="E5319" s="2" t="str">
        <f>"CONSULTA DE ORDEM DE COMPRAS"</f>
        <v>CONSULTA DE ORDEM DE COMPRAS</v>
      </c>
      <c r="F5319" s="2" t="str">
        <f>"C_ORDCOM"</f>
        <v>C_ORDCOM</v>
      </c>
      <c r="G5319" s="2" t="str">
        <f>"Materiais e Logística / Compras / Consultas / Ordem de Compra (C_ORDCOM)"</f>
        <v>Materiais e Logística / Compras / Consultas / Ordem de Compra (C_ORDCOM)</v>
      </c>
    </row>
    <row r="5320" spans="1:7" x14ac:dyDescent="0.3">
      <c r="A5320" s="1" t="s">
        <v>4</v>
      </c>
      <c r="B5320" s="2" t="str">
        <f t="shared" si="439"/>
        <v>SISTEMA DE GERENCIAMENTO DE COMPRAS</v>
      </c>
      <c r="C5320" s="2" t="str">
        <f t="shared" si="437"/>
        <v>SUPRI</v>
      </c>
      <c r="D5320" s="2" t="str">
        <f t="shared" si="440"/>
        <v>MGCO</v>
      </c>
      <c r="E5320" s="2" t="str">
        <f>"CONSULTA DE ORDEM DE COMPRAS"</f>
        <v>CONSULTA DE ORDEM DE COMPRAS</v>
      </c>
      <c r="F5320" s="2" t="str">
        <f>"C_ORDCOM"</f>
        <v>C_ORDCOM</v>
      </c>
      <c r="G5320" s="2" t="str">
        <f>"Materiais e Logística / Farmácia / Consulta / Ordem de Compra (C_ORDCOM)"</f>
        <v>Materiais e Logística / Farmácia / Consulta / Ordem de Compra (C_ORDCOM)</v>
      </c>
    </row>
    <row r="5321" spans="1:7" x14ac:dyDescent="0.3">
      <c r="A5321" s="1" t="s">
        <v>4</v>
      </c>
      <c r="B5321" s="2" t="str">
        <f t="shared" si="439"/>
        <v>SISTEMA DE GERENCIAMENTO DE COMPRAS</v>
      </c>
      <c r="C5321" s="2" t="str">
        <f t="shared" si="437"/>
        <v>SUPRI</v>
      </c>
      <c r="D5321" s="2" t="str">
        <f t="shared" si="440"/>
        <v>MGCO</v>
      </c>
      <c r="E5321" s="2" t="str">
        <f>"RELAT. DE FORNECEDORES PRO ATIVIDADES"</f>
        <v>RELAT. DE FORNECEDORES PRO ATIVIDADES</v>
      </c>
      <c r="F5321" s="2" t="str">
        <f>"R_FORATI"</f>
        <v>R_FORATI</v>
      </c>
      <c r="G5321" s="2" t="str">
        <f>"Materiais e Logística / Compras / Relatórios / Catálogo / Fornecedores x Atividades (R_FORATI)"</f>
        <v>Materiais e Logística / Compras / Relatórios / Catálogo / Fornecedores x Atividades (R_FORATI)</v>
      </c>
    </row>
    <row r="5322" spans="1:7" x14ac:dyDescent="0.3">
      <c r="A5322" s="1" t="s">
        <v>4</v>
      </c>
      <c r="B5322" s="2" t="str">
        <f t="shared" si="439"/>
        <v>SISTEMA DE GERENCIAMENTO DE COMPRAS</v>
      </c>
      <c r="C5322" s="2" t="str">
        <f t="shared" si="437"/>
        <v>SUPRI</v>
      </c>
      <c r="D5322" s="2" t="str">
        <f t="shared" si="440"/>
        <v>MGCO</v>
      </c>
      <c r="E5322" s="2" t="str">
        <f>"RELAT. DE ATIVIDADE DE FORNECEDORES"</f>
        <v>RELAT. DE ATIVIDADE DE FORNECEDORES</v>
      </c>
      <c r="F5322" s="2" t="str">
        <f>"R_ATIFOR"</f>
        <v>R_ATIFOR</v>
      </c>
      <c r="G5322" s="2" t="str">
        <f>"Materiais e Logística / Compras / Relatórios / Catálogo / Atividades x Fornecedores (R_ATIFOR)"</f>
        <v>Materiais e Logística / Compras / Relatórios / Catálogo / Atividades x Fornecedores (R_ATIFOR)</v>
      </c>
    </row>
    <row r="5323" spans="1:7" x14ac:dyDescent="0.3">
      <c r="A5323" s="1" t="s">
        <v>4</v>
      </c>
      <c r="B5323" s="2" t="str">
        <f t="shared" si="439"/>
        <v>SISTEMA DE GERENCIAMENTO DE COMPRAS</v>
      </c>
      <c r="C5323" s="2" t="str">
        <f t="shared" si="437"/>
        <v>SUPRI</v>
      </c>
      <c r="D5323" s="2" t="str">
        <f t="shared" si="440"/>
        <v>MGCO</v>
      </c>
      <c r="E5323" s="2" t="str">
        <f>"TELA DE CHAMADA DO MGCO"</f>
        <v>TELA DE CHAMADA DO MGCO</v>
      </c>
      <c r="F5323" s="2" t="str">
        <f>"MGCO"</f>
        <v>MGCO</v>
      </c>
      <c r="G5323" s="2" t="str">
        <f>"Materiais e Logística / Compras / Relatórios / Personalizados (MGCO)"</f>
        <v>Materiais e Logística / Compras / Relatórios / Personalizados (MGCO)</v>
      </c>
    </row>
    <row r="5324" spans="1:7" x14ac:dyDescent="0.3">
      <c r="A5324" s="1" t="s">
        <v>4</v>
      </c>
      <c r="B5324" s="2" t="str">
        <f t="shared" si="439"/>
        <v>SISTEMA DE GERENCIAMENTO DE COMPRAS</v>
      </c>
      <c r="C5324" s="2" t="str">
        <f t="shared" si="437"/>
        <v>SUPRI</v>
      </c>
      <c r="D5324" s="2" t="str">
        <f t="shared" si="440"/>
        <v>MGCO</v>
      </c>
      <c r="E5324" s="2" t="str">
        <f>"CATÁLOGO DE SERVIÇOS"</f>
        <v>CATÁLOGO DE SERVIÇOS</v>
      </c>
      <c r="F5324" s="2" t="str">
        <f>"M_FOR_SERSOL"</f>
        <v>M_FOR_SERSOL</v>
      </c>
      <c r="G5324" s="2" t="str">
        <f>"Materiais e Logística / Compras / Catálogo / Serviços (M_FOR_SERSOL)"</f>
        <v>Materiais e Logística / Compras / Catálogo / Serviços (M_FOR_SERSOL)</v>
      </c>
    </row>
    <row r="5325" spans="1:7" x14ac:dyDescent="0.3">
      <c r="A5325" s="1" t="s">
        <v>4</v>
      </c>
      <c r="B5325" s="2" t="str">
        <f t="shared" si="439"/>
        <v>SISTEMA DE GERENCIAMENTO DE COMPRAS</v>
      </c>
      <c r="C5325" s="2" t="str">
        <f t="shared" si="437"/>
        <v>SUPRI</v>
      </c>
      <c r="D5325" s="2" t="str">
        <f t="shared" si="440"/>
        <v>MGCO</v>
      </c>
      <c r="E5325" s="2" t="str">
        <f>"RELATORIO DE COMPRADOR"</f>
        <v>RELATORIO DE COMPRADOR</v>
      </c>
      <c r="F5325" s="2" t="str">
        <f>"R_COTADOR"</f>
        <v>R_COTADOR</v>
      </c>
      <c r="G5325" s="2" t="str">
        <f>"Materiais e Logística / Compras / Relatórios / Tabelas / Comprador (R_COTADOR)"</f>
        <v>Materiais e Logística / Compras / Relatórios / Tabelas / Comprador (R_COTADOR)</v>
      </c>
    </row>
    <row r="5326" spans="1:7" x14ac:dyDescent="0.3">
      <c r="A5326" s="1" t="s">
        <v>4</v>
      </c>
      <c r="B5326" s="2" t="str">
        <f t="shared" si="439"/>
        <v>SISTEMA DE GERENCIAMENTO DE COMPRAS</v>
      </c>
      <c r="C5326" s="2" t="str">
        <f t="shared" si="437"/>
        <v>SUPRI</v>
      </c>
      <c r="D5326" s="2" t="str">
        <f t="shared" si="440"/>
        <v>MGCO</v>
      </c>
      <c r="E5326" s="2" t="str">
        <f>"REL DE PRODUTOS RECEBIDOS COM ATRASO"</f>
        <v>REL DE PRODUTOS RECEBIDOS COM ATRASO</v>
      </c>
      <c r="F5326" s="2" t="str">
        <f>"R_PROD_ATRASO"</f>
        <v>R_PROD_ATRASO</v>
      </c>
      <c r="G5326" s="2" t="str">
        <f>"Materiais e Logística / Compras / Relatórios / Administrativos / Produtos Recebidos com Atraso (R_PROD_ATRASO)"</f>
        <v>Materiais e Logística / Compras / Relatórios / Administrativos / Produtos Recebidos com Atraso (R_PROD_ATRASO)</v>
      </c>
    </row>
    <row r="5327" spans="1:7" x14ac:dyDescent="0.3">
      <c r="A5327" s="1" t="s">
        <v>4</v>
      </c>
      <c r="B5327" s="2" t="str">
        <f t="shared" si="439"/>
        <v>SISTEMA DE GERENCIAMENTO DE COMPRAS</v>
      </c>
      <c r="C5327" s="2" t="str">
        <f t="shared" ref="C5327:C5393" si="441">"SUPRI"</f>
        <v>SUPRI</v>
      </c>
      <c r="D5327" s="2" t="str">
        <f t="shared" si="440"/>
        <v>MGCO</v>
      </c>
      <c r="E5327" s="2" t="str">
        <f>"SOLICITACAO PADRAO DE COMPRAS"</f>
        <v>SOLICITACAO PADRAO DE COMPRAS</v>
      </c>
      <c r="F5327" s="2" t="str">
        <f>"M_PSOL_COM"</f>
        <v>M_PSOL_COM</v>
      </c>
      <c r="G5327" s="2" t="str">
        <f>" ()"</f>
        <v xml:space="preserve"> ()</v>
      </c>
    </row>
    <row r="5328" spans="1:7" x14ac:dyDescent="0.3">
      <c r="A5328" s="1" t="s">
        <v>4</v>
      </c>
      <c r="B5328" s="2" t="str">
        <f t="shared" si="439"/>
        <v>SISTEMA DE GERENCIAMENTO DE COMPRAS</v>
      </c>
      <c r="C5328" s="2" t="str">
        <f t="shared" si="441"/>
        <v>SUPRI</v>
      </c>
      <c r="D5328" s="2" t="str">
        <f t="shared" si="440"/>
        <v>MGCO</v>
      </c>
      <c r="E5328" s="2" t="str">
        <f>"RESUMO DAS COLETAS DE PREÇO - CARACTER"</f>
        <v>RESUMO DAS COLETAS DE PREÇO - CARACTER</v>
      </c>
      <c r="F5328" s="2" t="str">
        <f>"R_RESUMO_COLETA_CHAR"</f>
        <v>R_RESUMO_COLETA_CHAR</v>
      </c>
      <c r="G5328" s="2" t="str">
        <f>" ()"</f>
        <v xml:space="preserve"> ()</v>
      </c>
    </row>
    <row r="5329" spans="1:7" x14ac:dyDescent="0.3">
      <c r="A5329" s="1" t="s">
        <v>4</v>
      </c>
      <c r="B5329" s="2" t="str">
        <f t="shared" si="439"/>
        <v>SISTEMA DE GERENCIAMENTO DE COMPRAS</v>
      </c>
      <c r="C5329" s="2" t="str">
        <f t="shared" si="441"/>
        <v>SUPRI</v>
      </c>
      <c r="D5329" s="2" t="str">
        <f t="shared" si="440"/>
        <v>MGCO</v>
      </c>
      <c r="E5329" s="2" t="str">
        <f>"REL. DE COMPRAS POR ATIVIDADE"</f>
        <v>REL. DE COMPRAS POR ATIVIDADE</v>
      </c>
      <c r="F5329" s="2" t="str">
        <f>"R_COMPRA_ATIV"</f>
        <v>R_COMPRA_ATIV</v>
      </c>
      <c r="G5329" s="2" t="str">
        <f>"Materiais e Logística / Compras / Relatórios / Gerenciais / Compras por Atividade (R_COMPRA_ATIV)"</f>
        <v>Materiais e Logística / Compras / Relatórios / Gerenciais / Compras por Atividade (R_COMPRA_ATIV)</v>
      </c>
    </row>
    <row r="5330" spans="1:7" x14ac:dyDescent="0.3">
      <c r="A5330" s="1" t="s">
        <v>4</v>
      </c>
      <c r="B5330" s="2" t="str">
        <f t="shared" si="439"/>
        <v>SISTEMA DE GERENCIAMENTO DE COMPRAS</v>
      </c>
      <c r="C5330" s="2" t="str">
        <f t="shared" si="441"/>
        <v>SUPRI</v>
      </c>
      <c r="D5330" s="2" t="str">
        <f t="shared" si="440"/>
        <v>MGCO</v>
      </c>
      <c r="E5330" s="2" t="str">
        <f>"MAPA DE COMPRAS(FORNECEDORES)"</f>
        <v>MAPA DE COMPRAS(FORNECEDORES)</v>
      </c>
      <c r="F5330" s="2" t="str">
        <f>"R_MAPA_COM_FORNEC"</f>
        <v>R_MAPA_COM_FORNEC</v>
      </c>
      <c r="G5330" s="2" t="str">
        <f>" ()"</f>
        <v xml:space="preserve"> ()</v>
      </c>
    </row>
    <row r="5331" spans="1:7" x14ac:dyDescent="0.3">
      <c r="A5331" s="1" t="s">
        <v>4</v>
      </c>
      <c r="B5331" s="2" t="str">
        <f t="shared" si="439"/>
        <v>SISTEMA DE GERENCIAMENTO DE COMPRAS</v>
      </c>
      <c r="C5331" s="2" t="str">
        <f t="shared" si="441"/>
        <v>SUPRI</v>
      </c>
      <c r="D5331" s="2" t="str">
        <f t="shared" si="440"/>
        <v>MGCO</v>
      </c>
      <c r="E5331" s="2" t="str">
        <f>"MAPA DE COMPRAS (PRODUTOS)"</f>
        <v>MAPA DE COMPRAS (PRODUTOS)</v>
      </c>
      <c r="F5331" s="2" t="str">
        <f>"R_MAPA_COM_PROD"</f>
        <v>R_MAPA_COM_PROD</v>
      </c>
      <c r="G5331" s="2" t="str">
        <f>" ()"</f>
        <v xml:space="preserve"> ()</v>
      </c>
    </row>
    <row r="5332" spans="1:7" x14ac:dyDescent="0.3">
      <c r="A5332" s="1" t="s">
        <v>4</v>
      </c>
      <c r="B5332" s="2" t="str">
        <f t="shared" si="439"/>
        <v>SISTEMA DE GERENCIAMENTO DE COMPRAS</v>
      </c>
      <c r="C5332" s="2" t="str">
        <f t="shared" si="441"/>
        <v>SUPRI</v>
      </c>
      <c r="D5332" s="2" t="str">
        <f t="shared" si="440"/>
        <v>MGCO</v>
      </c>
      <c r="E5332" s="2" t="str">
        <f>"MAPA DE COMPRA"</f>
        <v>MAPA DE COMPRA</v>
      </c>
      <c r="F5332" s="2" t="str">
        <f>"R_MAPA_COM"</f>
        <v>R_MAPA_COM</v>
      </c>
      <c r="G5332" s="2" t="str">
        <f>"Materiais e Logística / Compras / Relatórios / Coleta de Preços / Mapa de Compra (R_MAPA_COM)"</f>
        <v>Materiais e Logística / Compras / Relatórios / Coleta de Preços / Mapa de Compra (R_MAPA_COM)</v>
      </c>
    </row>
    <row r="5333" spans="1:7" x14ac:dyDescent="0.3">
      <c r="A5333" s="1" t="s">
        <v>4</v>
      </c>
      <c r="B5333" s="2" t="str">
        <f t="shared" si="439"/>
        <v>SISTEMA DE GERENCIAMENTO DE COMPRAS</v>
      </c>
      <c r="C5333" s="2" t="str">
        <f t="shared" si="441"/>
        <v>SUPRI</v>
      </c>
      <c r="D5333" s="2" t="str">
        <f t="shared" si="440"/>
        <v>MGCO</v>
      </c>
      <c r="E5333" s="2" t="str">
        <f>"FORNECEDORES X PRODUTO"</f>
        <v>FORNECEDORES X PRODUTO</v>
      </c>
      <c r="F5333" s="2" t="str">
        <f>"M_CONS_CATPROD"</f>
        <v>M_CONS_CATPROD</v>
      </c>
      <c r="G5333" s="2" t="str">
        <f>"Materiais e Logística / Compras / Consultas / Fornecedor x Produto (M_CONS_CATPROD)"</f>
        <v>Materiais e Logística / Compras / Consultas / Fornecedor x Produto (M_CONS_CATPROD)</v>
      </c>
    </row>
    <row r="5334" spans="1:7" x14ac:dyDescent="0.3">
      <c r="A5334" s="1" t="s">
        <v>4</v>
      </c>
      <c r="B5334" s="2" t="str">
        <f t="shared" si="439"/>
        <v>SISTEMA DE GERENCIAMENTO DE COMPRAS</v>
      </c>
      <c r="C5334" s="2" t="str">
        <f t="shared" si="441"/>
        <v>SUPRI</v>
      </c>
      <c r="D5334" s="2" t="str">
        <f t="shared" si="440"/>
        <v>MGCO</v>
      </c>
      <c r="E5334" s="2" t="str">
        <f>"R_COLETA_FORNEC"</f>
        <v>R_COLETA_FORNEC</v>
      </c>
      <c r="F5334" s="2" t="str">
        <f>"R_COLETA_FORNEC"</f>
        <v>R_COLETA_FORNEC</v>
      </c>
      <c r="G5334" s="2" t="str">
        <f>" ()"</f>
        <v xml:space="preserve"> ()</v>
      </c>
    </row>
    <row r="5335" spans="1:7" x14ac:dyDescent="0.3">
      <c r="A5335" s="1" t="s">
        <v>4</v>
      </c>
      <c r="B5335" s="2" t="str">
        <f t="shared" si="439"/>
        <v>SISTEMA DE GERENCIAMENTO DE COMPRAS</v>
      </c>
      <c r="C5335" s="2" t="str">
        <f t="shared" si="441"/>
        <v>SUPRI</v>
      </c>
      <c r="D5335" s="2" t="str">
        <f t="shared" si="440"/>
        <v>MGCO</v>
      </c>
      <c r="E5335" s="2" t="str">
        <f>"WIN_PRINCIPAL - HOSPITAL MV SISTEMAS"</f>
        <v>WIN_PRINCIPAL - HOSPITAL MV SISTEMAS</v>
      </c>
      <c r="F5335" s="2" t="str">
        <f>"R_ENTR_PROD_ESPEC_207"</f>
        <v>R_ENTR_PROD_ESPEC_207</v>
      </c>
      <c r="G5335" s="2" t="str">
        <f>" ()"</f>
        <v xml:space="preserve"> ()</v>
      </c>
    </row>
    <row r="5336" spans="1:7" x14ac:dyDescent="0.3">
      <c r="A5336" s="1" t="s">
        <v>4</v>
      </c>
      <c r="B5336" s="2" t="str">
        <f t="shared" si="439"/>
        <v>SISTEMA DE GERENCIAMENTO DE COMPRAS</v>
      </c>
      <c r="C5336" s="2" t="str">
        <f t="shared" si="441"/>
        <v>SUPRI</v>
      </c>
      <c r="D5336" s="2" t="str">
        <f t="shared" si="440"/>
        <v>MGCO</v>
      </c>
      <c r="E5336" s="2" t="str">
        <f>"SOLICITAÇÃO DE COMPRAS"</f>
        <v>SOLICITAÇÃO DE COMPRAS</v>
      </c>
      <c r="F5336" s="2" t="str">
        <f>"M_APROVA_SOLCOM"</f>
        <v>M_APROVA_SOLCOM</v>
      </c>
      <c r="G5336" s="2" t="str">
        <f>"Materiais e Logística / Compras / Compras / Solicitação de Compras / Aprovação (M_APROVA_SOLCOM)"</f>
        <v>Materiais e Logística / Compras / Compras / Solicitação de Compras / Aprovação (M_APROVA_SOLCOM)</v>
      </c>
    </row>
    <row r="5337" spans="1:7" x14ac:dyDescent="0.3">
      <c r="A5337" s="1" t="s">
        <v>4</v>
      </c>
      <c r="B5337" s="2" t="str">
        <f t="shared" si="439"/>
        <v>SISTEMA DE GERENCIAMENTO DE COMPRAS</v>
      </c>
      <c r="C5337" s="2" t="str">
        <f t="shared" si="441"/>
        <v>SUPRI</v>
      </c>
      <c r="D5337" s="2" t="str">
        <f t="shared" si="440"/>
        <v>MGCO</v>
      </c>
      <c r="E5337" s="2" t="str">
        <f>"R_EQUIPE_PREGAO"</f>
        <v>R_EQUIPE_PREGAO</v>
      </c>
      <c r="F5337" s="2" t="str">
        <f>"R_EQUIPE_PREGAO"</f>
        <v>R_EQUIPE_PREGAO</v>
      </c>
      <c r="G5337" s="2" t="str">
        <f>"Materiais e Logística / Compras / Relatórios / Tabelas / Licitação / Equipe Pregão (R_EQUIPE_PREGAO)"</f>
        <v>Materiais e Logística / Compras / Relatórios / Tabelas / Licitação / Equipe Pregão (R_EQUIPE_PREGAO)</v>
      </c>
    </row>
    <row r="5338" spans="1:7" x14ac:dyDescent="0.3">
      <c r="A5338" s="1" t="s">
        <v>4</v>
      </c>
      <c r="B5338" s="2" t="str">
        <f t="shared" si="439"/>
        <v>SISTEMA DE GERENCIAMENTO DE COMPRAS</v>
      </c>
      <c r="C5338" s="2" t="str">
        <f t="shared" si="441"/>
        <v>SUPRI</v>
      </c>
      <c r="D5338" s="2" t="str">
        <f t="shared" si="440"/>
        <v>MGCO</v>
      </c>
      <c r="E5338" s="2" t="str">
        <f>"RELATÓRIO DOS PTRES"</f>
        <v>RELATÓRIO DOS PTRES</v>
      </c>
      <c r="F5338" s="2" t="str">
        <f>"R_PTRES"</f>
        <v>R_PTRES</v>
      </c>
      <c r="G5338" s="2" t="str">
        <f>"Materiais e Logística / Compras / Relatórios / Tabelas / Licitação / PTRES (R_PTRES)"</f>
        <v>Materiais e Logística / Compras / Relatórios / Tabelas / Licitação / PTRES (R_PTRES)</v>
      </c>
    </row>
    <row r="5339" spans="1:7" x14ac:dyDescent="0.3">
      <c r="A5339" s="1" t="s">
        <v>4</v>
      </c>
      <c r="B5339" s="2" t="str">
        <f t="shared" si="439"/>
        <v>SISTEMA DE GERENCIAMENTO DE COMPRAS</v>
      </c>
      <c r="C5339" s="2" t="str">
        <f t="shared" si="441"/>
        <v>SUPRI</v>
      </c>
      <c r="D5339" s="2" t="str">
        <f t="shared" si="440"/>
        <v>MGCO</v>
      </c>
      <c r="E5339" s="2" t="str">
        <f>"RELATÓRIO DOS TIPOS DE ORÇAMENTO"</f>
        <v>RELATÓRIO DOS TIPOS DE ORÇAMENTO</v>
      </c>
      <c r="F5339" s="2" t="str">
        <f>"R_TIPO_ORCAMENTO"</f>
        <v>R_TIPO_ORCAMENTO</v>
      </c>
      <c r="G5339" s="2" t="str">
        <f>"Materiais e Logística / Compras / Relatórios / Tabelas / Licitação / Tipo de Orçamento (R_TIPO_ORCAMENTO)"</f>
        <v>Materiais e Logística / Compras / Relatórios / Tabelas / Licitação / Tipo de Orçamento (R_TIPO_ORCAMENTO)</v>
      </c>
    </row>
    <row r="5340" spans="1:7" x14ac:dyDescent="0.3">
      <c r="A5340" s="1" t="s">
        <v>4</v>
      </c>
      <c r="B5340" s="2" t="str">
        <f t="shared" si="439"/>
        <v>SISTEMA DE GERENCIAMENTO DE COMPRAS</v>
      </c>
      <c r="C5340" s="2" t="str">
        <f t="shared" si="441"/>
        <v>SUPRI</v>
      </c>
      <c r="D5340" s="2" t="str">
        <f t="shared" si="440"/>
        <v>MGCO</v>
      </c>
      <c r="E5340" s="2" t="str">
        <f>"RELATÓRIO DAS VINCULAÇÕES"</f>
        <v>RELATÓRIO DAS VINCULAÇÕES</v>
      </c>
      <c r="F5340" s="2" t="str">
        <f>"R_VINCULACAO"</f>
        <v>R_VINCULACAO</v>
      </c>
      <c r="G5340" s="2" t="str">
        <f>"Materiais e Logística / Compras / Relatórios / Tabelas / Licitação / Vinculações (R_VINCULACAO)"</f>
        <v>Materiais e Logística / Compras / Relatórios / Tabelas / Licitação / Vinculações (R_VINCULACAO)</v>
      </c>
    </row>
    <row r="5341" spans="1:7" x14ac:dyDescent="0.3">
      <c r="A5341" s="1" t="s">
        <v>4</v>
      </c>
      <c r="B5341" s="2" t="str">
        <f t="shared" si="439"/>
        <v>SISTEMA DE GERENCIAMENTO DE COMPRAS</v>
      </c>
      <c r="C5341" s="2" t="str">
        <f t="shared" si="441"/>
        <v>SUPRI</v>
      </c>
      <c r="D5341" s="2" t="str">
        <f t="shared" si="440"/>
        <v>MGCO</v>
      </c>
      <c r="E5341" s="2" t="str">
        <f>"WIN_PRINCIPAL - HOSPITAL MV SISTEMAS"</f>
        <v>WIN_PRINCIPAL - HOSPITAL MV SISTEMAS</v>
      </c>
      <c r="F5341" s="2" t="str">
        <f>"R_CLASSIFICA_RUBRICA"</f>
        <v>R_CLASSIFICA_RUBRICA</v>
      </c>
      <c r="G5341" s="2" t="str">
        <f>"Materiais e Logística / Compras / Relatórios / Tabelas / Licitação / Classificação Rubrica (R_CLASSIFICA_RUBRICA)"</f>
        <v>Materiais e Logística / Compras / Relatórios / Tabelas / Licitação / Classificação Rubrica (R_CLASSIFICA_RUBRICA)</v>
      </c>
    </row>
    <row r="5342" spans="1:7" x14ac:dyDescent="0.3">
      <c r="A5342" s="1" t="s">
        <v>4</v>
      </c>
      <c r="B5342" s="2" t="str">
        <f t="shared" si="439"/>
        <v>SISTEMA DE GERENCIAMENTO DE COMPRAS</v>
      </c>
      <c r="C5342" s="2" t="str">
        <f t="shared" si="441"/>
        <v>SUPRI</v>
      </c>
      <c r="D5342" s="2" t="str">
        <f t="shared" si="440"/>
        <v>MGCO</v>
      </c>
      <c r="E5342" s="2" t="str">
        <f>"WIN_PRINCIPAL - HOSPITAL MV SISTEMAS"</f>
        <v>WIN_PRINCIPAL - HOSPITAL MV SISTEMAS</v>
      </c>
      <c r="F5342" s="2" t="str">
        <f>"R_CONTA_RUBRICA"</f>
        <v>R_CONTA_RUBRICA</v>
      </c>
      <c r="G5342" s="2" t="str">
        <f>"Materiais e Logística / Compras / Relatórios / Tabelas / Licitação / Conta e Rubrica (R_CONTA_RUBRICA)"</f>
        <v>Materiais e Logística / Compras / Relatórios / Tabelas / Licitação / Conta e Rubrica (R_CONTA_RUBRICA)</v>
      </c>
    </row>
    <row r="5343" spans="1:7" x14ac:dyDescent="0.3">
      <c r="A5343" s="1" t="s">
        <v>4</v>
      </c>
      <c r="B5343" s="2" t="str">
        <f t="shared" si="439"/>
        <v>SISTEMA DE GERENCIAMENTO DE COMPRAS</v>
      </c>
      <c r="C5343" s="2" t="str">
        <f t="shared" si="441"/>
        <v>SUPRI</v>
      </c>
      <c r="D5343" s="2" t="str">
        <f t="shared" si="440"/>
        <v>MGCO</v>
      </c>
      <c r="E5343" s="2" t="str">
        <f>"WIN_PRINCIPAL"</f>
        <v>WIN_PRINCIPAL</v>
      </c>
      <c r="F5343" s="2" t="str">
        <f>"M_EQUIPE_PREGAO"</f>
        <v>M_EQUIPE_PREGAO</v>
      </c>
      <c r="G5343" s="2" t="str">
        <f>"Materiais e Logística / Compras / Tabelas / Licitação / Equipe Pregão (M_EQUIPE_PREGAO)"</f>
        <v>Materiais e Logística / Compras / Tabelas / Licitação / Equipe Pregão (M_EQUIPE_PREGAO)</v>
      </c>
    </row>
    <row r="5344" spans="1:7" x14ac:dyDescent="0.3">
      <c r="A5344" s="1" t="s">
        <v>4</v>
      </c>
      <c r="B5344" s="2" t="str">
        <f t="shared" si="439"/>
        <v>SISTEMA DE GERENCIAMENTO DE COMPRAS</v>
      </c>
      <c r="C5344" s="2" t="str">
        <f t="shared" si="441"/>
        <v>SUPRI</v>
      </c>
      <c r="D5344" s="2" t="str">
        <f t="shared" si="440"/>
        <v>MGCO</v>
      </c>
      <c r="E5344" s="2" t="str">
        <f>"WIN_PRINCIPAL"</f>
        <v>WIN_PRINCIPAL</v>
      </c>
      <c r="F5344" s="2" t="str">
        <f>"M_PTRES"</f>
        <v>M_PTRES</v>
      </c>
      <c r="G5344" s="2" t="str">
        <f>"Materiais e Logística / Compras / Tabelas / Licitação / PTRES (M_PTRES)"</f>
        <v>Materiais e Logística / Compras / Tabelas / Licitação / PTRES (M_PTRES)</v>
      </c>
    </row>
    <row r="5345" spans="1:7" x14ac:dyDescent="0.3">
      <c r="A5345" s="1" t="s">
        <v>4</v>
      </c>
      <c r="B5345" s="2" t="str">
        <f t="shared" si="439"/>
        <v>SISTEMA DE GERENCIAMENTO DE COMPRAS</v>
      </c>
      <c r="C5345" s="2" t="str">
        <f t="shared" si="441"/>
        <v>SUPRI</v>
      </c>
      <c r="D5345" s="2" t="str">
        <f t="shared" si="440"/>
        <v>MGCO</v>
      </c>
      <c r="E5345" s="2" t="str">
        <f>"WIN_PRINCIPAL - HOSPITAL MV SISTEMAS"</f>
        <v>WIN_PRINCIPAL - HOSPITAL MV SISTEMAS</v>
      </c>
      <c r="F5345" s="2" t="str">
        <f>"M_TIPO_ORCAMENTO"</f>
        <v>M_TIPO_ORCAMENTO</v>
      </c>
      <c r="G5345" s="2" t="str">
        <f>"Materiais e Logística / Compras / Tabelas / Licitação / Tipos de Orçamento (M_TIPO_ORCAMENTO)"</f>
        <v>Materiais e Logística / Compras / Tabelas / Licitação / Tipos de Orçamento (M_TIPO_ORCAMENTO)</v>
      </c>
    </row>
    <row r="5346" spans="1:7" x14ac:dyDescent="0.3">
      <c r="A5346" s="1" t="s">
        <v>4</v>
      </c>
      <c r="B5346" s="2" t="str">
        <f t="shared" si="439"/>
        <v>SISTEMA DE GERENCIAMENTO DE COMPRAS</v>
      </c>
      <c r="C5346" s="2" t="str">
        <f t="shared" si="441"/>
        <v>SUPRI</v>
      </c>
      <c r="D5346" s="2" t="str">
        <f t="shared" si="440"/>
        <v>MGCO</v>
      </c>
      <c r="E5346" s="2" t="str">
        <f>"WIN_PRINCIPAL - HOSPITAL MV SISTEMAS"</f>
        <v>WIN_PRINCIPAL - HOSPITAL MV SISTEMAS</v>
      </c>
      <c r="F5346" s="2" t="str">
        <f>"M_FONTE_RECURSO"</f>
        <v>M_FONTE_RECURSO</v>
      </c>
      <c r="G5346" s="2" t="str">
        <f>"Materiais e Logística / Compras / Tabelas / Licitação / Fontes de Recurso (M_FONTE_RECURSO)"</f>
        <v>Materiais e Logística / Compras / Tabelas / Licitação / Fontes de Recurso (M_FONTE_RECURSO)</v>
      </c>
    </row>
    <row r="5347" spans="1:7" x14ac:dyDescent="0.3">
      <c r="A5347" s="1" t="s">
        <v>4</v>
      </c>
      <c r="B5347" s="2" t="str">
        <f t="shared" si="439"/>
        <v>SISTEMA DE GERENCIAMENTO DE COMPRAS</v>
      </c>
      <c r="C5347" s="2" t="str">
        <f t="shared" si="441"/>
        <v>SUPRI</v>
      </c>
      <c r="D5347" s="2" t="str">
        <f t="shared" si="440"/>
        <v>MGCO</v>
      </c>
      <c r="E5347" s="2" t="str">
        <f>"WIN_PRINCIPAL - HOSPITAL MV SISTEMAS"</f>
        <v>WIN_PRINCIPAL - HOSPITAL MV SISTEMAS</v>
      </c>
      <c r="F5347" s="2" t="str">
        <f>"M_CONTA_RUBRICA"</f>
        <v>M_CONTA_RUBRICA</v>
      </c>
      <c r="G5347" s="2" t="str">
        <f>"Materiais e Logística / Compras / Tabelas / Licitação / Conta e Rubrica (M_CONTA_RUBRICA)"</f>
        <v>Materiais e Logística / Compras / Tabelas / Licitação / Conta e Rubrica (M_CONTA_RUBRICA)</v>
      </c>
    </row>
    <row r="5348" spans="1:7" x14ac:dyDescent="0.3">
      <c r="A5348" s="1" t="s">
        <v>4</v>
      </c>
      <c r="B5348" s="2" t="str">
        <f t="shared" si="439"/>
        <v>SISTEMA DE GERENCIAMENTO DE COMPRAS</v>
      </c>
      <c r="C5348" s="2" t="str">
        <f t="shared" si="441"/>
        <v>SUPRI</v>
      </c>
      <c r="D5348" s="2" t="str">
        <f t="shared" si="440"/>
        <v>MGCO</v>
      </c>
      <c r="E5348" s="2" t="str">
        <f>"WIN_PRINCIPAL - HOSPITAL MV SISTEMAS"</f>
        <v>WIN_PRINCIPAL - HOSPITAL MV SISTEMAS</v>
      </c>
      <c r="F5348" s="2" t="str">
        <f>"M_CLASSIFICA_RUBRICA"</f>
        <v>M_CLASSIFICA_RUBRICA</v>
      </c>
      <c r="G5348" s="2" t="str">
        <f>"Materiais e Logística / Compras / Tabelas / Licitação / Tipo de Classificação (M_CLASSIFICA_RUBRICA)"</f>
        <v>Materiais e Logística / Compras / Tabelas / Licitação / Tipo de Classificação (M_CLASSIFICA_RUBRICA)</v>
      </c>
    </row>
    <row r="5349" spans="1:7" x14ac:dyDescent="0.3">
      <c r="A5349" s="1" t="s">
        <v>4</v>
      </c>
      <c r="B5349" s="2" t="str">
        <f t="shared" si="439"/>
        <v>SISTEMA DE GERENCIAMENTO DE COMPRAS</v>
      </c>
      <c r="C5349" s="2" t="str">
        <f t="shared" si="441"/>
        <v>SUPRI</v>
      </c>
      <c r="D5349" s="2" t="str">
        <f t="shared" si="440"/>
        <v>MGCO</v>
      </c>
      <c r="E5349" s="2" t="str">
        <f>"WIN_PRINCIPAL - HOSPITAL MV SISTEMAS"</f>
        <v>WIN_PRINCIPAL - HOSPITAL MV SISTEMAS</v>
      </c>
      <c r="F5349" s="2" t="str">
        <f>"M_ENVIO_ORDCOM"</f>
        <v>M_ENVIO_ORDCOM</v>
      </c>
      <c r="G5349" s="2" t="str">
        <f>"Materiais e Logística / Compras / Compras / Ordem de Compra / Envio das Ordens de Compras (M_ENVIO_ORDCOM)"</f>
        <v>Materiais e Logística / Compras / Compras / Ordem de Compra / Envio das Ordens de Compras (M_ENVIO_ORDCOM)</v>
      </c>
    </row>
    <row r="5350" spans="1:7" x14ac:dyDescent="0.3">
      <c r="A5350" s="1" t="s">
        <v>4</v>
      </c>
      <c r="B5350" s="2" t="str">
        <f t="shared" si="439"/>
        <v>SISTEMA DE GERENCIAMENTO DE COMPRAS</v>
      </c>
      <c r="C5350" s="2" t="str">
        <f t="shared" si="441"/>
        <v>SUPRI</v>
      </c>
      <c r="D5350" s="2" t="str">
        <f t="shared" si="440"/>
        <v>MGCO</v>
      </c>
      <c r="E5350" s="2" t="str">
        <f>"ADJUDICAÇÃO DE ORDEM DE FORNECEDIMENTO"</f>
        <v>ADJUDICAÇÃO DE ORDEM DE FORNECEDIMENTO</v>
      </c>
      <c r="F5350" s="2" t="str">
        <f>"M_HOMOLOGACAO_OC"</f>
        <v>M_HOMOLOGACAO_OC</v>
      </c>
      <c r="G5350" s="2" t="str">
        <f>"Materiais e Logística / Compras / Compras / Ordem de Compra / Homologação da Ordem de Compra (M_HOMOLOGACAO_OC)"</f>
        <v>Materiais e Logística / Compras / Compras / Ordem de Compra / Homologação da Ordem de Compra (M_HOMOLOGACAO_OC)</v>
      </c>
    </row>
    <row r="5351" spans="1:7" x14ac:dyDescent="0.3">
      <c r="A5351" s="1" t="s">
        <v>4</v>
      </c>
      <c r="B5351" s="2" t="str">
        <f t="shared" si="439"/>
        <v>SISTEMA DE GERENCIAMENTO DE COMPRAS</v>
      </c>
      <c r="C5351" s="2" t="str">
        <f t="shared" si="441"/>
        <v>SUPRI</v>
      </c>
      <c r="D5351" s="2" t="str">
        <f t="shared" si="440"/>
        <v>MGCO</v>
      </c>
      <c r="E5351" s="2" t="str">
        <f>"CADASTRO DE VINCULAÇÃO"</f>
        <v>CADASTRO DE VINCULAÇÃO</v>
      </c>
      <c r="F5351" s="2" t="str">
        <f>"O_GERACAO_COLETA"</f>
        <v>O_GERACAO_COLETA</v>
      </c>
      <c r="G5351" s="2" t="str">
        <f>"Materiais e Logística / Compras / Compras / Coleta de Preços (Licitação) / Geração da Coleta de Preço (O_GERACAO_COLETA)"</f>
        <v>Materiais e Logística / Compras / Compras / Coleta de Preços (Licitação) / Geração da Coleta de Preço (O_GERACAO_COLETA)</v>
      </c>
    </row>
    <row r="5352" spans="1:7" x14ac:dyDescent="0.3">
      <c r="A5352" s="1" t="s">
        <v>4</v>
      </c>
      <c r="B5352" s="2" t="str">
        <f t="shared" si="439"/>
        <v>SISTEMA DE GERENCIAMENTO DE COMPRAS</v>
      </c>
      <c r="C5352" s="2" t="str">
        <f t="shared" si="441"/>
        <v>SUPRI</v>
      </c>
      <c r="D5352" s="2" t="str">
        <f t="shared" si="440"/>
        <v>MGCO</v>
      </c>
      <c r="E5352" s="2" t="str">
        <f>"R_SOLICT_PRODUTO"</f>
        <v>R_SOLICT_PRODUTO</v>
      </c>
      <c r="F5352" s="2" t="str">
        <f>"R_SOLICT_PRODUTO"</f>
        <v>R_SOLICT_PRODUTO</v>
      </c>
      <c r="G5352" s="2" t="str">
        <f>" ()"</f>
        <v xml:space="preserve"> ()</v>
      </c>
    </row>
    <row r="5353" spans="1:7" x14ac:dyDescent="0.3">
      <c r="A5353" s="1" t="s">
        <v>4</v>
      </c>
      <c r="B5353" s="2" t="str">
        <f t="shared" si="439"/>
        <v>SISTEMA DE GERENCIAMENTO DE COMPRAS</v>
      </c>
      <c r="C5353" s="2" t="str">
        <f t="shared" si="441"/>
        <v>SUPRI</v>
      </c>
      <c r="D5353" s="2" t="str">
        <f t="shared" si="440"/>
        <v>MGCO</v>
      </c>
      <c r="E5353" s="2" t="str">
        <f>"R_MAPA_COM_360"</f>
        <v>R_MAPA_COM_360</v>
      </c>
      <c r="F5353" s="2" t="str">
        <f>"R_MAPA_COM_360"</f>
        <v>R_MAPA_COM_360</v>
      </c>
      <c r="G5353" s="2" t="str">
        <f>" ()"</f>
        <v xml:space="preserve"> ()</v>
      </c>
    </row>
    <row r="5354" spans="1:7" x14ac:dyDescent="0.3">
      <c r="A5354" s="1" t="s">
        <v>4</v>
      </c>
      <c r="B5354" s="2" t="str">
        <f t="shared" si="439"/>
        <v>SISTEMA DE GERENCIAMENTO DE COMPRAS</v>
      </c>
      <c r="C5354" s="2" t="str">
        <f t="shared" si="441"/>
        <v>SUPRI</v>
      </c>
      <c r="D5354" s="2" t="str">
        <f t="shared" si="440"/>
        <v>MGCO</v>
      </c>
      <c r="E5354" s="2" t="str">
        <f>"R_DOC_FORNECEDOR"</f>
        <v>R_DOC_FORNECEDOR</v>
      </c>
      <c r="F5354" s="2" t="str">
        <f>"R_DOC_FORNECEDOR"</f>
        <v>R_DOC_FORNECEDOR</v>
      </c>
      <c r="G5354" s="2" t="str">
        <f>"Materiais e Logística / Compras / Relatórios / Tabelas / Certificação ISO / Documento de Compras por Fornecedor (R_DOC_FORNECEDOR)"</f>
        <v>Materiais e Logística / Compras / Relatórios / Tabelas / Certificação ISO / Documento de Compras por Fornecedor (R_DOC_FORNECEDOR)</v>
      </c>
    </row>
    <row r="5355" spans="1:7" x14ac:dyDescent="0.3">
      <c r="A5355" s="1" t="s">
        <v>4</v>
      </c>
      <c r="B5355" s="2" t="str">
        <f t="shared" si="439"/>
        <v>SISTEMA DE GERENCIAMENTO DE COMPRAS</v>
      </c>
      <c r="C5355" s="2" t="str">
        <f t="shared" si="441"/>
        <v>SUPRI</v>
      </c>
      <c r="D5355" s="2" t="str">
        <f t="shared" si="440"/>
        <v>MGCO</v>
      </c>
      <c r="E5355" s="2" t="str">
        <f>"CADASTRO DO DOCUMENTO DO COMPRAS"</f>
        <v>CADASTRO DO DOCUMENTO DO COMPRAS</v>
      </c>
      <c r="F5355" s="2" t="str">
        <f>"M_DOC_COMPRAS"</f>
        <v>M_DOC_COMPRAS</v>
      </c>
      <c r="G5355" s="2" t="str">
        <f>"Materiais e Logística / Compras / Tabelas / Certificação ISO / Documentos do Compras (M_DOC_COMPRAS)"</f>
        <v>Materiais e Logística / Compras / Tabelas / Certificação ISO / Documentos do Compras (M_DOC_COMPRAS)</v>
      </c>
    </row>
    <row r="5356" spans="1:7" x14ac:dyDescent="0.3">
      <c r="A5356" s="1" t="s">
        <v>4</v>
      </c>
      <c r="B5356" s="2" t="str">
        <f t="shared" si="439"/>
        <v>SISTEMA DE GERENCIAMENTO DE COMPRAS</v>
      </c>
      <c r="C5356" s="2" t="str">
        <f t="shared" si="441"/>
        <v>SUPRI</v>
      </c>
      <c r="D5356" s="2" t="str">
        <f t="shared" si="440"/>
        <v>MGCO</v>
      </c>
      <c r="E5356" s="2" t="str">
        <f>"REL DE PEND DE PROD POR FORNECEDOR"</f>
        <v>REL DE PEND DE PROD POR FORNECEDOR</v>
      </c>
      <c r="F5356" s="2" t="str">
        <f>"R_PEND_PROD_FORN_ESP_110"</f>
        <v>R_PEND_PROD_FORN_ESP_110</v>
      </c>
      <c r="G5356" s="2" t="str">
        <f>" ()"</f>
        <v xml:space="preserve"> ()</v>
      </c>
    </row>
    <row r="5357" spans="1:7" x14ac:dyDescent="0.3">
      <c r="A5357" s="1" t="s">
        <v>4</v>
      </c>
      <c r="B5357" s="2" t="str">
        <f t="shared" si="439"/>
        <v>SISTEMA DE GERENCIAMENTO DE COMPRAS</v>
      </c>
      <c r="C5357" s="2" t="str">
        <f t="shared" si="441"/>
        <v>SUPRI</v>
      </c>
      <c r="D5357" s="2" t="str">
        <f t="shared" si="440"/>
        <v>MGCO</v>
      </c>
      <c r="E5357" s="2" t="str">
        <f>"R_RESUMO_COLETA_110"</f>
        <v>R_RESUMO_COLETA_110</v>
      </c>
      <c r="F5357" s="2" t="str">
        <f>"R_RESUMO_COLETA_110"</f>
        <v>R_RESUMO_COLETA_110</v>
      </c>
      <c r="G5357" s="2" t="str">
        <f>" ()"</f>
        <v xml:space="preserve"> ()</v>
      </c>
    </row>
    <row r="5358" spans="1:7" x14ac:dyDescent="0.3">
      <c r="A5358" s="1" t="s">
        <v>4</v>
      </c>
      <c r="B5358" s="2" t="str">
        <f t="shared" si="439"/>
        <v>SISTEMA DE GERENCIAMENTO DE COMPRAS</v>
      </c>
      <c r="C5358" s="2" t="str">
        <f t="shared" si="441"/>
        <v>SUPRI</v>
      </c>
      <c r="D5358" s="2" t="str">
        <f t="shared" si="440"/>
        <v>MGCO</v>
      </c>
      <c r="E5358" s="2" t="str">
        <f>"R_SOL_COM_FORNEC_110"</f>
        <v>R_SOL_COM_FORNEC_110</v>
      </c>
      <c r="F5358" s="2" t="str">
        <f>"R_SOL_COM_FORNEC_110"</f>
        <v>R_SOL_COM_FORNEC_110</v>
      </c>
      <c r="G5358" s="2" t="str">
        <f>" ()"</f>
        <v xml:space="preserve"> ()</v>
      </c>
    </row>
    <row r="5359" spans="1:7" x14ac:dyDescent="0.3">
      <c r="A5359" s="1" t="s">
        <v>4</v>
      </c>
      <c r="B5359" s="2" t="str">
        <f t="shared" si="439"/>
        <v>SISTEMA DE GERENCIAMENTO DE COMPRAS</v>
      </c>
      <c r="C5359" s="2" t="str">
        <f t="shared" si="441"/>
        <v>SUPRI</v>
      </c>
      <c r="D5359" s="2" t="str">
        <f t="shared" si="440"/>
        <v>MGCO</v>
      </c>
      <c r="E5359" s="2" t="str">
        <f>"R_SOL_COM._FORNEC_110"</f>
        <v>R_SOL_COM._FORNEC_110</v>
      </c>
      <c r="F5359" s="2" t="str">
        <f>"R_SOL_COM._FORNEC_110"</f>
        <v>R_SOL_COM._FORNEC_110</v>
      </c>
      <c r="G5359" s="2" t="str">
        <f>" ()"</f>
        <v xml:space="preserve"> ()</v>
      </c>
    </row>
    <row r="5360" spans="1:7" x14ac:dyDescent="0.3">
      <c r="A5360" s="1" t="s">
        <v>4</v>
      </c>
      <c r="B5360" s="2" t="str">
        <f t="shared" si="439"/>
        <v>SISTEMA DE GERENCIAMENTO DE COMPRAS</v>
      </c>
      <c r="C5360" s="2" t="str">
        <f t="shared" si="441"/>
        <v>SUPRI</v>
      </c>
      <c r="D5360" s="2" t="str">
        <f t="shared" si="440"/>
        <v>MGCO</v>
      </c>
      <c r="E5360" s="2" t="str">
        <f>"SOLICITAÇÃO PADRÃO"</f>
        <v>SOLICITAÇÃO PADRÃO</v>
      </c>
      <c r="F5360" s="2" t="str">
        <f>"M_PSOLCOM"</f>
        <v>M_PSOLCOM</v>
      </c>
      <c r="G5360" s="2" t="str">
        <f>"Serviços de Apoio / Lavanderia e Rouparia / Solicitações / Solicitação de Compras Padrão (M_PSOLCOM)"</f>
        <v>Serviços de Apoio / Lavanderia e Rouparia / Solicitações / Solicitação de Compras Padrão (M_PSOLCOM)</v>
      </c>
    </row>
    <row r="5361" spans="1:7" x14ac:dyDescent="0.3">
      <c r="A5361" s="1" t="s">
        <v>4</v>
      </c>
      <c r="B5361" s="2" t="str">
        <f t="shared" si="439"/>
        <v>SISTEMA DE GERENCIAMENTO DE COMPRAS</v>
      </c>
      <c r="C5361" s="2" t="str">
        <f t="shared" si="441"/>
        <v>SUPRI</v>
      </c>
      <c r="D5361" s="2" t="str">
        <f t="shared" si="440"/>
        <v>MGCO</v>
      </c>
      <c r="E5361" s="2" t="str">
        <f>"SOLICITAÇÃO PADRÃO"</f>
        <v>SOLICITAÇÃO PADRÃO</v>
      </c>
      <c r="F5361" s="2" t="str">
        <f>"M_PSOLCOM"</f>
        <v>M_PSOLCOM</v>
      </c>
      <c r="G5361" s="2" t="str">
        <f>"Materiais e Logística / Compras / Compras / Solicitação de Compras / Solicitação Padrão (M_PSOLCOM)"</f>
        <v>Materiais e Logística / Compras / Compras / Solicitação de Compras / Solicitação Padrão (M_PSOLCOM)</v>
      </c>
    </row>
    <row r="5362" spans="1:7" x14ac:dyDescent="0.3">
      <c r="A5362" s="1" t="s">
        <v>4</v>
      </c>
      <c r="B5362" s="2" t="str">
        <f t="shared" ref="B5362:B5393" si="442">"SISTEMA DE GERENCIAMENTO DE COMPRAS"</f>
        <v>SISTEMA DE GERENCIAMENTO DE COMPRAS</v>
      </c>
      <c r="C5362" s="2" t="str">
        <f t="shared" si="441"/>
        <v>SUPRI</v>
      </c>
      <c r="D5362" s="2" t="str">
        <f t="shared" ref="D5362:D5393" si="443">"MGCO"</f>
        <v>MGCO</v>
      </c>
      <c r="E5362" s="2" t="str">
        <f>"SOLICITAÇÃO PADRÃO"</f>
        <v>SOLICITAÇÃO PADRÃO</v>
      </c>
      <c r="F5362" s="2" t="str">
        <f>"M_PSOLCOM"</f>
        <v>M_PSOLCOM</v>
      </c>
      <c r="G5362" s="2" t="str">
        <f>"Serviços de Apoio / Central de Materiais Esterilizados / Solicitações / Solicitação de Compras Padrão (M_PSOLCOM)"</f>
        <v>Serviços de Apoio / Central de Materiais Esterilizados / Solicitações / Solicitação de Compras Padrão (M_PSOLCOM)</v>
      </c>
    </row>
    <row r="5363" spans="1:7" x14ac:dyDescent="0.3">
      <c r="A5363" s="1" t="s">
        <v>4</v>
      </c>
      <c r="B5363" s="2" t="str">
        <f t="shared" si="442"/>
        <v>SISTEMA DE GERENCIAMENTO DE COMPRAS</v>
      </c>
      <c r="C5363" s="2" t="str">
        <f t="shared" si="441"/>
        <v>SUPRI</v>
      </c>
      <c r="D5363" s="2" t="str">
        <f t="shared" si="443"/>
        <v>MGCO</v>
      </c>
      <c r="E5363" s="2" t="str">
        <f>"SOLICITAÇÃO PADRÃO"</f>
        <v>SOLICITAÇÃO PADRÃO</v>
      </c>
      <c r="F5363" s="2" t="str">
        <f>"M_PSOLCOM"</f>
        <v>M_PSOLCOM</v>
      </c>
      <c r="G5363" s="2" t="str">
        <f>"Serviços de Apoio / Nutrição e Dietética / Solicitações / Solicitação de Compras Padrão (M_PSOLCOM)"</f>
        <v>Serviços de Apoio / Nutrição e Dietética / Solicitações / Solicitação de Compras Padrão (M_PSOLCOM)</v>
      </c>
    </row>
    <row r="5364" spans="1:7" x14ac:dyDescent="0.3">
      <c r="A5364" s="1" t="s">
        <v>4</v>
      </c>
      <c r="B5364" s="2" t="str">
        <f t="shared" si="442"/>
        <v>SISTEMA DE GERENCIAMENTO DE COMPRAS</v>
      </c>
      <c r="C5364" s="2" t="str">
        <f t="shared" si="441"/>
        <v>SUPRI</v>
      </c>
      <c r="D5364" s="2" t="str">
        <f t="shared" si="443"/>
        <v>MGCO</v>
      </c>
      <c r="E5364" s="2" t="str">
        <f>"RECEBER SOLICITAÇÃO"</f>
        <v>RECEBER SOLICITAÇÃO</v>
      </c>
      <c r="F5364" s="2" t="str">
        <f>"O_RECEBESOL"</f>
        <v>O_RECEBESOL</v>
      </c>
      <c r="G5364" s="2" t="str">
        <f>" ()"</f>
        <v xml:space="preserve"> ()</v>
      </c>
    </row>
    <row r="5365" spans="1:7" x14ac:dyDescent="0.3">
      <c r="A5365" s="1" t="s">
        <v>4</v>
      </c>
      <c r="B5365" s="2" t="str">
        <f t="shared" si="442"/>
        <v>SISTEMA DE GERENCIAMENTO DE COMPRAS</v>
      </c>
      <c r="C5365" s="2" t="str">
        <f t="shared" si="441"/>
        <v>SUPRI</v>
      </c>
      <c r="D5365" s="2" t="str">
        <f t="shared" si="443"/>
        <v>MGCO</v>
      </c>
      <c r="E5365" s="2" t="str">
        <f>"CONSULTA DA SOLICITACAO DE COMPRAS"</f>
        <v>CONSULTA DA SOLICITACAO DE COMPRAS</v>
      </c>
      <c r="F5365" s="2" t="str">
        <f>"C_SOLCOM"</f>
        <v>C_SOLCOM</v>
      </c>
      <c r="G5365" s="2" t="str">
        <f>"Serviços de Apoio / Manutenção / Consultas / Solicitação de Compras (C_SOLCOM)"</f>
        <v>Serviços de Apoio / Manutenção / Consultas / Solicitação de Compras (C_SOLCOM)</v>
      </c>
    </row>
    <row r="5366" spans="1:7" x14ac:dyDescent="0.3">
      <c r="A5366" s="1" t="s">
        <v>4</v>
      </c>
      <c r="B5366" s="2" t="str">
        <f t="shared" si="442"/>
        <v>SISTEMA DE GERENCIAMENTO DE COMPRAS</v>
      </c>
      <c r="C5366" s="2" t="str">
        <f t="shared" si="441"/>
        <v>SUPRI</v>
      </c>
      <c r="D5366" s="2" t="str">
        <f t="shared" si="443"/>
        <v>MGCO</v>
      </c>
      <c r="E5366" s="2" t="str">
        <f>"CONSULTA DA SOLICITACAO DE COMPRAS"</f>
        <v>CONSULTA DA SOLICITACAO DE COMPRAS</v>
      </c>
      <c r="F5366" s="2" t="str">
        <f>"C_SOLCOM"</f>
        <v>C_SOLCOM</v>
      </c>
      <c r="G5366" s="2" t="str">
        <f>"Materiais e Logística / Compras / Consultas / Solicitação de Compras (C_SOLCOM)"</f>
        <v>Materiais e Logística / Compras / Consultas / Solicitação de Compras (C_SOLCOM)</v>
      </c>
    </row>
    <row r="5367" spans="1:7" x14ac:dyDescent="0.3">
      <c r="A5367" s="1" t="s">
        <v>4</v>
      </c>
      <c r="B5367" s="2" t="str">
        <f t="shared" si="442"/>
        <v>SISTEMA DE GERENCIAMENTO DE COMPRAS</v>
      </c>
      <c r="C5367" s="2" t="str">
        <f t="shared" si="441"/>
        <v>SUPRI</v>
      </c>
      <c r="D5367" s="2" t="str">
        <f t="shared" si="443"/>
        <v>MGCO</v>
      </c>
      <c r="E5367" s="2" t="str">
        <f>"CONSULTA DA SOLICITACAO DE COMPRAS"</f>
        <v>CONSULTA DA SOLICITACAO DE COMPRAS</v>
      </c>
      <c r="F5367" s="2" t="str">
        <f>"C_SOLCOM"</f>
        <v>C_SOLCOM</v>
      </c>
      <c r="G5367" s="2" t="str">
        <f>"Materiais e Logística / Farmácia / Consulta / Solicitações de Compras (C_SOLCOM)"</f>
        <v>Materiais e Logística / Farmácia / Consulta / Solicitações de Compras (C_SOLCOM)</v>
      </c>
    </row>
    <row r="5368" spans="1:7" x14ac:dyDescent="0.3">
      <c r="A5368" s="1" t="s">
        <v>4</v>
      </c>
      <c r="B5368" s="2" t="str">
        <f t="shared" si="442"/>
        <v>SISTEMA DE GERENCIAMENTO DE COMPRAS</v>
      </c>
      <c r="C5368" s="2" t="str">
        <f t="shared" si="441"/>
        <v>SUPRI</v>
      </c>
      <c r="D5368" s="2" t="str">
        <f t="shared" si="443"/>
        <v>MGCO</v>
      </c>
      <c r="E5368" s="2" t="str">
        <f>"MODALIDADE"</f>
        <v>MODALIDADE</v>
      </c>
      <c r="F5368" s="2" t="str">
        <f>"M_MODALIDADE_MGCO"</f>
        <v>M_MODALIDADE_MGCO</v>
      </c>
      <c r="G5368" s="2" t="str">
        <f>"Materiais e Logística / Compras / Tabelas / Tipos de Modalidades (M_MODALIDADE_MGCO)"</f>
        <v>Materiais e Logística / Compras / Tabelas / Tipos de Modalidades (M_MODALIDADE_MGCO)</v>
      </c>
    </row>
    <row r="5369" spans="1:7" x14ac:dyDescent="0.3">
      <c r="A5369" s="1" t="s">
        <v>4</v>
      </c>
      <c r="B5369" s="2" t="str">
        <f t="shared" si="442"/>
        <v>SISTEMA DE GERENCIAMENTO DE COMPRAS</v>
      </c>
      <c r="C5369" s="2" t="str">
        <f t="shared" si="441"/>
        <v>SUPRI</v>
      </c>
      <c r="D5369" s="2" t="str">
        <f t="shared" si="443"/>
        <v>MGCO</v>
      </c>
      <c r="E5369" s="2" t="str">
        <f>"M_PERGUNTA_MGCO"</f>
        <v>M_PERGUNTA_MGCO</v>
      </c>
      <c r="F5369" s="2" t="str">
        <f>"M_PERGUNTA_MGCO"</f>
        <v>M_PERGUNTA_MGCO</v>
      </c>
      <c r="G5369" s="2" t="str">
        <f>"Materiais e Logística / Compras / Tabelas / Certificação ISO / Perguntas (M_PERGUNTA_MGCO)"</f>
        <v>Materiais e Logística / Compras / Tabelas / Certificação ISO / Perguntas (M_PERGUNTA_MGCO)</v>
      </c>
    </row>
    <row r="5370" spans="1:7" x14ac:dyDescent="0.3">
      <c r="A5370" s="1" t="s">
        <v>4</v>
      </c>
      <c r="B5370" s="2" t="str">
        <f t="shared" si="442"/>
        <v>SISTEMA DE GERENCIAMENTO DE COMPRAS</v>
      </c>
      <c r="C5370" s="2" t="str">
        <f t="shared" si="441"/>
        <v>SUPRI</v>
      </c>
      <c r="D5370" s="2" t="str">
        <f t="shared" si="443"/>
        <v>MGCO</v>
      </c>
      <c r="E5370" s="2" t="str">
        <f>"COMPRAS POR MOTIVO DE PEDIDO"</f>
        <v>COMPRAS POR MOTIVO DE PEDIDO</v>
      </c>
      <c r="F5370" s="2" t="str">
        <f>"R_COMPRA_MOT_PED.RDF"</f>
        <v>R_COMPRA_MOT_PED.RDF</v>
      </c>
      <c r="G5370" s="2" t="str">
        <f t="shared" ref="G5370:G5385" si="444">" ()"</f>
        <v xml:space="preserve"> ()</v>
      </c>
    </row>
    <row r="5371" spans="1:7" x14ac:dyDescent="0.3">
      <c r="A5371" s="1" t="s">
        <v>4</v>
      </c>
      <c r="B5371" s="2" t="str">
        <f t="shared" si="442"/>
        <v>SISTEMA DE GERENCIAMENTO DE COMPRAS</v>
      </c>
      <c r="C5371" s="2" t="str">
        <f t="shared" si="441"/>
        <v>SUPRI</v>
      </c>
      <c r="D5371" s="2" t="str">
        <f t="shared" si="443"/>
        <v>MGCO</v>
      </c>
      <c r="E5371" s="2" t="str">
        <f>"PENDÊNCIAS DE PRODUTOS POR FORNECEDOR"</f>
        <v>PENDÊNCIAS DE PRODUTOS POR FORNECEDOR</v>
      </c>
      <c r="F5371" s="2" t="str">
        <f>"R_PENDECIA_PROD_FORNEC.RDF"</f>
        <v>R_PENDECIA_PROD_FORNEC.RDF</v>
      </c>
      <c r="G5371" s="2" t="str">
        <f t="shared" si="444"/>
        <v xml:space="preserve"> ()</v>
      </c>
    </row>
    <row r="5372" spans="1:7" x14ac:dyDescent="0.3">
      <c r="A5372" s="1" t="s">
        <v>4</v>
      </c>
      <c r="B5372" s="2" t="str">
        <f t="shared" si="442"/>
        <v>SISTEMA DE GERENCIAMENTO DE COMPRAS</v>
      </c>
      <c r="C5372" s="2" t="str">
        <f t="shared" si="441"/>
        <v>SUPRI</v>
      </c>
      <c r="D5372" s="2" t="str">
        <f t="shared" si="443"/>
        <v>MGCO</v>
      </c>
      <c r="E5372" s="2" t="str">
        <f>"QUADRO DEMONSTRATIVO"</f>
        <v>QUADRO DEMONSTRATIVO</v>
      </c>
      <c r="F5372" s="2" t="str">
        <f>"R_QUADRO_DEMONSTRATIVO.RDF"</f>
        <v>R_QUADRO_DEMONSTRATIVO.RDF</v>
      </c>
      <c r="G5372" s="2" t="str">
        <f t="shared" si="444"/>
        <v xml:space="preserve"> ()</v>
      </c>
    </row>
    <row r="5373" spans="1:7" x14ac:dyDescent="0.3">
      <c r="A5373" s="1" t="s">
        <v>4</v>
      </c>
      <c r="B5373" s="2" t="str">
        <f t="shared" si="442"/>
        <v>SISTEMA DE GERENCIAMENTO DE COMPRAS</v>
      </c>
      <c r="C5373" s="2" t="str">
        <f t="shared" si="441"/>
        <v>SUPRI</v>
      </c>
      <c r="D5373" s="2" t="str">
        <f t="shared" si="443"/>
        <v>MGCO</v>
      </c>
      <c r="E5373" s="2" t="str">
        <f>"FORNECEDORES DA COTAÇÃO"</f>
        <v>FORNECEDORES DA COTAÇÃO</v>
      </c>
      <c r="F5373" s="2" t="str">
        <f>"R_FORNEC_COTACAO.RDF"</f>
        <v>R_FORNEC_COTACAO.RDF</v>
      </c>
      <c r="G5373" s="2" t="str">
        <f t="shared" si="444"/>
        <v xml:space="preserve"> ()</v>
      </c>
    </row>
    <row r="5374" spans="1:7" x14ac:dyDescent="0.3">
      <c r="A5374" s="1" t="s">
        <v>4</v>
      </c>
      <c r="B5374" s="2" t="str">
        <f t="shared" si="442"/>
        <v>SISTEMA DE GERENCIAMENTO DE COMPRAS</v>
      </c>
      <c r="C5374" s="2" t="str">
        <f t="shared" si="441"/>
        <v>SUPRI</v>
      </c>
      <c r="D5374" s="2" t="str">
        <f t="shared" si="443"/>
        <v>MGCO</v>
      </c>
      <c r="E5374" s="2" t="str">
        <f>"RESUMO DAS COLETAS DE PREÇOS"</f>
        <v>RESUMO DAS COLETAS DE PREÇOS</v>
      </c>
      <c r="F5374" s="2" t="str">
        <f>"R_RESUMO_COLETA.RDF"</f>
        <v>R_RESUMO_COLETA.RDF</v>
      </c>
      <c r="G5374" s="2" t="str">
        <f t="shared" si="444"/>
        <v xml:space="preserve"> ()</v>
      </c>
    </row>
    <row r="5375" spans="1:7" x14ac:dyDescent="0.3">
      <c r="A5375" s="1" t="s">
        <v>4</v>
      </c>
      <c r="B5375" s="2" t="str">
        <f t="shared" si="442"/>
        <v>SISTEMA DE GERENCIAMENTO DE COMPRAS</v>
      </c>
      <c r="C5375" s="2" t="str">
        <f t="shared" si="441"/>
        <v>SUPRI</v>
      </c>
      <c r="D5375" s="2" t="str">
        <f t="shared" si="443"/>
        <v>MGCO</v>
      </c>
      <c r="E5375" s="2" t="str">
        <f>"SOLIC ALTERADAS NA COLETA DE PREÇOS"</f>
        <v>SOLIC ALTERADAS NA COLETA DE PREÇOS</v>
      </c>
      <c r="F5375" s="2" t="str">
        <f>"R_SOL_ALTERADA.RDF"</f>
        <v>R_SOL_ALTERADA.RDF</v>
      </c>
      <c r="G5375" s="2" t="str">
        <f t="shared" si="444"/>
        <v xml:space="preserve"> ()</v>
      </c>
    </row>
    <row r="5376" spans="1:7" x14ac:dyDescent="0.3">
      <c r="A5376" s="1" t="s">
        <v>4</v>
      </c>
      <c r="B5376" s="2" t="str">
        <f t="shared" si="442"/>
        <v>SISTEMA DE GERENCIAMENTO DE COMPRAS</v>
      </c>
      <c r="C5376" s="2" t="str">
        <f t="shared" si="441"/>
        <v>SUPRI</v>
      </c>
      <c r="D5376" s="2" t="str">
        <f t="shared" si="443"/>
        <v>MGCO</v>
      </c>
      <c r="E5376" s="2" t="str">
        <f>"SOLIC COMP COT DE PREC SEM FORNEC"</f>
        <v>SOLIC COMP COT DE PREC SEM FORNEC</v>
      </c>
      <c r="F5376" s="2" t="str">
        <f>"R_SOL_COM_S_FORNEC.RDF"</f>
        <v>R_SOL_COM_S_FORNEC.RDF</v>
      </c>
      <c r="G5376" s="2" t="str">
        <f t="shared" si="444"/>
        <v xml:space="preserve"> ()</v>
      </c>
    </row>
    <row r="5377" spans="1:7" x14ac:dyDescent="0.3">
      <c r="A5377" s="1" t="s">
        <v>4</v>
      </c>
      <c r="B5377" s="2" t="str">
        <f t="shared" si="442"/>
        <v>SISTEMA DE GERENCIAMENTO DE COMPRAS</v>
      </c>
      <c r="C5377" s="2" t="str">
        <f t="shared" si="441"/>
        <v>SUPRI</v>
      </c>
      <c r="D5377" s="2" t="str">
        <f t="shared" si="443"/>
        <v>MGCO</v>
      </c>
      <c r="E5377" s="2" t="str">
        <f>"DOCUMENTO DE COMPRAS POR FORNECEDOR"</f>
        <v>DOCUMENTO DE COMPRAS POR FORNECEDOR</v>
      </c>
      <c r="F5377" s="2" t="str">
        <f>"R_DOC_FORNECEDOR.RDF"</f>
        <v>R_DOC_FORNECEDOR.RDF</v>
      </c>
      <c r="G5377" s="2" t="str">
        <f t="shared" si="444"/>
        <v xml:space="preserve"> ()</v>
      </c>
    </row>
    <row r="5378" spans="1:7" x14ac:dyDescent="0.3">
      <c r="A5378" s="1" t="s">
        <v>4</v>
      </c>
      <c r="B5378" s="2" t="str">
        <f t="shared" si="442"/>
        <v>SISTEMA DE GERENCIAMENTO DE COMPRAS</v>
      </c>
      <c r="C5378" s="2" t="str">
        <f t="shared" si="441"/>
        <v>SUPRI</v>
      </c>
      <c r="D5378" s="2" t="str">
        <f t="shared" si="443"/>
        <v>MGCO</v>
      </c>
      <c r="E5378" s="2" t="str">
        <f>"RANKING"</f>
        <v>RANKING</v>
      </c>
      <c r="F5378" s="2" t="str">
        <f>"R_RANKING.RDF"</f>
        <v>R_RANKING.RDF</v>
      </c>
      <c r="G5378" s="2" t="str">
        <f t="shared" si="444"/>
        <v xml:space="preserve"> ()</v>
      </c>
    </row>
    <row r="5379" spans="1:7" x14ac:dyDescent="0.3">
      <c r="A5379" s="1" t="s">
        <v>4</v>
      </c>
      <c r="B5379" s="2" t="str">
        <f t="shared" si="442"/>
        <v>SISTEMA DE GERENCIAMENTO DE COMPRAS</v>
      </c>
      <c r="C5379" s="2" t="str">
        <f t="shared" si="441"/>
        <v>SUPRI</v>
      </c>
      <c r="D5379" s="2" t="str">
        <f t="shared" si="443"/>
        <v>MGCO</v>
      </c>
      <c r="E5379" s="2" t="str">
        <f>"PERGUNTAS"</f>
        <v>PERGUNTAS</v>
      </c>
      <c r="F5379" s="2" t="str">
        <f>"R_PERGUNTA.RDF"</f>
        <v>R_PERGUNTA.RDF</v>
      </c>
      <c r="G5379" s="2" t="str">
        <f t="shared" si="444"/>
        <v xml:space="preserve"> ()</v>
      </c>
    </row>
    <row r="5380" spans="1:7" x14ac:dyDescent="0.3">
      <c r="A5380" s="1" t="s">
        <v>4</v>
      </c>
      <c r="B5380" s="2" t="str">
        <f t="shared" si="442"/>
        <v>SISTEMA DE GERENCIAMENTO DE COMPRAS</v>
      </c>
      <c r="C5380" s="2" t="str">
        <f t="shared" si="441"/>
        <v>SUPRI</v>
      </c>
      <c r="D5380" s="2" t="str">
        <f t="shared" si="443"/>
        <v>MGCO</v>
      </c>
      <c r="E5380" s="2" t="str">
        <f>"FÓRMULA"</f>
        <v>FÓRMULA</v>
      </c>
      <c r="F5380" s="2" t="str">
        <f>"R_ISO_FORMULA.RDF"</f>
        <v>R_ISO_FORMULA.RDF</v>
      </c>
      <c r="G5380" s="2" t="str">
        <f t="shared" si="444"/>
        <v xml:space="preserve"> ()</v>
      </c>
    </row>
    <row r="5381" spans="1:7" x14ac:dyDescent="0.3">
      <c r="A5381" s="1" t="s">
        <v>4</v>
      </c>
      <c r="B5381" s="2" t="str">
        <f t="shared" si="442"/>
        <v>SISTEMA DE GERENCIAMENTO DE COMPRAS</v>
      </c>
      <c r="C5381" s="2" t="str">
        <f t="shared" si="441"/>
        <v>SUPRI</v>
      </c>
      <c r="D5381" s="2" t="str">
        <f t="shared" si="443"/>
        <v>MGCO</v>
      </c>
      <c r="E5381" s="2" t="str">
        <f>"TIPOS DE EMPENHO"</f>
        <v>TIPOS DE EMPENHO</v>
      </c>
      <c r="F5381" s="2" t="str">
        <f>"R_TIPEMP.RDF"</f>
        <v>R_TIPEMP.RDF</v>
      </c>
      <c r="G5381" s="2" t="str">
        <f t="shared" si="444"/>
        <v xml:space="preserve"> ()</v>
      </c>
    </row>
    <row r="5382" spans="1:7" x14ac:dyDescent="0.3">
      <c r="A5382" s="1" t="s">
        <v>4</v>
      </c>
      <c r="B5382" s="2" t="str">
        <f t="shared" si="442"/>
        <v>SISTEMA DE GERENCIAMENTO DE COMPRAS</v>
      </c>
      <c r="C5382" s="2" t="str">
        <f t="shared" si="441"/>
        <v>SUPRI</v>
      </c>
      <c r="D5382" s="2" t="str">
        <f t="shared" si="443"/>
        <v>MGCO</v>
      </c>
      <c r="E5382" s="2" t="str">
        <f>"ORDEM DE COMPRA POR PRODUTO"</f>
        <v>ORDEM DE COMPRA POR PRODUTO</v>
      </c>
      <c r="F5382" s="2" t="str">
        <f>"R_ORD_COM_PROD.RDF"</f>
        <v>R_ORD_COM_PROD.RDF</v>
      </c>
      <c r="G5382" s="2" t="str">
        <f t="shared" si="444"/>
        <v xml:space="preserve"> ()</v>
      </c>
    </row>
    <row r="5383" spans="1:7" x14ac:dyDescent="0.3">
      <c r="A5383" s="1" t="s">
        <v>4</v>
      </c>
      <c r="B5383" s="2" t="str">
        <f t="shared" si="442"/>
        <v>SISTEMA DE GERENCIAMENTO DE COMPRAS</v>
      </c>
      <c r="C5383" s="2" t="str">
        <f t="shared" si="441"/>
        <v>SUPRI</v>
      </c>
      <c r="D5383" s="2" t="str">
        <f t="shared" si="443"/>
        <v>MGCO</v>
      </c>
      <c r="E5383" s="2" t="str">
        <f>"RELATÓRIO DE QUALIDADE DOS FORNECEDORES"</f>
        <v>RELATÓRIO DE QUALIDADE DOS FORNECEDORES</v>
      </c>
      <c r="F5383" s="2" t="str">
        <f>"R_QUAL_FORNEC_MES.RDF"</f>
        <v>R_QUAL_FORNEC_MES.RDF</v>
      </c>
      <c r="G5383" s="2" t="str">
        <f t="shared" si="444"/>
        <v xml:space="preserve"> ()</v>
      </c>
    </row>
    <row r="5384" spans="1:7" x14ac:dyDescent="0.3">
      <c r="A5384" s="1" t="s">
        <v>4</v>
      </c>
      <c r="B5384" s="2" t="str">
        <f t="shared" si="442"/>
        <v>SISTEMA DE GERENCIAMENTO DE COMPRAS</v>
      </c>
      <c r="C5384" s="2" t="str">
        <f t="shared" si="441"/>
        <v>SUPRI</v>
      </c>
      <c r="D5384" s="2" t="str">
        <f t="shared" si="443"/>
        <v>MGCO</v>
      </c>
      <c r="E5384" s="2" t="str">
        <f>"R_ORDCOM_GRA"</f>
        <v>R_ORDCOM_GRA</v>
      </c>
      <c r="F5384" s="2" t="str">
        <f>"R_ORDCOM_GRA"</f>
        <v>R_ORDCOM_GRA</v>
      </c>
      <c r="G5384" s="2" t="str">
        <f t="shared" si="444"/>
        <v xml:space="preserve"> ()</v>
      </c>
    </row>
    <row r="5385" spans="1:7" x14ac:dyDescent="0.3">
      <c r="A5385" s="1" t="s">
        <v>4</v>
      </c>
      <c r="B5385" s="2" t="str">
        <f t="shared" si="442"/>
        <v>SISTEMA DE GERENCIAMENTO DE COMPRAS</v>
      </c>
      <c r="C5385" s="2" t="str">
        <f t="shared" si="441"/>
        <v>SUPRI</v>
      </c>
      <c r="D5385" s="2" t="str">
        <f t="shared" si="443"/>
        <v>MGCO</v>
      </c>
      <c r="E5385" s="2" t="str">
        <f>"R_ORDCOM_CAR"</f>
        <v>R_ORDCOM_CAR</v>
      </c>
      <c r="F5385" s="2" t="str">
        <f>"R_ORDCOM_CAR"</f>
        <v>R_ORDCOM_CAR</v>
      </c>
      <c r="G5385" s="2" t="str">
        <f t="shared" si="444"/>
        <v xml:space="preserve"> ()</v>
      </c>
    </row>
    <row r="5386" spans="1:7" x14ac:dyDescent="0.3">
      <c r="A5386" s="1" t="s">
        <v>4</v>
      </c>
      <c r="B5386" s="2" t="str">
        <f t="shared" si="442"/>
        <v>SISTEMA DE GERENCIAMENTO DE COMPRAS</v>
      </c>
      <c r="C5386" s="2" t="str">
        <f t="shared" si="441"/>
        <v>SUPRI</v>
      </c>
      <c r="D5386" s="2" t="str">
        <f t="shared" si="443"/>
        <v>MGCO</v>
      </c>
      <c r="E5386" s="2" t="str">
        <f>"WIN_PRINCIPAL"</f>
        <v>WIN_PRINCIPAL</v>
      </c>
      <c r="F5386" s="2" t="str">
        <f>"M_RECEBE_COTA_OPME"</f>
        <v>M_RECEBE_COTA_OPME</v>
      </c>
      <c r="G5386" s="2" t="str">
        <f>"Materiais e Logística / Compras / Integração / Receber cotações do OPMENEXO (M_RECEBE_COTA_OPME)"</f>
        <v>Materiais e Logística / Compras / Integração / Receber cotações do OPMENEXO (M_RECEBE_COTA_OPME)</v>
      </c>
    </row>
    <row r="5387" spans="1:7" x14ac:dyDescent="0.3">
      <c r="A5387" s="1" t="s">
        <v>4</v>
      </c>
      <c r="B5387" s="2" t="str">
        <f t="shared" si="442"/>
        <v>SISTEMA DE GERENCIAMENTO DE COMPRAS</v>
      </c>
      <c r="C5387" s="2" t="str">
        <f t="shared" si="441"/>
        <v>SUPRI</v>
      </c>
      <c r="D5387" s="2" t="str">
        <f t="shared" si="443"/>
        <v>MGCO</v>
      </c>
      <c r="E5387" s="2" t="str">
        <f>"R_ORDCOM_GRA_900"</f>
        <v>R_ORDCOM_GRA_900</v>
      </c>
      <c r="F5387" s="2" t="str">
        <f>"R_ORDCOM_GRA_900"</f>
        <v>R_ORDCOM_GRA_900</v>
      </c>
      <c r="G5387" s="2" t="str">
        <f t="shared" ref="G5387:G5402" si="445">" ()"</f>
        <v xml:space="preserve"> ()</v>
      </c>
    </row>
    <row r="5388" spans="1:7" x14ac:dyDescent="0.3">
      <c r="A5388" s="1" t="s">
        <v>4</v>
      </c>
      <c r="B5388" s="2" t="str">
        <f t="shared" si="442"/>
        <v>SISTEMA DE GERENCIAMENTO DE COMPRAS</v>
      </c>
      <c r="C5388" s="2" t="str">
        <f t="shared" si="441"/>
        <v>SUPRI</v>
      </c>
      <c r="D5388" s="2" t="str">
        <f t="shared" si="443"/>
        <v>MGCO</v>
      </c>
      <c r="E5388" s="2" t="str">
        <f>"R_ORDCOM_CAR_900"</f>
        <v>R_ORDCOM_CAR_900</v>
      </c>
      <c r="F5388" s="2" t="str">
        <f>"R_ORDCOM_CAR_900"</f>
        <v>R_ORDCOM_CAR_900</v>
      </c>
      <c r="G5388" s="2" t="str">
        <f t="shared" si="445"/>
        <v xml:space="preserve"> ()</v>
      </c>
    </row>
    <row r="5389" spans="1:7" x14ac:dyDescent="0.3">
      <c r="A5389" s="1" t="s">
        <v>4</v>
      </c>
      <c r="B5389" s="2" t="str">
        <f t="shared" si="442"/>
        <v>SISTEMA DE GERENCIAMENTO DE COMPRAS</v>
      </c>
      <c r="C5389" s="2" t="str">
        <f t="shared" si="441"/>
        <v>SUPRI</v>
      </c>
      <c r="D5389" s="2" t="str">
        <f t="shared" si="443"/>
        <v>MGCO</v>
      </c>
      <c r="E5389" s="2" t="str">
        <f>"RELATÓRIO MAPA DE COTAÇÃO DE PREÇOS"</f>
        <v>RELATÓRIO MAPA DE COTAÇÃO DE PREÇOS</v>
      </c>
      <c r="F5389" s="2" t="str">
        <f>"R_MAPA_COTACAO_338"</f>
        <v>R_MAPA_COTACAO_338</v>
      </c>
      <c r="G5389" s="2" t="str">
        <f t="shared" si="445"/>
        <v xml:space="preserve"> ()</v>
      </c>
    </row>
    <row r="5390" spans="1:7" x14ac:dyDescent="0.3">
      <c r="A5390" s="1" t="s">
        <v>4</v>
      </c>
      <c r="B5390" s="2" t="str">
        <f t="shared" si="442"/>
        <v>SISTEMA DE GERENCIAMENTO DE COMPRAS</v>
      </c>
      <c r="C5390" s="2" t="str">
        <f t="shared" si="441"/>
        <v>SUPRI</v>
      </c>
      <c r="D5390" s="2" t="str">
        <f t="shared" si="443"/>
        <v>MGCO</v>
      </c>
      <c r="E5390" s="2" t="str">
        <f>"COMPRADOR"</f>
        <v>COMPRADOR</v>
      </c>
      <c r="F5390" s="2" t="str">
        <f>"R_COTADOR.RDF"</f>
        <v>R_COTADOR.RDF</v>
      </c>
      <c r="G5390" s="2" t="str">
        <f t="shared" si="445"/>
        <v xml:space="preserve"> ()</v>
      </c>
    </row>
    <row r="5391" spans="1:7" x14ac:dyDescent="0.3">
      <c r="A5391" s="1" t="s">
        <v>4</v>
      </c>
      <c r="B5391" s="2" t="str">
        <f t="shared" si="442"/>
        <v>SISTEMA DE GERENCIAMENTO DE COMPRAS</v>
      </c>
      <c r="C5391" s="2" t="str">
        <f t="shared" si="441"/>
        <v>SUPRI</v>
      </c>
      <c r="D5391" s="2" t="str">
        <f t="shared" si="443"/>
        <v>MGCO</v>
      </c>
      <c r="E5391" s="2" t="str">
        <f>"MOTIVOS DE PEDIDO"</f>
        <v>MOTIVOS DE PEDIDO</v>
      </c>
      <c r="F5391" s="2" t="str">
        <f>"R_MOTPED.RDF"</f>
        <v>R_MOTPED.RDF</v>
      </c>
      <c r="G5391" s="2" t="str">
        <f t="shared" si="445"/>
        <v xml:space="preserve"> ()</v>
      </c>
    </row>
    <row r="5392" spans="1:7" x14ac:dyDescent="0.3">
      <c r="A5392" s="1" t="s">
        <v>4</v>
      </c>
      <c r="B5392" s="2" t="str">
        <f t="shared" si="442"/>
        <v>SISTEMA DE GERENCIAMENTO DE COMPRAS</v>
      </c>
      <c r="C5392" s="2" t="str">
        <f t="shared" si="441"/>
        <v>SUPRI</v>
      </c>
      <c r="D5392" s="2" t="str">
        <f t="shared" si="443"/>
        <v>MGCO</v>
      </c>
      <c r="E5392" s="2" t="str">
        <f>"RAMO DE ATIVIDADE"</f>
        <v>RAMO DE ATIVIDADE</v>
      </c>
      <c r="F5392" s="2" t="str">
        <f>"R_RAMO_ATIVIDADE.RDF"</f>
        <v>R_RAMO_ATIVIDADE.RDF</v>
      </c>
      <c r="G5392" s="2" t="str">
        <f t="shared" si="445"/>
        <v xml:space="preserve"> ()</v>
      </c>
    </row>
    <row r="5393" spans="1:7" x14ac:dyDescent="0.3">
      <c r="A5393" s="1" t="s">
        <v>4</v>
      </c>
      <c r="B5393" s="2" t="str">
        <f t="shared" si="442"/>
        <v>SISTEMA DE GERENCIAMENTO DE COMPRAS</v>
      </c>
      <c r="C5393" s="2" t="str">
        <f t="shared" si="441"/>
        <v>SUPRI</v>
      </c>
      <c r="D5393" s="2" t="str">
        <f t="shared" si="443"/>
        <v>MGCO</v>
      </c>
      <c r="E5393" s="2" t="str">
        <f>"PRODUTO X FORNECEDORES"</f>
        <v>PRODUTO X FORNECEDORES</v>
      </c>
      <c r="F5393" s="2" t="str">
        <f>"R_PRODFORN.RDF"</f>
        <v>R_PRODFORN.RDF</v>
      </c>
      <c r="G5393" s="2" t="str">
        <f t="shared" si="445"/>
        <v xml:space="preserve"> ()</v>
      </c>
    </row>
    <row r="5394" spans="1:7" x14ac:dyDescent="0.3">
      <c r="A5394" s="1" t="s">
        <v>4</v>
      </c>
      <c r="B5394" s="2" t="str">
        <f t="shared" ref="B5394:B5399" si="446">"COMPRAS WEB - FORNECEDORES - INTEGRADO"</f>
        <v>COMPRAS WEB - FORNECEDORES - INTEGRADO</v>
      </c>
      <c r="C5394" s="2" t="str">
        <f>""</f>
        <v/>
      </c>
      <c r="D5394" s="2" t="str">
        <f t="shared" ref="D5394:D5399" si="447">"MGCWF"</f>
        <v>MGCWF</v>
      </c>
      <c r="E5394" s="2" t="str">
        <f>"RESPONDER COTAÇÕES POR FORNECEDORES"</f>
        <v>RESPONDER COTAÇÕES POR FORNECEDORES</v>
      </c>
      <c r="F5394" s="2" t="str">
        <f>"A_RESPCOT"</f>
        <v>A_RESPCOT</v>
      </c>
      <c r="G5394" s="2" t="str">
        <f t="shared" si="445"/>
        <v xml:space="preserve"> ()</v>
      </c>
    </row>
    <row r="5395" spans="1:7" x14ac:dyDescent="0.3">
      <c r="A5395" s="1" t="s">
        <v>4</v>
      </c>
      <c r="B5395" s="2" t="str">
        <f t="shared" si="446"/>
        <v>COMPRAS WEB - FORNECEDORES - INTEGRADO</v>
      </c>
      <c r="C5395" s="2" t="str">
        <f>""</f>
        <v/>
      </c>
      <c r="D5395" s="2" t="str">
        <f t="shared" si="447"/>
        <v>MGCWF</v>
      </c>
      <c r="E5395" s="2" t="str">
        <f>"TRG_I_ITENT_PRO"</f>
        <v>TRG_I_ITENT_PRO</v>
      </c>
      <c r="F5395" s="2" t="str">
        <f>"TRG_I_ITENT_PRO"</f>
        <v>TRG_I_ITENT_PRO</v>
      </c>
      <c r="G5395" s="2" t="str">
        <f t="shared" si="445"/>
        <v xml:space="preserve"> ()</v>
      </c>
    </row>
    <row r="5396" spans="1:7" x14ac:dyDescent="0.3">
      <c r="A5396" s="1" t="s">
        <v>4</v>
      </c>
      <c r="B5396" s="2" t="str">
        <f t="shared" si="446"/>
        <v>COMPRAS WEB - FORNECEDORES - INTEGRADO</v>
      </c>
      <c r="C5396" s="2" t="str">
        <f>""</f>
        <v/>
      </c>
      <c r="D5396" s="2" t="str">
        <f t="shared" si="447"/>
        <v>MGCWF</v>
      </c>
      <c r="E5396" s="2" t="str">
        <f>"RESPONDER ORDENS COMPRAS POR FORNECEDORE"</f>
        <v>RESPONDER ORDENS COMPRAS POR FORNECEDORE</v>
      </c>
      <c r="F5396" s="2" t="str">
        <f>"A_RESPORD"</f>
        <v>A_RESPORD</v>
      </c>
      <c r="G5396" s="2" t="str">
        <f t="shared" si="445"/>
        <v xml:space="preserve"> ()</v>
      </c>
    </row>
    <row r="5397" spans="1:7" x14ac:dyDescent="0.3">
      <c r="A5397" s="1" t="s">
        <v>4</v>
      </c>
      <c r="B5397" s="2" t="str">
        <f t="shared" si="446"/>
        <v>COMPRAS WEB - FORNECEDORES - INTEGRADO</v>
      </c>
      <c r="C5397" s="2" t="str">
        <f>""</f>
        <v/>
      </c>
      <c r="D5397" s="2" t="str">
        <f t="shared" si="447"/>
        <v>MGCWF</v>
      </c>
      <c r="E5397" s="2" t="str">
        <f>"A_CONSULTAR COTAÇÕES PARA FORNECEDORES"</f>
        <v>A_CONSULTAR COTAÇÕES PARA FORNECEDORES</v>
      </c>
      <c r="F5397" s="2" t="str">
        <f>"A_CONSCOT"</f>
        <v>A_CONSCOT</v>
      </c>
      <c r="G5397" s="2" t="str">
        <f t="shared" si="445"/>
        <v xml:space="preserve"> ()</v>
      </c>
    </row>
    <row r="5398" spans="1:7" x14ac:dyDescent="0.3">
      <c r="A5398" s="1" t="s">
        <v>4</v>
      </c>
      <c r="B5398" s="2" t="str">
        <f t="shared" si="446"/>
        <v>COMPRAS WEB - FORNECEDORES - INTEGRADO</v>
      </c>
      <c r="C5398" s="2" t="str">
        <f>""</f>
        <v/>
      </c>
      <c r="D5398" s="2" t="str">
        <f t="shared" si="447"/>
        <v>MGCWF</v>
      </c>
      <c r="E5398" s="2" t="str">
        <f>"ALTERAR_SENHA_FORNECEDOR"</f>
        <v>ALTERAR_SENHA_FORNECEDOR</v>
      </c>
      <c r="F5398" s="2" t="str">
        <f>"ALTERAR_SENHA"</f>
        <v>ALTERAR_SENHA</v>
      </c>
      <c r="G5398" s="2" t="str">
        <f t="shared" si="445"/>
        <v xml:space="preserve"> ()</v>
      </c>
    </row>
    <row r="5399" spans="1:7" x14ac:dyDescent="0.3">
      <c r="A5399" s="1" t="s">
        <v>4</v>
      </c>
      <c r="B5399" s="2" t="str">
        <f t="shared" si="446"/>
        <v>COMPRAS WEB - FORNECEDORES - INTEGRADO</v>
      </c>
      <c r="C5399" s="2" t="str">
        <f>""</f>
        <v/>
      </c>
      <c r="D5399" s="2" t="str">
        <f t="shared" si="447"/>
        <v>MGCWF</v>
      </c>
      <c r="E5399" s="2" t="str">
        <f>"ENVIAR COTAÇÕES FINALIZADAS"</f>
        <v>ENVIAR COTAÇÕES FINALIZADAS</v>
      </c>
      <c r="F5399" s="2" t="str">
        <f>"A_ENVIARCOT"</f>
        <v>A_ENVIARCOT</v>
      </c>
      <c r="G5399" s="2" t="str">
        <f t="shared" si="445"/>
        <v xml:space="preserve"> ()</v>
      </c>
    </row>
    <row r="5400" spans="1:7" x14ac:dyDescent="0.3">
      <c r="A5400" s="1" t="s">
        <v>4</v>
      </c>
      <c r="B5400" s="2" t="str">
        <f>"COMPRAS WEB - HOSPITAL - INTEGRADO"</f>
        <v>COMPRAS WEB - HOSPITAL - INTEGRADO</v>
      </c>
      <c r="C5400" s="2" t="str">
        <f>"SUPRI-COMP"</f>
        <v>SUPRI-COMP</v>
      </c>
      <c r="D5400" s="2" t="str">
        <f>"MGCWH"</f>
        <v>MGCWH</v>
      </c>
      <c r="E5400" s="2" t="str">
        <f>"DB_TRIGGER_DIVULGAR_SENHA"</f>
        <v>DB_TRIGGER_DIVULGAR_SENHA</v>
      </c>
      <c r="F5400" s="2" t="str">
        <f>"DIVULGAR_SENHA"</f>
        <v>DIVULGAR_SENHA</v>
      </c>
      <c r="G5400" s="2" t="str">
        <f t="shared" si="445"/>
        <v xml:space="preserve"> ()</v>
      </c>
    </row>
    <row r="5401" spans="1:7" x14ac:dyDescent="0.3">
      <c r="A5401" s="1" t="s">
        <v>4</v>
      </c>
      <c r="B5401" s="2" t="str">
        <f>"COMPRAS WEB - HOSPITAL - INTEGRADO"</f>
        <v>COMPRAS WEB - HOSPITAL - INTEGRADO</v>
      </c>
      <c r="C5401" s="2" t="str">
        <f>"SUPRI-COMP"</f>
        <v>SUPRI-COMP</v>
      </c>
      <c r="D5401" s="2" t="str">
        <f>"MGCWH"</f>
        <v>MGCWH</v>
      </c>
      <c r="E5401" s="2" t="str">
        <f>"DATABASE TRIGGER"</f>
        <v>DATABASE TRIGGER</v>
      </c>
      <c r="F5401" s="2" t="str">
        <f>"ENVIAR_MAIL"</f>
        <v>ENVIAR_MAIL</v>
      </c>
      <c r="G5401" s="2" t="str">
        <f t="shared" si="445"/>
        <v xml:space="preserve"> ()</v>
      </c>
    </row>
    <row r="5402" spans="1:7" x14ac:dyDescent="0.3">
      <c r="A5402" s="1" t="s">
        <v>4</v>
      </c>
      <c r="B5402" s="2" t="str">
        <f t="shared" ref="B5402:B5465" si="448">"SISTEMA DE GERENCIAMENTO DE ESTOQUE"</f>
        <v>SISTEMA DE GERENCIAMENTO DE ESTOQUE</v>
      </c>
      <c r="C5402" s="2" t="str">
        <f t="shared" ref="C5402:C5465" si="449">"SUPRI"</f>
        <v>SUPRI</v>
      </c>
      <c r="D5402" s="2" t="str">
        <f t="shared" ref="D5402:D5465" si="450">"MGES"</f>
        <v>MGES</v>
      </c>
      <c r="E5402" s="2" t="str">
        <f>"WIN_PRINCIPAL - 01-HOSPITAL MV SISTEMAS"</f>
        <v>WIN_PRINCIPAL - 01-HOSPITAL MV SISTEMAS</v>
      </c>
      <c r="F5402" s="2" t="str">
        <f>"C_LOG_CTRL_IMP_ETIQUETA"</f>
        <v>C_LOG_CTRL_IMP_ETIQUETA</v>
      </c>
      <c r="G5402" s="2" t="str">
        <f t="shared" si="445"/>
        <v xml:space="preserve"> ()</v>
      </c>
    </row>
    <row r="5403" spans="1:7" x14ac:dyDescent="0.3">
      <c r="A5403" s="1" t="s">
        <v>4</v>
      </c>
      <c r="B5403" s="2" t="str">
        <f t="shared" si="448"/>
        <v>SISTEMA DE GERENCIAMENTO DE ESTOQUE</v>
      </c>
      <c r="C5403" s="2" t="str">
        <f t="shared" si="449"/>
        <v>SUPRI</v>
      </c>
      <c r="D5403" s="2" t="str">
        <f t="shared" si="450"/>
        <v>MGES</v>
      </c>
      <c r="E5403" s="2" t="str">
        <f>"QUANTIDADE DE KIT POR ESTOQUE"</f>
        <v>QUANTIDADE DE KIT POR ESTOQUE</v>
      </c>
      <c r="F5403" s="2" t="str">
        <f>"R_QTD_KIT_POR_ESTOQUE"</f>
        <v>R_QTD_KIT_POR_ESTOQUE</v>
      </c>
      <c r="G5403" s="2" t="str">
        <f>"Materiais e Logística / Almoxarifado / Relatórios / Listagens / Quantidade de kits por estoque (R_QTD_KIT_POR_ESTOQUE)"</f>
        <v>Materiais e Logística / Almoxarifado / Relatórios / Listagens / Quantidade de kits por estoque (R_QTD_KIT_POR_ESTOQUE)</v>
      </c>
    </row>
    <row r="5404" spans="1:7" x14ac:dyDescent="0.3">
      <c r="A5404" s="1" t="s">
        <v>4</v>
      </c>
      <c r="B5404" s="2" t="str">
        <f t="shared" si="448"/>
        <v>SISTEMA DE GERENCIAMENTO DE ESTOQUE</v>
      </c>
      <c r="C5404" s="2" t="str">
        <f t="shared" si="449"/>
        <v>SUPRI</v>
      </c>
      <c r="D5404" s="2" t="str">
        <f t="shared" si="450"/>
        <v>MGES</v>
      </c>
      <c r="E5404" s="2" t="str">
        <f>"Geração do Arquivo de NFTS"</f>
        <v>Geração do Arquivo de NFTS</v>
      </c>
      <c r="F5404" s="2" t="str">
        <f>"O_GERACAO_ENVIO_NFTS"</f>
        <v>O_GERACAO_ENVIO_NFTS</v>
      </c>
      <c r="G5404" s="2" t="str">
        <f>"Materiais e Logística / Almoxarifado / Cálculos / Geração do Arquivo de NFTS (O_GERACAO_ENVIO_NFTS)"</f>
        <v>Materiais e Logística / Almoxarifado / Cálculos / Geração do Arquivo de NFTS (O_GERACAO_ENVIO_NFTS)</v>
      </c>
    </row>
    <row r="5405" spans="1:7" x14ac:dyDescent="0.3">
      <c r="A5405" s="1" t="s">
        <v>4</v>
      </c>
      <c r="B5405" s="2" t="str">
        <f t="shared" si="448"/>
        <v>SISTEMA DE GERENCIAMENTO DE ESTOQUE</v>
      </c>
      <c r="C5405" s="2" t="str">
        <f t="shared" si="449"/>
        <v>SUPRI</v>
      </c>
      <c r="D5405" s="2" t="str">
        <f t="shared" si="450"/>
        <v>MGES</v>
      </c>
      <c r="E5405" s="2" t="str">
        <f>"MOTIVO DE DIVERGENCIA DA BAIXA NO ESTOQU"</f>
        <v>MOTIVO DE DIVERGENCIA DA BAIXA NO ESTOQU</v>
      </c>
      <c r="F5405" s="2" t="str">
        <f>"M_MOT_DIVERG_ATEND"</f>
        <v>M_MOT_DIVERG_ATEND</v>
      </c>
      <c r="G5405" s="2" t="str">
        <f t="shared" ref="G5405:G5410" si="451">" ()"</f>
        <v xml:space="preserve"> ()</v>
      </c>
    </row>
    <row r="5406" spans="1:7" x14ac:dyDescent="0.3">
      <c r="A5406" s="1" t="s">
        <v>4</v>
      </c>
      <c r="B5406" s="2" t="str">
        <f t="shared" si="448"/>
        <v>SISTEMA DE GERENCIAMENTO DE ESTOQUE</v>
      </c>
      <c r="C5406" s="2" t="str">
        <f t="shared" si="449"/>
        <v>SUPRI</v>
      </c>
      <c r="D5406" s="2" t="str">
        <f t="shared" si="450"/>
        <v>MGES</v>
      </c>
      <c r="E5406" s="2" t="str">
        <f>"Importação de cadastro de produtos"</f>
        <v>Importação de cadastro de produtos</v>
      </c>
      <c r="F5406" s="2" t="str">
        <f>"O_IMP_PRODUTOS"</f>
        <v>O_IMP_PRODUTOS</v>
      </c>
      <c r="G5406" s="2" t="str">
        <f t="shared" si="451"/>
        <v xml:space="preserve"> ()</v>
      </c>
    </row>
    <row r="5407" spans="1:7" x14ac:dyDescent="0.3">
      <c r="A5407" s="1" t="s">
        <v>4</v>
      </c>
      <c r="B5407" s="2" t="str">
        <f t="shared" si="448"/>
        <v>SISTEMA DE GERENCIAMENTO DE ESTOQUE</v>
      </c>
      <c r="C5407" s="2" t="str">
        <f t="shared" si="449"/>
        <v>SUPRI</v>
      </c>
      <c r="D5407" s="2" t="str">
        <f t="shared" si="450"/>
        <v>MGES</v>
      </c>
      <c r="E5407" s="2" t="str">
        <f>"De-Para de dados do produto"</f>
        <v>De-Para de dados do produto</v>
      </c>
      <c r="F5407" s="2" t="str">
        <f>"M_DEPARA_PRODUTOS"</f>
        <v>M_DEPARA_PRODUTOS</v>
      </c>
      <c r="G5407" s="2" t="str">
        <f t="shared" si="451"/>
        <v xml:space="preserve"> ()</v>
      </c>
    </row>
    <row r="5408" spans="1:7" x14ac:dyDescent="0.3">
      <c r="A5408" s="1" t="s">
        <v>4</v>
      </c>
      <c r="B5408" s="2" t="str">
        <f t="shared" si="448"/>
        <v>SISTEMA DE GERENCIAMENTO DE ESTOQUE</v>
      </c>
      <c r="C5408" s="2" t="str">
        <f t="shared" si="449"/>
        <v>SUPRI</v>
      </c>
      <c r="D5408" s="2" t="str">
        <f t="shared" si="450"/>
        <v>MGES</v>
      </c>
      <c r="E5408" s="2" t="str">
        <f>"Importação DCB"</f>
        <v>Importação DCB</v>
      </c>
      <c r="F5408" s="2" t="str">
        <f>"O_IMP_DCB"</f>
        <v>O_IMP_DCB</v>
      </c>
      <c r="G5408" s="2" t="str">
        <f t="shared" si="451"/>
        <v xml:space="preserve"> ()</v>
      </c>
    </row>
    <row r="5409" spans="1:7" x14ac:dyDescent="0.3">
      <c r="A5409" s="1" t="s">
        <v>4</v>
      </c>
      <c r="B5409" s="2" t="str">
        <f t="shared" si="448"/>
        <v>SISTEMA DE GERENCIAMENTO DE ESTOQUE</v>
      </c>
      <c r="C5409" s="2" t="str">
        <f t="shared" si="449"/>
        <v>SUPRI</v>
      </c>
      <c r="D5409" s="2" t="str">
        <f t="shared" si="450"/>
        <v>MGES</v>
      </c>
      <c r="E5409" s="2" t="str">
        <f>"Devolução de Gasto de Sala Pendente"</f>
        <v>Devolução de Gasto de Sala Pendente</v>
      </c>
      <c r="F5409" s="2" t="str">
        <f>"C_DEVSAL_PENDENTE"</f>
        <v>C_DEVSAL_PENDENTE</v>
      </c>
      <c r="G5409" s="2" t="str">
        <f t="shared" si="451"/>
        <v xml:space="preserve"> ()</v>
      </c>
    </row>
    <row r="5410" spans="1:7" x14ac:dyDescent="0.3">
      <c r="A5410" s="1" t="s">
        <v>4</v>
      </c>
      <c r="B5410" s="2" t="str">
        <f t="shared" si="448"/>
        <v>SISTEMA DE GERENCIAMENTO DE ESTOQUE</v>
      </c>
      <c r="C5410" s="2" t="str">
        <f t="shared" si="449"/>
        <v>SUPRI</v>
      </c>
      <c r="D5410" s="2" t="str">
        <f t="shared" si="450"/>
        <v>MGES</v>
      </c>
      <c r="E5410" s="2" t="str">
        <f>"Consumo de Kit de Parcial"</f>
        <v>Consumo de Kit de Parcial</v>
      </c>
      <c r="F5410" s="2" t="str">
        <f>"M_CONSUMO_KIT_DEVSAL"</f>
        <v>M_CONSUMO_KIT_DEVSAL</v>
      </c>
      <c r="G5410" s="2" t="str">
        <f t="shared" si="451"/>
        <v xml:space="preserve"> ()</v>
      </c>
    </row>
    <row r="5411" spans="1:7" x14ac:dyDescent="0.3">
      <c r="A5411" s="1" t="s">
        <v>4</v>
      </c>
      <c r="B5411" s="2" t="str">
        <f t="shared" si="448"/>
        <v>SISTEMA DE GERENCIAMENTO DE ESTOQUE</v>
      </c>
      <c r="C5411" s="2" t="str">
        <f t="shared" si="449"/>
        <v>SUPRI</v>
      </c>
      <c r="D5411" s="2" t="str">
        <f t="shared" si="450"/>
        <v>MGES</v>
      </c>
      <c r="E5411" s="2" t="str">
        <f>"Ordem de Unitarizao"</f>
        <v>Ordem de Unitarizao</v>
      </c>
      <c r="F5411" s="2" t="str">
        <f>"M_ORDEM_UNITARIZACAO"</f>
        <v>M_ORDEM_UNITARIZACAO</v>
      </c>
      <c r="G5411" s="2" t="str">
        <f>"Ordem de Unitarizao (M_ORDEM_UNITARIZACAO)"</f>
        <v>Ordem de Unitarizao (M_ORDEM_UNITARIZACAO)</v>
      </c>
    </row>
    <row r="5412" spans="1:7" x14ac:dyDescent="0.3">
      <c r="A5412" s="1" t="s">
        <v>4</v>
      </c>
      <c r="B5412" s="2" t="str">
        <f t="shared" si="448"/>
        <v>SISTEMA DE GERENCIAMENTO DE ESTOQUE</v>
      </c>
      <c r="C5412" s="2" t="str">
        <f t="shared" si="449"/>
        <v>SUPRI</v>
      </c>
      <c r="D5412" s="2" t="str">
        <f t="shared" si="450"/>
        <v>MGES</v>
      </c>
      <c r="E5412" s="2" t="str">
        <f>"Etiqueta de Dose"</f>
        <v>Etiqueta de Dose</v>
      </c>
      <c r="F5412" s="2" t="str">
        <f>"R_IMPRIME_ETIQ_DOSE"</f>
        <v>R_IMPRIME_ETIQ_DOSE</v>
      </c>
      <c r="G5412" s="2" t="str">
        <f>" ()"</f>
        <v xml:space="preserve"> ()</v>
      </c>
    </row>
    <row r="5413" spans="1:7" x14ac:dyDescent="0.3">
      <c r="A5413" s="1" t="s">
        <v>4</v>
      </c>
      <c r="B5413" s="2" t="str">
        <f t="shared" si="448"/>
        <v>SISTEMA DE GERENCIAMENTO DE ESTOQUE</v>
      </c>
      <c r="C5413" s="2" t="str">
        <f t="shared" si="449"/>
        <v>SUPRI</v>
      </c>
      <c r="D5413" s="2" t="str">
        <f t="shared" si="450"/>
        <v>MGES</v>
      </c>
      <c r="E5413" s="2" t="str">
        <f>"Apuração Analítica Diária"</f>
        <v>Apuração Analítica Diária</v>
      </c>
      <c r="F5413" s="2" t="str">
        <f>"R_CONSOLIDACAO_DIARIA_CONTABIL"</f>
        <v>R_CONSOLIDACAO_DIARIA_CONTABIL</v>
      </c>
      <c r="G5413" s="2" t="str">
        <f>" ()"</f>
        <v xml:space="preserve"> ()</v>
      </c>
    </row>
    <row r="5414" spans="1:7" x14ac:dyDescent="0.3">
      <c r="A5414" s="1" t="s">
        <v>4</v>
      </c>
      <c r="B5414" s="2" t="str">
        <f t="shared" si="448"/>
        <v>SISTEMA DE GERENCIAMENTO DE ESTOQUE</v>
      </c>
      <c r="C5414" s="2" t="str">
        <f t="shared" si="449"/>
        <v>SUPRI</v>
      </c>
      <c r="D5414" s="2" t="str">
        <f t="shared" si="450"/>
        <v>MGES</v>
      </c>
      <c r="E5414" s="2" t="str">
        <f>"Declaração de Importação"</f>
        <v>Declaração de Importação</v>
      </c>
      <c r="F5414" s="2" t="str">
        <f>"R_DECLARACAO_IMPORTACAO"</f>
        <v>R_DECLARACAO_IMPORTACAO</v>
      </c>
      <c r="G5414" s="2" t="str">
        <f>" ()"</f>
        <v xml:space="preserve"> ()</v>
      </c>
    </row>
    <row r="5415" spans="1:7" x14ac:dyDescent="0.3">
      <c r="A5415" s="1" t="s">
        <v>4</v>
      </c>
      <c r="B5415" s="2" t="str">
        <f t="shared" si="448"/>
        <v>SISTEMA DE GERENCIAMENTO DE ESTOQUE</v>
      </c>
      <c r="C5415" s="2" t="str">
        <f t="shared" si="449"/>
        <v>SUPRI</v>
      </c>
      <c r="D5415" s="2" t="str">
        <f t="shared" si="450"/>
        <v>MGES</v>
      </c>
      <c r="E5415" s="2" t="str">
        <f>"Transferência entre Empresas"</f>
        <v>Transferência entre Empresas</v>
      </c>
      <c r="F5415" s="2" t="str">
        <f>"M_TRAPRO_EMPRESA_DI"</f>
        <v>M_TRAPRO_EMPRESA_DI</v>
      </c>
      <c r="G5415" s="2" t="str">
        <f>" ()"</f>
        <v xml:space="preserve"> ()</v>
      </c>
    </row>
    <row r="5416" spans="1:7" x14ac:dyDescent="0.3">
      <c r="A5416" s="1" t="s">
        <v>4</v>
      </c>
      <c r="B5416" s="2" t="str">
        <f t="shared" si="448"/>
        <v>SISTEMA DE GERENCIAMENTO DE ESTOQUE</v>
      </c>
      <c r="C5416" s="2" t="str">
        <f t="shared" si="449"/>
        <v>SUPRI</v>
      </c>
      <c r="D5416" s="2" t="str">
        <f t="shared" si="450"/>
        <v>MGES</v>
      </c>
      <c r="E5416" s="2" t="str">
        <f>"Cadastro de QR Code das Etiquetas"</f>
        <v>Cadastro de QR Code das Etiquetas</v>
      </c>
      <c r="F5416" s="2" t="str">
        <f>"M_CONFIG_QRCODE_ETIQUETA"</f>
        <v>M_CONFIG_QRCODE_ETIQUETA</v>
      </c>
      <c r="G5416" s="2" t="str">
        <f>"Materiais e Logística / Almoxarifado / Configurações / Cadastro de QR Code das Etiquetas (M_CONFIG_QRCODE_ETIQUETA)"</f>
        <v>Materiais e Logística / Almoxarifado / Configurações / Cadastro de QR Code das Etiquetas (M_CONFIG_QRCODE_ETIQUETA)</v>
      </c>
    </row>
    <row r="5417" spans="1:7" x14ac:dyDescent="0.3">
      <c r="A5417" s="1" t="s">
        <v>4</v>
      </c>
      <c r="B5417" s="2" t="str">
        <f t="shared" si="448"/>
        <v>SISTEMA DE GERENCIAMENTO DE ESTOQUE</v>
      </c>
      <c r="C5417" s="2" t="str">
        <f t="shared" si="449"/>
        <v>SUPRI</v>
      </c>
      <c r="D5417" s="2" t="str">
        <f t="shared" si="450"/>
        <v>MGES</v>
      </c>
      <c r="E5417" s="2" t="str">
        <f>"M_CONC_EMP"</f>
        <v>M_CONC_EMP</v>
      </c>
      <c r="F5417" s="2" t="str">
        <f>"M_CONC_EMP"</f>
        <v>M_CONC_EMP</v>
      </c>
      <c r="G5417" s="2" t="str">
        <f>" ()"</f>
        <v xml:space="preserve"> ()</v>
      </c>
    </row>
    <row r="5418" spans="1:7" x14ac:dyDescent="0.3">
      <c r="A5418" s="1" t="s">
        <v>4</v>
      </c>
      <c r="B5418" s="2" t="str">
        <f t="shared" si="448"/>
        <v>SISTEMA DE GERENCIAMENTO DE ESTOQUE</v>
      </c>
      <c r="C5418" s="2" t="str">
        <f t="shared" si="449"/>
        <v>SUPRI</v>
      </c>
      <c r="D5418" s="2" t="str">
        <f t="shared" si="450"/>
        <v>MGES</v>
      </c>
      <c r="E5418" s="2" t="str">
        <f>"Inutilização NF-e Simples Remessa"</f>
        <v>Inutilização NF-e Simples Remessa</v>
      </c>
      <c r="F5418" s="2" t="str">
        <f>"R_NFSR_INUTILIZA"</f>
        <v>R_NFSR_INUTILIZA</v>
      </c>
      <c r="G5418" s="2" t="str">
        <f>"Inutilização NF-e Simples Remessa (R_NFSR_INUTILIZA)"</f>
        <v>Inutilização NF-e Simples Remessa (R_NFSR_INUTILIZA)</v>
      </c>
    </row>
    <row r="5419" spans="1:7" x14ac:dyDescent="0.3">
      <c r="A5419" s="1" t="s">
        <v>4</v>
      </c>
      <c r="B5419" s="2" t="str">
        <f t="shared" si="448"/>
        <v>SISTEMA DE GERENCIAMENTO DE ESTOQUE</v>
      </c>
      <c r="C5419" s="2" t="str">
        <f t="shared" si="449"/>
        <v>SUPRI</v>
      </c>
      <c r="D5419" s="2" t="str">
        <f t="shared" si="450"/>
        <v>MGES</v>
      </c>
      <c r="E5419" s="2" t="str">
        <f>"NF-e Simples Remessa"</f>
        <v>NF-e Simples Remessa</v>
      </c>
      <c r="F5419" s="2" t="str">
        <f>"R_NFSR"</f>
        <v>R_NFSR</v>
      </c>
      <c r="G5419" s="2" t="s">
        <v>23</v>
      </c>
    </row>
    <row r="5420" spans="1:7" x14ac:dyDescent="0.3">
      <c r="A5420" s="1" t="s">
        <v>4</v>
      </c>
      <c r="B5420" s="2" t="str">
        <f t="shared" si="448"/>
        <v>SISTEMA DE GERENCIAMENTO DE ESTOQUE</v>
      </c>
      <c r="C5420" s="2" t="str">
        <f t="shared" si="449"/>
        <v>SUPRI</v>
      </c>
      <c r="D5420" s="2" t="str">
        <f t="shared" si="450"/>
        <v>MGES</v>
      </c>
      <c r="E5420" s="2" t="str">
        <f>"Inutilização de numeração"</f>
        <v>Inutilização de numeração</v>
      </c>
      <c r="F5420" s="2" t="str">
        <f>"M_NFSR_INUTILIZA"</f>
        <v>M_NFSR_INUTILIZA</v>
      </c>
      <c r="G5420" s="2" t="str">
        <f>"Inutilização de numeração (M_NFSR_INUTILIZA)"</f>
        <v>Inutilização de numeração (M_NFSR_INUTILIZA)</v>
      </c>
    </row>
    <row r="5421" spans="1:7" x14ac:dyDescent="0.3">
      <c r="A5421" s="1" t="s">
        <v>4</v>
      </c>
      <c r="B5421" s="2" t="str">
        <f t="shared" si="448"/>
        <v>SISTEMA DE GERENCIAMENTO DE ESTOQUE</v>
      </c>
      <c r="C5421" s="2" t="str">
        <f t="shared" si="449"/>
        <v>SUPRI</v>
      </c>
      <c r="D5421" s="2" t="str">
        <f t="shared" si="450"/>
        <v>MGES</v>
      </c>
      <c r="E5421" s="2" t="str">
        <f>"Saída"</f>
        <v>Saída</v>
      </c>
      <c r="F5421" s="2" t="str">
        <f>"M_NFSR_CANCELAMENTO_SAIDA"</f>
        <v>M_NFSR_CANCELAMENTO_SAIDA</v>
      </c>
      <c r="G5421" s="2" t="str">
        <f>"Saída (M_NFSR_CANCELAMENTO_SAIDA)"</f>
        <v>Saída (M_NFSR_CANCELAMENTO_SAIDA)</v>
      </c>
    </row>
    <row r="5422" spans="1:7" x14ac:dyDescent="0.3">
      <c r="A5422" s="1" t="s">
        <v>4</v>
      </c>
      <c r="B5422" s="2" t="str">
        <f t="shared" si="448"/>
        <v>SISTEMA DE GERENCIAMENTO DE ESTOQUE</v>
      </c>
      <c r="C5422" s="2" t="str">
        <f t="shared" si="449"/>
        <v>SUPRI</v>
      </c>
      <c r="D5422" s="2" t="str">
        <f t="shared" si="450"/>
        <v>MGES</v>
      </c>
      <c r="E5422" s="2" t="str">
        <f>"Entrada"</f>
        <v>Entrada</v>
      </c>
      <c r="F5422" s="2" t="str">
        <f>"M_NFSR_CANCELAMENTO"</f>
        <v>M_NFSR_CANCELAMENTO</v>
      </c>
      <c r="G5422" s="2" t="str">
        <f>"Entrada (M_NFSR_CANCELAMENTO)"</f>
        <v>Entrada (M_NFSR_CANCELAMENTO)</v>
      </c>
    </row>
    <row r="5423" spans="1:7" x14ac:dyDescent="0.3">
      <c r="A5423" s="1" t="s">
        <v>4</v>
      </c>
      <c r="B5423" s="2" t="str">
        <f t="shared" si="448"/>
        <v>SISTEMA DE GERENCIAMENTO DE ESTOQUE</v>
      </c>
      <c r="C5423" s="2" t="str">
        <f t="shared" si="449"/>
        <v>SUPRI</v>
      </c>
      <c r="D5423" s="2" t="str">
        <f t="shared" si="450"/>
        <v>MGES</v>
      </c>
      <c r="E5423" s="2" t="str">
        <f>"Saída"</f>
        <v>Saída</v>
      </c>
      <c r="F5423" s="2" t="str">
        <f>"M_NFSR_EMISSAO_SAIDA"</f>
        <v>M_NFSR_EMISSAO_SAIDA</v>
      </c>
      <c r="G5423" s="2" t="str">
        <f>"Saída (M_NFSR_EMISSAO_SAIDA)"</f>
        <v>Saída (M_NFSR_EMISSAO_SAIDA)</v>
      </c>
    </row>
    <row r="5424" spans="1:7" x14ac:dyDescent="0.3">
      <c r="A5424" s="1" t="s">
        <v>4</v>
      </c>
      <c r="B5424" s="2" t="str">
        <f t="shared" si="448"/>
        <v>SISTEMA DE GERENCIAMENTO DE ESTOQUE</v>
      </c>
      <c r="C5424" s="2" t="str">
        <f t="shared" si="449"/>
        <v>SUPRI</v>
      </c>
      <c r="D5424" s="2" t="str">
        <f t="shared" si="450"/>
        <v>MGES</v>
      </c>
      <c r="E5424" s="2" t="str">
        <f>"Entrada"</f>
        <v>Entrada</v>
      </c>
      <c r="F5424" s="2" t="str">
        <f>"M_NFSR_EMISSAO"</f>
        <v>M_NFSR_EMISSAO</v>
      </c>
      <c r="G5424" s="2" t="str">
        <f>"Entrada (M_NFSR_EMISSAO)"</f>
        <v>Entrada (M_NFSR_EMISSAO)</v>
      </c>
    </row>
    <row r="5425" spans="1:7" x14ac:dyDescent="0.3">
      <c r="A5425" s="1" t="s">
        <v>4</v>
      </c>
      <c r="B5425" s="2" t="str">
        <f t="shared" si="448"/>
        <v>SISTEMA DE GERENCIAMENTO DE ESTOQUE</v>
      </c>
      <c r="C5425" s="2" t="str">
        <f t="shared" si="449"/>
        <v>SUPRI</v>
      </c>
      <c r="D5425" s="2" t="str">
        <f t="shared" si="450"/>
        <v>MGES</v>
      </c>
      <c r="E5425" s="2" t="str">
        <f>"Motivos de Cancel. NF-e Simples Remessa"</f>
        <v>Motivos de Cancel. NF-e Simples Remessa</v>
      </c>
      <c r="F5425" s="2" t="str">
        <f>"M_MOTIVO_CANCELAMENTO_NFSR"</f>
        <v>M_MOTIVO_CANCELAMENTO_NFSR</v>
      </c>
      <c r="G5425" s="2" t="str">
        <f>"Materiais e Logística / Almoxarifado / Tabelas / Motivos de Cancel. NF-e Simples Remessa (M_MOTIVO_CANCELAMENTO_NFSR)"</f>
        <v>Materiais e Logística / Almoxarifado / Tabelas / Motivos de Cancel. NF-e Simples Remessa (M_MOTIVO_CANCELAMENTO_NFSR)</v>
      </c>
    </row>
    <row r="5426" spans="1:7" x14ac:dyDescent="0.3">
      <c r="A5426" s="1" t="s">
        <v>4</v>
      </c>
      <c r="B5426" s="2" t="str">
        <f t="shared" si="448"/>
        <v>SISTEMA DE GERENCIAMENTO DE ESTOQUE</v>
      </c>
      <c r="C5426" s="2" t="str">
        <f t="shared" si="449"/>
        <v>SUPRI</v>
      </c>
      <c r="D5426" s="2" t="str">
        <f t="shared" si="450"/>
        <v>MGES</v>
      </c>
      <c r="E5426" s="2" t="str">
        <f>"Formulário NF-e Simples Remessa"</f>
        <v>Formulário NF-e Simples Remessa</v>
      </c>
      <c r="F5426" s="2" t="str">
        <f>"M_FORMULARIO_NF_SR"</f>
        <v>M_FORMULARIO_NF_SR</v>
      </c>
      <c r="G5426" s="2" t="str">
        <f>"Materiais e Logística / Almoxarifado / Tabelas / Formulário NF-e Simples Remessa (M_FORMULARIO_NF_SR)"</f>
        <v>Materiais e Logística / Almoxarifado / Tabelas / Formulário NF-e Simples Remessa (M_FORMULARIO_NF_SR)</v>
      </c>
    </row>
    <row r="5427" spans="1:7" x14ac:dyDescent="0.3">
      <c r="A5427" s="1" t="s">
        <v>4</v>
      </c>
      <c r="B5427" s="2" t="str">
        <f t="shared" si="448"/>
        <v>SISTEMA DE GERENCIAMENTO DE ESTOQUE</v>
      </c>
      <c r="C5427" s="2" t="str">
        <f t="shared" si="449"/>
        <v>SUPRI</v>
      </c>
      <c r="D5427" s="2" t="str">
        <f t="shared" si="450"/>
        <v>MGES</v>
      </c>
      <c r="E5427" s="2" t="str">
        <f>"Modifica controle de lote e validade"</f>
        <v>Modifica controle de lote e validade</v>
      </c>
      <c r="F5427" s="2" t="str">
        <f>"M_MODIFICA_PRODUTO"</f>
        <v>M_MODIFICA_PRODUTO</v>
      </c>
      <c r="G5427" s="2" t="str">
        <f>"Materiais e Logística / Almoxarifado / Tabelas / Classificação dos Produtos / Modifica controle de lote e validade (M_MODIFICA_PRODUTO)"</f>
        <v>Materiais e Logística / Almoxarifado / Tabelas / Classificação dos Produtos / Modifica controle de lote e validade (M_MODIFICA_PRODUTO)</v>
      </c>
    </row>
    <row r="5428" spans="1:7" x14ac:dyDescent="0.3">
      <c r="A5428" s="1" t="s">
        <v>4</v>
      </c>
      <c r="B5428" s="2" t="str">
        <f t="shared" si="448"/>
        <v>SISTEMA DE GERENCIAMENTO DE ESTOQUE</v>
      </c>
      <c r="C5428" s="2" t="str">
        <f t="shared" si="449"/>
        <v>SUPRI</v>
      </c>
      <c r="D5428" s="2" t="str">
        <f t="shared" si="450"/>
        <v>MGES</v>
      </c>
      <c r="E5428" s="2" t="str">
        <f>"RELATORIO DE EMPRESTIMO DE SAIDA"</f>
        <v>RELATORIO DE EMPRESTIMO DE SAIDA</v>
      </c>
      <c r="F5428" s="2" t="str">
        <f>"R_EMPRESTIMO_SAI"</f>
        <v>R_EMPRESTIMO_SAI</v>
      </c>
      <c r="G5428" s="2" t="str">
        <f>" ()"</f>
        <v xml:space="preserve"> ()</v>
      </c>
    </row>
    <row r="5429" spans="1:7" x14ac:dyDescent="0.3">
      <c r="A5429" s="1" t="s">
        <v>4</v>
      </c>
      <c r="B5429" s="2" t="str">
        <f t="shared" si="448"/>
        <v>SISTEMA DE GERENCIAMENTO DE ESTOQUE</v>
      </c>
      <c r="C5429" s="2" t="str">
        <f t="shared" si="449"/>
        <v>SUPRI</v>
      </c>
      <c r="D5429" s="2" t="str">
        <f t="shared" si="450"/>
        <v>MGES</v>
      </c>
      <c r="E5429" s="2" t="str">
        <f>"LISTAGEM DE PRODUTOS POR ESTOQUE"</f>
        <v>LISTAGEM DE PRODUTOS POR ESTOQUE</v>
      </c>
      <c r="F5429" s="2" t="str">
        <f>"R_LIST_PROD_VITORIA_ESTOQUE"</f>
        <v>R_LIST_PROD_VITORIA_ESTOQUE</v>
      </c>
      <c r="G5429" s="2" t="str">
        <f>" ()"</f>
        <v xml:space="preserve"> ()</v>
      </c>
    </row>
    <row r="5430" spans="1:7" x14ac:dyDescent="0.3">
      <c r="A5430" s="1" t="s">
        <v>4</v>
      </c>
      <c r="B5430" s="2" t="str">
        <f t="shared" si="448"/>
        <v>SISTEMA DE GERENCIAMENTO DE ESTOQUE</v>
      </c>
      <c r="C5430" s="2" t="str">
        <f t="shared" si="449"/>
        <v>SUPRI</v>
      </c>
      <c r="D5430" s="2" t="str">
        <f t="shared" si="450"/>
        <v>MGES</v>
      </c>
      <c r="E5430" s="2" t="str">
        <f>"R_RES_CONT_SAI_CONSOL"</f>
        <v>R_RES_CONT_SAI_CONSOL</v>
      </c>
      <c r="F5430" s="2" t="str">
        <f>"R_RES_CONT_SAI_CONSOL"</f>
        <v>R_RES_CONT_SAI_CONSOL</v>
      </c>
      <c r="G5430" s="2" t="str">
        <f>" ()"</f>
        <v xml:space="preserve"> ()</v>
      </c>
    </row>
    <row r="5431" spans="1:7" x14ac:dyDescent="0.3">
      <c r="A5431" s="1" t="s">
        <v>4</v>
      </c>
      <c r="B5431" s="2" t="str">
        <f t="shared" si="448"/>
        <v>SISTEMA DE GERENCIAMENTO DE ESTOQUE</v>
      </c>
      <c r="C5431" s="2" t="str">
        <f t="shared" si="449"/>
        <v>SUPRI</v>
      </c>
      <c r="D5431" s="2" t="str">
        <f t="shared" si="450"/>
        <v>MGES</v>
      </c>
      <c r="E5431" s="2" t="str">
        <f>"R_DEV_FOR_ESPEC"</f>
        <v>R_DEV_FOR_ESPEC</v>
      </c>
      <c r="F5431" s="2" t="str">
        <f>"R_DEV_FOR_ESPEC"</f>
        <v>R_DEV_FOR_ESPEC</v>
      </c>
      <c r="G5431" s="2" t="str">
        <f>"Materiais e Logística / Almoxarifado / Relatórios / Contábeis / Resumo das Devoluções de Fornecedores por Espécie (R_DEV_FOR_ESPEC)"</f>
        <v>Materiais e Logística / Almoxarifado / Relatórios / Contábeis / Resumo das Devoluções de Fornecedores por Espécie (R_DEV_FOR_ESPEC)</v>
      </c>
    </row>
    <row r="5432" spans="1:7" x14ac:dyDescent="0.3">
      <c r="A5432" s="1" t="s">
        <v>4</v>
      </c>
      <c r="B5432" s="2" t="str">
        <f t="shared" si="448"/>
        <v>SISTEMA DE GERENCIAMENTO DE ESTOQUE</v>
      </c>
      <c r="C5432" s="2" t="str">
        <f t="shared" si="449"/>
        <v>SUPRI</v>
      </c>
      <c r="D5432" s="2" t="str">
        <f t="shared" si="450"/>
        <v>MGES</v>
      </c>
      <c r="E5432" s="2" t="str">
        <f>"ENTRADA DOS PRODUTOS"</f>
        <v>ENTRADA DOS PRODUTOS</v>
      </c>
      <c r="F5432" s="2" t="str">
        <f>"M_ENTRADA_NOVA_CMD"</f>
        <v>M_ENTRADA_NOVA_CMD</v>
      </c>
      <c r="G5432" s="2" t="str">
        <f>" ()"</f>
        <v xml:space="preserve"> ()</v>
      </c>
    </row>
    <row r="5433" spans="1:7" x14ac:dyDescent="0.3">
      <c r="A5433" s="1" t="s">
        <v>4</v>
      </c>
      <c r="B5433" s="2" t="str">
        <f t="shared" si="448"/>
        <v>SISTEMA DE GERENCIAMENTO DE ESTOQUE</v>
      </c>
      <c r="C5433" s="2" t="str">
        <f t="shared" si="449"/>
        <v>SUPRI</v>
      </c>
      <c r="D5433" s="2" t="str">
        <f t="shared" si="450"/>
        <v>MGES</v>
      </c>
      <c r="E5433" s="2" t="str">
        <f>"REL ENTRADA DE PRODUTOS POR NOTA FISCAL"</f>
        <v>REL ENTRADA DE PRODUTOS POR NOTA FISCAL</v>
      </c>
      <c r="F5433" s="2" t="str">
        <f>"R_EST_EN_PRODUTO_NOTA"</f>
        <v>R_EST_EN_PRODUTO_NOTA</v>
      </c>
      <c r="G5433" s="2" t="str">
        <f>" ()"</f>
        <v xml:space="preserve"> ()</v>
      </c>
    </row>
    <row r="5434" spans="1:7" x14ac:dyDescent="0.3">
      <c r="A5434" s="1" t="s">
        <v>4</v>
      </c>
      <c r="B5434" s="2" t="str">
        <f t="shared" si="448"/>
        <v>SISTEMA DE GERENCIAMENTO DE ESTOQUE</v>
      </c>
      <c r="C5434" s="2" t="str">
        <f t="shared" si="449"/>
        <v>SUPRI</v>
      </c>
      <c r="D5434" s="2" t="str">
        <f t="shared" si="450"/>
        <v>MGES</v>
      </c>
      <c r="E5434" s="2" t="str">
        <f>"VERIFICAÇÃO ROTATIVA DE SALDO"</f>
        <v>VERIFICAÇÃO ROTATIVA DE SALDO</v>
      </c>
      <c r="F5434" s="2" t="str">
        <f>"M_VERIFICACAO_ROTATIVA"</f>
        <v>M_VERIFICACAO_ROTATIVA</v>
      </c>
      <c r="G5434" s="2" t="str">
        <f>"Materiais e Logística / Almoxarifado / Cálculos / Verificação Rotativa de Saldo (M_VERIFICACAO_ROTATIVA)"</f>
        <v>Materiais e Logística / Almoxarifado / Cálculos / Verificação Rotativa de Saldo (M_VERIFICACAO_ROTATIVA)</v>
      </c>
    </row>
    <row r="5435" spans="1:7" x14ac:dyDescent="0.3">
      <c r="A5435" s="1" t="s">
        <v>4</v>
      </c>
      <c r="B5435" s="2" t="str">
        <f t="shared" si="448"/>
        <v>SISTEMA DE GERENCIAMENTO DE ESTOQUE</v>
      </c>
      <c r="C5435" s="2" t="str">
        <f t="shared" si="449"/>
        <v>SUPRI</v>
      </c>
      <c r="D5435" s="2" t="str">
        <f t="shared" si="450"/>
        <v>MGES</v>
      </c>
      <c r="E5435" s="2" t="str">
        <f>"PENDENTE DE CONSUMO"</f>
        <v>PENDENTE DE CONSUMO</v>
      </c>
      <c r="F5435" s="2" t="str">
        <f>"M_CON_PEND_CONSUMO"</f>
        <v>M_CON_PEND_CONSUMO</v>
      </c>
      <c r="G5435" s="2" t="str">
        <f>"Materiais e Logística / Almoxarifado / Consultas / Pendências de Confirmação de Consumo (M_CON_PEND_CONSUMO)"</f>
        <v>Materiais e Logística / Almoxarifado / Consultas / Pendências de Confirmação de Consumo (M_CON_PEND_CONSUMO)</v>
      </c>
    </row>
    <row r="5436" spans="1:7" x14ac:dyDescent="0.3">
      <c r="A5436" s="1" t="s">
        <v>4</v>
      </c>
      <c r="B5436" s="2" t="str">
        <f t="shared" si="448"/>
        <v>SISTEMA DE GERENCIAMENTO DE ESTOQUE</v>
      </c>
      <c r="C5436" s="2" t="str">
        <f t="shared" si="449"/>
        <v>SUPRI</v>
      </c>
      <c r="D5436" s="2" t="str">
        <f t="shared" si="450"/>
        <v>MGES</v>
      </c>
      <c r="E5436" s="2" t="str">
        <f>"RELATÓRIO DE RASTREABILIDADE DE LOTE"</f>
        <v>RELATÓRIO DE RASTREABILIDADE DE LOTE</v>
      </c>
      <c r="F5436" s="2" t="str">
        <f>"R_RASTRIAB_LOTE.RDF"</f>
        <v>R_RASTRIAB_LOTE.RDF</v>
      </c>
      <c r="G5436" s="2" t="str">
        <f>" ()"</f>
        <v xml:space="preserve"> ()</v>
      </c>
    </row>
    <row r="5437" spans="1:7" x14ac:dyDescent="0.3">
      <c r="A5437" s="1" t="s">
        <v>4</v>
      </c>
      <c r="B5437" s="2" t="str">
        <f t="shared" si="448"/>
        <v>SISTEMA DE GERENCIAMENTO DE ESTOQUE</v>
      </c>
      <c r="C5437" s="2" t="str">
        <f t="shared" si="449"/>
        <v>SUPRI</v>
      </c>
      <c r="D5437" s="2" t="str">
        <f t="shared" si="450"/>
        <v>MGES</v>
      </c>
      <c r="E5437" s="2" t="str">
        <f>"C_RECEBIMENTO_EMP_INTEGRA"</f>
        <v>C_RECEBIMENTO_EMP_INTEGRA</v>
      </c>
      <c r="F5437" s="2" t="str">
        <f>"C_RECEBIMENTO_EMP_INTEGRA"</f>
        <v>C_RECEBIMENTO_EMP_INTEGRA</v>
      </c>
      <c r="G5437" s="2" t="str">
        <f>"Materiais e Logística / Almoxarifado / Movimentações / Movimentação entre empresas / Consulta de Receb. de transf. entre empresas(Integração) (C_RECEBIMENTO_EMP_INTEGRA)"</f>
        <v>Materiais e Logística / Almoxarifado / Movimentações / Movimentação entre empresas / Consulta de Receb. de transf. entre empresas(Integração) (C_RECEBIMENTO_EMP_INTEGRA)</v>
      </c>
    </row>
    <row r="5438" spans="1:7" x14ac:dyDescent="0.3">
      <c r="A5438" s="1" t="s">
        <v>4</v>
      </c>
      <c r="B5438" s="2" t="str">
        <f t="shared" si="448"/>
        <v>SISTEMA DE GERENCIAMENTO DE ESTOQUE</v>
      </c>
      <c r="C5438" s="2" t="str">
        <f t="shared" si="449"/>
        <v>SUPRI</v>
      </c>
      <c r="D5438" s="2" t="str">
        <f t="shared" si="450"/>
        <v>MGES</v>
      </c>
      <c r="E5438" s="2" t="str">
        <f>"Kits - Específico"</f>
        <v>Kits - Específico</v>
      </c>
      <c r="F5438" s="2" t="str">
        <f>"M_KIT_MGES_ESPECIFICO"</f>
        <v>M_KIT_MGES_ESPECIFICO</v>
      </c>
      <c r="G5438" s="2" t="str">
        <f t="shared" ref="G5438:G5443" si="452">" ()"</f>
        <v xml:space="preserve"> ()</v>
      </c>
    </row>
    <row r="5439" spans="1:7" x14ac:dyDescent="0.3">
      <c r="A5439" s="1" t="s">
        <v>4</v>
      </c>
      <c r="B5439" s="2" t="str">
        <f t="shared" si="448"/>
        <v>SISTEMA DE GERENCIAMENTO DE ESTOQUE</v>
      </c>
      <c r="C5439" s="2" t="str">
        <f t="shared" si="449"/>
        <v>SUPRI</v>
      </c>
      <c r="D5439" s="2" t="str">
        <f t="shared" si="450"/>
        <v>MGES</v>
      </c>
      <c r="E5439" s="2" t="str">
        <f>"Saída por Setor - Estoque"</f>
        <v>Saída por Setor - Estoque</v>
      </c>
      <c r="F5439" s="2" t="str">
        <f>"R_SETOR_ESTOQUE"</f>
        <v>R_SETOR_ESTOQUE</v>
      </c>
      <c r="G5439" s="2" t="str">
        <f t="shared" si="452"/>
        <v xml:space="preserve"> ()</v>
      </c>
    </row>
    <row r="5440" spans="1:7" x14ac:dyDescent="0.3">
      <c r="A5440" s="1" t="s">
        <v>4</v>
      </c>
      <c r="B5440" s="2" t="str">
        <f t="shared" si="448"/>
        <v>SISTEMA DE GERENCIAMENTO DE ESTOQUE</v>
      </c>
      <c r="C5440" s="2" t="str">
        <f t="shared" si="449"/>
        <v>SUPRI</v>
      </c>
      <c r="D5440" s="2" t="str">
        <f t="shared" si="450"/>
        <v>MGES</v>
      </c>
      <c r="E5440" s="2" t="str">
        <f>"Saída por Setor - Espécie"</f>
        <v>Saída por Setor - Espécie</v>
      </c>
      <c r="F5440" s="2" t="str">
        <f>"R_SETOR_ESPECIE"</f>
        <v>R_SETOR_ESPECIE</v>
      </c>
      <c r="G5440" s="2" t="str">
        <f t="shared" si="452"/>
        <v xml:space="preserve"> ()</v>
      </c>
    </row>
    <row r="5441" spans="1:7" x14ac:dyDescent="0.3">
      <c r="A5441" s="1" t="s">
        <v>4</v>
      </c>
      <c r="B5441" s="2" t="str">
        <f t="shared" si="448"/>
        <v>SISTEMA DE GERENCIAMENTO DE ESTOQUE</v>
      </c>
      <c r="C5441" s="2" t="str">
        <f t="shared" si="449"/>
        <v>SUPRI</v>
      </c>
      <c r="D5441" s="2" t="str">
        <f t="shared" si="450"/>
        <v>MGES</v>
      </c>
      <c r="E5441" s="2" t="str">
        <f>"Alteração de Lote e Validade"</f>
        <v>Alteração de Lote e Validade</v>
      </c>
      <c r="F5441" s="2" t="str">
        <f>"M_ALTERACAO_LOTE_VALIDADE"</f>
        <v>M_ALTERACAO_LOTE_VALIDADE</v>
      </c>
      <c r="G5441" s="2" t="str">
        <f t="shared" si="452"/>
        <v xml:space="preserve"> ()</v>
      </c>
    </row>
    <row r="5442" spans="1:7" x14ac:dyDescent="0.3">
      <c r="A5442" s="1" t="s">
        <v>4</v>
      </c>
      <c r="B5442" s="2" t="str">
        <f t="shared" si="448"/>
        <v>SISTEMA DE GERENCIAMENTO DE ESTOQUE</v>
      </c>
      <c r="C5442" s="2" t="str">
        <f t="shared" si="449"/>
        <v>SUPRI</v>
      </c>
      <c r="D5442" s="2" t="str">
        <f t="shared" si="450"/>
        <v>MGES</v>
      </c>
      <c r="E5442" s="2" t="str">
        <f>"Geração do Inventário"</f>
        <v>Geração do Inventário</v>
      </c>
      <c r="F5442" s="2" t="str">
        <f>"M_GERA_INVENTARIO"</f>
        <v>M_GERA_INVENTARIO</v>
      </c>
      <c r="G5442" s="2" t="str">
        <f t="shared" si="452"/>
        <v xml:space="preserve"> ()</v>
      </c>
    </row>
    <row r="5443" spans="1:7" x14ac:dyDescent="0.3">
      <c r="A5443" s="1" t="s">
        <v>4</v>
      </c>
      <c r="B5443" s="2" t="str">
        <f t="shared" si="448"/>
        <v>SISTEMA DE GERENCIAMENTO DE ESTOQUE</v>
      </c>
      <c r="C5443" s="2" t="str">
        <f t="shared" si="449"/>
        <v>SUPRI</v>
      </c>
      <c r="D5443" s="2" t="str">
        <f t="shared" si="450"/>
        <v>MGES</v>
      </c>
      <c r="E5443" s="2" t="str">
        <f>"Contagem do Inventário"</f>
        <v>Contagem do Inventário</v>
      </c>
      <c r="F5443" s="2" t="str">
        <f>"M_CONTAGEM_INVENTARIO"</f>
        <v>M_CONTAGEM_INVENTARIO</v>
      </c>
      <c r="G5443" s="2" t="str">
        <f t="shared" si="452"/>
        <v xml:space="preserve"> ()</v>
      </c>
    </row>
    <row r="5444" spans="1:7" x14ac:dyDescent="0.3">
      <c r="A5444" s="1" t="s">
        <v>4</v>
      </c>
      <c r="B5444" s="2" t="str">
        <f t="shared" si="448"/>
        <v>SISTEMA DE GERENCIAMENTO DE ESTOQUE</v>
      </c>
      <c r="C5444" s="2" t="str">
        <f t="shared" si="449"/>
        <v>SUPRI</v>
      </c>
      <c r="D5444" s="2" t="str">
        <f t="shared" si="450"/>
        <v>MGES</v>
      </c>
      <c r="E5444" s="2" t="str">
        <f>"Produtos de preparação de doses a vencer"</f>
        <v>Produtos de preparação de doses a vencer</v>
      </c>
      <c r="F5444" s="2" t="str">
        <f>"M_PROD_A_VENCER"</f>
        <v>M_PROD_A_VENCER</v>
      </c>
      <c r="G5444" s="2" t="str">
        <f>"Produtos de preparação de doses a vencer (M_PROD_A_VENCER)"</f>
        <v>Produtos de preparação de doses a vencer (M_PROD_A_VENCER)</v>
      </c>
    </row>
    <row r="5445" spans="1:7" x14ac:dyDescent="0.3">
      <c r="A5445" s="1" t="s">
        <v>4</v>
      </c>
      <c r="B5445" s="2" t="str">
        <f t="shared" si="448"/>
        <v>SISTEMA DE GERENCIAMENTO DE ESTOQUE</v>
      </c>
      <c r="C5445" s="2" t="str">
        <f t="shared" si="449"/>
        <v>SUPRI</v>
      </c>
      <c r="D5445" s="2" t="str">
        <f t="shared" si="450"/>
        <v>MGES</v>
      </c>
      <c r="E5445" s="2" t="str">
        <f>"Preparação de Doses"</f>
        <v>Preparação de Doses</v>
      </c>
      <c r="F5445" s="2" t="str">
        <f>"M_PREPARACAO_DOSES"</f>
        <v>M_PREPARACAO_DOSES</v>
      </c>
      <c r="G5445" s="2" t="str">
        <f>"Preparação de Doses (M_PREPARACAO_DOSES)"</f>
        <v>Preparação de Doses (M_PREPARACAO_DOSES)</v>
      </c>
    </row>
    <row r="5446" spans="1:7" x14ac:dyDescent="0.3">
      <c r="A5446" s="1" t="s">
        <v>4</v>
      </c>
      <c r="B5446" s="2" t="str">
        <f t="shared" si="448"/>
        <v>SISTEMA DE GERENCIAMENTO DE ESTOQUE</v>
      </c>
      <c r="C5446" s="2" t="str">
        <f t="shared" si="449"/>
        <v>SUPRI</v>
      </c>
      <c r="D5446" s="2" t="str">
        <f t="shared" si="450"/>
        <v>MGES</v>
      </c>
      <c r="E5446" s="2" t="str">
        <f>"Mapa de Pacientes"</f>
        <v>Mapa de Pacientes</v>
      </c>
      <c r="F5446" s="2" t="str">
        <f>"M_MAPA_PACIENTE"</f>
        <v>M_MAPA_PACIENTE</v>
      </c>
      <c r="G5446" s="2" t="str">
        <f>"Materiais e Logística / Almoxarifado / Consultas / Mapa de Pacientes (M_MAPA_PACIENTE)"</f>
        <v>Materiais e Logística / Almoxarifado / Consultas / Mapa de Pacientes (M_MAPA_PACIENTE)</v>
      </c>
    </row>
    <row r="5447" spans="1:7" x14ac:dyDescent="0.3">
      <c r="A5447" s="1" t="s">
        <v>4</v>
      </c>
      <c r="B5447" s="2" t="str">
        <f t="shared" si="448"/>
        <v>SISTEMA DE GERENCIAMENTO DE ESTOQUE</v>
      </c>
      <c r="C5447" s="2" t="str">
        <f t="shared" si="449"/>
        <v>SUPRI</v>
      </c>
      <c r="D5447" s="2" t="str">
        <f t="shared" si="450"/>
        <v>MGES</v>
      </c>
      <c r="E5447" s="2" t="str">
        <f>"Abertura do Inventário"</f>
        <v>Abertura do Inventário</v>
      </c>
      <c r="F5447" s="2" t="str">
        <f>"M_ABERTURA_INVENTARIO"</f>
        <v>M_ABERTURA_INVENTARIO</v>
      </c>
      <c r="G5447" s="2" t="str">
        <f t="shared" ref="G5447:G5453" si="453">" ()"</f>
        <v xml:space="preserve"> ()</v>
      </c>
    </row>
    <row r="5448" spans="1:7" x14ac:dyDescent="0.3">
      <c r="A5448" s="1" t="s">
        <v>4</v>
      </c>
      <c r="B5448" s="2" t="str">
        <f t="shared" si="448"/>
        <v>SISTEMA DE GERENCIAMENTO DE ESTOQUE</v>
      </c>
      <c r="C5448" s="2" t="str">
        <f t="shared" si="449"/>
        <v>SUPRI</v>
      </c>
      <c r="D5448" s="2" t="str">
        <f t="shared" si="450"/>
        <v>MGES</v>
      </c>
      <c r="E5448" s="2" t="str">
        <f>"Processamento Invent Múltiplas Contagens"</f>
        <v>Processamento Invent Múltiplas Contagens</v>
      </c>
      <c r="F5448" s="2" t="str">
        <f>"M_PROCESSA_INVENTARIO"</f>
        <v>M_PROCESSA_INVENTARIO</v>
      </c>
      <c r="G5448" s="2" t="str">
        <f t="shared" si="453"/>
        <v xml:space="preserve"> ()</v>
      </c>
    </row>
    <row r="5449" spans="1:7" x14ac:dyDescent="0.3">
      <c r="A5449" s="1" t="s">
        <v>4</v>
      </c>
      <c r="B5449" s="2" t="str">
        <f t="shared" si="448"/>
        <v>SISTEMA DE GERENCIAMENTO DE ESTOQUE</v>
      </c>
      <c r="C5449" s="2" t="str">
        <f t="shared" si="449"/>
        <v>SUPRI</v>
      </c>
      <c r="D5449" s="2" t="str">
        <f t="shared" si="450"/>
        <v>MGES</v>
      </c>
      <c r="E5449" s="2" t="str">
        <f>"Contagem Inventário Múltiplas Contagens"</f>
        <v>Contagem Inventário Múltiplas Contagens</v>
      </c>
      <c r="F5449" s="2" t="str">
        <f>"O_CONTAGEM_CONF"</f>
        <v>O_CONTAGEM_CONF</v>
      </c>
      <c r="G5449" s="2" t="str">
        <f t="shared" si="453"/>
        <v xml:space="preserve"> ()</v>
      </c>
    </row>
    <row r="5450" spans="1:7" x14ac:dyDescent="0.3">
      <c r="A5450" s="1" t="s">
        <v>4</v>
      </c>
      <c r="B5450" s="2" t="str">
        <f t="shared" si="448"/>
        <v>SISTEMA DE GERENCIAMENTO DE ESTOQUE</v>
      </c>
      <c r="C5450" s="2" t="str">
        <f t="shared" si="449"/>
        <v>SUPRI</v>
      </c>
      <c r="D5450" s="2" t="str">
        <f t="shared" si="450"/>
        <v>MGES</v>
      </c>
      <c r="E5450" s="2" t="str">
        <f>"Abertura Inventário Múltiplas Contagens"</f>
        <v>Abertura Inventário Múltiplas Contagens</v>
      </c>
      <c r="F5450" s="2" t="str">
        <f>"M_ABERCONTAGEM_CONF"</f>
        <v>M_ABERCONTAGEM_CONF</v>
      </c>
      <c r="G5450" s="2" t="str">
        <f t="shared" si="453"/>
        <v xml:space="preserve"> ()</v>
      </c>
    </row>
    <row r="5451" spans="1:7" x14ac:dyDescent="0.3">
      <c r="A5451" s="1" t="s">
        <v>4</v>
      </c>
      <c r="B5451" s="2" t="str">
        <f t="shared" si="448"/>
        <v>SISTEMA DE GERENCIAMENTO DE ESTOQUE</v>
      </c>
      <c r="C5451" s="2" t="str">
        <f t="shared" si="449"/>
        <v>SUPRI</v>
      </c>
      <c r="D5451" s="2" t="str">
        <f t="shared" si="450"/>
        <v>MGES</v>
      </c>
      <c r="E5451" s="2" t="str">
        <f>"CFOP por tipo de Documento"</f>
        <v>CFOP por tipo de Documento</v>
      </c>
      <c r="F5451" s="2" t="str">
        <f>"M_DOCUMENTO_CFOP"</f>
        <v>M_DOCUMENTO_CFOP</v>
      </c>
      <c r="G5451" s="2" t="str">
        <f t="shared" si="453"/>
        <v xml:space="preserve"> ()</v>
      </c>
    </row>
    <row r="5452" spans="1:7" x14ac:dyDescent="0.3">
      <c r="A5452" s="1" t="s">
        <v>4</v>
      </c>
      <c r="B5452" s="2" t="str">
        <f t="shared" si="448"/>
        <v>SISTEMA DE GERENCIAMENTO DE ESTOQUE</v>
      </c>
      <c r="C5452" s="2" t="str">
        <f t="shared" si="449"/>
        <v>SUPRI</v>
      </c>
      <c r="D5452" s="2" t="str">
        <f t="shared" si="450"/>
        <v>MGES</v>
      </c>
      <c r="E5452" s="2" t="str">
        <f>"CFOP por tipo de Documento"</f>
        <v>CFOP por tipo de Documento</v>
      </c>
      <c r="F5452" s="2" t="str">
        <f>"M_DOCUMENTO_CFO"</f>
        <v>M_DOCUMENTO_CFO</v>
      </c>
      <c r="G5452" s="2" t="str">
        <f t="shared" si="453"/>
        <v xml:space="preserve"> ()</v>
      </c>
    </row>
    <row r="5453" spans="1:7" x14ac:dyDescent="0.3">
      <c r="A5453" s="1" t="s">
        <v>4</v>
      </c>
      <c r="B5453" s="2" t="str">
        <f t="shared" si="448"/>
        <v>SISTEMA DE GERENCIAMENTO DE ESTOQUE</v>
      </c>
      <c r="C5453" s="2" t="str">
        <f t="shared" si="449"/>
        <v>SUPRI</v>
      </c>
      <c r="D5453" s="2" t="str">
        <f t="shared" si="450"/>
        <v>MGES</v>
      </c>
      <c r="E5453" s="2" t="str">
        <f>"Entrada de Fornecedores Sintético"</f>
        <v>Entrada de Fornecedores Sintético</v>
      </c>
      <c r="F5453" s="2" t="str">
        <f>"R_EST_ENTRADA_FORN_SINT"</f>
        <v>R_EST_ENTRADA_FORN_SINT</v>
      </c>
      <c r="G5453" s="2" t="str">
        <f t="shared" si="453"/>
        <v xml:space="preserve"> ()</v>
      </c>
    </row>
    <row r="5454" spans="1:7" x14ac:dyDescent="0.3">
      <c r="A5454" s="1" t="s">
        <v>4</v>
      </c>
      <c r="B5454" s="2" t="str">
        <f t="shared" si="448"/>
        <v>SISTEMA DE GERENCIAMENTO DE ESTOQUE</v>
      </c>
      <c r="C5454" s="2" t="str">
        <f t="shared" si="449"/>
        <v>SUPRI</v>
      </c>
      <c r="D5454" s="2" t="str">
        <f t="shared" si="450"/>
        <v>MGES</v>
      </c>
      <c r="E5454" s="2" t="str">
        <f>"Envio Solicitações ao Kardex"</f>
        <v>Envio Solicitações ao Kardex</v>
      </c>
      <c r="F5454" s="2" t="str">
        <f>"M_BAIXASOL_KARDEX"</f>
        <v>M_BAIXASOL_KARDEX</v>
      </c>
      <c r="G5454" s="2" t="str">
        <f>"Materiais e Logística / Almoxarifado / Solicitações / Envio Solicitações ao Kardex (M_BAIXASOL_KARDEX)"</f>
        <v>Materiais e Logística / Almoxarifado / Solicitações / Envio Solicitações ao Kardex (M_BAIXASOL_KARDEX)</v>
      </c>
    </row>
    <row r="5455" spans="1:7" x14ac:dyDescent="0.3">
      <c r="A5455" s="1" t="s">
        <v>4</v>
      </c>
      <c r="B5455" s="2" t="str">
        <f t="shared" si="448"/>
        <v>SISTEMA DE GERENCIAMENTO DE ESTOQUE</v>
      </c>
      <c r="C5455" s="2" t="str">
        <f t="shared" si="449"/>
        <v>SUPRI</v>
      </c>
      <c r="D5455" s="2" t="str">
        <f t="shared" si="450"/>
        <v>MGES</v>
      </c>
      <c r="E5455" s="2" t="str">
        <f>"Por Venda"</f>
        <v>Por Venda</v>
      </c>
      <c r="F5455" s="2" t="str">
        <f>"M_SAISET_VENDA"</f>
        <v>M_SAISET_VENDA</v>
      </c>
      <c r="G5455" s="2" t="str">
        <f>"Por Venda (M_SAISET_VENDA)"</f>
        <v>Por Venda (M_SAISET_VENDA)</v>
      </c>
    </row>
    <row r="5456" spans="1:7" x14ac:dyDescent="0.3">
      <c r="A5456" s="1" t="s">
        <v>4</v>
      </c>
      <c r="B5456" s="2" t="str">
        <f t="shared" si="448"/>
        <v>SISTEMA DE GERENCIAMENTO DE ESTOQUE</v>
      </c>
      <c r="C5456" s="2" t="str">
        <f t="shared" si="449"/>
        <v>SUPRI</v>
      </c>
      <c r="D5456" s="2" t="str">
        <f t="shared" si="450"/>
        <v>MGES</v>
      </c>
      <c r="E5456" s="2" t="str">
        <f>"Unifica Produtos Consignados"</f>
        <v>Unifica Produtos Consignados</v>
      </c>
      <c r="F5456" s="2" t="str">
        <f>"M_PRODUTO_UNIFICADO"</f>
        <v>M_PRODUTO_UNIFICADO</v>
      </c>
      <c r="G5456" s="2" t="str">
        <f>"Materiais e Logística / Almoxarifado / Tabelas / Classificação dos Produtos / Unifica Produtos Consignados (M_PRODUTO_UNIFICADO)"</f>
        <v>Materiais e Logística / Almoxarifado / Tabelas / Classificação dos Produtos / Unifica Produtos Consignados (M_PRODUTO_UNIFICADO)</v>
      </c>
    </row>
    <row r="5457" spans="1:7" x14ac:dyDescent="0.3">
      <c r="A5457" s="1" t="s">
        <v>4</v>
      </c>
      <c r="B5457" s="2" t="str">
        <f t="shared" si="448"/>
        <v>SISTEMA DE GERENCIAMENTO DE ESTOQUE</v>
      </c>
      <c r="C5457" s="2" t="str">
        <f t="shared" si="449"/>
        <v>SUPRI</v>
      </c>
      <c r="D5457" s="2" t="str">
        <f t="shared" si="450"/>
        <v>MGES</v>
      </c>
      <c r="E5457" s="2" t="str">
        <f>"Exportação de NF-e para Sapiens"</f>
        <v>Exportação de NF-e para Sapiens</v>
      </c>
      <c r="F5457" s="2" t="str">
        <f>"M_NFSR_SAPIENS"</f>
        <v>M_NFSR_SAPIENS</v>
      </c>
      <c r="G5457" s="2" t="str">
        <f>" ()"</f>
        <v xml:space="preserve"> ()</v>
      </c>
    </row>
    <row r="5458" spans="1:7" x14ac:dyDescent="0.3">
      <c r="A5458" s="1" t="s">
        <v>4</v>
      </c>
      <c r="B5458" s="2" t="str">
        <f t="shared" si="448"/>
        <v>SISTEMA DE GERENCIAMENTO DE ESTOQUE</v>
      </c>
      <c r="C5458" s="2" t="str">
        <f t="shared" si="449"/>
        <v>SUPRI</v>
      </c>
      <c r="D5458" s="2" t="str">
        <f t="shared" si="450"/>
        <v>MGES</v>
      </c>
      <c r="E5458" s="2" t="str">
        <f>"WIN_PRINCIPAL"</f>
        <v>WIN_PRINCIPAL</v>
      </c>
      <c r="F5458" s="2" t="str">
        <f>"O_CONTAGEM_KIT"</f>
        <v>O_CONTAGEM_KIT</v>
      </c>
      <c r="G5458" s="2" t="str">
        <f>"Materiais e Logística / Almoxarifado / Movimentações / Produção de Kits / Contagem de Kits (O_CONTAGEM_KIT)"</f>
        <v>Materiais e Logística / Almoxarifado / Movimentações / Produção de Kits / Contagem de Kits (O_CONTAGEM_KIT)</v>
      </c>
    </row>
    <row r="5459" spans="1:7" x14ac:dyDescent="0.3">
      <c r="A5459" s="1" t="s">
        <v>4</v>
      </c>
      <c r="B5459" s="2" t="str">
        <f t="shared" si="448"/>
        <v>SISTEMA DE GERENCIAMENTO DE ESTOQUE</v>
      </c>
      <c r="C5459" s="2" t="str">
        <f t="shared" si="449"/>
        <v>SUPRI</v>
      </c>
      <c r="D5459" s="2" t="str">
        <f t="shared" si="450"/>
        <v>MGES</v>
      </c>
      <c r="E5459" s="2" t="str">
        <f>"GRUPO DE TRATAMENTO"</f>
        <v>GRUPO DE TRATAMENTO</v>
      </c>
      <c r="F5459" s="2" t="str">
        <f>"M_GRUTRA"</f>
        <v>M_GRUTRA</v>
      </c>
      <c r="G5459" s="2" t="str">
        <f>"Materiais e Logística / Almoxarifado / Tabelas / Padronização e Portaria / Grupos de Tratamento e seus Produtos (M_GRUTRA)"</f>
        <v>Materiais e Logística / Almoxarifado / Tabelas / Padronização e Portaria / Grupos de Tratamento e seus Produtos (M_GRUTRA)</v>
      </c>
    </row>
    <row r="5460" spans="1:7" x14ac:dyDescent="0.3">
      <c r="A5460" s="1" t="s">
        <v>4</v>
      </c>
      <c r="B5460" s="2" t="str">
        <f t="shared" si="448"/>
        <v>SISTEMA DE GERENCIAMENTO DE ESTOQUE</v>
      </c>
      <c r="C5460" s="2" t="str">
        <f t="shared" si="449"/>
        <v>SUPRI</v>
      </c>
      <c r="D5460" s="2" t="str">
        <f t="shared" si="450"/>
        <v>MGES</v>
      </c>
      <c r="E5460" s="2" t="str">
        <f>"ENTRADA DE EMPRESTIMO"</f>
        <v>ENTRADA DE EMPRESTIMO</v>
      </c>
      <c r="F5460" s="2" t="str">
        <f>"M_EMPRESTIMO_ENT"</f>
        <v>M_EMPRESTIMO_ENT</v>
      </c>
      <c r="G5460" s="2" t="str">
        <f>"Materiais e Logística / Almoxarifado / Movimentações / Entradas / Empréstimo (M_EMPRESTIMO_ENT)"</f>
        <v>Materiais e Logística / Almoxarifado / Movimentações / Entradas / Empréstimo (M_EMPRESTIMO_ENT)</v>
      </c>
    </row>
    <row r="5461" spans="1:7" x14ac:dyDescent="0.3">
      <c r="A5461" s="1" t="s">
        <v>4</v>
      </c>
      <c r="B5461" s="2" t="str">
        <f t="shared" si="448"/>
        <v>SISTEMA DE GERENCIAMENTO DE ESTOQUE</v>
      </c>
      <c r="C5461" s="2" t="str">
        <f t="shared" si="449"/>
        <v>SUPRI</v>
      </c>
      <c r="D5461" s="2" t="str">
        <f t="shared" si="450"/>
        <v>MGES</v>
      </c>
      <c r="E5461" s="2" t="str">
        <f>"CONSUMO DE PACIENTES"</f>
        <v>CONSUMO DE PACIENTES</v>
      </c>
      <c r="F5461" s="2" t="str">
        <f>"M_CONSPAC"</f>
        <v>M_CONSPAC</v>
      </c>
      <c r="G5461" s="2" t="str">
        <f>"Clínica e Assistencial / Gerenciamento de Unidades / Enfermagem / Consumo do Paciente (M_CONSPAC)"</f>
        <v>Clínica e Assistencial / Gerenciamento de Unidades / Enfermagem / Consumo do Paciente (M_CONSPAC)</v>
      </c>
    </row>
    <row r="5462" spans="1:7" x14ac:dyDescent="0.3">
      <c r="A5462" s="1" t="s">
        <v>4</v>
      </c>
      <c r="B5462" s="2" t="str">
        <f t="shared" si="448"/>
        <v>SISTEMA DE GERENCIAMENTO DE ESTOQUE</v>
      </c>
      <c r="C5462" s="2" t="str">
        <f t="shared" si="449"/>
        <v>SUPRI</v>
      </c>
      <c r="D5462" s="2" t="str">
        <f t="shared" si="450"/>
        <v>MGES</v>
      </c>
      <c r="E5462" s="2" t="str">
        <f>"CONSUMO DE PACIENTES"</f>
        <v>CONSUMO DE PACIENTES</v>
      </c>
      <c r="F5462" s="2" t="str">
        <f>"M_CONSPAC"</f>
        <v>M_CONSPAC</v>
      </c>
      <c r="G5462" s="2" t="str">
        <f>"Atendimento / Internação Domiciliar (Home Care) / Enfermagem / Consumo do Paciente (M_CONSPAC)"</f>
        <v>Atendimento / Internação Domiciliar (Home Care) / Enfermagem / Consumo do Paciente (M_CONSPAC)</v>
      </c>
    </row>
    <row r="5463" spans="1:7" x14ac:dyDescent="0.3">
      <c r="A5463" s="1" t="s">
        <v>4</v>
      </c>
      <c r="B5463" s="2" t="str">
        <f t="shared" si="448"/>
        <v>SISTEMA DE GERENCIAMENTO DE ESTOQUE</v>
      </c>
      <c r="C5463" s="2" t="str">
        <f t="shared" si="449"/>
        <v>SUPRI</v>
      </c>
      <c r="D5463" s="2" t="str">
        <f t="shared" si="450"/>
        <v>MGES</v>
      </c>
      <c r="E5463" s="2" t="str">
        <f>"Bloqueio Permanente de Produtos"</f>
        <v>Bloqueio Permanente de Produtos</v>
      </c>
      <c r="F5463" s="2" t="str">
        <f>"M_BLOQUEIO_PRODUTO"</f>
        <v>M_BLOQUEIO_PRODUTO</v>
      </c>
      <c r="G5463" s="2" t="str">
        <f>"Materiais e Logística / Almoxarifado / Tabelas / Classificação dos Produtos / Bloqueio Permanente de Produtos (M_BLOQUEIO_PRODUTO)"</f>
        <v>Materiais e Logística / Almoxarifado / Tabelas / Classificação dos Produtos / Bloqueio Permanente de Produtos (M_BLOQUEIO_PRODUTO)</v>
      </c>
    </row>
    <row r="5464" spans="1:7" x14ac:dyDescent="0.3">
      <c r="A5464" s="1" t="s">
        <v>4</v>
      </c>
      <c r="B5464" s="2" t="str">
        <f t="shared" si="448"/>
        <v>SISTEMA DE GERENCIAMENTO DE ESTOQUE</v>
      </c>
      <c r="C5464" s="2" t="str">
        <f t="shared" si="449"/>
        <v>SUPRI</v>
      </c>
      <c r="D5464" s="2" t="str">
        <f t="shared" si="450"/>
        <v>MGES</v>
      </c>
      <c r="E5464" s="2" t="str">
        <f>"Análise de Matéria-Prima"</f>
        <v>Análise de Matéria-Prima</v>
      </c>
      <c r="F5464" s="2" t="str">
        <f>"O_ANALISE_MATERIA_PRIMA"</f>
        <v>O_ANALISE_MATERIA_PRIMA</v>
      </c>
      <c r="G5464" s="2" t="str">
        <f>"Análise de Matéria-Prima (O_ANALISE_MATERIA_PRIMA)"</f>
        <v>Análise de Matéria-Prima (O_ANALISE_MATERIA_PRIMA)</v>
      </c>
    </row>
    <row r="5465" spans="1:7" x14ac:dyDescent="0.3">
      <c r="A5465" s="1" t="s">
        <v>4</v>
      </c>
      <c r="B5465" s="2" t="str">
        <f t="shared" si="448"/>
        <v>SISTEMA DE GERENCIAMENTO DE ESTOQUE</v>
      </c>
      <c r="C5465" s="2" t="str">
        <f t="shared" si="449"/>
        <v>SUPRI</v>
      </c>
      <c r="D5465" s="2" t="str">
        <f t="shared" si="450"/>
        <v>MGES</v>
      </c>
      <c r="E5465" s="2" t="str">
        <f>"Análise de Matéria-Prima"</f>
        <v>Análise de Matéria-Prima</v>
      </c>
      <c r="F5465" s="2" t="str">
        <f>"O_ANALISE_MATERIA_PRIMA"</f>
        <v>O_ANALISE_MATERIA_PRIMA</v>
      </c>
      <c r="G5465" s="2" t="str">
        <f>"Materiais e Logística / Almoxarifado / Tabelas / Produção / Análise de Matéria-Prima (O_ANALISE_MATERIA_PRIMA)"</f>
        <v>Materiais e Logística / Almoxarifado / Tabelas / Produção / Análise de Matéria-Prima (O_ANALISE_MATERIA_PRIMA)</v>
      </c>
    </row>
    <row r="5466" spans="1:7" x14ac:dyDescent="0.3">
      <c r="A5466" s="1" t="s">
        <v>4</v>
      </c>
      <c r="B5466" s="2" t="str">
        <f t="shared" ref="B5466:B5529" si="454">"SISTEMA DE GERENCIAMENTO DE ESTOQUE"</f>
        <v>SISTEMA DE GERENCIAMENTO DE ESTOQUE</v>
      </c>
      <c r="C5466" s="2" t="str">
        <f t="shared" ref="C5466:C5529" si="455">"SUPRI"</f>
        <v>SUPRI</v>
      </c>
      <c r="D5466" s="2" t="str">
        <f t="shared" ref="D5466:D5529" si="456">"MGES"</f>
        <v>MGES</v>
      </c>
      <c r="E5466" s="2" t="str">
        <f>"Ordem de Produção"</f>
        <v>Ordem de Produção</v>
      </c>
      <c r="F5466" s="2" t="str">
        <f>"M_ORDEM_PRODUCAO"</f>
        <v>M_ORDEM_PRODUCAO</v>
      </c>
      <c r="G5466" s="2" t="str">
        <f>"Materiais e Logística / Almoxarifado / Tabelas / Produção / Ordem de Produção (M_ORDEM_PRODUCAO)"</f>
        <v>Materiais e Logística / Almoxarifado / Tabelas / Produção / Ordem de Produção (M_ORDEM_PRODUCAO)</v>
      </c>
    </row>
    <row r="5467" spans="1:7" x14ac:dyDescent="0.3">
      <c r="A5467" s="1" t="s">
        <v>4</v>
      </c>
      <c r="B5467" s="2" t="str">
        <f t="shared" si="454"/>
        <v>SISTEMA DE GERENCIAMENTO DE ESTOQUE</v>
      </c>
      <c r="C5467" s="2" t="str">
        <f t="shared" si="455"/>
        <v>SUPRI</v>
      </c>
      <c r="D5467" s="2" t="str">
        <f t="shared" si="456"/>
        <v>MGES</v>
      </c>
      <c r="E5467" s="2" t="str">
        <f>"Ordem de Produção"</f>
        <v>Ordem de Produção</v>
      </c>
      <c r="F5467" s="2" t="str">
        <f>"M_ORDEM_PRODUCAO"</f>
        <v>M_ORDEM_PRODUCAO</v>
      </c>
      <c r="G5467" s="2" t="str">
        <f>"Ordem de Produção (M_ORDEM_PRODUCAO)"</f>
        <v>Ordem de Produção (M_ORDEM_PRODUCAO)</v>
      </c>
    </row>
    <row r="5468" spans="1:7" x14ac:dyDescent="0.3">
      <c r="A5468" s="1" t="s">
        <v>4</v>
      </c>
      <c r="B5468" s="2" t="str">
        <f t="shared" si="454"/>
        <v>SISTEMA DE GERENCIAMENTO DE ESTOQUE</v>
      </c>
      <c r="C5468" s="2" t="str">
        <f t="shared" si="455"/>
        <v>SUPRI</v>
      </c>
      <c r="D5468" s="2" t="str">
        <f t="shared" si="456"/>
        <v>MGES</v>
      </c>
      <c r="E5468" s="2" t="str">
        <f>"Configuração de Usuários"</f>
        <v>Configuração de Usuários</v>
      </c>
      <c r="F5468" s="2" t="str">
        <f>"M_CONFIGURACAO_USUARIO_ORD_PRD"</f>
        <v>M_CONFIGURACAO_USUARIO_ORD_PRD</v>
      </c>
      <c r="G5468" s="2" t="str">
        <f>"Materiais e Logística / Almoxarifado / Tabelas / Produção / Configuração de Usuários (M_CONFIGURACAO_USUARIO_ORD_PRD)"</f>
        <v>Materiais e Logística / Almoxarifado / Tabelas / Produção / Configuração de Usuários (M_CONFIGURACAO_USUARIO_ORD_PRD)</v>
      </c>
    </row>
    <row r="5469" spans="1:7" x14ac:dyDescent="0.3">
      <c r="A5469" s="1" t="s">
        <v>4</v>
      </c>
      <c r="B5469" s="2" t="str">
        <f t="shared" si="454"/>
        <v>SISTEMA DE GERENCIAMENTO DE ESTOQUE</v>
      </c>
      <c r="C5469" s="2" t="str">
        <f t="shared" si="455"/>
        <v>SUPRI</v>
      </c>
      <c r="D5469" s="2" t="str">
        <f t="shared" si="456"/>
        <v>MGES</v>
      </c>
      <c r="E5469" s="2" t="str">
        <f>"Configuração de Usuários"</f>
        <v>Configuração de Usuários</v>
      </c>
      <c r="F5469" s="2" t="str">
        <f>"M_CONFIGURACAO_USUARIO_ORD_PRD"</f>
        <v>M_CONFIGURACAO_USUARIO_ORD_PRD</v>
      </c>
      <c r="G5469" s="2" t="str">
        <f>"Configuração de Usuários (M_CONFIGURACAO_USUARIO_ORD_PRD)"</f>
        <v>Configuração de Usuários (M_CONFIGURACAO_USUARIO_ORD_PRD)</v>
      </c>
    </row>
    <row r="5470" spans="1:7" x14ac:dyDescent="0.3">
      <c r="A5470" s="1" t="s">
        <v>4</v>
      </c>
      <c r="B5470" s="2" t="str">
        <f t="shared" si="454"/>
        <v>SISTEMA DE GERENCIAMENTO DE ESTOQUE</v>
      </c>
      <c r="C5470" s="2" t="str">
        <f t="shared" si="455"/>
        <v>SUPRI</v>
      </c>
      <c r="D5470" s="2" t="str">
        <f t="shared" si="456"/>
        <v>MGES</v>
      </c>
      <c r="E5470" s="2" t="str">
        <f>"Programação Semanal"</f>
        <v>Programação Semanal</v>
      </c>
      <c r="F5470" s="2" t="str">
        <f>"M_PROGRAMACAO_SEMANAL"</f>
        <v>M_PROGRAMACAO_SEMANAL</v>
      </c>
      <c r="G5470" s="2" t="str">
        <f>"Materiais e Logística / Almoxarifado / Tabelas / Produção / Programação Semanal (M_PROGRAMACAO_SEMANAL)"</f>
        <v>Materiais e Logística / Almoxarifado / Tabelas / Produção / Programação Semanal (M_PROGRAMACAO_SEMANAL)</v>
      </c>
    </row>
    <row r="5471" spans="1:7" x14ac:dyDescent="0.3">
      <c r="A5471" s="1" t="s">
        <v>4</v>
      </c>
      <c r="B5471" s="2" t="str">
        <f t="shared" si="454"/>
        <v>SISTEMA DE GERENCIAMENTO DE ESTOQUE</v>
      </c>
      <c r="C5471" s="2" t="str">
        <f t="shared" si="455"/>
        <v>SUPRI</v>
      </c>
      <c r="D5471" s="2" t="str">
        <f t="shared" si="456"/>
        <v>MGES</v>
      </c>
      <c r="E5471" s="2" t="str">
        <f>"Programação Semanal"</f>
        <v>Programação Semanal</v>
      </c>
      <c r="F5471" s="2" t="str">
        <f>"M_PROGRAMACAO_SEMANAL"</f>
        <v>M_PROGRAMACAO_SEMANAL</v>
      </c>
      <c r="G5471" s="2" t="str">
        <f>"Programação Semanal (M_PROGRAMACAO_SEMANAL)"</f>
        <v>Programação Semanal (M_PROGRAMACAO_SEMANAL)</v>
      </c>
    </row>
    <row r="5472" spans="1:7" x14ac:dyDescent="0.3">
      <c r="A5472" s="1" t="s">
        <v>4</v>
      </c>
      <c r="B5472" s="2" t="str">
        <f t="shared" si="454"/>
        <v>SISTEMA DE GERENCIAMENTO DE ESTOQUE</v>
      </c>
      <c r="C5472" s="2" t="str">
        <f t="shared" si="455"/>
        <v>SUPRI</v>
      </c>
      <c r="D5472" s="2" t="str">
        <f t="shared" si="456"/>
        <v>MGES</v>
      </c>
      <c r="E5472" s="2" t="str">
        <f>"Programação Mensal"</f>
        <v>Programação Mensal</v>
      </c>
      <c r="F5472" s="2" t="str">
        <f>"M_PROGRAMACAO_MENSAL"</f>
        <v>M_PROGRAMACAO_MENSAL</v>
      </c>
      <c r="G5472" s="2" t="str">
        <f>"Materiais e Logística / Almoxarifado / Tabelas / Produção / Programação Mensal (M_PROGRAMACAO_MENSAL)"</f>
        <v>Materiais e Logística / Almoxarifado / Tabelas / Produção / Programação Mensal (M_PROGRAMACAO_MENSAL)</v>
      </c>
    </row>
    <row r="5473" spans="1:7" x14ac:dyDescent="0.3">
      <c r="A5473" s="1" t="s">
        <v>4</v>
      </c>
      <c r="B5473" s="2" t="str">
        <f t="shared" si="454"/>
        <v>SISTEMA DE GERENCIAMENTO DE ESTOQUE</v>
      </c>
      <c r="C5473" s="2" t="str">
        <f t="shared" si="455"/>
        <v>SUPRI</v>
      </c>
      <c r="D5473" s="2" t="str">
        <f t="shared" si="456"/>
        <v>MGES</v>
      </c>
      <c r="E5473" s="2" t="str">
        <f>"Programação Mensal"</f>
        <v>Programação Mensal</v>
      </c>
      <c r="F5473" s="2" t="str">
        <f>"M_PROGRAMACAO_MENSAL"</f>
        <v>M_PROGRAMACAO_MENSAL</v>
      </c>
      <c r="G5473" s="2" t="str">
        <f>"Programação Mensal (M_PROGRAMACAO_MENSAL)"</f>
        <v>Programação Mensal (M_PROGRAMACAO_MENSAL)</v>
      </c>
    </row>
    <row r="5474" spans="1:7" x14ac:dyDescent="0.3">
      <c r="A5474" s="1" t="s">
        <v>4</v>
      </c>
      <c r="B5474" s="2" t="str">
        <f t="shared" si="454"/>
        <v>SISTEMA DE GERENCIAMENTO DE ESTOQUE</v>
      </c>
      <c r="C5474" s="2" t="str">
        <f t="shared" si="455"/>
        <v>SUPRI</v>
      </c>
      <c r="D5474" s="2" t="str">
        <f t="shared" si="456"/>
        <v>MGES</v>
      </c>
      <c r="E5474" s="2" t="str">
        <f>" Programação Anual"</f>
        <v xml:space="preserve"> Programação Anual</v>
      </c>
      <c r="F5474" s="2" t="str">
        <f>"M_PROGRAMACAO_ANUAL"</f>
        <v>M_PROGRAMACAO_ANUAL</v>
      </c>
      <c r="G5474" s="2" t="str">
        <f>"Materiais e Logística / Almoxarifado / Tabelas / Produção / Programação Anual (M_PROGRAMACAO_ANUAL)"</f>
        <v>Materiais e Logística / Almoxarifado / Tabelas / Produção / Programação Anual (M_PROGRAMACAO_ANUAL)</v>
      </c>
    </row>
    <row r="5475" spans="1:7" x14ac:dyDescent="0.3">
      <c r="A5475" s="1" t="s">
        <v>4</v>
      </c>
      <c r="B5475" s="2" t="str">
        <f t="shared" si="454"/>
        <v>SISTEMA DE GERENCIAMENTO DE ESTOQUE</v>
      </c>
      <c r="C5475" s="2" t="str">
        <f t="shared" si="455"/>
        <v>SUPRI</v>
      </c>
      <c r="D5475" s="2" t="str">
        <f t="shared" si="456"/>
        <v>MGES</v>
      </c>
      <c r="E5475" s="2" t="str">
        <f>" Programação Anual"</f>
        <v xml:space="preserve"> Programação Anual</v>
      </c>
      <c r="F5475" s="2" t="str">
        <f>"M_PROGRAMACAO_ANUAL"</f>
        <v>M_PROGRAMACAO_ANUAL</v>
      </c>
      <c r="G5475" s="2" t="str">
        <f>"Programação Anual (M_PROGRAMACAO_ANUAL)"</f>
        <v>Programação Anual (M_PROGRAMACAO_ANUAL)</v>
      </c>
    </row>
    <row r="5476" spans="1:7" x14ac:dyDescent="0.3">
      <c r="A5476" s="1" t="s">
        <v>4</v>
      </c>
      <c r="B5476" s="2" t="str">
        <f t="shared" si="454"/>
        <v>SISTEMA DE GERENCIAMENTO DE ESTOQUE</v>
      </c>
      <c r="C5476" s="2" t="str">
        <f t="shared" si="455"/>
        <v>SUPRI</v>
      </c>
      <c r="D5476" s="2" t="str">
        <f t="shared" si="456"/>
        <v>MGES</v>
      </c>
      <c r="E5476" s="2" t="str">
        <f>"Planejamento Anual"</f>
        <v>Planejamento Anual</v>
      </c>
      <c r="F5476" s="2" t="str">
        <f>"M_PLANEJAMENTO_ANUAL"</f>
        <v>M_PLANEJAMENTO_ANUAL</v>
      </c>
      <c r="G5476" s="2" t="str">
        <f>"Materiais e Logística / Almoxarifado / Tabelas / Produção / Planejamento Anual (M_PLANEJAMENTO_ANUAL)"</f>
        <v>Materiais e Logística / Almoxarifado / Tabelas / Produção / Planejamento Anual (M_PLANEJAMENTO_ANUAL)</v>
      </c>
    </row>
    <row r="5477" spans="1:7" x14ac:dyDescent="0.3">
      <c r="A5477" s="1" t="s">
        <v>4</v>
      </c>
      <c r="B5477" s="2" t="str">
        <f t="shared" si="454"/>
        <v>SISTEMA DE GERENCIAMENTO DE ESTOQUE</v>
      </c>
      <c r="C5477" s="2" t="str">
        <f t="shared" si="455"/>
        <v>SUPRI</v>
      </c>
      <c r="D5477" s="2" t="str">
        <f t="shared" si="456"/>
        <v>MGES</v>
      </c>
      <c r="E5477" s="2" t="str">
        <f>"Planejamento Anual"</f>
        <v>Planejamento Anual</v>
      </c>
      <c r="F5477" s="2" t="str">
        <f>"M_PLANEJAMENTO_ANUAL"</f>
        <v>M_PLANEJAMENTO_ANUAL</v>
      </c>
      <c r="G5477" s="2" t="str">
        <f>"Planejamento Anual (M_PLANEJAMENTO_ANUAL)"</f>
        <v>Planejamento Anual (M_PLANEJAMENTO_ANUAL)</v>
      </c>
    </row>
    <row r="5478" spans="1:7" x14ac:dyDescent="0.3">
      <c r="A5478" s="1" t="s">
        <v>4</v>
      </c>
      <c r="B5478" s="2" t="str">
        <f t="shared" si="454"/>
        <v>SISTEMA DE GERENCIAMENTO DE ESTOQUE</v>
      </c>
      <c r="C5478" s="2" t="str">
        <f t="shared" si="455"/>
        <v>SUPRI</v>
      </c>
      <c r="D5478" s="2" t="str">
        <f t="shared" si="456"/>
        <v>MGES</v>
      </c>
      <c r="E5478" s="2" t="str">
        <f>"Movimentações de OPME"</f>
        <v>Movimentações de OPME</v>
      </c>
      <c r="F5478" s="2" t="str">
        <f>"R_OPME_MVTO"</f>
        <v>R_OPME_MVTO</v>
      </c>
      <c r="G5478" s="2" t="str">
        <f>"Materiais e Logística / Almoxarifado / Relatórios / Operacionais / Movimentação de Consignação / Movimentações de OPME (R_OPME_MVTO)"</f>
        <v>Materiais e Logística / Almoxarifado / Relatórios / Operacionais / Movimentação de Consignação / Movimentações de OPME (R_OPME_MVTO)</v>
      </c>
    </row>
    <row r="5479" spans="1:7" x14ac:dyDescent="0.3">
      <c r="A5479" s="1" t="s">
        <v>4</v>
      </c>
      <c r="B5479" s="2" t="str">
        <f t="shared" si="454"/>
        <v>SISTEMA DE GERENCIAMENTO DE ESTOQUE</v>
      </c>
      <c r="C5479" s="2" t="str">
        <f t="shared" si="455"/>
        <v>SUPRI</v>
      </c>
      <c r="D5479" s="2" t="str">
        <f t="shared" si="456"/>
        <v>MGES</v>
      </c>
      <c r="E5479" s="2" t="str">
        <f>"Devolução Centralizada"</f>
        <v>Devolução Centralizada</v>
      </c>
      <c r="F5479" s="2" t="str">
        <f>"O_DEVOLUCAO_CENTRALIZADA"</f>
        <v>O_DEVOLUCAO_CENTRALIZADA</v>
      </c>
      <c r="G5479" s="2" t="str">
        <f>"Materiais e Logística / Almoxarifado / Movimentações / Devoluções / Central (O_DEVOLUCAO_CENTRALIZADA)"</f>
        <v>Materiais e Logística / Almoxarifado / Movimentações / Devoluções / Central (O_DEVOLUCAO_CENTRALIZADA)</v>
      </c>
    </row>
    <row r="5480" spans="1:7" x14ac:dyDescent="0.3">
      <c r="A5480" s="1" t="s">
        <v>4</v>
      </c>
      <c r="B5480" s="2" t="str">
        <f t="shared" si="454"/>
        <v>SISTEMA DE GERENCIAMENTO DE ESTOQUE</v>
      </c>
      <c r="C5480" s="2" t="str">
        <f t="shared" si="455"/>
        <v>SUPRI</v>
      </c>
      <c r="D5480" s="2" t="str">
        <f t="shared" si="456"/>
        <v>MGES</v>
      </c>
      <c r="E5480" s="2" t="str">
        <f>"Análise da Contagem"</f>
        <v>Análise da Contagem</v>
      </c>
      <c r="F5480" s="2" t="str">
        <f>"O_ANALISE_CONTAGEM"</f>
        <v>O_ANALISE_CONTAGEM</v>
      </c>
      <c r="G5480" s="2" t="str">
        <f>" ()"</f>
        <v xml:space="preserve"> ()</v>
      </c>
    </row>
    <row r="5481" spans="1:7" x14ac:dyDescent="0.3">
      <c r="A5481" s="1" t="s">
        <v>4</v>
      </c>
      <c r="B5481" s="2" t="str">
        <f t="shared" si="454"/>
        <v>SISTEMA DE GERENCIAMENTO DE ESTOQUE</v>
      </c>
      <c r="C5481" s="2" t="str">
        <f t="shared" si="455"/>
        <v>SUPRI</v>
      </c>
      <c r="D5481" s="2" t="str">
        <f t="shared" si="456"/>
        <v>MGES</v>
      </c>
      <c r="E5481" s="2" t="str">
        <f>"AnÃ¡lise da Contagem"</f>
        <v>AnÃ¡lise da Contagem</v>
      </c>
      <c r="F5481" s="2" t="str">
        <f>"O_ANALISE_CONTAGE"</f>
        <v>O_ANALISE_CONTAGE</v>
      </c>
      <c r="G5481" s="2" t="str">
        <f>" ()"</f>
        <v xml:space="preserve"> ()</v>
      </c>
    </row>
    <row r="5482" spans="1:7" x14ac:dyDescent="0.3">
      <c r="A5482" s="1" t="s">
        <v>4</v>
      </c>
      <c r="B5482" s="2" t="str">
        <f t="shared" si="454"/>
        <v>SISTEMA DE GERENCIAMENTO DE ESTOQUE</v>
      </c>
      <c r="C5482" s="2" t="str">
        <f t="shared" si="455"/>
        <v>SUPRI</v>
      </c>
      <c r="D5482" s="2" t="str">
        <f t="shared" si="456"/>
        <v>MGES</v>
      </c>
      <c r="E5482" s="2" t="str">
        <f>"Acomp. de Solicitações em Romaneio"</f>
        <v>Acomp. de Solicitações em Romaneio</v>
      </c>
      <c r="F5482" s="2" t="str">
        <f>"C_SOLICITACAO_ROMANEIO"</f>
        <v>C_SOLICITACAO_ROMANEIO</v>
      </c>
      <c r="G5482" s="2" t="str">
        <f>"Acomp. de Solicitações em Romaneio (C_SOLICITACAO_ROMANEIO)"</f>
        <v>Acomp. de Solicitações em Romaneio (C_SOLICITACAO_ROMANEIO)</v>
      </c>
    </row>
    <row r="5483" spans="1:7" x14ac:dyDescent="0.3">
      <c r="A5483" s="1" t="s">
        <v>4</v>
      </c>
      <c r="B5483" s="2" t="str">
        <f t="shared" si="454"/>
        <v>SISTEMA DE GERENCIAMENTO DE ESTOQUE</v>
      </c>
      <c r="C5483" s="2" t="str">
        <f t="shared" si="455"/>
        <v>SUPRI</v>
      </c>
      <c r="D5483" s="2" t="str">
        <f t="shared" si="456"/>
        <v>MGES</v>
      </c>
      <c r="E5483" s="2" t="str">
        <f>"Cotas para Ressuprimento"</f>
        <v>Cotas para Ressuprimento</v>
      </c>
      <c r="F5483" s="2" t="str">
        <f>"M_COTA_RESSUPRIMENTO"</f>
        <v>M_COTA_RESSUPRIMENTO</v>
      </c>
      <c r="G5483" s="2" t="str">
        <f>"Materiais e Logística / Almoxarifado / Tabelas / Gerais / Cotas para Ressuprimento (M_COTA_RESSUPRIMENTO)"</f>
        <v>Materiais e Logística / Almoxarifado / Tabelas / Gerais / Cotas para Ressuprimento (M_COTA_RESSUPRIMENTO)</v>
      </c>
    </row>
    <row r="5484" spans="1:7" x14ac:dyDescent="0.3">
      <c r="A5484" s="1" t="s">
        <v>4</v>
      </c>
      <c r="B5484" s="2" t="str">
        <f t="shared" si="454"/>
        <v>SISTEMA DE GERENCIAMENTO DE ESTOQUE</v>
      </c>
      <c r="C5484" s="2" t="str">
        <f t="shared" si="455"/>
        <v>SUPRI</v>
      </c>
      <c r="D5484" s="2" t="str">
        <f t="shared" si="456"/>
        <v>MGES</v>
      </c>
      <c r="E5484" s="2" t="str">
        <f>"Relatório de Romaneio"</f>
        <v>Relatório de Romaneio</v>
      </c>
      <c r="F5484" s="2" t="str">
        <f>"R_ROMANEIO"</f>
        <v>R_ROMANEIO</v>
      </c>
      <c r="G5484" s="2" t="str">
        <f>"Relatório de Romaneio (R_ROMANEIO)"</f>
        <v>Relatório de Romaneio (R_ROMANEIO)</v>
      </c>
    </row>
    <row r="5485" spans="1:7" x14ac:dyDescent="0.3">
      <c r="A5485" s="1" t="s">
        <v>4</v>
      </c>
      <c r="B5485" s="2" t="str">
        <f t="shared" si="454"/>
        <v>SISTEMA DE GERENCIAMENTO DE ESTOQUE</v>
      </c>
      <c r="C5485" s="2" t="str">
        <f t="shared" si="455"/>
        <v>SUPRI</v>
      </c>
      <c r="D5485" s="2" t="str">
        <f t="shared" si="456"/>
        <v>MGES</v>
      </c>
      <c r="E5485" s="2" t="str">
        <f>"Cadastro de Destino"</f>
        <v>Cadastro de Destino</v>
      </c>
      <c r="F5485" s="2" t="str">
        <f>"M_DESTINO_ROMANEIO"</f>
        <v>M_DESTINO_ROMANEIO</v>
      </c>
      <c r="G5485" s="2" t="str">
        <f>"Cadastro de Destino (M_DESTINO_ROMANEIO)"</f>
        <v>Cadastro de Destino (M_DESTINO_ROMANEIO)</v>
      </c>
    </row>
    <row r="5486" spans="1:7" x14ac:dyDescent="0.3">
      <c r="A5486" s="1" t="s">
        <v>4</v>
      </c>
      <c r="B5486" s="2" t="str">
        <f t="shared" si="454"/>
        <v>SISTEMA DE GERENCIAMENTO DE ESTOQUE</v>
      </c>
      <c r="C5486" s="2" t="str">
        <f t="shared" si="455"/>
        <v>SUPRI</v>
      </c>
      <c r="D5486" s="2" t="str">
        <f t="shared" si="456"/>
        <v>MGES</v>
      </c>
      <c r="E5486" s="2" t="str">
        <f>"Cadastro de Veículo"</f>
        <v>Cadastro de Veículo</v>
      </c>
      <c r="F5486" s="2" t="str">
        <f>"M_VEICULO_ROMANEIO"</f>
        <v>M_VEICULO_ROMANEIO</v>
      </c>
      <c r="G5486" s="2" t="str">
        <f>"Cadastro de Veículo (M_VEICULO_ROMANEIO)"</f>
        <v>Cadastro de Veículo (M_VEICULO_ROMANEIO)</v>
      </c>
    </row>
    <row r="5487" spans="1:7" x14ac:dyDescent="0.3">
      <c r="A5487" s="1" t="s">
        <v>4</v>
      </c>
      <c r="B5487" s="2" t="str">
        <f t="shared" si="454"/>
        <v>SISTEMA DE GERENCIAMENTO DE ESTOQUE</v>
      </c>
      <c r="C5487" s="2" t="str">
        <f t="shared" si="455"/>
        <v>SUPRI</v>
      </c>
      <c r="D5487" s="2" t="str">
        <f t="shared" si="456"/>
        <v>MGES</v>
      </c>
      <c r="E5487" s="2" t="str">
        <f>"Acompanhamento dos Romaneios"</f>
        <v>Acompanhamento dos Romaneios</v>
      </c>
      <c r="F5487" s="2" t="str">
        <f>"C_ACOMPANHAMENTO_ROMANEIO"</f>
        <v>C_ACOMPANHAMENTO_ROMANEIO</v>
      </c>
      <c r="G5487" s="2" t="str">
        <f>"Acompanhamento dos Romaneios (C_ACOMPANHAMENTO_ROMANEIO)"</f>
        <v>Acompanhamento dos Romaneios (C_ACOMPANHAMENTO_ROMANEIO)</v>
      </c>
    </row>
    <row r="5488" spans="1:7" x14ac:dyDescent="0.3">
      <c r="A5488" s="1" t="s">
        <v>4</v>
      </c>
      <c r="B5488" s="2" t="str">
        <f t="shared" si="454"/>
        <v>SISTEMA DE GERENCIAMENTO DE ESTOQUE</v>
      </c>
      <c r="C5488" s="2" t="str">
        <f t="shared" si="455"/>
        <v>SUPRI</v>
      </c>
      <c r="D5488" s="2" t="str">
        <f t="shared" si="456"/>
        <v>MGES</v>
      </c>
      <c r="E5488" s="2" t="str">
        <f>"Transferência de Produto Filho x Mestre"</f>
        <v>Transferência de Produto Filho x Mestre</v>
      </c>
      <c r="F5488" s="2" t="str">
        <f>"M_TRANSF_MESTRE_FILHO"</f>
        <v>M_TRANSF_MESTRE_FILHO</v>
      </c>
      <c r="G5488" s="2" t="str">
        <f>"Materiais e Logística / Almoxarifado / Movimentações / Transferência de Produto Filho x Mestre (M_TRANSF_MESTRE_FILHO)"</f>
        <v>Materiais e Logística / Almoxarifado / Movimentações / Transferência de Produto Filho x Mestre (M_TRANSF_MESTRE_FILHO)</v>
      </c>
    </row>
    <row r="5489" spans="1:7" x14ac:dyDescent="0.3">
      <c r="A5489" s="1" t="s">
        <v>4</v>
      </c>
      <c r="B5489" s="2" t="str">
        <f t="shared" si="454"/>
        <v>SISTEMA DE GERENCIAMENTO DE ESTOQUE</v>
      </c>
      <c r="C5489" s="2" t="str">
        <f t="shared" si="455"/>
        <v>SUPRI</v>
      </c>
      <c r="D5489" s="2" t="str">
        <f t="shared" si="456"/>
        <v>MGES</v>
      </c>
      <c r="E5489" s="2" t="str">
        <f>"Importação XML Sefaz"</f>
        <v>Importação XML Sefaz</v>
      </c>
      <c r="F5489" s="2" t="str">
        <f>"M_IMPORTA_XML_SEFAZ"</f>
        <v>M_IMPORTA_XML_SEFAZ</v>
      </c>
      <c r="G5489" s="2" t="str">
        <f>"Materiais e Logística / Almoxarifado / Movimentações / Entradas / Importação XML Sefaz (M_IMPORTA_XML_SEFAZ)"</f>
        <v>Materiais e Logística / Almoxarifado / Movimentações / Entradas / Importação XML Sefaz (M_IMPORTA_XML_SEFAZ)</v>
      </c>
    </row>
    <row r="5490" spans="1:7" x14ac:dyDescent="0.3">
      <c r="A5490" s="1" t="s">
        <v>4</v>
      </c>
      <c r="B5490" s="2" t="str">
        <f t="shared" si="454"/>
        <v>SISTEMA DE GERENCIAMENTO DE ESTOQUE</v>
      </c>
      <c r="C5490" s="2" t="str">
        <f t="shared" si="455"/>
        <v>SUPRI</v>
      </c>
      <c r="D5490" s="2" t="str">
        <f t="shared" si="456"/>
        <v>MGES</v>
      </c>
      <c r="E5490" s="2" t="str">
        <f>"Autorizar Fracionamento de Produtos"</f>
        <v>Autorizar Fracionamento de Produtos</v>
      </c>
      <c r="F5490" s="2" t="str">
        <f>"M_PRODUTO_FRACIONAMENTO_AUTORIZADOR"</f>
        <v>M_PRODUTO_FRACIONAMENTO_AUTORIZADOR</v>
      </c>
      <c r="G5490" s="2" t="str">
        <f>" ()"</f>
        <v xml:space="preserve"> ()</v>
      </c>
    </row>
    <row r="5491" spans="1:7" x14ac:dyDescent="0.3">
      <c r="A5491" s="1" t="s">
        <v>4</v>
      </c>
      <c r="B5491" s="2" t="str">
        <f t="shared" si="454"/>
        <v>SISTEMA DE GERENCIAMENTO DE ESTOQUE</v>
      </c>
      <c r="C5491" s="2" t="str">
        <f t="shared" si="455"/>
        <v>SUPRI</v>
      </c>
      <c r="D5491" s="2" t="str">
        <f t="shared" si="456"/>
        <v>MGES</v>
      </c>
      <c r="E5491" s="2" t="str">
        <f>"Ficha Kardex"</f>
        <v>Ficha Kardex</v>
      </c>
      <c r="F5491" s="2" t="str">
        <f>"R_FICHA_KARDEX"</f>
        <v>R_FICHA_KARDEX</v>
      </c>
      <c r="G5491" s="2" t="str">
        <f>"Materiais e Logística / Almoxarifado / Relatórios / Operacionais / Análise do Custo Médio dos Produtos / Ficha Kardex (R_FICHA_KARDEX)"</f>
        <v>Materiais e Logística / Almoxarifado / Relatórios / Operacionais / Análise do Custo Médio dos Produtos / Ficha Kardex (R_FICHA_KARDEX)</v>
      </c>
    </row>
    <row r="5492" spans="1:7" x14ac:dyDescent="0.3">
      <c r="A5492" s="1" t="s">
        <v>4</v>
      </c>
      <c r="B5492" s="2" t="str">
        <f t="shared" si="454"/>
        <v>SISTEMA DE GERENCIAMENTO DE ESTOQUE</v>
      </c>
      <c r="C5492" s="2" t="str">
        <f t="shared" si="455"/>
        <v>SUPRI</v>
      </c>
      <c r="D5492" s="2" t="str">
        <f t="shared" si="456"/>
        <v>MGES</v>
      </c>
      <c r="E5492" s="2" t="str">
        <f>"Transferir Solicitações de Produtos"</f>
        <v>Transferir Solicitações de Produtos</v>
      </c>
      <c r="F5492" s="2" t="str">
        <f>"M_TRANSF_SOLICITACAO"</f>
        <v>M_TRANSF_SOLICITACAO</v>
      </c>
      <c r="G5492" s="2" t="str">
        <f>"Materiais e Logística / Almoxarifado / Solicitações / Transferir Solicitações de Produtos (M_TRANSF_SOLICITACAO)"</f>
        <v>Materiais e Logística / Almoxarifado / Solicitações / Transferir Solicitações de Produtos (M_TRANSF_SOLICITACAO)</v>
      </c>
    </row>
    <row r="5493" spans="1:7" x14ac:dyDescent="0.3">
      <c r="A5493" s="1" t="s">
        <v>4</v>
      </c>
      <c r="B5493" s="2" t="str">
        <f t="shared" si="454"/>
        <v>SISTEMA DE GERENCIAMENTO DE ESTOQUE</v>
      </c>
      <c r="C5493" s="2" t="str">
        <f t="shared" si="455"/>
        <v>SUPRI</v>
      </c>
      <c r="D5493" s="2" t="str">
        <f t="shared" si="456"/>
        <v>MGES</v>
      </c>
      <c r="E5493" s="2" t="str">
        <f>"Cadastro Simplificado de Produtos Mestre"</f>
        <v>Cadastro Simplificado de Produtos Mestre</v>
      </c>
      <c r="F5493" s="2" t="str">
        <f>"M_PRODUTO_SIMPLIFICADO"</f>
        <v>M_PRODUTO_SIMPLIFICADO</v>
      </c>
      <c r="G5493" s="2" t="str">
        <f>"Materiais e Logística / Almoxarifado / Tabelas / Classificação dos Produtos / Cadastro Simplificado de Produtos Mestre (M_PRODUTO_SIMPLIFICADO)"</f>
        <v>Materiais e Logística / Almoxarifado / Tabelas / Classificação dos Produtos / Cadastro Simplificado de Produtos Mestre (M_PRODUTO_SIMPLIFICADO)</v>
      </c>
    </row>
    <row r="5494" spans="1:7" x14ac:dyDescent="0.3">
      <c r="A5494" s="1" t="s">
        <v>4</v>
      </c>
      <c r="B5494" s="2" t="str">
        <f t="shared" si="454"/>
        <v>SISTEMA DE GERENCIAMENTO DE ESTOQUE</v>
      </c>
      <c r="C5494" s="2" t="str">
        <f t="shared" si="455"/>
        <v>SUPRI</v>
      </c>
      <c r="D5494" s="2" t="str">
        <f t="shared" si="456"/>
        <v>MGES</v>
      </c>
      <c r="E5494" s="2" t="str">
        <f>"Consolidação Corporativa"</f>
        <v>Consolidação Corporativa</v>
      </c>
      <c r="F5494" s="2" t="str">
        <f>"O_CONSOLIDACAO_CORP"</f>
        <v>O_CONSOLIDACAO_CORP</v>
      </c>
      <c r="G5494" s="2" t="str">
        <f>"Materiais e Logística / Almoxarifado / Cálculos / Consolidação Corporativa (O_CONSOLIDACAO_CORP)"</f>
        <v>Materiais e Logística / Almoxarifado / Cálculos / Consolidação Corporativa (O_CONSOLIDACAO_CORP)</v>
      </c>
    </row>
    <row r="5495" spans="1:7" x14ac:dyDescent="0.3">
      <c r="A5495" s="1" t="s">
        <v>4</v>
      </c>
      <c r="B5495" s="2" t="str">
        <f t="shared" si="454"/>
        <v>SISTEMA DE GERENCIAMENTO DE ESTOQUE</v>
      </c>
      <c r="C5495" s="2" t="str">
        <f t="shared" si="455"/>
        <v>SUPRI</v>
      </c>
      <c r="D5495" s="2" t="str">
        <f t="shared" si="456"/>
        <v>MGES</v>
      </c>
      <c r="E5495" s="2" t="str">
        <f>"Motivos de Cancelamento"</f>
        <v>Motivos de Cancelamento</v>
      </c>
      <c r="F5495" s="2" t="str">
        <f>"M_MOT_CANC_SOL"</f>
        <v>M_MOT_CANC_SOL</v>
      </c>
      <c r="G5495" s="2" t="str">
        <f>"Materiais e Logística / Almoxarifado / Tabelas / Gerais / Motivos de Cancelamento (M_MOT_CANC_SOL)"</f>
        <v>Materiais e Logística / Almoxarifado / Tabelas / Gerais / Motivos de Cancelamento (M_MOT_CANC_SOL)</v>
      </c>
    </row>
    <row r="5496" spans="1:7" x14ac:dyDescent="0.3">
      <c r="A5496" s="1" t="s">
        <v>4</v>
      </c>
      <c r="B5496" s="2" t="str">
        <f t="shared" si="454"/>
        <v>SISTEMA DE GERENCIAMENTO DE ESTOQUE</v>
      </c>
      <c r="C5496" s="2" t="str">
        <f t="shared" si="455"/>
        <v>SUPRI</v>
      </c>
      <c r="D5496" s="2" t="str">
        <f t="shared" si="456"/>
        <v>MGES</v>
      </c>
      <c r="E5496" s="2" t="str">
        <f>"Conf. Transferência entre Estoques"</f>
        <v>Conf. Transferência entre Estoques</v>
      </c>
      <c r="F5496" s="2" t="str">
        <f>"M_RECEB_TRANSFERENCIA"</f>
        <v>M_RECEB_TRANSFERENCIA</v>
      </c>
      <c r="G5496" s="2" t="str">
        <f>"Materiais e Logística / Almoxarifado / Movimentações / Conf. Transferência entre Estoques (M_RECEB_TRANSFERENCIA)"</f>
        <v>Materiais e Logística / Almoxarifado / Movimentações / Conf. Transferência entre Estoques (M_RECEB_TRANSFERENCIA)</v>
      </c>
    </row>
    <row r="5497" spans="1:7" x14ac:dyDescent="0.3">
      <c r="A5497" s="1" t="s">
        <v>4</v>
      </c>
      <c r="B5497" s="2" t="str">
        <f t="shared" si="454"/>
        <v>SISTEMA DE GERENCIAMENTO DE ESTOQUE</v>
      </c>
      <c r="C5497" s="2" t="str">
        <f t="shared" si="455"/>
        <v>SUPRI</v>
      </c>
      <c r="D5497" s="2" t="str">
        <f t="shared" si="456"/>
        <v>MGES</v>
      </c>
      <c r="E5497" s="2" t="str">
        <f>"Cadastro de Impressoras"</f>
        <v>Cadastro de Impressoras</v>
      </c>
      <c r="F5497" s="2" t="str">
        <f>"M_IMPRESSORA_UNITARIZACAO"</f>
        <v>M_IMPRESSORA_UNITARIZACAO</v>
      </c>
      <c r="G5497" s="2" t="str">
        <f>"Materiais e Logística / Almoxarifado / Configurações / Unitarização / Cadastro de Impressoras (M_IMPRESSORA_UNITARIZACAO)"</f>
        <v>Materiais e Logística / Almoxarifado / Configurações / Unitarização / Cadastro de Impressoras (M_IMPRESSORA_UNITARIZACAO)</v>
      </c>
    </row>
    <row r="5498" spans="1:7" x14ac:dyDescent="0.3">
      <c r="A5498" s="1" t="s">
        <v>4</v>
      </c>
      <c r="B5498" s="2" t="str">
        <f t="shared" si="454"/>
        <v>SISTEMA DE GERENCIAMENTO DE ESTOQUE</v>
      </c>
      <c r="C5498" s="2" t="str">
        <f t="shared" si="455"/>
        <v>SUPRI</v>
      </c>
      <c r="D5498" s="2" t="str">
        <f t="shared" si="456"/>
        <v>MGES</v>
      </c>
      <c r="E5498" s="2" t="str">
        <f>"Cadastro de Impressoras"</f>
        <v>Cadastro de Impressoras</v>
      </c>
      <c r="F5498" s="2" t="str">
        <f>"M_IMPRESSORA_UNITARIZACAO"</f>
        <v>M_IMPRESSORA_UNITARIZACAO</v>
      </c>
      <c r="G5498" s="2" t="str">
        <f>"Materiais e Logística / Almoxarifado / Configurações / Unitarização / Cadastro de Impressoras (M_IMPRESSORA_UNITARIZACAO)"</f>
        <v>Materiais e Logística / Almoxarifado / Configurações / Unitarização / Cadastro de Impressoras (M_IMPRESSORA_UNITARIZACAO)</v>
      </c>
    </row>
    <row r="5499" spans="1:7" x14ac:dyDescent="0.3">
      <c r="A5499" s="1" t="s">
        <v>4</v>
      </c>
      <c r="B5499" s="2" t="str">
        <f t="shared" si="454"/>
        <v>SISTEMA DE GERENCIAMENTO DE ESTOQUE</v>
      </c>
      <c r="C5499" s="2" t="str">
        <f t="shared" si="455"/>
        <v>SUPRI</v>
      </c>
      <c r="D5499" s="2" t="str">
        <f t="shared" si="456"/>
        <v>MGES</v>
      </c>
      <c r="E5499" s="2" t="str">
        <f>"Modelos de Etiquetas"</f>
        <v>Modelos de Etiquetas</v>
      </c>
      <c r="F5499" s="2" t="str">
        <f>"M_ETIQUETA_UNITARIZACAO"</f>
        <v>M_ETIQUETA_UNITARIZACAO</v>
      </c>
      <c r="G5499" s="2" t="str">
        <f>"Materiais e Logística / Almoxarifado / Configurações / Unitarização / Modelos de Etiquetas (M_ETIQUETA_UNITARIZACAO)"</f>
        <v>Materiais e Logística / Almoxarifado / Configurações / Unitarização / Modelos de Etiquetas (M_ETIQUETA_UNITARIZACAO)</v>
      </c>
    </row>
    <row r="5500" spans="1:7" x14ac:dyDescent="0.3">
      <c r="A5500" s="1" t="s">
        <v>4</v>
      </c>
      <c r="B5500" s="2" t="str">
        <f t="shared" si="454"/>
        <v>SISTEMA DE GERENCIAMENTO DE ESTOQUE</v>
      </c>
      <c r="C5500" s="2" t="str">
        <f t="shared" si="455"/>
        <v>SUPRI</v>
      </c>
      <c r="D5500" s="2" t="str">
        <f t="shared" si="456"/>
        <v>MGES</v>
      </c>
      <c r="E5500" s="2" t="str">
        <f>"Modelos de Etiquetas"</f>
        <v>Modelos de Etiquetas</v>
      </c>
      <c r="F5500" s="2" t="str">
        <f>"M_ETIQUETA_UNITARIZACAO"</f>
        <v>M_ETIQUETA_UNITARIZACAO</v>
      </c>
      <c r="G5500" s="2" t="str">
        <f>"Materiais e Logística / Almoxarifado / Configurações / Unitarização / Modelos de Etiquetas (M_ETIQUETA_UNITARIZACAO)"</f>
        <v>Materiais e Logística / Almoxarifado / Configurações / Unitarização / Modelos de Etiquetas (M_ETIQUETA_UNITARIZACAO)</v>
      </c>
    </row>
    <row r="5501" spans="1:7" x14ac:dyDescent="0.3">
      <c r="A5501" s="1" t="s">
        <v>4</v>
      </c>
      <c r="B5501" s="2" t="str">
        <f t="shared" si="454"/>
        <v>SISTEMA DE GERENCIAMENTO DE ESTOQUE</v>
      </c>
      <c r="C5501" s="2" t="str">
        <f t="shared" si="455"/>
        <v>SUPRI</v>
      </c>
      <c r="D5501" s="2" t="str">
        <f t="shared" si="456"/>
        <v>MGES</v>
      </c>
      <c r="E5501" s="2" t="str">
        <f>"Unitarização"</f>
        <v>Unitarização</v>
      </c>
      <c r="F5501" s="2" t="str">
        <f>"M_IMPRIME_UNITARIZACAO"</f>
        <v>M_IMPRIME_UNITARIZACAO</v>
      </c>
      <c r="G5501" s="2" t="str">
        <f>"Materiais e Logística / Almoxarifado / Movimentações / Unitarização (M_IMPRIME_UNITARIZACAO)"</f>
        <v>Materiais e Logística / Almoxarifado / Movimentações / Unitarização (M_IMPRIME_UNITARIZACAO)</v>
      </c>
    </row>
    <row r="5502" spans="1:7" x14ac:dyDescent="0.3">
      <c r="A5502" s="1" t="s">
        <v>4</v>
      </c>
      <c r="B5502" s="2" t="str">
        <f t="shared" si="454"/>
        <v>SISTEMA DE GERENCIAMENTO DE ESTOQUE</v>
      </c>
      <c r="C5502" s="2" t="str">
        <f t="shared" si="455"/>
        <v>SUPRI</v>
      </c>
      <c r="D5502" s="2" t="str">
        <f t="shared" si="456"/>
        <v>MGES</v>
      </c>
      <c r="E5502" s="2" t="str">
        <f>"Tipo de Despesas"</f>
        <v>Tipo de Despesas</v>
      </c>
      <c r="F5502" s="2" t="str">
        <f>"M_TIPO_DESPESA"</f>
        <v>M_TIPO_DESPESA</v>
      </c>
      <c r="G5502" s="2" t="str">
        <f>"Materiais e Logística / Almoxarifado / Tabelas / Tipo de Despesas (M_TIPO_DESPESA)"</f>
        <v>Materiais e Logística / Almoxarifado / Tabelas / Tipo de Despesas (M_TIPO_DESPESA)</v>
      </c>
    </row>
    <row r="5503" spans="1:7" x14ac:dyDescent="0.3">
      <c r="A5503" s="1" t="s">
        <v>4</v>
      </c>
      <c r="B5503" s="2" t="str">
        <f t="shared" si="454"/>
        <v>SISTEMA DE GERENCIAMENTO DE ESTOQUE</v>
      </c>
      <c r="C5503" s="2" t="str">
        <f t="shared" si="455"/>
        <v>SUPRI</v>
      </c>
      <c r="D5503" s="2" t="str">
        <f t="shared" si="456"/>
        <v>MGES</v>
      </c>
      <c r="E5503" s="2" t="str">
        <f>"Codificação dos Serviços"</f>
        <v>Codificação dos Serviços</v>
      </c>
      <c r="F5503" s="2" t="str">
        <f>"M_CODIFICACAO_SERVICO"</f>
        <v>M_CODIFICACAO_SERVICO</v>
      </c>
      <c r="G5503" s="2" t="str">
        <f>"Materiais e Logística / Almoxarifado / Tabelas / Codificação dos Serviços (M_CODIFICACAO_SERVICO)"</f>
        <v>Materiais e Logística / Almoxarifado / Tabelas / Codificação dos Serviços (M_CODIFICACAO_SERVICO)</v>
      </c>
    </row>
    <row r="5504" spans="1:7" x14ac:dyDescent="0.3">
      <c r="A5504" s="1" t="s">
        <v>4</v>
      </c>
      <c r="B5504" s="2" t="str">
        <f t="shared" si="454"/>
        <v>SISTEMA DE GERENCIAMENTO DE ESTOQUE</v>
      </c>
      <c r="C5504" s="2" t="str">
        <f t="shared" si="455"/>
        <v>SUPRI</v>
      </c>
      <c r="D5504" s="2" t="str">
        <f t="shared" si="456"/>
        <v>MGES</v>
      </c>
      <c r="E5504" s="2" t="str">
        <f>"Kits"</f>
        <v>Kits</v>
      </c>
      <c r="F5504" s="2" t="str">
        <f>"M_CONSUMO_KIT"</f>
        <v>M_CONSUMO_KIT</v>
      </c>
      <c r="G5504" s="2" t="str">
        <f>" ()"</f>
        <v xml:space="preserve"> ()</v>
      </c>
    </row>
    <row r="5505" spans="1:7" x14ac:dyDescent="0.3">
      <c r="A5505" s="1" t="s">
        <v>4</v>
      </c>
      <c r="B5505" s="2" t="str">
        <f t="shared" si="454"/>
        <v>SISTEMA DE GERENCIAMENTO DE ESTOQUE</v>
      </c>
      <c r="C5505" s="2" t="str">
        <f t="shared" si="455"/>
        <v>SUPRI</v>
      </c>
      <c r="D5505" s="2" t="str">
        <f t="shared" si="456"/>
        <v>MGES</v>
      </c>
      <c r="E5505" s="2" t="str">
        <f>"Kits"</f>
        <v>Kits</v>
      </c>
      <c r="F5505" s="2" t="str">
        <f>"C_KIT"</f>
        <v>C_KIT</v>
      </c>
      <c r="G5505" s="2" t="str">
        <f>"Materiais e Logística / Almoxarifado / Consultas / Estoques dos Produtos / Kits (C_KIT)"</f>
        <v>Materiais e Logística / Almoxarifado / Consultas / Estoques dos Produtos / Kits (C_KIT)</v>
      </c>
    </row>
    <row r="5506" spans="1:7" x14ac:dyDescent="0.3">
      <c r="A5506" s="1" t="s">
        <v>4</v>
      </c>
      <c r="B5506" s="2" t="str">
        <f t="shared" si="454"/>
        <v>SISTEMA DE GERENCIAMENTO DE ESTOQUE</v>
      </c>
      <c r="C5506" s="2" t="str">
        <f t="shared" si="455"/>
        <v>SUPRI</v>
      </c>
      <c r="D5506" s="2" t="str">
        <f t="shared" si="456"/>
        <v>MGES</v>
      </c>
      <c r="E5506" s="2" t="str">
        <f>"Produtos Faturados"</f>
        <v>Produtos Faturados</v>
      </c>
      <c r="F5506" s="2" t="str">
        <f>"R_PROD_FATURADO"</f>
        <v>R_PROD_FATURADO</v>
      </c>
      <c r="G5506" s="2" t="str">
        <f>"Materiais e Logística / Almoxarifado / Relatórios / Operacionais / Consumo das Movimentações / Produtos Faturados (R_PROD_FATURADO)"</f>
        <v>Materiais e Logística / Almoxarifado / Relatórios / Operacionais / Consumo das Movimentações / Produtos Faturados (R_PROD_FATURADO)</v>
      </c>
    </row>
    <row r="5507" spans="1:7" x14ac:dyDescent="0.3">
      <c r="A5507" s="1" t="s">
        <v>4</v>
      </c>
      <c r="B5507" s="2" t="str">
        <f t="shared" si="454"/>
        <v>SISTEMA DE GERENCIAMENTO DE ESTOQUE</v>
      </c>
      <c r="C5507" s="2" t="str">
        <f t="shared" si="455"/>
        <v>SUPRI</v>
      </c>
      <c r="D5507" s="2" t="str">
        <f t="shared" si="456"/>
        <v>MGES</v>
      </c>
      <c r="E5507" s="2" t="str">
        <f>"ACAO TERAPEUTICA"</f>
        <v>ACAO TERAPEUTICA</v>
      </c>
      <c r="F5507" s="2" t="str">
        <f>"M_ACATER"</f>
        <v>M_ACATER</v>
      </c>
      <c r="G5507" s="2" t="str">
        <f>"Materiais e Logística / Almoxarifado / Tabelas / Padronização e Portaria / Ações Terapêuticas (M_ACATER)"</f>
        <v>Materiais e Logística / Almoxarifado / Tabelas / Padronização e Portaria / Ações Terapêuticas (M_ACATER)</v>
      </c>
    </row>
    <row r="5508" spans="1:7" x14ac:dyDescent="0.3">
      <c r="A5508" s="1" t="s">
        <v>4</v>
      </c>
      <c r="B5508" s="2" t="str">
        <f t="shared" si="454"/>
        <v>SISTEMA DE GERENCIAMENTO DE ESTOQUE</v>
      </c>
      <c r="C5508" s="2" t="str">
        <f t="shared" si="455"/>
        <v>SUPRI</v>
      </c>
      <c r="D5508" s="2" t="str">
        <f t="shared" si="456"/>
        <v>MGES</v>
      </c>
      <c r="E5508" s="2" t="str">
        <f>"RELATORIO DE POSICAO DE ESTOQUE"</f>
        <v>RELATORIO DE POSICAO DE ESTOQUE</v>
      </c>
      <c r="F5508" s="2" t="str">
        <f>"R_POS_EST"</f>
        <v>R_POS_EST</v>
      </c>
      <c r="G5508" s="2" t="str">
        <f>"Atendimento / Urgência e Emergência / Relatórios / Estoque / Posição de Estoque (R_POS_EST)"</f>
        <v>Atendimento / Urgência e Emergência / Relatórios / Estoque / Posição de Estoque (R_POS_EST)</v>
      </c>
    </row>
    <row r="5509" spans="1:7" x14ac:dyDescent="0.3">
      <c r="A5509" s="1" t="s">
        <v>4</v>
      </c>
      <c r="B5509" s="2" t="str">
        <f t="shared" si="454"/>
        <v>SISTEMA DE GERENCIAMENTO DE ESTOQUE</v>
      </c>
      <c r="C5509" s="2" t="str">
        <f t="shared" si="455"/>
        <v>SUPRI</v>
      </c>
      <c r="D5509" s="2" t="str">
        <f t="shared" si="456"/>
        <v>MGES</v>
      </c>
      <c r="E5509" s="2" t="str">
        <f>"RELATORIO DE POSICAO DE ESTOQUE"</f>
        <v>RELATORIO DE POSICAO DE ESTOQUE</v>
      </c>
      <c r="F5509" s="2" t="str">
        <f>"R_POS_EST"</f>
        <v>R_POS_EST</v>
      </c>
      <c r="G5509" s="2" t="str">
        <f>"Atendimento / Ambulatório / Relatórios / Estoque / Posição de Estoque (R_POS_EST)"</f>
        <v>Atendimento / Ambulatório / Relatórios / Estoque / Posição de Estoque (R_POS_EST)</v>
      </c>
    </row>
    <row r="5510" spans="1:7" x14ac:dyDescent="0.3">
      <c r="A5510" s="1" t="s">
        <v>4</v>
      </c>
      <c r="B5510" s="2" t="str">
        <f t="shared" si="454"/>
        <v>SISTEMA DE GERENCIAMENTO DE ESTOQUE</v>
      </c>
      <c r="C5510" s="2" t="str">
        <f t="shared" si="455"/>
        <v>SUPRI</v>
      </c>
      <c r="D5510" s="2" t="str">
        <f t="shared" si="456"/>
        <v>MGES</v>
      </c>
      <c r="E5510" s="2" t="str">
        <f>"RELATORIO DE POSICAO DE ESTOQUE"</f>
        <v>RELATORIO DE POSICAO DE ESTOQUE</v>
      </c>
      <c r="F5510" s="2" t="str">
        <f>"R_POS_EST"</f>
        <v>R_POS_EST</v>
      </c>
      <c r="G5510" s="2" t="str">
        <f>"Serviços de Apoio / Higienização / Relatórios / Administrativos / Posição de Estoque (R_POS_EST)"</f>
        <v>Serviços de Apoio / Higienização / Relatórios / Administrativos / Posição de Estoque (R_POS_EST)</v>
      </c>
    </row>
    <row r="5511" spans="1:7" x14ac:dyDescent="0.3">
      <c r="A5511" s="1" t="s">
        <v>4</v>
      </c>
      <c r="B5511" s="2" t="str">
        <f t="shared" si="454"/>
        <v>SISTEMA DE GERENCIAMENTO DE ESTOQUE</v>
      </c>
      <c r="C5511" s="2" t="str">
        <f t="shared" si="455"/>
        <v>SUPRI</v>
      </c>
      <c r="D5511" s="2" t="str">
        <f t="shared" si="456"/>
        <v>MGES</v>
      </c>
      <c r="E5511" s="2" t="str">
        <f>"RELATORIO DE POSICAO DE ESTOQUE"</f>
        <v>RELATORIO DE POSICAO DE ESTOQUE</v>
      </c>
      <c r="F5511" s="2" t="str">
        <f>"R_POS_EST"</f>
        <v>R_POS_EST</v>
      </c>
      <c r="G5511" s="2" t="str">
        <f>"Materiais e Logística / Almoxarifado / Relatórios / Administrativos / Posição de Estoque (R_POS_EST)"</f>
        <v>Materiais e Logística / Almoxarifado / Relatórios / Administrativos / Posição de Estoque (R_POS_EST)</v>
      </c>
    </row>
    <row r="5512" spans="1:7" x14ac:dyDescent="0.3">
      <c r="A5512" s="1" t="s">
        <v>4</v>
      </c>
      <c r="B5512" s="2" t="str">
        <f t="shared" si="454"/>
        <v>SISTEMA DE GERENCIAMENTO DE ESTOQUE</v>
      </c>
      <c r="C5512" s="2" t="str">
        <f t="shared" si="455"/>
        <v>SUPRI</v>
      </c>
      <c r="D5512" s="2" t="str">
        <f t="shared" si="456"/>
        <v>MGES</v>
      </c>
      <c r="E5512" s="2" t="str">
        <f>"TRG_ITSOLSAI_PRO"</f>
        <v>TRG_ITSOLSAI_PRO</v>
      </c>
      <c r="F5512" s="2" t="str">
        <f>"TRG_ITSOLSAI_PRO"</f>
        <v>TRG_ITSOLSAI_PRO</v>
      </c>
      <c r="G5512" s="2" t="str">
        <f>" ()"</f>
        <v xml:space="preserve"> ()</v>
      </c>
    </row>
    <row r="5513" spans="1:7" x14ac:dyDescent="0.3">
      <c r="A5513" s="1" t="s">
        <v>4</v>
      </c>
      <c r="B5513" s="2" t="str">
        <f t="shared" si="454"/>
        <v>SISTEMA DE GERENCIAMENTO DE ESTOQUE</v>
      </c>
      <c r="C5513" s="2" t="str">
        <f t="shared" si="455"/>
        <v>SUPRI</v>
      </c>
      <c r="D5513" s="2" t="str">
        <f t="shared" si="456"/>
        <v>MGES</v>
      </c>
      <c r="E5513" s="2" t="str">
        <f>"R__ETIQ_PAC"</f>
        <v>R__ETIQ_PAC</v>
      </c>
      <c r="F5513" s="2" t="str">
        <f>"R__ETIQ_PAC"</f>
        <v>R__ETIQ_PAC</v>
      </c>
      <c r="G5513" s="2" t="str">
        <f>" ()"</f>
        <v xml:space="preserve"> ()</v>
      </c>
    </row>
    <row r="5514" spans="1:7" x14ac:dyDescent="0.3">
      <c r="A5514" s="1" t="s">
        <v>4</v>
      </c>
      <c r="B5514" s="2" t="str">
        <f t="shared" si="454"/>
        <v>SISTEMA DE GERENCIAMENTO DE ESTOQUE</v>
      </c>
      <c r="C5514" s="2" t="str">
        <f t="shared" si="455"/>
        <v>SUPRI</v>
      </c>
      <c r="D5514" s="2" t="str">
        <f t="shared" si="456"/>
        <v>MGES</v>
      </c>
      <c r="E5514" s="2" t="str">
        <f>"TRANSFERENCIAS EFETUADAS"</f>
        <v>TRANSFERENCIAS EFETUADAS</v>
      </c>
      <c r="F5514" s="2" t="str">
        <f>"R_TRANS_EFET"</f>
        <v>R_TRANS_EFET</v>
      </c>
      <c r="G5514" s="2" t="s">
        <v>23</v>
      </c>
    </row>
    <row r="5515" spans="1:7" x14ac:dyDescent="0.3">
      <c r="A5515" s="1" t="s">
        <v>4</v>
      </c>
      <c r="B5515" s="2" t="str">
        <f t="shared" si="454"/>
        <v>SISTEMA DE GERENCIAMENTO DE ESTOQUE</v>
      </c>
      <c r="C5515" s="2" t="str">
        <f t="shared" si="455"/>
        <v>SUPRI</v>
      </c>
      <c r="D5515" s="2" t="str">
        <f t="shared" si="456"/>
        <v>MGES</v>
      </c>
      <c r="E5515" s="2" t="str">
        <f>"Gabarito da Cota"</f>
        <v>Gabarito da Cota</v>
      </c>
      <c r="F5515" s="2" t="str">
        <f>"M_GABARITO_COTA"</f>
        <v>M_GABARITO_COTA</v>
      </c>
      <c r="G5515" s="2" t="str">
        <f>"Materiais e Logística / Almoxarifado / Tabelas / Gerais / Gabarito da Cota (M_GABARITO_COTA)"</f>
        <v>Materiais e Logística / Almoxarifado / Tabelas / Gerais / Gabarito da Cota (M_GABARITO_COTA)</v>
      </c>
    </row>
    <row r="5516" spans="1:7" x14ac:dyDescent="0.3">
      <c r="A5516" s="1" t="s">
        <v>4</v>
      </c>
      <c r="B5516" s="2" t="str">
        <f t="shared" si="454"/>
        <v>SISTEMA DE GERENCIAMENTO DE ESTOQUE</v>
      </c>
      <c r="C5516" s="2" t="str">
        <f t="shared" si="455"/>
        <v>SUPRI</v>
      </c>
      <c r="D5516" s="2" t="str">
        <f t="shared" si="456"/>
        <v>MGES</v>
      </c>
      <c r="E5516" s="2" t="str">
        <f>"Dados do Termo de Abertura"</f>
        <v>Dados do Termo de Abertura</v>
      </c>
      <c r="F5516" s="2" t="str">
        <f>"M_TERMO_LIVRO_HOSP"</f>
        <v>M_TERMO_LIVRO_HOSP</v>
      </c>
      <c r="G5516" s="2" t="str">
        <f>"Materiais e Logística / Almoxarifado / Tabelas / Padronização e Portaria / Dados do Termo de Abertura (M_TERMO_LIVRO_HOSP)"</f>
        <v>Materiais e Logística / Almoxarifado / Tabelas / Padronização e Portaria / Dados do Termo de Abertura (M_TERMO_LIVRO_HOSP)</v>
      </c>
    </row>
    <row r="5517" spans="1:7" x14ac:dyDescent="0.3">
      <c r="A5517" s="1" t="s">
        <v>4</v>
      </c>
      <c r="B5517" s="2" t="str">
        <f t="shared" si="454"/>
        <v>SISTEMA DE GERENCIAMENTO DE ESTOQUE</v>
      </c>
      <c r="C5517" s="2" t="str">
        <f t="shared" si="455"/>
        <v>SUPRI</v>
      </c>
      <c r="D5517" s="2" t="str">
        <f t="shared" si="456"/>
        <v>MGES</v>
      </c>
      <c r="E5517" s="2" t="str">
        <f>"Gera Arquivo Secretaria Saúde"</f>
        <v>Gera Arquivo Secretaria Saúde</v>
      </c>
      <c r="F5517" s="2" t="str">
        <f>"O_NF_SAOPAULO"</f>
        <v>O_NF_SAOPAULO</v>
      </c>
      <c r="G5517" s="2" t="str">
        <f>"Materiais e Logística / Almoxarifado / Intercâmbio / Gera Arquivo Secretaria Saúde (O_NF_SAOPAULO)"</f>
        <v>Materiais e Logística / Almoxarifado / Intercâmbio / Gera Arquivo Secretaria Saúde (O_NF_SAOPAULO)</v>
      </c>
    </row>
    <row r="5518" spans="1:7" x14ac:dyDescent="0.3">
      <c r="A5518" s="1" t="s">
        <v>4</v>
      </c>
      <c r="B5518" s="2" t="str">
        <f t="shared" si="454"/>
        <v>SISTEMA DE GERENCIAMENTO DE ESTOQUE</v>
      </c>
      <c r="C5518" s="2" t="str">
        <f t="shared" si="455"/>
        <v>SUPRI</v>
      </c>
      <c r="D5518" s="2" t="str">
        <f t="shared" si="456"/>
        <v>MGES</v>
      </c>
      <c r="E5518" s="2" t="str">
        <f>"Complemento Entrada de Produtos SES"</f>
        <v>Complemento Entrada de Produtos SES</v>
      </c>
      <c r="F5518" s="2" t="str">
        <f>"M_ALTERA_ENTRADA_COMP"</f>
        <v>M_ALTERA_ENTRADA_COMP</v>
      </c>
      <c r="G5518" s="2" t="str">
        <f>"Materiais e Logística / Almoxarifado / Tabelas / Complemento Entrada de Produtos SES (M_ALTERA_ENTRADA_COMP)"</f>
        <v>Materiais e Logística / Almoxarifado / Tabelas / Complemento Entrada de Produtos SES (M_ALTERA_ENTRADA_COMP)</v>
      </c>
    </row>
    <row r="5519" spans="1:7" x14ac:dyDescent="0.3">
      <c r="A5519" s="1" t="s">
        <v>4</v>
      </c>
      <c r="B5519" s="2" t="str">
        <f t="shared" si="454"/>
        <v>SISTEMA DE GERENCIAMENTO DE ESTOQUE</v>
      </c>
      <c r="C5519" s="2" t="str">
        <f t="shared" si="455"/>
        <v>SUPRI</v>
      </c>
      <c r="D5519" s="2" t="str">
        <f t="shared" si="456"/>
        <v>MGES</v>
      </c>
      <c r="E5519" s="2" t="str">
        <f>"Entrada"</f>
        <v>Entrada</v>
      </c>
      <c r="F5519" s="2" t="str">
        <f>"M_ENTRADA_DI"</f>
        <v>M_ENTRADA_DI</v>
      </c>
      <c r="G5519" s="2" t="str">
        <f t="shared" ref="G5519:G5527" si="457">" ()"</f>
        <v xml:space="preserve"> ()</v>
      </c>
    </row>
    <row r="5520" spans="1:7" x14ac:dyDescent="0.3">
      <c r="A5520" s="1" t="s">
        <v>4</v>
      </c>
      <c r="B5520" s="2" t="str">
        <f t="shared" si="454"/>
        <v>SISTEMA DE GERENCIAMENTO DE ESTOQUE</v>
      </c>
      <c r="C5520" s="2" t="str">
        <f t="shared" si="455"/>
        <v>SUPRI</v>
      </c>
      <c r="D5520" s="2" t="str">
        <f t="shared" si="456"/>
        <v>MGES</v>
      </c>
      <c r="E5520" s="2" t="str">
        <f>"Modalidade de Transporte"</f>
        <v>Modalidade de Transporte</v>
      </c>
      <c r="F5520" s="2" t="str">
        <f>"M_MODALIDADE_TRANSPORTE_DI"</f>
        <v>M_MODALIDADE_TRANSPORTE_DI</v>
      </c>
      <c r="G5520" s="2" t="str">
        <f t="shared" si="457"/>
        <v xml:space="preserve"> ()</v>
      </c>
    </row>
    <row r="5521" spans="1:7" x14ac:dyDescent="0.3">
      <c r="A5521" s="1" t="s">
        <v>4</v>
      </c>
      <c r="B5521" s="2" t="str">
        <f t="shared" si="454"/>
        <v>SISTEMA DE GERENCIAMENTO DE ESTOQUE</v>
      </c>
      <c r="C5521" s="2" t="str">
        <f t="shared" si="455"/>
        <v>SUPRI</v>
      </c>
      <c r="D5521" s="2" t="str">
        <f t="shared" si="456"/>
        <v>MGES</v>
      </c>
      <c r="E5521" s="2" t="str">
        <f>"Código de Importação"</f>
        <v>Código de Importação</v>
      </c>
      <c r="F5521" s="2" t="str">
        <f>"M_CODIGO_IMPORTACAO_DI"</f>
        <v>M_CODIGO_IMPORTACAO_DI</v>
      </c>
      <c r="G5521" s="2" t="str">
        <f t="shared" si="457"/>
        <v xml:space="preserve"> ()</v>
      </c>
    </row>
    <row r="5522" spans="1:7" x14ac:dyDescent="0.3">
      <c r="A5522" s="1" t="s">
        <v>4</v>
      </c>
      <c r="B5522" s="2" t="str">
        <f t="shared" si="454"/>
        <v>SISTEMA DE GERENCIAMENTO DE ESTOQUE</v>
      </c>
      <c r="C5522" s="2" t="str">
        <f t="shared" si="455"/>
        <v>SUPRI</v>
      </c>
      <c r="D5522" s="2" t="str">
        <f t="shared" si="456"/>
        <v>MGES</v>
      </c>
      <c r="E5522" s="2" t="str">
        <f>"Fretes"</f>
        <v>Fretes</v>
      </c>
      <c r="F5522" s="2" t="str">
        <f>"M_FRETE_DI"</f>
        <v>M_FRETE_DI</v>
      </c>
      <c r="G5522" s="2" t="str">
        <f t="shared" si="457"/>
        <v xml:space="preserve"> ()</v>
      </c>
    </row>
    <row r="5523" spans="1:7" x14ac:dyDescent="0.3">
      <c r="A5523" s="1" t="s">
        <v>4</v>
      </c>
      <c r="B5523" s="2" t="str">
        <f t="shared" si="454"/>
        <v>SISTEMA DE GERENCIAMENTO DE ESTOQUE</v>
      </c>
      <c r="C5523" s="2" t="str">
        <f t="shared" si="455"/>
        <v>SUPRI</v>
      </c>
      <c r="D5523" s="2" t="str">
        <f t="shared" si="456"/>
        <v>MGES</v>
      </c>
      <c r="E5523" s="2" t="str">
        <f>"Uso da Mercadoria"</f>
        <v>Uso da Mercadoria</v>
      </c>
      <c r="F5523" s="2" t="str">
        <f>"M_USO_MERCADORIA_DI"</f>
        <v>M_USO_MERCADORIA_DI</v>
      </c>
      <c r="G5523" s="2" t="str">
        <f t="shared" si="457"/>
        <v xml:space="preserve"> ()</v>
      </c>
    </row>
    <row r="5524" spans="1:7" x14ac:dyDescent="0.3">
      <c r="A5524" s="1" t="s">
        <v>4</v>
      </c>
      <c r="B5524" s="2" t="str">
        <f t="shared" si="454"/>
        <v>SISTEMA DE GERENCIAMENTO DE ESTOQUE</v>
      </c>
      <c r="C5524" s="2" t="str">
        <f t="shared" si="455"/>
        <v>SUPRI</v>
      </c>
      <c r="D5524" s="2" t="str">
        <f t="shared" si="456"/>
        <v>MGES</v>
      </c>
      <c r="E5524" s="2" t="str">
        <f>"Situação da Operação do Simples Nacional"</f>
        <v>Situação da Operação do Simples Nacional</v>
      </c>
      <c r="F5524" s="2" t="str">
        <f>"M_CSOSN_DI"</f>
        <v>M_CSOSN_DI</v>
      </c>
      <c r="G5524" s="2" t="str">
        <f t="shared" si="457"/>
        <v xml:space="preserve"> ()</v>
      </c>
    </row>
    <row r="5525" spans="1:7" x14ac:dyDescent="0.3">
      <c r="A5525" s="1" t="s">
        <v>4</v>
      </c>
      <c r="B5525" s="2" t="str">
        <f t="shared" si="454"/>
        <v>SISTEMA DE GERENCIAMENTO DE ESTOQUE</v>
      </c>
      <c r="C5525" s="2" t="str">
        <f t="shared" si="455"/>
        <v>SUPRI</v>
      </c>
      <c r="D5525" s="2" t="str">
        <f t="shared" si="456"/>
        <v>MGES</v>
      </c>
      <c r="E5525" s="2" t="str">
        <f>"Natureza da Operação"</f>
        <v>Natureza da Operação</v>
      </c>
      <c r="F5525" s="2" t="str">
        <f>"M_NATUREZA_OP_DI"</f>
        <v>M_NATUREZA_OP_DI</v>
      </c>
      <c r="G5525" s="2" t="str">
        <f t="shared" si="457"/>
        <v xml:space="preserve"> ()</v>
      </c>
    </row>
    <row r="5526" spans="1:7" x14ac:dyDescent="0.3">
      <c r="A5526" s="1" t="s">
        <v>4</v>
      </c>
      <c r="B5526" s="2" t="str">
        <f t="shared" si="454"/>
        <v>SISTEMA DE GERENCIAMENTO DE ESTOQUE</v>
      </c>
      <c r="C5526" s="2" t="str">
        <f t="shared" si="455"/>
        <v>SUPRI</v>
      </c>
      <c r="D5526" s="2" t="str">
        <f t="shared" si="456"/>
        <v>MGES</v>
      </c>
      <c r="E5526" s="2" t="str">
        <f>"Tipos de Compra"</f>
        <v>Tipos de Compra</v>
      </c>
      <c r="F5526" s="2" t="str">
        <f>"M_TIPO_COMPRA_DI"</f>
        <v>M_TIPO_COMPRA_DI</v>
      </c>
      <c r="G5526" s="2" t="str">
        <f t="shared" si="457"/>
        <v xml:space="preserve"> ()</v>
      </c>
    </row>
    <row r="5527" spans="1:7" x14ac:dyDescent="0.3">
      <c r="A5527" s="1" t="s">
        <v>4</v>
      </c>
      <c r="B5527" s="2" t="str">
        <f t="shared" si="454"/>
        <v>SISTEMA DE GERENCIAMENTO DE ESTOQUE</v>
      </c>
      <c r="C5527" s="2" t="str">
        <f t="shared" si="455"/>
        <v>SUPRI</v>
      </c>
      <c r="D5527" s="2" t="str">
        <f t="shared" si="456"/>
        <v>MGES</v>
      </c>
      <c r="E5527" s="2" t="str">
        <f>"R.Notas não contabilizadas x Devoluções"</f>
        <v>R.Notas não contabilizadas x Devoluções</v>
      </c>
      <c r="F5527" s="2" t="str">
        <f>"R_NOTA_DEVOLUCAO"</f>
        <v>R_NOTA_DEVOLUCAO</v>
      </c>
      <c r="G5527" s="2" t="str">
        <f t="shared" si="457"/>
        <v xml:space="preserve"> ()</v>
      </c>
    </row>
    <row r="5528" spans="1:7" x14ac:dyDescent="0.3">
      <c r="A5528" s="1" t="s">
        <v>4</v>
      </c>
      <c r="B5528" s="2" t="str">
        <f t="shared" si="454"/>
        <v>SISTEMA DE GERENCIAMENTO DE ESTOQUE</v>
      </c>
      <c r="C5528" s="2" t="str">
        <f t="shared" si="455"/>
        <v>SUPRI</v>
      </c>
      <c r="D5528" s="2" t="str">
        <f t="shared" si="456"/>
        <v>MGES</v>
      </c>
      <c r="E5528" s="2" t="str">
        <f>"Notas não contabilizadas x Devoluções"</f>
        <v>Notas não contabilizadas x Devoluções</v>
      </c>
      <c r="F5528" s="2" t="str">
        <f>"C_NOTA_DEVOLUCAO"</f>
        <v>C_NOTA_DEVOLUCAO</v>
      </c>
      <c r="G5528" s="2" t="str">
        <f>"Materiais e Logística / Almoxarifado / Consultas / Notas não contabilizadas x Devoluções (C_NOTA_DEVOLUCAO)"</f>
        <v>Materiais e Logística / Almoxarifado / Consultas / Notas não contabilizadas x Devoluções (C_NOTA_DEVOLUCAO)</v>
      </c>
    </row>
    <row r="5529" spans="1:7" x14ac:dyDescent="0.3">
      <c r="A5529" s="1" t="s">
        <v>4</v>
      </c>
      <c r="B5529" s="2" t="str">
        <f t="shared" si="454"/>
        <v>SISTEMA DE GERENCIAMENTO DE ESTOQUE</v>
      </c>
      <c r="C5529" s="2" t="str">
        <f t="shared" si="455"/>
        <v>SUPRI</v>
      </c>
      <c r="D5529" s="2" t="str">
        <f t="shared" si="456"/>
        <v>MGES</v>
      </c>
      <c r="E5529" s="2" t="str">
        <f>"Tipo de Devolução Fiscal"</f>
        <v>Tipo de Devolução Fiscal</v>
      </c>
      <c r="F5529" s="2" t="str">
        <f>"M_TIP_DEV_FISCAL"</f>
        <v>M_TIP_DEV_FISCAL</v>
      </c>
      <c r="G5529" s="2" t="str">
        <f>"Materiais e Logística / Almoxarifado / Personalizados / Tipo de Devolução Fiscal (M_TIP_DEV_FISCAL)"</f>
        <v>Materiais e Logística / Almoxarifado / Personalizados / Tipo de Devolução Fiscal (M_TIP_DEV_FISCAL)</v>
      </c>
    </row>
    <row r="5530" spans="1:7" x14ac:dyDescent="0.3">
      <c r="A5530" s="1" t="s">
        <v>4</v>
      </c>
      <c r="B5530" s="2" t="str">
        <f t="shared" ref="B5530:B5593" si="458">"SISTEMA DE GERENCIAMENTO DE ESTOQUE"</f>
        <v>SISTEMA DE GERENCIAMENTO DE ESTOQUE</v>
      </c>
      <c r="C5530" s="2" t="str">
        <f t="shared" ref="C5530:C5593" si="459">"SUPRI"</f>
        <v>SUPRI</v>
      </c>
      <c r="D5530" s="2" t="str">
        <f t="shared" ref="D5530:D5593" si="460">"MGES"</f>
        <v>MGES</v>
      </c>
      <c r="E5530" s="2" t="str">
        <f>"Importação"</f>
        <v>Importação</v>
      </c>
      <c r="F5530" s="2" t="str">
        <f>"O_IMP_NCM"</f>
        <v>O_IMP_NCM</v>
      </c>
      <c r="G5530" s="2" t="str">
        <f>"Materiais e Logística / Almoxarifado / Tabelas / Tabela NCM / Importação (O_IMP_NCM)"</f>
        <v>Materiais e Logística / Almoxarifado / Tabelas / Tabela NCM / Importação (O_IMP_NCM)</v>
      </c>
    </row>
    <row r="5531" spans="1:7" x14ac:dyDescent="0.3">
      <c r="A5531" s="1" t="s">
        <v>4</v>
      </c>
      <c r="B5531" s="2" t="str">
        <f t="shared" si="458"/>
        <v>SISTEMA DE GERENCIAMENTO DE ESTOQUE</v>
      </c>
      <c r="C5531" s="2" t="str">
        <f t="shared" si="459"/>
        <v>SUPRI</v>
      </c>
      <c r="D5531" s="2" t="str">
        <f t="shared" si="460"/>
        <v>MGES</v>
      </c>
      <c r="E5531" s="2" t="str">
        <f>"De-Para Mv e NCM"</f>
        <v>De-Para Mv e NCM</v>
      </c>
      <c r="F5531" s="2" t="str">
        <f>"M_VINC_MV_NCM"</f>
        <v>M_VINC_MV_NCM</v>
      </c>
      <c r="G5531" s="2" t="str">
        <f>"Materiais e Logística / Almoxarifado / Tabelas / Tabela NCM / De-Para Mv e NCM (M_VINC_MV_NCM)"</f>
        <v>Materiais e Logística / Almoxarifado / Tabelas / Tabela NCM / De-Para Mv e NCM (M_VINC_MV_NCM)</v>
      </c>
    </row>
    <row r="5532" spans="1:7" x14ac:dyDescent="0.3">
      <c r="A5532" s="1" t="s">
        <v>4</v>
      </c>
      <c r="B5532" s="2" t="str">
        <f t="shared" si="458"/>
        <v>SISTEMA DE GERENCIAMENTO DE ESTOQUE</v>
      </c>
      <c r="C5532" s="2" t="str">
        <f t="shared" si="459"/>
        <v>SUPRI</v>
      </c>
      <c r="D5532" s="2" t="str">
        <f t="shared" si="460"/>
        <v>MGES</v>
      </c>
      <c r="E5532" s="2" t="str">
        <f>"Cadastro"</f>
        <v>Cadastro</v>
      </c>
      <c r="F5532" s="2" t="str">
        <f>"M_CAD_NCM"</f>
        <v>M_CAD_NCM</v>
      </c>
      <c r="G5532" s="2" t="str">
        <f>"Materiais e Logística / Almoxarifado / Tabelas / Tabela NCM / Cadastro (M_CAD_NCM)"</f>
        <v>Materiais e Logística / Almoxarifado / Tabelas / Tabela NCM / Cadastro (M_CAD_NCM)</v>
      </c>
    </row>
    <row r="5533" spans="1:7" x14ac:dyDescent="0.3">
      <c r="A5533" s="1" t="s">
        <v>4</v>
      </c>
      <c r="B5533" s="2" t="str">
        <f t="shared" si="458"/>
        <v>SISTEMA DE GERENCIAMENTO DE ESTOQUE</v>
      </c>
      <c r="C5533" s="2" t="str">
        <f t="shared" si="459"/>
        <v>SUPRI</v>
      </c>
      <c r="D5533" s="2" t="str">
        <f t="shared" si="460"/>
        <v>MGES</v>
      </c>
      <c r="E5533" s="2" t="str">
        <f>"RELATORIO DE SOLICITAÇAO DE PRODUTO HOCA"</f>
        <v>RELATORIO DE SOLICITAÇAO DE PRODUTO HOCA</v>
      </c>
      <c r="F5533" s="2" t="str">
        <f>"R_SOLSAI_PRO800"</f>
        <v>R_SOLSAI_PRO800</v>
      </c>
      <c r="G5533" s="2" t="str">
        <f t="shared" ref="G5533:G5545" si="461">" ()"</f>
        <v xml:space="preserve"> ()</v>
      </c>
    </row>
    <row r="5534" spans="1:7" x14ac:dyDescent="0.3">
      <c r="A5534" s="1" t="s">
        <v>4</v>
      </c>
      <c r="B5534" s="2" t="str">
        <f t="shared" si="458"/>
        <v>SISTEMA DE GERENCIAMENTO DE ESTOQUE</v>
      </c>
      <c r="C5534" s="2" t="str">
        <f t="shared" si="459"/>
        <v>SUPRI</v>
      </c>
      <c r="D5534" s="2" t="str">
        <f t="shared" si="460"/>
        <v>MGES</v>
      </c>
      <c r="E5534" s="2" t="str">
        <f>"Romaneio"</f>
        <v>Romaneio</v>
      </c>
      <c r="F5534" s="2" t="str">
        <f>"M_ROMANEIO"</f>
        <v>M_ROMANEIO</v>
      </c>
      <c r="G5534" s="2" t="str">
        <f t="shared" si="461"/>
        <v xml:space="preserve"> ()</v>
      </c>
    </row>
    <row r="5535" spans="1:7" x14ac:dyDescent="0.3">
      <c r="A5535" s="1" t="s">
        <v>4</v>
      </c>
      <c r="B5535" s="2" t="str">
        <f t="shared" si="458"/>
        <v>SISTEMA DE GERENCIAMENTO DE ESTOQUE</v>
      </c>
      <c r="C5535" s="2" t="str">
        <f t="shared" si="459"/>
        <v>SUPRI</v>
      </c>
      <c r="D5535" s="2" t="str">
        <f t="shared" si="460"/>
        <v>MGES</v>
      </c>
      <c r="E5535" s="2" t="str">
        <f>"Pesquisar utilização de Veículos"</f>
        <v>Pesquisar utilização de Veículos</v>
      </c>
      <c r="F5535" s="2" t="str">
        <f>"C_UTILIZACAO_VEIC_ROMANEIO"</f>
        <v>C_UTILIZACAO_VEIC_ROMANEIO</v>
      </c>
      <c r="G5535" s="2" t="str">
        <f t="shared" si="461"/>
        <v xml:space="preserve"> ()</v>
      </c>
    </row>
    <row r="5536" spans="1:7" x14ac:dyDescent="0.3">
      <c r="A5536" s="1" t="s">
        <v>4</v>
      </c>
      <c r="B5536" s="2" t="str">
        <f t="shared" si="458"/>
        <v>SISTEMA DE GERENCIAMENTO DE ESTOQUE</v>
      </c>
      <c r="C5536" s="2" t="str">
        <f t="shared" si="459"/>
        <v>SUPRI</v>
      </c>
      <c r="D5536" s="2" t="str">
        <f t="shared" si="460"/>
        <v>MGES</v>
      </c>
      <c r="E5536" s="2" t="str">
        <f>"Cadastro de Motorista"</f>
        <v>Cadastro de Motorista</v>
      </c>
      <c r="F5536" s="2" t="str">
        <f>"M_MOTORISTA_ROMANEIO"</f>
        <v>M_MOTORISTA_ROMANEIO</v>
      </c>
      <c r="G5536" s="2" t="str">
        <f t="shared" si="461"/>
        <v xml:space="preserve"> ()</v>
      </c>
    </row>
    <row r="5537" spans="1:7" x14ac:dyDescent="0.3">
      <c r="A5537" s="1" t="s">
        <v>4</v>
      </c>
      <c r="B5537" s="2" t="str">
        <f t="shared" si="458"/>
        <v>SISTEMA DE GERENCIAMENTO DE ESTOQUE</v>
      </c>
      <c r="C5537" s="2" t="str">
        <f t="shared" si="459"/>
        <v>SUPRI</v>
      </c>
      <c r="D5537" s="2" t="str">
        <f t="shared" si="460"/>
        <v>MGES</v>
      </c>
      <c r="E5537" s="2" t="str">
        <f>"Rel. Mapa Distribuição de Medicamentos"</f>
        <v>Rel. Mapa Distribuição de Medicamentos</v>
      </c>
      <c r="F5537" s="2" t="str">
        <f>"R_DIST_MED"</f>
        <v>R_DIST_MED</v>
      </c>
      <c r="G5537" s="2" t="str">
        <f t="shared" si="461"/>
        <v xml:space="preserve"> ()</v>
      </c>
    </row>
    <row r="5538" spans="1:7" x14ac:dyDescent="0.3">
      <c r="A5538" s="1" t="s">
        <v>4</v>
      </c>
      <c r="B5538" s="2" t="str">
        <f t="shared" si="458"/>
        <v>SISTEMA DE GERENCIAMENTO DE ESTOQUE</v>
      </c>
      <c r="C5538" s="2" t="str">
        <f t="shared" si="459"/>
        <v>SUPRI</v>
      </c>
      <c r="D5538" s="2" t="str">
        <f t="shared" si="460"/>
        <v>MGES</v>
      </c>
      <c r="E5538" s="2" t="str">
        <f>"De Fornecedores"</f>
        <v>De Fornecedores</v>
      </c>
      <c r="F5538" s="2" t="str">
        <f>"M_SAISET_FORN"</f>
        <v>M_SAISET_FORN</v>
      </c>
      <c r="G5538" s="2" t="str">
        <f t="shared" si="461"/>
        <v xml:space="preserve"> ()</v>
      </c>
    </row>
    <row r="5539" spans="1:7" x14ac:dyDescent="0.3">
      <c r="A5539" s="1" t="s">
        <v>4</v>
      </c>
      <c r="B5539" s="2" t="str">
        <f t="shared" si="458"/>
        <v>SISTEMA DE GERENCIAMENTO DE ESTOQUE</v>
      </c>
      <c r="C5539" s="2" t="str">
        <f t="shared" si="459"/>
        <v>SUPRI</v>
      </c>
      <c r="D5539" s="2" t="str">
        <f t="shared" si="460"/>
        <v>MGES</v>
      </c>
      <c r="E5539" s="2" t="str">
        <f>"Motivo de Saída para Fornecedor"</f>
        <v>Motivo de Saída para Fornecedor</v>
      </c>
      <c r="F5539" s="2" t="str">
        <f>"M_MOT_SAISET_FORN"</f>
        <v>M_MOT_SAISET_FORN</v>
      </c>
      <c r="G5539" s="2" t="str">
        <f t="shared" si="461"/>
        <v xml:space="preserve"> ()</v>
      </c>
    </row>
    <row r="5540" spans="1:7" x14ac:dyDescent="0.3">
      <c r="A5540" s="1" t="s">
        <v>4</v>
      </c>
      <c r="B5540" s="2" t="str">
        <f t="shared" si="458"/>
        <v>SISTEMA DE GERENCIAMENTO DE ESTOQUE</v>
      </c>
      <c r="C5540" s="2" t="str">
        <f t="shared" si="459"/>
        <v>SUPRI</v>
      </c>
      <c r="D5540" s="2" t="str">
        <f t="shared" si="460"/>
        <v>MGES</v>
      </c>
      <c r="E5540" s="2" t="str">
        <f>"LIBERAÇÃO DE CADASTRO DE PRODUTOS"</f>
        <v>LIBERAÇÃO DE CADASTRO DE PRODUTOS</v>
      </c>
      <c r="F5540" s="2" t="str">
        <f>"M_LIBERA_PRODUTO"</f>
        <v>M_LIBERA_PRODUTO</v>
      </c>
      <c r="G5540" s="2" t="str">
        <f t="shared" si="461"/>
        <v xml:space="preserve"> ()</v>
      </c>
    </row>
    <row r="5541" spans="1:7" x14ac:dyDescent="0.3">
      <c r="A5541" s="1" t="s">
        <v>4</v>
      </c>
      <c r="B5541" s="2" t="str">
        <f t="shared" si="458"/>
        <v>SISTEMA DE GERENCIAMENTO DE ESTOQUE</v>
      </c>
      <c r="C5541" s="2" t="str">
        <f t="shared" si="459"/>
        <v>SUPRI</v>
      </c>
      <c r="D5541" s="2" t="str">
        <f t="shared" si="460"/>
        <v>MGES</v>
      </c>
      <c r="E5541" s="2" t="str">
        <f>"CONTROLE DE CADASTRO UNIFICADO"</f>
        <v>CONTROLE DE CADASTRO UNIFICADO</v>
      </c>
      <c r="F5541" s="2" t="str">
        <f>"M_REC_SOLIC_CAD_PROD"</f>
        <v>M_REC_SOLIC_CAD_PROD</v>
      </c>
      <c r="G5541" s="2" t="str">
        <f t="shared" si="461"/>
        <v xml:space="preserve"> ()</v>
      </c>
    </row>
    <row r="5542" spans="1:7" x14ac:dyDescent="0.3">
      <c r="A5542" s="1" t="s">
        <v>4</v>
      </c>
      <c r="B5542" s="2" t="str">
        <f t="shared" si="458"/>
        <v>SISTEMA DE GERENCIAMENTO DE ESTOQUE</v>
      </c>
      <c r="C5542" s="2" t="str">
        <f t="shared" si="459"/>
        <v>SUPRI</v>
      </c>
      <c r="D5542" s="2" t="str">
        <f t="shared" si="460"/>
        <v>MGES</v>
      </c>
      <c r="E5542" s="2" t="str">
        <f>"SOLICITACAO DE CADASTRO UNIFICADO"</f>
        <v>SOLICITACAO DE CADASTRO UNIFICADO</v>
      </c>
      <c r="F5542" s="2" t="str">
        <f>"M_SOLIC_CAD_PROD"</f>
        <v>M_SOLIC_CAD_PROD</v>
      </c>
      <c r="G5542" s="2" t="str">
        <f t="shared" si="461"/>
        <v xml:space="preserve"> ()</v>
      </c>
    </row>
    <row r="5543" spans="1:7" x14ac:dyDescent="0.3">
      <c r="A5543" s="1" t="s">
        <v>4</v>
      </c>
      <c r="B5543" s="2" t="str">
        <f t="shared" si="458"/>
        <v>SISTEMA DE GERENCIAMENTO DE ESTOQUE</v>
      </c>
      <c r="C5543" s="2" t="str">
        <f t="shared" si="459"/>
        <v>SUPRI</v>
      </c>
      <c r="D5543" s="2" t="str">
        <f t="shared" si="460"/>
        <v>MGES</v>
      </c>
      <c r="E5543" s="2" t="str">
        <f>"CADASTRO UNIFICADO DAS EMPREAS"</f>
        <v>CADASTRO UNIFICADO DAS EMPREAS</v>
      </c>
      <c r="F5543" s="2" t="str">
        <f>"M_HOSPITAL_UNIFICADO_EMPRESA"</f>
        <v>M_HOSPITAL_UNIFICADO_EMPRESA</v>
      </c>
      <c r="G5543" s="2" t="str">
        <f t="shared" si="461"/>
        <v xml:space="preserve"> ()</v>
      </c>
    </row>
    <row r="5544" spans="1:7" x14ac:dyDescent="0.3">
      <c r="A5544" s="1" t="s">
        <v>4</v>
      </c>
      <c r="B5544" s="2" t="str">
        <f t="shared" si="458"/>
        <v>SISTEMA DE GERENCIAMENTO DE ESTOQUE</v>
      </c>
      <c r="C5544" s="2" t="str">
        <f t="shared" si="459"/>
        <v>SUPRI</v>
      </c>
      <c r="D5544" s="2" t="str">
        <f t="shared" si="460"/>
        <v>MGES</v>
      </c>
      <c r="E5544" s="2" t="str">
        <f>"CADASTRO UNIFICADO DE DESTINATÁRIOS"</f>
        <v>CADASTRO UNIFICADO DE DESTINATÁRIOS</v>
      </c>
      <c r="F5544" s="2" t="str">
        <f>"M_DESTINATARIO_UNIFICADO"</f>
        <v>M_DESTINATARIO_UNIFICADO</v>
      </c>
      <c r="G5544" s="2" t="str">
        <f t="shared" si="461"/>
        <v xml:space="preserve"> ()</v>
      </c>
    </row>
    <row r="5545" spans="1:7" x14ac:dyDescent="0.3">
      <c r="A5545" s="1" t="s">
        <v>4</v>
      </c>
      <c r="B5545" s="2" t="str">
        <f t="shared" si="458"/>
        <v>SISTEMA DE GERENCIAMENTO DE ESTOQUE</v>
      </c>
      <c r="C5545" s="2" t="str">
        <f t="shared" si="459"/>
        <v>SUPRI</v>
      </c>
      <c r="D5545" s="2" t="str">
        <f t="shared" si="460"/>
        <v>MGES</v>
      </c>
      <c r="E5545" s="2" t="str">
        <f>"CADASTRO UNIFICADO DE SEQUENCIAIS"</f>
        <v>CADASTRO UNIFICADO DE SEQUENCIAIS</v>
      </c>
      <c r="F5545" s="2" t="str">
        <f>"M_SEQUENCIAL_UNIFICADO"</f>
        <v>M_SEQUENCIAL_UNIFICADO</v>
      </c>
      <c r="G5545" s="2" t="str">
        <f t="shared" si="461"/>
        <v xml:space="preserve"> ()</v>
      </c>
    </row>
    <row r="5546" spans="1:7" x14ac:dyDescent="0.3">
      <c r="A5546" s="1" t="s">
        <v>4</v>
      </c>
      <c r="B5546" s="2" t="str">
        <f t="shared" si="458"/>
        <v>SISTEMA DE GERENCIAMENTO DE ESTOQUE</v>
      </c>
      <c r="C5546" s="2" t="str">
        <f t="shared" si="459"/>
        <v>SUPRI</v>
      </c>
      <c r="D5546" s="2" t="str">
        <f t="shared" si="460"/>
        <v>MGES</v>
      </c>
      <c r="E5546" s="2" t="str">
        <f>"Bloqueio/Liberação de Medicamentos"</f>
        <v>Bloqueio/Liberação de Medicamentos</v>
      </c>
      <c r="F5546" s="2" t="str">
        <f>"M_CHANCELA"</f>
        <v>M_CHANCELA</v>
      </c>
      <c r="G5546" s="2" t="str">
        <f>"Materiais e Logística / Almoxarifado / Solicitações / Bloqueio/Liberação de Medicamentos (M_CHANCELA)"</f>
        <v>Materiais e Logística / Almoxarifado / Solicitações / Bloqueio/Liberação de Medicamentos (M_CHANCELA)</v>
      </c>
    </row>
    <row r="5547" spans="1:7" x14ac:dyDescent="0.3">
      <c r="A5547" s="1" t="s">
        <v>4</v>
      </c>
      <c r="B5547" s="2" t="str">
        <f t="shared" si="458"/>
        <v>SISTEMA DE GERENCIAMENTO DE ESTOQUE</v>
      </c>
      <c r="C5547" s="2" t="str">
        <f t="shared" si="459"/>
        <v>SUPRI</v>
      </c>
      <c r="D5547" s="2" t="str">
        <f t="shared" si="460"/>
        <v>MGES</v>
      </c>
      <c r="E5547" s="2" t="str">
        <f>"RELATÓRIO DE GLOSAS POR SITUAÇÃO"</f>
        <v>RELATÓRIO DE GLOSAS POR SITUAÇÃO</v>
      </c>
      <c r="F5547" s="2" t="str">
        <f>"R_SALDO_KITS"</f>
        <v>R_SALDO_KITS</v>
      </c>
      <c r="G5547" s="2" t="str">
        <f>"Materiais e Logística / Almoxarifado / Relatórios / Listagens / Saldo de Kits (R_SALDO_KITS)"</f>
        <v>Materiais e Logística / Almoxarifado / Relatórios / Listagens / Saldo de Kits (R_SALDO_KITS)</v>
      </c>
    </row>
    <row r="5548" spans="1:7" x14ac:dyDescent="0.3">
      <c r="A5548" s="1" t="s">
        <v>4</v>
      </c>
      <c r="B5548" s="2" t="str">
        <f t="shared" si="458"/>
        <v>SISTEMA DE GERENCIAMENTO DE ESTOQUE</v>
      </c>
      <c r="C5548" s="2" t="str">
        <f t="shared" si="459"/>
        <v>SUPRI</v>
      </c>
      <c r="D5548" s="2" t="str">
        <f t="shared" si="460"/>
        <v>MGES</v>
      </c>
      <c r="E5548" s="2" t="str">
        <f>"RESUMO DE ENTRADA SINTÉTICO"</f>
        <v>RESUMO DE ENTRADA SINTÉTICO</v>
      </c>
      <c r="F5548" s="2" t="str">
        <f>"R_RESUMO_ENTRADA_SINT"</f>
        <v>R_RESUMO_ENTRADA_SINT</v>
      </c>
      <c r="G5548" s="2" t="str">
        <f>" ()"</f>
        <v xml:space="preserve"> ()</v>
      </c>
    </row>
    <row r="5549" spans="1:7" x14ac:dyDescent="0.3">
      <c r="A5549" s="1" t="s">
        <v>4</v>
      </c>
      <c r="B5549" s="2" t="str">
        <f t="shared" si="458"/>
        <v>SISTEMA DE GERENCIAMENTO DE ESTOQUE</v>
      </c>
      <c r="C5549" s="2" t="str">
        <f t="shared" si="459"/>
        <v>SUPRI</v>
      </c>
      <c r="D5549" s="2" t="str">
        <f t="shared" si="460"/>
        <v>MGES</v>
      </c>
      <c r="E5549" s="2" t="str">
        <f>"RELATORIO DO COMPROVANTE DE CONSIGNACAO"</f>
        <v>RELATORIO DO COMPROVANTE DE CONSIGNACAO</v>
      </c>
      <c r="F5549" s="2" t="str">
        <f>"R_COMPRO_CONSIGNACAO"</f>
        <v>R_COMPRO_CONSIGNACAO</v>
      </c>
      <c r="G5549" s="2" t="str">
        <f>" ()"</f>
        <v xml:space="preserve"> ()</v>
      </c>
    </row>
    <row r="5550" spans="1:7" x14ac:dyDescent="0.3">
      <c r="A5550" s="1" t="s">
        <v>4</v>
      </c>
      <c r="B5550" s="2" t="str">
        <f t="shared" si="458"/>
        <v>SISTEMA DE GERENCIAMENTO DE ESTOQUE</v>
      </c>
      <c r="C5550" s="2" t="str">
        <f t="shared" si="459"/>
        <v>SUPRI</v>
      </c>
      <c r="D5550" s="2" t="str">
        <f t="shared" si="460"/>
        <v>MGES</v>
      </c>
      <c r="E5550" s="2" t="str">
        <f>"RELAT. DE PRODUÇÃO DE ENTRADA"</f>
        <v>RELAT. DE PRODUÇÃO DE ENTRADA</v>
      </c>
      <c r="F5550" s="2" t="str">
        <f>"R_PRODUCAO"</f>
        <v>R_PRODUCAO</v>
      </c>
      <c r="G5550" s="2" t="str">
        <f>" ()"</f>
        <v xml:space="preserve"> ()</v>
      </c>
    </row>
    <row r="5551" spans="1:7" x14ac:dyDescent="0.3">
      <c r="A5551" s="1" t="s">
        <v>4</v>
      </c>
      <c r="B5551" s="2" t="str">
        <f t="shared" si="458"/>
        <v>SISTEMA DE GERENCIAMENTO DE ESTOQUE</v>
      </c>
      <c r="C5551" s="2" t="str">
        <f t="shared" si="459"/>
        <v>SUPRI</v>
      </c>
      <c r="D5551" s="2" t="str">
        <f t="shared" si="460"/>
        <v>MGES</v>
      </c>
      <c r="E5551" s="2" t="str">
        <f>"RELATÓRIO DE SETOR X SOLICITACAO POR HOR"</f>
        <v>RELATÓRIO DE SETOR X SOLICITACAO POR HOR</v>
      </c>
      <c r="F5551" s="2" t="str">
        <f>"R_SOLSET"</f>
        <v>R_SOLSET</v>
      </c>
      <c r="G5551" s="2" t="str">
        <f>"Materiais e Logística / Almoxarifado / Relatórios / Estatísticas / Setor x Solicitação por Horário (R_SOLSET)"</f>
        <v>Materiais e Logística / Almoxarifado / Relatórios / Estatísticas / Setor x Solicitação por Horário (R_SOLSET)</v>
      </c>
    </row>
    <row r="5552" spans="1:7" x14ac:dyDescent="0.3">
      <c r="A5552" s="1" t="s">
        <v>4</v>
      </c>
      <c r="B5552" s="2" t="str">
        <f t="shared" si="458"/>
        <v>SISTEMA DE GERENCIAMENTO DE ESTOQUE</v>
      </c>
      <c r="C5552" s="2" t="str">
        <f t="shared" si="459"/>
        <v>SUPRI</v>
      </c>
      <c r="D5552" s="2" t="str">
        <f t="shared" si="460"/>
        <v>MGES</v>
      </c>
      <c r="E5552" s="2" t="str">
        <f>"RELAT. FICHA ESTOQ. ENTRADA E SAIDA"</f>
        <v>RELAT. FICHA ESTOQ. ENTRADA E SAIDA</v>
      </c>
      <c r="F5552" s="2" t="str">
        <f>"R_FICHA_ESTOQUE_SAI"</f>
        <v>R_FICHA_ESTOQUE_SAI</v>
      </c>
      <c r="G5552" s="2" t="str">
        <f>"Materiais e Logística / Almoxarifado / Relatórios / Operacionais / Análise do Custo Médio dos Produtos / Ficha de Estoque Entrada e Saída (R_FICHA_ESTOQUE_SAI)"</f>
        <v>Materiais e Logística / Almoxarifado / Relatórios / Operacionais / Análise do Custo Médio dos Produtos / Ficha de Estoque Entrada e Saída (R_FICHA_ESTOQUE_SAI)</v>
      </c>
    </row>
    <row r="5553" spans="1:7" x14ac:dyDescent="0.3">
      <c r="A5553" s="1" t="s">
        <v>4</v>
      </c>
      <c r="B5553" s="2" t="str">
        <f t="shared" si="458"/>
        <v>SISTEMA DE GERENCIAMENTO DE ESTOQUE</v>
      </c>
      <c r="C5553" s="2" t="str">
        <f t="shared" si="459"/>
        <v>SUPRI</v>
      </c>
      <c r="D5553" s="2" t="str">
        <f t="shared" si="460"/>
        <v>MGES</v>
      </c>
      <c r="E5553" s="2" t="str">
        <f>"REL. DE ANALISE DAS ENTRADS E DAS SAIDAS"</f>
        <v>REL. DE ANALISE DAS ENTRADS E DAS SAIDAS</v>
      </c>
      <c r="F5553" s="2" t="str">
        <f>"R_ENT_SAI_EST"</f>
        <v>R_ENT_SAI_EST</v>
      </c>
      <c r="G5553" s="2" t="str">
        <f>"Materiais e Logística / Almoxarifado / Relatórios / Gerenciais / Análise das Entrada e Saída do Estoque (R_ENT_SAI_EST)"</f>
        <v>Materiais e Logística / Almoxarifado / Relatórios / Gerenciais / Análise das Entrada e Saída do Estoque (R_ENT_SAI_EST)</v>
      </c>
    </row>
    <row r="5554" spans="1:7" x14ac:dyDescent="0.3">
      <c r="A5554" s="1" t="s">
        <v>4</v>
      </c>
      <c r="B5554" s="2" t="str">
        <f t="shared" si="458"/>
        <v>SISTEMA DE GERENCIAMENTO DE ESTOQUE</v>
      </c>
      <c r="C5554" s="2" t="str">
        <f t="shared" si="459"/>
        <v>SUPRI</v>
      </c>
      <c r="D5554" s="2" t="str">
        <f t="shared" si="460"/>
        <v>MGES</v>
      </c>
      <c r="E5554" s="2" t="str">
        <f>"RECOMPILA OS MODULOS DO SISTEMA"</f>
        <v>RECOMPILA OS MODULOS DO SISTEMA</v>
      </c>
      <c r="F5554" s="2" t="str">
        <f>"O_RECOMPILA"</f>
        <v>O_RECOMPILA</v>
      </c>
      <c r="G5554" s="2" t="str">
        <f>" ()"</f>
        <v xml:space="preserve"> ()</v>
      </c>
    </row>
    <row r="5555" spans="1:7" x14ac:dyDescent="0.3">
      <c r="A5555" s="1" t="s">
        <v>4</v>
      </c>
      <c r="B5555" s="2" t="str">
        <f t="shared" si="458"/>
        <v>SISTEMA DE GERENCIAMENTO DE ESTOQUE</v>
      </c>
      <c r="C5555" s="2" t="str">
        <f t="shared" si="459"/>
        <v>SUPRI</v>
      </c>
      <c r="D5555" s="2" t="str">
        <f t="shared" si="460"/>
        <v>MGES</v>
      </c>
      <c r="E5555" s="2" t="str">
        <f>"CURVA ABC DE ORDENS DE COMPRA"</f>
        <v>CURVA ABC DE ORDENS DE COMPRA</v>
      </c>
      <c r="F5555" s="2" t="str">
        <f>"R_C_ABC_ESTOQUE_ORD"</f>
        <v>R_C_ABC_ESTOQUE_ORD</v>
      </c>
      <c r="G5555" s="2" t="str">
        <f>"Materiais e Logística / Almoxarifado / Relatórios / Administrativos / Curva ABC de Ordens de Compra (R_C_ABC_ESTOQUE_ORD)"</f>
        <v>Materiais e Logística / Almoxarifado / Relatórios / Administrativos / Curva ABC de Ordens de Compra (R_C_ABC_ESTOQUE_ORD)</v>
      </c>
    </row>
    <row r="5556" spans="1:7" x14ac:dyDescent="0.3">
      <c r="A5556" s="1" t="s">
        <v>4</v>
      </c>
      <c r="B5556" s="2" t="str">
        <f t="shared" si="458"/>
        <v>SISTEMA DE GERENCIAMENTO DE ESTOQUE</v>
      </c>
      <c r="C5556" s="2" t="str">
        <f t="shared" si="459"/>
        <v>SUPRI</v>
      </c>
      <c r="D5556" s="2" t="str">
        <f t="shared" si="460"/>
        <v>MGES</v>
      </c>
      <c r="E5556" s="2" t="str">
        <f>"CURVA ABC DE ORDENS DE COMPRA"</f>
        <v>CURVA ABC DE ORDENS DE COMPRA</v>
      </c>
      <c r="F5556" s="2" t="str">
        <f>"R_C_ABC_ESTOQUE_ORD"</f>
        <v>R_C_ABC_ESTOQUE_ORD</v>
      </c>
      <c r="G5556" s="2" t="str">
        <f>"Materiais e Logística / Compras / Relatórios / Administrativos / Curva ABC de Ordens de Compra (R_C_ABC_ESTOQUE_ORD)"</f>
        <v>Materiais e Logística / Compras / Relatórios / Administrativos / Curva ABC de Ordens de Compra (R_C_ABC_ESTOQUE_ORD)</v>
      </c>
    </row>
    <row r="5557" spans="1:7" x14ac:dyDescent="0.3">
      <c r="A5557" s="1" t="s">
        <v>4</v>
      </c>
      <c r="B5557" s="2" t="str">
        <f t="shared" si="458"/>
        <v>SISTEMA DE GERENCIAMENTO DE ESTOQUE</v>
      </c>
      <c r="C5557" s="2" t="str">
        <f t="shared" si="459"/>
        <v>SUPRI</v>
      </c>
      <c r="D5557" s="2" t="str">
        <f t="shared" si="460"/>
        <v>MGES</v>
      </c>
      <c r="E5557" s="2" t="str">
        <f>"PRODUTOS MAIS CONSUMIDOS POR SETOR"</f>
        <v>PRODUTOS MAIS CONSUMIDOS POR SETOR</v>
      </c>
      <c r="F5557" s="2" t="str">
        <f>"R_CONS_SETOR_QBR"</f>
        <v>R_CONS_SETOR_QBR</v>
      </c>
      <c r="G5557" s="2" t="str">
        <f>" ()"</f>
        <v xml:space="preserve"> ()</v>
      </c>
    </row>
    <row r="5558" spans="1:7" x14ac:dyDescent="0.3">
      <c r="A5558" s="1" t="s">
        <v>4</v>
      </c>
      <c r="B5558" s="2" t="str">
        <f t="shared" si="458"/>
        <v>SISTEMA DE GERENCIAMENTO DE ESTOQUE</v>
      </c>
      <c r="C5558" s="2" t="str">
        <f t="shared" si="459"/>
        <v>SUPRI</v>
      </c>
      <c r="D5558" s="2" t="str">
        <f t="shared" si="460"/>
        <v>MGES</v>
      </c>
      <c r="E5558" s="2" t="str">
        <f>"ENTRADA DE PRODUTOS MODO CHARACTER"</f>
        <v>ENTRADA DE PRODUTOS MODO CHARACTER</v>
      </c>
      <c r="F5558" s="2" t="str">
        <f>"R_ENTRADA_PRODUTO_CHAR"</f>
        <v>R_ENTRADA_PRODUTO_CHAR</v>
      </c>
      <c r="G5558" s="2" t="str">
        <f>" ()"</f>
        <v xml:space="preserve"> ()</v>
      </c>
    </row>
    <row r="5559" spans="1:7" x14ac:dyDescent="0.3">
      <c r="A5559" s="1" t="s">
        <v>4</v>
      </c>
      <c r="B5559" s="2" t="str">
        <f t="shared" si="458"/>
        <v>SISTEMA DE GERENCIAMENTO DE ESTOQUE</v>
      </c>
      <c r="C5559" s="2" t="str">
        <f t="shared" si="459"/>
        <v>SUPRI</v>
      </c>
      <c r="D5559" s="2" t="str">
        <f t="shared" si="460"/>
        <v>MGES</v>
      </c>
      <c r="E5559" s="2" t="str">
        <f>"RELATÓRIO PRODUTOS COSUMIDOS POR SETOR"</f>
        <v>RELATÓRIO PRODUTOS COSUMIDOS POR SETOR</v>
      </c>
      <c r="F5559" s="2" t="str">
        <f>"R_CONS_SETOR"</f>
        <v>R_CONS_SETOR</v>
      </c>
      <c r="G5559" s="2" t="str">
        <f>"Materiais e Logística / Compras / Relatórios / Gerenciais / Produtos Mais Consumidos por Setor (R_CONS_SETOR)"</f>
        <v>Materiais e Logística / Compras / Relatórios / Gerenciais / Produtos Mais Consumidos por Setor (R_CONS_SETOR)</v>
      </c>
    </row>
    <row r="5560" spans="1:7" x14ac:dyDescent="0.3">
      <c r="A5560" s="1" t="s">
        <v>4</v>
      </c>
      <c r="B5560" s="2" t="str">
        <f t="shared" si="458"/>
        <v>SISTEMA DE GERENCIAMENTO DE ESTOQUE</v>
      </c>
      <c r="C5560" s="2" t="str">
        <f t="shared" si="459"/>
        <v>SUPRI</v>
      </c>
      <c r="D5560" s="2" t="str">
        <f t="shared" si="460"/>
        <v>MGES</v>
      </c>
      <c r="E5560" s="2" t="str">
        <f>"RELATÓRIO PRODUTOS COSUMIDOS POR SETOR"</f>
        <v>RELATÓRIO PRODUTOS COSUMIDOS POR SETOR</v>
      </c>
      <c r="F5560" s="2" t="str">
        <f>"R_CONS_SETOR"</f>
        <v>R_CONS_SETOR</v>
      </c>
      <c r="G5560" s="2" t="str">
        <f>"Materiais e Logística / Almoxarifado / Relatórios / Estatísticas / Produtos Mais Consumidos por Setor (R_CONS_SETOR)"</f>
        <v>Materiais e Logística / Almoxarifado / Relatórios / Estatísticas / Produtos Mais Consumidos por Setor (R_CONS_SETOR)</v>
      </c>
    </row>
    <row r="5561" spans="1:7" x14ac:dyDescent="0.3">
      <c r="A5561" s="1" t="s">
        <v>4</v>
      </c>
      <c r="B5561" s="2" t="str">
        <f t="shared" si="458"/>
        <v>SISTEMA DE GERENCIAMENTO DE ESTOQUE</v>
      </c>
      <c r="C5561" s="2" t="str">
        <f t="shared" si="459"/>
        <v>SUPRI</v>
      </c>
      <c r="D5561" s="2" t="str">
        <f t="shared" si="460"/>
        <v>MGES</v>
      </c>
      <c r="E5561" s="2" t="str">
        <f>"RESUMO DAS DEVOL. POR USUÁRIO"</f>
        <v>RESUMO DAS DEVOL. POR USUÁRIO</v>
      </c>
      <c r="F5561" s="2" t="str">
        <f>"R_RESUMO_DE_USUARIO"</f>
        <v>R_RESUMO_DE_USUARIO</v>
      </c>
      <c r="G5561" s="2" t="str">
        <f>"Materiais e Logística / Almoxarifado / Relatórios / Operacionais / Consumo das Movimentações / Resumo dos Movimentos por Usuário (R_RESUMO_DE_USUARIO)"</f>
        <v>Materiais e Logística / Almoxarifado / Relatórios / Operacionais / Consumo das Movimentações / Resumo dos Movimentos por Usuário (R_RESUMO_DE_USUARIO)</v>
      </c>
    </row>
    <row r="5562" spans="1:7" x14ac:dyDescent="0.3">
      <c r="A5562" s="1" t="s">
        <v>4</v>
      </c>
      <c r="B5562" s="2" t="str">
        <f t="shared" si="458"/>
        <v>SISTEMA DE GERENCIAMENTO DE ESTOQUE</v>
      </c>
      <c r="C5562" s="2" t="str">
        <f t="shared" si="459"/>
        <v>SUPRI</v>
      </c>
      <c r="D5562" s="2" t="str">
        <f t="shared" si="460"/>
        <v>MGES</v>
      </c>
      <c r="E5562" s="2" t="str">
        <f>"RELAT. DE SAIDA DE PROD. POR CLASSE"</f>
        <v>RELAT. DE SAIDA DE PROD. POR CLASSE</v>
      </c>
      <c r="F5562" s="2" t="str">
        <f>"R_SAI_CLAS_SETOR_SINT"</f>
        <v>R_SAI_CLAS_SETOR_SINT</v>
      </c>
      <c r="G5562" s="2" t="str">
        <f>"Materiais e Logística / Almoxarifado / Relatórios / Operacionais / Consumo das Movimentações / Movimentação Classificação  (R_SAI_CLAS_SETOR_SINT)"</f>
        <v>Materiais e Logística / Almoxarifado / Relatórios / Operacionais / Consumo das Movimentações / Movimentação Classificação  (R_SAI_CLAS_SETOR_SINT)</v>
      </c>
    </row>
    <row r="5563" spans="1:7" x14ac:dyDescent="0.3">
      <c r="A5563" s="1" t="s">
        <v>4</v>
      </c>
      <c r="B5563" s="2" t="str">
        <f t="shared" si="458"/>
        <v>SISTEMA DE GERENCIAMENTO DE ESTOQUE</v>
      </c>
      <c r="C5563" s="2" t="str">
        <f t="shared" si="459"/>
        <v>SUPRI</v>
      </c>
      <c r="D5563" s="2" t="str">
        <f t="shared" si="460"/>
        <v>MGES</v>
      </c>
      <c r="E5563" s="2" t="str">
        <f>"RELATORIO DE CONSUMO DIARIO"</f>
        <v>RELATORIO DE CONSUMO DIARIO</v>
      </c>
      <c r="F5563" s="2" t="str">
        <f>"R_CONS_DIARIO"</f>
        <v>R_CONS_DIARIO</v>
      </c>
      <c r="G5563" s="2" t="str">
        <f>"Materiais e Logística / Compras / Relatórios / Gerenciais / Consumo Diário (R_CONS_DIARIO)"</f>
        <v>Materiais e Logística / Compras / Relatórios / Gerenciais / Consumo Diário (R_CONS_DIARIO)</v>
      </c>
    </row>
    <row r="5564" spans="1:7" x14ac:dyDescent="0.3">
      <c r="A5564" s="1" t="s">
        <v>4</v>
      </c>
      <c r="B5564" s="2" t="str">
        <f t="shared" si="458"/>
        <v>SISTEMA DE GERENCIAMENTO DE ESTOQUE</v>
      </c>
      <c r="C5564" s="2" t="str">
        <f t="shared" si="459"/>
        <v>SUPRI</v>
      </c>
      <c r="D5564" s="2" t="str">
        <f t="shared" si="460"/>
        <v>MGES</v>
      </c>
      <c r="E5564" s="2" t="str">
        <f>"RELATORIO DE CONSUMO DIARIO"</f>
        <v>RELATORIO DE CONSUMO DIARIO</v>
      </c>
      <c r="F5564" s="2" t="str">
        <f>"R_CONS_DIARIO"</f>
        <v>R_CONS_DIARIO</v>
      </c>
      <c r="G5564" s="2" t="str">
        <f>"Materiais e Logística / Almoxarifado / Relatórios / Operacionais / Consumo das Movimentações / Consumo Diário (R_CONS_DIARIO)"</f>
        <v>Materiais e Logística / Almoxarifado / Relatórios / Operacionais / Consumo das Movimentações / Consumo Diário (R_CONS_DIARIO)</v>
      </c>
    </row>
    <row r="5565" spans="1:7" x14ac:dyDescent="0.3">
      <c r="A5565" s="1" t="s">
        <v>4</v>
      </c>
      <c r="B5565" s="2" t="str">
        <f t="shared" si="458"/>
        <v>SISTEMA DE GERENCIAMENTO DE ESTOQUE</v>
      </c>
      <c r="C5565" s="2" t="str">
        <f t="shared" si="459"/>
        <v>SUPRI</v>
      </c>
      <c r="D5565" s="2" t="str">
        <f t="shared" si="460"/>
        <v>MGES</v>
      </c>
      <c r="E5565" s="2" t="str">
        <f>"REL. DE MOVIMENTAÇÕES POR ESTOQUE"</f>
        <v>REL. DE MOVIMENTAÇÕES POR ESTOQUE</v>
      </c>
      <c r="F5565" s="2" t="str">
        <f>"R_MOVI_ESTOQ"</f>
        <v>R_MOVI_ESTOQ</v>
      </c>
      <c r="G5565" s="2" t="str">
        <f>"Materiais e Logística / Almoxarifado / Relatórios / Operacionais / Consumo das Movimentações / Movimentação por Estoque (R_MOVI_ESTOQ)"</f>
        <v>Materiais e Logística / Almoxarifado / Relatórios / Operacionais / Consumo das Movimentações / Movimentação por Estoque (R_MOVI_ESTOQ)</v>
      </c>
    </row>
    <row r="5566" spans="1:7" x14ac:dyDescent="0.3">
      <c r="A5566" s="1" t="s">
        <v>4</v>
      </c>
      <c r="B5566" s="2" t="str">
        <f t="shared" si="458"/>
        <v>SISTEMA DE GERENCIAMENTO DE ESTOQUE</v>
      </c>
      <c r="C5566" s="2" t="str">
        <f t="shared" si="459"/>
        <v>SUPRI</v>
      </c>
      <c r="D5566" s="2" t="str">
        <f t="shared" si="460"/>
        <v>MGES</v>
      </c>
      <c r="E5566" s="2" t="str">
        <f>"RELAT. BALANÇO DO ESTOQUE"</f>
        <v>RELAT. BALANÇO DO ESTOQUE</v>
      </c>
      <c r="F5566" s="2" t="str">
        <f>"R_BAL_EST_ESP"</f>
        <v>R_BAL_EST_ESP</v>
      </c>
      <c r="G5566" s="2" t="str">
        <f>" ()"</f>
        <v xml:space="preserve"> ()</v>
      </c>
    </row>
    <row r="5567" spans="1:7" x14ac:dyDescent="0.3">
      <c r="A5567" s="1" t="s">
        <v>4</v>
      </c>
      <c r="B5567" s="2" t="str">
        <f t="shared" si="458"/>
        <v>SISTEMA DE GERENCIAMENTO DE ESTOQUE</v>
      </c>
      <c r="C5567" s="2" t="str">
        <f t="shared" si="459"/>
        <v>SUPRI</v>
      </c>
      <c r="D5567" s="2" t="str">
        <f t="shared" si="460"/>
        <v>MGES</v>
      </c>
      <c r="E5567" s="2" t="str">
        <f>" R_BALANCO_CONTABIL_273"</f>
        <v xml:space="preserve"> R_BALANCO_CONTABIL_273</v>
      </c>
      <c r="F5567" s="2" t="str">
        <f>" R_BALANCO_CONTABIL_273"</f>
        <v xml:space="preserve"> R_BALANCO_CONTABIL_273</v>
      </c>
      <c r="G5567" s="2" t="str">
        <f>" ()"</f>
        <v xml:space="preserve"> ()</v>
      </c>
    </row>
    <row r="5568" spans="1:7" x14ac:dyDescent="0.3">
      <c r="A5568" s="1" t="s">
        <v>4</v>
      </c>
      <c r="B5568" s="2" t="str">
        <f t="shared" si="458"/>
        <v>SISTEMA DE GERENCIAMENTO DE ESTOQUE</v>
      </c>
      <c r="C5568" s="2" t="str">
        <f t="shared" si="459"/>
        <v>SUPRI</v>
      </c>
      <c r="D5568" s="2" t="str">
        <f t="shared" si="460"/>
        <v>MGES</v>
      </c>
      <c r="E5568" s="2" t="str">
        <f>"R_SOLSAI_PRO_900"</f>
        <v>R_SOLSAI_PRO_900</v>
      </c>
      <c r="F5568" s="2" t="str">
        <f>"R_SOLSAI_PRO_900"</f>
        <v>R_SOLSAI_PRO_900</v>
      </c>
      <c r="G5568" s="2" t="str">
        <f>" ()"</f>
        <v xml:space="preserve"> ()</v>
      </c>
    </row>
    <row r="5569" spans="1:7" x14ac:dyDescent="0.3">
      <c r="A5569" s="1" t="s">
        <v>4</v>
      </c>
      <c r="B5569" s="2" t="str">
        <f t="shared" si="458"/>
        <v>SISTEMA DE GERENCIAMENTO DE ESTOQUE</v>
      </c>
      <c r="C5569" s="2" t="str">
        <f t="shared" si="459"/>
        <v>SUPRI</v>
      </c>
      <c r="D5569" s="2" t="str">
        <f t="shared" si="460"/>
        <v>MGES</v>
      </c>
      <c r="E5569" s="2" t="str">
        <f>"INTERAÇÃO MEDICAMENTOSA"</f>
        <v>INTERAÇÃO MEDICAMENTOSA</v>
      </c>
      <c r="F5569" s="2" t="str">
        <f>"M_SUBS_INTERACAO"</f>
        <v>M_SUBS_INTERACAO</v>
      </c>
      <c r="G5569" s="2" t="str">
        <f>"Materiais e Logística / Almoxarifado / Tabelas / Gerais / Interação medicamentosa (M_SUBS_INTERACAO)"</f>
        <v>Materiais e Logística / Almoxarifado / Tabelas / Gerais / Interação medicamentosa (M_SUBS_INTERACAO)</v>
      </c>
    </row>
    <row r="5570" spans="1:7" x14ac:dyDescent="0.3">
      <c r="A5570" s="1" t="s">
        <v>4</v>
      </c>
      <c r="B5570" s="2" t="str">
        <f t="shared" si="458"/>
        <v>SISTEMA DE GERENCIAMENTO DE ESTOQUE</v>
      </c>
      <c r="C5570" s="2" t="str">
        <f t="shared" si="459"/>
        <v>SUPRI</v>
      </c>
      <c r="D5570" s="2" t="str">
        <f t="shared" si="460"/>
        <v>MGES</v>
      </c>
      <c r="E5570" s="2" t="str">
        <f>"SOLICITAÇÃO DE COMPRA"</f>
        <v>SOLICITAÇÃO DE COMPRA</v>
      </c>
      <c r="F5570" s="2" t="str">
        <f>"R_MAPA_SOL_800"</f>
        <v>R_MAPA_SOL_800</v>
      </c>
      <c r="G5570" s="2" t="str">
        <f>" ()"</f>
        <v xml:space="preserve"> ()</v>
      </c>
    </row>
    <row r="5571" spans="1:7" x14ac:dyDescent="0.3">
      <c r="A5571" s="1" t="s">
        <v>4</v>
      </c>
      <c r="B5571" s="2" t="str">
        <f t="shared" si="458"/>
        <v>SISTEMA DE GERENCIAMENTO DE ESTOQUE</v>
      </c>
      <c r="C5571" s="2" t="str">
        <f t="shared" si="459"/>
        <v>SUPRI</v>
      </c>
      <c r="D5571" s="2" t="str">
        <f t="shared" si="460"/>
        <v>MGES</v>
      </c>
      <c r="E5571" s="2" t="str">
        <f>"CADASTROS: LABORATÓRIOS E SEUS PRODUTOS"</f>
        <v>CADASTROS: LABORATÓRIOS E SEUS PRODUTOS</v>
      </c>
      <c r="F5571" s="2" t="str">
        <f>"M_LABORATORIO_PRODUTO"</f>
        <v>M_LABORATORIO_PRODUTO</v>
      </c>
      <c r="G5571" s="2" t="str">
        <f>"Materiais e Logística / Almoxarifado / Tabelas / Padronização e Portaria / Laboratórios/Fabricantes e seus Produtos (M_LABORATORIO_PRODUTO)"</f>
        <v>Materiais e Logística / Almoxarifado / Tabelas / Padronização e Portaria / Laboratórios/Fabricantes e seus Produtos (M_LABORATORIO_PRODUTO)</v>
      </c>
    </row>
    <row r="5572" spans="1:7" x14ac:dyDescent="0.3">
      <c r="A5572" s="1" t="s">
        <v>4</v>
      </c>
      <c r="B5572" s="2" t="str">
        <f t="shared" si="458"/>
        <v>SISTEMA DE GERENCIAMENTO DE ESTOQUE</v>
      </c>
      <c r="C5572" s="2" t="str">
        <f t="shared" si="459"/>
        <v>SUPRI</v>
      </c>
      <c r="D5572" s="2" t="str">
        <f t="shared" si="460"/>
        <v>MGES</v>
      </c>
      <c r="E5572" s="2" t="str">
        <f>"O_IMP_MGES_TRANSFERENCIA"</f>
        <v>O_IMP_MGES_TRANSFERENCIA</v>
      </c>
      <c r="F5572" s="2" t="str">
        <f>"O_IMP_MGES_TRANSFERENCIA"</f>
        <v>O_IMP_MGES_TRANSFERENCIA</v>
      </c>
      <c r="G5572" s="2" t="str">
        <f t="shared" ref="G5572:G5587" si="462">" ()"</f>
        <v xml:space="preserve"> ()</v>
      </c>
    </row>
    <row r="5573" spans="1:7" x14ac:dyDescent="0.3">
      <c r="A5573" s="1" t="s">
        <v>4</v>
      </c>
      <c r="B5573" s="2" t="str">
        <f t="shared" si="458"/>
        <v>SISTEMA DE GERENCIAMENTO DE ESTOQUE</v>
      </c>
      <c r="C5573" s="2" t="str">
        <f t="shared" si="459"/>
        <v>SUPRI</v>
      </c>
      <c r="D5573" s="2" t="str">
        <f t="shared" si="460"/>
        <v>MGES</v>
      </c>
      <c r="E5573" s="2" t="str">
        <f>"R_TRANSF_EXTERNA_NOTA"</f>
        <v>R_TRANSF_EXTERNA_NOTA</v>
      </c>
      <c r="F5573" s="2" t="str">
        <f>"R_TRANSF_EXTERNA_NOTA"</f>
        <v>R_TRANSF_EXTERNA_NOTA</v>
      </c>
      <c r="G5573" s="2" t="str">
        <f t="shared" si="462"/>
        <v xml:space="preserve"> ()</v>
      </c>
    </row>
    <row r="5574" spans="1:7" x14ac:dyDescent="0.3">
      <c r="A5574" s="1" t="s">
        <v>4</v>
      </c>
      <c r="B5574" s="2" t="str">
        <f t="shared" si="458"/>
        <v>SISTEMA DE GERENCIAMENTO DE ESTOQUE</v>
      </c>
      <c r="C5574" s="2" t="str">
        <f t="shared" si="459"/>
        <v>SUPRI</v>
      </c>
      <c r="D5574" s="2" t="str">
        <f t="shared" si="460"/>
        <v>MGES</v>
      </c>
      <c r="E5574" s="2" t="str">
        <f>"R_POS_EST_S_17"</f>
        <v>R_POS_EST_S_17</v>
      </c>
      <c r="F5574" s="2" t="str">
        <f>"R_POS_EST_S_17"</f>
        <v>R_POS_EST_S_17</v>
      </c>
      <c r="G5574" s="2" t="str">
        <f t="shared" si="462"/>
        <v xml:space="preserve"> ()</v>
      </c>
    </row>
    <row r="5575" spans="1:7" x14ac:dyDescent="0.3">
      <c r="A5575" s="1" t="s">
        <v>4</v>
      </c>
      <c r="B5575" s="2" t="str">
        <f t="shared" si="458"/>
        <v>SISTEMA DE GERENCIAMENTO DE ESTOQUE</v>
      </c>
      <c r="C5575" s="2" t="str">
        <f t="shared" si="459"/>
        <v>SUPRI</v>
      </c>
      <c r="D5575" s="2" t="str">
        <f t="shared" si="460"/>
        <v>MGES</v>
      </c>
      <c r="E5575" s="2" t="str">
        <f>"R_POS_EST_S_273"</f>
        <v>R_POS_EST_S_273</v>
      </c>
      <c r="F5575" s="2" t="str">
        <f>"R_POS_EST_S_273"</f>
        <v>R_POS_EST_S_273</v>
      </c>
      <c r="G5575" s="2" t="str">
        <f t="shared" si="462"/>
        <v xml:space="preserve"> ()</v>
      </c>
    </row>
    <row r="5576" spans="1:7" x14ac:dyDescent="0.3">
      <c r="A5576" s="1" t="s">
        <v>4</v>
      </c>
      <c r="B5576" s="2" t="str">
        <f t="shared" si="458"/>
        <v>SISTEMA DE GERENCIAMENTO DE ESTOQUE</v>
      </c>
      <c r="C5576" s="2" t="str">
        <f t="shared" si="459"/>
        <v>SUPRI</v>
      </c>
      <c r="D5576" s="2" t="str">
        <f t="shared" si="460"/>
        <v>MGES</v>
      </c>
      <c r="E5576" s="2" t="str">
        <f>"RESUMO DAS ENTRADAS DE PRODUTOS"</f>
        <v>RESUMO DAS ENTRADAS DE PRODUTOS</v>
      </c>
      <c r="F5576" s="2" t="str">
        <f>"R_RESUMO_COMPAR"</f>
        <v>R_RESUMO_COMPAR</v>
      </c>
      <c r="G5576" s="2" t="str">
        <f t="shared" si="462"/>
        <v xml:space="preserve"> ()</v>
      </c>
    </row>
    <row r="5577" spans="1:7" x14ac:dyDescent="0.3">
      <c r="A5577" s="1" t="s">
        <v>4</v>
      </c>
      <c r="B5577" s="2" t="str">
        <f t="shared" si="458"/>
        <v>SISTEMA DE GERENCIAMENTO DE ESTOQUE</v>
      </c>
      <c r="C5577" s="2" t="str">
        <f t="shared" si="459"/>
        <v>SUPRI</v>
      </c>
      <c r="D5577" s="2" t="str">
        <f t="shared" si="460"/>
        <v>MGES</v>
      </c>
      <c r="E5577" s="2" t="str">
        <f>"R__ETIQ_PAC_1302"</f>
        <v>R__ETIQ_PAC_1302</v>
      </c>
      <c r="F5577" s="2" t="str">
        <f>"R__ETIQ_PAC_1302"</f>
        <v>R__ETIQ_PAC_1302</v>
      </c>
      <c r="G5577" s="2" t="str">
        <f t="shared" si="462"/>
        <v xml:space="preserve"> ()</v>
      </c>
    </row>
    <row r="5578" spans="1:7" x14ac:dyDescent="0.3">
      <c r="A5578" s="1" t="s">
        <v>4</v>
      </c>
      <c r="B5578" s="2" t="str">
        <f t="shared" si="458"/>
        <v>SISTEMA DE GERENCIAMENTO DE ESTOQUE</v>
      </c>
      <c r="C5578" s="2" t="str">
        <f t="shared" si="459"/>
        <v>SUPRI</v>
      </c>
      <c r="D5578" s="2" t="str">
        <f t="shared" si="460"/>
        <v>MGES</v>
      </c>
      <c r="E5578" s="2" t="str">
        <f>"SOLICITAÇÃO DE COMPRA"</f>
        <v>SOLICITAÇÃO DE COMPRA</v>
      </c>
      <c r="F5578" s="2" t="str">
        <f>"R_ETIQ_PAC_1302"</f>
        <v>R_ETIQ_PAC_1302</v>
      </c>
      <c r="G5578" s="2" t="str">
        <f t="shared" si="462"/>
        <v xml:space="preserve"> ()</v>
      </c>
    </row>
    <row r="5579" spans="1:7" x14ac:dyDescent="0.3">
      <c r="A5579" s="1" t="s">
        <v>4</v>
      </c>
      <c r="B5579" s="2" t="str">
        <f t="shared" si="458"/>
        <v>SISTEMA DE GERENCIAMENTO DE ESTOQUE</v>
      </c>
      <c r="C5579" s="2" t="str">
        <f t="shared" si="459"/>
        <v>SUPRI</v>
      </c>
      <c r="D5579" s="2" t="str">
        <f t="shared" si="460"/>
        <v>MGES</v>
      </c>
      <c r="E5579" s="2" t="str">
        <f>"SOLICITAÇÃO DE COMPRA"</f>
        <v>SOLICITAÇÃO DE COMPRA</v>
      </c>
      <c r="F5579" s="2" t="str">
        <f>"R_ETIC_PAC_1302"</f>
        <v>R_ETIC_PAC_1302</v>
      </c>
      <c r="G5579" s="2" t="str">
        <f t="shared" si="462"/>
        <v xml:space="preserve"> ()</v>
      </c>
    </row>
    <row r="5580" spans="1:7" x14ac:dyDescent="0.3">
      <c r="A5580" s="1" t="s">
        <v>4</v>
      </c>
      <c r="B5580" s="2" t="str">
        <f t="shared" si="458"/>
        <v>SISTEMA DE GERENCIAMENTO DE ESTOQUE</v>
      </c>
      <c r="C5580" s="2" t="str">
        <f t="shared" si="459"/>
        <v>SUPRI</v>
      </c>
      <c r="D5580" s="2" t="str">
        <f t="shared" si="460"/>
        <v>MGES</v>
      </c>
      <c r="E5580" s="2" t="str">
        <f>"CLASSIFICAÇÃO"</f>
        <v>CLASSIFICAÇÃO</v>
      </c>
      <c r="F5580" s="2" t="str">
        <f>"R_MARGEM_COMERC_338"</f>
        <v>R_MARGEM_COMERC_338</v>
      </c>
      <c r="G5580" s="2" t="str">
        <f t="shared" si="462"/>
        <v xml:space="preserve"> ()</v>
      </c>
    </row>
    <row r="5581" spans="1:7" x14ac:dyDescent="0.3">
      <c r="A5581" s="1" t="s">
        <v>4</v>
      </c>
      <c r="B5581" s="2" t="str">
        <f t="shared" si="458"/>
        <v>SISTEMA DE GERENCIAMENTO DE ESTOQUE</v>
      </c>
      <c r="C5581" s="2" t="str">
        <f t="shared" si="459"/>
        <v>SUPRI</v>
      </c>
      <c r="D5581" s="2" t="str">
        <f t="shared" si="460"/>
        <v>MGES</v>
      </c>
      <c r="E5581" s="2" t="str">
        <f>"CUSTO MÉDIO"</f>
        <v>CUSTO MÉDIO</v>
      </c>
      <c r="F5581" s="2" t="str">
        <f>"R_SAI_PROD_EST_1302"</f>
        <v>R_SAI_PROD_EST_1302</v>
      </c>
      <c r="G5581" s="2" t="str">
        <f t="shared" si="462"/>
        <v xml:space="preserve"> ()</v>
      </c>
    </row>
    <row r="5582" spans="1:7" x14ac:dyDescent="0.3">
      <c r="A5582" s="1" t="s">
        <v>4</v>
      </c>
      <c r="B5582" s="2" t="str">
        <f t="shared" si="458"/>
        <v>SISTEMA DE GERENCIAMENTO DE ESTOQUE</v>
      </c>
      <c r="C5582" s="2" t="str">
        <f t="shared" si="459"/>
        <v>SUPRI</v>
      </c>
      <c r="D5582" s="2" t="str">
        <f t="shared" si="460"/>
        <v>MGES</v>
      </c>
      <c r="E5582" s="2" t="str">
        <f>"RELATÓRIO"</f>
        <v>RELATÓRIO</v>
      </c>
      <c r="F5582" s="2" t="str">
        <f>"M_BAIXASOL_TESTE"</f>
        <v>M_BAIXASOL_TESTE</v>
      </c>
      <c r="G5582" s="2" t="str">
        <f t="shared" si="462"/>
        <v xml:space="preserve"> ()</v>
      </c>
    </row>
    <row r="5583" spans="1:7" x14ac:dyDescent="0.3">
      <c r="A5583" s="1" t="s">
        <v>4</v>
      </c>
      <c r="B5583" s="2" t="str">
        <f t="shared" si="458"/>
        <v>SISTEMA DE GERENCIAMENTO DE ESTOQUE</v>
      </c>
      <c r="C5583" s="2" t="str">
        <f t="shared" si="459"/>
        <v>SUPRI</v>
      </c>
      <c r="D5583" s="2" t="str">
        <f t="shared" si="460"/>
        <v>MGES</v>
      </c>
      <c r="E5583" s="2" t="str">
        <f>"INÍCIO DO PROCESSO DE ATENDIMENTO"</f>
        <v>INÍCIO DO PROCESSO DE ATENDIMENTO</v>
      </c>
      <c r="F5583" s="2" t="str">
        <f>"M_SOL_DEMONSTR"</f>
        <v>M_SOL_DEMONSTR</v>
      </c>
      <c r="G5583" s="2" t="str">
        <f t="shared" si="462"/>
        <v xml:space="preserve"> ()</v>
      </c>
    </row>
    <row r="5584" spans="1:7" x14ac:dyDescent="0.3">
      <c r="A5584" s="1" t="s">
        <v>4</v>
      </c>
      <c r="B5584" s="2" t="str">
        <f t="shared" si="458"/>
        <v>SISTEMA DE GERENCIAMENTO DE ESTOQUE</v>
      </c>
      <c r="C5584" s="2" t="str">
        <f t="shared" si="459"/>
        <v>SUPRI</v>
      </c>
      <c r="D5584" s="2" t="str">
        <f t="shared" si="460"/>
        <v>MGES</v>
      </c>
      <c r="E5584" s="2" t="str">
        <f>"RELATÓRIO CONSUMO POR ESPÉCIE"</f>
        <v>RELATÓRIO CONSUMO POR ESPÉCIE</v>
      </c>
      <c r="F5584" s="2" t="str">
        <f>"R_CONSUMO_ESPECIE_110"</f>
        <v>R_CONSUMO_ESPECIE_110</v>
      </c>
      <c r="G5584" s="2" t="str">
        <f t="shared" si="462"/>
        <v xml:space="preserve"> ()</v>
      </c>
    </row>
    <row r="5585" spans="1:7" x14ac:dyDescent="0.3">
      <c r="A5585" s="1" t="s">
        <v>4</v>
      </c>
      <c r="B5585" s="2" t="str">
        <f t="shared" si="458"/>
        <v>SISTEMA DE GERENCIAMENTO DE ESTOQUE</v>
      </c>
      <c r="C5585" s="2" t="str">
        <f t="shared" si="459"/>
        <v>SUPRI</v>
      </c>
      <c r="D5585" s="2" t="str">
        <f t="shared" si="460"/>
        <v>MGES</v>
      </c>
      <c r="E5585" s="2" t="str">
        <f>"RELAÇÃO DE ETIQUETA DE PRODUTOS"</f>
        <v>RELAÇÃO DE ETIQUETA DE PRODUTOS</v>
      </c>
      <c r="F5585" s="2" t="str">
        <f>"R_IMPRIMI_ETIQ_460"</f>
        <v>R_IMPRIMI_ETIQ_460</v>
      </c>
      <c r="G5585" s="2" t="str">
        <f t="shared" si="462"/>
        <v xml:space="preserve"> ()</v>
      </c>
    </row>
    <row r="5586" spans="1:7" x14ac:dyDescent="0.3">
      <c r="A5586" s="1" t="s">
        <v>4</v>
      </c>
      <c r="B5586" s="2" t="str">
        <f t="shared" si="458"/>
        <v>SISTEMA DE GERENCIAMENTO DE ESTOQUE</v>
      </c>
      <c r="C5586" s="2" t="str">
        <f t="shared" si="459"/>
        <v>SUPRI</v>
      </c>
      <c r="D5586" s="2" t="str">
        <f t="shared" si="460"/>
        <v>MGES</v>
      </c>
      <c r="E5586" s="2" t="str">
        <f>"LIVRO DE REGISTRO ESPECIFICO"</f>
        <v>LIVRO DE REGISTRO ESPECIFICO</v>
      </c>
      <c r="F5586" s="2" t="str">
        <f>"R_LIVRO_ESP"</f>
        <v>R_LIVRO_ESP</v>
      </c>
      <c r="G5586" s="2" t="str">
        <f t="shared" si="462"/>
        <v xml:space="preserve"> ()</v>
      </c>
    </row>
    <row r="5587" spans="1:7" x14ac:dyDescent="0.3">
      <c r="A5587" s="1" t="s">
        <v>4</v>
      </c>
      <c r="B5587" s="2" t="str">
        <f t="shared" si="458"/>
        <v>SISTEMA DE GERENCIAMENTO DE ESTOQUE</v>
      </c>
      <c r="C5587" s="2" t="str">
        <f t="shared" si="459"/>
        <v>SUPRI</v>
      </c>
      <c r="D5587" s="2" t="str">
        <f t="shared" si="460"/>
        <v>MGES</v>
      </c>
      <c r="E5587" s="2" t="str">
        <f>"REL. CONSUMO ESTOQUE COM PESO"</f>
        <v>REL. CONSUMO ESTOQUE COM PESO</v>
      </c>
      <c r="F5587" s="2" t="str">
        <f>"R_CONS_ESTOQUE_PESO"</f>
        <v>R_CONS_ESTOQUE_PESO</v>
      </c>
      <c r="G5587" s="2" t="str">
        <f t="shared" si="462"/>
        <v xml:space="preserve"> ()</v>
      </c>
    </row>
    <row r="5588" spans="1:7" x14ac:dyDescent="0.3">
      <c r="A5588" s="1" t="s">
        <v>4</v>
      </c>
      <c r="B5588" s="2" t="str">
        <f t="shared" si="458"/>
        <v>SISTEMA DE GERENCIAMENTO DE ESTOQUE</v>
      </c>
      <c r="C5588" s="2" t="str">
        <f t="shared" si="459"/>
        <v>SUPRI</v>
      </c>
      <c r="D5588" s="2" t="str">
        <f t="shared" si="460"/>
        <v>MGES</v>
      </c>
      <c r="E5588" s="2" t="str">
        <f>"SAÍDA DE EMPRESTIMO"</f>
        <v>SAÍDA DE EMPRESTIMO</v>
      </c>
      <c r="F5588" s="2" t="str">
        <f>"M_EMPRESTIMO_SAI"</f>
        <v>M_EMPRESTIMO_SAI</v>
      </c>
      <c r="G5588" s="2" t="str">
        <f>"Materiais e Logística / Almoxarifado / Movimentações / Saída de Produtos / Empréstimo (M_EMPRESTIMO_SAI)"</f>
        <v>Materiais e Logística / Almoxarifado / Movimentações / Saída de Produtos / Empréstimo (M_EMPRESTIMO_SAI)</v>
      </c>
    </row>
    <row r="5589" spans="1:7" x14ac:dyDescent="0.3">
      <c r="A5589" s="1" t="s">
        <v>4</v>
      </c>
      <c r="B5589" s="2" t="str">
        <f t="shared" si="458"/>
        <v>SISTEMA DE GERENCIAMENTO DE ESTOQUE</v>
      </c>
      <c r="C5589" s="2" t="str">
        <f t="shared" si="459"/>
        <v>SUPRI</v>
      </c>
      <c r="D5589" s="2" t="str">
        <f t="shared" si="460"/>
        <v>MGES</v>
      </c>
      <c r="E5589" s="2" t="str">
        <f>"CONSUMO POR CONVÊNIO"</f>
        <v>CONSUMO POR CONVÊNIO</v>
      </c>
      <c r="F5589" s="2" t="str">
        <f>"R_CONS_CONV"</f>
        <v>R_CONS_CONV</v>
      </c>
      <c r="G5589" s="2" t="str">
        <f>"Materiais e Logística / Almoxarifado / Relatórios / Operacionais / Consumo das Movimentações / Consumo por Convênio (R_CONS_CONV)"</f>
        <v>Materiais e Logística / Almoxarifado / Relatórios / Operacionais / Consumo das Movimentações / Consumo por Convênio (R_CONS_CONV)</v>
      </c>
    </row>
    <row r="5590" spans="1:7" x14ac:dyDescent="0.3">
      <c r="A5590" s="1" t="s">
        <v>4</v>
      </c>
      <c r="B5590" s="2" t="str">
        <f t="shared" si="458"/>
        <v>SISTEMA DE GERENCIAMENTO DE ESTOQUE</v>
      </c>
      <c r="C5590" s="2" t="str">
        <f t="shared" si="459"/>
        <v>SUPRI</v>
      </c>
      <c r="D5590" s="2" t="str">
        <f t="shared" si="460"/>
        <v>MGES</v>
      </c>
      <c r="E5590" s="2" t="str">
        <f>"CONSUMO POR CONVÊNIO"</f>
        <v>CONSUMO POR CONVÊNIO</v>
      </c>
      <c r="F5590" s="2" t="str">
        <f>"R_ CONS_CONV"</f>
        <v>R_ CONS_CONV</v>
      </c>
      <c r="G5590" s="2" t="str">
        <f>" ()"</f>
        <v xml:space="preserve"> ()</v>
      </c>
    </row>
    <row r="5591" spans="1:7" x14ac:dyDescent="0.3">
      <c r="A5591" s="1" t="s">
        <v>4</v>
      </c>
      <c r="B5591" s="2" t="str">
        <f t="shared" si="458"/>
        <v>SISTEMA DE GERENCIAMENTO DE ESTOQUE</v>
      </c>
      <c r="C5591" s="2" t="str">
        <f t="shared" si="459"/>
        <v>SUPRI</v>
      </c>
      <c r="D5591" s="2" t="str">
        <f t="shared" si="460"/>
        <v>MGES</v>
      </c>
      <c r="E5591" s="2" t="str">
        <f>"REL HISTÓRICO DE PRODUTOS-ENT/SAI (SINT)"</f>
        <v>REL HISTÓRICO DE PRODUTOS-ENT/SAI (SINT)</v>
      </c>
      <c r="F5591" s="2" t="str">
        <f>"R_HIST_PRODUTO_SINTETICO"</f>
        <v>R_HIST_PRODUTO_SINTETICO</v>
      </c>
      <c r="G5591" s="2" t="str">
        <f>" ()"</f>
        <v xml:space="preserve"> ()</v>
      </c>
    </row>
    <row r="5592" spans="1:7" x14ac:dyDescent="0.3">
      <c r="A5592" s="1" t="s">
        <v>4</v>
      </c>
      <c r="B5592" s="2" t="str">
        <f t="shared" si="458"/>
        <v>SISTEMA DE GERENCIAMENTO DE ESTOQUE</v>
      </c>
      <c r="C5592" s="2" t="str">
        <f t="shared" si="459"/>
        <v>SUPRI</v>
      </c>
      <c r="D5592" s="2" t="str">
        <f t="shared" si="460"/>
        <v>MGES</v>
      </c>
      <c r="E5592" s="2" t="str">
        <f>"IMPRESSÃO DE ETIQUETAS DE PROD. TRANSFER"</f>
        <v>IMPRESSÃO DE ETIQUETAS DE PROD. TRANSFER</v>
      </c>
      <c r="F5592" s="2" t="str">
        <f>"R_ETIQUETA_TRA_PRO"</f>
        <v>R_ETIQUETA_TRA_PRO</v>
      </c>
      <c r="G5592" s="2" t="str">
        <f>" ()"</f>
        <v xml:space="preserve"> ()</v>
      </c>
    </row>
    <row r="5593" spans="1:7" x14ac:dyDescent="0.3">
      <c r="A5593" s="1" t="s">
        <v>4</v>
      </c>
      <c r="B5593" s="2" t="str">
        <f t="shared" si="458"/>
        <v>SISTEMA DE GERENCIAMENTO DE ESTOQUE</v>
      </c>
      <c r="C5593" s="2" t="str">
        <f t="shared" si="459"/>
        <v>SUPRI</v>
      </c>
      <c r="D5593" s="2" t="str">
        <f t="shared" si="460"/>
        <v>MGES</v>
      </c>
      <c r="E5593" s="2" t="str">
        <f>"RELATORIO DE CUSTO MEDIO"</f>
        <v>RELATORIO DE CUSTO MEDIO</v>
      </c>
      <c r="F5593" s="2" t="str">
        <f>"R_CUSTO_MEDIO"</f>
        <v>R_CUSTO_MEDIO</v>
      </c>
      <c r="G5593" s="2" t="str">
        <f>"Materiais e Logística / Almoxarifado / Relatórios / Operacionais / Análise do Custo Médio dos Produtos / Custo Médio (R_CUSTO_MEDIO)"</f>
        <v>Materiais e Logística / Almoxarifado / Relatórios / Operacionais / Análise do Custo Médio dos Produtos / Custo Médio (R_CUSTO_MEDIO)</v>
      </c>
    </row>
    <row r="5594" spans="1:7" x14ac:dyDescent="0.3">
      <c r="A5594" s="1" t="s">
        <v>4</v>
      </c>
      <c r="B5594" s="2" t="str">
        <f t="shared" ref="B5594:B5657" si="463">"SISTEMA DE GERENCIAMENTO DE ESTOQUE"</f>
        <v>SISTEMA DE GERENCIAMENTO DE ESTOQUE</v>
      </c>
      <c r="C5594" s="2" t="str">
        <f t="shared" ref="C5594:C5657" si="464">"SUPRI"</f>
        <v>SUPRI</v>
      </c>
      <c r="D5594" s="2" t="str">
        <f t="shared" ref="D5594:D5657" si="465">"MGES"</f>
        <v>MGES</v>
      </c>
      <c r="E5594" s="2" t="str">
        <f>"RELATÓRIO DE MOVIMENTAÇÃO DE KITS"</f>
        <v>RELATÓRIO DE MOVIMENTAÇÃO DE KITS</v>
      </c>
      <c r="F5594" s="2" t="str">
        <f>"R_MVTO_KIT"</f>
        <v>R_MVTO_KIT</v>
      </c>
      <c r="G5594" s="2" t="str">
        <f>"Materiais e Logística / Almoxarifado / Relatórios / Operacionais / Consumo das Movimentações / Movimentação de Kits (R_MVTO_KIT)"</f>
        <v>Materiais e Logística / Almoxarifado / Relatórios / Operacionais / Consumo das Movimentações / Movimentação de Kits (R_MVTO_KIT)</v>
      </c>
    </row>
    <row r="5595" spans="1:7" x14ac:dyDescent="0.3">
      <c r="A5595" s="1" t="s">
        <v>4</v>
      </c>
      <c r="B5595" s="2" t="str">
        <f t="shared" si="463"/>
        <v>SISTEMA DE GERENCIAMENTO DE ESTOQUE</v>
      </c>
      <c r="C5595" s="2" t="str">
        <f t="shared" si="464"/>
        <v>SUPRI</v>
      </c>
      <c r="D5595" s="2" t="str">
        <f t="shared" si="465"/>
        <v>MGES</v>
      </c>
      <c r="E5595" s="2" t="str">
        <f>"RELATÓRIO DE COTAS DE PRODUTOS POR SETOR"</f>
        <v>RELATÓRIO DE COTAS DE PRODUTOS POR SETOR</v>
      </c>
      <c r="F5595" s="2" t="str">
        <f>"R_COTSETESP"</f>
        <v>R_COTSETESP</v>
      </c>
      <c r="G5595" s="2" t="str">
        <f>"Materiais e Logística / Almoxarifado / Relatórios / Tabelas / Cotas de Produtos por Espécie (R_COTSETESP)"</f>
        <v>Materiais e Logística / Almoxarifado / Relatórios / Tabelas / Cotas de Produtos por Espécie (R_COTSETESP)</v>
      </c>
    </row>
    <row r="5596" spans="1:7" x14ac:dyDescent="0.3">
      <c r="A5596" s="1" t="s">
        <v>4</v>
      </c>
      <c r="B5596" s="2" t="str">
        <f t="shared" si="463"/>
        <v>SISTEMA DE GERENCIAMENTO DE ESTOQUE</v>
      </c>
      <c r="C5596" s="2" t="str">
        <f t="shared" si="464"/>
        <v>SUPRI</v>
      </c>
      <c r="D5596" s="2" t="str">
        <f t="shared" si="465"/>
        <v>MGES</v>
      </c>
      <c r="E5596" s="2" t="str">
        <f>"RELATÓRIO DE PRODUTOS CRÍTICOS"</f>
        <v>RELATÓRIO DE PRODUTOS CRÍTICOS</v>
      </c>
      <c r="F5596" s="2" t="str">
        <f>"R_PROD_CRIT"</f>
        <v>R_PROD_CRIT</v>
      </c>
      <c r="G5596" s="2" t="str">
        <f>"Materiais e Logística / Almoxarifado / Relatórios / Administrativos / Produtos Críticos (R_PROD_CRIT)"</f>
        <v>Materiais e Logística / Almoxarifado / Relatórios / Administrativos / Produtos Críticos (R_PROD_CRIT)</v>
      </c>
    </row>
    <row r="5597" spans="1:7" x14ac:dyDescent="0.3">
      <c r="A5597" s="1" t="s">
        <v>4</v>
      </c>
      <c r="B5597" s="2" t="str">
        <f t="shared" si="463"/>
        <v>SISTEMA DE GERENCIAMENTO DE ESTOQUE</v>
      </c>
      <c r="C5597" s="2" t="str">
        <f t="shared" si="464"/>
        <v>SUPRI</v>
      </c>
      <c r="D5597" s="2" t="str">
        <f t="shared" si="465"/>
        <v>MGES</v>
      </c>
      <c r="E5597" s="2" t="str">
        <f>"CADASTROS DA FAIXA DE PREÇOS"</f>
        <v>CADASTROS DA FAIXA DE PREÇOS</v>
      </c>
      <c r="F5597" s="2" t="str">
        <f>"M_FAIXA_PRECO"</f>
        <v>M_FAIXA_PRECO</v>
      </c>
      <c r="G5597" s="2" t="str">
        <f>"Materiais e Logística / Almoxarifado / Tabelas / Gerais / Faixa de Preços (M_FAIXA_PRECO)"</f>
        <v>Materiais e Logística / Almoxarifado / Tabelas / Gerais / Faixa de Preços (M_FAIXA_PRECO)</v>
      </c>
    </row>
    <row r="5598" spans="1:7" x14ac:dyDescent="0.3">
      <c r="A5598" s="1" t="s">
        <v>4</v>
      </c>
      <c r="B5598" s="2" t="str">
        <f t="shared" si="463"/>
        <v>SISTEMA DE GERENCIAMENTO DE ESTOQUE</v>
      </c>
      <c r="C5598" s="2" t="str">
        <f t="shared" si="464"/>
        <v>SUPRI</v>
      </c>
      <c r="D5598" s="2" t="str">
        <f t="shared" si="465"/>
        <v>MGES</v>
      </c>
      <c r="E5598" s="2" t="str">
        <f>"CONSULTA DAS NOTAS-FISCAIS DO ESTOQUE"</f>
        <v>CONSULTA DAS NOTAS-FISCAIS DO ESTOQUE</v>
      </c>
      <c r="F5598" s="2" t="str">
        <f>"C_IMP_MGES_FNFI"</f>
        <v>C_IMP_MGES_FNFI</v>
      </c>
      <c r="G5598" s="2" t="str">
        <f>" ()"</f>
        <v xml:space="preserve"> ()</v>
      </c>
    </row>
    <row r="5599" spans="1:7" x14ac:dyDescent="0.3">
      <c r="A5599" s="1" t="s">
        <v>4</v>
      </c>
      <c r="B5599" s="2" t="str">
        <f t="shared" si="463"/>
        <v>SISTEMA DE GERENCIAMENTO DE ESTOQUE</v>
      </c>
      <c r="C5599" s="2" t="str">
        <f t="shared" si="464"/>
        <v>SUPRI</v>
      </c>
      <c r="D5599" s="2" t="str">
        <f t="shared" si="465"/>
        <v>MGES</v>
      </c>
      <c r="E5599" s="2" t="str">
        <f>"RELATÓRIO DE FORMULAS/KITS"</f>
        <v>RELATÓRIO DE FORMULAS/KITS</v>
      </c>
      <c r="F5599" s="2" t="str">
        <f>"R_FORMULAS_KIT"</f>
        <v>R_FORMULAS_KIT</v>
      </c>
      <c r="G5599" s="2" t="str">
        <f>"Atendimento / Centro Cirúrgico e Obstétrico / Relatórios / Tabelas / Kit Padrão de Cirurgia (R_FORMULAS_KIT)"</f>
        <v>Atendimento / Centro Cirúrgico e Obstétrico / Relatórios / Tabelas / Kit Padrão de Cirurgia (R_FORMULAS_KIT)</v>
      </c>
    </row>
    <row r="5600" spans="1:7" x14ac:dyDescent="0.3">
      <c r="A5600" s="1" t="s">
        <v>4</v>
      </c>
      <c r="B5600" s="2" t="str">
        <f t="shared" si="463"/>
        <v>SISTEMA DE GERENCIAMENTO DE ESTOQUE</v>
      </c>
      <c r="C5600" s="2" t="str">
        <f t="shared" si="464"/>
        <v>SUPRI</v>
      </c>
      <c r="D5600" s="2" t="str">
        <f t="shared" si="465"/>
        <v>MGES</v>
      </c>
      <c r="E5600" s="2" t="str">
        <f>"RELATÓRIO DE FORMULAS/KITS"</f>
        <v>RELATÓRIO DE FORMULAS/KITS</v>
      </c>
      <c r="F5600" s="2" t="str">
        <f>"R_FORMULAS_KIT"</f>
        <v>R_FORMULAS_KIT</v>
      </c>
      <c r="G5600" s="2" t="str">
        <f>"Materiais e Logística / Almoxarifado / Relatórios / Tabelas / Fórmulas / Kits (R_FORMULAS_KIT)"</f>
        <v>Materiais e Logística / Almoxarifado / Relatórios / Tabelas / Fórmulas / Kits (R_FORMULAS_KIT)</v>
      </c>
    </row>
    <row r="5601" spans="1:7" x14ac:dyDescent="0.3">
      <c r="A5601" s="1" t="s">
        <v>4</v>
      </c>
      <c r="B5601" s="2" t="str">
        <f t="shared" si="463"/>
        <v>SISTEMA DE GERENCIAMENTO DE ESTOQUE</v>
      </c>
      <c r="C5601" s="2" t="str">
        <f t="shared" si="464"/>
        <v>SUPRI</v>
      </c>
      <c r="D5601" s="2" t="str">
        <f t="shared" si="465"/>
        <v>MGES</v>
      </c>
      <c r="E5601" s="2" t="str">
        <f>"RELATÓRIO DE FORMULAS/KITS"</f>
        <v>RELATÓRIO DE FORMULAS/KITS</v>
      </c>
      <c r="F5601" s="2" t="str">
        <f>"R_FORMULAS_KIT"</f>
        <v>R_FORMULAS_KIT</v>
      </c>
      <c r="G5601" s="2" t="str">
        <f>"Serviços de Apoio / Central de Materiais Esterilizados / Relatórios / Tabelas / Fórmulas Kit (R_FORMULAS_KIT)"</f>
        <v>Serviços de Apoio / Central de Materiais Esterilizados / Relatórios / Tabelas / Fórmulas Kit (R_FORMULAS_KIT)</v>
      </c>
    </row>
    <row r="5602" spans="1:7" x14ac:dyDescent="0.3">
      <c r="A5602" s="1" t="s">
        <v>4</v>
      </c>
      <c r="B5602" s="2" t="str">
        <f t="shared" si="463"/>
        <v>SISTEMA DE GERENCIAMENTO DE ESTOQUE</v>
      </c>
      <c r="C5602" s="2" t="str">
        <f t="shared" si="464"/>
        <v>SUPRI</v>
      </c>
      <c r="D5602" s="2" t="str">
        <f t="shared" si="465"/>
        <v>MGES</v>
      </c>
      <c r="E5602" s="2" t="str">
        <f>"RELATORIO DE FORMULA E KIT"</f>
        <v>RELATORIO DE FORMULA E KIT</v>
      </c>
      <c r="F5602" s="2" t="str">
        <f>"R_FORMULA_KIT"</f>
        <v>R_FORMULA_KIT</v>
      </c>
      <c r="G5602" s="2" t="str">
        <f>" ()"</f>
        <v xml:space="preserve"> ()</v>
      </c>
    </row>
    <row r="5603" spans="1:7" x14ac:dyDescent="0.3">
      <c r="A5603" s="1" t="s">
        <v>4</v>
      </c>
      <c r="B5603" s="2" t="str">
        <f t="shared" si="463"/>
        <v>SISTEMA DE GERENCIAMENTO DE ESTOQUE</v>
      </c>
      <c r="C5603" s="2" t="str">
        <f t="shared" si="464"/>
        <v>SUPRI</v>
      </c>
      <c r="D5603" s="2" t="str">
        <f t="shared" si="465"/>
        <v>MGES</v>
      </c>
      <c r="E5603" s="2" t="str">
        <f>"PERSONALIZADOS DO MGES"</f>
        <v>PERSONALIZADOS DO MGES</v>
      </c>
      <c r="F5603" s="2" t="str">
        <f>"R_PERSON_MGES"</f>
        <v>R_PERSON_MGES</v>
      </c>
      <c r="G5603" s="2" t="str">
        <f>"Materiais e Logística / Almoxarifado / Relatórios / Personalizados (R_PERSON_MGES)"</f>
        <v>Materiais e Logística / Almoxarifado / Relatórios / Personalizados (R_PERSON_MGES)</v>
      </c>
    </row>
    <row r="5604" spans="1:7" x14ac:dyDescent="0.3">
      <c r="A5604" s="1" t="s">
        <v>4</v>
      </c>
      <c r="B5604" s="2" t="str">
        <f t="shared" si="463"/>
        <v>SISTEMA DE GERENCIAMENTO DE ESTOQUE</v>
      </c>
      <c r="C5604" s="2" t="str">
        <f t="shared" si="464"/>
        <v>SUPRI</v>
      </c>
      <c r="D5604" s="2" t="str">
        <f t="shared" si="465"/>
        <v>MGES</v>
      </c>
      <c r="E5604" s="2" t="str">
        <f>"PROJECAO DE COTAS"</f>
        <v>PROJECAO DE COTAS</v>
      </c>
      <c r="F5604" s="2" t="str">
        <f>"R_COTA_MGES"</f>
        <v>R_COTA_MGES</v>
      </c>
      <c r="G5604" s="2" t="str">
        <f>"Materiais e Logística / Almoxarifado / Relatórios / Gerenciais / Projeção de Cotas (R_COTA_MGES)"</f>
        <v>Materiais e Logística / Almoxarifado / Relatórios / Gerenciais / Projeção de Cotas (R_COTA_MGES)</v>
      </c>
    </row>
    <row r="5605" spans="1:7" x14ac:dyDescent="0.3">
      <c r="A5605" s="1" t="s">
        <v>4</v>
      </c>
      <c r="B5605" s="2" t="str">
        <f t="shared" si="463"/>
        <v>SISTEMA DE GERENCIAMENTO DE ESTOQUE</v>
      </c>
      <c r="C5605" s="2" t="str">
        <f t="shared" si="464"/>
        <v>SUPRI</v>
      </c>
      <c r="D5605" s="2" t="str">
        <f t="shared" si="465"/>
        <v>MGES</v>
      </c>
      <c r="E5605" s="2" t="str">
        <f>"DEVOLUÇÃO DE GASTO DE SALA"</f>
        <v>DEVOLUÇÃO DE GASTO DE SALA</v>
      </c>
      <c r="F5605" s="2" t="str">
        <f>"M_DEVSAL"</f>
        <v>M_DEVSAL</v>
      </c>
      <c r="G5605" s="2" t="str">
        <f>"Materiais e Logística / Almoxarifado / Movimentações / Devoluções / De Gasto de Sala (M_DEVSAL)"</f>
        <v>Materiais e Logística / Almoxarifado / Movimentações / Devoluções / De Gasto de Sala (M_DEVSAL)</v>
      </c>
    </row>
    <row r="5606" spans="1:7" x14ac:dyDescent="0.3">
      <c r="A5606" s="1" t="s">
        <v>4</v>
      </c>
      <c r="B5606" s="2" t="str">
        <f t="shared" si="463"/>
        <v>SISTEMA DE GERENCIAMENTO DE ESTOQUE</v>
      </c>
      <c r="C5606" s="2" t="str">
        <f t="shared" si="464"/>
        <v>SUPRI</v>
      </c>
      <c r="D5606" s="2" t="str">
        <f t="shared" si="465"/>
        <v>MGES</v>
      </c>
      <c r="E5606" s="2" t="str">
        <f>"GASTOS DE SALA"</f>
        <v>GASTOS DE SALA</v>
      </c>
      <c r="F5606" s="2" t="str">
        <f>"M_GASTO_SALA"</f>
        <v>M_GASTO_SALA</v>
      </c>
      <c r="G5606" s="2" t="str">
        <f>"Materiais e Logística / Almoxarifado / Movimentações / Saída de Produtos / Gasto de sala (M_GASTO_SALA)"</f>
        <v>Materiais e Logística / Almoxarifado / Movimentações / Saída de Produtos / Gasto de sala (M_GASTO_SALA)</v>
      </c>
    </row>
    <row r="5607" spans="1:7" x14ac:dyDescent="0.3">
      <c r="A5607" s="1" t="s">
        <v>4</v>
      </c>
      <c r="B5607" s="2" t="str">
        <f t="shared" si="463"/>
        <v>SISTEMA DE GERENCIAMENTO DE ESTOQUE</v>
      </c>
      <c r="C5607" s="2" t="str">
        <f t="shared" si="464"/>
        <v>SUPRI</v>
      </c>
      <c r="D5607" s="2" t="str">
        <f t="shared" si="465"/>
        <v>MGES</v>
      </c>
      <c r="E5607" s="2" t="str">
        <f>"LABORATÓRIOS X DISTRIBUIDORES"</f>
        <v>LABORATÓRIOS X DISTRIBUIDORES</v>
      </c>
      <c r="F5607" s="2" t="str">
        <f>"R_LAB_X_DISTR"</f>
        <v>R_LAB_X_DISTR</v>
      </c>
      <c r="G5607" s="2" t="str">
        <f>" ()"</f>
        <v xml:space="preserve"> ()</v>
      </c>
    </row>
    <row r="5608" spans="1:7" x14ac:dyDescent="0.3">
      <c r="A5608" s="1" t="s">
        <v>4</v>
      </c>
      <c r="B5608" s="2" t="str">
        <f t="shared" si="463"/>
        <v>SISTEMA DE GERENCIAMENTO DE ESTOQUE</v>
      </c>
      <c r="C5608" s="2" t="str">
        <f t="shared" si="464"/>
        <v>SUPRI</v>
      </c>
      <c r="D5608" s="2" t="str">
        <f t="shared" si="465"/>
        <v>MGES</v>
      </c>
      <c r="E5608" s="2" t="str">
        <f>"RELAT. CONSUMO DE ESTOQUE CONSOLIDADO"</f>
        <v>RELAT. CONSUMO DE ESTOQUE CONSOLIDADO</v>
      </c>
      <c r="F5608" s="2" t="str">
        <f>"R_CONS_ESTOQUE_C"</f>
        <v>R_CONS_ESTOQUE_C</v>
      </c>
      <c r="G5608" s="2" t="str">
        <f>" ()"</f>
        <v xml:space="preserve"> ()</v>
      </c>
    </row>
    <row r="5609" spans="1:7" x14ac:dyDescent="0.3">
      <c r="A5609" s="1" t="s">
        <v>4</v>
      </c>
      <c r="B5609" s="2" t="str">
        <f t="shared" si="463"/>
        <v>SISTEMA DE GERENCIAMENTO DE ESTOQUE</v>
      </c>
      <c r="C5609" s="2" t="str">
        <f t="shared" si="464"/>
        <v>SUPRI</v>
      </c>
      <c r="D5609" s="2" t="str">
        <f t="shared" si="465"/>
        <v>MGES</v>
      </c>
      <c r="E5609" s="2" t="str">
        <f>"R_ENT_SAI_FAT_SINT"</f>
        <v>R_ENT_SAI_FAT_SINT</v>
      </c>
      <c r="F5609" s="2" t="str">
        <f>"R_ENT_SAI_FAT_SINT"</f>
        <v>R_ENT_SAI_FAT_SINT</v>
      </c>
      <c r="G5609" s="2" t="str">
        <f>" ()"</f>
        <v xml:space="preserve"> ()</v>
      </c>
    </row>
    <row r="5610" spans="1:7" x14ac:dyDescent="0.3">
      <c r="A5610" s="1" t="s">
        <v>4</v>
      </c>
      <c r="B5610" s="2" t="str">
        <f t="shared" si="463"/>
        <v>SISTEMA DE GERENCIAMENTO DE ESTOQUE</v>
      </c>
      <c r="C5610" s="2" t="str">
        <f t="shared" si="464"/>
        <v>SUPRI</v>
      </c>
      <c r="D5610" s="2" t="str">
        <f t="shared" si="465"/>
        <v>MGES</v>
      </c>
      <c r="E5610" s="2" t="str">
        <f>"RELATÓRIO COMPARATIVO DE CONSUMO X COTA"</f>
        <v>RELATÓRIO COMPARATIVO DE CONSUMO X COTA</v>
      </c>
      <c r="F5610" s="2" t="str">
        <f>"R_CONS_COTA"</f>
        <v>R_CONS_COTA</v>
      </c>
      <c r="G5610" s="2" t="str">
        <f>"Materiais e Logística / Almoxarifado / Relatórios / Gerenciais / Consumo x Cotas (R_CONS_COTA)"</f>
        <v>Materiais e Logística / Almoxarifado / Relatórios / Gerenciais / Consumo x Cotas (R_CONS_COTA)</v>
      </c>
    </row>
    <row r="5611" spans="1:7" x14ac:dyDescent="0.3">
      <c r="A5611" s="1" t="s">
        <v>4</v>
      </c>
      <c r="B5611" s="2" t="str">
        <f t="shared" si="463"/>
        <v>SISTEMA DE GERENCIAMENTO DE ESTOQUE</v>
      </c>
      <c r="C5611" s="2" t="str">
        <f t="shared" si="464"/>
        <v>SUPRI</v>
      </c>
      <c r="D5611" s="2" t="str">
        <f t="shared" si="465"/>
        <v>MGES</v>
      </c>
      <c r="E5611" s="2" t="str">
        <f>"RELATÓRIO CADASTRAL DE COTAS"</f>
        <v>RELATÓRIO CADASTRAL DE COTAS</v>
      </c>
      <c r="F5611" s="2" t="str">
        <f>"R_COTA_SETOR"</f>
        <v>R_COTA_SETOR</v>
      </c>
      <c r="G5611" s="2" t="str">
        <f>" ()"</f>
        <v xml:space="preserve"> ()</v>
      </c>
    </row>
    <row r="5612" spans="1:7" x14ac:dyDescent="0.3">
      <c r="A5612" s="1" t="s">
        <v>4</v>
      </c>
      <c r="B5612" s="2" t="str">
        <f t="shared" si="463"/>
        <v>SISTEMA DE GERENCIAMENTO DE ESTOQUE</v>
      </c>
      <c r="C5612" s="2" t="str">
        <f t="shared" si="464"/>
        <v>SUPRI</v>
      </c>
      <c r="D5612" s="2" t="str">
        <f t="shared" si="465"/>
        <v>MGES</v>
      </c>
      <c r="E5612" s="2" t="str">
        <f>"RELATÓRIO DE COTAS POR SETOR"</f>
        <v>RELATÓRIO DE COTAS POR SETOR</v>
      </c>
      <c r="F5612" s="2" t="str">
        <f>"R_COTSET"</f>
        <v>R_COTSET</v>
      </c>
      <c r="G5612" s="2" t="str">
        <f>"Materiais e Logística / Almoxarifado / Relatórios / Tabelas / Cotas de Produtos por Setor (R_COTSET)"</f>
        <v>Materiais e Logística / Almoxarifado / Relatórios / Tabelas / Cotas de Produtos por Setor (R_COTSET)</v>
      </c>
    </row>
    <row r="5613" spans="1:7" x14ac:dyDescent="0.3">
      <c r="A5613" s="1" t="s">
        <v>4</v>
      </c>
      <c r="B5613" s="2" t="str">
        <f t="shared" si="463"/>
        <v>SISTEMA DE GERENCIAMENTO DE ESTOQUE</v>
      </c>
      <c r="C5613" s="2" t="str">
        <f t="shared" si="464"/>
        <v>SUPRI</v>
      </c>
      <c r="D5613" s="2" t="str">
        <f t="shared" si="465"/>
        <v>MGES</v>
      </c>
      <c r="E5613" s="2" t="str">
        <f>"MOTIVO DE CANCELAMENTO"</f>
        <v>MOTIVO DE CANCELAMENTO</v>
      </c>
      <c r="F5613" s="2" t="str">
        <f>"M_MOT_CANCEL"</f>
        <v>M_MOT_CANCEL</v>
      </c>
      <c r="G5613" s="2" t="str">
        <f>"Materiais e Logística / Compras / Tabelas / Motivos de Cancelamento (M_MOT_CANCEL)"</f>
        <v>Materiais e Logística / Compras / Tabelas / Motivos de Cancelamento (M_MOT_CANCEL)</v>
      </c>
    </row>
    <row r="5614" spans="1:7" x14ac:dyDescent="0.3">
      <c r="A5614" s="1" t="s">
        <v>4</v>
      </c>
      <c r="B5614" s="2" t="str">
        <f t="shared" si="463"/>
        <v>SISTEMA DE GERENCIAMENTO DE ESTOQUE</v>
      </c>
      <c r="C5614" s="2" t="str">
        <f t="shared" si="464"/>
        <v>SUPRI</v>
      </c>
      <c r="D5614" s="2" t="str">
        <f t="shared" si="465"/>
        <v>MGES</v>
      </c>
      <c r="E5614" s="2" t="str">
        <f>"COSTAS DOS SETORES"</f>
        <v>COSTAS DOS SETORES</v>
      </c>
      <c r="F5614" s="2" t="str">
        <f>"M_COSTAS"</f>
        <v>M_COSTAS</v>
      </c>
      <c r="G5614" s="2" t="str">
        <f>" ()"</f>
        <v xml:space="preserve"> ()</v>
      </c>
    </row>
    <row r="5615" spans="1:7" x14ac:dyDescent="0.3">
      <c r="A5615" s="1" t="s">
        <v>4</v>
      </c>
      <c r="B5615" s="2" t="str">
        <f t="shared" si="463"/>
        <v>SISTEMA DE GERENCIAMENTO DE ESTOQUE</v>
      </c>
      <c r="C5615" s="2" t="str">
        <f t="shared" si="464"/>
        <v>SUPRI</v>
      </c>
      <c r="D5615" s="2" t="str">
        <f t="shared" si="465"/>
        <v>MGES</v>
      </c>
      <c r="E5615" s="2" t="str">
        <f>"RELATORIO DE SAIDA PARA PACIENTE RESUMID"</f>
        <v>RELATORIO DE SAIDA PARA PACIENTE RESUMID</v>
      </c>
      <c r="F5615" s="2" t="str">
        <f>"R_CONS_PAC_RESUMIDO"</f>
        <v>R_CONS_PAC_RESUMIDO</v>
      </c>
      <c r="G5615" s="2" t="str">
        <f>" ()"</f>
        <v xml:space="preserve"> ()</v>
      </c>
    </row>
    <row r="5616" spans="1:7" x14ac:dyDescent="0.3">
      <c r="A5616" s="1" t="s">
        <v>4</v>
      </c>
      <c r="B5616" s="2" t="str">
        <f t="shared" si="463"/>
        <v>SISTEMA DE GERENCIAMENTO DE ESTOQUE</v>
      </c>
      <c r="C5616" s="2" t="str">
        <f t="shared" si="464"/>
        <v>SUPRI</v>
      </c>
      <c r="D5616" s="2" t="str">
        <f t="shared" si="465"/>
        <v>MGES</v>
      </c>
      <c r="E5616" s="2" t="s">
        <v>24</v>
      </c>
      <c r="F5616" s="2" t="s">
        <v>25</v>
      </c>
      <c r="G5616" s="2" t="s">
        <v>26</v>
      </c>
    </row>
    <row r="5617" spans="1:7" x14ac:dyDescent="0.3">
      <c r="A5617" s="1" t="s">
        <v>4</v>
      </c>
      <c r="B5617" s="2" t="str">
        <f t="shared" si="463"/>
        <v>SISTEMA DE GERENCIAMENTO DE ESTOQUE</v>
      </c>
      <c r="C5617" s="2" t="str">
        <f t="shared" si="464"/>
        <v>SUPRI</v>
      </c>
      <c r="D5617" s="2" t="str">
        <f t="shared" si="465"/>
        <v>MGES</v>
      </c>
      <c r="E5617" s="2" t="s">
        <v>24</v>
      </c>
      <c r="F5617" s="2" t="s">
        <v>25</v>
      </c>
      <c r="G5617" s="2" t="s">
        <v>26</v>
      </c>
    </row>
    <row r="5618" spans="1:7" x14ac:dyDescent="0.3">
      <c r="A5618" s="1" t="s">
        <v>4</v>
      </c>
      <c r="B5618" s="2" t="str">
        <f t="shared" si="463"/>
        <v>SISTEMA DE GERENCIAMENTO DE ESTOQUE</v>
      </c>
      <c r="C5618" s="2" t="str">
        <f t="shared" si="464"/>
        <v>SUPRI</v>
      </c>
      <c r="D5618" s="2" t="str">
        <f t="shared" si="465"/>
        <v>MGES</v>
      </c>
      <c r="E5618" s="2" t="s">
        <v>27</v>
      </c>
      <c r="F5618" s="2" t="s">
        <v>28</v>
      </c>
      <c r="G5618" s="2" t="str">
        <f>"R_SAI_DEV_ESP"</f>
        <v>R_SAI_DEV_ESP</v>
      </c>
    </row>
    <row r="5619" spans="1:7" x14ac:dyDescent="0.3">
      <c r="A5619" s="1" t="s">
        <v>4</v>
      </c>
      <c r="B5619" s="2" t="str">
        <f t="shared" si="463"/>
        <v>SISTEMA DE GERENCIAMENTO DE ESTOQUE</v>
      </c>
      <c r="C5619" s="2" t="str">
        <f t="shared" si="464"/>
        <v>SUPRI</v>
      </c>
      <c r="D5619" s="2" t="str">
        <f t="shared" si="465"/>
        <v>MGES</v>
      </c>
      <c r="E5619" s="2" t="s">
        <v>27</v>
      </c>
      <c r="F5619" s="2" t="s">
        <v>28</v>
      </c>
      <c r="G5619" s="2" t="str">
        <f>"R_SAI_DEV_ESP"</f>
        <v>R_SAI_DEV_ESP</v>
      </c>
    </row>
    <row r="5620" spans="1:7" x14ac:dyDescent="0.3">
      <c r="A5620" s="1" t="s">
        <v>4</v>
      </c>
      <c r="B5620" s="2" t="str">
        <f t="shared" si="463"/>
        <v>SISTEMA DE GERENCIAMENTO DE ESTOQUE</v>
      </c>
      <c r="C5620" s="2" t="str">
        <f t="shared" si="464"/>
        <v>SUPRI</v>
      </c>
      <c r="D5620" s="2" t="str">
        <f t="shared" si="465"/>
        <v>MGES</v>
      </c>
      <c r="E5620" s="2" t="str">
        <f>"GRAFICO EM LINHA COM BASE EM DATA"</f>
        <v>GRAFICO EM LINHA COM BASE EM DATA</v>
      </c>
      <c r="F5620" s="2" t="str">
        <f>"G_LINHA"</f>
        <v>G_LINHA</v>
      </c>
      <c r="G5620" s="2" t="str">
        <f>" ()"</f>
        <v xml:space="preserve"> ()</v>
      </c>
    </row>
    <row r="5621" spans="1:7" x14ac:dyDescent="0.3">
      <c r="A5621" s="1" t="s">
        <v>4</v>
      </c>
      <c r="B5621" s="2" t="str">
        <f t="shared" si="463"/>
        <v>SISTEMA DE GERENCIAMENTO DE ESTOQUE</v>
      </c>
      <c r="C5621" s="2" t="str">
        <f t="shared" si="464"/>
        <v>SUPRI</v>
      </c>
      <c r="D5621" s="2" t="str">
        <f t="shared" si="465"/>
        <v>MGES</v>
      </c>
      <c r="E5621" s="2" t="str">
        <f>"COTAS DOS PRODUTOS POR SETOR"</f>
        <v>COTAS DOS PRODUTOS POR SETOR</v>
      </c>
      <c r="F5621" s="2" t="str">
        <f>"M_COTA_SETOR"</f>
        <v>M_COTA_SETOR</v>
      </c>
      <c r="G5621" s="2" t="str">
        <f>"Materiais e Logística / Almoxarifado / Tabelas / Gerais / Cotas (Consumo Previsto) (M_COTA_SETOR)"</f>
        <v>Materiais e Logística / Almoxarifado / Tabelas / Gerais / Cotas (Consumo Previsto) (M_COTA_SETOR)</v>
      </c>
    </row>
    <row r="5622" spans="1:7" x14ac:dyDescent="0.3">
      <c r="A5622" s="1" t="s">
        <v>4</v>
      </c>
      <c r="B5622" s="2" t="str">
        <f t="shared" si="463"/>
        <v>SISTEMA DE GERENCIAMENTO DE ESTOQUE</v>
      </c>
      <c r="C5622" s="2" t="str">
        <f t="shared" si="464"/>
        <v>SUPRI</v>
      </c>
      <c r="D5622" s="2" t="str">
        <f t="shared" si="465"/>
        <v>MGES</v>
      </c>
      <c r="E5622" s="2" t="str">
        <f>"RELATORIO PARA CONFERÊNCIA DAS LISTAS"</f>
        <v>RELATORIO PARA CONFERÊNCIA DAS LISTAS</v>
      </c>
      <c r="F5622" s="2" t="str">
        <f>"R_LISTA_DCB"</f>
        <v>R_LISTA_DCB</v>
      </c>
      <c r="G5622" s="2" t="str">
        <f>"Materiais e Logística / Almoxarifado / Relatórios / Listagens / Conferência da Lista de Medicamentos (R_LISTA_DCB)"</f>
        <v>Materiais e Logística / Almoxarifado / Relatórios / Listagens / Conferência da Lista de Medicamentos (R_LISTA_DCB)</v>
      </c>
    </row>
    <row r="5623" spans="1:7" x14ac:dyDescent="0.3">
      <c r="A5623" s="1" t="s">
        <v>4</v>
      </c>
      <c r="B5623" s="2" t="str">
        <f t="shared" si="463"/>
        <v>SISTEMA DE GERENCIAMENTO DE ESTOQUE</v>
      </c>
      <c r="C5623" s="2" t="str">
        <f t="shared" si="464"/>
        <v>SUPRI</v>
      </c>
      <c r="D5623" s="2" t="str">
        <f t="shared" si="465"/>
        <v>MGES</v>
      </c>
      <c r="E5623" s="2" t="str">
        <f>"REL. CONSUMO ESTOQUE POR ESTOQUE"</f>
        <v>REL. CONSUMO ESTOQUE POR ESTOQUE</v>
      </c>
      <c r="F5623" s="2" t="str">
        <f>"R_CONS_ESTOQUE1"</f>
        <v>R_CONS_ESTOQUE1</v>
      </c>
      <c r="G5623" s="2" t="str">
        <f>" ()"</f>
        <v xml:space="preserve"> ()</v>
      </c>
    </row>
    <row r="5624" spans="1:7" x14ac:dyDescent="0.3">
      <c r="A5624" s="1" t="s">
        <v>4</v>
      </c>
      <c r="B5624" s="2" t="str">
        <f t="shared" si="463"/>
        <v>SISTEMA DE GERENCIAMENTO DE ESTOQUE</v>
      </c>
      <c r="C5624" s="2" t="str">
        <f t="shared" si="464"/>
        <v>SUPRI</v>
      </c>
      <c r="D5624" s="2" t="str">
        <f t="shared" si="465"/>
        <v>MGES</v>
      </c>
      <c r="E5624" s="2" t="str">
        <f>"REL. DE DEV.  DE PROD.  P/  PAC. (CHAR)"</f>
        <v>REL. DE DEV.  DE PROD.  P/  PAC. (CHAR)</v>
      </c>
      <c r="F5624" s="2" t="str">
        <f>"R_DEV_PROD_PAC_CHAR"</f>
        <v>R_DEV_PROD_PAC_CHAR</v>
      </c>
      <c r="G5624" s="2" t="str">
        <f>" ()"</f>
        <v xml:space="preserve"> ()</v>
      </c>
    </row>
    <row r="5625" spans="1:7" x14ac:dyDescent="0.3">
      <c r="A5625" s="1" t="s">
        <v>4</v>
      </c>
      <c r="B5625" s="2" t="str">
        <f t="shared" si="463"/>
        <v>SISTEMA DE GERENCIAMENTO DE ESTOQUE</v>
      </c>
      <c r="C5625" s="2" t="str">
        <f t="shared" si="464"/>
        <v>SUPRI</v>
      </c>
      <c r="D5625" s="2" t="str">
        <f t="shared" si="465"/>
        <v>MGES</v>
      </c>
      <c r="E5625" s="2" t="str">
        <f>"REL. DE DEVOL. DE PROD. POR SETOR (CHAR)"</f>
        <v>REL. DE DEVOL. DE PROD. POR SETOR (CHAR)</v>
      </c>
      <c r="F5625" s="2" t="str">
        <f>"R_DEV_PROD_SET_CHAR"</f>
        <v>R_DEV_PROD_SET_CHAR</v>
      </c>
      <c r="G5625" s="2" t="str">
        <f>" ()"</f>
        <v xml:space="preserve"> ()</v>
      </c>
    </row>
    <row r="5626" spans="1:7" x14ac:dyDescent="0.3">
      <c r="A5626" s="1" t="s">
        <v>4</v>
      </c>
      <c r="B5626" s="2" t="str">
        <f t="shared" si="463"/>
        <v>SISTEMA DE GERENCIAMENTO DE ESTOQUE</v>
      </c>
      <c r="C5626" s="2" t="str">
        <f t="shared" si="464"/>
        <v>SUPRI</v>
      </c>
      <c r="D5626" s="2" t="str">
        <f t="shared" si="465"/>
        <v>MGES</v>
      </c>
      <c r="E5626" s="2" t="str">
        <f>"DCTO DE SAIDA PARA PACIENTE CHARACTER"</f>
        <v>DCTO DE SAIDA PARA PACIENTE CHARACTER</v>
      </c>
      <c r="F5626" s="2" t="str">
        <f>"R_SAIDA_PAC_CHAR"</f>
        <v>R_SAIDA_PAC_CHAR</v>
      </c>
      <c r="G5626" s="2" t="str">
        <f>" ()"</f>
        <v xml:space="preserve"> ()</v>
      </c>
    </row>
    <row r="5627" spans="1:7" x14ac:dyDescent="0.3">
      <c r="A5627" s="1" t="s">
        <v>4</v>
      </c>
      <c r="B5627" s="2" t="str">
        <f t="shared" si="463"/>
        <v>SISTEMA DE GERENCIAMENTO DE ESTOQUE</v>
      </c>
      <c r="C5627" s="2" t="str">
        <f t="shared" si="464"/>
        <v>SUPRI</v>
      </c>
      <c r="D5627" s="2" t="str">
        <f t="shared" si="465"/>
        <v>MGES</v>
      </c>
      <c r="E5627" s="2" t="str">
        <f>"DOCUMENTO DE SAÍDA PARA SETOR CHARACTER"</f>
        <v>DOCUMENTO DE SAÍDA PARA SETOR CHARACTER</v>
      </c>
      <c r="F5627" s="2" t="str">
        <f>"R_SAIDA_SETOR_CHAR"</f>
        <v>R_SAIDA_SETOR_CHAR</v>
      </c>
      <c r="G5627" s="2" t="str">
        <f>" ()"</f>
        <v xml:space="preserve"> ()</v>
      </c>
    </row>
    <row r="5628" spans="1:7" x14ac:dyDescent="0.3">
      <c r="A5628" s="1" t="s">
        <v>4</v>
      </c>
      <c r="B5628" s="2" t="str">
        <f t="shared" si="463"/>
        <v>SISTEMA DE GERENCIAMENTO DE ESTOQUE</v>
      </c>
      <c r="C5628" s="2" t="str">
        <f t="shared" si="464"/>
        <v>SUPRI</v>
      </c>
      <c r="D5628" s="2" t="str">
        <f t="shared" si="465"/>
        <v>MGES</v>
      </c>
      <c r="E5628" s="2" t="str">
        <f>"RELATÓRIO DE LABORATÓRIOS"</f>
        <v>RELATÓRIO DE LABORATÓRIOS</v>
      </c>
      <c r="F5628" s="2" t="str">
        <f>"R_LABORATORIOS"</f>
        <v>R_LABORATORIOS</v>
      </c>
      <c r="G5628" s="2" t="str">
        <f>"Materiais e Logística / Almoxarifado / Relatórios / Tabelas / Laboratórios (R_LABORATORIOS)"</f>
        <v>Materiais e Logística / Almoxarifado / Relatórios / Tabelas / Laboratórios (R_LABORATORIOS)</v>
      </c>
    </row>
    <row r="5629" spans="1:7" x14ac:dyDescent="0.3">
      <c r="A5629" s="1" t="s">
        <v>4</v>
      </c>
      <c r="B5629" s="2" t="str">
        <f t="shared" si="463"/>
        <v>SISTEMA DE GERENCIAMENTO DE ESTOQUE</v>
      </c>
      <c r="C5629" s="2" t="str">
        <f t="shared" si="464"/>
        <v>SUPRI</v>
      </c>
      <c r="D5629" s="2" t="str">
        <f t="shared" si="465"/>
        <v>MGES</v>
      </c>
      <c r="E5629" s="2" t="str">
        <f>"CÁLCULO DA CONSOLIDAÇÃO"</f>
        <v>CÁLCULO DA CONSOLIDAÇÃO</v>
      </c>
      <c r="F5629" s="2" t="str">
        <f>"O_CONSOLIDACAO"</f>
        <v>O_CONSOLIDACAO</v>
      </c>
      <c r="G5629" s="2" t="str">
        <f>"Materiais e Logística / Almoxarifado / Cálculos / Consolidação (O_CONSOLIDACAO)"</f>
        <v>Materiais e Logística / Almoxarifado / Cálculos / Consolidação (O_CONSOLIDACAO)</v>
      </c>
    </row>
    <row r="5630" spans="1:7" x14ac:dyDescent="0.3">
      <c r="A5630" s="1" t="s">
        <v>4</v>
      </c>
      <c r="B5630" s="2" t="str">
        <f t="shared" si="463"/>
        <v>SISTEMA DE GERENCIAMENTO DE ESTOQUE</v>
      </c>
      <c r="C5630" s="2" t="str">
        <f t="shared" si="464"/>
        <v>SUPRI</v>
      </c>
      <c r="D5630" s="2" t="str">
        <f t="shared" si="465"/>
        <v>MGES</v>
      </c>
      <c r="E5630" s="2" t="str">
        <f>"CÁLCULO DE ESTOQUE ATRAVÉS DA DEMANDA"</f>
        <v>CÁLCULO DE ESTOQUE ATRAVÉS DA DEMANDA</v>
      </c>
      <c r="F5630" s="2" t="str">
        <f>"O_CALC_DEMANDA"</f>
        <v>O_CALC_DEMANDA</v>
      </c>
      <c r="G5630" s="2" t="str">
        <f>"Materiais e Logística / Almoxarifado / Cálculos / Estoque Através da Demanda / Curva ABC (O_CALC_DEMANDA)"</f>
        <v>Materiais e Logística / Almoxarifado / Cálculos / Estoque Através da Demanda / Curva ABC (O_CALC_DEMANDA)</v>
      </c>
    </row>
    <row r="5631" spans="1:7" x14ac:dyDescent="0.3">
      <c r="A5631" s="1" t="s">
        <v>4</v>
      </c>
      <c r="B5631" s="2" t="str">
        <f t="shared" si="463"/>
        <v>SISTEMA DE GERENCIAMENTO DE ESTOQUE</v>
      </c>
      <c r="C5631" s="2" t="str">
        <f t="shared" si="464"/>
        <v>SUPRI</v>
      </c>
      <c r="D5631" s="2" t="str">
        <f t="shared" si="465"/>
        <v>MGES</v>
      </c>
      <c r="E5631" s="2" t="str">
        <f>"BLOQUEIO DE LOTE DOS PRODUTOS"</f>
        <v>BLOQUEIO DE LOTE DOS PRODUTOS</v>
      </c>
      <c r="F5631" s="2" t="str">
        <f>"C_LOT2"</f>
        <v>C_LOT2</v>
      </c>
      <c r="G5631" s="2" t="str">
        <f>"Materiais e Logística / Almoxarifado / Configurações / Bloqueio de Lote dos Produtos (C_LOT2)"</f>
        <v>Materiais e Logística / Almoxarifado / Configurações / Bloqueio de Lote dos Produtos (C_LOT2)</v>
      </c>
    </row>
    <row r="5632" spans="1:7" x14ac:dyDescent="0.3">
      <c r="A5632" s="1" t="s">
        <v>4</v>
      </c>
      <c r="B5632" s="2" t="str">
        <f t="shared" si="463"/>
        <v>SISTEMA DE GERENCIAMENTO DE ESTOQUE</v>
      </c>
      <c r="C5632" s="2" t="str">
        <f t="shared" si="464"/>
        <v>SUPRI</v>
      </c>
      <c r="D5632" s="2" t="str">
        <f t="shared" si="465"/>
        <v>MGES</v>
      </c>
      <c r="E5632" s="2" t="str">
        <f>"CONSULTA PADRONIZAÇÃO"</f>
        <v>CONSULTA PADRONIZAÇÃO</v>
      </c>
      <c r="F5632" s="2" t="str">
        <f>"C_PADRONIZACAO"</f>
        <v>C_PADRONIZACAO</v>
      </c>
      <c r="G5632" s="2" t="str">
        <f>"Materiais e Logística / Almoxarifado / Consultas / Padronização / Padronização (C_PADRONIZACAO)"</f>
        <v>Materiais e Logística / Almoxarifado / Consultas / Padronização / Padronização (C_PADRONIZACAO)</v>
      </c>
    </row>
    <row r="5633" spans="1:7" x14ac:dyDescent="0.3">
      <c r="A5633" s="1" t="s">
        <v>4</v>
      </c>
      <c r="B5633" s="2" t="str">
        <f t="shared" si="463"/>
        <v>SISTEMA DE GERENCIAMENTO DE ESTOQUE</v>
      </c>
      <c r="C5633" s="2" t="str">
        <f t="shared" si="464"/>
        <v>SUPRI</v>
      </c>
      <c r="D5633" s="2" t="str">
        <f t="shared" si="465"/>
        <v>MGES</v>
      </c>
      <c r="E5633" s="2" t="str">
        <f>"RELATÓRIO DE DOCUMENTOS DE ENTRADA"</f>
        <v>RELATÓRIO DE DOCUMENTOS DE ENTRADA</v>
      </c>
      <c r="F5633" s="2" t="str">
        <f>"R_EST_DOCUMENTO_ENTRADA"</f>
        <v>R_EST_DOCUMENTO_ENTRADA</v>
      </c>
      <c r="G5633" s="2" t="str">
        <f>" ()"</f>
        <v xml:space="preserve"> ()</v>
      </c>
    </row>
    <row r="5634" spans="1:7" x14ac:dyDescent="0.3">
      <c r="A5634" s="1" t="s">
        <v>4</v>
      </c>
      <c r="B5634" s="2" t="str">
        <f t="shared" si="463"/>
        <v>SISTEMA DE GERENCIAMENTO DE ESTOQUE</v>
      </c>
      <c r="C5634" s="2" t="str">
        <f t="shared" si="464"/>
        <v>SUPRI</v>
      </c>
      <c r="D5634" s="2" t="str">
        <f t="shared" si="465"/>
        <v>MGES</v>
      </c>
      <c r="E5634" s="2" t="str">
        <f>"RELAT. EST.  ENTRADA DE PROD. P/ ESPECIE"</f>
        <v>RELAT. EST.  ENTRADA DE PROD. P/ ESPECIE</v>
      </c>
      <c r="F5634" s="2" t="str">
        <f>"R_EST_ENTRADA_PRODUTO_ESP"</f>
        <v>R_EST_ENTRADA_PRODUTO_ESP</v>
      </c>
      <c r="G5634" s="2" t="str">
        <f>" ()"</f>
        <v xml:space="preserve"> ()</v>
      </c>
    </row>
    <row r="5635" spans="1:7" x14ac:dyDescent="0.3">
      <c r="A5635" s="1" t="s">
        <v>4</v>
      </c>
      <c r="B5635" s="2" t="str">
        <f t="shared" si="463"/>
        <v>SISTEMA DE GERENCIAMENTO DE ESTOQUE</v>
      </c>
      <c r="C5635" s="2" t="str">
        <f t="shared" si="464"/>
        <v>SUPRI</v>
      </c>
      <c r="D5635" s="2" t="str">
        <f t="shared" si="465"/>
        <v>MGES</v>
      </c>
      <c r="E5635" s="2" t="str">
        <f>"RELAT. EST. DE SAIDA DE PROD P/ ESPECIE"</f>
        <v>RELAT. EST. DE SAIDA DE PROD P/ ESPECIE</v>
      </c>
      <c r="F5635" s="2" t="str">
        <f>"R_EST_SAIDA_PRODUTO_ESP"</f>
        <v>R_EST_SAIDA_PRODUTO_ESP</v>
      </c>
      <c r="G5635" s="2" t="str">
        <f>" ()"</f>
        <v xml:space="preserve"> ()</v>
      </c>
    </row>
    <row r="5636" spans="1:7" x14ac:dyDescent="0.3">
      <c r="A5636" s="1" t="s">
        <v>4</v>
      </c>
      <c r="B5636" s="2" t="str">
        <f t="shared" si="463"/>
        <v>SISTEMA DE GERENCIAMENTO DE ESTOQUE</v>
      </c>
      <c r="C5636" s="2" t="str">
        <f t="shared" si="464"/>
        <v>SUPRI</v>
      </c>
      <c r="D5636" s="2" t="str">
        <f t="shared" si="465"/>
        <v>MGES</v>
      </c>
      <c r="E5636" s="2" t="str">
        <f>"SOLICITAÇÕES PENDENTES"</f>
        <v>SOLICITAÇÕES PENDENTES</v>
      </c>
      <c r="F5636" s="2" t="str">
        <f>"R_SOLICITACAO_PENDENTES"</f>
        <v>R_SOLICITACAO_PENDENTES</v>
      </c>
      <c r="G5636" s="2" t="str">
        <f>"Atendimento / Urgência e Emergência / Relatórios / Estoque / Solicitações Pendentes (R_SOLICITACAO_PENDENTES)"</f>
        <v>Atendimento / Urgência e Emergência / Relatórios / Estoque / Solicitações Pendentes (R_SOLICITACAO_PENDENTES)</v>
      </c>
    </row>
    <row r="5637" spans="1:7" x14ac:dyDescent="0.3">
      <c r="A5637" s="1" t="s">
        <v>4</v>
      </c>
      <c r="B5637" s="2" t="str">
        <f t="shared" si="463"/>
        <v>SISTEMA DE GERENCIAMENTO DE ESTOQUE</v>
      </c>
      <c r="C5637" s="2" t="str">
        <f t="shared" si="464"/>
        <v>SUPRI</v>
      </c>
      <c r="D5637" s="2" t="str">
        <f t="shared" si="465"/>
        <v>MGES</v>
      </c>
      <c r="E5637" s="2" t="str">
        <f>"SOLICITAÇÕES PENDENTES"</f>
        <v>SOLICITAÇÕES PENDENTES</v>
      </c>
      <c r="F5637" s="2" t="str">
        <f>"R_SOLICITACAO_PENDENTES"</f>
        <v>R_SOLICITACAO_PENDENTES</v>
      </c>
      <c r="G5637" s="2" t="str">
        <f>"Atendimento / Ambulatório / Relatórios / Estoque / Solicitações Pendentes (R_SOLICITACAO_PENDENTES)"</f>
        <v>Atendimento / Ambulatório / Relatórios / Estoque / Solicitações Pendentes (R_SOLICITACAO_PENDENTES)</v>
      </c>
    </row>
    <row r="5638" spans="1:7" x14ac:dyDescent="0.3">
      <c r="A5638" s="1" t="s">
        <v>4</v>
      </c>
      <c r="B5638" s="2" t="str">
        <f t="shared" si="463"/>
        <v>SISTEMA DE GERENCIAMENTO DE ESTOQUE</v>
      </c>
      <c r="C5638" s="2" t="str">
        <f t="shared" si="464"/>
        <v>SUPRI</v>
      </c>
      <c r="D5638" s="2" t="str">
        <f t="shared" si="465"/>
        <v>MGES</v>
      </c>
      <c r="E5638" s="2" t="str">
        <f>"SOLICITAÇÕES PENDENTES"</f>
        <v>SOLICITAÇÕES PENDENTES</v>
      </c>
      <c r="F5638" s="2" t="str">
        <f>"R_SOLICITACAO_PENDENTES"</f>
        <v>R_SOLICITACAO_PENDENTES</v>
      </c>
      <c r="G5638" s="2" t="str">
        <f>"Serviços de Apoio / Higienização / Relatórios / Operacionais / Solicitação Pendentes (R_SOLICITACAO_PENDENTES)"</f>
        <v>Serviços de Apoio / Higienização / Relatórios / Operacionais / Solicitação Pendentes (R_SOLICITACAO_PENDENTES)</v>
      </c>
    </row>
    <row r="5639" spans="1:7" x14ac:dyDescent="0.3">
      <c r="A5639" s="1" t="s">
        <v>4</v>
      </c>
      <c r="B5639" s="2" t="str">
        <f t="shared" si="463"/>
        <v>SISTEMA DE GERENCIAMENTO DE ESTOQUE</v>
      </c>
      <c r="C5639" s="2" t="str">
        <f t="shared" si="464"/>
        <v>SUPRI</v>
      </c>
      <c r="D5639" s="2" t="str">
        <f t="shared" si="465"/>
        <v>MGES</v>
      </c>
      <c r="E5639" s="2" t="str">
        <f>"SOLICITAÇÕES PENDENTES"</f>
        <v>SOLICITAÇÕES PENDENTES</v>
      </c>
      <c r="F5639" s="2" t="str">
        <f>"R_SOLICITACAO_PENDENTES"</f>
        <v>R_SOLICITACAO_PENDENTES</v>
      </c>
      <c r="G5639" s="2" t="str">
        <f>"Materiais e Logística / Almoxarifado / Relatórios / Operacionais / Solicitação Pendentes (R_SOLICITACAO_PENDENTES)"</f>
        <v>Materiais e Logística / Almoxarifado / Relatórios / Operacionais / Solicitação Pendentes (R_SOLICITACAO_PENDENTES)</v>
      </c>
    </row>
    <row r="5640" spans="1:7" x14ac:dyDescent="0.3">
      <c r="A5640" s="1" t="s">
        <v>4</v>
      </c>
      <c r="B5640" s="2" t="str">
        <f t="shared" si="463"/>
        <v>SISTEMA DE GERENCIAMENTO DE ESTOQUE</v>
      </c>
      <c r="C5640" s="2" t="str">
        <f t="shared" si="464"/>
        <v>SUPRI</v>
      </c>
      <c r="D5640" s="2" t="str">
        <f t="shared" si="465"/>
        <v>MGES</v>
      </c>
      <c r="E5640" s="2" t="str">
        <f>"RELATORIO DE DEVOLUCAO DE PAC/SETO (REL)"</f>
        <v>RELATORIO DE DEVOLUCAO DE PAC/SETO (REL)</v>
      </c>
      <c r="F5640" s="2" t="str">
        <f>"R_DEV_PACSET_RELAT"</f>
        <v>R_DEV_PACSET_RELAT</v>
      </c>
      <c r="G5640" s="2" t="str">
        <f>" ()"</f>
        <v xml:space="preserve"> ()</v>
      </c>
    </row>
    <row r="5641" spans="1:7" x14ac:dyDescent="0.3">
      <c r="A5641" s="1" t="s">
        <v>4</v>
      </c>
      <c r="B5641" s="2" t="str">
        <f t="shared" si="463"/>
        <v>SISTEMA DE GERENCIAMENTO DE ESTOQUE</v>
      </c>
      <c r="C5641" s="2" t="str">
        <f t="shared" si="464"/>
        <v>SUPRI</v>
      </c>
      <c r="D5641" s="2" t="str">
        <f t="shared" si="465"/>
        <v>MGES</v>
      </c>
      <c r="E5641" s="2" t="str">
        <f>"ENTRADA DE PRODUTOS CONSIGNADOS"</f>
        <v>ENTRADA DE PRODUTOS CONSIGNADOS</v>
      </c>
      <c r="F5641" s="2" t="str">
        <f>"M_CONSIGNADO_ENT"</f>
        <v>M_CONSIGNADO_ENT</v>
      </c>
      <c r="G5641" s="2" t="str">
        <f>"Materiais e Logística / Almoxarifado / Movimentações / Entradas / Consignado (M_CONSIGNADO_ENT)"</f>
        <v>Materiais e Logística / Almoxarifado / Movimentações / Entradas / Consignado (M_CONSIGNADO_ENT)</v>
      </c>
    </row>
    <row r="5642" spans="1:7" x14ac:dyDescent="0.3">
      <c r="A5642" s="1" t="s">
        <v>4</v>
      </c>
      <c r="B5642" s="2" t="str">
        <f t="shared" si="463"/>
        <v>SISTEMA DE GERENCIAMENTO DE ESTOQUE</v>
      </c>
      <c r="C5642" s="2" t="str">
        <f t="shared" si="464"/>
        <v>SUPRI</v>
      </c>
      <c r="D5642" s="2" t="str">
        <f t="shared" si="465"/>
        <v>MGES</v>
      </c>
      <c r="E5642" s="2" t="str">
        <f>"RELATÓRIO DE FORNECEDOR/KITS"</f>
        <v>RELATÓRIO DE FORNECEDOR/KITS</v>
      </c>
      <c r="F5642" s="2" t="str">
        <f>"R_FORNECEDOR_KIT"</f>
        <v>R_FORNECEDOR_KIT</v>
      </c>
      <c r="G5642" s="2" t="str">
        <f>" ()"</f>
        <v xml:space="preserve"> ()</v>
      </c>
    </row>
    <row r="5643" spans="1:7" x14ac:dyDescent="0.3">
      <c r="A5643" s="1" t="s">
        <v>4</v>
      </c>
      <c r="B5643" s="2" t="str">
        <f t="shared" si="463"/>
        <v>SISTEMA DE GERENCIAMENTO DE ESTOQUE</v>
      </c>
      <c r="C5643" s="2" t="str">
        <f t="shared" si="464"/>
        <v>SUPRI</v>
      </c>
      <c r="D5643" s="2" t="str">
        <f t="shared" si="465"/>
        <v>MGES</v>
      </c>
      <c r="E5643" s="2" t="str">
        <f>"REL.CONSUMO DAS SAIDAS P/PACIENTE X SETO"</f>
        <v>REL.CONSUMO DAS SAIDAS P/PACIENTE X SETO</v>
      </c>
      <c r="F5643" s="2" t="str">
        <f>"R_MATRIX_CONS_SETOR"</f>
        <v>R_MATRIX_CONS_SETOR</v>
      </c>
      <c r="G5643" s="2" t="str">
        <f>"Materiais e Logística / Almoxarifado / Relatórios / Operacionais / Consumo das Movimentações / Consumo P/Paciente x Setor (R_MATRIX_CONS_SETOR)"</f>
        <v>Materiais e Logística / Almoxarifado / Relatórios / Operacionais / Consumo das Movimentações / Consumo P/Paciente x Setor (R_MATRIX_CONS_SETOR)</v>
      </c>
    </row>
    <row r="5644" spans="1:7" x14ac:dyDescent="0.3">
      <c r="A5644" s="1" t="s">
        <v>4</v>
      </c>
      <c r="B5644" s="2" t="str">
        <f t="shared" si="463"/>
        <v>SISTEMA DE GERENCIAMENTO DE ESTOQUE</v>
      </c>
      <c r="C5644" s="2" t="str">
        <f t="shared" si="464"/>
        <v>SUPRI</v>
      </c>
      <c r="D5644" s="2" t="str">
        <f t="shared" si="465"/>
        <v>MGES</v>
      </c>
      <c r="E5644" s="2" t="str">
        <f>"RESUMO DAS DEVOLUÇÕES DE PRODUTOS"</f>
        <v>RESUMO DAS DEVOLUÇÕES DE PRODUTOS</v>
      </c>
      <c r="F5644" s="2" t="str">
        <f>"R_RESUMO_DEVOLUCAO"</f>
        <v>R_RESUMO_DEVOLUCAO</v>
      </c>
      <c r="G5644" s="2" t="str">
        <f>"Materiais e Logística / Almoxarifado / Relatórios / Operacionais / Documento de Entradas e Entradas de Produtos / Resumo das Devoluções de Produtos (R_RESUMO_DEVOLUCAO)"</f>
        <v>Materiais e Logística / Almoxarifado / Relatórios / Operacionais / Documento de Entradas e Entradas de Produtos / Resumo das Devoluções de Produtos (R_RESUMO_DEVOLUCAO)</v>
      </c>
    </row>
    <row r="5645" spans="1:7" x14ac:dyDescent="0.3">
      <c r="A5645" s="1" t="s">
        <v>4</v>
      </c>
      <c r="B5645" s="2" t="str">
        <f t="shared" si="463"/>
        <v>SISTEMA DE GERENCIAMENTO DE ESTOQUE</v>
      </c>
      <c r="C5645" s="2" t="str">
        <f t="shared" si="464"/>
        <v>SUPRI</v>
      </c>
      <c r="D5645" s="2" t="str">
        <f t="shared" si="465"/>
        <v>MGES</v>
      </c>
      <c r="E5645" s="2" t="str">
        <f>"DEVOLUÇÃO DE PRODUTOS SINTÉTICO"</f>
        <v>DEVOLUÇÃO DE PRODUTOS SINTÉTICO</v>
      </c>
      <c r="F5645" s="2" t="str">
        <f>"R_EST_DEVOLUCAO_FORNECEDO_SINT"</f>
        <v>R_EST_DEVOLUCAO_FORNECEDO_SINT</v>
      </c>
      <c r="G5645" s="2" t="str">
        <f>"Materiais e Logística / Almoxarifado / Relatórios / Operacionais / Documento de Entradas e Entradas de Produtos / Devoluções de Fornecedores Sintético (R_EST_DEVOLUCAO_FORNECEDO_SINT)"</f>
        <v>Materiais e Logística / Almoxarifado / Relatórios / Operacionais / Documento de Entradas e Entradas de Produtos / Devoluções de Fornecedores Sintético (R_EST_DEVOLUCAO_FORNECEDO_SINT)</v>
      </c>
    </row>
    <row r="5646" spans="1:7" x14ac:dyDescent="0.3">
      <c r="A5646" s="1" t="s">
        <v>4</v>
      </c>
      <c r="B5646" s="2" t="str">
        <f t="shared" si="463"/>
        <v>SISTEMA DE GERENCIAMENTO DE ESTOQUE</v>
      </c>
      <c r="C5646" s="2" t="str">
        <f t="shared" si="464"/>
        <v>SUPRI</v>
      </c>
      <c r="D5646" s="2" t="str">
        <f t="shared" si="465"/>
        <v>MGES</v>
      </c>
      <c r="E5646" s="2" t="str">
        <f>"CONSUMO DE ESTOQUE EM ORDEM ALFABETICA"</f>
        <v>CONSUMO DE ESTOQUE EM ORDEM ALFABETICA</v>
      </c>
      <c r="F5646" s="2" t="str">
        <f>"R_CONSUMO_ALFABETICA"</f>
        <v>R_CONSUMO_ALFABETICA</v>
      </c>
      <c r="G5646" s="2" t="str">
        <f>"Atendimento / Urgência e Emergência / Relatórios / Estoque / Consumo de Estoque em Ordem Alfabética (R_CONSUMO_ALFABETICA)"</f>
        <v>Atendimento / Urgência e Emergência / Relatórios / Estoque / Consumo de Estoque em Ordem Alfabética (R_CONSUMO_ALFABETICA)</v>
      </c>
    </row>
    <row r="5647" spans="1:7" x14ac:dyDescent="0.3">
      <c r="A5647" s="1" t="s">
        <v>4</v>
      </c>
      <c r="B5647" s="2" t="str">
        <f t="shared" si="463"/>
        <v>SISTEMA DE GERENCIAMENTO DE ESTOQUE</v>
      </c>
      <c r="C5647" s="2" t="str">
        <f t="shared" si="464"/>
        <v>SUPRI</v>
      </c>
      <c r="D5647" s="2" t="str">
        <f t="shared" si="465"/>
        <v>MGES</v>
      </c>
      <c r="E5647" s="2" t="str">
        <f>"CONSUMO DE ESTOQUE EM ORDEM ALFABETICA"</f>
        <v>CONSUMO DE ESTOQUE EM ORDEM ALFABETICA</v>
      </c>
      <c r="F5647" s="2" t="str">
        <f>"R_CONSUMO_ALFABETICA"</f>
        <v>R_CONSUMO_ALFABETICA</v>
      </c>
      <c r="G5647" s="2" t="str">
        <f>"Atendimento / Ambulatório / Relatórios / Estoque / Consumo de Estoque em Ordem Alfabética (R_CONSUMO_ALFABETICA)"</f>
        <v>Atendimento / Ambulatório / Relatórios / Estoque / Consumo de Estoque em Ordem Alfabética (R_CONSUMO_ALFABETICA)</v>
      </c>
    </row>
    <row r="5648" spans="1:7" x14ac:dyDescent="0.3">
      <c r="A5648" s="1" t="s">
        <v>4</v>
      </c>
      <c r="B5648" s="2" t="str">
        <f t="shared" si="463"/>
        <v>SISTEMA DE GERENCIAMENTO DE ESTOQUE</v>
      </c>
      <c r="C5648" s="2" t="str">
        <f t="shared" si="464"/>
        <v>SUPRI</v>
      </c>
      <c r="D5648" s="2" t="str">
        <f t="shared" si="465"/>
        <v>MGES</v>
      </c>
      <c r="E5648" s="2" t="str">
        <f>"CONSUMO DE ESTOQUE EM ORDEM ALFABETICA"</f>
        <v>CONSUMO DE ESTOQUE EM ORDEM ALFABETICA</v>
      </c>
      <c r="F5648" s="2" t="str">
        <f>"R_CONSUMO_ALFABETICA"</f>
        <v>R_CONSUMO_ALFABETICA</v>
      </c>
      <c r="G5648" s="2" t="str">
        <f>"Serviços de Apoio / Higienização / Relatórios / Administrativos / Consumo de Estoque em Ordem Alfabética (R_CONSUMO_ALFABETICA)"</f>
        <v>Serviços de Apoio / Higienização / Relatórios / Administrativos / Consumo de Estoque em Ordem Alfabética (R_CONSUMO_ALFABETICA)</v>
      </c>
    </row>
    <row r="5649" spans="1:7" x14ac:dyDescent="0.3">
      <c r="A5649" s="1" t="s">
        <v>4</v>
      </c>
      <c r="B5649" s="2" t="str">
        <f t="shared" si="463"/>
        <v>SISTEMA DE GERENCIAMENTO DE ESTOQUE</v>
      </c>
      <c r="C5649" s="2" t="str">
        <f t="shared" si="464"/>
        <v>SUPRI</v>
      </c>
      <c r="D5649" s="2" t="str">
        <f t="shared" si="465"/>
        <v>MGES</v>
      </c>
      <c r="E5649" s="2" t="str">
        <f>"CONSUMO DE ESTOQUE EM ORDEM ALFABETICA"</f>
        <v>CONSUMO DE ESTOQUE EM ORDEM ALFABETICA</v>
      </c>
      <c r="F5649" s="2" t="str">
        <f>"R_CONSUMO_ALFABETICA"</f>
        <v>R_CONSUMO_ALFABETICA</v>
      </c>
      <c r="G5649" s="2" t="str">
        <f>"Materiais e Logística / Almoxarifado / Relatórios / Administrativos / Consumo de Estoque em Ordem Alfabética (R_CONSUMO_ALFABETICA)"</f>
        <v>Materiais e Logística / Almoxarifado / Relatórios / Administrativos / Consumo de Estoque em Ordem Alfabética (R_CONSUMO_ALFABETICA)</v>
      </c>
    </row>
    <row r="5650" spans="1:7" x14ac:dyDescent="0.3">
      <c r="A5650" s="1" t="s">
        <v>4</v>
      </c>
      <c r="B5650" s="2" t="str">
        <f t="shared" si="463"/>
        <v>SISTEMA DE GERENCIAMENTO DE ESTOQUE</v>
      </c>
      <c r="C5650" s="2" t="str">
        <f t="shared" si="464"/>
        <v>SUPRI</v>
      </c>
      <c r="D5650" s="2" t="str">
        <f t="shared" si="465"/>
        <v>MGES</v>
      </c>
      <c r="E5650" s="2" t="str">
        <f>"ALTERACAO DE PRODUTO"</f>
        <v>ALTERACAO DE PRODUTO</v>
      </c>
      <c r="F5650" s="2" t="str">
        <f>"M_ALTERACAO_PRODUTO"</f>
        <v>M_ALTERACAO_PRODUTO</v>
      </c>
      <c r="G5650" s="2" t="str">
        <f>"Materiais e Logística / Almoxarifado / Tabelas / Classificação dos Produtos / Alteração e Exclusão de Produtos (M_ALTERACAO_PRODUTO)"</f>
        <v>Materiais e Logística / Almoxarifado / Tabelas / Classificação dos Produtos / Alteração e Exclusão de Produtos (M_ALTERACAO_PRODUTO)</v>
      </c>
    </row>
    <row r="5651" spans="1:7" x14ac:dyDescent="0.3">
      <c r="A5651" s="1" t="s">
        <v>4</v>
      </c>
      <c r="B5651" s="2" t="str">
        <f t="shared" si="463"/>
        <v>SISTEMA DE GERENCIAMENTO DE ESTOQUE</v>
      </c>
      <c r="C5651" s="2" t="str">
        <f t="shared" si="464"/>
        <v>SUPRI</v>
      </c>
      <c r="D5651" s="2" t="str">
        <f t="shared" si="465"/>
        <v>MGES</v>
      </c>
      <c r="E5651" s="2" t="str">
        <f>"TRANSFERENCIAS EFETUADAS ANALITCO"</f>
        <v>TRANSFERENCIAS EFETUADAS ANALITCO</v>
      </c>
      <c r="F5651" s="2" t="str">
        <f>"R_TRANS_EFET_ANA"</f>
        <v>R_TRANS_EFET_ANA</v>
      </c>
      <c r="G5651" s="2" t="str">
        <f>" ()"</f>
        <v xml:space="preserve"> ()</v>
      </c>
    </row>
    <row r="5652" spans="1:7" x14ac:dyDescent="0.3">
      <c r="A5652" s="1" t="s">
        <v>4</v>
      </c>
      <c r="B5652" s="2" t="str">
        <f t="shared" si="463"/>
        <v>SISTEMA DE GERENCIAMENTO DE ESTOQUE</v>
      </c>
      <c r="C5652" s="2" t="str">
        <f t="shared" si="464"/>
        <v>SUPRI</v>
      </c>
      <c r="D5652" s="2" t="str">
        <f t="shared" si="465"/>
        <v>MGES</v>
      </c>
      <c r="E5652" s="2" t="str">
        <f>"R_C_ABC_FORNECEDOR"</f>
        <v>R_C_ABC_FORNECEDOR</v>
      </c>
      <c r="F5652" s="2" t="str">
        <f>"R_C_ABC_FORNECEDOR"</f>
        <v>R_C_ABC_FORNECEDOR</v>
      </c>
      <c r="G5652" s="2" t="str">
        <f>" ()"</f>
        <v xml:space="preserve"> ()</v>
      </c>
    </row>
    <row r="5653" spans="1:7" x14ac:dyDescent="0.3">
      <c r="A5653" s="1" t="s">
        <v>4</v>
      </c>
      <c r="B5653" s="2" t="str">
        <f t="shared" si="463"/>
        <v>SISTEMA DE GERENCIAMENTO DE ESTOQUE</v>
      </c>
      <c r="C5653" s="2" t="str">
        <f t="shared" si="464"/>
        <v>SUPRI</v>
      </c>
      <c r="D5653" s="2" t="str">
        <f t="shared" si="465"/>
        <v>MGES</v>
      </c>
      <c r="E5653" s="2" t="str">
        <f>"RELATORIO DE BAL DE ESTOQUE PARA CONFERE"</f>
        <v>RELATORIO DE BAL DE ESTOQUE PARA CONFERE</v>
      </c>
      <c r="F5653" s="2" t="str">
        <f>"R_BAL_EST_CONF"</f>
        <v>R_BAL_EST_CONF</v>
      </c>
      <c r="G5653" s="2" t="str">
        <f>"Materiais e Logística / Almoxarifado / Relatórios / Contagem / Balanço do Estoque por Espécie (Para Conferência) (R_BAL_EST_CONF)"</f>
        <v>Materiais e Logística / Almoxarifado / Relatórios / Contagem / Balanço do Estoque por Espécie (Para Conferência) (R_BAL_EST_CONF)</v>
      </c>
    </row>
    <row r="5654" spans="1:7" x14ac:dyDescent="0.3">
      <c r="A5654" s="1" t="s">
        <v>4</v>
      </c>
      <c r="B5654" s="2" t="str">
        <f t="shared" si="463"/>
        <v>SISTEMA DE GERENCIAMENTO DE ESTOQUE</v>
      </c>
      <c r="C5654" s="2" t="str">
        <f t="shared" si="464"/>
        <v>SUPRI</v>
      </c>
      <c r="D5654" s="2" t="str">
        <f t="shared" si="465"/>
        <v>MGES</v>
      </c>
      <c r="E5654" s="2" t="str">
        <f>"RELAT. ENTRADA DE PRODUTO  POR ESPECIE"</f>
        <v>RELAT. ENTRADA DE PRODUTO  POR ESPECIE</v>
      </c>
      <c r="F5654" s="2" t="str">
        <f>"R_ENTR_PROD_ESPEC"</f>
        <v>R_ENTR_PROD_ESPEC</v>
      </c>
      <c r="G5654" s="2" t="str">
        <f>"Materiais e Logística / Almoxarifado / Relatórios / Contábeis / Resumo das Entradas de Produtos por Espécie (R_ENTR_PROD_ESPEC)"</f>
        <v>Materiais e Logística / Almoxarifado / Relatórios / Contábeis / Resumo das Entradas de Produtos por Espécie (R_ENTR_PROD_ESPEC)</v>
      </c>
    </row>
    <row r="5655" spans="1:7" x14ac:dyDescent="0.3">
      <c r="A5655" s="1" t="s">
        <v>4</v>
      </c>
      <c r="B5655" s="2" t="str">
        <f t="shared" si="463"/>
        <v>SISTEMA DE GERENCIAMENTO DE ESTOQUE</v>
      </c>
      <c r="C5655" s="2" t="str">
        <f t="shared" si="464"/>
        <v>SUPRI</v>
      </c>
      <c r="D5655" s="2" t="str">
        <f t="shared" si="465"/>
        <v>MGES</v>
      </c>
      <c r="E5655" s="2" t="str">
        <f>"M_CADASTRO"</f>
        <v>M_CADASTRO</v>
      </c>
      <c r="F5655" s="2" t="str">
        <f>"M_CADASTRO"</f>
        <v>M_CADASTRO</v>
      </c>
      <c r="G5655" s="2" t="str">
        <f>" ()"</f>
        <v xml:space="preserve"> ()</v>
      </c>
    </row>
    <row r="5656" spans="1:7" x14ac:dyDescent="0.3">
      <c r="A5656" s="1" t="s">
        <v>4</v>
      </c>
      <c r="B5656" s="2" t="str">
        <f t="shared" si="463"/>
        <v>SISTEMA DE GERENCIAMENTO DE ESTOQUE</v>
      </c>
      <c r="C5656" s="2" t="str">
        <f t="shared" si="464"/>
        <v>SUPRI</v>
      </c>
      <c r="D5656" s="2" t="str">
        <f t="shared" si="465"/>
        <v>MGES</v>
      </c>
      <c r="E5656" s="2" t="str">
        <f>"RELATORIO DE EMPRESTIMO DE ENTRADA"</f>
        <v>RELATORIO DE EMPRESTIMO DE ENTRADA</v>
      </c>
      <c r="F5656" s="2" t="str">
        <f>"R_EMPRESTIMO_ENT"</f>
        <v>R_EMPRESTIMO_ENT</v>
      </c>
      <c r="G5656" s="2" t="str">
        <f>" ()"</f>
        <v xml:space="preserve"> ()</v>
      </c>
    </row>
    <row r="5657" spans="1:7" x14ac:dyDescent="0.3">
      <c r="A5657" s="1" t="s">
        <v>4</v>
      </c>
      <c r="B5657" s="2" t="str">
        <f t="shared" si="463"/>
        <v>SISTEMA DE GERENCIAMENTO DE ESTOQUE</v>
      </c>
      <c r="C5657" s="2" t="str">
        <f t="shared" si="464"/>
        <v>SUPRI</v>
      </c>
      <c r="D5657" s="2" t="str">
        <f t="shared" si="465"/>
        <v>MGES</v>
      </c>
      <c r="E5657" s="2" t="str">
        <f>"CONSULTA DA TABELA SOLSAI_PRO"</f>
        <v>CONSULTA DA TABELA SOLSAI_PRO</v>
      </c>
      <c r="F5657" s="2" t="str">
        <f>"C_SOLSAI_PRO"</f>
        <v>C_SOLSAI_PRO</v>
      </c>
      <c r="G5657" s="2" t="str">
        <f>"Materiais e Logística / Almoxarifado / Consultas / Solicitações de Produtos ao Estoque (C_SOLSAI_PRO)"</f>
        <v>Materiais e Logística / Almoxarifado / Consultas / Solicitações de Produtos ao Estoque (C_SOLSAI_PRO)</v>
      </c>
    </row>
    <row r="5658" spans="1:7" x14ac:dyDescent="0.3">
      <c r="A5658" s="1" t="s">
        <v>4</v>
      </c>
      <c r="B5658" s="2" t="str">
        <f t="shared" ref="B5658:B5721" si="466">"SISTEMA DE GERENCIAMENTO DE ESTOQUE"</f>
        <v>SISTEMA DE GERENCIAMENTO DE ESTOQUE</v>
      </c>
      <c r="C5658" s="2" t="str">
        <f t="shared" ref="C5658:C5721" si="467">"SUPRI"</f>
        <v>SUPRI</v>
      </c>
      <c r="D5658" s="2" t="str">
        <f t="shared" ref="D5658:D5721" si="468">"MGES"</f>
        <v>MGES</v>
      </c>
      <c r="E5658" s="2" t="str">
        <f>"CONSULTA DA TABELA SOLSAI_PRO"</f>
        <v>CONSULTA DA TABELA SOLSAI_PRO</v>
      </c>
      <c r="F5658" s="2" t="str">
        <f>"C_SOLSAI_PRO"</f>
        <v>C_SOLSAI_PRO</v>
      </c>
      <c r="G5658" s="2" t="str">
        <f>"Serviços de Apoio / Manutenção / Consultas / Solicitação de Produtos do Estoque (C_SOLSAI_PRO)"</f>
        <v>Serviços de Apoio / Manutenção / Consultas / Solicitação de Produtos do Estoque (C_SOLSAI_PRO)</v>
      </c>
    </row>
    <row r="5659" spans="1:7" x14ac:dyDescent="0.3">
      <c r="A5659" s="1" t="s">
        <v>4</v>
      </c>
      <c r="B5659" s="2" t="str">
        <f t="shared" si="466"/>
        <v>SISTEMA DE GERENCIAMENTO DE ESTOQUE</v>
      </c>
      <c r="C5659" s="2" t="str">
        <f t="shared" si="467"/>
        <v>SUPRI</v>
      </c>
      <c r="D5659" s="2" t="str">
        <f t="shared" si="468"/>
        <v>MGES</v>
      </c>
      <c r="E5659" s="2" t="str">
        <f>"CONSULTA DA TABELA SOLSAI_PRO"</f>
        <v>CONSULTA DA TABELA SOLSAI_PRO</v>
      </c>
      <c r="F5659" s="2" t="str">
        <f>"C_SOLSAI_PRO"</f>
        <v>C_SOLSAI_PRO</v>
      </c>
      <c r="G5659" s="2" t="str">
        <f>"Materiais e Logística / Farmácia / Consulta / Solicitações de Produtos ao Estoque (C_SOLSAI_PRO)"</f>
        <v>Materiais e Logística / Farmácia / Consulta / Solicitações de Produtos ao Estoque (C_SOLSAI_PRO)</v>
      </c>
    </row>
    <row r="5660" spans="1:7" x14ac:dyDescent="0.3">
      <c r="A5660" s="1" t="s">
        <v>4</v>
      </c>
      <c r="B5660" s="2" t="str">
        <f t="shared" si="466"/>
        <v>SISTEMA DE GERENCIAMENTO DE ESTOQUE</v>
      </c>
      <c r="C5660" s="2" t="str">
        <f t="shared" si="467"/>
        <v>SUPRI</v>
      </c>
      <c r="D5660" s="2" t="str">
        <f t="shared" si="468"/>
        <v>MGES</v>
      </c>
      <c r="E5660" s="2" t="str">
        <f>"PRODUCAO DE KITS DE PRODUTOS"</f>
        <v>PRODUCAO DE KITS DE PRODUTOS</v>
      </c>
      <c r="F5660" s="2" t="str">
        <f>"M_PRODUCAO"</f>
        <v>M_PRODUCAO</v>
      </c>
      <c r="G5660" s="2" t="str">
        <f>" ()"</f>
        <v xml:space="preserve"> ()</v>
      </c>
    </row>
    <row r="5661" spans="1:7" x14ac:dyDescent="0.3">
      <c r="A5661" s="1" t="s">
        <v>4</v>
      </c>
      <c r="B5661" s="2" t="str">
        <f t="shared" si="466"/>
        <v>SISTEMA DE GERENCIAMENTO DE ESTOQUE</v>
      </c>
      <c r="C5661" s="2" t="str">
        <f t="shared" si="467"/>
        <v>SUPRI</v>
      </c>
      <c r="D5661" s="2" t="str">
        <f t="shared" si="468"/>
        <v>MGES</v>
      </c>
      <c r="E5661" s="2" t="str">
        <f>"RELAT. DE POSICAO DE ESTOQUE CONSOLIDADO"</f>
        <v>RELAT. DE POSICAO DE ESTOQUE CONSOLIDADO</v>
      </c>
      <c r="F5661" s="2" t="str">
        <f>"R_POS_EST_CONSO"</f>
        <v>R_POS_EST_CONSO</v>
      </c>
      <c r="G5661" s="2" t="str">
        <f>"Materiais e Logística / Almoxarifado / Relatórios / Contábeis / Posição de Estoque Consolidado (R_POS_EST_CONSO)"</f>
        <v>Materiais e Logística / Almoxarifado / Relatórios / Contábeis / Posição de Estoque Consolidado (R_POS_EST_CONSO)</v>
      </c>
    </row>
    <row r="5662" spans="1:7" x14ac:dyDescent="0.3">
      <c r="A5662" s="1" t="s">
        <v>4</v>
      </c>
      <c r="B5662" s="2" t="str">
        <f t="shared" si="466"/>
        <v>SISTEMA DE GERENCIAMENTO DE ESTOQUE</v>
      </c>
      <c r="C5662" s="2" t="str">
        <f t="shared" si="467"/>
        <v>SUPRI</v>
      </c>
      <c r="D5662" s="2" t="str">
        <f t="shared" si="468"/>
        <v>MGES</v>
      </c>
      <c r="E5662" s="2" t="str">
        <f>"RESUMO DAS MOVIMENTACOES  POR SETOR"</f>
        <v>RESUMO DAS MOVIMENTACOES  POR SETOR</v>
      </c>
      <c r="F5662" s="2" t="str">
        <f>"R_RESUMO_DE_USUARIO_P_SETOR"</f>
        <v>R_RESUMO_DE_USUARIO_P_SETOR</v>
      </c>
      <c r="G5662" s="2" t="str">
        <f>" ()"</f>
        <v xml:space="preserve"> ()</v>
      </c>
    </row>
    <row r="5663" spans="1:7" x14ac:dyDescent="0.3">
      <c r="A5663" s="1" t="s">
        <v>4</v>
      </c>
      <c r="B5663" s="2" t="str">
        <f t="shared" si="466"/>
        <v>SISTEMA DE GERENCIAMENTO DE ESTOQUE</v>
      </c>
      <c r="C5663" s="2" t="str">
        <f t="shared" si="467"/>
        <v>SUPRI</v>
      </c>
      <c r="D5663" s="2" t="str">
        <f t="shared" si="468"/>
        <v>MGES</v>
      </c>
      <c r="E5663" s="2" t="str">
        <f>"CONSULTA DE ESTOQUE CRITICOS"</f>
        <v>CONSULTA DE ESTOQUE CRITICOS</v>
      </c>
      <c r="F5663" s="2" t="str">
        <f>"C_PRODUTOS_CRITICOS"</f>
        <v>C_PRODUTOS_CRITICOS</v>
      </c>
      <c r="G5663" s="2" t="str">
        <f>"Materiais e Logística / Almoxarifado / Consultas / Produtos Criticos (C_PRODUTOS_CRITICOS)"</f>
        <v>Materiais e Logística / Almoxarifado / Consultas / Produtos Criticos (C_PRODUTOS_CRITICOS)</v>
      </c>
    </row>
    <row r="5664" spans="1:7" x14ac:dyDescent="0.3">
      <c r="A5664" s="1" t="s">
        <v>4</v>
      </c>
      <c r="B5664" s="2" t="str">
        <f t="shared" si="466"/>
        <v>SISTEMA DE GERENCIAMENTO DE ESTOQUE</v>
      </c>
      <c r="C5664" s="2" t="str">
        <f t="shared" si="467"/>
        <v>SUPRI</v>
      </c>
      <c r="D5664" s="2" t="str">
        <f t="shared" si="468"/>
        <v>MGES</v>
      </c>
      <c r="E5664" s="2" t="str">
        <f>"CONSULTA DE ESTOQUE CRITICOS"</f>
        <v>CONSULTA DE ESTOQUE CRITICOS</v>
      </c>
      <c r="F5664" s="2" t="str">
        <f>"C_PRODUTOS_CRITICOS"</f>
        <v>C_PRODUTOS_CRITICOS</v>
      </c>
      <c r="G5664" s="2" t="str">
        <f>"Materiais e Logística / Farmácia / Consulta / Produtos Críticos (C_PRODUTOS_CRITICOS)"</f>
        <v>Materiais e Logística / Farmácia / Consulta / Produtos Críticos (C_PRODUTOS_CRITICOS)</v>
      </c>
    </row>
    <row r="5665" spans="1:7" x14ac:dyDescent="0.3">
      <c r="A5665" s="1" t="s">
        <v>4</v>
      </c>
      <c r="B5665" s="2" t="str">
        <f t="shared" si="466"/>
        <v>SISTEMA DE GERENCIAMENTO DE ESTOQUE</v>
      </c>
      <c r="C5665" s="2" t="str">
        <f t="shared" si="467"/>
        <v>SUPRI</v>
      </c>
      <c r="D5665" s="2" t="str">
        <f t="shared" si="468"/>
        <v>MGES</v>
      </c>
      <c r="E5665" s="2" t="str">
        <f>"FUNCAO DE EXCLUSAO DE NOTA-FISCAL"</f>
        <v>FUNCAO DE EXCLUSAO DE NOTA-FISCAL</v>
      </c>
      <c r="F5665" s="2" t="str">
        <f>"EXCLUIR_NF"</f>
        <v>EXCLUIR_NF</v>
      </c>
      <c r="G5665" s="2" t="str">
        <f>" ()"</f>
        <v xml:space="preserve"> ()</v>
      </c>
    </row>
    <row r="5666" spans="1:7" x14ac:dyDescent="0.3">
      <c r="A5666" s="1" t="s">
        <v>4</v>
      </c>
      <c r="B5666" s="2" t="str">
        <f t="shared" si="466"/>
        <v>SISTEMA DE GERENCIAMENTO DE ESTOQUE</v>
      </c>
      <c r="C5666" s="2" t="str">
        <f t="shared" si="467"/>
        <v>SUPRI</v>
      </c>
      <c r="D5666" s="2" t="str">
        <f t="shared" si="468"/>
        <v>MGES</v>
      </c>
      <c r="E5666" s="2" t="str">
        <f>"RELAT. DE POSICAO DO ESTOQUE POR DATA"</f>
        <v>RELAT. DE POSICAO DO ESTOQUE POR DATA</v>
      </c>
      <c r="F5666" s="2" t="str">
        <f>"R_POS_EST_DT"</f>
        <v>R_POS_EST_DT</v>
      </c>
      <c r="G5666" s="2" t="str">
        <f>" ()"</f>
        <v xml:space="preserve"> ()</v>
      </c>
    </row>
    <row r="5667" spans="1:7" x14ac:dyDescent="0.3">
      <c r="A5667" s="1" t="s">
        <v>4</v>
      </c>
      <c r="B5667" s="2" t="str">
        <f t="shared" si="466"/>
        <v>SISTEMA DE GERENCIAMENTO DE ESTOQUE</v>
      </c>
      <c r="C5667" s="2" t="str">
        <f t="shared" si="467"/>
        <v>SUPRI</v>
      </c>
      <c r="D5667" s="2" t="str">
        <f t="shared" si="468"/>
        <v>MGES</v>
      </c>
      <c r="E5667" s="2" t="str">
        <f>"RELATÓRIO DE CONSUMO DE ESTOQUE"</f>
        <v>RELATÓRIO DE CONSUMO DE ESTOQUE</v>
      </c>
      <c r="F5667" s="2" t="str">
        <f>"R_PROD_SEM_SALDO_COTA"</f>
        <v>R_PROD_SEM_SALDO_COTA</v>
      </c>
      <c r="G5667" s="2" t="str">
        <f>"Materiais e Logística / Almoxarifado / Relatórios / Operacionais / Produtos sem saldo para reposição da cota (R_PROD_SEM_SALDO_COTA)"</f>
        <v>Materiais e Logística / Almoxarifado / Relatórios / Operacionais / Produtos sem saldo para reposição da cota (R_PROD_SEM_SALDO_COTA)</v>
      </c>
    </row>
    <row r="5668" spans="1:7" x14ac:dyDescent="0.3">
      <c r="A5668" s="1" t="s">
        <v>4</v>
      </c>
      <c r="B5668" s="2" t="str">
        <f t="shared" si="466"/>
        <v>SISTEMA DE GERENCIAMENTO DE ESTOQUE</v>
      </c>
      <c r="C5668" s="2" t="str">
        <f t="shared" si="467"/>
        <v>SUPRI</v>
      </c>
      <c r="D5668" s="2" t="str">
        <f t="shared" si="468"/>
        <v>MGES</v>
      </c>
      <c r="E5668" s="2" t="str">
        <f>"RELATÓRIO DO ÍNDICE DE COBERTURA"</f>
        <v>RELATÓRIO DO ÍNDICE DE COBERTURA</v>
      </c>
      <c r="F5668" s="2" t="str">
        <f>"R_COBERTURA_ESTOQUE"</f>
        <v>R_COBERTURA_ESTOQUE</v>
      </c>
      <c r="G5668" s="2" t="str">
        <f>"Materiais e Logística / Almoxarifado / Relatórios / Estatísticas / Índice de Cobertura do Estoque (R_COBERTURA_ESTOQUE)"</f>
        <v>Materiais e Logística / Almoxarifado / Relatórios / Estatísticas / Índice de Cobertura do Estoque (R_COBERTURA_ESTOQUE)</v>
      </c>
    </row>
    <row r="5669" spans="1:7" x14ac:dyDescent="0.3">
      <c r="A5669" s="1" t="s">
        <v>4</v>
      </c>
      <c r="B5669" s="2" t="str">
        <f t="shared" si="466"/>
        <v>SISTEMA DE GERENCIAMENTO DE ESTOQUE</v>
      </c>
      <c r="C5669" s="2" t="str">
        <f t="shared" si="467"/>
        <v>SUPRI</v>
      </c>
      <c r="D5669" s="2" t="str">
        <f t="shared" si="468"/>
        <v>MGES</v>
      </c>
      <c r="E5669" s="2" t="str">
        <f>"CAPTURA DE SALDOS DO ÍNDICE DE COBERTURA"</f>
        <v>CAPTURA DE SALDOS DO ÍNDICE DE COBERTURA</v>
      </c>
      <c r="F5669" s="2" t="str">
        <f>"M_COBERTURA_SALDO"</f>
        <v>M_COBERTURA_SALDO</v>
      </c>
      <c r="G5669" s="2" t="str">
        <f>"Materiais e Logística / Almoxarifado / Cálculos / Captura de Saldos para o Índice de Cobertura do Estoque (M_COBERTURA_SALDO)"</f>
        <v>Materiais e Logística / Almoxarifado / Cálculos / Captura de Saldos para o Índice de Cobertura do Estoque (M_COBERTURA_SALDO)</v>
      </c>
    </row>
    <row r="5670" spans="1:7" x14ac:dyDescent="0.3">
      <c r="A5670" s="1" t="s">
        <v>4</v>
      </c>
      <c r="B5670" s="2" t="str">
        <f t="shared" si="466"/>
        <v>SISTEMA DE GERENCIAMENTO DE ESTOQUE</v>
      </c>
      <c r="C5670" s="2" t="str">
        <f t="shared" si="467"/>
        <v>SUPRI</v>
      </c>
      <c r="D5670" s="2" t="str">
        <f t="shared" si="468"/>
        <v>MGES</v>
      </c>
      <c r="E5670" s="2" t="str">
        <f>"PRODUTOS ÍNDICE DE COBERTURA DO ESTOQUE"</f>
        <v>PRODUTOS ÍNDICE DE COBERTURA DO ESTOQUE</v>
      </c>
      <c r="F5670" s="2" t="str">
        <f>"M_COBERTURA_PRODUTO"</f>
        <v>M_COBERTURA_PRODUTO</v>
      </c>
      <c r="G5670" s="2" t="str">
        <f t="shared" ref="G5670:G5683" si="469">" ()"</f>
        <v xml:space="preserve"> ()</v>
      </c>
    </row>
    <row r="5671" spans="1:7" x14ac:dyDescent="0.3">
      <c r="A5671" s="1" t="s">
        <v>4</v>
      </c>
      <c r="B5671" s="2" t="str">
        <f t="shared" si="466"/>
        <v>SISTEMA DE GERENCIAMENTO DE ESTOQUE</v>
      </c>
      <c r="C5671" s="2" t="str">
        <f t="shared" si="467"/>
        <v>SUPRI</v>
      </c>
      <c r="D5671" s="2" t="str">
        <f t="shared" si="468"/>
        <v>MGES</v>
      </c>
      <c r="E5671" s="2" t="str">
        <f>"ETIQUETAS DO ATENDIMENTO DE SOLICITACAO"</f>
        <v>ETIQUETAS DO ATENDIMENTO DE SOLICITACAO</v>
      </c>
      <c r="F5671" s="2" t="str">
        <f>"R_ETQ_SOL_PRO"</f>
        <v>R_ETQ_SOL_PRO</v>
      </c>
      <c r="G5671" s="2" t="str">
        <f t="shared" si="469"/>
        <v xml:space="preserve"> ()</v>
      </c>
    </row>
    <row r="5672" spans="1:7" x14ac:dyDescent="0.3">
      <c r="A5672" s="1" t="s">
        <v>4</v>
      </c>
      <c r="B5672" s="2" t="str">
        <f t="shared" si="466"/>
        <v>SISTEMA DE GERENCIAMENTO DE ESTOQUE</v>
      </c>
      <c r="C5672" s="2" t="str">
        <f t="shared" si="467"/>
        <v>SUPRI</v>
      </c>
      <c r="D5672" s="2" t="str">
        <f t="shared" si="468"/>
        <v>MGES</v>
      </c>
      <c r="E5672" s="2" t="str">
        <f>"RELATÓRIO DE REQUISIÇÃO POR SITUAÇÃO"</f>
        <v>RELATÓRIO DE REQUISIÇÃO POR SITUAÇÃO</v>
      </c>
      <c r="F5672" s="2" t="str">
        <f>"R_REQUISICAO_SITUACAO_REP"</f>
        <v>R_REQUISICAO_SITUACAO_REP</v>
      </c>
      <c r="G5672" s="2" t="str">
        <f t="shared" si="469"/>
        <v xml:space="preserve"> ()</v>
      </c>
    </row>
    <row r="5673" spans="1:7" x14ac:dyDescent="0.3">
      <c r="A5673" s="1" t="s">
        <v>4</v>
      </c>
      <c r="B5673" s="2" t="str">
        <f t="shared" si="466"/>
        <v>SISTEMA DE GERENCIAMENTO DE ESTOQUE</v>
      </c>
      <c r="C5673" s="2" t="str">
        <f t="shared" si="467"/>
        <v>SUPRI</v>
      </c>
      <c r="D5673" s="2" t="str">
        <f t="shared" si="468"/>
        <v>MGES</v>
      </c>
      <c r="E5673" s="2" t="str">
        <f>"RELATÓRIO DE SOLICITAÇÕES X REQUISIÇÕES"</f>
        <v>RELATÓRIO DE SOLICITAÇÕES X REQUISIÇÕES</v>
      </c>
      <c r="F5673" s="2" t="str">
        <f>"R_REQUISICAO_PRODUTO_SOLIC"</f>
        <v>R_REQUISICAO_PRODUTO_SOLIC</v>
      </c>
      <c r="G5673" s="2" t="str">
        <f t="shared" si="469"/>
        <v xml:space="preserve"> ()</v>
      </c>
    </row>
    <row r="5674" spans="1:7" x14ac:dyDescent="0.3">
      <c r="A5674" s="1" t="s">
        <v>4</v>
      </c>
      <c r="B5674" s="2" t="str">
        <f t="shared" si="466"/>
        <v>SISTEMA DE GERENCIAMENTO DE ESTOQUE</v>
      </c>
      <c r="C5674" s="2" t="str">
        <f t="shared" si="467"/>
        <v>SUPRI</v>
      </c>
      <c r="D5674" s="2" t="str">
        <f t="shared" si="468"/>
        <v>MGES</v>
      </c>
      <c r="E5674" s="2" t="str">
        <f>"RELATÓRIO DE REQUISIÇÃO DE PRODUTO"</f>
        <v>RELATÓRIO DE REQUISIÇÃO DE PRODUTO</v>
      </c>
      <c r="F5674" s="2" t="str">
        <f>"R_REQUISICAO_PRODUTO"</f>
        <v>R_REQUISICAO_PRODUTO</v>
      </c>
      <c r="G5674" s="2" t="str">
        <f t="shared" si="469"/>
        <v xml:space="preserve"> ()</v>
      </c>
    </row>
    <row r="5675" spans="1:7" x14ac:dyDescent="0.3">
      <c r="A5675" s="1" t="s">
        <v>4</v>
      </c>
      <c r="B5675" s="2" t="str">
        <f t="shared" si="466"/>
        <v>SISTEMA DE GERENCIAMENTO DE ESTOQUE</v>
      </c>
      <c r="C5675" s="2" t="str">
        <f t="shared" si="467"/>
        <v>SUPRI</v>
      </c>
      <c r="D5675" s="2" t="str">
        <f t="shared" si="468"/>
        <v>MGES</v>
      </c>
      <c r="E5675" s="2" t="str">
        <f>"RELATÓRIO EFICIÊNCIA DO ATENDIMENTO SIN"</f>
        <v>RELATÓRIO EFICIÊNCIA DO ATENDIMENTO SIN</v>
      </c>
      <c r="F5675" s="2" t="str">
        <f>"R_REQUISICAO_ESTATISTICA_SINTETICO"</f>
        <v>R_REQUISICAO_ESTATISTICA_SINTETICO</v>
      </c>
      <c r="G5675" s="2" t="str">
        <f t="shared" si="469"/>
        <v xml:space="preserve"> ()</v>
      </c>
    </row>
    <row r="5676" spans="1:7" x14ac:dyDescent="0.3">
      <c r="A5676" s="1" t="s">
        <v>4</v>
      </c>
      <c r="B5676" s="2" t="str">
        <f t="shared" si="466"/>
        <v>SISTEMA DE GERENCIAMENTO DE ESTOQUE</v>
      </c>
      <c r="C5676" s="2" t="str">
        <f t="shared" si="467"/>
        <v>SUPRI</v>
      </c>
      <c r="D5676" s="2" t="str">
        <f t="shared" si="468"/>
        <v>MGES</v>
      </c>
      <c r="E5676" s="2" t="str">
        <f>"RELATÓRIO EFICIÊNCIA DO ATENDIMENTO ANA"</f>
        <v>RELATÓRIO EFICIÊNCIA DO ATENDIMENTO ANA</v>
      </c>
      <c r="F5676" s="2" t="str">
        <f>"R_REQUISICAO_ESTATISTICA_ANALITICO"</f>
        <v>R_REQUISICAO_ESTATISTICA_ANALITICO</v>
      </c>
      <c r="G5676" s="2" t="str">
        <f t="shared" si="469"/>
        <v xml:space="preserve"> ()</v>
      </c>
    </row>
    <row r="5677" spans="1:7" x14ac:dyDescent="0.3">
      <c r="A5677" s="1" t="s">
        <v>4</v>
      </c>
      <c r="B5677" s="2" t="str">
        <f t="shared" si="466"/>
        <v>SISTEMA DE GERENCIAMENTO DE ESTOQUE</v>
      </c>
      <c r="C5677" s="2" t="str">
        <f t="shared" si="467"/>
        <v>SUPRI</v>
      </c>
      <c r="D5677" s="2" t="str">
        <f t="shared" si="468"/>
        <v>MGES</v>
      </c>
      <c r="E5677" s="2" t="str">
        <f>"RELATÓRIO DE REQUISIÇÃO POR SITUAÇÃO"</f>
        <v>RELATÓRIO DE REQUISIÇÃO POR SITUAÇÃO</v>
      </c>
      <c r="F5677" s="2" t="str">
        <f>"R_REQUISICAO_SITUACAO"</f>
        <v>R_REQUISICAO_SITUACAO</v>
      </c>
      <c r="G5677" s="2" t="str">
        <f t="shared" si="469"/>
        <v xml:space="preserve"> ()</v>
      </c>
    </row>
    <row r="5678" spans="1:7" x14ac:dyDescent="0.3">
      <c r="A5678" s="1" t="s">
        <v>4</v>
      </c>
      <c r="B5678" s="2" t="str">
        <f t="shared" si="466"/>
        <v>SISTEMA DE GERENCIAMENTO DE ESTOQUE</v>
      </c>
      <c r="C5678" s="2" t="str">
        <f t="shared" si="467"/>
        <v>SUPRI</v>
      </c>
      <c r="D5678" s="2" t="str">
        <f t="shared" si="468"/>
        <v>MGES</v>
      </c>
      <c r="E5678" s="2" t="str">
        <f>"RELATÓRIO EFICIÊNCIA DO ATENDIMENTO"</f>
        <v>RELATÓRIO EFICIÊNCIA DO ATENDIMENTO</v>
      </c>
      <c r="F5678" s="2" t="str">
        <f>"R_REQUISICAO_ESTATISTICA"</f>
        <v>R_REQUISICAO_ESTATISTICA</v>
      </c>
      <c r="G5678" s="2" t="str">
        <f t="shared" si="469"/>
        <v xml:space="preserve"> ()</v>
      </c>
    </row>
    <row r="5679" spans="1:7" x14ac:dyDescent="0.3">
      <c r="A5679" s="1" t="s">
        <v>4</v>
      </c>
      <c r="B5679" s="2" t="str">
        <f t="shared" si="466"/>
        <v>SISTEMA DE GERENCIAMENTO DE ESTOQUE</v>
      </c>
      <c r="C5679" s="2" t="str">
        <f t="shared" si="467"/>
        <v>SUPRI</v>
      </c>
      <c r="D5679" s="2" t="str">
        <f t="shared" si="468"/>
        <v>MGES</v>
      </c>
      <c r="E5679" s="2" t="str">
        <f>"CONFIGURAÇÕES PARA O FLUXO DE REQUISIÇÃO"</f>
        <v>CONFIGURAÇÕES PARA O FLUXO DE REQUISIÇÃO</v>
      </c>
      <c r="F5679" s="2" t="str">
        <f>"M_REQUISICAO_CONFIGURACAO"</f>
        <v>M_REQUISICAO_CONFIGURACAO</v>
      </c>
      <c r="G5679" s="2" t="str">
        <f t="shared" si="469"/>
        <v xml:space="preserve"> ()</v>
      </c>
    </row>
    <row r="5680" spans="1:7" x14ac:dyDescent="0.3">
      <c r="A5680" s="1" t="s">
        <v>4</v>
      </c>
      <c r="B5680" s="2" t="str">
        <f t="shared" si="466"/>
        <v>SISTEMA DE GERENCIAMENTO DE ESTOQUE</v>
      </c>
      <c r="C5680" s="2" t="str">
        <f t="shared" si="467"/>
        <v>SUPRI</v>
      </c>
      <c r="D5680" s="2" t="str">
        <f t="shared" si="468"/>
        <v>MGES</v>
      </c>
      <c r="E5680" s="2" t="str">
        <f>"PRAZOS DE ENTREGA"</f>
        <v>PRAZOS DE ENTREGA</v>
      </c>
      <c r="F5680" s="2" t="str">
        <f>"M_REQUISICAO_PRAZO"</f>
        <v>M_REQUISICAO_PRAZO</v>
      </c>
      <c r="G5680" s="2" t="str">
        <f t="shared" si="469"/>
        <v xml:space="preserve"> ()</v>
      </c>
    </row>
    <row r="5681" spans="1:7" x14ac:dyDescent="0.3">
      <c r="A5681" s="1" t="s">
        <v>4</v>
      </c>
      <c r="B5681" s="2" t="str">
        <f t="shared" si="466"/>
        <v>SISTEMA DE GERENCIAMENTO DE ESTOQUE</v>
      </c>
      <c r="C5681" s="2" t="str">
        <f t="shared" si="467"/>
        <v>SUPRI</v>
      </c>
      <c r="D5681" s="2" t="str">
        <f t="shared" si="468"/>
        <v>MGES</v>
      </c>
      <c r="E5681" s="2" t="str">
        <f>"LIBERAÇÃO DE REQUISIÇÕES."</f>
        <v>LIBERAÇÃO DE REQUISIÇÕES.</v>
      </c>
      <c r="F5681" s="2" t="str">
        <f>"M_REQUISICAO_LIBERACAO"</f>
        <v>M_REQUISICAO_LIBERACAO</v>
      </c>
      <c r="G5681" s="2" t="str">
        <f t="shared" si="469"/>
        <v xml:space="preserve"> ()</v>
      </c>
    </row>
    <row r="5682" spans="1:7" x14ac:dyDescent="0.3">
      <c r="A5682" s="1" t="s">
        <v>4</v>
      </c>
      <c r="B5682" s="2" t="str">
        <f t="shared" si="466"/>
        <v>SISTEMA DE GERENCIAMENTO DE ESTOQUE</v>
      </c>
      <c r="C5682" s="2" t="str">
        <f t="shared" si="467"/>
        <v>SUPRI</v>
      </c>
      <c r="D5682" s="2" t="str">
        <f t="shared" si="468"/>
        <v>MGES</v>
      </c>
      <c r="E5682" s="2" t="str">
        <f>"CADASTRO DE REQUISIÇÕES"</f>
        <v>CADASTRO DE REQUISIÇÕES</v>
      </c>
      <c r="F5682" s="2" t="str">
        <f>"M_REQUISICAO_PRODUTO"</f>
        <v>M_REQUISICAO_PRODUTO</v>
      </c>
      <c r="G5682" s="2" t="str">
        <f t="shared" si="469"/>
        <v xml:space="preserve"> ()</v>
      </c>
    </row>
    <row r="5683" spans="1:7" x14ac:dyDescent="0.3">
      <c r="A5683" s="1" t="s">
        <v>4</v>
      </c>
      <c r="B5683" s="2" t="str">
        <f t="shared" si="466"/>
        <v>SISTEMA DE GERENCIAMENTO DE ESTOQUE</v>
      </c>
      <c r="C5683" s="2" t="str">
        <f t="shared" si="467"/>
        <v>SUPRI</v>
      </c>
      <c r="D5683" s="2" t="str">
        <f t="shared" si="468"/>
        <v>MGES</v>
      </c>
      <c r="E5683" s="2" t="str">
        <f>"RELATÓRIO DE ÍNDICE DE PERDA"</f>
        <v>RELATÓRIO DE ÍNDICE DE PERDA</v>
      </c>
      <c r="F5683" s="2" t="str">
        <f>"R_INDICE_PERDA_REP"</f>
        <v>R_INDICE_PERDA_REP</v>
      </c>
      <c r="G5683" s="2" t="str">
        <f t="shared" si="469"/>
        <v xml:space="preserve"> ()</v>
      </c>
    </row>
    <row r="5684" spans="1:7" x14ac:dyDescent="0.3">
      <c r="A5684" s="1" t="s">
        <v>4</v>
      </c>
      <c r="B5684" s="2" t="str">
        <f t="shared" si="466"/>
        <v>SISTEMA DE GERENCIAMENTO DE ESTOQUE</v>
      </c>
      <c r="C5684" s="2" t="str">
        <f t="shared" si="467"/>
        <v>SUPRI</v>
      </c>
      <c r="D5684" s="2" t="str">
        <f t="shared" si="468"/>
        <v>MGES</v>
      </c>
      <c r="E5684" s="2" t="str">
        <f>"RELATÓRIO DE ÍNDICE DE PERDA"</f>
        <v>RELATÓRIO DE ÍNDICE DE PERDA</v>
      </c>
      <c r="F5684" s="2" t="str">
        <f>"R_INDICE_PERDA"</f>
        <v>R_INDICE_PERDA</v>
      </c>
      <c r="G5684" s="2" t="str">
        <f>"Materiais e Logística / Almoxarifado / Relatórios / Estatísticas / Índice de Perda (R_INDICE_PERDA)"</f>
        <v>Materiais e Logística / Almoxarifado / Relatórios / Estatísticas / Índice de Perda (R_INDICE_PERDA)</v>
      </c>
    </row>
    <row r="5685" spans="1:7" x14ac:dyDescent="0.3">
      <c r="A5685" s="1" t="s">
        <v>4</v>
      </c>
      <c r="B5685" s="2" t="str">
        <f t="shared" si="466"/>
        <v>SISTEMA DE GERENCIAMENTO DE ESTOQUE</v>
      </c>
      <c r="C5685" s="2" t="str">
        <f t="shared" si="467"/>
        <v>SUPRI</v>
      </c>
      <c r="D5685" s="2" t="str">
        <f t="shared" si="468"/>
        <v>MGES</v>
      </c>
      <c r="E5685" s="2" t="str">
        <f>"Relatório de Indice de Prod"</f>
        <v>Relatório de Indice de Prod</v>
      </c>
      <c r="F5685" s="2" t="str">
        <f>"R_INDICE_PRODUTO"</f>
        <v>R_INDICE_PRODUTO</v>
      </c>
      <c r="G5685" s="2" t="str">
        <f>"Materiais e Logística / Almoxarifado / Relatórios / Estatísticas / Índice de produtos disponibilizados no prazo (R_INDICE_PRODUTO)"</f>
        <v>Materiais e Logística / Almoxarifado / Relatórios / Estatísticas / Índice de produtos disponibilizados no prazo (R_INDICE_PRODUTO)</v>
      </c>
    </row>
    <row r="5686" spans="1:7" x14ac:dyDescent="0.3">
      <c r="A5686" s="1" t="s">
        <v>4</v>
      </c>
      <c r="B5686" s="2" t="str">
        <f t="shared" si="466"/>
        <v>SISTEMA DE GERENCIAMENTO DE ESTOQUE</v>
      </c>
      <c r="C5686" s="2" t="str">
        <f t="shared" si="467"/>
        <v>SUPRI</v>
      </c>
      <c r="D5686" s="2" t="str">
        <f t="shared" si="468"/>
        <v>MGES</v>
      </c>
      <c r="E5686" s="2" t="str">
        <f>"PRAZO PARA DISPONIBILIZAÇÃO NO ESTOQUE"</f>
        <v>PRAZO PARA DISPONIBILIZAÇÃO NO ESTOQUE</v>
      </c>
      <c r="F5686" s="2" t="str">
        <f>"M_PRAZO_DISP_EST"</f>
        <v>M_PRAZO_DISP_EST</v>
      </c>
      <c r="G5686" s="2" t="str">
        <f>"Materiais e Logística / Almoxarifado / Configurações / Prazo para Disponibilização no Estoque (M_PRAZO_DISP_EST)"</f>
        <v>Materiais e Logística / Almoxarifado / Configurações / Prazo para Disponibilização no Estoque (M_PRAZO_DISP_EST)</v>
      </c>
    </row>
    <row r="5687" spans="1:7" x14ac:dyDescent="0.3">
      <c r="A5687" s="1" t="s">
        <v>4</v>
      </c>
      <c r="B5687" s="2" t="str">
        <f t="shared" si="466"/>
        <v>SISTEMA DE GERENCIAMENTO DE ESTOQUE</v>
      </c>
      <c r="C5687" s="2" t="str">
        <f t="shared" si="467"/>
        <v>SUPRI</v>
      </c>
      <c r="D5687" s="2" t="str">
        <f t="shared" si="468"/>
        <v>MGES</v>
      </c>
      <c r="E5687" s="2" t="str">
        <f>"SUBSTANCIA"</f>
        <v>SUBSTANCIA</v>
      </c>
      <c r="F5687" s="2" t="str">
        <f>"M_SUBSTANCIA"</f>
        <v>M_SUBSTANCIA</v>
      </c>
      <c r="G5687" s="2" t="str">
        <f>"Materiais e Logística / Almoxarifado / Tabelas / Padronização e Portaria / Substâncias e seus Produtos (M_SUBSTANCIA)"</f>
        <v>Materiais e Logística / Almoxarifado / Tabelas / Padronização e Portaria / Substâncias e seus Produtos (M_SUBSTANCIA)</v>
      </c>
    </row>
    <row r="5688" spans="1:7" x14ac:dyDescent="0.3">
      <c r="A5688" s="1" t="s">
        <v>4</v>
      </c>
      <c r="B5688" s="2" t="str">
        <f t="shared" si="466"/>
        <v>SISTEMA DE GERENCIAMENTO DE ESTOQUE</v>
      </c>
      <c r="C5688" s="2" t="str">
        <f t="shared" si="467"/>
        <v>SUPRI</v>
      </c>
      <c r="D5688" s="2" t="str">
        <f t="shared" si="468"/>
        <v>MGES</v>
      </c>
      <c r="E5688" s="2" t="str">
        <f>"SAIDAS DE SETORES"</f>
        <v>SAIDAS DE SETORES</v>
      </c>
      <c r="F5688" s="2" t="str">
        <f>"M_SAISET"</f>
        <v>M_SAISET</v>
      </c>
      <c r="G5688" s="2" t="str">
        <f>"Materiais e Logística / Almoxarifado / Movimentações / Saída de Produtos / De Setores (M_SAISET)"</f>
        <v>Materiais e Logística / Almoxarifado / Movimentações / Saída de Produtos / De Setores (M_SAISET)</v>
      </c>
    </row>
    <row r="5689" spans="1:7" x14ac:dyDescent="0.3">
      <c r="A5689" s="1" t="s">
        <v>4</v>
      </c>
      <c r="B5689" s="2" t="str">
        <f t="shared" si="466"/>
        <v>SISTEMA DE GERENCIAMENTO DE ESTOQUE</v>
      </c>
      <c r="C5689" s="2" t="str">
        <f t="shared" si="467"/>
        <v>SUPRI</v>
      </c>
      <c r="D5689" s="2" t="str">
        <f t="shared" si="468"/>
        <v>MGES</v>
      </c>
      <c r="E5689" s="2" t="str">
        <f>"PALAVRA CHAVE"</f>
        <v>PALAVRA CHAVE</v>
      </c>
      <c r="F5689" s="2" t="str">
        <f>"M_PALCHA"</f>
        <v>M_PALCHA</v>
      </c>
      <c r="G5689" s="2" t="str">
        <f>"Materiais e Logística / Almoxarifado / Tabelas / Padronização e Portaria / Palavras Chave (M_PALCHA)"</f>
        <v>Materiais e Logística / Almoxarifado / Tabelas / Padronização e Portaria / Palavras Chave (M_PALCHA)</v>
      </c>
    </row>
    <row r="5690" spans="1:7" x14ac:dyDescent="0.3">
      <c r="A5690" s="1" t="s">
        <v>4</v>
      </c>
      <c r="B5690" s="2" t="str">
        <f t="shared" si="466"/>
        <v>SISTEMA DE GERENCIAMENTO DE ESTOQUE</v>
      </c>
      <c r="C5690" s="2" t="str">
        <f t="shared" si="467"/>
        <v>SUPRI</v>
      </c>
      <c r="D5690" s="2" t="str">
        <f t="shared" si="468"/>
        <v>MGES</v>
      </c>
      <c r="E5690" s="2" t="str">
        <f>"MOTIVO DA BAIXA"</f>
        <v>MOTIVO DA BAIXA</v>
      </c>
      <c r="F5690" s="2" t="str">
        <f>"M_MOTBAI"</f>
        <v>M_MOTBAI</v>
      </c>
      <c r="G5690" s="2" t="str">
        <f>"Materiais e Logística / Almoxarifado / Tabelas / Gerais / Motivos de Baixa (M_MOTBAI)"</f>
        <v>Materiais e Logística / Almoxarifado / Tabelas / Gerais / Motivos de Baixa (M_MOTBAI)</v>
      </c>
    </row>
    <row r="5691" spans="1:7" x14ac:dyDescent="0.3">
      <c r="A5691" s="1" t="s">
        <v>4</v>
      </c>
      <c r="B5691" s="2" t="str">
        <f t="shared" si="466"/>
        <v>SISTEMA DE GERENCIAMENTO DE ESTOQUE</v>
      </c>
      <c r="C5691" s="2" t="str">
        <f t="shared" si="467"/>
        <v>SUPRI</v>
      </c>
      <c r="D5691" s="2" t="str">
        <f t="shared" si="468"/>
        <v>MGES</v>
      </c>
      <c r="E5691" s="2" t="str">
        <f>"FORMULA"</f>
        <v>FORMULA</v>
      </c>
      <c r="F5691" s="2" t="str">
        <f>"M_FORMULA"</f>
        <v>M_FORMULA</v>
      </c>
      <c r="G5691" s="2" t="str">
        <f>"Materiais e Logística / Almoxarifado / Tabelas / Fórmulas (M_FORMULA)"</f>
        <v>Materiais e Logística / Almoxarifado / Tabelas / Fórmulas (M_FORMULA)</v>
      </c>
    </row>
    <row r="5692" spans="1:7" x14ac:dyDescent="0.3">
      <c r="A5692" s="1" t="s">
        <v>4</v>
      </c>
      <c r="B5692" s="2" t="str">
        <f t="shared" si="466"/>
        <v>SISTEMA DE GERENCIAMENTO DE ESTOQUE</v>
      </c>
      <c r="C5692" s="2" t="str">
        <f t="shared" si="467"/>
        <v>SUPRI</v>
      </c>
      <c r="D5692" s="2" t="str">
        <f t="shared" si="468"/>
        <v>MGES</v>
      </c>
      <c r="E5692" s="2" t="str">
        <f>"FORMULA"</f>
        <v>FORMULA</v>
      </c>
      <c r="F5692" s="2" t="str">
        <f>"M_FORMULA"</f>
        <v>M_FORMULA</v>
      </c>
      <c r="G5692" s="2" t="str">
        <f>"Serviços de Apoio / Nutrição e Dietética / Tabelas / Formula / Composição dos Produtos (M_FORMULA)"</f>
        <v>Serviços de Apoio / Nutrição e Dietética / Tabelas / Formula / Composição dos Produtos (M_FORMULA)</v>
      </c>
    </row>
    <row r="5693" spans="1:7" x14ac:dyDescent="0.3">
      <c r="A5693" s="1" t="s">
        <v>4</v>
      </c>
      <c r="B5693" s="2" t="str">
        <f t="shared" si="466"/>
        <v>SISTEMA DE GERENCIAMENTO DE ESTOQUE</v>
      </c>
      <c r="C5693" s="2" t="str">
        <f t="shared" si="467"/>
        <v>SUPRI</v>
      </c>
      <c r="D5693" s="2" t="str">
        <f t="shared" si="468"/>
        <v>MGES</v>
      </c>
      <c r="E5693" s="2" t="str">
        <f>"FORMULA"</f>
        <v>FORMULA</v>
      </c>
      <c r="F5693" s="2" t="str">
        <f>"M_FORMULA"</f>
        <v>M_FORMULA</v>
      </c>
      <c r="G5693" s="2" t="str">
        <f>"Serviços de Apoio / Central de Materiais Esterilizados / Tabelas / Fórmula (M_FORMULA)"</f>
        <v>Serviços de Apoio / Central de Materiais Esterilizados / Tabelas / Fórmula (M_FORMULA)</v>
      </c>
    </row>
    <row r="5694" spans="1:7" x14ac:dyDescent="0.3">
      <c r="A5694" s="1" t="s">
        <v>4</v>
      </c>
      <c r="B5694" s="2" t="str">
        <f t="shared" si="466"/>
        <v>SISTEMA DE GERENCIAMENTO DE ESTOQUE</v>
      </c>
      <c r="C5694" s="2" t="str">
        <f t="shared" si="467"/>
        <v>SUPRI</v>
      </c>
      <c r="D5694" s="2" t="str">
        <f t="shared" si="468"/>
        <v>MGES</v>
      </c>
      <c r="E5694" s="2" t="str">
        <f>"ESTOQUE UNIDADE DE INTERNACAO"</f>
        <v>ESTOQUE UNIDADE DE INTERNACAO</v>
      </c>
      <c r="F5694" s="2" t="str">
        <f>"M_ESTUNIDINT"</f>
        <v>M_ESTUNIDINT</v>
      </c>
      <c r="G5694" s="2" t="str">
        <f>" ()"</f>
        <v xml:space="preserve"> ()</v>
      </c>
    </row>
    <row r="5695" spans="1:7" x14ac:dyDescent="0.3">
      <c r="A5695" s="1" t="s">
        <v>4</v>
      </c>
      <c r="B5695" s="2" t="str">
        <f t="shared" si="466"/>
        <v>SISTEMA DE GERENCIAMENTO DE ESTOQUE</v>
      </c>
      <c r="C5695" s="2" t="str">
        <f t="shared" si="467"/>
        <v>SUPRI</v>
      </c>
      <c r="D5695" s="2" t="str">
        <f t="shared" si="468"/>
        <v>MGES</v>
      </c>
      <c r="E5695" s="2" t="str">
        <f>"ESTOQUE"</f>
        <v>ESTOQUE</v>
      </c>
      <c r="F5695" s="2" t="str">
        <f>"M_ESTOQUE"</f>
        <v>M_ESTOQUE</v>
      </c>
      <c r="G5695" s="2" t="str">
        <f>"Materiais e Logística / Almoxarifado / Tabelas / Gerais / Estoques (M_ESTOQUE)"</f>
        <v>Materiais e Logística / Almoxarifado / Tabelas / Gerais / Estoques (M_ESTOQUE)</v>
      </c>
    </row>
    <row r="5696" spans="1:7" x14ac:dyDescent="0.3">
      <c r="A5696" s="1" t="s">
        <v>4</v>
      </c>
      <c r="B5696" s="2" t="str">
        <f t="shared" si="466"/>
        <v>SISTEMA DE GERENCIAMENTO DE ESTOQUE</v>
      </c>
      <c r="C5696" s="2" t="str">
        <f t="shared" si="467"/>
        <v>SUPRI</v>
      </c>
      <c r="D5696" s="2" t="str">
        <f t="shared" si="468"/>
        <v>MGES</v>
      </c>
      <c r="E5696" s="2" t="str">
        <f>"ESPECIE"</f>
        <v>ESPECIE</v>
      </c>
      <c r="F5696" s="2" t="str">
        <f>"M_ESPECIE"</f>
        <v>M_ESPECIE</v>
      </c>
      <c r="G5696" s="2" t="str">
        <f>" ()"</f>
        <v xml:space="preserve"> ()</v>
      </c>
    </row>
    <row r="5697" spans="1:7" x14ac:dyDescent="0.3">
      <c r="A5697" s="1" t="s">
        <v>4</v>
      </c>
      <c r="B5697" s="2" t="str">
        <f t="shared" si="466"/>
        <v>SISTEMA DE GERENCIAMENTO DE ESTOQUE</v>
      </c>
      <c r="C5697" s="2" t="str">
        <f t="shared" si="467"/>
        <v>SUPRI</v>
      </c>
      <c r="D5697" s="2" t="str">
        <f t="shared" si="468"/>
        <v>MGES</v>
      </c>
      <c r="E5697" s="2" t="str">
        <f>"DOCUMENTO DE ENTRADA"</f>
        <v>DOCUMENTO DE ENTRADA</v>
      </c>
      <c r="F5697" s="2" t="str">
        <f>"M_DOCENT"</f>
        <v>M_DOCENT</v>
      </c>
      <c r="G5697" s="2" t="str">
        <f>"Materiais e Logística / Almoxarifado / Movimentações / Entradas / Documento de Entrada (M_DOCENT)"</f>
        <v>Materiais e Logística / Almoxarifado / Movimentações / Entradas / Documento de Entrada (M_DOCENT)</v>
      </c>
    </row>
    <row r="5698" spans="1:7" x14ac:dyDescent="0.3">
      <c r="A5698" s="1" t="s">
        <v>4</v>
      </c>
      <c r="B5698" s="2" t="str">
        <f t="shared" si="466"/>
        <v>SISTEMA DE GERENCIAMENTO DE ESTOQUE</v>
      </c>
      <c r="C5698" s="2" t="str">
        <f t="shared" si="467"/>
        <v>SUPRI</v>
      </c>
      <c r="D5698" s="2" t="str">
        <f t="shared" si="468"/>
        <v>MGES</v>
      </c>
      <c r="E5698" s="2" t="str">
        <f>"DOACAO"</f>
        <v>DOACAO</v>
      </c>
      <c r="F5698" s="2" t="str">
        <f>"M_DOACAO"</f>
        <v>M_DOACAO</v>
      </c>
      <c r="G5698" s="2" t="str">
        <f>" ()"</f>
        <v xml:space="preserve"> ()</v>
      </c>
    </row>
    <row r="5699" spans="1:7" x14ac:dyDescent="0.3">
      <c r="A5699" s="1" t="s">
        <v>4</v>
      </c>
      <c r="B5699" s="2" t="str">
        <f t="shared" si="466"/>
        <v>SISTEMA DE GERENCIAMENTO DE ESTOQUE</v>
      </c>
      <c r="C5699" s="2" t="str">
        <f t="shared" si="467"/>
        <v>SUPRI</v>
      </c>
      <c r="D5699" s="2" t="str">
        <f t="shared" si="468"/>
        <v>MGES</v>
      </c>
      <c r="E5699" s="2" t="str">
        <f>"DEVOLUCAO DE SETOR"</f>
        <v>DEVOLUCAO DE SETOR</v>
      </c>
      <c r="F5699" s="2" t="str">
        <f>"M_DEVSET"</f>
        <v>M_DEVSET</v>
      </c>
      <c r="G5699" s="2" t="str">
        <f>"Materiais e Logística / Almoxarifado / Movimentações / Devoluções / De Setores (M_DEVSET)"</f>
        <v>Materiais e Logística / Almoxarifado / Movimentações / Devoluções / De Setores (M_DEVSET)</v>
      </c>
    </row>
    <row r="5700" spans="1:7" x14ac:dyDescent="0.3">
      <c r="A5700" s="1" t="s">
        <v>4</v>
      </c>
      <c r="B5700" s="2" t="str">
        <f t="shared" si="466"/>
        <v>SISTEMA DE GERENCIAMENTO DE ESTOQUE</v>
      </c>
      <c r="C5700" s="2" t="str">
        <f t="shared" si="467"/>
        <v>SUPRI</v>
      </c>
      <c r="D5700" s="2" t="str">
        <f t="shared" si="468"/>
        <v>MGES</v>
      </c>
      <c r="E5700" s="2" t="str">
        <f>"DEVOLUCAO DE PACIENTE"</f>
        <v>DEVOLUCAO DE PACIENTE</v>
      </c>
      <c r="F5700" s="2" t="str">
        <f>"M_DEVPAC"</f>
        <v>M_DEVPAC</v>
      </c>
      <c r="G5700" s="2" t="str">
        <f>"Materiais e Logística / Almoxarifado / Movimentações / Devoluções / De Pacientes (M_DEVPAC)"</f>
        <v>Materiais e Logística / Almoxarifado / Movimentações / Devoluções / De Pacientes (M_DEVPAC)</v>
      </c>
    </row>
    <row r="5701" spans="1:7" x14ac:dyDescent="0.3">
      <c r="A5701" s="1" t="s">
        <v>4</v>
      </c>
      <c r="B5701" s="2" t="str">
        <f t="shared" si="466"/>
        <v>SISTEMA DE GERENCIAMENTO DE ESTOQUE</v>
      </c>
      <c r="C5701" s="2" t="str">
        <f t="shared" si="467"/>
        <v>SUPRI</v>
      </c>
      <c r="D5701" s="2" t="str">
        <f t="shared" si="468"/>
        <v>MGES</v>
      </c>
      <c r="E5701" s="2" t="str">
        <f>"DEVOLUCAO DE PACIENTE"</f>
        <v>DEVOLUCAO DE PACIENTE</v>
      </c>
      <c r="F5701" s="2" t="str">
        <f>"M_DEVPAC"</f>
        <v>M_DEVPAC</v>
      </c>
      <c r="G5701" s="2" t="str">
        <f>"Atendimento / Internação Domiciliar (Home Care) / Estoque / Devolução de Paciente (M_DEVPAC)"</f>
        <v>Atendimento / Internação Domiciliar (Home Care) / Estoque / Devolução de Paciente (M_DEVPAC)</v>
      </c>
    </row>
    <row r="5702" spans="1:7" x14ac:dyDescent="0.3">
      <c r="A5702" s="1" t="s">
        <v>4</v>
      </c>
      <c r="B5702" s="2" t="str">
        <f t="shared" si="466"/>
        <v>SISTEMA DE GERENCIAMENTO DE ESTOQUE</v>
      </c>
      <c r="C5702" s="2" t="str">
        <f t="shared" si="467"/>
        <v>SUPRI</v>
      </c>
      <c r="D5702" s="2" t="str">
        <f t="shared" si="468"/>
        <v>MGES</v>
      </c>
      <c r="E5702" s="2" t="str">
        <f>"DEVOLUCAO A FORNECEDOR"</f>
        <v>DEVOLUCAO A FORNECEDOR</v>
      </c>
      <c r="F5702" s="2" t="str">
        <f>"M_DEVFOR"</f>
        <v>M_DEVFOR</v>
      </c>
      <c r="G5702" s="2" t="str">
        <f>"Materiais e Logística / Almoxarifado / Movimentações / Devoluções / para Fornecedores (M_DEVFOR)"</f>
        <v>Materiais e Logística / Almoxarifado / Movimentações / Devoluções / para Fornecedores (M_DEVFOR)</v>
      </c>
    </row>
    <row r="5703" spans="1:7" x14ac:dyDescent="0.3">
      <c r="A5703" s="1" t="s">
        <v>4</v>
      </c>
      <c r="B5703" s="2" t="str">
        <f t="shared" si="466"/>
        <v>SISTEMA DE GERENCIAMENTO DE ESTOQUE</v>
      </c>
      <c r="C5703" s="2" t="str">
        <f t="shared" si="467"/>
        <v>SUPRI</v>
      </c>
      <c r="D5703" s="2" t="str">
        <f t="shared" si="468"/>
        <v>MGES</v>
      </c>
      <c r="E5703" s="2" t="str">
        <f>"DESTINO DO EMPENHO"</f>
        <v>DESTINO DO EMPENHO</v>
      </c>
      <c r="F5703" s="2" t="str">
        <f>"M_DESEMP"</f>
        <v>M_DESEMP</v>
      </c>
      <c r="G5703" s="2" t="str">
        <f>" ()"</f>
        <v xml:space="preserve"> ()</v>
      </c>
    </row>
    <row r="5704" spans="1:7" x14ac:dyDescent="0.3">
      <c r="A5704" s="1" t="s">
        <v>4</v>
      </c>
      <c r="B5704" s="2" t="str">
        <f t="shared" si="466"/>
        <v>SISTEMA DE GERENCIAMENTO DE ESTOQUE</v>
      </c>
      <c r="C5704" s="2" t="str">
        <f t="shared" si="467"/>
        <v>SUPRI</v>
      </c>
      <c r="D5704" s="2" t="str">
        <f t="shared" si="468"/>
        <v>MGES</v>
      </c>
      <c r="E5704" s="2" t="str">
        <f>"D.E.F."</f>
        <v>D.E.F.</v>
      </c>
      <c r="F5704" s="2" t="str">
        <f>"M_DEF"</f>
        <v>M_DEF</v>
      </c>
      <c r="G5704" s="2" t="str">
        <f>"Materiais e Logística / Almoxarifado / Tabelas / Padronização e Portaria / Produtos / DEF (M_DEF)"</f>
        <v>Materiais e Logística / Almoxarifado / Tabelas / Padronização e Portaria / Produtos / DEF (M_DEF)</v>
      </c>
    </row>
    <row r="5705" spans="1:7" x14ac:dyDescent="0.3">
      <c r="A5705" s="1" t="s">
        <v>4</v>
      </c>
      <c r="B5705" s="2" t="str">
        <f t="shared" si="466"/>
        <v>SISTEMA DE GERENCIAMENTO DE ESTOQUE</v>
      </c>
      <c r="C5705" s="2" t="str">
        <f t="shared" si="467"/>
        <v>SUPRI</v>
      </c>
      <c r="D5705" s="2" t="str">
        <f t="shared" si="468"/>
        <v>MGES</v>
      </c>
      <c r="E5705" s="2" t="str">
        <f>"PRODUTOS DO D.E.F"</f>
        <v>PRODUTOS DO D.E.F</v>
      </c>
      <c r="F5705" s="2" t="str">
        <f>"M_COMPENDIO"</f>
        <v>M_COMPENDIO</v>
      </c>
      <c r="G5705" s="2" t="str">
        <f>"Materiais e Logística / Almoxarifado / Personalizados / Produtos do D.E.F. (M_COMPENDIO)"</f>
        <v>Materiais e Logística / Almoxarifado / Personalizados / Produtos do D.E.F. (M_COMPENDIO)</v>
      </c>
    </row>
    <row r="5706" spans="1:7" x14ac:dyDescent="0.3">
      <c r="A5706" s="1" t="s">
        <v>4</v>
      </c>
      <c r="B5706" s="2" t="str">
        <f t="shared" si="466"/>
        <v>SISTEMA DE GERENCIAMENTO DE ESTOQUE</v>
      </c>
      <c r="C5706" s="2" t="str">
        <f t="shared" si="467"/>
        <v>SUPRI</v>
      </c>
      <c r="D5706" s="2" t="str">
        <f t="shared" si="468"/>
        <v>MGES</v>
      </c>
      <c r="E5706" s="2" t="str">
        <f>"PRODUTO SEM MOVIMENTACAO"</f>
        <v>PRODUTO SEM MOVIMENTACAO</v>
      </c>
      <c r="F5706" s="2" t="str">
        <f>"R_PROD_SMOV"</f>
        <v>R_PROD_SMOV</v>
      </c>
      <c r="G5706" s="2" t="str">
        <f>"Materiais e Logística / Almoxarifado / Relatórios / Administrativos / Produtos sem Movimentação (R_PROD_SMOV)"</f>
        <v>Materiais e Logística / Almoxarifado / Relatórios / Administrativos / Produtos sem Movimentação (R_PROD_SMOV)</v>
      </c>
    </row>
    <row r="5707" spans="1:7" x14ac:dyDescent="0.3">
      <c r="A5707" s="1" t="s">
        <v>4</v>
      </c>
      <c r="B5707" s="2" t="str">
        <f t="shared" si="466"/>
        <v>SISTEMA DE GERENCIAMENTO DE ESTOQUE</v>
      </c>
      <c r="C5707" s="2" t="str">
        <f t="shared" si="467"/>
        <v>SUPRI</v>
      </c>
      <c r="D5707" s="2" t="str">
        <f t="shared" si="468"/>
        <v>MGES</v>
      </c>
      <c r="E5707" s="2" t="str">
        <f>"RELATORIO DE PALAVRAS CHAVES"</f>
        <v>RELATORIO DE PALAVRAS CHAVES</v>
      </c>
      <c r="F5707" s="2" t="str">
        <f>"R_PLACHA"</f>
        <v>R_PLACHA</v>
      </c>
      <c r="G5707" s="2" t="str">
        <f>"Materiais e Logística / Almoxarifado / Relatórios / Tabelas / Palavra Chave (R_PLACHA)"</f>
        <v>Materiais e Logística / Almoxarifado / Relatórios / Tabelas / Palavra Chave (R_PLACHA)</v>
      </c>
    </row>
    <row r="5708" spans="1:7" x14ac:dyDescent="0.3">
      <c r="A5708" s="1" t="s">
        <v>4</v>
      </c>
      <c r="B5708" s="2" t="str">
        <f t="shared" si="466"/>
        <v>SISTEMA DE GERENCIAMENTO DE ESTOQUE</v>
      </c>
      <c r="C5708" s="2" t="str">
        <f t="shared" si="467"/>
        <v>SUPRI</v>
      </c>
      <c r="D5708" s="2" t="str">
        <f t="shared" si="468"/>
        <v>MGES</v>
      </c>
      <c r="E5708" s="2" t="str">
        <f>"RELATORIO DE MOTIVOS DEBAIXAS"</f>
        <v>RELATORIO DE MOTIVOS DEBAIXAS</v>
      </c>
      <c r="F5708" s="2" t="str">
        <f>"R_MOTBAI"</f>
        <v>R_MOTBAI</v>
      </c>
      <c r="G5708" s="2" t="str">
        <f>"Materiais e Logística / Almoxarifado / Relatórios / Tabelas / Motivos de Baixa (R_MOTBAI)"</f>
        <v>Materiais e Logística / Almoxarifado / Relatórios / Tabelas / Motivos de Baixa (R_MOTBAI)</v>
      </c>
    </row>
    <row r="5709" spans="1:7" x14ac:dyDescent="0.3">
      <c r="A5709" s="1" t="s">
        <v>4</v>
      </c>
      <c r="B5709" s="2" t="str">
        <f t="shared" si="466"/>
        <v>SISTEMA DE GERENCIAMENTO DE ESTOQUE</v>
      </c>
      <c r="C5709" s="2" t="str">
        <f t="shared" si="467"/>
        <v>SUPRI</v>
      </c>
      <c r="D5709" s="2" t="str">
        <f t="shared" si="468"/>
        <v>MGES</v>
      </c>
      <c r="E5709" s="2" t="str">
        <f>"RELATORIO DE GRUPO DE TRATAMENTO"</f>
        <v>RELATORIO DE GRUPO DE TRATAMENTO</v>
      </c>
      <c r="F5709" s="2" t="str">
        <f>"R_GRUTRA"</f>
        <v>R_GRUTRA</v>
      </c>
      <c r="G5709" s="2" t="str">
        <f>"Materiais e Logística / Almoxarifado / Relatórios / Tabelas / Grupo de Tratamento (R_GRUTRA)"</f>
        <v>Materiais e Logística / Almoxarifado / Relatórios / Tabelas / Grupo de Tratamento (R_GRUTRA)</v>
      </c>
    </row>
    <row r="5710" spans="1:7" x14ac:dyDescent="0.3">
      <c r="A5710" s="1" t="s">
        <v>4</v>
      </c>
      <c r="B5710" s="2" t="str">
        <f t="shared" si="466"/>
        <v>SISTEMA DE GERENCIAMENTO DE ESTOQUE</v>
      </c>
      <c r="C5710" s="2" t="str">
        <f t="shared" si="467"/>
        <v>SUPRI</v>
      </c>
      <c r="D5710" s="2" t="str">
        <f t="shared" si="468"/>
        <v>MGES</v>
      </c>
      <c r="E5710" s="2" t="str">
        <f>"RELATORIO UNIDADE DOS PRODUTOS"</f>
        <v>RELATORIO UNIDADE DOS PRODUTOS</v>
      </c>
      <c r="F5710" s="2" t="str">
        <f>"R_UNIDADES"</f>
        <v>R_UNIDADES</v>
      </c>
      <c r="G5710" s="2" t="str">
        <f>" ()"</f>
        <v xml:space="preserve"> ()</v>
      </c>
    </row>
    <row r="5711" spans="1:7" x14ac:dyDescent="0.3">
      <c r="A5711" s="1" t="s">
        <v>4</v>
      </c>
      <c r="B5711" s="2" t="str">
        <f t="shared" si="466"/>
        <v>SISTEMA DE GERENCIAMENTO DE ESTOQUE</v>
      </c>
      <c r="C5711" s="2" t="str">
        <f t="shared" si="467"/>
        <v>SUPRI</v>
      </c>
      <c r="D5711" s="2" t="str">
        <f t="shared" si="468"/>
        <v>MGES</v>
      </c>
      <c r="E5711" s="2" t="str">
        <f>"RELATORIO DE SUBSTANCIA"</f>
        <v>RELATORIO DE SUBSTANCIA</v>
      </c>
      <c r="F5711" s="2" t="str">
        <f>"R_SUBSTANCIA"</f>
        <v>R_SUBSTANCIA</v>
      </c>
      <c r="G5711" s="2" t="str">
        <f>"Materiais e Logística / Almoxarifado / Relatórios / Tabelas / Substâncias (R_SUBSTANCIA)"</f>
        <v>Materiais e Logística / Almoxarifado / Relatórios / Tabelas / Substâncias (R_SUBSTANCIA)</v>
      </c>
    </row>
    <row r="5712" spans="1:7" x14ac:dyDescent="0.3">
      <c r="A5712" s="1" t="s">
        <v>4</v>
      </c>
      <c r="B5712" s="2" t="str">
        <f t="shared" si="466"/>
        <v>SISTEMA DE GERENCIAMENTO DE ESTOQUE</v>
      </c>
      <c r="C5712" s="2" t="str">
        <f t="shared" si="467"/>
        <v>SUPRI</v>
      </c>
      <c r="D5712" s="2" t="str">
        <f t="shared" si="468"/>
        <v>MGES</v>
      </c>
      <c r="E5712" s="2" t="str">
        <f>"CADASTRO DOS KITS DO ESTOQUE"</f>
        <v>CADASTRO DOS KITS DO ESTOQUE</v>
      </c>
      <c r="F5712" s="2" t="str">
        <f>"M_KIT_ESTOQUE"</f>
        <v>M_KIT_ESTOQUE</v>
      </c>
      <c r="G5712" s="2" t="str">
        <f t="shared" ref="G5712:G5746" si="470">" ()"</f>
        <v xml:space="preserve"> ()</v>
      </c>
    </row>
    <row r="5713" spans="1:7" x14ac:dyDescent="0.3">
      <c r="A5713" s="1" t="s">
        <v>4</v>
      </c>
      <c r="B5713" s="2" t="str">
        <f t="shared" si="466"/>
        <v>SISTEMA DE GERENCIAMENTO DE ESTOQUE</v>
      </c>
      <c r="C5713" s="2" t="str">
        <f t="shared" si="467"/>
        <v>SUPRI</v>
      </c>
      <c r="D5713" s="2" t="str">
        <f t="shared" si="468"/>
        <v>MGES</v>
      </c>
      <c r="E5713" s="2" t="str">
        <f>"R_POS_EST_CONSO_967"</f>
        <v>R_POS_EST_CONSO_967</v>
      </c>
      <c r="F5713" s="2" t="str">
        <f>"R_POS_EST_CONSO_967"</f>
        <v>R_POS_EST_CONSO_967</v>
      </c>
      <c r="G5713" s="2" t="str">
        <f t="shared" si="470"/>
        <v xml:space="preserve"> ()</v>
      </c>
    </row>
    <row r="5714" spans="1:7" x14ac:dyDescent="0.3">
      <c r="A5714" s="1" t="s">
        <v>4</v>
      </c>
      <c r="B5714" s="2" t="str">
        <f t="shared" si="466"/>
        <v>SISTEMA DE GERENCIAMENTO DE ESTOQUE</v>
      </c>
      <c r="C5714" s="2" t="str">
        <f t="shared" si="467"/>
        <v>SUPRI</v>
      </c>
      <c r="D5714" s="2" t="str">
        <f t="shared" si="468"/>
        <v>MGES</v>
      </c>
      <c r="E5714" s="2" t="str">
        <f>"XR_CUSTO_SAIDA_SETOR_ESP_959"</f>
        <v>XR_CUSTO_SAIDA_SETOR_ESP_959</v>
      </c>
      <c r="F5714" s="2" t="str">
        <f>"XR_CUSTO_SAIDA_SETOR_ESP_959"</f>
        <v>XR_CUSTO_SAIDA_SETOR_ESP_959</v>
      </c>
      <c r="G5714" s="2" t="str">
        <f t="shared" si="470"/>
        <v xml:space="preserve"> ()</v>
      </c>
    </row>
    <row r="5715" spans="1:7" x14ac:dyDescent="0.3">
      <c r="A5715" s="1" t="s">
        <v>4</v>
      </c>
      <c r="B5715" s="2" t="str">
        <f t="shared" si="466"/>
        <v>SISTEMA DE GERENCIAMENTO DE ESTOQUE</v>
      </c>
      <c r="C5715" s="2" t="str">
        <f t="shared" si="467"/>
        <v>SUPRI</v>
      </c>
      <c r="D5715" s="2" t="str">
        <f t="shared" si="468"/>
        <v>MGES</v>
      </c>
      <c r="E5715" s="2" t="str">
        <f>"R_POS_EST_S_DOADO_959"</f>
        <v>R_POS_EST_S_DOADO_959</v>
      </c>
      <c r="F5715" s="2" t="str">
        <f>"R_POS_EST_S_DOADO_959"</f>
        <v>R_POS_EST_S_DOADO_959</v>
      </c>
      <c r="G5715" s="2" t="str">
        <f t="shared" si="470"/>
        <v xml:space="preserve"> ()</v>
      </c>
    </row>
    <row r="5716" spans="1:7" x14ac:dyDescent="0.3">
      <c r="A5716" s="1" t="s">
        <v>4</v>
      </c>
      <c r="B5716" s="2" t="str">
        <f t="shared" si="466"/>
        <v>SISTEMA DE GERENCIAMENTO DE ESTOQUE</v>
      </c>
      <c r="C5716" s="2" t="str">
        <f t="shared" si="467"/>
        <v>SUPRI</v>
      </c>
      <c r="D5716" s="2" t="str">
        <f t="shared" si="468"/>
        <v>MGES</v>
      </c>
      <c r="E5716" s="2" t="str">
        <f>"R_SOLICITACAO_PENDENTES_DET"</f>
        <v>R_SOLICITACAO_PENDENTES_DET</v>
      </c>
      <c r="F5716" s="2" t="str">
        <f>"R_SOLICITACAO_PENDENTES_DET"</f>
        <v>R_SOLICITACAO_PENDENTES_DET</v>
      </c>
      <c r="G5716" s="2" t="str">
        <f t="shared" si="470"/>
        <v xml:space="preserve"> ()</v>
      </c>
    </row>
    <row r="5717" spans="1:7" x14ac:dyDescent="0.3">
      <c r="A5717" s="1" t="s">
        <v>4</v>
      </c>
      <c r="B5717" s="2" t="str">
        <f t="shared" si="466"/>
        <v>SISTEMA DE GERENCIAMENTO DE ESTOQUE</v>
      </c>
      <c r="C5717" s="2" t="str">
        <f t="shared" si="467"/>
        <v>SUPRI</v>
      </c>
      <c r="D5717" s="2" t="str">
        <f t="shared" si="468"/>
        <v>MGES</v>
      </c>
      <c r="E5717" s="2" t="str">
        <f>"R_ETIQ_ID_PROD_900"</f>
        <v>R_ETIQ_ID_PROD_900</v>
      </c>
      <c r="F5717" s="2" t="str">
        <f>"R_ETIQ_ID_PROD_900"</f>
        <v>R_ETIQ_ID_PROD_900</v>
      </c>
      <c r="G5717" s="2" t="str">
        <f t="shared" si="470"/>
        <v xml:space="preserve"> ()</v>
      </c>
    </row>
    <row r="5718" spans="1:7" x14ac:dyDescent="0.3">
      <c r="A5718" s="1" t="s">
        <v>4</v>
      </c>
      <c r="B5718" s="2" t="str">
        <f t="shared" si="466"/>
        <v>SISTEMA DE GERENCIAMENTO DE ESTOQUE</v>
      </c>
      <c r="C5718" s="2" t="str">
        <f t="shared" si="467"/>
        <v>SUPRI</v>
      </c>
      <c r="D5718" s="2" t="str">
        <f t="shared" si="468"/>
        <v>MGES</v>
      </c>
      <c r="E5718" s="2" t="str">
        <f>"R_ENTR_MAT_900"</f>
        <v>R_ENTR_MAT_900</v>
      </c>
      <c r="F5718" s="2" t="str">
        <f>"R_ENTR_MAT_900"</f>
        <v>R_ENTR_MAT_900</v>
      </c>
      <c r="G5718" s="2" t="str">
        <f t="shared" si="470"/>
        <v xml:space="preserve"> ()</v>
      </c>
    </row>
    <row r="5719" spans="1:7" x14ac:dyDescent="0.3">
      <c r="A5719" s="1" t="s">
        <v>4</v>
      </c>
      <c r="B5719" s="2" t="str">
        <f t="shared" si="466"/>
        <v>SISTEMA DE GERENCIAMENTO DE ESTOQUE</v>
      </c>
      <c r="C5719" s="2" t="str">
        <f t="shared" si="467"/>
        <v>SUPRI</v>
      </c>
      <c r="D5719" s="2" t="str">
        <f t="shared" si="468"/>
        <v>MGES</v>
      </c>
      <c r="E5719" s="2" t="str">
        <f>"M_ARQUIVO_MOVIMENTACAOREP"</f>
        <v>M_ARQUIVO_MOVIMENTACAOREP</v>
      </c>
      <c r="F5719" s="2" t="str">
        <f>"M_ARQUIVO_MOVIMENTACAOREP"</f>
        <v>M_ARQUIVO_MOVIMENTACAOREP</v>
      </c>
      <c r="G5719" s="2" t="str">
        <f t="shared" si="470"/>
        <v xml:space="preserve"> ()</v>
      </c>
    </row>
    <row r="5720" spans="1:7" x14ac:dyDescent="0.3">
      <c r="A5720" s="1" t="s">
        <v>4</v>
      </c>
      <c r="B5720" s="2" t="str">
        <f t="shared" si="466"/>
        <v>SISTEMA DE GERENCIAMENTO DE ESTOQUE</v>
      </c>
      <c r="C5720" s="2" t="str">
        <f t="shared" si="467"/>
        <v>SUPRI</v>
      </c>
      <c r="D5720" s="2" t="str">
        <f t="shared" si="468"/>
        <v>MGES</v>
      </c>
      <c r="E5720" s="2" t="str">
        <f>"R_RESUMO_DE_USUARIO_759"</f>
        <v>R_RESUMO_DE_USUARIO_759</v>
      </c>
      <c r="F5720" s="2" t="str">
        <f>"R_RESUMO_DE_USUARIO_759"</f>
        <v>R_RESUMO_DE_USUARIO_759</v>
      </c>
      <c r="G5720" s="2" t="str">
        <f t="shared" si="470"/>
        <v xml:space="preserve"> ()</v>
      </c>
    </row>
    <row r="5721" spans="1:7" x14ac:dyDescent="0.3">
      <c r="A5721" s="1" t="s">
        <v>4</v>
      </c>
      <c r="B5721" s="2" t="str">
        <f t="shared" si="466"/>
        <v>SISTEMA DE GERENCIAMENTO DE ESTOQUE</v>
      </c>
      <c r="C5721" s="2" t="str">
        <f t="shared" si="467"/>
        <v>SUPRI</v>
      </c>
      <c r="D5721" s="2" t="str">
        <f t="shared" si="468"/>
        <v>MGES</v>
      </c>
      <c r="E5721" s="2" t="str">
        <f>"R_RESUMO_DE_SETOR_759"</f>
        <v>R_RESUMO_DE_SETOR_759</v>
      </c>
      <c r="F5721" s="2" t="str">
        <f>"R_RESUMO_DE_SETOR_759"</f>
        <v>R_RESUMO_DE_SETOR_759</v>
      </c>
      <c r="G5721" s="2" t="str">
        <f t="shared" si="470"/>
        <v xml:space="preserve"> ()</v>
      </c>
    </row>
    <row r="5722" spans="1:7" x14ac:dyDescent="0.3">
      <c r="A5722" s="1" t="s">
        <v>4</v>
      </c>
      <c r="B5722" s="2" t="str">
        <f t="shared" ref="B5722:B5785" si="471">"SISTEMA DE GERENCIAMENTO DE ESTOQUE"</f>
        <v>SISTEMA DE GERENCIAMENTO DE ESTOQUE</v>
      </c>
      <c r="C5722" s="2" t="str">
        <f t="shared" ref="C5722:C5785" si="472">"SUPRI"</f>
        <v>SUPRI</v>
      </c>
      <c r="D5722" s="2" t="str">
        <f t="shared" ref="D5722:D5785" si="473">"MGES"</f>
        <v>MGES</v>
      </c>
      <c r="E5722" s="2" t="str">
        <f>"CONFIGURACA_ESPECIES"</f>
        <v>CONFIGURACA_ESPECIES</v>
      </c>
      <c r="F5722" s="2" t="str">
        <f>"CONFIGURACA_ESPECIES"</f>
        <v>CONFIGURACA_ESPECIES</v>
      </c>
      <c r="G5722" s="2" t="str">
        <f t="shared" si="470"/>
        <v xml:space="preserve"> ()</v>
      </c>
    </row>
    <row r="5723" spans="1:7" x14ac:dyDescent="0.3">
      <c r="A5723" s="1" t="s">
        <v>4</v>
      </c>
      <c r="B5723" s="2" t="str">
        <f t="shared" si="471"/>
        <v>SISTEMA DE GERENCIAMENTO DE ESTOQUE</v>
      </c>
      <c r="C5723" s="2" t="str">
        <f t="shared" si="472"/>
        <v>SUPRI</v>
      </c>
      <c r="D5723" s="2" t="str">
        <f t="shared" si="473"/>
        <v>MGES</v>
      </c>
      <c r="E5723" s="2" t="str">
        <f>"R_RES_TRANSF_SAI_CONSOL"</f>
        <v>R_RES_TRANSF_SAI_CONSOL</v>
      </c>
      <c r="F5723" s="2" t="str">
        <f>"R_RES_TRANSF_SAI_CONSOL"</f>
        <v>R_RES_TRANSF_SAI_CONSOL</v>
      </c>
      <c r="G5723" s="2" t="str">
        <f t="shared" si="470"/>
        <v xml:space="preserve"> ()</v>
      </c>
    </row>
    <row r="5724" spans="1:7" x14ac:dyDescent="0.3">
      <c r="A5724" s="1" t="s">
        <v>4</v>
      </c>
      <c r="B5724" s="2" t="str">
        <f t="shared" si="471"/>
        <v>SISTEMA DE GERENCIAMENTO DE ESTOQUE</v>
      </c>
      <c r="C5724" s="2" t="str">
        <f t="shared" si="472"/>
        <v>SUPRI</v>
      </c>
      <c r="D5724" s="2" t="str">
        <f t="shared" si="473"/>
        <v>MGES</v>
      </c>
      <c r="E5724" s="2" t="str">
        <f>"R_CURVA_ABC_FARM_750"</f>
        <v>R_CURVA_ABC_FARM_750</v>
      </c>
      <c r="F5724" s="2" t="str">
        <f>"R_CURVA_ABC_FARM_750"</f>
        <v>R_CURVA_ABC_FARM_750</v>
      </c>
      <c r="G5724" s="2" t="str">
        <f t="shared" si="470"/>
        <v xml:space="preserve"> ()</v>
      </c>
    </row>
    <row r="5725" spans="1:7" x14ac:dyDescent="0.3">
      <c r="A5725" s="1" t="s">
        <v>4</v>
      </c>
      <c r="B5725" s="2" t="str">
        <f t="shared" si="471"/>
        <v>SISTEMA DE GERENCIAMENTO DE ESTOQUE</v>
      </c>
      <c r="C5725" s="2" t="str">
        <f t="shared" si="472"/>
        <v>SUPRI</v>
      </c>
      <c r="D5725" s="2" t="str">
        <f t="shared" si="473"/>
        <v>MGES</v>
      </c>
      <c r="E5725" s="2" t="str">
        <f>"R_POS_EST_CONSO_749"</f>
        <v>R_POS_EST_CONSO_749</v>
      </c>
      <c r="F5725" s="2" t="str">
        <f>"R_POS_EST_CONSO_749"</f>
        <v>R_POS_EST_CONSO_749</v>
      </c>
      <c r="G5725" s="2" t="str">
        <f t="shared" si="470"/>
        <v xml:space="preserve"> ()</v>
      </c>
    </row>
    <row r="5726" spans="1:7" x14ac:dyDescent="0.3">
      <c r="A5726" s="1" t="s">
        <v>4</v>
      </c>
      <c r="B5726" s="2" t="str">
        <f t="shared" si="471"/>
        <v>SISTEMA DE GERENCIAMENTO DE ESTOQUE</v>
      </c>
      <c r="C5726" s="2" t="str">
        <f t="shared" si="472"/>
        <v>SUPRI</v>
      </c>
      <c r="D5726" s="2" t="str">
        <f t="shared" si="473"/>
        <v>MGES</v>
      </c>
      <c r="E5726" s="2" t="str">
        <f>"ETIQUETA_ESTOQUE_749"</f>
        <v>ETIQUETA_ESTOQUE_749</v>
      </c>
      <c r="F5726" s="2" t="str">
        <f>"ETIQUETA_ESTOQUE_749"</f>
        <v>ETIQUETA_ESTOQUE_749</v>
      </c>
      <c r="G5726" s="2" t="str">
        <f t="shared" si="470"/>
        <v xml:space="preserve"> ()</v>
      </c>
    </row>
    <row r="5727" spans="1:7" x14ac:dyDescent="0.3">
      <c r="A5727" s="1" t="s">
        <v>4</v>
      </c>
      <c r="B5727" s="2" t="str">
        <f t="shared" si="471"/>
        <v>SISTEMA DE GERENCIAMENTO DE ESTOQUE</v>
      </c>
      <c r="C5727" s="2" t="str">
        <f t="shared" si="472"/>
        <v>SUPRI</v>
      </c>
      <c r="D5727" s="2" t="str">
        <f t="shared" si="473"/>
        <v>MGES</v>
      </c>
      <c r="E5727" s="2" t="str">
        <f>"R_CONSUMO_SETORES_CUSTO_FATURA_734"</f>
        <v>R_CONSUMO_SETORES_CUSTO_FATURA_734</v>
      </c>
      <c r="F5727" s="2" t="str">
        <f>"R_CONSUMO_SETORES_CUSTO_FATURA_734"</f>
        <v>R_CONSUMO_SETORES_CUSTO_FATURA_734</v>
      </c>
      <c r="G5727" s="2" t="str">
        <f t="shared" si="470"/>
        <v xml:space="preserve"> ()</v>
      </c>
    </row>
    <row r="5728" spans="1:7" x14ac:dyDescent="0.3">
      <c r="A5728" s="1" t="s">
        <v>4</v>
      </c>
      <c r="B5728" s="2" t="str">
        <f t="shared" si="471"/>
        <v>SISTEMA DE GERENCIAMENTO DE ESTOQUE</v>
      </c>
      <c r="C5728" s="2" t="str">
        <f t="shared" si="472"/>
        <v>SUPRI</v>
      </c>
      <c r="D5728" s="2" t="str">
        <f t="shared" si="473"/>
        <v>MGES</v>
      </c>
      <c r="E5728" s="2" t="str">
        <f>"R_CONSUMO_SETORES_CUSTO_734"</f>
        <v>R_CONSUMO_SETORES_CUSTO_734</v>
      </c>
      <c r="F5728" s="2" t="str">
        <f>"R_CONSUMO_SETORES_CUSTO_734"</f>
        <v>R_CONSUMO_SETORES_CUSTO_734</v>
      </c>
      <c r="G5728" s="2" t="str">
        <f t="shared" si="470"/>
        <v xml:space="preserve"> ()</v>
      </c>
    </row>
    <row r="5729" spans="1:7" x14ac:dyDescent="0.3">
      <c r="A5729" s="1" t="s">
        <v>4</v>
      </c>
      <c r="B5729" s="2" t="str">
        <f t="shared" si="471"/>
        <v>SISTEMA DE GERENCIAMENTO DE ESTOQUE</v>
      </c>
      <c r="C5729" s="2" t="str">
        <f t="shared" si="472"/>
        <v>SUPRI</v>
      </c>
      <c r="D5729" s="2" t="str">
        <f t="shared" si="473"/>
        <v>MGES</v>
      </c>
      <c r="E5729" s="2" t="str">
        <f>"R_ENTRADA_PRODUTO_CI"</f>
        <v>R_ENTRADA_PRODUTO_CI</v>
      </c>
      <c r="F5729" s="2" t="str">
        <f>"R_ENTRADA_PRODUTO_CI"</f>
        <v>R_ENTRADA_PRODUTO_CI</v>
      </c>
      <c r="G5729" s="2" t="str">
        <f t="shared" si="470"/>
        <v xml:space="preserve"> ()</v>
      </c>
    </row>
    <row r="5730" spans="1:7" x14ac:dyDescent="0.3">
      <c r="A5730" s="1" t="s">
        <v>4</v>
      </c>
      <c r="B5730" s="2" t="str">
        <f t="shared" si="471"/>
        <v>SISTEMA DE GERENCIAMENTO DE ESTOQUE</v>
      </c>
      <c r="C5730" s="2" t="str">
        <f t="shared" si="472"/>
        <v>SUPRI</v>
      </c>
      <c r="D5730" s="2" t="str">
        <f t="shared" si="473"/>
        <v>MGES</v>
      </c>
      <c r="E5730" s="2" t="str">
        <f>"R_IMPRIMI_ETIQ_719"</f>
        <v>R_IMPRIMI_ETIQ_719</v>
      </c>
      <c r="F5730" s="2" t="str">
        <f>"R_IMPRIMI_ETIQ_719"</f>
        <v>R_IMPRIMI_ETIQ_719</v>
      </c>
      <c r="G5730" s="2" t="str">
        <f t="shared" si="470"/>
        <v xml:space="preserve"> ()</v>
      </c>
    </row>
    <row r="5731" spans="1:7" x14ac:dyDescent="0.3">
      <c r="A5731" s="1" t="s">
        <v>4</v>
      </c>
      <c r="B5731" s="2" t="str">
        <f t="shared" si="471"/>
        <v>SISTEMA DE GERENCIAMENTO DE ESTOQUE</v>
      </c>
      <c r="C5731" s="2" t="str">
        <f t="shared" si="472"/>
        <v>SUPRI</v>
      </c>
      <c r="D5731" s="2" t="str">
        <f t="shared" si="473"/>
        <v>MGES</v>
      </c>
      <c r="E5731" s="2" t="str">
        <f>"TROCA_TIPO_MOVIM"</f>
        <v>TROCA_TIPO_MOVIM</v>
      </c>
      <c r="F5731" s="2" t="str">
        <f>"TROCA_TIPO_MOVIM"</f>
        <v>TROCA_TIPO_MOVIM</v>
      </c>
      <c r="G5731" s="2" t="str">
        <f t="shared" si="470"/>
        <v xml:space="preserve"> ()</v>
      </c>
    </row>
    <row r="5732" spans="1:7" x14ac:dyDescent="0.3">
      <c r="A5732" s="1" t="s">
        <v>4</v>
      </c>
      <c r="B5732" s="2" t="str">
        <f t="shared" si="471"/>
        <v>SISTEMA DE GERENCIAMENTO DE ESTOQUE</v>
      </c>
      <c r="C5732" s="2" t="str">
        <f t="shared" si="472"/>
        <v>SUPRI</v>
      </c>
      <c r="D5732" s="2" t="str">
        <f t="shared" si="473"/>
        <v>MGES</v>
      </c>
      <c r="E5732" s="2" t="str">
        <f>"R_LIST_PROD_HTO"</f>
        <v>R_LIST_PROD_HTO</v>
      </c>
      <c r="F5732" s="2" t="str">
        <f>"R_LIST_PROD_HTO"</f>
        <v>R_LIST_PROD_HTO</v>
      </c>
      <c r="G5732" s="2" t="str">
        <f t="shared" si="470"/>
        <v xml:space="preserve"> ()</v>
      </c>
    </row>
    <row r="5733" spans="1:7" x14ac:dyDescent="0.3">
      <c r="A5733" s="1" t="s">
        <v>4</v>
      </c>
      <c r="B5733" s="2" t="str">
        <f t="shared" si="471"/>
        <v>SISTEMA DE GERENCIAMENTO DE ESTOQUE</v>
      </c>
      <c r="C5733" s="2" t="str">
        <f t="shared" si="472"/>
        <v>SUPRI</v>
      </c>
      <c r="D5733" s="2" t="str">
        <f t="shared" si="473"/>
        <v>MGES</v>
      </c>
      <c r="E5733" s="2" t="str">
        <f>"IMPORTACAO_MGES"</f>
        <v>IMPORTACAO_MGES</v>
      </c>
      <c r="F5733" s="2" t="str">
        <f>"IMPORTACAO_MGES"</f>
        <v>IMPORTACAO_MGES</v>
      </c>
      <c r="G5733" s="2" t="str">
        <f t="shared" si="470"/>
        <v xml:space="preserve"> ()</v>
      </c>
    </row>
    <row r="5734" spans="1:7" x14ac:dyDescent="0.3">
      <c r="A5734" s="1" t="s">
        <v>4</v>
      </c>
      <c r="B5734" s="2" t="str">
        <f t="shared" si="471"/>
        <v>SISTEMA DE GERENCIAMENTO DE ESTOQUE</v>
      </c>
      <c r="C5734" s="2" t="str">
        <f t="shared" si="472"/>
        <v>SUPRI</v>
      </c>
      <c r="D5734" s="2" t="str">
        <f t="shared" si="473"/>
        <v>MGES</v>
      </c>
      <c r="E5734" s="2" t="str">
        <f>"R_LUCRO_MED_MARCA_297"</f>
        <v>R_LUCRO_MED_MARCA_297</v>
      </c>
      <c r="F5734" s="2" t="str">
        <f>"R_LUCRO_MED_MARCA_297"</f>
        <v>R_LUCRO_MED_MARCA_297</v>
      </c>
      <c r="G5734" s="2" t="str">
        <f t="shared" si="470"/>
        <v xml:space="preserve"> ()</v>
      </c>
    </row>
    <row r="5735" spans="1:7" x14ac:dyDescent="0.3">
      <c r="A5735" s="1" t="s">
        <v>4</v>
      </c>
      <c r="B5735" s="2" t="str">
        <f t="shared" si="471"/>
        <v>SISTEMA DE GERENCIAMENTO DE ESTOQUE</v>
      </c>
      <c r="C5735" s="2" t="str">
        <f t="shared" si="472"/>
        <v>SUPRI</v>
      </c>
      <c r="D5735" s="2" t="str">
        <f t="shared" si="473"/>
        <v>MGES</v>
      </c>
      <c r="E5735" s="2" t="str">
        <f>"R_ENT_ESPECIE_297"</f>
        <v>R_ENT_ESPECIE_297</v>
      </c>
      <c r="F5735" s="2" t="str">
        <f>"R_ENT_ESPECIE_297"</f>
        <v>R_ENT_ESPECIE_297</v>
      </c>
      <c r="G5735" s="2" t="str">
        <f t="shared" si="470"/>
        <v xml:space="preserve"> ()</v>
      </c>
    </row>
    <row r="5736" spans="1:7" x14ac:dyDescent="0.3">
      <c r="A5736" s="1" t="s">
        <v>4</v>
      </c>
      <c r="B5736" s="2" t="str">
        <f t="shared" si="471"/>
        <v>SISTEMA DE GERENCIAMENTO DE ESTOQUE</v>
      </c>
      <c r="C5736" s="2" t="str">
        <f t="shared" si="472"/>
        <v>SUPRI</v>
      </c>
      <c r="D5736" s="2" t="str">
        <f t="shared" si="473"/>
        <v>MGES</v>
      </c>
      <c r="E5736" s="2" t="str">
        <f>"TEMP_SAO_MARCOS"</f>
        <v>TEMP_SAO_MARCOS</v>
      </c>
      <c r="F5736" s="2" t="str">
        <f>"TEMP_SAO_MARCOS"</f>
        <v>TEMP_SAO_MARCOS</v>
      </c>
      <c r="G5736" s="2" t="str">
        <f t="shared" si="470"/>
        <v xml:space="preserve"> ()</v>
      </c>
    </row>
    <row r="5737" spans="1:7" x14ac:dyDescent="0.3">
      <c r="A5737" s="1" t="s">
        <v>4</v>
      </c>
      <c r="B5737" s="2" t="str">
        <f t="shared" si="471"/>
        <v>SISTEMA DE GERENCIAMENTO DE ESTOQUE</v>
      </c>
      <c r="C5737" s="2" t="str">
        <f t="shared" si="472"/>
        <v>SUPRI</v>
      </c>
      <c r="D5737" s="2" t="str">
        <f t="shared" si="473"/>
        <v>MGES</v>
      </c>
      <c r="E5737" s="2" t="str">
        <f>"R_SAIDA_TESTE"</f>
        <v>R_SAIDA_TESTE</v>
      </c>
      <c r="F5737" s="2" t="str">
        <f>"R_SAIDA_TESTE"</f>
        <v>R_SAIDA_TESTE</v>
      </c>
      <c r="G5737" s="2" t="str">
        <f t="shared" si="470"/>
        <v xml:space="preserve"> ()</v>
      </c>
    </row>
    <row r="5738" spans="1:7" x14ac:dyDescent="0.3">
      <c r="A5738" s="1" t="s">
        <v>4</v>
      </c>
      <c r="B5738" s="2" t="str">
        <f t="shared" si="471"/>
        <v>SISTEMA DE GERENCIAMENTO DE ESTOQUE</v>
      </c>
      <c r="C5738" s="2" t="str">
        <f t="shared" si="472"/>
        <v>SUPRI</v>
      </c>
      <c r="D5738" s="2" t="str">
        <f t="shared" si="473"/>
        <v>MGES</v>
      </c>
      <c r="E5738" s="2" t="str">
        <f>"R_PRODUCAO_ENTR_PROD"</f>
        <v>R_PRODUCAO_ENTR_PROD</v>
      </c>
      <c r="F5738" s="2" t="str">
        <f>"R_PRODUCAO_ENTR_PROD"</f>
        <v>R_PRODUCAO_ENTR_PROD</v>
      </c>
      <c r="G5738" s="2" t="str">
        <f t="shared" si="470"/>
        <v xml:space="preserve"> ()</v>
      </c>
    </row>
    <row r="5739" spans="1:7" x14ac:dyDescent="0.3">
      <c r="A5739" s="1" t="s">
        <v>4</v>
      </c>
      <c r="B5739" s="2" t="str">
        <f t="shared" si="471"/>
        <v>SISTEMA DE GERENCIAMENTO DE ESTOQUE</v>
      </c>
      <c r="C5739" s="2" t="str">
        <f t="shared" si="472"/>
        <v>SUPRI</v>
      </c>
      <c r="D5739" s="2" t="str">
        <f t="shared" si="473"/>
        <v>MGES</v>
      </c>
      <c r="E5739" s="2" t="str">
        <f>"R_POS_EST_CONSO_ORIGINAL"</f>
        <v>R_POS_EST_CONSO_ORIGINAL</v>
      </c>
      <c r="F5739" s="2" t="str">
        <f>"R_POS_EST_CONSO_ORIGINAL"</f>
        <v>R_POS_EST_CONSO_ORIGINAL</v>
      </c>
      <c r="G5739" s="2" t="str">
        <f t="shared" si="470"/>
        <v xml:space="preserve"> ()</v>
      </c>
    </row>
    <row r="5740" spans="1:7" x14ac:dyDescent="0.3">
      <c r="A5740" s="1" t="s">
        <v>4</v>
      </c>
      <c r="B5740" s="2" t="str">
        <f t="shared" si="471"/>
        <v>SISTEMA DE GERENCIAMENTO DE ESTOQUE</v>
      </c>
      <c r="C5740" s="2" t="str">
        <f t="shared" si="472"/>
        <v>SUPRI</v>
      </c>
      <c r="D5740" s="2" t="str">
        <f t="shared" si="473"/>
        <v>MGES</v>
      </c>
      <c r="E5740" s="2" t="str">
        <f>"R_EST_DEVOLUCAO_FORNECEDOR_SINT"</f>
        <v>R_EST_DEVOLUCAO_FORNECEDOR_SINT</v>
      </c>
      <c r="F5740" s="2" t="str">
        <f>"R_EST_DEVOLUCAO_FORNECEDOR_SINT"</f>
        <v>R_EST_DEVOLUCAO_FORNECEDOR_SINT</v>
      </c>
      <c r="G5740" s="2" t="str">
        <f t="shared" si="470"/>
        <v xml:space="preserve"> ()</v>
      </c>
    </row>
    <row r="5741" spans="1:7" x14ac:dyDescent="0.3">
      <c r="A5741" s="1" t="s">
        <v>4</v>
      </c>
      <c r="B5741" s="2" t="str">
        <f t="shared" si="471"/>
        <v>SISTEMA DE GERENCIAMENTO DE ESTOQUE</v>
      </c>
      <c r="C5741" s="2" t="str">
        <f t="shared" si="472"/>
        <v>SUPRI</v>
      </c>
      <c r="D5741" s="2" t="str">
        <f t="shared" si="473"/>
        <v>MGES</v>
      </c>
      <c r="E5741" s="2" t="str">
        <f>"R_ENTRADA_EMPRESTIMO"</f>
        <v>R_ENTRADA_EMPRESTIMO</v>
      </c>
      <c r="F5741" s="2" t="str">
        <f>"R_ENTRADA_EMPRESTIMO"</f>
        <v>R_ENTRADA_EMPRESTIMO</v>
      </c>
      <c r="G5741" s="2" t="str">
        <f t="shared" si="470"/>
        <v xml:space="preserve"> ()</v>
      </c>
    </row>
    <row r="5742" spans="1:7" x14ac:dyDescent="0.3">
      <c r="A5742" s="1" t="s">
        <v>4</v>
      </c>
      <c r="B5742" s="2" t="str">
        <f t="shared" si="471"/>
        <v>SISTEMA DE GERENCIAMENTO DE ESTOQUE</v>
      </c>
      <c r="C5742" s="2" t="str">
        <f t="shared" si="472"/>
        <v>SUPRI</v>
      </c>
      <c r="D5742" s="2" t="str">
        <f t="shared" si="473"/>
        <v>MGES</v>
      </c>
      <c r="E5742" s="2" t="str">
        <f>"R_ENTRADA_CONTA_CUSTO"</f>
        <v>R_ENTRADA_CONTA_CUSTO</v>
      </c>
      <c r="F5742" s="2" t="str">
        <f>"R_ENTRADA_CONTA_CUSTO"</f>
        <v>R_ENTRADA_CONTA_CUSTO</v>
      </c>
      <c r="G5742" s="2" t="str">
        <f t="shared" si="470"/>
        <v xml:space="preserve"> ()</v>
      </c>
    </row>
    <row r="5743" spans="1:7" x14ac:dyDescent="0.3">
      <c r="A5743" s="1" t="s">
        <v>4</v>
      </c>
      <c r="B5743" s="2" t="str">
        <f t="shared" si="471"/>
        <v>SISTEMA DE GERENCIAMENTO DE ESTOQUE</v>
      </c>
      <c r="C5743" s="2" t="str">
        <f t="shared" si="472"/>
        <v>SUPRI</v>
      </c>
      <c r="D5743" s="2" t="str">
        <f t="shared" si="473"/>
        <v>MGES</v>
      </c>
      <c r="E5743" s="2" t="str">
        <f>"R_COTSET_ATUAL"</f>
        <v>R_COTSET_ATUAL</v>
      </c>
      <c r="F5743" s="2" t="str">
        <f>"R_COTSET_ATUAL"</f>
        <v>R_COTSET_ATUAL</v>
      </c>
      <c r="G5743" s="2" t="str">
        <f t="shared" si="470"/>
        <v xml:space="preserve"> ()</v>
      </c>
    </row>
    <row r="5744" spans="1:7" x14ac:dyDescent="0.3">
      <c r="A5744" s="1" t="s">
        <v>4</v>
      </c>
      <c r="B5744" s="2" t="str">
        <f t="shared" si="471"/>
        <v>SISTEMA DE GERENCIAMENTO DE ESTOQUE</v>
      </c>
      <c r="C5744" s="2" t="str">
        <f t="shared" si="472"/>
        <v>SUPRI</v>
      </c>
      <c r="D5744" s="2" t="str">
        <f t="shared" si="473"/>
        <v>MGES</v>
      </c>
      <c r="E5744" s="2" t="str">
        <f>"R_CONT_PROD_LISTAGEM"</f>
        <v>R_CONT_PROD_LISTAGEM</v>
      </c>
      <c r="F5744" s="2" t="str">
        <f>"R_CONT_PROD_LISTAGEM"</f>
        <v>R_CONT_PROD_LISTAGEM</v>
      </c>
      <c r="G5744" s="2" t="str">
        <f t="shared" si="470"/>
        <v xml:space="preserve"> ()</v>
      </c>
    </row>
    <row r="5745" spans="1:7" x14ac:dyDescent="0.3">
      <c r="A5745" s="1" t="s">
        <v>4</v>
      </c>
      <c r="B5745" s="2" t="str">
        <f t="shared" si="471"/>
        <v>SISTEMA DE GERENCIAMENTO DE ESTOQUE</v>
      </c>
      <c r="C5745" s="2" t="str">
        <f t="shared" si="472"/>
        <v>SUPRI</v>
      </c>
      <c r="D5745" s="2" t="str">
        <f t="shared" si="473"/>
        <v>MGES</v>
      </c>
      <c r="E5745" s="2" t="str">
        <f>"R_BALANCO_CONTABIL_ORIGINAL"</f>
        <v>R_BALANCO_CONTABIL_ORIGINAL</v>
      </c>
      <c r="F5745" s="2" t="str">
        <f>"R_BALANCO_CONTABIL_ORIGINAL"</f>
        <v>R_BALANCO_CONTABIL_ORIGINAL</v>
      </c>
      <c r="G5745" s="2" t="str">
        <f t="shared" si="470"/>
        <v xml:space="preserve"> ()</v>
      </c>
    </row>
    <row r="5746" spans="1:7" x14ac:dyDescent="0.3">
      <c r="A5746" s="1" t="s">
        <v>4</v>
      </c>
      <c r="B5746" s="2" t="str">
        <f t="shared" si="471"/>
        <v>SISTEMA DE GERENCIAMENTO DE ESTOQUE</v>
      </c>
      <c r="C5746" s="2" t="str">
        <f t="shared" si="472"/>
        <v>SUPRI</v>
      </c>
      <c r="D5746" s="2" t="str">
        <f t="shared" si="473"/>
        <v>MGES</v>
      </c>
      <c r="E5746" s="2" t="str">
        <f>"RESULTADO_SOL"</f>
        <v>RESULTADO_SOL</v>
      </c>
      <c r="F5746" s="2" t="str">
        <f>"RESULTADO_SOL"</f>
        <v>RESULTADO_SOL</v>
      </c>
      <c r="G5746" s="2" t="str">
        <f t="shared" si="470"/>
        <v xml:space="preserve"> ()</v>
      </c>
    </row>
    <row r="5747" spans="1:7" x14ac:dyDescent="0.3">
      <c r="A5747" s="1" t="s">
        <v>4</v>
      </c>
      <c r="B5747" s="2" t="str">
        <f t="shared" si="471"/>
        <v>SISTEMA DE GERENCIAMENTO DE ESTOQUE</v>
      </c>
      <c r="C5747" s="2" t="str">
        <f t="shared" si="472"/>
        <v>SUPRI</v>
      </c>
      <c r="D5747" s="2" t="str">
        <f t="shared" si="473"/>
        <v>MGES</v>
      </c>
      <c r="E5747" s="2" t="str">
        <f>"O_UNIDADE"</f>
        <v>O_UNIDADE</v>
      </c>
      <c r="F5747" s="2" t="str">
        <f>"O_UNIDADE"</f>
        <v>O_UNIDADE</v>
      </c>
      <c r="G5747" s="2" t="str">
        <f>"Materiais e Logística / Almoxarifado / Personalizados / Consulta de Recebimento de Solicitação (O_UNIDADE)"</f>
        <v>Materiais e Logística / Almoxarifado / Personalizados / Consulta de Recebimento de Solicitação (O_UNIDADE)</v>
      </c>
    </row>
    <row r="5748" spans="1:7" x14ac:dyDescent="0.3">
      <c r="A5748" s="1" t="s">
        <v>4</v>
      </c>
      <c r="B5748" s="2" t="str">
        <f t="shared" si="471"/>
        <v>SISTEMA DE GERENCIAMENTO DE ESTOQUE</v>
      </c>
      <c r="C5748" s="2" t="str">
        <f t="shared" si="472"/>
        <v>SUPRI</v>
      </c>
      <c r="D5748" s="2" t="str">
        <f t="shared" si="473"/>
        <v>MGES</v>
      </c>
      <c r="E5748" s="2" t="str">
        <f>"O_TROCA_PRODUTO_MESTRE"</f>
        <v>O_TROCA_PRODUTO_MESTRE</v>
      </c>
      <c r="F5748" s="2" t="str">
        <f>"O_TROCA_PRODUTO_MESTRE"</f>
        <v>O_TROCA_PRODUTO_MESTRE</v>
      </c>
      <c r="G5748" s="2" t="str">
        <f t="shared" ref="G5748:G5756" si="474">" ()"</f>
        <v xml:space="preserve"> ()</v>
      </c>
    </row>
    <row r="5749" spans="1:7" x14ac:dyDescent="0.3">
      <c r="A5749" s="1" t="s">
        <v>4</v>
      </c>
      <c r="B5749" s="2" t="str">
        <f t="shared" si="471"/>
        <v>SISTEMA DE GERENCIAMENTO DE ESTOQUE</v>
      </c>
      <c r="C5749" s="2" t="str">
        <f t="shared" si="472"/>
        <v>SUPRI</v>
      </c>
      <c r="D5749" s="2" t="str">
        <f t="shared" si="473"/>
        <v>MGES</v>
      </c>
      <c r="E5749" s="2" t="str">
        <f>"O_EST_DEMANDA"</f>
        <v>O_EST_DEMANDA</v>
      </c>
      <c r="F5749" s="2" t="str">
        <f>"O_EST_DEMANDA"</f>
        <v>O_EST_DEMANDA</v>
      </c>
      <c r="G5749" s="2" t="str">
        <f t="shared" si="474"/>
        <v xml:space="preserve"> ()</v>
      </c>
    </row>
    <row r="5750" spans="1:7" x14ac:dyDescent="0.3">
      <c r="A5750" s="1" t="s">
        <v>4</v>
      </c>
      <c r="B5750" s="2" t="str">
        <f t="shared" si="471"/>
        <v>SISTEMA DE GERENCIAMENTO DE ESTOQUE</v>
      </c>
      <c r="C5750" s="2" t="str">
        <f t="shared" si="472"/>
        <v>SUPRI</v>
      </c>
      <c r="D5750" s="2" t="str">
        <f t="shared" si="473"/>
        <v>MGES</v>
      </c>
      <c r="E5750" s="2" t="str">
        <f>"O_CUSTO_MEDIO"</f>
        <v>O_CUSTO_MEDIO</v>
      </c>
      <c r="F5750" s="2" t="str">
        <f>"O_CUSTO_MEDIO"</f>
        <v>O_CUSTO_MEDIO</v>
      </c>
      <c r="G5750" s="2" t="str">
        <f t="shared" si="474"/>
        <v xml:space="preserve"> ()</v>
      </c>
    </row>
    <row r="5751" spans="1:7" x14ac:dyDescent="0.3">
      <c r="A5751" s="1" t="s">
        <v>4</v>
      </c>
      <c r="B5751" s="2" t="str">
        <f t="shared" si="471"/>
        <v>SISTEMA DE GERENCIAMENTO DE ESTOQUE</v>
      </c>
      <c r="C5751" s="2" t="str">
        <f t="shared" si="472"/>
        <v>SUPRI</v>
      </c>
      <c r="D5751" s="2" t="str">
        <f t="shared" si="473"/>
        <v>MGES</v>
      </c>
      <c r="E5751" s="2" t="str">
        <f>"O_CONTAGEM_MOVEL"</f>
        <v>O_CONTAGEM_MOVEL</v>
      </c>
      <c r="F5751" s="2" t="str">
        <f>"O_CONTAGEM_MOVEL"</f>
        <v>O_CONTAGEM_MOVEL</v>
      </c>
      <c r="G5751" s="2" t="str">
        <f t="shared" si="474"/>
        <v xml:space="preserve"> ()</v>
      </c>
    </row>
    <row r="5752" spans="1:7" x14ac:dyDescent="0.3">
      <c r="A5752" s="1" t="s">
        <v>4</v>
      </c>
      <c r="B5752" s="2" t="str">
        <f t="shared" si="471"/>
        <v>SISTEMA DE GERENCIAMENTO DE ESTOQUE</v>
      </c>
      <c r="C5752" s="2" t="str">
        <f t="shared" si="472"/>
        <v>SUPRI</v>
      </c>
      <c r="D5752" s="2" t="str">
        <f t="shared" si="473"/>
        <v>MGES</v>
      </c>
      <c r="E5752" s="2" t="str">
        <f>"O_CONTAGEM_DOACAO"</f>
        <v>O_CONTAGEM_DOACAO</v>
      </c>
      <c r="F5752" s="2" t="str">
        <f>"O_CONTAGEM_DOACAO"</f>
        <v>O_CONTAGEM_DOACAO</v>
      </c>
      <c r="G5752" s="2" t="str">
        <f t="shared" si="474"/>
        <v xml:space="preserve"> ()</v>
      </c>
    </row>
    <row r="5753" spans="1:7" x14ac:dyDescent="0.3">
      <c r="A5753" s="1" t="s">
        <v>4</v>
      </c>
      <c r="B5753" s="2" t="str">
        <f t="shared" si="471"/>
        <v>SISTEMA DE GERENCIAMENTO DE ESTOQUE</v>
      </c>
      <c r="C5753" s="2" t="str">
        <f t="shared" si="472"/>
        <v>SUPRI</v>
      </c>
      <c r="D5753" s="2" t="str">
        <f t="shared" si="473"/>
        <v>MGES</v>
      </c>
      <c r="E5753" s="2" t="str">
        <f>"M_UNI_PRO_CONSERTO"</f>
        <v>M_UNI_PRO_CONSERTO</v>
      </c>
      <c r="F5753" s="2" t="str">
        <f>"M_UNI_PRO_CONSERTO"</f>
        <v>M_UNI_PRO_CONSERTO</v>
      </c>
      <c r="G5753" s="2" t="str">
        <f t="shared" si="474"/>
        <v xml:space="preserve"> ()</v>
      </c>
    </row>
    <row r="5754" spans="1:7" x14ac:dyDescent="0.3">
      <c r="A5754" s="1" t="s">
        <v>4</v>
      </c>
      <c r="B5754" s="2" t="str">
        <f t="shared" si="471"/>
        <v>SISTEMA DE GERENCIAMENTO DE ESTOQUE</v>
      </c>
      <c r="C5754" s="2" t="str">
        <f t="shared" si="472"/>
        <v>SUPRI</v>
      </c>
      <c r="D5754" s="2" t="str">
        <f t="shared" si="473"/>
        <v>MGES</v>
      </c>
      <c r="E5754" s="2" t="str">
        <f>"M_PRODUTO_DEPARA"</f>
        <v>M_PRODUTO_DEPARA</v>
      </c>
      <c r="F5754" s="2" t="str">
        <f>"M_PRODUTO_DEPARA"</f>
        <v>M_PRODUTO_DEPARA</v>
      </c>
      <c r="G5754" s="2" t="str">
        <f t="shared" si="474"/>
        <v xml:space="preserve"> ()</v>
      </c>
    </row>
    <row r="5755" spans="1:7" x14ac:dyDescent="0.3">
      <c r="A5755" s="1" t="s">
        <v>4</v>
      </c>
      <c r="B5755" s="2" t="str">
        <f t="shared" si="471"/>
        <v>SISTEMA DE GERENCIAMENTO DE ESTOQUE</v>
      </c>
      <c r="C5755" s="2" t="str">
        <f t="shared" si="472"/>
        <v>SUPRI</v>
      </c>
      <c r="D5755" s="2" t="str">
        <f t="shared" si="473"/>
        <v>MGES</v>
      </c>
      <c r="E5755" s="2" t="str">
        <f>"M_MSG_CONSO"</f>
        <v>M_MSG_CONSO</v>
      </c>
      <c r="F5755" s="2" t="str">
        <f>"M_MSG_CONSO"</f>
        <v>M_MSG_CONSO</v>
      </c>
      <c r="G5755" s="2" t="str">
        <f t="shared" si="474"/>
        <v xml:space="preserve"> ()</v>
      </c>
    </row>
    <row r="5756" spans="1:7" x14ac:dyDescent="0.3">
      <c r="A5756" s="1" t="s">
        <v>4</v>
      </c>
      <c r="B5756" s="2" t="str">
        <f t="shared" si="471"/>
        <v>SISTEMA DE GERENCIAMENTO DE ESTOQUE</v>
      </c>
      <c r="C5756" s="2" t="str">
        <f t="shared" si="472"/>
        <v>SUPRI</v>
      </c>
      <c r="D5756" s="2" t="str">
        <f t="shared" si="473"/>
        <v>MGES</v>
      </c>
      <c r="E5756" s="2" t="str">
        <f>"M_KIT_COM_PROCEDIMENTOS"</f>
        <v>M_KIT_COM_PROCEDIMENTOS</v>
      </c>
      <c r="F5756" s="2" t="str">
        <f>"M_KIT_COM_PROCEDIMENTOS"</f>
        <v>M_KIT_COM_PROCEDIMENTOS</v>
      </c>
      <c r="G5756" s="2" t="str">
        <f t="shared" si="474"/>
        <v xml:space="preserve"> ()</v>
      </c>
    </row>
    <row r="5757" spans="1:7" x14ac:dyDescent="0.3">
      <c r="A5757" s="1" t="s">
        <v>4</v>
      </c>
      <c r="B5757" s="2" t="str">
        <f t="shared" si="471"/>
        <v>SISTEMA DE GERENCIAMENTO DE ESTOQUE</v>
      </c>
      <c r="C5757" s="2" t="str">
        <f t="shared" si="472"/>
        <v>SUPRI</v>
      </c>
      <c r="D5757" s="2" t="str">
        <f t="shared" si="473"/>
        <v>MGES</v>
      </c>
      <c r="E5757" s="2" t="str">
        <f>"M_IMP_GASTO_SALA"</f>
        <v>M_IMP_GASTO_SALA</v>
      </c>
      <c r="F5757" s="2" t="str">
        <f>"M_IMP_GASTO_SALA"</f>
        <v>M_IMP_GASTO_SALA</v>
      </c>
      <c r="G5757" s="2" t="str">
        <f>"Materiais e Logística / Almoxarifado / Configurações / Imp. por Grupo de Procedimento (Gasto de Sala) (M_IMP_GASTO_SALA)"</f>
        <v>Materiais e Logística / Almoxarifado / Configurações / Imp. por Grupo de Procedimento (Gasto de Sala) (M_IMP_GASTO_SALA)</v>
      </c>
    </row>
    <row r="5758" spans="1:7" x14ac:dyDescent="0.3">
      <c r="A5758" s="1" t="s">
        <v>4</v>
      </c>
      <c r="B5758" s="2" t="str">
        <f t="shared" si="471"/>
        <v>SISTEMA DE GERENCIAMENTO DE ESTOQUE</v>
      </c>
      <c r="C5758" s="2" t="str">
        <f t="shared" si="472"/>
        <v>SUPRI</v>
      </c>
      <c r="D5758" s="2" t="str">
        <f t="shared" si="473"/>
        <v>MGES</v>
      </c>
      <c r="E5758" s="2" t="str">
        <f>"M_GER_SOLSAIPRO"</f>
        <v>M_GER_SOLSAIPRO</v>
      </c>
      <c r="F5758" s="2" t="str">
        <f>"M_GER_SOLSAIPRO"</f>
        <v>M_GER_SOLSAIPRO</v>
      </c>
      <c r="G5758" s="2" t="str">
        <f t="shared" ref="G5758:G5770" si="475">" ()"</f>
        <v xml:space="preserve"> ()</v>
      </c>
    </row>
    <row r="5759" spans="1:7" x14ac:dyDescent="0.3">
      <c r="A5759" s="1" t="s">
        <v>4</v>
      </c>
      <c r="B5759" s="2" t="str">
        <f t="shared" si="471"/>
        <v>SISTEMA DE GERENCIAMENTO DE ESTOQUE</v>
      </c>
      <c r="C5759" s="2" t="str">
        <f t="shared" si="472"/>
        <v>SUPRI</v>
      </c>
      <c r="D5759" s="2" t="str">
        <f t="shared" si="473"/>
        <v>MGES</v>
      </c>
      <c r="E5759" s="2" t="str">
        <f>"M_CADSTRO_IMPRESSORA"</f>
        <v>M_CADSTRO_IMPRESSORA</v>
      </c>
      <c r="F5759" s="2" t="str">
        <f>"M_CADSTRO_IMPRESSORA"</f>
        <v>M_CADSTRO_IMPRESSORA</v>
      </c>
      <c r="G5759" s="2" t="str">
        <f t="shared" si="475"/>
        <v xml:space="preserve"> ()</v>
      </c>
    </row>
    <row r="5760" spans="1:7" x14ac:dyDescent="0.3">
      <c r="A5760" s="1" t="s">
        <v>4</v>
      </c>
      <c r="B5760" s="2" t="str">
        <f t="shared" si="471"/>
        <v>SISTEMA DE GERENCIAMENTO DE ESTOQUE</v>
      </c>
      <c r="C5760" s="2" t="str">
        <f t="shared" si="472"/>
        <v>SUPRI</v>
      </c>
      <c r="D5760" s="2" t="str">
        <f t="shared" si="473"/>
        <v>MGES</v>
      </c>
      <c r="E5760" s="2" t="str">
        <f>"M_BAIXASOL_MOVEL"</f>
        <v>M_BAIXASOL_MOVEL</v>
      </c>
      <c r="F5760" s="2" t="str">
        <f>"M_BAIXASOL_MOVEL"</f>
        <v>M_BAIXASOL_MOVEL</v>
      </c>
      <c r="G5760" s="2" t="str">
        <f t="shared" si="475"/>
        <v xml:space="preserve"> ()</v>
      </c>
    </row>
    <row r="5761" spans="1:7" x14ac:dyDescent="0.3">
      <c r="A5761" s="1" t="s">
        <v>4</v>
      </c>
      <c r="B5761" s="2" t="str">
        <f t="shared" si="471"/>
        <v>SISTEMA DE GERENCIAMENTO DE ESTOQUE</v>
      </c>
      <c r="C5761" s="2" t="str">
        <f t="shared" si="472"/>
        <v>SUPRI</v>
      </c>
      <c r="D5761" s="2" t="str">
        <f t="shared" si="473"/>
        <v>MGES</v>
      </c>
      <c r="E5761" s="2" t="str">
        <f>"M_AJUSTE_CONSOLIDACAO"</f>
        <v>M_AJUSTE_CONSOLIDACAO</v>
      </c>
      <c r="F5761" s="2" t="str">
        <f>"M_AJUSTE_CONSOLIDACAO"</f>
        <v>M_AJUSTE_CONSOLIDACAO</v>
      </c>
      <c r="G5761" s="2" t="str">
        <f t="shared" si="475"/>
        <v xml:space="preserve"> ()</v>
      </c>
    </row>
    <row r="5762" spans="1:7" x14ac:dyDescent="0.3">
      <c r="A5762" s="1" t="s">
        <v>4</v>
      </c>
      <c r="B5762" s="2" t="str">
        <f t="shared" si="471"/>
        <v>SISTEMA DE GERENCIAMENTO DE ESTOQUE</v>
      </c>
      <c r="C5762" s="2" t="str">
        <f t="shared" si="472"/>
        <v>SUPRI</v>
      </c>
      <c r="D5762" s="2" t="str">
        <f t="shared" si="473"/>
        <v>MGES</v>
      </c>
      <c r="E5762" s="2" t="str">
        <f>"M_AJUSTA_CUSTO_MEDIO_INVENTARIO"</f>
        <v>M_AJUSTA_CUSTO_MEDIO_INVENTARIO</v>
      </c>
      <c r="F5762" s="2" t="str">
        <f>"M_AJUSTA_CUSTO_MEDIO_INVENTARIO"</f>
        <v>M_AJUSTA_CUSTO_MEDIO_INVENTARIO</v>
      </c>
      <c r="G5762" s="2" t="str">
        <f t="shared" si="475"/>
        <v xml:space="preserve"> ()</v>
      </c>
    </row>
    <row r="5763" spans="1:7" x14ac:dyDescent="0.3">
      <c r="A5763" s="1" t="s">
        <v>4</v>
      </c>
      <c r="B5763" s="2" t="str">
        <f t="shared" si="471"/>
        <v>SISTEMA DE GERENCIAMENTO DE ESTOQUE</v>
      </c>
      <c r="C5763" s="2" t="str">
        <f t="shared" si="472"/>
        <v>SUPRI</v>
      </c>
      <c r="D5763" s="2" t="str">
        <f t="shared" si="473"/>
        <v>MGES</v>
      </c>
      <c r="E5763" s="2" t="str">
        <f>"MGES_REF"</f>
        <v>MGES_REF</v>
      </c>
      <c r="F5763" s="2" t="str">
        <f>"MGES_REF"</f>
        <v>MGES_REF</v>
      </c>
      <c r="G5763" s="2" t="str">
        <f t="shared" si="475"/>
        <v xml:space="preserve"> ()</v>
      </c>
    </row>
    <row r="5764" spans="1:7" x14ac:dyDescent="0.3">
      <c r="A5764" s="1" t="s">
        <v>4</v>
      </c>
      <c r="B5764" s="2" t="str">
        <f t="shared" si="471"/>
        <v>SISTEMA DE GERENCIAMENTO DE ESTOQUE</v>
      </c>
      <c r="C5764" s="2" t="str">
        <f t="shared" si="472"/>
        <v>SUPRI</v>
      </c>
      <c r="D5764" s="2" t="str">
        <f t="shared" si="473"/>
        <v>MGES</v>
      </c>
      <c r="E5764" s="2" t="str">
        <f>"MGES_PALM"</f>
        <v>MGES_PALM</v>
      </c>
      <c r="F5764" s="2" t="str">
        <f>"MGES_PALM"</f>
        <v>MGES_PALM</v>
      </c>
      <c r="G5764" s="2" t="str">
        <f t="shared" si="475"/>
        <v xml:space="preserve"> ()</v>
      </c>
    </row>
    <row r="5765" spans="1:7" x14ac:dyDescent="0.3">
      <c r="A5765" s="1" t="s">
        <v>4</v>
      </c>
      <c r="B5765" s="2" t="str">
        <f t="shared" si="471"/>
        <v>SISTEMA DE GERENCIAMENTO DE ESTOQUE</v>
      </c>
      <c r="C5765" s="2" t="str">
        <f t="shared" si="472"/>
        <v>SUPRI</v>
      </c>
      <c r="D5765" s="2" t="str">
        <f t="shared" si="473"/>
        <v>MGES</v>
      </c>
      <c r="E5765" s="2" t="str">
        <f>"C_PRODUTO_INVENTARIO"</f>
        <v>C_PRODUTO_INVENTARIO</v>
      </c>
      <c r="F5765" s="2" t="str">
        <f>"C_PRODUTO_INVENTARIO"</f>
        <v>C_PRODUTO_INVENTARIO</v>
      </c>
      <c r="G5765" s="2" t="str">
        <f t="shared" si="475"/>
        <v xml:space="preserve"> ()</v>
      </c>
    </row>
    <row r="5766" spans="1:7" x14ac:dyDescent="0.3">
      <c r="A5766" s="1" t="s">
        <v>4</v>
      </c>
      <c r="B5766" s="2" t="str">
        <f t="shared" si="471"/>
        <v>SISTEMA DE GERENCIAMENTO DE ESTOQUE</v>
      </c>
      <c r="C5766" s="2" t="str">
        <f t="shared" si="472"/>
        <v>SUPRI</v>
      </c>
      <c r="D5766" s="2" t="str">
        <f t="shared" si="473"/>
        <v>MGES</v>
      </c>
      <c r="E5766" s="2" t="str">
        <f>"R_CLAS_CONTAB_CONS_900"</f>
        <v>R_CLAS_CONTAB_CONS_900</v>
      </c>
      <c r="F5766" s="2" t="str">
        <f>"R_CLAS_CONTAB_CONS_900"</f>
        <v>R_CLAS_CONTAB_CONS_900</v>
      </c>
      <c r="G5766" s="2" t="str">
        <f t="shared" si="475"/>
        <v xml:space="preserve"> ()</v>
      </c>
    </row>
    <row r="5767" spans="1:7" x14ac:dyDescent="0.3">
      <c r="A5767" s="1" t="s">
        <v>4</v>
      </c>
      <c r="B5767" s="2" t="str">
        <f t="shared" si="471"/>
        <v>SISTEMA DE GERENCIAMENTO DE ESTOQUE</v>
      </c>
      <c r="C5767" s="2" t="str">
        <f t="shared" si="472"/>
        <v>SUPRI</v>
      </c>
      <c r="D5767" s="2" t="str">
        <f t="shared" si="473"/>
        <v>MGES</v>
      </c>
      <c r="E5767" s="2" t="str">
        <f>"LIVRO DE REGISTRO ESPECÍFICO"</f>
        <v>LIVRO DE REGISTRO ESPECÍFICO</v>
      </c>
      <c r="F5767" s="2" t="str">
        <f>"R_LIVRO_REG_297"</f>
        <v>R_LIVRO_REG_297</v>
      </c>
      <c r="G5767" s="2" t="str">
        <f t="shared" si="475"/>
        <v xml:space="preserve"> ()</v>
      </c>
    </row>
    <row r="5768" spans="1:7" x14ac:dyDescent="0.3">
      <c r="A5768" s="1" t="s">
        <v>4</v>
      </c>
      <c r="B5768" s="2" t="str">
        <f t="shared" si="471"/>
        <v>SISTEMA DE GERENCIAMENTO DE ESTOQUE</v>
      </c>
      <c r="C5768" s="2" t="str">
        <f t="shared" si="472"/>
        <v>SUPRI</v>
      </c>
      <c r="D5768" s="2" t="str">
        <f t="shared" si="473"/>
        <v>MGES</v>
      </c>
      <c r="E5768" s="2" t="str">
        <f>"ENTRADA DE PRODUTOS"</f>
        <v>ENTRADA DE PRODUTOS</v>
      </c>
      <c r="F5768" s="2" t="str">
        <f>"M_ARQUIVO_MOVIMENTACAO"</f>
        <v>M_ARQUIVO_MOVIMENTACAO</v>
      </c>
      <c r="G5768" s="2" t="str">
        <f t="shared" si="475"/>
        <v xml:space="preserve"> ()</v>
      </c>
    </row>
    <row r="5769" spans="1:7" x14ac:dyDescent="0.3">
      <c r="A5769" s="1" t="s">
        <v>4</v>
      </c>
      <c r="B5769" s="2" t="str">
        <f t="shared" si="471"/>
        <v>SISTEMA DE GERENCIAMENTO DE ESTOQUE</v>
      </c>
      <c r="C5769" s="2" t="str">
        <f t="shared" si="472"/>
        <v>SUPRI</v>
      </c>
      <c r="D5769" s="2" t="str">
        <f t="shared" si="473"/>
        <v>MGES</v>
      </c>
      <c r="E5769" s="2" t="str">
        <f>"CADASTRO: PALAVRAS CHAVE"</f>
        <v>CADASTRO: PALAVRAS CHAVE</v>
      </c>
      <c r="F5769" s="2" t="str">
        <f>"CONF_REALTORIO"</f>
        <v>CONF_REALTORIO</v>
      </c>
      <c r="G5769" s="2" t="str">
        <f t="shared" si="475"/>
        <v xml:space="preserve"> ()</v>
      </c>
    </row>
    <row r="5770" spans="1:7" x14ac:dyDescent="0.3">
      <c r="A5770" s="1" t="s">
        <v>4</v>
      </c>
      <c r="B5770" s="2" t="str">
        <f t="shared" si="471"/>
        <v>SISTEMA DE GERENCIAMENTO DE ESTOQUE</v>
      </c>
      <c r="C5770" s="2" t="str">
        <f t="shared" si="472"/>
        <v>SUPRI</v>
      </c>
      <c r="D5770" s="2" t="str">
        <f t="shared" si="473"/>
        <v>MGES</v>
      </c>
      <c r="E5770" s="2" t="str">
        <f>"LUCRATIVIDADE DE MEDICAMENTO POR MARCA"</f>
        <v>LUCRATIVIDADE DE MEDICAMENTO POR MARCA</v>
      </c>
      <c r="F5770" s="2" t="str">
        <f>"R_LUCRO_MED_MARCA_199"</f>
        <v>R_LUCRO_MED_MARCA_199</v>
      </c>
      <c r="G5770" s="2" t="str">
        <f t="shared" si="475"/>
        <v xml:space="preserve"> ()</v>
      </c>
    </row>
    <row r="5771" spans="1:7" x14ac:dyDescent="0.3">
      <c r="A5771" s="1" t="s">
        <v>4</v>
      </c>
      <c r="B5771" s="2" t="str">
        <f t="shared" si="471"/>
        <v>SISTEMA DE GERENCIAMENTO DE ESTOQUE</v>
      </c>
      <c r="C5771" s="2" t="str">
        <f t="shared" si="472"/>
        <v>SUPRI</v>
      </c>
      <c r="D5771" s="2" t="str">
        <f t="shared" si="473"/>
        <v>MGES</v>
      </c>
      <c r="E5771" s="2" t="str">
        <f>"R_DIVERGE_ENT_ESTOQUE"</f>
        <v>R_DIVERGE_ENT_ESTOQUE</v>
      </c>
      <c r="F5771" s="2" t="str">
        <f>"R_DIVERGE_ENT_ESTOQUE"</f>
        <v>R_DIVERGE_ENT_ESTOQUE</v>
      </c>
      <c r="G5771" s="2" t="str">
        <f>"Materiais e Logística / Almoxarifado / Relatórios / Contábeis / Divergência Entre Entradas do Estoque (R_DIVERGE_ENT_ESTOQUE)"</f>
        <v>Materiais e Logística / Almoxarifado / Relatórios / Contábeis / Divergência Entre Entradas do Estoque (R_DIVERGE_ENT_ESTOQUE)</v>
      </c>
    </row>
    <row r="5772" spans="1:7" x14ac:dyDescent="0.3">
      <c r="A5772" s="1" t="s">
        <v>4</v>
      </c>
      <c r="B5772" s="2" t="str">
        <f t="shared" si="471"/>
        <v>SISTEMA DE GERENCIAMENTO DE ESTOQUE</v>
      </c>
      <c r="C5772" s="2" t="str">
        <f t="shared" si="472"/>
        <v>SUPRI</v>
      </c>
      <c r="D5772" s="2" t="str">
        <f t="shared" si="473"/>
        <v>MGES</v>
      </c>
      <c r="E5772" s="2" t="str">
        <f>"BALANCO CONTABIL"</f>
        <v>BALANCO CONTABIL</v>
      </c>
      <c r="F5772" s="2" t="str">
        <f>"R_BALANCO_CONTABIL_PROD"</f>
        <v>R_BALANCO_CONTABIL_PROD</v>
      </c>
      <c r="G5772" s="2" t="str">
        <f>" ()"</f>
        <v xml:space="preserve"> ()</v>
      </c>
    </row>
    <row r="5773" spans="1:7" x14ac:dyDescent="0.3">
      <c r="A5773" s="1" t="s">
        <v>4</v>
      </c>
      <c r="B5773" s="2" t="str">
        <f t="shared" si="471"/>
        <v>SISTEMA DE GERENCIAMENTO DE ESTOQUE</v>
      </c>
      <c r="C5773" s="2" t="str">
        <f t="shared" si="472"/>
        <v>SUPRI</v>
      </c>
      <c r="D5773" s="2" t="str">
        <f t="shared" si="473"/>
        <v>MGES</v>
      </c>
      <c r="E5773" s="2" t="str">
        <f>"PRODUÇÃO DE KITS EM MASSA"</f>
        <v>PRODUÇÃO DE KITS EM MASSA</v>
      </c>
      <c r="F5773" s="2" t="str">
        <f>"M_CUSTO_FIXO_PRODUCAO"</f>
        <v>M_CUSTO_FIXO_PRODUCAO</v>
      </c>
      <c r="G5773" s="2" t="str">
        <f>"Materiais e Logística / Almoxarifado / Tabelas / Custos Fixos de Produção (M_CUSTO_FIXO_PRODUCAO)"</f>
        <v>Materiais e Logística / Almoxarifado / Tabelas / Custos Fixos de Produção (M_CUSTO_FIXO_PRODUCAO)</v>
      </c>
    </row>
    <row r="5774" spans="1:7" x14ac:dyDescent="0.3">
      <c r="A5774" s="1" t="s">
        <v>4</v>
      </c>
      <c r="B5774" s="2" t="str">
        <f t="shared" si="471"/>
        <v>SISTEMA DE GERENCIAMENTO DE ESTOQUE</v>
      </c>
      <c r="C5774" s="2" t="str">
        <f t="shared" si="472"/>
        <v>SUPRI</v>
      </c>
      <c r="D5774" s="2" t="str">
        <f t="shared" si="473"/>
        <v>MGES</v>
      </c>
      <c r="E5774" s="2" t="str">
        <f>"R_CONTAB_PROD_CONSIG_SINT"</f>
        <v>R_CONTAB_PROD_CONSIG_SINT</v>
      </c>
      <c r="F5774" s="2" t="str">
        <f>"R_CONTAB_PROD_CONSIG_SINT"</f>
        <v>R_CONTAB_PROD_CONSIG_SINT</v>
      </c>
      <c r="G5774" s="2" t="str">
        <f>" ()"</f>
        <v xml:space="preserve"> ()</v>
      </c>
    </row>
    <row r="5775" spans="1:7" x14ac:dyDescent="0.3">
      <c r="A5775" s="1" t="s">
        <v>4</v>
      </c>
      <c r="B5775" s="2" t="str">
        <f t="shared" si="471"/>
        <v>SISTEMA DE GERENCIAMENTO DE ESTOQUE</v>
      </c>
      <c r="C5775" s="2" t="str">
        <f t="shared" si="472"/>
        <v>SUPRI</v>
      </c>
      <c r="D5775" s="2" t="str">
        <f t="shared" si="473"/>
        <v>MGES</v>
      </c>
      <c r="E5775" s="2" t="str">
        <f>"R_ENTRADA_SERVICO_CHAR"</f>
        <v>R_ENTRADA_SERVICO_CHAR</v>
      </c>
      <c r="F5775" s="2" t="str">
        <f>"R_ENTRADA_SERVICO_CHAR"</f>
        <v>R_ENTRADA_SERVICO_CHAR</v>
      </c>
      <c r="G5775" s="2" t="str">
        <f>" ()"</f>
        <v xml:space="preserve"> ()</v>
      </c>
    </row>
    <row r="5776" spans="1:7" x14ac:dyDescent="0.3">
      <c r="A5776" s="1" t="s">
        <v>4</v>
      </c>
      <c r="B5776" s="2" t="str">
        <f t="shared" si="471"/>
        <v>SISTEMA DE GERENCIAMENTO DE ESTOQUE</v>
      </c>
      <c r="C5776" s="2" t="str">
        <f t="shared" si="472"/>
        <v>SUPRI</v>
      </c>
      <c r="D5776" s="2" t="str">
        <f t="shared" si="473"/>
        <v>MGES</v>
      </c>
      <c r="E5776" s="2" t="str">
        <f>"R_POS_PENDENCIA_EMP"</f>
        <v>R_POS_PENDENCIA_EMP</v>
      </c>
      <c r="F5776" s="2" t="str">
        <f>"R_POS_PENDENCIA_EMP"</f>
        <v>R_POS_PENDENCIA_EMP</v>
      </c>
      <c r="G5776" s="2" t="str">
        <f>"Materiais e Logística / Almoxarifado / Relatórios / Operacionais / Movimentações de Emprestimos / Posição de Empréstimos na Data (R_POS_PENDENCIA_EMP)"</f>
        <v>Materiais e Logística / Almoxarifado / Relatórios / Operacionais / Movimentações de Emprestimos / Posição de Empréstimos na Data (R_POS_PENDENCIA_EMP)</v>
      </c>
    </row>
    <row r="5777" spans="1:7" x14ac:dyDescent="0.3">
      <c r="A5777" s="1" t="s">
        <v>4</v>
      </c>
      <c r="B5777" s="2" t="str">
        <f t="shared" si="471"/>
        <v>SISTEMA DE GERENCIAMENTO DE ESTOQUE</v>
      </c>
      <c r="C5777" s="2" t="str">
        <f t="shared" si="472"/>
        <v>SUPRI</v>
      </c>
      <c r="D5777" s="2" t="str">
        <f t="shared" si="473"/>
        <v>MGES</v>
      </c>
      <c r="E5777" s="2" t="str">
        <f>"CONFIRMAÇÃO DO CONSUMO"</f>
        <v>CONFIRMAÇÃO DO CONSUMO</v>
      </c>
      <c r="F5777" s="2" t="str">
        <f>"C_ATEND_CONSUMO"</f>
        <v>C_ATEND_CONSUMO</v>
      </c>
      <c r="G5777" s="2" t="str">
        <f>"Materiais e Logística / Almoxarifado / Movimentações / Devoluções / Confirmação do Consumo (C_ATEND_CONSUMO)"</f>
        <v>Materiais e Logística / Almoxarifado / Movimentações / Devoluções / Confirmação do Consumo (C_ATEND_CONSUMO)</v>
      </c>
    </row>
    <row r="5778" spans="1:7" x14ac:dyDescent="0.3">
      <c r="A5778" s="1" t="s">
        <v>4</v>
      </c>
      <c r="B5778" s="2" t="str">
        <f t="shared" si="471"/>
        <v>SISTEMA DE GERENCIAMENTO DE ESTOQUE</v>
      </c>
      <c r="C5778" s="2" t="str">
        <f t="shared" si="472"/>
        <v>SUPRI</v>
      </c>
      <c r="D5778" s="2" t="str">
        <f t="shared" si="473"/>
        <v>MGES</v>
      </c>
      <c r="E5778" s="2" t="str">
        <f>"RELATORIO CUSTO SAIDA SETOR"</f>
        <v>RELATORIO CUSTO SAIDA SETOR</v>
      </c>
      <c r="F5778" s="2" t="str">
        <f>"R_CUSTO_SAIDA_SETOR_CONSO"</f>
        <v>R_CUSTO_SAIDA_SETOR_CONSO</v>
      </c>
      <c r="G5778" s="2" t="str">
        <f t="shared" ref="G5778:G5789" si="476">" ()"</f>
        <v xml:space="preserve"> ()</v>
      </c>
    </row>
    <row r="5779" spans="1:7" x14ac:dyDescent="0.3">
      <c r="A5779" s="1" t="s">
        <v>4</v>
      </c>
      <c r="B5779" s="2" t="str">
        <f t="shared" si="471"/>
        <v>SISTEMA DE GERENCIAMENTO DE ESTOQUE</v>
      </c>
      <c r="C5779" s="2" t="str">
        <f t="shared" si="472"/>
        <v>SUPRI</v>
      </c>
      <c r="D5779" s="2" t="str">
        <f t="shared" si="473"/>
        <v>MGES</v>
      </c>
      <c r="E5779" s="2" t="str">
        <f>"RELATORIO SAIDA E DEVOLUÇÕES POR ESPÉCIE"</f>
        <v>RELATORIO SAIDA E DEVOLUÇÕES POR ESPÉCIE</v>
      </c>
      <c r="F5779" s="2" t="str">
        <f>"R_SAI_DEV_ESP_CONSO"</f>
        <v>R_SAI_DEV_ESP_CONSO</v>
      </c>
      <c r="G5779" s="2" t="str">
        <f t="shared" si="476"/>
        <v xml:space="preserve"> ()</v>
      </c>
    </row>
    <row r="5780" spans="1:7" x14ac:dyDescent="0.3">
      <c r="A5780" s="1" t="s">
        <v>4</v>
      </c>
      <c r="B5780" s="2" t="str">
        <f t="shared" si="471"/>
        <v>SISTEMA DE GERENCIAMENTO DE ESTOQUE</v>
      </c>
      <c r="C5780" s="2" t="str">
        <f t="shared" si="472"/>
        <v>SUPRI</v>
      </c>
      <c r="D5780" s="2" t="str">
        <f t="shared" si="473"/>
        <v>MGES</v>
      </c>
      <c r="E5780" s="2" t="str">
        <f>"RELATORIO DE PRODUTOS CRITICOS"</f>
        <v>RELATORIO DE PRODUTOS CRITICOS</v>
      </c>
      <c r="F5780" s="2" t="str">
        <f>"R_PROD_CRIT_S"</f>
        <v>R_PROD_CRIT_S</v>
      </c>
      <c r="G5780" s="2" t="str">
        <f t="shared" si="476"/>
        <v xml:space="preserve"> ()</v>
      </c>
    </row>
    <row r="5781" spans="1:7" x14ac:dyDescent="0.3">
      <c r="A5781" s="1" t="s">
        <v>4</v>
      </c>
      <c r="B5781" s="2" t="str">
        <f t="shared" si="471"/>
        <v>SISTEMA DE GERENCIAMENTO DE ESTOQUE</v>
      </c>
      <c r="C5781" s="2" t="str">
        <f t="shared" si="472"/>
        <v>SUPRI</v>
      </c>
      <c r="D5781" s="2" t="str">
        <f t="shared" si="473"/>
        <v>MGES</v>
      </c>
      <c r="E5781" s="2" t="str">
        <f>"RELATORIO DE EFICIENCIA ATENDIMENTO"</f>
        <v>RELATORIO DE EFICIENCIA ATENDIMENTO</v>
      </c>
      <c r="F5781" s="2" t="str">
        <f>"R_EFICIE_ATEND_SINT"</f>
        <v>R_EFICIE_ATEND_SINT</v>
      </c>
      <c r="G5781" s="2" t="str">
        <f t="shared" si="476"/>
        <v xml:space="preserve"> ()</v>
      </c>
    </row>
    <row r="5782" spans="1:7" x14ac:dyDescent="0.3">
      <c r="A5782" s="1" t="s">
        <v>4</v>
      </c>
      <c r="B5782" s="2" t="str">
        <f t="shared" si="471"/>
        <v>SISTEMA DE GERENCIAMENTO DE ESTOQUE</v>
      </c>
      <c r="C5782" s="2" t="str">
        <f t="shared" si="472"/>
        <v>SUPRI</v>
      </c>
      <c r="D5782" s="2" t="str">
        <f t="shared" si="473"/>
        <v>MGES</v>
      </c>
      <c r="E5782" s="2" t="str">
        <f>"RELATORIO DE EFICIENCIA ATENDIMENTO"</f>
        <v>RELATORIO DE EFICIENCIA ATENDIMENTO</v>
      </c>
      <c r="F5782" s="2" t="str">
        <f>"R_EFICIEN_ATEND_ANA"</f>
        <v>R_EFICIEN_ATEND_ANA</v>
      </c>
      <c r="G5782" s="2" t="str">
        <f t="shared" si="476"/>
        <v xml:space="preserve"> ()</v>
      </c>
    </row>
    <row r="5783" spans="1:7" x14ac:dyDescent="0.3">
      <c r="A5783" s="1" t="s">
        <v>4</v>
      </c>
      <c r="B5783" s="2" t="str">
        <f t="shared" si="471"/>
        <v>SISTEMA DE GERENCIAMENTO DE ESTOQUE</v>
      </c>
      <c r="C5783" s="2" t="str">
        <f t="shared" si="472"/>
        <v>SUPRI</v>
      </c>
      <c r="D5783" s="2" t="str">
        <f t="shared" si="473"/>
        <v>MGES</v>
      </c>
      <c r="E5783" s="2" t="str">
        <f>"M"</f>
        <v>M</v>
      </c>
      <c r="F5783" s="2" t="str">
        <f>"M"</f>
        <v>M</v>
      </c>
      <c r="G5783" s="2" t="str">
        <f t="shared" si="476"/>
        <v xml:space="preserve"> ()</v>
      </c>
    </row>
    <row r="5784" spans="1:7" x14ac:dyDescent="0.3">
      <c r="A5784" s="1" t="s">
        <v>4</v>
      </c>
      <c r="B5784" s="2" t="str">
        <f t="shared" si="471"/>
        <v>SISTEMA DE GERENCIAMENTO DE ESTOQUE</v>
      </c>
      <c r="C5784" s="2" t="str">
        <f t="shared" si="472"/>
        <v>SUPRI</v>
      </c>
      <c r="D5784" s="2" t="str">
        <f t="shared" si="473"/>
        <v>MGES</v>
      </c>
      <c r="E5784" s="2" t="str">
        <f>"R_RESUMO_USUARIO_759"</f>
        <v>R_RESUMO_USUARIO_759</v>
      </c>
      <c r="F5784" s="2" t="str">
        <f>"R_RESUMO_USUARIO_759"</f>
        <v>R_RESUMO_USUARIO_759</v>
      </c>
      <c r="G5784" s="2" t="str">
        <f t="shared" si="476"/>
        <v xml:space="preserve"> ()</v>
      </c>
    </row>
    <row r="5785" spans="1:7" x14ac:dyDescent="0.3">
      <c r="A5785" s="1" t="s">
        <v>4</v>
      </c>
      <c r="B5785" s="2" t="str">
        <f t="shared" si="471"/>
        <v>SISTEMA DE GERENCIAMENTO DE ESTOQUE</v>
      </c>
      <c r="C5785" s="2" t="str">
        <f t="shared" si="472"/>
        <v>SUPRI</v>
      </c>
      <c r="D5785" s="2" t="str">
        <f t="shared" si="473"/>
        <v>MGES</v>
      </c>
      <c r="E5785" s="2" t="str">
        <f>"R_RESUMO_SETOR_759"</f>
        <v>R_RESUMO_SETOR_759</v>
      </c>
      <c r="F5785" s="2" t="str">
        <f>"R_RESUMO_SETOR_759"</f>
        <v>R_RESUMO_SETOR_759</v>
      </c>
      <c r="G5785" s="2" t="str">
        <f t="shared" si="476"/>
        <v xml:space="preserve"> ()</v>
      </c>
    </row>
    <row r="5786" spans="1:7" x14ac:dyDescent="0.3">
      <c r="A5786" s="1" t="s">
        <v>4</v>
      </c>
      <c r="B5786" s="2" t="str">
        <f t="shared" ref="B5786:B5849" si="477">"SISTEMA DE GERENCIAMENTO DE ESTOQUE"</f>
        <v>SISTEMA DE GERENCIAMENTO DE ESTOQUE</v>
      </c>
      <c r="C5786" s="2" t="str">
        <f t="shared" ref="C5786:C5849" si="478">"SUPRI"</f>
        <v>SUPRI</v>
      </c>
      <c r="D5786" s="2" t="str">
        <f t="shared" ref="D5786:D5849" si="479">"MGES"</f>
        <v>MGES</v>
      </c>
      <c r="E5786" s="2" t="str">
        <f>"R_EMPRESTIMO_SAIDA_DIF"</f>
        <v>R_EMPRESTIMO_SAIDA_DIF</v>
      </c>
      <c r="F5786" s="2" t="str">
        <f>"R_EMPRESTIMO_SAIDA_DIF"</f>
        <v>R_EMPRESTIMO_SAIDA_DIF</v>
      </c>
      <c r="G5786" s="2" t="str">
        <f t="shared" si="476"/>
        <v xml:space="preserve"> ()</v>
      </c>
    </row>
    <row r="5787" spans="1:7" x14ac:dyDescent="0.3">
      <c r="A5787" s="1" t="s">
        <v>4</v>
      </c>
      <c r="B5787" s="2" t="str">
        <f t="shared" si="477"/>
        <v>SISTEMA DE GERENCIAMENTO DE ESTOQUE</v>
      </c>
      <c r="C5787" s="2" t="str">
        <f t="shared" si="478"/>
        <v>SUPRI</v>
      </c>
      <c r="D5787" s="2" t="str">
        <f t="shared" si="479"/>
        <v>MGES</v>
      </c>
      <c r="E5787" s="2" t="str">
        <f>"R_RES_TRANS_SAI_CONSOL"</f>
        <v>R_RES_TRANS_SAI_CONSOL</v>
      </c>
      <c r="F5787" s="2" t="str">
        <f>"R_RES_TRANS_SAI_CONSOL"</f>
        <v>R_RES_TRANS_SAI_CONSOL</v>
      </c>
      <c r="G5787" s="2" t="str">
        <f t="shared" si="476"/>
        <v xml:space="preserve"> ()</v>
      </c>
    </row>
    <row r="5788" spans="1:7" x14ac:dyDescent="0.3">
      <c r="A5788" s="1" t="s">
        <v>4</v>
      </c>
      <c r="B5788" s="2" t="str">
        <f t="shared" si="477"/>
        <v>SISTEMA DE GERENCIAMENTO DE ESTOQUE</v>
      </c>
      <c r="C5788" s="2" t="str">
        <f t="shared" si="478"/>
        <v>SUPRI</v>
      </c>
      <c r="D5788" s="2" t="str">
        <f t="shared" si="479"/>
        <v>MGES</v>
      </c>
      <c r="E5788" s="2" t="str">
        <f>"R_RES_CONT_ENT_CONSOL"</f>
        <v>R_RES_CONT_ENT_CONSOL</v>
      </c>
      <c r="F5788" s="2" t="str">
        <f>"R_RES_CONT_ENT_CONSOL"</f>
        <v>R_RES_CONT_ENT_CONSOL</v>
      </c>
      <c r="G5788" s="2" t="str">
        <f t="shared" si="476"/>
        <v xml:space="preserve"> ()</v>
      </c>
    </row>
    <row r="5789" spans="1:7" x14ac:dyDescent="0.3">
      <c r="A5789" s="1" t="s">
        <v>4</v>
      </c>
      <c r="B5789" s="2" t="str">
        <f t="shared" si="477"/>
        <v>SISTEMA DE GERENCIAMENTO DE ESTOQUE</v>
      </c>
      <c r="C5789" s="2" t="str">
        <f t="shared" si="478"/>
        <v>SUPRI</v>
      </c>
      <c r="D5789" s="2" t="str">
        <f t="shared" si="479"/>
        <v>MGES</v>
      </c>
      <c r="E5789" s="2" t="str">
        <f>"R_PENDENCIA_PROD_FORNEC"</f>
        <v>R_PENDENCIA_PROD_FORNEC</v>
      </c>
      <c r="F5789" s="2" t="str">
        <f>"R_PENDENCIA_PROD_FORNEC"</f>
        <v>R_PENDENCIA_PROD_FORNEC</v>
      </c>
      <c r="G5789" s="2" t="str">
        <f t="shared" si="476"/>
        <v xml:space="preserve"> ()</v>
      </c>
    </row>
    <row r="5790" spans="1:7" x14ac:dyDescent="0.3">
      <c r="A5790" s="1" t="s">
        <v>4</v>
      </c>
      <c r="B5790" s="2" t="str">
        <f t="shared" si="477"/>
        <v>SISTEMA DE GERENCIAMENTO DE ESTOQUE</v>
      </c>
      <c r="C5790" s="2" t="str">
        <f t="shared" si="478"/>
        <v>SUPRI</v>
      </c>
      <c r="D5790" s="2" t="str">
        <f t="shared" si="479"/>
        <v>MGES</v>
      </c>
      <c r="E5790" s="2" t="str">
        <f>"ORACLE FORMS RUNTIME"</f>
        <v>ORACLE FORMS RUNTIME</v>
      </c>
      <c r="F5790" s="2" t="str">
        <f>"M_SOLPENDENTES"</f>
        <v>M_SOLPENDENTES</v>
      </c>
      <c r="G5790" s="2" t="str">
        <f>"Materiais e Logística / Almoxarifado / Consultas / Solicitações Pendentes (M_SOLPENDENTES)"</f>
        <v>Materiais e Logística / Almoxarifado / Consultas / Solicitações Pendentes (M_SOLPENDENTES)</v>
      </c>
    </row>
    <row r="5791" spans="1:7" x14ac:dyDescent="0.3">
      <c r="A5791" s="1" t="s">
        <v>4</v>
      </c>
      <c r="B5791" s="2" t="str">
        <f t="shared" si="477"/>
        <v>SISTEMA DE GERENCIAMENTO DE ESTOQUE</v>
      </c>
      <c r="C5791" s="2" t="str">
        <f t="shared" si="478"/>
        <v>SUPRI</v>
      </c>
      <c r="D5791" s="2" t="str">
        <f t="shared" si="479"/>
        <v>MGES</v>
      </c>
      <c r="E5791" s="2" t="str">
        <f>"TERMO DE ABERTURA"</f>
        <v>TERMO DE ABERTURA</v>
      </c>
      <c r="F5791" s="2" t="str">
        <f>"M_TERMO_ABERTURA"</f>
        <v>M_TERMO_ABERTURA</v>
      </c>
      <c r="G5791" s="2" t="str">
        <f>"Materiais e Logística / Almoxarifado / Personalizados / Termo de Abertura (M_TERMO_ABERTURA)"</f>
        <v>Materiais e Logística / Almoxarifado / Personalizados / Termo de Abertura (M_TERMO_ABERTURA)</v>
      </c>
    </row>
    <row r="5792" spans="1:7" x14ac:dyDescent="0.3">
      <c r="A5792" s="1" t="s">
        <v>4</v>
      </c>
      <c r="B5792" s="2" t="str">
        <f t="shared" si="477"/>
        <v>SISTEMA DE GERENCIAMENTO DE ESTOQUE</v>
      </c>
      <c r="C5792" s="2" t="str">
        <f t="shared" si="478"/>
        <v>SUPRI</v>
      </c>
      <c r="D5792" s="2" t="str">
        <f t="shared" si="479"/>
        <v>MGES</v>
      </c>
      <c r="E5792" s="2" t="str">
        <f>"TERMO DE ABERTURA"</f>
        <v>TERMO DE ABERTURA</v>
      </c>
      <c r="F5792" s="2" t="str">
        <f>"M_TERMO_ABERTURA"</f>
        <v>M_TERMO_ABERTURA</v>
      </c>
      <c r="G5792" s="2" t="str">
        <f>"Materiais e Logística / Almoxarifado / Movimentações / Termo de Abertura (M_TERMO_ABERTURA)"</f>
        <v>Materiais e Logística / Almoxarifado / Movimentações / Termo de Abertura (M_TERMO_ABERTURA)</v>
      </c>
    </row>
    <row r="5793" spans="1:7" x14ac:dyDescent="0.3">
      <c r="A5793" s="1" t="s">
        <v>4</v>
      </c>
      <c r="B5793" s="2" t="str">
        <f t="shared" si="477"/>
        <v>SISTEMA DE GERENCIAMENTO DE ESTOQUE</v>
      </c>
      <c r="C5793" s="2" t="str">
        <f t="shared" si="478"/>
        <v>SUPRI</v>
      </c>
      <c r="D5793" s="2" t="str">
        <f t="shared" si="479"/>
        <v>MGES</v>
      </c>
      <c r="E5793" s="2" t="str">
        <f>"CLASSIFICAÇÃO"</f>
        <v>CLASSIFICAÇÃO</v>
      </c>
      <c r="F5793" s="2" t="str">
        <f>"R_CLASSIFICACAO"</f>
        <v>R_CLASSIFICACAO</v>
      </c>
      <c r="G5793" s="2" t="str">
        <f>"Materiais e Logística / Almoxarifado / Relatórios / Tabelas / Classificação (R_CLASSIFICACAO)"</f>
        <v>Materiais e Logística / Almoxarifado / Relatórios / Tabelas / Classificação (R_CLASSIFICACAO)</v>
      </c>
    </row>
    <row r="5794" spans="1:7" x14ac:dyDescent="0.3">
      <c r="A5794" s="1" t="s">
        <v>4</v>
      </c>
      <c r="B5794" s="2" t="str">
        <f t="shared" si="477"/>
        <v>SISTEMA DE GERENCIAMENTO DE ESTOQUE</v>
      </c>
      <c r="C5794" s="2" t="str">
        <f t="shared" si="478"/>
        <v>SUPRI</v>
      </c>
      <c r="D5794" s="2" t="str">
        <f t="shared" si="479"/>
        <v>MGES</v>
      </c>
      <c r="E5794" s="2" t="str">
        <f>"SOLICITAÇÃO: SAÍDA DE PRODUTOS"</f>
        <v>SOLICITAÇÃO: SAÍDA DE PRODUTOS</v>
      </c>
      <c r="F5794" s="2" t="str">
        <f>"M_SOLSAI_PRO"</f>
        <v>M_SOLSAI_PRO</v>
      </c>
      <c r="G5794" s="2" t="str">
        <f>" ()"</f>
        <v xml:space="preserve"> ()</v>
      </c>
    </row>
    <row r="5795" spans="1:7" x14ac:dyDescent="0.3">
      <c r="A5795" s="1" t="s">
        <v>4</v>
      </c>
      <c r="B5795" s="2" t="str">
        <f t="shared" si="477"/>
        <v>SISTEMA DE GERENCIAMENTO DE ESTOQUE</v>
      </c>
      <c r="C5795" s="2" t="str">
        <f t="shared" si="478"/>
        <v>SUPRI</v>
      </c>
      <c r="D5795" s="2" t="str">
        <f t="shared" si="479"/>
        <v>MGES</v>
      </c>
      <c r="E5795" s="2" t="str">
        <f>"FICHA DE ESTOQUE"</f>
        <v>FICHA DE ESTOQUE</v>
      </c>
      <c r="F5795" s="2" t="str">
        <f>"R_FICHA_CONTAGEM"</f>
        <v>R_FICHA_CONTAGEM</v>
      </c>
      <c r="G5795" s="2" t="str">
        <f>"Materiais e Logística / Almoxarifado / Relatórios / Contagem / Ficha para Contagem (R_FICHA_CONTAGEM)"</f>
        <v>Materiais e Logística / Almoxarifado / Relatórios / Contagem / Ficha para Contagem (R_FICHA_CONTAGEM)</v>
      </c>
    </row>
    <row r="5796" spans="1:7" x14ac:dyDescent="0.3">
      <c r="A5796" s="1" t="s">
        <v>4</v>
      </c>
      <c r="B5796" s="2" t="str">
        <f t="shared" si="477"/>
        <v>SISTEMA DE GERENCIAMENTO DE ESTOQUE</v>
      </c>
      <c r="C5796" s="2" t="str">
        <f t="shared" si="478"/>
        <v>SUPRI</v>
      </c>
      <c r="D5796" s="2" t="str">
        <f t="shared" si="479"/>
        <v>MGES</v>
      </c>
      <c r="E5796" s="2" t="str">
        <f>"CONSULTA DE PRODUTOS"</f>
        <v>CONSULTA DE PRODUTOS</v>
      </c>
      <c r="F5796" s="2" t="str">
        <f>"C_PRODUTO"</f>
        <v>C_PRODUTO</v>
      </c>
      <c r="G5796" s="2" t="str">
        <f>" ()"</f>
        <v xml:space="preserve"> ()</v>
      </c>
    </row>
    <row r="5797" spans="1:7" x14ac:dyDescent="0.3">
      <c r="A5797" s="1" t="s">
        <v>4</v>
      </c>
      <c r="B5797" s="2" t="str">
        <f t="shared" si="477"/>
        <v>SISTEMA DE GERENCIAMENTO DE ESTOQUE</v>
      </c>
      <c r="C5797" s="2" t="str">
        <f t="shared" si="478"/>
        <v>SUPRI</v>
      </c>
      <c r="D5797" s="2" t="str">
        <f t="shared" si="479"/>
        <v>MGES</v>
      </c>
      <c r="E5797" s="2" t="str">
        <f>"RELATORIO DE DOC. DE ENTRADA SINT.ENTRAD"</f>
        <v>RELATORIO DE DOC. DE ENTRADA SINT.ENTRAD</v>
      </c>
      <c r="F5797" s="2" t="str">
        <f>"R_EST_DOC_ENT_DATA_ENT"</f>
        <v>R_EST_DOC_ENT_DATA_ENT</v>
      </c>
      <c r="G5797" s="2" t="str">
        <f>" ()"</f>
        <v xml:space="preserve"> ()</v>
      </c>
    </row>
    <row r="5798" spans="1:7" x14ac:dyDescent="0.3">
      <c r="A5798" s="1" t="s">
        <v>4</v>
      </c>
      <c r="B5798" s="2" t="str">
        <f t="shared" si="477"/>
        <v>SISTEMA DE GERENCIAMENTO DE ESTOQUE</v>
      </c>
      <c r="C5798" s="2" t="str">
        <f t="shared" si="478"/>
        <v>SUPRI</v>
      </c>
      <c r="D5798" s="2" t="str">
        <f t="shared" si="479"/>
        <v>MGES</v>
      </c>
      <c r="E5798" s="2" t="str">
        <f>"RELATORIO DE DOC. DE ENTRADA SINT. P. EM"</f>
        <v>RELATORIO DE DOC. DE ENTRADA SINT. P. EM</v>
      </c>
      <c r="F5798" s="2" t="str">
        <f>"R_EST_DOC_ENT_DATA_EMIS"</f>
        <v>R_EST_DOC_ENT_DATA_EMIS</v>
      </c>
      <c r="G5798" s="2" t="str">
        <f>" ()"</f>
        <v xml:space="preserve"> ()</v>
      </c>
    </row>
    <row r="5799" spans="1:7" x14ac:dyDescent="0.3">
      <c r="A5799" s="1" t="s">
        <v>4</v>
      </c>
      <c r="B5799" s="2" t="str">
        <f t="shared" si="477"/>
        <v>SISTEMA DE GERENCIAMENTO DE ESTOQUE</v>
      </c>
      <c r="C5799" s="2" t="str">
        <f t="shared" si="478"/>
        <v>SUPRI</v>
      </c>
      <c r="D5799" s="2" t="str">
        <f t="shared" si="479"/>
        <v>MGES</v>
      </c>
      <c r="E5799" s="2" t="str">
        <f>"RELATORIO DE BAL DE ESTOQUE PARA CONFERE"</f>
        <v>RELATORIO DE BAL DE ESTOQUE PARA CONFERE</v>
      </c>
      <c r="F5799" s="2" t="str">
        <f>"R_BAL_EST_CONF_PROD"</f>
        <v>R_BAL_EST_CONF_PROD</v>
      </c>
      <c r="G5799" s="2" t="str">
        <f>" ()"</f>
        <v xml:space="preserve"> ()</v>
      </c>
    </row>
    <row r="5800" spans="1:7" x14ac:dyDescent="0.3">
      <c r="A5800" s="1" t="s">
        <v>4</v>
      </c>
      <c r="B5800" s="2" t="str">
        <f t="shared" si="477"/>
        <v>SISTEMA DE GERENCIAMENTO DE ESTOQUE</v>
      </c>
      <c r="C5800" s="2" t="str">
        <f t="shared" si="478"/>
        <v>SUPRI</v>
      </c>
      <c r="D5800" s="2" t="str">
        <f t="shared" si="479"/>
        <v>MGES</v>
      </c>
      <c r="E5800" s="2" t="str">
        <f>"FECHAMENTO DO MES"</f>
        <v>FECHAMENTO DO MES</v>
      </c>
      <c r="F5800" s="2" t="str">
        <f>"M_FECHAMENTO_DO_MES"</f>
        <v>M_FECHAMENTO_DO_MES</v>
      </c>
      <c r="G5800" s="2" t="str">
        <f>"Materiais e Logística / Almoxarifado / Configurações / Fechamento do Mês (M_FECHAMENTO_DO_MES)"</f>
        <v>Materiais e Logística / Almoxarifado / Configurações / Fechamento do Mês (M_FECHAMENTO_DO_MES)</v>
      </c>
    </row>
    <row r="5801" spans="1:7" x14ac:dyDescent="0.3">
      <c r="A5801" s="1" t="s">
        <v>4</v>
      </c>
      <c r="B5801" s="2" t="str">
        <f t="shared" si="477"/>
        <v>SISTEMA DE GERENCIAMENTO DE ESTOQUE</v>
      </c>
      <c r="C5801" s="2" t="str">
        <f t="shared" si="478"/>
        <v>SUPRI</v>
      </c>
      <c r="D5801" s="2" t="str">
        <f t="shared" si="479"/>
        <v>MGES</v>
      </c>
      <c r="E5801" s="2" t="str">
        <f>"RELATORIO DE MOVIMENT. DE ESTOQUE"</f>
        <v>RELATORIO DE MOVIMENT. DE ESTOQUE</v>
      </c>
      <c r="F5801" s="2" t="str">
        <f>"R_MOVIM_ESTOQ"</f>
        <v>R_MOVIM_ESTOQ</v>
      </c>
      <c r="G5801" s="2" t="str">
        <f>" ()"</f>
        <v xml:space="preserve"> ()</v>
      </c>
    </row>
    <row r="5802" spans="1:7" x14ac:dyDescent="0.3">
      <c r="A5802" s="1" t="s">
        <v>4</v>
      </c>
      <c r="B5802" s="2" t="str">
        <f t="shared" si="477"/>
        <v>SISTEMA DE GERENCIAMENTO DE ESTOQUE</v>
      </c>
      <c r="C5802" s="2" t="str">
        <f t="shared" si="478"/>
        <v>SUPRI</v>
      </c>
      <c r="D5802" s="2" t="str">
        <f t="shared" si="479"/>
        <v>MGES</v>
      </c>
      <c r="E5802" s="2" t="str">
        <f>"RELAT. BALANÇO DO ESTOQUE"</f>
        <v>RELAT. BALANÇO DO ESTOQUE</v>
      </c>
      <c r="F5802" s="2" t="str">
        <f>"R_BAL_EST_PROD"</f>
        <v>R_BAL_EST_PROD</v>
      </c>
      <c r="G5802" s="2" t="str">
        <f>" ()"</f>
        <v xml:space="preserve"> ()</v>
      </c>
    </row>
    <row r="5803" spans="1:7" x14ac:dyDescent="0.3">
      <c r="A5803" s="1" t="s">
        <v>4</v>
      </c>
      <c r="B5803" s="2" t="str">
        <f t="shared" si="477"/>
        <v>SISTEMA DE GERENCIAMENTO DE ESTOQUE</v>
      </c>
      <c r="C5803" s="2" t="str">
        <f t="shared" si="478"/>
        <v>SUPRI</v>
      </c>
      <c r="D5803" s="2" t="str">
        <f t="shared" si="479"/>
        <v>MGES</v>
      </c>
      <c r="E5803" s="2" t="str">
        <f>"CURVA ABC DE CONSUMO (SAO MARCOS)"</f>
        <v>CURVA ABC DE CONSUMO (SAO MARCOS)</v>
      </c>
      <c r="F5803" s="2" t="str">
        <f>"R_C_ABC_CONSUMO_SAO"</f>
        <v>R_C_ABC_CONSUMO_SAO</v>
      </c>
      <c r="G5803" s="2" t="str">
        <f>" ()"</f>
        <v xml:space="preserve"> ()</v>
      </c>
    </row>
    <row r="5804" spans="1:7" x14ac:dyDescent="0.3">
      <c r="A5804" s="1" t="s">
        <v>4</v>
      </c>
      <c r="B5804" s="2" t="str">
        <f t="shared" si="477"/>
        <v>SISTEMA DE GERENCIAMENTO DE ESTOQUE</v>
      </c>
      <c r="C5804" s="2" t="str">
        <f t="shared" si="478"/>
        <v>SUPRI</v>
      </c>
      <c r="D5804" s="2" t="str">
        <f t="shared" si="479"/>
        <v>MGES</v>
      </c>
      <c r="E5804" s="2" t="str">
        <f>"REL  ENTRADA DE PRODUTOS POR FORNECEDOR"</f>
        <v>REL  ENTRADA DE PRODUTOS POR FORNECEDOR</v>
      </c>
      <c r="F5804" s="2" t="str">
        <f>"R_ENT_PROD_FORNEC"</f>
        <v>R_ENT_PROD_FORNEC</v>
      </c>
      <c r="G5804" s="2" t="str">
        <f>"Materiais e Logística / Compras / Relatórios / Operacionais / Entrada de Produtos x Fornecedores (R_ENT_PROD_FORNEC)"</f>
        <v>Materiais e Logística / Compras / Relatórios / Operacionais / Entrada de Produtos x Fornecedores (R_ENT_PROD_FORNEC)</v>
      </c>
    </row>
    <row r="5805" spans="1:7" x14ac:dyDescent="0.3">
      <c r="A5805" s="1" t="s">
        <v>4</v>
      </c>
      <c r="B5805" s="2" t="str">
        <f t="shared" si="477"/>
        <v>SISTEMA DE GERENCIAMENTO DE ESTOQUE</v>
      </c>
      <c r="C5805" s="2" t="str">
        <f t="shared" si="478"/>
        <v>SUPRI</v>
      </c>
      <c r="D5805" s="2" t="str">
        <f t="shared" si="479"/>
        <v>MGES</v>
      </c>
      <c r="E5805" s="2" t="str">
        <f>"REL  ENTRADA DE PRODUTOS POR FORNECEDOR"</f>
        <v>REL  ENTRADA DE PRODUTOS POR FORNECEDOR</v>
      </c>
      <c r="F5805" s="2" t="str">
        <f>"R_ENT_PROD_FORNEC"</f>
        <v>R_ENT_PROD_FORNEC</v>
      </c>
      <c r="G5805" s="2" t="str">
        <f>"Materiais e Logística / Almoxarifado / Relatórios / Operacionais / Documento de Entradas e Entradas de Produtos / Entrada de Produtos x Fornecedores (R_ENT_PROD_FORNEC)"</f>
        <v>Materiais e Logística / Almoxarifado / Relatórios / Operacionais / Documento de Entradas e Entradas de Produtos / Entrada de Produtos x Fornecedores (R_ENT_PROD_FORNEC)</v>
      </c>
    </row>
    <row r="5806" spans="1:7" x14ac:dyDescent="0.3">
      <c r="A5806" s="1" t="s">
        <v>4</v>
      </c>
      <c r="B5806" s="2" t="str">
        <f t="shared" si="477"/>
        <v>SISTEMA DE GERENCIAMENTO DE ESTOQUE</v>
      </c>
      <c r="C5806" s="2" t="str">
        <f t="shared" si="478"/>
        <v>SUPRI</v>
      </c>
      <c r="D5806" s="2" t="str">
        <f t="shared" si="479"/>
        <v>MGES</v>
      </c>
      <c r="E5806" s="2" t="str">
        <f>"RELAT. DE MOVIMENTACAO DE SETOR"</f>
        <v>RELAT. DE MOVIMENTACAO DE SETOR</v>
      </c>
      <c r="F5806" s="2" t="str">
        <f>"R_RESUMO_DE_SETOR"</f>
        <v>R_RESUMO_DE_SETOR</v>
      </c>
      <c r="G5806" s="2" t="str">
        <f>"Materiais e Logística / Almoxarifado / Relatórios / Operacionais / Consumo das Movimentações / Resumo dos Movimentos por Setor (R_RESUMO_DE_SETOR)"</f>
        <v>Materiais e Logística / Almoxarifado / Relatórios / Operacionais / Consumo das Movimentações / Resumo dos Movimentos por Setor (R_RESUMO_DE_SETOR)</v>
      </c>
    </row>
    <row r="5807" spans="1:7" x14ac:dyDescent="0.3">
      <c r="A5807" s="1" t="s">
        <v>4</v>
      </c>
      <c r="B5807" s="2" t="str">
        <f t="shared" si="477"/>
        <v>SISTEMA DE GERENCIAMENTO DE ESTOQUE</v>
      </c>
      <c r="C5807" s="2" t="str">
        <f t="shared" si="478"/>
        <v>SUPRI</v>
      </c>
      <c r="D5807" s="2" t="str">
        <f t="shared" si="479"/>
        <v>MGES</v>
      </c>
      <c r="E5807" s="2" t="str">
        <f>"R_SOLSAI_PRO_44"</f>
        <v>R_SOLSAI_PRO_44</v>
      </c>
      <c r="F5807" s="2" t="str">
        <f>"R_SOLSAI_PRO_44"</f>
        <v>R_SOLSAI_PRO_44</v>
      </c>
      <c r="G5807" s="2" t="str">
        <f t="shared" ref="G5807:G5821" si="480">" ()"</f>
        <v xml:space="preserve"> ()</v>
      </c>
    </row>
    <row r="5808" spans="1:7" x14ac:dyDescent="0.3">
      <c r="A5808" s="1" t="s">
        <v>4</v>
      </c>
      <c r="B5808" s="2" t="str">
        <f t="shared" si="477"/>
        <v>SISTEMA DE GERENCIAMENTO DE ESTOQUE</v>
      </c>
      <c r="C5808" s="2" t="str">
        <f t="shared" si="478"/>
        <v>SUPRI</v>
      </c>
      <c r="D5808" s="2" t="str">
        <f t="shared" si="479"/>
        <v>MGES</v>
      </c>
      <c r="E5808" s="2" t="str">
        <f>"RELATÓRIO ETIQUETAS"</f>
        <v>RELATÓRIO ETIQUETAS</v>
      </c>
      <c r="F5808" s="2" t="str">
        <f>"R_ETIQ_PRODUTO"</f>
        <v>R_ETIQ_PRODUTO</v>
      </c>
      <c r="G5808" s="2" t="str">
        <f t="shared" si="480"/>
        <v xml:space="preserve"> ()</v>
      </c>
    </row>
    <row r="5809" spans="1:7" x14ac:dyDescent="0.3">
      <c r="A5809" s="1" t="s">
        <v>4</v>
      </c>
      <c r="B5809" s="2" t="str">
        <f t="shared" si="477"/>
        <v>SISTEMA DE GERENCIAMENTO DE ESTOQUE</v>
      </c>
      <c r="C5809" s="2" t="str">
        <f t="shared" si="478"/>
        <v>SUPRI</v>
      </c>
      <c r="D5809" s="2" t="str">
        <f t="shared" si="479"/>
        <v>MGES</v>
      </c>
      <c r="E5809" s="2" t="str">
        <f>"M_SAI_SETOR_ESP"</f>
        <v>M_SAI_SETOR_ESP</v>
      </c>
      <c r="F5809" s="2" t="str">
        <f>"M_SAI_SETOR_ESP"</f>
        <v>M_SAI_SETOR_ESP</v>
      </c>
      <c r="G5809" s="2" t="str">
        <f t="shared" si="480"/>
        <v xml:space="preserve"> ()</v>
      </c>
    </row>
    <row r="5810" spans="1:7" x14ac:dyDescent="0.3">
      <c r="A5810" s="1" t="s">
        <v>4</v>
      </c>
      <c r="B5810" s="2" t="str">
        <f t="shared" si="477"/>
        <v>SISTEMA DE GERENCIAMENTO DE ESTOQUE</v>
      </c>
      <c r="C5810" s="2" t="str">
        <f t="shared" si="478"/>
        <v>SUPRI</v>
      </c>
      <c r="D5810" s="2" t="str">
        <f t="shared" si="479"/>
        <v>MGES</v>
      </c>
      <c r="E5810" s="2" t="str">
        <f>"RELAÇÃO DE ETIQUETA DE PRODUTOS"</f>
        <v>RELAÇÃO DE ETIQUETA DE PRODUTOS</v>
      </c>
      <c r="F5810" s="2" t="str">
        <f>"R_IMPRIMI_ETIQ_612"</f>
        <v>R_IMPRIMI_ETIQ_612</v>
      </c>
      <c r="G5810" s="2" t="str">
        <f t="shared" si="480"/>
        <v xml:space="preserve"> ()</v>
      </c>
    </row>
    <row r="5811" spans="1:7" x14ac:dyDescent="0.3">
      <c r="A5811" s="1" t="s">
        <v>4</v>
      </c>
      <c r="B5811" s="2" t="str">
        <f t="shared" si="477"/>
        <v>SISTEMA DE GERENCIAMENTO DE ESTOQUE</v>
      </c>
      <c r="C5811" s="2" t="str">
        <f t="shared" si="478"/>
        <v>SUPRI</v>
      </c>
      <c r="D5811" s="2" t="str">
        <f t="shared" si="479"/>
        <v>MGES</v>
      </c>
      <c r="E5811" s="2" t="str">
        <f>"POSIÇÃO DE ESTOQUE POR DATA"</f>
        <v>POSIÇÃO DE ESTOQUE POR DATA</v>
      </c>
      <c r="F5811" s="2" t="str">
        <f>"R_POS_EST_DT_860"</f>
        <v>R_POS_EST_DT_860</v>
      </c>
      <c r="G5811" s="2" t="str">
        <f t="shared" si="480"/>
        <v xml:space="preserve"> ()</v>
      </c>
    </row>
    <row r="5812" spans="1:7" x14ac:dyDescent="0.3">
      <c r="A5812" s="1" t="s">
        <v>4</v>
      </c>
      <c r="B5812" s="2" t="str">
        <f t="shared" si="477"/>
        <v>SISTEMA DE GERENCIAMENTO DE ESTOQUE</v>
      </c>
      <c r="C5812" s="2" t="str">
        <f t="shared" si="478"/>
        <v>SUPRI</v>
      </c>
      <c r="D5812" s="2" t="str">
        <f t="shared" si="479"/>
        <v>MGES</v>
      </c>
      <c r="E5812" s="2" t="str">
        <f>"RELATÓRIO DE BALANCETE CONTÁBIL MENSAL"</f>
        <v>RELATÓRIO DE BALANCETE CONTÁBIL MENSAL</v>
      </c>
      <c r="F5812" s="2" t="str">
        <f>"R_PRODUTO_NOVOS"</f>
        <v>R_PRODUTO_NOVOS</v>
      </c>
      <c r="G5812" s="2" t="str">
        <f t="shared" si="480"/>
        <v xml:space="preserve"> ()</v>
      </c>
    </row>
    <row r="5813" spans="1:7" x14ac:dyDescent="0.3">
      <c r="A5813" s="1" t="s">
        <v>4</v>
      </c>
      <c r="B5813" s="2" t="str">
        <f t="shared" si="477"/>
        <v>SISTEMA DE GERENCIAMENTO DE ESTOQUE</v>
      </c>
      <c r="C5813" s="2" t="str">
        <f t="shared" si="478"/>
        <v>SUPRI</v>
      </c>
      <c r="D5813" s="2" t="str">
        <f t="shared" si="479"/>
        <v>MGES</v>
      </c>
      <c r="E5813" s="2" t="str">
        <f>"R_MVTO_KIT_MVTO"</f>
        <v>R_MVTO_KIT_MVTO</v>
      </c>
      <c r="F5813" s="2" t="str">
        <f>"R_MVTO_KIT_MVTO"</f>
        <v>R_MVTO_KIT_MVTO</v>
      </c>
      <c r="G5813" s="2" t="str">
        <f t="shared" si="480"/>
        <v xml:space="preserve"> ()</v>
      </c>
    </row>
    <row r="5814" spans="1:7" x14ac:dyDescent="0.3">
      <c r="A5814" s="1" t="s">
        <v>4</v>
      </c>
      <c r="B5814" s="2" t="str">
        <f t="shared" si="477"/>
        <v>SISTEMA DE GERENCIAMENTO DE ESTOQUE</v>
      </c>
      <c r="C5814" s="2" t="str">
        <f t="shared" si="478"/>
        <v>SUPRI</v>
      </c>
      <c r="D5814" s="2" t="str">
        <f t="shared" si="479"/>
        <v>MGES</v>
      </c>
      <c r="E5814" s="2" t="str">
        <f>"R_ENTR_MAT_959"</f>
        <v>R_ENTR_MAT_959</v>
      </c>
      <c r="F5814" s="2" t="str">
        <f>"R_ENTR_MAT_959"</f>
        <v>R_ENTR_MAT_959</v>
      </c>
      <c r="G5814" s="2" t="str">
        <f t="shared" si="480"/>
        <v xml:space="preserve"> ()</v>
      </c>
    </row>
    <row r="5815" spans="1:7" x14ac:dyDescent="0.3">
      <c r="A5815" s="1" t="s">
        <v>4</v>
      </c>
      <c r="B5815" s="2" t="str">
        <f t="shared" si="477"/>
        <v>SISTEMA DE GERENCIAMENTO DE ESTOQUE</v>
      </c>
      <c r="C5815" s="2" t="str">
        <f t="shared" si="478"/>
        <v>SUPRI</v>
      </c>
      <c r="D5815" s="2" t="str">
        <f t="shared" si="479"/>
        <v>MGES</v>
      </c>
      <c r="E5815" s="2" t="str">
        <f>"PROC_FAIXA_PRECO"</f>
        <v>PROC_FAIXA_PRECO</v>
      </c>
      <c r="F5815" s="2" t="str">
        <f>"PROC_FAIXA_PRECO"</f>
        <v>PROC_FAIXA_PRECO</v>
      </c>
      <c r="G5815" s="2" t="str">
        <f t="shared" si="480"/>
        <v xml:space="preserve"> ()</v>
      </c>
    </row>
    <row r="5816" spans="1:7" x14ac:dyDescent="0.3">
      <c r="A5816" s="1" t="s">
        <v>4</v>
      </c>
      <c r="B5816" s="2" t="str">
        <f t="shared" si="477"/>
        <v>SISTEMA DE GERENCIAMENTO DE ESTOQUE</v>
      </c>
      <c r="C5816" s="2" t="str">
        <f t="shared" si="478"/>
        <v>SUPRI</v>
      </c>
      <c r="D5816" s="2" t="str">
        <f t="shared" si="479"/>
        <v>MGES</v>
      </c>
      <c r="E5816" s="2" t="str">
        <f>"M_IMVSAP_INT_NOTAS"</f>
        <v>M_IMVSAP_INT_NOTAS</v>
      </c>
      <c r="F5816" s="2" t="str">
        <f>"M_IMVSAP_INT_NOTAS"</f>
        <v>M_IMVSAP_INT_NOTAS</v>
      </c>
      <c r="G5816" s="2" t="str">
        <f t="shared" si="480"/>
        <v xml:space="preserve"> ()</v>
      </c>
    </row>
    <row r="5817" spans="1:7" x14ac:dyDescent="0.3">
      <c r="A5817" s="1" t="s">
        <v>4</v>
      </c>
      <c r="B5817" s="2" t="str">
        <f t="shared" si="477"/>
        <v>SISTEMA DE GERENCIAMENTO DE ESTOQUE</v>
      </c>
      <c r="C5817" s="2" t="str">
        <f t="shared" si="478"/>
        <v>SUPRI</v>
      </c>
      <c r="D5817" s="2" t="str">
        <f t="shared" si="479"/>
        <v>MGES</v>
      </c>
      <c r="E5817" s="2" t="str">
        <f>"CURVA ABC DE FARMÁCIA"</f>
        <v>CURVA ABC DE FARMÁCIA</v>
      </c>
      <c r="F5817" s="2" t="str">
        <f>"R_CURVA_ABC_FARM_157"</f>
        <v>R_CURVA_ABC_FARM_157</v>
      </c>
      <c r="G5817" s="2" t="str">
        <f t="shared" si="480"/>
        <v xml:space="preserve"> ()</v>
      </c>
    </row>
    <row r="5818" spans="1:7" x14ac:dyDescent="0.3">
      <c r="A5818" s="1" t="s">
        <v>4</v>
      </c>
      <c r="B5818" s="2" t="str">
        <f t="shared" si="477"/>
        <v>SISTEMA DE GERENCIAMENTO DE ESTOQUE</v>
      </c>
      <c r="C5818" s="2" t="str">
        <f t="shared" si="478"/>
        <v>SUPRI</v>
      </c>
      <c r="D5818" s="2" t="str">
        <f t="shared" si="479"/>
        <v>MGES</v>
      </c>
      <c r="E5818" s="2" t="str">
        <f>"R_PROD_PONT_PED_S"</f>
        <v>R_PROD_PONT_PED_S</v>
      </c>
      <c r="F5818" s="2" t="str">
        <f>"R_PROD_PONT_PED_S"</f>
        <v>R_PROD_PONT_PED_S</v>
      </c>
      <c r="G5818" s="2" t="str">
        <f t="shared" si="480"/>
        <v xml:space="preserve"> ()</v>
      </c>
    </row>
    <row r="5819" spans="1:7" x14ac:dyDescent="0.3">
      <c r="A5819" s="1" t="s">
        <v>4</v>
      </c>
      <c r="B5819" s="2" t="str">
        <f t="shared" si="477"/>
        <v>SISTEMA DE GERENCIAMENTO DE ESTOQUE</v>
      </c>
      <c r="C5819" s="2" t="str">
        <f t="shared" si="478"/>
        <v>SUPRI</v>
      </c>
      <c r="D5819" s="2" t="str">
        <f t="shared" si="479"/>
        <v>MGES</v>
      </c>
      <c r="E5819" s="2" t="str">
        <f>"MGES.PLL"</f>
        <v>MGES.PLL</v>
      </c>
      <c r="F5819" s="2" t="str">
        <f>"MGES.PLL"</f>
        <v>MGES.PLL</v>
      </c>
      <c r="G5819" s="2" t="str">
        <f t="shared" si="480"/>
        <v xml:space="preserve"> ()</v>
      </c>
    </row>
    <row r="5820" spans="1:7" x14ac:dyDescent="0.3">
      <c r="A5820" s="1" t="s">
        <v>4</v>
      </c>
      <c r="B5820" s="2" t="str">
        <f t="shared" si="477"/>
        <v>SISTEMA DE GERENCIAMENTO DE ESTOQUE</v>
      </c>
      <c r="C5820" s="2" t="str">
        <f t="shared" si="478"/>
        <v>SUPRI</v>
      </c>
      <c r="D5820" s="2" t="str">
        <f t="shared" si="479"/>
        <v>MGES</v>
      </c>
      <c r="E5820" s="2" t="str">
        <f>"GRAVA_LOT_PRO"</f>
        <v>GRAVA_LOT_PRO</v>
      </c>
      <c r="F5820" s="2" t="str">
        <f>"GRAVA_LOT_PRO"</f>
        <v>GRAVA_LOT_PRO</v>
      </c>
      <c r="G5820" s="2" t="str">
        <f t="shared" si="480"/>
        <v xml:space="preserve"> ()</v>
      </c>
    </row>
    <row r="5821" spans="1:7" x14ac:dyDescent="0.3">
      <c r="A5821" s="1" t="s">
        <v>4</v>
      </c>
      <c r="B5821" s="2" t="str">
        <f t="shared" si="477"/>
        <v>SISTEMA DE GERENCIAMENTO DE ESTOQUE</v>
      </c>
      <c r="C5821" s="2" t="str">
        <f t="shared" si="478"/>
        <v>SUPRI</v>
      </c>
      <c r="D5821" s="2" t="str">
        <f t="shared" si="479"/>
        <v>MGES</v>
      </c>
      <c r="E5821" s="2" t="str">
        <f>"R_CUSTO_SAIDA_SETOR_ESP"</f>
        <v>R_CUSTO_SAIDA_SETOR_ESP</v>
      </c>
      <c r="F5821" s="2" t="str">
        <f>"R_CUSTO_SAIDA_SETOR_ESP"</f>
        <v>R_CUSTO_SAIDA_SETOR_ESP</v>
      </c>
      <c r="G5821" s="2" t="str">
        <f t="shared" si="480"/>
        <v xml:space="preserve"> ()</v>
      </c>
    </row>
    <row r="5822" spans="1:7" x14ac:dyDescent="0.3">
      <c r="A5822" s="1" t="s">
        <v>4</v>
      </c>
      <c r="B5822" s="2" t="str">
        <f t="shared" si="477"/>
        <v>SISTEMA DE GERENCIAMENTO DE ESTOQUE</v>
      </c>
      <c r="C5822" s="2" t="str">
        <f t="shared" si="478"/>
        <v>SUPRI</v>
      </c>
      <c r="D5822" s="2" t="str">
        <f t="shared" si="479"/>
        <v>MGES</v>
      </c>
      <c r="E5822" s="2" t="str">
        <f>"M_USU_AUT_DT_MOV"</f>
        <v>M_USU_AUT_DT_MOV</v>
      </c>
      <c r="F5822" s="2" t="str">
        <f>"M_USU_AUT_DT_MOV"</f>
        <v>M_USU_AUT_DT_MOV</v>
      </c>
      <c r="G5822" s="2" t="str">
        <f>"Materiais e Logística / Almoxarifado / Configurações / Privilégios para Datas de Mov. para Pacientes (M_USU_AUT_DT_MOV)"</f>
        <v>Materiais e Logística / Almoxarifado / Configurações / Privilégios para Datas de Mov. para Pacientes (M_USU_AUT_DT_MOV)</v>
      </c>
    </row>
    <row r="5823" spans="1:7" x14ac:dyDescent="0.3">
      <c r="A5823" s="1" t="s">
        <v>4</v>
      </c>
      <c r="B5823" s="2" t="str">
        <f t="shared" si="477"/>
        <v>SISTEMA DE GERENCIAMENTO DE ESTOQUE</v>
      </c>
      <c r="C5823" s="2" t="str">
        <f t="shared" si="478"/>
        <v>SUPRI</v>
      </c>
      <c r="D5823" s="2" t="str">
        <f t="shared" si="479"/>
        <v>MGES</v>
      </c>
      <c r="E5823" s="2" t="str">
        <f>"M_USU_AUT_DT_MOV"</f>
        <v>M_USU_AUT_DT_MOV</v>
      </c>
      <c r="F5823" s="2" t="str">
        <f>"M_USU_AUT_DT_MOV"</f>
        <v>M_USU_AUT_DT_MOV</v>
      </c>
      <c r="G5823" s="2" t="str">
        <f>"Apoio a TI / Gestão de Usuários / Configurações de Acesso / Acessos Gerais / Privilégios para Datas de Mov. para Pacientes (M_USU_AUT_DT_MOV)"</f>
        <v>Apoio a TI / Gestão de Usuários / Configurações de Acesso / Acessos Gerais / Privilégios para Datas de Mov. para Pacientes (M_USU_AUT_DT_MOV)</v>
      </c>
    </row>
    <row r="5824" spans="1:7" x14ac:dyDescent="0.3">
      <c r="A5824" s="1" t="s">
        <v>4</v>
      </c>
      <c r="B5824" s="2" t="str">
        <f t="shared" si="477"/>
        <v>SISTEMA DE GERENCIAMENTO DE ESTOQUE</v>
      </c>
      <c r="C5824" s="2" t="str">
        <f t="shared" si="478"/>
        <v>SUPRI</v>
      </c>
      <c r="D5824" s="2" t="str">
        <f t="shared" si="479"/>
        <v>MGES</v>
      </c>
      <c r="E5824" s="2" t="str">
        <f>"PRODUTOS SOLICITADOS X ATENDIDOS"</f>
        <v>PRODUTOS SOLICITADOS X ATENDIDOS</v>
      </c>
      <c r="F5824" s="2" t="str">
        <f>"R_PROD_SOLICITADO_ATEND"</f>
        <v>R_PROD_SOLICITADO_ATEND</v>
      </c>
      <c r="G5824" s="2" t="str">
        <f>"Materiais e Logística / Almoxarifado / Relatórios / Operacionais / Consumo das Movimentações / Produtos Solicitados x Atendidos (R_PROD_SOLICITADO_ATEND)"</f>
        <v>Materiais e Logística / Almoxarifado / Relatórios / Operacionais / Consumo das Movimentações / Produtos Solicitados x Atendidos (R_PROD_SOLICITADO_ATEND)</v>
      </c>
    </row>
    <row r="5825" spans="1:7" x14ac:dyDescent="0.3">
      <c r="A5825" s="1" t="s">
        <v>4</v>
      </c>
      <c r="B5825" s="2" t="str">
        <f t="shared" si="477"/>
        <v>SISTEMA DE GERENCIAMENTO DE ESTOQUE</v>
      </c>
      <c r="C5825" s="2" t="str">
        <f t="shared" si="478"/>
        <v>SUPRI</v>
      </c>
      <c r="D5825" s="2" t="str">
        <f t="shared" si="479"/>
        <v>MGES</v>
      </c>
      <c r="E5825" s="2" t="str">
        <f>"R_SAI_PAC_PROIB_448"</f>
        <v>R_SAI_PAC_PROIB_448</v>
      </c>
      <c r="F5825" s="2" t="str">
        <f>"R_SAI_PAC_PROIB_448"</f>
        <v>R_SAI_PAC_PROIB_448</v>
      </c>
      <c r="G5825" s="2" t="str">
        <f>" ()"</f>
        <v xml:space="preserve"> ()</v>
      </c>
    </row>
    <row r="5826" spans="1:7" x14ac:dyDescent="0.3">
      <c r="A5826" s="1" t="s">
        <v>4</v>
      </c>
      <c r="B5826" s="2" t="str">
        <f t="shared" si="477"/>
        <v>SISTEMA DE GERENCIAMENTO DE ESTOQUE</v>
      </c>
      <c r="C5826" s="2" t="str">
        <f t="shared" si="478"/>
        <v>SUPRI</v>
      </c>
      <c r="D5826" s="2" t="str">
        <f t="shared" si="479"/>
        <v>MGES</v>
      </c>
      <c r="E5826" s="2" t="str">
        <f>"CLASSIFICACAO CONTABIL DAS NOTAS FISCAIS"</f>
        <v>CLASSIFICACAO CONTABIL DAS NOTAS FISCAIS</v>
      </c>
      <c r="F5826" s="2" t="str">
        <f>"R_CLAS_CONTAB"</f>
        <v>R_CLAS_CONTAB</v>
      </c>
      <c r="G5826" s="2" t="str">
        <f>"Materiais e Logística / Almoxarifado / Relatórios / Contábeis / Classificação Contábil das Notas Fiscais (R_CLAS_CONTAB)"</f>
        <v>Materiais e Logística / Almoxarifado / Relatórios / Contábeis / Classificação Contábil das Notas Fiscais (R_CLAS_CONTAB)</v>
      </c>
    </row>
    <row r="5827" spans="1:7" x14ac:dyDescent="0.3">
      <c r="A5827" s="1" t="s">
        <v>4</v>
      </c>
      <c r="B5827" s="2" t="str">
        <f t="shared" si="477"/>
        <v>SISTEMA DE GERENCIAMENTO DE ESTOQUE</v>
      </c>
      <c r="C5827" s="2" t="str">
        <f t="shared" si="478"/>
        <v>SUPRI</v>
      </c>
      <c r="D5827" s="2" t="str">
        <f t="shared" si="479"/>
        <v>MGES</v>
      </c>
      <c r="E5827" s="2" t="str">
        <f>"RELATÓRIO DE ID. ETIQ. A PARTIR DO MENU"</f>
        <v>RELATÓRIO DE ID. ETIQ. A PARTIR DO MENU</v>
      </c>
      <c r="F5827" s="2" t="str">
        <f>"R_ID_ETIQ_REL"</f>
        <v>R_ID_ETIQ_REL</v>
      </c>
      <c r="G5827" s="2" t="str">
        <f>" ()"</f>
        <v xml:space="preserve"> ()</v>
      </c>
    </row>
    <row r="5828" spans="1:7" x14ac:dyDescent="0.3">
      <c r="A5828" s="1" t="s">
        <v>4</v>
      </c>
      <c r="B5828" s="2" t="str">
        <f t="shared" si="477"/>
        <v>SISTEMA DE GERENCIAMENTO DE ESTOQUE</v>
      </c>
      <c r="C5828" s="2" t="str">
        <f t="shared" si="478"/>
        <v>SUPRI</v>
      </c>
      <c r="D5828" s="2" t="str">
        <f t="shared" si="479"/>
        <v>MGES</v>
      </c>
      <c r="E5828" s="2" t="str">
        <f>"RELATÓRIO DE ID. ETIQ. A PARTIR DA TRANS"</f>
        <v>RELATÓRIO DE ID. ETIQ. A PARTIR DA TRANS</v>
      </c>
      <c r="F5828" s="2" t="str">
        <f>"R_ID_ETIQ_TRANSF"</f>
        <v>R_ID_ETIQ_TRANSF</v>
      </c>
      <c r="G5828" s="2" t="str">
        <f>" ()"</f>
        <v xml:space="preserve"> ()</v>
      </c>
    </row>
    <row r="5829" spans="1:7" x14ac:dyDescent="0.3">
      <c r="A5829" s="1" t="s">
        <v>4</v>
      </c>
      <c r="B5829" s="2" t="str">
        <f t="shared" si="477"/>
        <v>SISTEMA DE GERENCIAMENTO DE ESTOQUE</v>
      </c>
      <c r="C5829" s="2" t="str">
        <f t="shared" si="478"/>
        <v>SUPRI</v>
      </c>
      <c r="D5829" s="2" t="str">
        <f t="shared" si="479"/>
        <v>MGES</v>
      </c>
      <c r="E5829" s="2" t="str">
        <f>"RELATÓRIO DE ID. ETIQ. A PARTIR DA ENTR."</f>
        <v>RELATÓRIO DE ID. ETIQ. A PARTIR DA ENTR.</v>
      </c>
      <c r="F5829" s="2" t="str">
        <f>"R_ID_ETIQ_ENTR"</f>
        <v>R_ID_ETIQ_ENTR</v>
      </c>
      <c r="G5829" s="2" t="str">
        <f>" ()"</f>
        <v xml:space="preserve"> ()</v>
      </c>
    </row>
    <row r="5830" spans="1:7" x14ac:dyDescent="0.3">
      <c r="A5830" s="1" t="s">
        <v>4</v>
      </c>
      <c r="B5830" s="2" t="str">
        <f t="shared" si="477"/>
        <v>SISTEMA DE GERENCIAMENTO DE ESTOQUE</v>
      </c>
      <c r="C5830" s="2" t="str">
        <f t="shared" si="478"/>
        <v>SUPRI</v>
      </c>
      <c r="D5830" s="2" t="str">
        <f t="shared" si="479"/>
        <v>MGES</v>
      </c>
      <c r="E5830" s="2" t="str">
        <f>"ENTRADAS SEM O.C. POR JUSTIFICATIVA"</f>
        <v>ENTRADAS SEM O.C. POR JUSTIFICATIVA</v>
      </c>
      <c r="F5830" s="2" t="str">
        <f>"R_ENT_SEM_OC_JUSTIFICA"</f>
        <v>R_ENT_SEM_OC_JUSTIFICA</v>
      </c>
      <c r="G5830" s="2" t="str">
        <f>"Materiais e Logística / Compras / Relatórios / Operacionais / Entradas sem O.C. por Justificativa (R_ENT_SEM_OC_JUSTIFICA)"</f>
        <v>Materiais e Logística / Compras / Relatórios / Operacionais / Entradas sem O.C. por Justificativa (R_ENT_SEM_OC_JUSTIFICA)</v>
      </c>
    </row>
    <row r="5831" spans="1:7" x14ac:dyDescent="0.3">
      <c r="A5831" s="1" t="s">
        <v>4</v>
      </c>
      <c r="B5831" s="2" t="str">
        <f t="shared" si="477"/>
        <v>SISTEMA DE GERENCIAMENTO DE ESTOQUE</v>
      </c>
      <c r="C5831" s="2" t="str">
        <f t="shared" si="478"/>
        <v>SUPRI</v>
      </c>
      <c r="D5831" s="2" t="str">
        <f t="shared" si="479"/>
        <v>MGES</v>
      </c>
      <c r="E5831" s="2" t="str">
        <f>"LIVRO DE REGISTRO ESPECÍFICO"</f>
        <v>LIVRO DE REGISTRO ESPECÍFICO</v>
      </c>
      <c r="F5831" s="2" t="str">
        <f>"R_LIVRO_REG_755"</f>
        <v>R_LIVRO_REG_755</v>
      </c>
      <c r="G5831" s="2" t="str">
        <f t="shared" ref="G5831:G5842" si="481">" ()"</f>
        <v xml:space="preserve"> ()</v>
      </c>
    </row>
    <row r="5832" spans="1:7" x14ac:dyDescent="0.3">
      <c r="A5832" s="1" t="s">
        <v>4</v>
      </c>
      <c r="B5832" s="2" t="str">
        <f t="shared" si="477"/>
        <v>SISTEMA DE GERENCIAMENTO DE ESTOQUE</v>
      </c>
      <c r="C5832" s="2" t="str">
        <f t="shared" si="478"/>
        <v>SUPRI</v>
      </c>
      <c r="D5832" s="2" t="str">
        <f t="shared" si="479"/>
        <v>MGES</v>
      </c>
      <c r="E5832" s="2" t="str">
        <f>"CURVA ABC DE FARMÁCIA"</f>
        <v>CURVA ABC DE FARMÁCIA</v>
      </c>
      <c r="F5832" s="2" t="str">
        <f>"R_CURVA_ABC_FARM_749"</f>
        <v>R_CURVA_ABC_FARM_749</v>
      </c>
      <c r="G5832" s="2" t="str">
        <f t="shared" si="481"/>
        <v xml:space="preserve"> ()</v>
      </c>
    </row>
    <row r="5833" spans="1:7" x14ac:dyDescent="0.3">
      <c r="A5833" s="1" t="s">
        <v>4</v>
      </c>
      <c r="B5833" s="2" t="str">
        <f t="shared" si="477"/>
        <v>SISTEMA DE GERENCIAMENTO DE ESTOQUE</v>
      </c>
      <c r="C5833" s="2" t="str">
        <f t="shared" si="478"/>
        <v>SUPRI</v>
      </c>
      <c r="D5833" s="2" t="str">
        <f t="shared" si="479"/>
        <v>MGES</v>
      </c>
      <c r="E5833" s="2" t="str">
        <f>"RELAÇÃO DE ETIQUETA DE PRODUTOS"</f>
        <v>RELAÇÃO DE ETIQUETA DE PRODUTOS</v>
      </c>
      <c r="F5833" s="2" t="str">
        <f>"R_IMPRIMI_ETIQ_860"</f>
        <v>R_IMPRIMI_ETIQ_860</v>
      </c>
      <c r="G5833" s="2" t="str">
        <f t="shared" si="481"/>
        <v xml:space="preserve"> ()</v>
      </c>
    </row>
    <row r="5834" spans="1:7" x14ac:dyDescent="0.3">
      <c r="A5834" s="1" t="s">
        <v>4</v>
      </c>
      <c r="B5834" s="2" t="str">
        <f t="shared" si="477"/>
        <v>SISTEMA DE GERENCIAMENTO DE ESTOQUE</v>
      </c>
      <c r="C5834" s="2" t="str">
        <f t="shared" si="478"/>
        <v>SUPRI</v>
      </c>
      <c r="D5834" s="2" t="str">
        <f t="shared" si="479"/>
        <v>MGES</v>
      </c>
      <c r="E5834" s="2" t="str">
        <f>"RELAÇÃO DE ETIQUETA DE PRODUTOS"</f>
        <v>RELAÇÃO DE ETIQUETA DE PRODUTOS</v>
      </c>
      <c r="F5834" s="2" t="str">
        <f>"R_ETIQ_PROD_FABR_110"</f>
        <v>R_ETIQ_PROD_FABR_110</v>
      </c>
      <c r="G5834" s="2" t="str">
        <f t="shared" si="481"/>
        <v xml:space="preserve"> ()</v>
      </c>
    </row>
    <row r="5835" spans="1:7" x14ac:dyDescent="0.3">
      <c r="A5835" s="1" t="s">
        <v>4</v>
      </c>
      <c r="B5835" s="2" t="str">
        <f t="shared" si="477"/>
        <v>SISTEMA DE GERENCIAMENTO DE ESTOQUE</v>
      </c>
      <c r="C5835" s="2" t="str">
        <f t="shared" si="478"/>
        <v>SUPRI</v>
      </c>
      <c r="D5835" s="2" t="str">
        <f t="shared" si="479"/>
        <v>MGES</v>
      </c>
      <c r="E5835" s="2" t="str">
        <f>"LIVRO DE REGISTRO ESPECÍFICO"</f>
        <v>LIVRO DE REGISTRO ESPECÍFICO</v>
      </c>
      <c r="F5835" s="2" t="str">
        <f>"R_LIVRO_REG_900"</f>
        <v>R_LIVRO_REG_900</v>
      </c>
      <c r="G5835" s="2" t="str">
        <f t="shared" si="481"/>
        <v xml:space="preserve"> ()</v>
      </c>
    </row>
    <row r="5836" spans="1:7" x14ac:dyDescent="0.3">
      <c r="A5836" s="1" t="s">
        <v>4</v>
      </c>
      <c r="B5836" s="2" t="str">
        <f t="shared" si="477"/>
        <v>SISTEMA DE GERENCIAMENTO DE ESTOQUE</v>
      </c>
      <c r="C5836" s="2" t="str">
        <f t="shared" si="478"/>
        <v>SUPRI</v>
      </c>
      <c r="D5836" s="2" t="str">
        <f t="shared" si="479"/>
        <v>MGES</v>
      </c>
      <c r="E5836" s="2" t="str">
        <f>"ETIQUETAS DE PRODUTOS FABRICADOS - 110"</f>
        <v>ETIQUETAS DE PRODUTOS FABRICADOS - 110</v>
      </c>
      <c r="F5836" s="2" t="str">
        <f>"R_ETIQ_PRO_FABR_110"</f>
        <v>R_ETIQ_PRO_FABR_110</v>
      </c>
      <c r="G5836" s="2" t="str">
        <f t="shared" si="481"/>
        <v xml:space="preserve"> ()</v>
      </c>
    </row>
    <row r="5837" spans="1:7" x14ac:dyDescent="0.3">
      <c r="A5837" s="1" t="s">
        <v>4</v>
      </c>
      <c r="B5837" s="2" t="str">
        <f t="shared" si="477"/>
        <v>SISTEMA DE GERENCIAMENTO DE ESTOQUE</v>
      </c>
      <c r="C5837" s="2" t="str">
        <f t="shared" si="478"/>
        <v>SUPRI</v>
      </c>
      <c r="D5837" s="2" t="str">
        <f t="shared" si="479"/>
        <v>MGES</v>
      </c>
      <c r="E5837" s="2" t="str">
        <f>"CURVA ABC DE FARMÁCIA"</f>
        <v>CURVA ABC DE FARMÁCIA</v>
      </c>
      <c r="F5837" s="2" t="str">
        <f>"R_CONS_PROD"</f>
        <v>R_CONS_PROD</v>
      </c>
      <c r="G5837" s="2" t="str">
        <f t="shared" si="481"/>
        <v xml:space="preserve"> ()</v>
      </c>
    </row>
    <row r="5838" spans="1:7" x14ac:dyDescent="0.3">
      <c r="A5838" s="1" t="s">
        <v>4</v>
      </c>
      <c r="B5838" s="2" t="str">
        <f t="shared" si="477"/>
        <v>SISTEMA DE GERENCIAMENTO DE ESTOQUE</v>
      </c>
      <c r="C5838" s="2" t="str">
        <f t="shared" si="478"/>
        <v>SUPRI</v>
      </c>
      <c r="D5838" s="2" t="str">
        <f t="shared" si="479"/>
        <v>MGES</v>
      </c>
      <c r="E5838" s="2" t="str">
        <f>"R_DEV_FOR_207"</f>
        <v>R_DEV_FOR_207</v>
      </c>
      <c r="F5838" s="2" t="str">
        <f>"R_DEV_FOR_207"</f>
        <v>R_DEV_FOR_207</v>
      </c>
      <c r="G5838" s="2" t="str">
        <f t="shared" si="481"/>
        <v xml:space="preserve"> ()</v>
      </c>
    </row>
    <row r="5839" spans="1:7" x14ac:dyDescent="0.3">
      <c r="A5839" s="1" t="s">
        <v>4</v>
      </c>
      <c r="B5839" s="2" t="str">
        <f t="shared" si="477"/>
        <v>SISTEMA DE GERENCIAMENTO DE ESTOQUE</v>
      </c>
      <c r="C5839" s="2" t="str">
        <f t="shared" si="478"/>
        <v>SUPRI</v>
      </c>
      <c r="D5839" s="2" t="str">
        <f t="shared" si="479"/>
        <v>MGES</v>
      </c>
      <c r="E5839" s="2" t="str">
        <f>"R_NOVO"</f>
        <v>R_NOVO</v>
      </c>
      <c r="F5839" s="2" t="str">
        <f>"R_NOVO"</f>
        <v>R_NOVO</v>
      </c>
      <c r="G5839" s="2" t="str">
        <f t="shared" si="481"/>
        <v xml:space="preserve"> ()</v>
      </c>
    </row>
    <row r="5840" spans="1:7" x14ac:dyDescent="0.3">
      <c r="A5840" s="1" t="s">
        <v>4</v>
      </c>
      <c r="B5840" s="2" t="str">
        <f t="shared" si="477"/>
        <v>SISTEMA DE GERENCIAMENTO DE ESTOQUE</v>
      </c>
      <c r="C5840" s="2" t="str">
        <f t="shared" si="478"/>
        <v>SUPRI</v>
      </c>
      <c r="D5840" s="2" t="str">
        <f t="shared" si="479"/>
        <v>MGES</v>
      </c>
      <c r="E5840" s="2" t="str">
        <f>"INVETÁRIO: DIGITAÇÃO DOS PRODUTOS"</f>
        <v>INVETÁRIO: DIGITAÇÃO DOS PRODUTOS</v>
      </c>
      <c r="F5840" s="2" t="str">
        <f>"CONTAGEM_IRMA"</f>
        <v>CONTAGEM_IRMA</v>
      </c>
      <c r="G5840" s="2" t="str">
        <f t="shared" si="481"/>
        <v xml:space="preserve"> ()</v>
      </c>
    </row>
    <row r="5841" spans="1:7" x14ac:dyDescent="0.3">
      <c r="A5841" s="1" t="s">
        <v>4</v>
      </c>
      <c r="B5841" s="2" t="str">
        <f t="shared" si="477"/>
        <v>SISTEMA DE GERENCIAMENTO DE ESTOQUE</v>
      </c>
      <c r="C5841" s="2" t="str">
        <f t="shared" si="478"/>
        <v>SUPRI</v>
      </c>
      <c r="D5841" s="2" t="str">
        <f t="shared" si="479"/>
        <v>MGES</v>
      </c>
      <c r="E5841" s="2" t="str">
        <f>"R_DEV_FOR"</f>
        <v>R_DEV_FOR</v>
      </c>
      <c r="F5841" s="2" t="str">
        <f>"R_DEV_FOR"</f>
        <v>R_DEV_FOR</v>
      </c>
      <c r="G5841" s="2" t="str">
        <f t="shared" si="481"/>
        <v xml:space="preserve"> ()</v>
      </c>
    </row>
    <row r="5842" spans="1:7" x14ac:dyDescent="0.3">
      <c r="A5842" s="1" t="s">
        <v>4</v>
      </c>
      <c r="B5842" s="2" t="str">
        <f t="shared" si="477"/>
        <v>SISTEMA DE GERENCIAMENTO DE ESTOQUE</v>
      </c>
      <c r="C5842" s="2" t="str">
        <f t="shared" si="478"/>
        <v>SUPRI</v>
      </c>
      <c r="D5842" s="2" t="str">
        <f t="shared" si="479"/>
        <v>MGES</v>
      </c>
      <c r="E5842" s="2" t="str">
        <f>"R_MOVIMENTO_ESTOQ"</f>
        <v>R_MOVIMENTO_ESTOQ</v>
      </c>
      <c r="F5842" s="2" t="str">
        <f>"R_MOVIMENTO_ESTOQ"</f>
        <v>R_MOVIMENTO_ESTOQ</v>
      </c>
      <c r="G5842" s="2" t="str">
        <f t="shared" si="481"/>
        <v xml:space="preserve"> ()</v>
      </c>
    </row>
    <row r="5843" spans="1:7" x14ac:dyDescent="0.3">
      <c r="A5843" s="1" t="s">
        <v>4</v>
      </c>
      <c r="B5843" s="2" t="str">
        <f t="shared" si="477"/>
        <v>SISTEMA DE GERENCIAMENTO DE ESTOQUE</v>
      </c>
      <c r="C5843" s="2" t="str">
        <f t="shared" si="478"/>
        <v>SUPRI</v>
      </c>
      <c r="D5843" s="2" t="str">
        <f t="shared" si="479"/>
        <v>MGES</v>
      </c>
      <c r="E5843" s="2" t="str">
        <f>"R_CONS_CONSIG"</f>
        <v>R_CONS_CONSIG</v>
      </c>
      <c r="F5843" s="2" t="str">
        <f>"R_CONS_CONSIG"</f>
        <v>R_CONS_CONSIG</v>
      </c>
      <c r="G5843" s="2" t="str">
        <f>"Materiais e Logística / Almoxarifado / Relatórios / Operacionais / Movimentação de Consignação / Consumo de Consignação por Fornecedor (R_CONS_CONSIG)"</f>
        <v>Materiais e Logística / Almoxarifado / Relatórios / Operacionais / Movimentação de Consignação / Consumo de Consignação por Fornecedor (R_CONS_CONSIG)</v>
      </c>
    </row>
    <row r="5844" spans="1:7" x14ac:dyDescent="0.3">
      <c r="A5844" s="1" t="s">
        <v>4</v>
      </c>
      <c r="B5844" s="2" t="str">
        <f t="shared" si="477"/>
        <v>SISTEMA DE GERENCIAMENTO DE ESTOQUE</v>
      </c>
      <c r="C5844" s="2" t="str">
        <f t="shared" si="478"/>
        <v>SUPRI</v>
      </c>
      <c r="D5844" s="2" t="str">
        <f t="shared" si="479"/>
        <v>MGES</v>
      </c>
      <c r="E5844" s="2" t="str">
        <f>"R_EMPRESTIMO_ENTRADA_DIF"</f>
        <v>R_EMPRESTIMO_ENTRADA_DIF</v>
      </c>
      <c r="F5844" s="2" t="str">
        <f>"R_EMPRESTIMO_ENTRADA_DIF"</f>
        <v>R_EMPRESTIMO_ENTRADA_DIF</v>
      </c>
      <c r="G5844" s="2" t="str">
        <f>" ()"</f>
        <v xml:space="preserve"> ()</v>
      </c>
    </row>
    <row r="5845" spans="1:7" x14ac:dyDescent="0.3">
      <c r="A5845" s="1" t="s">
        <v>4</v>
      </c>
      <c r="B5845" s="2" t="str">
        <f t="shared" si="477"/>
        <v>SISTEMA DE GERENCIAMENTO DE ESTOQUE</v>
      </c>
      <c r="C5845" s="2" t="str">
        <f t="shared" si="478"/>
        <v>SUPRI</v>
      </c>
      <c r="D5845" s="2" t="str">
        <f t="shared" si="479"/>
        <v>MGES</v>
      </c>
      <c r="E5845" s="2" t="str">
        <f>"ENTRADA DE EMPRÉSTIMO"</f>
        <v>ENTRADA DE EMPRÉSTIMO</v>
      </c>
      <c r="F5845" s="2" t="str">
        <f>"R_EMPRESTIMO_ENTRADA"</f>
        <v>R_EMPRESTIMO_ENTRADA</v>
      </c>
      <c r="G5845" s="2" t="str">
        <f>"Materiais e Logística / Almoxarifado / Relatórios / Operacionais / Movimentações de Emprestimos / Entradas de Empréstimo (R_EMPRESTIMO_ENTRADA)"</f>
        <v>Materiais e Logística / Almoxarifado / Relatórios / Operacionais / Movimentações de Emprestimos / Entradas de Empréstimo (R_EMPRESTIMO_ENTRADA)</v>
      </c>
    </row>
    <row r="5846" spans="1:7" x14ac:dyDescent="0.3">
      <c r="A5846" s="1" t="s">
        <v>4</v>
      </c>
      <c r="B5846" s="2" t="str">
        <f t="shared" si="477"/>
        <v>SISTEMA DE GERENCIAMENTO DE ESTOQUE</v>
      </c>
      <c r="C5846" s="2" t="str">
        <f t="shared" si="478"/>
        <v>SUPRI</v>
      </c>
      <c r="D5846" s="2" t="str">
        <f t="shared" si="479"/>
        <v>MGES</v>
      </c>
      <c r="E5846" s="2" t="str">
        <f>"RELATÓRIO DE SAÍDA DE EMPRÉSTIMO"</f>
        <v>RELATÓRIO DE SAÍDA DE EMPRÉSTIMO</v>
      </c>
      <c r="F5846" s="2" t="str">
        <f>"R_SAIDA_EMPRESTIMO"</f>
        <v>R_SAIDA_EMPRESTIMO</v>
      </c>
      <c r="G5846" s="2" t="str">
        <f>"Materiais e Logística / Almoxarifado / Relatórios / Operacionais / Movimentações de Emprestimos / Saídas de Empréstimos (R_SAIDA_EMPRESTIMO)"</f>
        <v>Materiais e Logística / Almoxarifado / Relatórios / Operacionais / Movimentações de Emprestimos / Saídas de Empréstimos (R_SAIDA_EMPRESTIMO)</v>
      </c>
    </row>
    <row r="5847" spans="1:7" x14ac:dyDescent="0.3">
      <c r="A5847" s="1" t="s">
        <v>4</v>
      </c>
      <c r="B5847" s="2" t="str">
        <f t="shared" si="477"/>
        <v>SISTEMA DE GERENCIAMENTO DE ESTOQUE</v>
      </c>
      <c r="C5847" s="2" t="str">
        <f t="shared" si="478"/>
        <v>SUPRI</v>
      </c>
      <c r="D5847" s="2" t="str">
        <f t="shared" si="479"/>
        <v>MGES</v>
      </c>
      <c r="E5847" s="2" t="str">
        <f>"RELATÓRIO DE SETOR X CONSUMO POR HORÁRIO"</f>
        <v>RELATÓRIO DE SETOR X CONSUMO POR HORÁRIO</v>
      </c>
      <c r="F5847" s="2" t="str">
        <f>"R_CONSET"</f>
        <v>R_CONSET</v>
      </c>
      <c r="G5847" s="2" t="str">
        <f>"Materiais e Logística / Almoxarifado / Relatórios / Estatísticas / Setor x Consumo por Horário (R_CONSET)"</f>
        <v>Materiais e Logística / Almoxarifado / Relatórios / Estatísticas / Setor x Consumo por Horário (R_CONSET)</v>
      </c>
    </row>
    <row r="5848" spans="1:7" x14ac:dyDescent="0.3">
      <c r="A5848" s="1" t="s">
        <v>4</v>
      </c>
      <c r="B5848" s="2" t="str">
        <f t="shared" si="477"/>
        <v>SISTEMA DE GERENCIAMENTO DE ESTOQUE</v>
      </c>
      <c r="C5848" s="2" t="str">
        <f t="shared" si="478"/>
        <v>SUPRI</v>
      </c>
      <c r="D5848" s="2" t="str">
        <f t="shared" si="479"/>
        <v>MGES</v>
      </c>
      <c r="E5848" s="2" t="str">
        <f>"TRANSFERÊNCIA EFETUADA POR ESPÉCIE"</f>
        <v>TRANSFERÊNCIA EFETUADA POR ESPÉCIE</v>
      </c>
      <c r="F5848" s="2" t="str">
        <f>"R_TRANS_EFET_ANA_S"</f>
        <v>R_TRANS_EFET_ANA_S</v>
      </c>
      <c r="G5848" s="2" t="s">
        <v>23</v>
      </c>
    </row>
    <row r="5849" spans="1:7" x14ac:dyDescent="0.3">
      <c r="A5849" s="1" t="s">
        <v>4</v>
      </c>
      <c r="B5849" s="2" t="str">
        <f t="shared" si="477"/>
        <v>SISTEMA DE GERENCIAMENTO DE ESTOQUE</v>
      </c>
      <c r="C5849" s="2" t="str">
        <f t="shared" si="478"/>
        <v>SUPRI</v>
      </c>
      <c r="D5849" s="2" t="str">
        <f t="shared" si="479"/>
        <v>MGES</v>
      </c>
      <c r="E5849" s="2" t="str">
        <f>"RELATÓRIO DE DEVOLUÇÕES DE MATERIAS"</f>
        <v>RELATÓRIO DE DEVOLUÇÕES DE MATERIAS</v>
      </c>
      <c r="F5849" s="2" t="str">
        <f>"R_DEVOLUCAO_MATERIAL"</f>
        <v>R_DEVOLUCAO_MATERIAL</v>
      </c>
      <c r="G5849" s="2" t="str">
        <f>"Materiais e Logística / Almoxarifado / Relatórios / Operacionais / Documento de Entradas e Entradas de Produtos / Devolução de Materiais por Espécie (R_DEVOLUCAO_MATERIAL)"</f>
        <v>Materiais e Logística / Almoxarifado / Relatórios / Operacionais / Documento de Entradas e Entradas de Produtos / Devolução de Materiais por Espécie (R_DEVOLUCAO_MATERIAL)</v>
      </c>
    </row>
    <row r="5850" spans="1:7" x14ac:dyDescent="0.3">
      <c r="A5850" s="1" t="s">
        <v>4</v>
      </c>
      <c r="B5850" s="2" t="str">
        <f t="shared" ref="B5850:B5913" si="482">"SISTEMA DE GERENCIAMENTO DE ESTOQUE"</f>
        <v>SISTEMA DE GERENCIAMENTO DE ESTOQUE</v>
      </c>
      <c r="C5850" s="2" t="str">
        <f t="shared" ref="C5850:C5913" si="483">"SUPRI"</f>
        <v>SUPRI</v>
      </c>
      <c r="D5850" s="2" t="str">
        <f t="shared" ref="D5850:D5913" si="484">"MGES"</f>
        <v>MGES</v>
      </c>
      <c r="E5850" s="2" t="str">
        <f>"R_CONS_PAC_RESUNIDO"</f>
        <v>R_CONS_PAC_RESUNIDO</v>
      </c>
      <c r="F5850" s="2" t="str">
        <f>"R_CONS_PAC_RESUNIDO"</f>
        <v>R_CONS_PAC_RESUNIDO</v>
      </c>
      <c r="G5850" s="2" t="str">
        <f>" ()"</f>
        <v xml:space="preserve"> ()</v>
      </c>
    </row>
    <row r="5851" spans="1:7" x14ac:dyDescent="0.3">
      <c r="A5851" s="1" t="s">
        <v>4</v>
      </c>
      <c r="B5851" s="2" t="str">
        <f t="shared" si="482"/>
        <v>SISTEMA DE GERENCIAMENTO DE ESTOQUE</v>
      </c>
      <c r="C5851" s="2" t="str">
        <f t="shared" si="483"/>
        <v>SUPRI</v>
      </c>
      <c r="D5851" s="2" t="str">
        <f t="shared" si="484"/>
        <v>MGES</v>
      </c>
      <c r="E5851" s="2" t="str">
        <f>" R_EMPRESTIMO_SAIDA_DIF"</f>
        <v xml:space="preserve"> R_EMPRESTIMO_SAIDA_DIF</v>
      </c>
      <c r="F5851" s="2" t="str">
        <f>" R_EMPRESTIMO_SAIDA_DIF"</f>
        <v xml:space="preserve"> R_EMPRESTIMO_SAIDA_DIF</v>
      </c>
      <c r="G5851" s="2" t="str">
        <f>" ()"</f>
        <v xml:space="preserve"> ()</v>
      </c>
    </row>
    <row r="5852" spans="1:7" x14ac:dyDescent="0.3">
      <c r="A5852" s="1" t="s">
        <v>4</v>
      </c>
      <c r="B5852" s="2" t="str">
        <f t="shared" si="482"/>
        <v>SISTEMA DE GERENCIAMENTO DE ESTOQUE</v>
      </c>
      <c r="C5852" s="2" t="str">
        <f t="shared" si="483"/>
        <v>SUPRI</v>
      </c>
      <c r="D5852" s="2" t="str">
        <f t="shared" si="484"/>
        <v>MGES</v>
      </c>
      <c r="E5852" s="2" t="str">
        <f>" R_EMPRESTIMO_ENTRADA_DIF"</f>
        <v xml:space="preserve"> R_EMPRESTIMO_ENTRADA_DIF</v>
      </c>
      <c r="F5852" s="2" t="str">
        <f>" R_EMPRESTIMO_ENTRADA_DIF"</f>
        <v xml:space="preserve"> R_EMPRESTIMO_ENTRADA_DIF</v>
      </c>
      <c r="G5852" s="2" t="str">
        <f>" ()"</f>
        <v xml:space="preserve"> ()</v>
      </c>
    </row>
    <row r="5853" spans="1:7" x14ac:dyDescent="0.3">
      <c r="A5853" s="1" t="s">
        <v>4</v>
      </c>
      <c r="B5853" s="2" t="str">
        <f t="shared" si="482"/>
        <v>SISTEMA DE GERENCIAMENTO DE ESTOQUE</v>
      </c>
      <c r="C5853" s="2" t="str">
        <f t="shared" si="483"/>
        <v>SUPRI</v>
      </c>
      <c r="D5853" s="2" t="str">
        <f t="shared" si="484"/>
        <v>MGES</v>
      </c>
      <c r="E5853" s="2" t="str">
        <f>"ETIQUETAS DE CÓDIGO DE BARRAS"</f>
        <v>ETIQUETAS DE CÓDIGO DE BARRAS</v>
      </c>
      <c r="F5853" s="2" t="str">
        <f>"M_CONFIG_ETIQUETA"</f>
        <v>M_CONFIG_ETIQUETA</v>
      </c>
      <c r="G5853" s="2" t="str">
        <f>"Materiais e Logística / Almoxarifado / Configurações / Etiqueta de Código de Barras (M_CONFIG_ETIQUETA)"</f>
        <v>Materiais e Logística / Almoxarifado / Configurações / Etiqueta de Código de Barras (M_CONFIG_ETIQUETA)</v>
      </c>
    </row>
    <row r="5854" spans="1:7" x14ac:dyDescent="0.3">
      <c r="A5854" s="1" t="s">
        <v>4</v>
      </c>
      <c r="B5854" s="2" t="str">
        <f t="shared" si="482"/>
        <v>SISTEMA DE GERENCIAMENTO DE ESTOQUE</v>
      </c>
      <c r="C5854" s="2" t="str">
        <f t="shared" si="483"/>
        <v>SUPRI</v>
      </c>
      <c r="D5854" s="2" t="str">
        <f t="shared" si="484"/>
        <v>MGES</v>
      </c>
      <c r="E5854" s="2" t="str">
        <f>"CADASTRO IDENTIFICADOR DE ETIQUETA"</f>
        <v>CADASTRO IDENTIFICADOR DE ETIQUETA</v>
      </c>
      <c r="F5854" s="2" t="str">
        <f>"M_ID_ETIQUETA"</f>
        <v>M_ID_ETIQUETA</v>
      </c>
      <c r="G5854" s="2" t="str">
        <f>"Materiais e Logística / Almoxarifado / Tabelas / Gerais / Identificador Etiqueta (M_ID_ETIQUETA)"</f>
        <v>Materiais e Logística / Almoxarifado / Tabelas / Gerais / Identificador Etiqueta (M_ID_ETIQUETA)</v>
      </c>
    </row>
    <row r="5855" spans="1:7" x14ac:dyDescent="0.3">
      <c r="A5855" s="1" t="s">
        <v>4</v>
      </c>
      <c r="B5855" s="2" t="str">
        <f t="shared" si="482"/>
        <v>SISTEMA DE GERENCIAMENTO DE ESTOQUE</v>
      </c>
      <c r="C5855" s="2" t="str">
        <f t="shared" si="483"/>
        <v>SUPRI</v>
      </c>
      <c r="D5855" s="2" t="str">
        <f t="shared" si="484"/>
        <v>MGES</v>
      </c>
      <c r="E5855" s="2" t="str">
        <f>"CURVA ABC DE FARMÁCIA"</f>
        <v>CURVA ABC DE FARMÁCIA</v>
      </c>
      <c r="F5855" s="2" t="str">
        <f>"R_CURVA_ABC_FARM_22"</f>
        <v>R_CURVA_ABC_FARM_22</v>
      </c>
      <c r="G5855" s="2" t="str">
        <f t="shared" ref="G5855:G5863" si="485">" ()"</f>
        <v xml:space="preserve"> ()</v>
      </c>
    </row>
    <row r="5856" spans="1:7" x14ac:dyDescent="0.3">
      <c r="A5856" s="1" t="s">
        <v>4</v>
      </c>
      <c r="B5856" s="2" t="str">
        <f t="shared" si="482"/>
        <v>SISTEMA DE GERENCIAMENTO DE ESTOQUE</v>
      </c>
      <c r="C5856" s="2" t="str">
        <f t="shared" si="483"/>
        <v>SUPRI</v>
      </c>
      <c r="D5856" s="2" t="str">
        <f t="shared" si="484"/>
        <v>MGES</v>
      </c>
      <c r="E5856" s="2" t="str">
        <f>"FICHA DE ESTOQUE ENTRADA E SAÍDA"</f>
        <v>FICHA DE ESTOQUE ENTRADA E SAÍDA</v>
      </c>
      <c r="F5856" s="2" t="str">
        <f>"R_FICHA_ESTOQUE_SAI_759"</f>
        <v>R_FICHA_ESTOQUE_SAI_759</v>
      </c>
      <c r="G5856" s="2" t="str">
        <f t="shared" si="485"/>
        <v xml:space="preserve"> ()</v>
      </c>
    </row>
    <row r="5857" spans="1:7" x14ac:dyDescent="0.3">
      <c r="A5857" s="1" t="s">
        <v>4</v>
      </c>
      <c r="B5857" s="2" t="str">
        <f t="shared" si="482"/>
        <v>SISTEMA DE GERENCIAMENTO DE ESTOQUE</v>
      </c>
      <c r="C5857" s="2" t="str">
        <f t="shared" si="483"/>
        <v>SUPRI</v>
      </c>
      <c r="D5857" s="2" t="str">
        <f t="shared" si="484"/>
        <v>MGES</v>
      </c>
      <c r="E5857" s="2" t="str">
        <f>"R_DEMONSTR_CONS_959"</f>
        <v>R_DEMONSTR_CONS_959</v>
      </c>
      <c r="F5857" s="2" t="str">
        <f>"R_DEMONSTR_CONS_959"</f>
        <v>R_DEMONSTR_CONS_959</v>
      </c>
      <c r="G5857" s="2" t="str">
        <f t="shared" si="485"/>
        <v xml:space="preserve"> ()</v>
      </c>
    </row>
    <row r="5858" spans="1:7" x14ac:dyDescent="0.3">
      <c r="A5858" s="1" t="s">
        <v>4</v>
      </c>
      <c r="B5858" s="2" t="str">
        <f t="shared" si="482"/>
        <v>SISTEMA DE GERENCIAMENTO DE ESTOQUE</v>
      </c>
      <c r="C5858" s="2" t="str">
        <f t="shared" si="483"/>
        <v>SUPRI</v>
      </c>
      <c r="D5858" s="2" t="str">
        <f t="shared" si="484"/>
        <v>MGES</v>
      </c>
      <c r="E5858" s="2" t="str">
        <f>"M_BAIXASOL_NOVO"</f>
        <v>M_BAIXASOL_NOVO</v>
      </c>
      <c r="F5858" s="2" t="str">
        <f>"M_BAIXASOL_NOVO"</f>
        <v>M_BAIXASOL_NOVO</v>
      </c>
      <c r="G5858" s="2" t="str">
        <f t="shared" si="485"/>
        <v xml:space="preserve"> ()</v>
      </c>
    </row>
    <row r="5859" spans="1:7" x14ac:dyDescent="0.3">
      <c r="A5859" s="1" t="s">
        <v>4</v>
      </c>
      <c r="B5859" s="2" t="str">
        <f t="shared" si="482"/>
        <v>SISTEMA DE GERENCIAMENTO DE ESTOQUE</v>
      </c>
      <c r="C5859" s="2" t="str">
        <f t="shared" si="483"/>
        <v>SUPRI</v>
      </c>
      <c r="D5859" s="2" t="str">
        <f t="shared" si="484"/>
        <v>MGES</v>
      </c>
      <c r="E5859" s="2" t="str">
        <f>"M_BAIXA_NOVA"</f>
        <v>M_BAIXA_NOVA</v>
      </c>
      <c r="F5859" s="2" t="str">
        <f>"M_BAIXA_NOVA"</f>
        <v>M_BAIXA_NOVA</v>
      </c>
      <c r="G5859" s="2" t="str">
        <f t="shared" si="485"/>
        <v xml:space="preserve"> ()</v>
      </c>
    </row>
    <row r="5860" spans="1:7" x14ac:dyDescent="0.3">
      <c r="A5860" s="1" t="s">
        <v>4</v>
      </c>
      <c r="B5860" s="2" t="str">
        <f t="shared" si="482"/>
        <v>SISTEMA DE GERENCIAMENTO DE ESTOQUE</v>
      </c>
      <c r="C5860" s="2" t="str">
        <f t="shared" si="483"/>
        <v>SUPRI</v>
      </c>
      <c r="D5860" s="2" t="str">
        <f t="shared" si="484"/>
        <v>MGES</v>
      </c>
      <c r="E5860" s="2" t="str">
        <f>"PRODUTOS POR ESTOQUE"</f>
        <v>PRODUTOS POR ESTOQUE</v>
      </c>
      <c r="F5860" s="2" t="str">
        <f>"ETIQUETA_ESTOQUE"</f>
        <v>ETIQUETA_ESTOQUE</v>
      </c>
      <c r="G5860" s="2" t="str">
        <f t="shared" si="485"/>
        <v xml:space="preserve"> ()</v>
      </c>
    </row>
    <row r="5861" spans="1:7" x14ac:dyDescent="0.3">
      <c r="A5861" s="1" t="s">
        <v>4</v>
      </c>
      <c r="B5861" s="2" t="str">
        <f t="shared" si="482"/>
        <v>SISTEMA DE GERENCIAMENTO DE ESTOQUE</v>
      </c>
      <c r="C5861" s="2" t="str">
        <f t="shared" si="483"/>
        <v>SUPRI</v>
      </c>
      <c r="D5861" s="2" t="str">
        <f t="shared" si="484"/>
        <v>MGES</v>
      </c>
      <c r="E5861" s="2" t="str">
        <f>"CONSULTA: LOTES DOS PRODUTOS"</f>
        <v>CONSULTA: LOTES DOS PRODUTOS</v>
      </c>
      <c r="F5861" s="2" t="str">
        <f>"O_LOTPRO"</f>
        <v>O_LOTPRO</v>
      </c>
      <c r="G5861" s="2" t="str">
        <f t="shared" si="485"/>
        <v xml:space="preserve"> ()</v>
      </c>
    </row>
    <row r="5862" spans="1:7" x14ac:dyDescent="0.3">
      <c r="A5862" s="1" t="s">
        <v>4</v>
      </c>
      <c r="B5862" s="2" t="str">
        <f t="shared" si="482"/>
        <v>SISTEMA DE GERENCIAMENTO DE ESTOQUE</v>
      </c>
      <c r="C5862" s="2" t="str">
        <f t="shared" si="483"/>
        <v>SUPRI</v>
      </c>
      <c r="D5862" s="2" t="str">
        <f t="shared" si="484"/>
        <v>MGES</v>
      </c>
      <c r="E5862" s="2" t="str">
        <f>"R_SAI_POS_EST_860"</f>
        <v>R_SAI_POS_EST_860</v>
      </c>
      <c r="F5862" s="2" t="str">
        <f>"R_SAI_POS_EST_860"</f>
        <v>R_SAI_POS_EST_860</v>
      </c>
      <c r="G5862" s="2" t="str">
        <f t="shared" si="485"/>
        <v xml:space="preserve"> ()</v>
      </c>
    </row>
    <row r="5863" spans="1:7" x14ac:dyDescent="0.3">
      <c r="A5863" s="1" t="s">
        <v>4</v>
      </c>
      <c r="B5863" s="2" t="str">
        <f t="shared" si="482"/>
        <v>SISTEMA DE GERENCIAMENTO DE ESTOQUE</v>
      </c>
      <c r="C5863" s="2" t="str">
        <f t="shared" si="483"/>
        <v>SUPRI</v>
      </c>
      <c r="D5863" s="2" t="str">
        <f t="shared" si="484"/>
        <v>MGES</v>
      </c>
      <c r="E5863" s="2" t="str">
        <f>"R_CUSTO_SAIDA_SETOR_ESP_860"</f>
        <v>R_CUSTO_SAIDA_SETOR_ESP_860</v>
      </c>
      <c r="F5863" s="2" t="str">
        <f>"R_CUSTO_SAIDA_SETOR_ESP_860"</f>
        <v>R_CUSTO_SAIDA_SETOR_ESP_860</v>
      </c>
      <c r="G5863" s="2" t="str">
        <f t="shared" si="485"/>
        <v xml:space="preserve"> ()</v>
      </c>
    </row>
    <row r="5864" spans="1:7" x14ac:dyDescent="0.3">
      <c r="A5864" s="1" t="s">
        <v>4</v>
      </c>
      <c r="B5864" s="2" t="str">
        <f t="shared" si="482"/>
        <v>SISTEMA DE GERENCIAMENTO DE ESTOQUE</v>
      </c>
      <c r="C5864" s="2" t="str">
        <f t="shared" si="483"/>
        <v>SUPRI</v>
      </c>
      <c r="D5864" s="2" t="str">
        <f t="shared" si="484"/>
        <v>MGES</v>
      </c>
      <c r="E5864" s="2" t="str">
        <f>"SAIDAS DE PACIENTE AMBULATORIAL"</f>
        <v>SAIDAS DE PACIENTE AMBULATORIAL</v>
      </c>
      <c r="F5864" s="2" t="str">
        <f>"M_SAISET_AMBULATORIAL"</f>
        <v>M_SAISET_AMBULATORIAL</v>
      </c>
      <c r="G5864" s="2" t="str">
        <f>"Materiais e Logística / Almoxarifado / Movimentações / Saída de Produtos / Paciente Ambulatorial (M_SAISET_AMBULATORIAL)"</f>
        <v>Materiais e Logística / Almoxarifado / Movimentações / Saída de Produtos / Paciente Ambulatorial (M_SAISET_AMBULATORIAL)</v>
      </c>
    </row>
    <row r="5865" spans="1:7" x14ac:dyDescent="0.3">
      <c r="A5865" s="1" t="s">
        <v>4</v>
      </c>
      <c r="B5865" s="2" t="str">
        <f t="shared" si="482"/>
        <v>SISTEMA DE GERENCIAMENTO DE ESTOQUE</v>
      </c>
      <c r="C5865" s="2" t="str">
        <f t="shared" si="483"/>
        <v>SUPRI</v>
      </c>
      <c r="D5865" s="2" t="str">
        <f t="shared" si="484"/>
        <v>MGES</v>
      </c>
      <c r="E5865" s="2" t="str">
        <f>"CALCULO: CONSOLIDAÇÃO."</f>
        <v>CALCULO: CONSOLIDAÇÃO.</v>
      </c>
      <c r="F5865" s="2" t="str">
        <f>"O_MIG_LOTE_VAL"</f>
        <v>O_MIG_LOTE_VAL</v>
      </c>
      <c r="G5865" s="2" t="str">
        <f>" ()"</f>
        <v xml:space="preserve"> ()</v>
      </c>
    </row>
    <row r="5866" spans="1:7" x14ac:dyDescent="0.3">
      <c r="A5866" s="1" t="s">
        <v>4</v>
      </c>
      <c r="B5866" s="2" t="str">
        <f t="shared" si="482"/>
        <v>SISTEMA DE GERENCIAMENTO DE ESTOQUE</v>
      </c>
      <c r="C5866" s="2" t="str">
        <f t="shared" si="483"/>
        <v>SUPRI</v>
      </c>
      <c r="D5866" s="2" t="str">
        <f t="shared" si="484"/>
        <v>MGES</v>
      </c>
      <c r="E5866" s="2" t="str">
        <f>"CONSULTA RECEBIMENTO SOLICITACAO"</f>
        <v>CONSULTA RECEBIMENTO SOLICITACAO</v>
      </c>
      <c r="F5866" s="2" t="str">
        <f>"C_RECEBE_SOLICITACAO"</f>
        <v>C_RECEBE_SOLICITACAO</v>
      </c>
      <c r="G5866" s="2" t="str">
        <f>"Materiais e Logística / Almoxarifado / Consultas / Recebimento de Solicitação (C_RECEBE_SOLICITACAO)"</f>
        <v>Materiais e Logística / Almoxarifado / Consultas / Recebimento de Solicitação (C_RECEBE_SOLICITACAO)</v>
      </c>
    </row>
    <row r="5867" spans="1:7" x14ac:dyDescent="0.3">
      <c r="A5867" s="1" t="s">
        <v>4</v>
      </c>
      <c r="B5867" s="2" t="str">
        <f t="shared" si="482"/>
        <v>SISTEMA DE GERENCIAMENTO DE ESTOQUE</v>
      </c>
      <c r="C5867" s="2" t="str">
        <f t="shared" si="483"/>
        <v>SUPRI</v>
      </c>
      <c r="D5867" s="2" t="str">
        <f t="shared" si="484"/>
        <v>MGES</v>
      </c>
      <c r="E5867" s="2" t="str">
        <f>"IDENTIFICADOR DE ETIQUETA"</f>
        <v>IDENTIFICADOR DE ETIQUETA</v>
      </c>
      <c r="F5867" s="2" t="str">
        <f>"R_IDENTIFICADOR_ETIQUETA"</f>
        <v>R_IDENTIFICADOR_ETIQUETA</v>
      </c>
      <c r="G5867" s="2" t="str">
        <f>"Materiais e Logística / Almoxarifado / Relatórios / Listagens / Identificadores de Etiqueta (R_IDENTIFICADOR_ETIQUETA)"</f>
        <v>Materiais e Logística / Almoxarifado / Relatórios / Listagens / Identificadores de Etiqueta (R_IDENTIFICADOR_ETIQUETA)</v>
      </c>
    </row>
    <row r="5868" spans="1:7" x14ac:dyDescent="0.3">
      <c r="A5868" s="1" t="s">
        <v>4</v>
      </c>
      <c r="B5868" s="2" t="str">
        <f t="shared" si="482"/>
        <v>SISTEMA DE GERENCIAMENTO DE ESTOQUE</v>
      </c>
      <c r="C5868" s="2" t="str">
        <f t="shared" si="483"/>
        <v>SUPRI</v>
      </c>
      <c r="D5868" s="2" t="str">
        <f t="shared" si="484"/>
        <v>MGES</v>
      </c>
      <c r="E5868" s="2" t="str">
        <f>"SOLICITAÇÃO: DEVOLUÇÃO DE PRODUTOS"</f>
        <v>SOLICITAÇÃO: DEVOLUÇÃO DE PRODUTOS</v>
      </c>
      <c r="F5868" s="2" t="str">
        <f>"M_DEVSOL"</f>
        <v>M_DEVSOL</v>
      </c>
      <c r="G5868" s="2" t="str">
        <f>" ()"</f>
        <v xml:space="preserve"> ()</v>
      </c>
    </row>
    <row r="5869" spans="1:7" x14ac:dyDescent="0.3">
      <c r="A5869" s="1" t="s">
        <v>4</v>
      </c>
      <c r="B5869" s="2" t="str">
        <f t="shared" si="482"/>
        <v>SISTEMA DE GERENCIAMENTO DE ESTOQUE</v>
      </c>
      <c r="C5869" s="2" t="str">
        <f t="shared" si="483"/>
        <v>SUPRI</v>
      </c>
      <c r="D5869" s="2" t="str">
        <f t="shared" si="484"/>
        <v>MGES</v>
      </c>
      <c r="E5869" s="2" t="str">
        <f>"PRODUCAO DE PRODUTOS COM CUSTO DIARIO"</f>
        <v>PRODUCAO DE PRODUTOS COM CUSTO DIARIO</v>
      </c>
      <c r="F5869" s="2" t="str">
        <f>"M_PRODUCAO_CMD"</f>
        <v>M_PRODUCAO_CMD</v>
      </c>
      <c r="G5869" s="2" t="str">
        <f>"Serviços de Apoio / Central de Materiais Esterilizados / Movimentações / Produção de Produto (M_PRODUCAO_CMD)"</f>
        <v>Serviços de Apoio / Central de Materiais Esterilizados / Movimentações / Produção de Produto (M_PRODUCAO_CMD)</v>
      </c>
    </row>
    <row r="5870" spans="1:7" x14ac:dyDescent="0.3">
      <c r="A5870" s="1" t="s">
        <v>4</v>
      </c>
      <c r="B5870" s="2" t="str">
        <f t="shared" si="482"/>
        <v>SISTEMA DE GERENCIAMENTO DE ESTOQUE</v>
      </c>
      <c r="C5870" s="2" t="str">
        <f t="shared" si="483"/>
        <v>SUPRI</v>
      </c>
      <c r="D5870" s="2" t="str">
        <f t="shared" si="484"/>
        <v>MGES</v>
      </c>
      <c r="E5870" s="2" t="str">
        <f>"CONTAGEM COM O CUSTO MEDIO DIARIO"</f>
        <v>CONTAGEM COM O CUSTO MEDIO DIARIO</v>
      </c>
      <c r="F5870" s="2" t="str">
        <f>"O_CONTAGEM_CMD"</f>
        <v>O_CONTAGEM_CMD</v>
      </c>
      <c r="G5870" s="2" t="str">
        <f>" ()"</f>
        <v xml:space="preserve"> ()</v>
      </c>
    </row>
    <row r="5871" spans="1:7" x14ac:dyDescent="0.3">
      <c r="A5871" s="1" t="s">
        <v>4</v>
      </c>
      <c r="B5871" s="2" t="str">
        <f t="shared" si="482"/>
        <v>SISTEMA DE GERENCIAMENTO DE ESTOQUE</v>
      </c>
      <c r="C5871" s="2" t="str">
        <f t="shared" si="483"/>
        <v>SUPRI</v>
      </c>
      <c r="D5871" s="2" t="str">
        <f t="shared" si="484"/>
        <v>MGES</v>
      </c>
      <c r="E5871" s="2" t="str">
        <f>"CONSOLIDACAO COM O CUSTO MEDIO DIARIO"</f>
        <v>CONSOLIDACAO COM O CUSTO MEDIO DIARIO</v>
      </c>
      <c r="F5871" s="2" t="str">
        <f>"O_CONSOLIDACAO_CMD"</f>
        <v>O_CONSOLIDACAO_CMD</v>
      </c>
      <c r="G5871" s="2" t="str">
        <f>" ()"</f>
        <v xml:space="preserve"> ()</v>
      </c>
    </row>
    <row r="5872" spans="1:7" x14ac:dyDescent="0.3">
      <c r="A5872" s="1" t="s">
        <v>4</v>
      </c>
      <c r="B5872" s="2" t="str">
        <f t="shared" si="482"/>
        <v>SISTEMA DE GERENCIAMENTO DE ESTOQUE</v>
      </c>
      <c r="C5872" s="2" t="str">
        <f t="shared" si="483"/>
        <v>SUPRI</v>
      </c>
      <c r="D5872" s="2" t="str">
        <f t="shared" si="484"/>
        <v>MGES</v>
      </c>
      <c r="E5872" s="2" t="str">
        <f>"RELATÓRIO SOLIC. PENDENTES POR DATA"</f>
        <v>RELATÓRIO SOLIC. PENDENTES POR DATA</v>
      </c>
      <c r="F5872" s="2" t="str">
        <f>"R_SOL_PEND_DATA_MGES"</f>
        <v>R_SOL_PEND_DATA_MGES</v>
      </c>
      <c r="G5872" s="2" t="str">
        <f>" ()"</f>
        <v xml:space="preserve"> ()</v>
      </c>
    </row>
    <row r="5873" spans="1:7" x14ac:dyDescent="0.3">
      <c r="A5873" s="1" t="s">
        <v>4</v>
      </c>
      <c r="B5873" s="2" t="str">
        <f t="shared" si="482"/>
        <v>SISTEMA DE GERENCIAMENTO DE ESTOQUE</v>
      </c>
      <c r="C5873" s="2" t="str">
        <f t="shared" si="483"/>
        <v>SUPRI</v>
      </c>
      <c r="D5873" s="2" t="str">
        <f t="shared" si="484"/>
        <v>MGES</v>
      </c>
      <c r="E5873" s="2" t="str">
        <f>"RELATORIO LABORATORIO X DISTRIBUICAO"</f>
        <v>RELATORIO LABORATORIO X DISTRIBUICAO</v>
      </c>
      <c r="F5873" s="2" t="str">
        <f>"R_LAB_X_DISTR_MGES"</f>
        <v>R_LAB_X_DISTR_MGES</v>
      </c>
      <c r="G5873" s="2" t="str">
        <f>"Materiais e Logística / Almoxarifado / Relatórios / Administrativos / Laboratórios x Distribuidores (R_LAB_X_DISTR_MGES)"</f>
        <v>Materiais e Logística / Almoxarifado / Relatórios / Administrativos / Laboratórios x Distribuidores (R_LAB_X_DISTR_MGES)</v>
      </c>
    </row>
    <row r="5874" spans="1:7" x14ac:dyDescent="0.3">
      <c r="A5874" s="1" t="s">
        <v>4</v>
      </c>
      <c r="B5874" s="2" t="str">
        <f t="shared" si="482"/>
        <v>SISTEMA DE GERENCIAMENTO DE ESTOQUE</v>
      </c>
      <c r="C5874" s="2" t="str">
        <f t="shared" si="483"/>
        <v>SUPRI</v>
      </c>
      <c r="D5874" s="2" t="str">
        <f t="shared" si="484"/>
        <v>MGES</v>
      </c>
      <c r="E5874" s="2" t="str">
        <f>"PRODUÇÃO DE ENTRADA DOS PRODUTOS"</f>
        <v>PRODUÇÃO DE ENTRADA DOS PRODUTOS</v>
      </c>
      <c r="F5874" s="2" t="str">
        <f>"M_PRODUCAO_MGES"</f>
        <v>M_PRODUCAO_MGES</v>
      </c>
      <c r="G5874" s="2" t="str">
        <f>"Materiais e Logística / Almoxarifado / Movimentações / Entradas / Produção (M_PRODUCAO_MGES)"</f>
        <v>Materiais e Logística / Almoxarifado / Movimentações / Entradas / Produção (M_PRODUCAO_MGES)</v>
      </c>
    </row>
    <row r="5875" spans="1:7" x14ac:dyDescent="0.3">
      <c r="A5875" s="1" t="s">
        <v>4</v>
      </c>
      <c r="B5875" s="2" t="str">
        <f t="shared" si="482"/>
        <v>SISTEMA DE GERENCIAMENTO DE ESTOQUE</v>
      </c>
      <c r="C5875" s="2" t="str">
        <f t="shared" si="483"/>
        <v>SUPRI</v>
      </c>
      <c r="D5875" s="2" t="str">
        <f t="shared" si="484"/>
        <v>MGES</v>
      </c>
      <c r="E5875" s="2" t="str">
        <f>"TIPOS DE KIT"</f>
        <v>TIPOS DE KIT</v>
      </c>
      <c r="F5875" s="2" t="str">
        <f>"M_KIT_MGES"</f>
        <v>M_KIT_MGES</v>
      </c>
      <c r="G5875" s="2" t="str">
        <f>"Materiais e Logística / Almoxarifado / Tabelas / Kits (M_KIT_MGES)"</f>
        <v>Materiais e Logística / Almoxarifado / Tabelas / Kits (M_KIT_MGES)</v>
      </c>
    </row>
    <row r="5876" spans="1:7" x14ac:dyDescent="0.3">
      <c r="A5876" s="1" t="s">
        <v>4</v>
      </c>
      <c r="B5876" s="2" t="str">
        <f t="shared" si="482"/>
        <v>SISTEMA DE GERENCIAMENTO DE ESTOQUE</v>
      </c>
      <c r="C5876" s="2" t="str">
        <f t="shared" si="483"/>
        <v>SUPRI</v>
      </c>
      <c r="D5876" s="2" t="str">
        <f t="shared" si="484"/>
        <v>MGES</v>
      </c>
      <c r="E5876" s="2" t="str">
        <f>"WIN_PRINCIPAL"</f>
        <v>WIN_PRINCIPAL</v>
      </c>
      <c r="F5876" s="2" t="str">
        <f>"M_SIMULA_CUSTO_MEDIO"</f>
        <v>M_SIMULA_CUSTO_MEDIO</v>
      </c>
      <c r="G5876" s="2" t="str">
        <f>"Materiais e Logística / Almoxarifado / Cálculos / Simulação do custo médio (M_SIMULA_CUSTO_MEDIO)"</f>
        <v>Materiais e Logística / Almoxarifado / Cálculos / Simulação do custo médio (M_SIMULA_CUSTO_MEDIO)</v>
      </c>
    </row>
    <row r="5877" spans="1:7" x14ac:dyDescent="0.3">
      <c r="A5877" s="1" t="s">
        <v>4</v>
      </c>
      <c r="B5877" s="2" t="str">
        <f t="shared" si="482"/>
        <v>SISTEMA DE GERENCIAMENTO DE ESTOQUE</v>
      </c>
      <c r="C5877" s="2" t="str">
        <f t="shared" si="483"/>
        <v>SUPRI</v>
      </c>
      <c r="D5877" s="2" t="str">
        <f t="shared" si="484"/>
        <v>MGES</v>
      </c>
      <c r="E5877" s="2" t="str">
        <f>"WIN_PRINCIPAL"</f>
        <v>WIN_PRINCIPAL</v>
      </c>
      <c r="F5877" s="2" t="str">
        <f>"M_AJUSTA_CUSTO_MEDIO"</f>
        <v>M_AJUSTA_CUSTO_MEDIO</v>
      </c>
      <c r="G5877" s="2" t="str">
        <f>"Materiais e Logística / Almoxarifado / Cálculos / Ajuste do custo médio do produto (M_AJUSTA_CUSTO_MEDIO)"</f>
        <v>Materiais e Logística / Almoxarifado / Cálculos / Ajuste do custo médio do produto (M_AJUSTA_CUSTO_MEDIO)</v>
      </c>
    </row>
    <row r="5878" spans="1:7" x14ac:dyDescent="0.3">
      <c r="A5878" s="1" t="s">
        <v>4</v>
      </c>
      <c r="B5878" s="2" t="str">
        <f t="shared" si="482"/>
        <v>SISTEMA DE GERENCIAMENTO DE ESTOQUE</v>
      </c>
      <c r="C5878" s="2" t="str">
        <f t="shared" si="483"/>
        <v>SUPRI</v>
      </c>
      <c r="D5878" s="2" t="str">
        <f t="shared" si="484"/>
        <v>MGES</v>
      </c>
      <c r="E5878" s="2" t="str">
        <f>"RELATÓRIO DOS AJUSTES DOS PRODUTOS"</f>
        <v>RELATÓRIO DOS AJUSTES DOS PRODUTOS</v>
      </c>
      <c r="F5878" s="2" t="str">
        <f>"R_AJUSTE_PRODUTOS"</f>
        <v>R_AJUSTE_PRODUTOS</v>
      </c>
      <c r="G5878" s="2" t="str">
        <f>"Materiais e Logística / Almoxarifado / Relatórios / Contábeis / Ajustes dos produtos (R_AJUSTE_PRODUTOS)"</f>
        <v>Materiais e Logística / Almoxarifado / Relatórios / Contábeis / Ajustes dos produtos (R_AJUSTE_PRODUTOS)</v>
      </c>
    </row>
    <row r="5879" spans="1:7" x14ac:dyDescent="0.3">
      <c r="A5879" s="1" t="s">
        <v>4</v>
      </c>
      <c r="B5879" s="2" t="str">
        <f t="shared" si="482"/>
        <v>SISTEMA DE GERENCIAMENTO DE ESTOQUE</v>
      </c>
      <c r="C5879" s="2" t="str">
        <f t="shared" si="483"/>
        <v>SUPRI</v>
      </c>
      <c r="D5879" s="2" t="str">
        <f t="shared" si="484"/>
        <v>MGES</v>
      </c>
      <c r="E5879" s="2" t="str">
        <f>"WIN_PRINCIPAL"</f>
        <v>WIN_PRINCIPAL</v>
      </c>
      <c r="F5879" s="2" t="str">
        <f>"M_VALOR_INICIAL_PRODUTO"</f>
        <v>M_VALOR_INICIAL_PRODUTO</v>
      </c>
      <c r="G5879" s="2" t="str">
        <f>"Materiais e Logística / Almoxarifado / Cálculos / Valor Inicial Produto (M_VALOR_INICIAL_PRODUTO)"</f>
        <v>Materiais e Logística / Almoxarifado / Cálculos / Valor Inicial Produto (M_VALOR_INICIAL_PRODUTO)</v>
      </c>
    </row>
    <row r="5880" spans="1:7" x14ac:dyDescent="0.3">
      <c r="A5880" s="1" t="s">
        <v>4</v>
      </c>
      <c r="B5880" s="2" t="str">
        <f t="shared" si="482"/>
        <v>SISTEMA DE GERENCIAMENTO DE ESTOQUE</v>
      </c>
      <c r="C5880" s="2" t="str">
        <f t="shared" si="483"/>
        <v>SUPRI</v>
      </c>
      <c r="D5880" s="2" t="str">
        <f t="shared" si="484"/>
        <v>MGES</v>
      </c>
      <c r="E5880" s="2" t="str">
        <f>"CONSULTA DE PRODUTOS SIMULARES"</f>
        <v>CONSULTA DE PRODUTOS SIMULARES</v>
      </c>
      <c r="F5880" s="2" t="str">
        <f>"C_PRODSIMILAR_SALDO"</f>
        <v>C_PRODSIMILAR_SALDO</v>
      </c>
      <c r="G5880" s="2" t="str">
        <f>" ()"</f>
        <v xml:space="preserve"> ()</v>
      </c>
    </row>
    <row r="5881" spans="1:7" x14ac:dyDescent="0.3">
      <c r="A5881" s="1" t="s">
        <v>4</v>
      </c>
      <c r="B5881" s="2" t="str">
        <f t="shared" si="482"/>
        <v>SISTEMA DE GERENCIAMENTO DE ESTOQUE</v>
      </c>
      <c r="C5881" s="2" t="str">
        <f t="shared" si="483"/>
        <v>SUPRI</v>
      </c>
      <c r="D5881" s="2" t="str">
        <f t="shared" si="484"/>
        <v>MGES</v>
      </c>
      <c r="E5881" s="2" t="str">
        <f>"WIN_PRINCIPAL - HOSPITAL MV SISTEMAS"</f>
        <v>WIN_PRINCIPAL - HOSPITAL MV SISTEMAS</v>
      </c>
      <c r="F5881" s="2" t="str">
        <f>"M_CADASTRO_BARRA"</f>
        <v>M_CADASTRO_BARRA</v>
      </c>
      <c r="G5881" s="2" t="str">
        <f>"Materiais e Logística / Almoxarifado / Configurações / Geração de Código de Barras (M_CADASTRO_BARRA)"</f>
        <v>Materiais e Logística / Almoxarifado / Configurações / Geração de Código de Barras (M_CADASTRO_BARRA)</v>
      </c>
    </row>
    <row r="5882" spans="1:7" x14ac:dyDescent="0.3">
      <c r="A5882" s="1" t="s">
        <v>4</v>
      </c>
      <c r="B5882" s="2" t="str">
        <f t="shared" si="482"/>
        <v>SISTEMA DE GERENCIAMENTO DE ESTOQUE</v>
      </c>
      <c r="C5882" s="2" t="str">
        <f t="shared" si="483"/>
        <v>SUPRI</v>
      </c>
      <c r="D5882" s="2" t="str">
        <f t="shared" si="484"/>
        <v>MGES</v>
      </c>
      <c r="E5882" s="2" t="str">
        <f>"WIN_PRINCIPAL - HOSPITAL MV SISTEMAS"</f>
        <v>WIN_PRINCIPAL - HOSPITAL MV SISTEMAS</v>
      </c>
      <c r="F5882" s="2" t="str">
        <f>"M_CADASTRO_BARRA"</f>
        <v>M_CADASTRO_BARRA</v>
      </c>
      <c r="G5882" s="2" t="str">
        <f>"Apoio a TI / Gestão de Usuários / Autorização / Emissão de Etiquetas com códigos de barras (M_CADASTRO_BARRA)"</f>
        <v>Apoio a TI / Gestão de Usuários / Autorização / Emissão de Etiquetas com códigos de barras (M_CADASTRO_BARRA)</v>
      </c>
    </row>
    <row r="5883" spans="1:7" x14ac:dyDescent="0.3">
      <c r="A5883" s="1" t="s">
        <v>4</v>
      </c>
      <c r="B5883" s="2" t="str">
        <f t="shared" si="482"/>
        <v>SISTEMA DE GERENCIAMENTO DE ESTOQUE</v>
      </c>
      <c r="C5883" s="2" t="str">
        <f t="shared" si="483"/>
        <v>SUPRI</v>
      </c>
      <c r="D5883" s="2" t="str">
        <f t="shared" si="484"/>
        <v>MGES</v>
      </c>
      <c r="E5883" s="2" t="str">
        <f>"RELATÓRIO DE ESTATÍSTICAS DE DEVOLUÇÃO"</f>
        <v>RELATÓRIO DE ESTATÍSTICAS DE DEVOLUÇÃO</v>
      </c>
      <c r="F5883" s="2" t="str">
        <f>"R_ESTATISTICA_DEVOLUCAO"</f>
        <v>R_ESTATISTICA_DEVOLUCAO</v>
      </c>
      <c r="G5883" s="2" t="str">
        <f>"Materiais e Logística / Almoxarifado / Relatórios / Estatísticas / Estatísticas de Devolução (R_ESTATISTICA_DEVOLUCAO)"</f>
        <v>Materiais e Logística / Almoxarifado / Relatórios / Estatísticas / Estatísticas de Devolução (R_ESTATISTICA_DEVOLUCAO)</v>
      </c>
    </row>
    <row r="5884" spans="1:7" x14ac:dyDescent="0.3">
      <c r="A5884" s="1" t="s">
        <v>4</v>
      </c>
      <c r="B5884" s="2" t="str">
        <f t="shared" si="482"/>
        <v>SISTEMA DE GERENCIAMENTO DE ESTOQUE</v>
      </c>
      <c r="C5884" s="2" t="str">
        <f t="shared" si="483"/>
        <v>SUPRI</v>
      </c>
      <c r="D5884" s="2" t="str">
        <f t="shared" si="484"/>
        <v>MGES</v>
      </c>
      <c r="E5884" s="2" t="str">
        <f>"TRANSFERÊNCIA DE GASTO DE SALA"</f>
        <v>TRANSFERÊNCIA DE GASTO DE SALA</v>
      </c>
      <c r="F5884" s="2" t="str">
        <f>"O_TRANS_GASTO_SALA"</f>
        <v>O_TRANS_GASTO_SALA</v>
      </c>
      <c r="G5884" s="2" t="str">
        <f>"Materiais e Logística / Almoxarifado / Movimentações / Devoluções / Cancela Gasto de Sala sem Atendimento (O_TRANS_GASTO_SALA)"</f>
        <v>Materiais e Logística / Almoxarifado / Movimentações / Devoluções / Cancela Gasto de Sala sem Atendimento (O_TRANS_GASTO_SALA)</v>
      </c>
    </row>
    <row r="5885" spans="1:7" x14ac:dyDescent="0.3">
      <c r="A5885" s="1" t="s">
        <v>4</v>
      </c>
      <c r="B5885" s="2" t="str">
        <f t="shared" si="482"/>
        <v>SISTEMA DE GERENCIAMENTO DE ESTOQUE</v>
      </c>
      <c r="C5885" s="2" t="str">
        <f t="shared" si="483"/>
        <v>SUPRI</v>
      </c>
      <c r="D5885" s="2" t="str">
        <f t="shared" si="484"/>
        <v>MGES</v>
      </c>
      <c r="E5885" s="2" t="str">
        <f>"WIN_PRINCIPAL - HOSPITAL MV SISTEMAS"</f>
        <v>WIN_PRINCIPAL - HOSPITAL MV SISTEMAS</v>
      </c>
      <c r="F5885" s="2" t="str">
        <f>"M_PRODUTO_FORNECEDOR"</f>
        <v>M_PRODUTO_FORNECEDOR</v>
      </c>
      <c r="G5885" s="2" t="str">
        <f>"Materiais e Logística / Almoxarifado / Configurações / De Para Produto MV - Fornecedor (M_PRODUTO_FORNECEDOR)"</f>
        <v>Materiais e Logística / Almoxarifado / Configurações / De Para Produto MV - Fornecedor (M_PRODUTO_FORNECEDOR)</v>
      </c>
    </row>
    <row r="5886" spans="1:7" x14ac:dyDescent="0.3">
      <c r="A5886" s="1" t="s">
        <v>4</v>
      </c>
      <c r="B5886" s="2" t="str">
        <f t="shared" si="482"/>
        <v>SISTEMA DE GERENCIAMENTO DE ESTOQUE</v>
      </c>
      <c r="C5886" s="2" t="str">
        <f t="shared" si="483"/>
        <v>SUPRI</v>
      </c>
      <c r="D5886" s="2" t="str">
        <f t="shared" si="484"/>
        <v>MGES</v>
      </c>
      <c r="E5886" s="2" t="str">
        <f>"R_FICHA_RAST_LOTE"</f>
        <v>R_FICHA_RAST_LOTE</v>
      </c>
      <c r="F5886" s="2" t="str">
        <f>"R_FICHA_RAST_LOTE"</f>
        <v>R_FICHA_RAST_LOTE</v>
      </c>
      <c r="G5886" s="2" t="str">
        <f>"Materiais e Logística / Almoxarifado / Relatórios / Operacionais / Análise do Custo Médio dos Produtos / Ficha de Rastreabilidade do Lote (R_FICHA_RAST_LOTE)"</f>
        <v>Materiais e Logística / Almoxarifado / Relatórios / Operacionais / Análise do Custo Médio dos Produtos / Ficha de Rastreabilidade do Lote (R_FICHA_RAST_LOTE)</v>
      </c>
    </row>
    <row r="5887" spans="1:7" x14ac:dyDescent="0.3">
      <c r="A5887" s="1" t="s">
        <v>4</v>
      </c>
      <c r="B5887" s="2" t="str">
        <f t="shared" si="482"/>
        <v>SISTEMA DE GERENCIAMENTO DE ESTOQUE</v>
      </c>
      <c r="C5887" s="2" t="str">
        <f t="shared" si="483"/>
        <v>SUPRI</v>
      </c>
      <c r="D5887" s="2" t="str">
        <f t="shared" si="484"/>
        <v>MGES</v>
      </c>
      <c r="E5887" s="2" t="str">
        <f>"R_CUSTO_SAIDA_SET_ESP"</f>
        <v>R_CUSTO_SAIDA_SET_ESP</v>
      </c>
      <c r="F5887" s="2" t="str">
        <f>"R_CUSTO_SAIDA_SET_ESP"</f>
        <v>R_CUSTO_SAIDA_SET_ESP</v>
      </c>
      <c r="G5887" s="2" t="str">
        <f>"Materiais e Logística / Almoxarifado / Relatórios / Contábeis / Custos do Consumo por Setor Agrupado por Espécie (R_CUSTO_SAIDA_SET_ESP)"</f>
        <v>Materiais e Logística / Almoxarifado / Relatórios / Contábeis / Custos do Consumo por Setor Agrupado por Espécie (R_CUSTO_SAIDA_SET_ESP)</v>
      </c>
    </row>
    <row r="5888" spans="1:7" x14ac:dyDescent="0.3">
      <c r="A5888" s="1" t="s">
        <v>4</v>
      </c>
      <c r="B5888" s="2" t="str">
        <f t="shared" si="482"/>
        <v>SISTEMA DE GERENCIAMENTO DE ESTOQUE</v>
      </c>
      <c r="C5888" s="2" t="str">
        <f t="shared" si="483"/>
        <v>SUPRI</v>
      </c>
      <c r="D5888" s="2" t="str">
        <f t="shared" si="484"/>
        <v>MGES</v>
      </c>
      <c r="E5888" s="2" t="str">
        <f>"REL ENTRADA PRODUTO CONTABIL POR ENTRADA"</f>
        <v>REL ENTRADA PRODUTO CONTABIL POR ENTRADA</v>
      </c>
      <c r="F5888" s="2" t="str">
        <f>"R_ENT_PRO_CONT_DT_EMIS"</f>
        <v>R_ENT_PRO_CONT_DT_EMIS</v>
      </c>
      <c r="G5888" s="2" t="str">
        <f>" ()"</f>
        <v xml:space="preserve"> ()</v>
      </c>
    </row>
    <row r="5889" spans="1:7" x14ac:dyDescent="0.3">
      <c r="A5889" s="1" t="s">
        <v>4</v>
      </c>
      <c r="B5889" s="2" t="str">
        <f t="shared" si="482"/>
        <v>SISTEMA DE GERENCIAMENTO DE ESTOQUE</v>
      </c>
      <c r="C5889" s="2" t="str">
        <f t="shared" si="483"/>
        <v>SUPRI</v>
      </c>
      <c r="D5889" s="2" t="str">
        <f t="shared" si="484"/>
        <v>MGES</v>
      </c>
      <c r="E5889" s="2" t="str">
        <f>"CALCULO: CONSOLIDAÇÃO."</f>
        <v>CALCULO: CONSOLIDAÇÃO.</v>
      </c>
      <c r="F5889" s="2" t="str">
        <f>"O_MIGRACAO_LOTE_VALIDADE"</f>
        <v>O_MIGRACAO_LOTE_VALIDADE</v>
      </c>
      <c r="G5889" s="2" t="str">
        <f>" ()"</f>
        <v xml:space="preserve"> ()</v>
      </c>
    </row>
    <row r="5890" spans="1:7" x14ac:dyDescent="0.3">
      <c r="A5890" s="1" t="s">
        <v>4</v>
      </c>
      <c r="B5890" s="2" t="str">
        <f t="shared" si="482"/>
        <v>SISTEMA DE GERENCIAMENTO DE ESTOQUE</v>
      </c>
      <c r="C5890" s="2" t="str">
        <f t="shared" si="483"/>
        <v>SUPRI</v>
      </c>
      <c r="D5890" s="2" t="str">
        <f t="shared" si="484"/>
        <v>MGES</v>
      </c>
      <c r="E5890" s="2" t="str">
        <f>"PRODUÇÃO DE KITS EM MASSA"</f>
        <v>PRODUÇÃO DE KITS EM MASSA</v>
      </c>
      <c r="F5890" s="2" t="str">
        <f>"M_PRODUZIR_KIT_MASSA"</f>
        <v>M_PRODUZIR_KIT_MASSA</v>
      </c>
      <c r="G5890" s="2" t="str">
        <f>" ()"</f>
        <v xml:space="preserve"> ()</v>
      </c>
    </row>
    <row r="5891" spans="1:7" x14ac:dyDescent="0.3">
      <c r="A5891" s="1" t="s">
        <v>4</v>
      </c>
      <c r="B5891" s="2" t="str">
        <f t="shared" si="482"/>
        <v>SISTEMA DE GERENCIAMENTO DE ESTOQUE</v>
      </c>
      <c r="C5891" s="2" t="str">
        <f t="shared" si="483"/>
        <v>SUPRI</v>
      </c>
      <c r="D5891" s="2" t="str">
        <f t="shared" si="484"/>
        <v>MGES</v>
      </c>
      <c r="E5891" s="2" t="str">
        <f>"PRODUÇÃO DE KIT EM MASSA"</f>
        <v>PRODUÇÃO DE KIT EM MASSA</v>
      </c>
      <c r="F5891" s="2" t="str">
        <f>"M_PROD_KIT_MASSA"</f>
        <v>M_PROD_KIT_MASSA</v>
      </c>
      <c r="G5891" s="2" t="str">
        <f>"Materiais e Logística / Almoxarifado / Movimentações / Produção de Kits / Produzir Kit em Massa (M_PROD_KIT_MASSA)"</f>
        <v>Materiais e Logística / Almoxarifado / Movimentações / Produção de Kits / Produzir Kit em Massa (M_PROD_KIT_MASSA)</v>
      </c>
    </row>
    <row r="5892" spans="1:7" x14ac:dyDescent="0.3">
      <c r="A5892" s="1" t="s">
        <v>4</v>
      </c>
      <c r="B5892" s="2" t="str">
        <f t="shared" si="482"/>
        <v>SISTEMA DE GERENCIAMENTO DE ESTOQUE</v>
      </c>
      <c r="C5892" s="2" t="str">
        <f t="shared" si="483"/>
        <v>SUPRI</v>
      </c>
      <c r="D5892" s="2" t="str">
        <f t="shared" si="484"/>
        <v>MGES</v>
      </c>
      <c r="E5892" s="2" t="str">
        <f>"CONSULTA NOVA ENTRADA DE PRODUTOS"</f>
        <v>CONSULTA NOVA ENTRADA DE PRODUTOS</v>
      </c>
      <c r="F5892" s="2" t="str">
        <f>"C_ENTRADA_NOVA"</f>
        <v>C_ENTRADA_NOVA</v>
      </c>
      <c r="G5892" s="2" t="str">
        <f>"Materiais e Logística / Almoxarifado / Consultas / Entrada Produtos (C_ENTRADA_NOVA)"</f>
        <v>Materiais e Logística / Almoxarifado / Consultas / Entrada Produtos (C_ENTRADA_NOVA)</v>
      </c>
    </row>
    <row r="5893" spans="1:7" x14ac:dyDescent="0.3">
      <c r="A5893" s="1" t="s">
        <v>4</v>
      </c>
      <c r="B5893" s="2" t="str">
        <f t="shared" si="482"/>
        <v>SISTEMA DE GERENCIAMENTO DE ESTOQUE</v>
      </c>
      <c r="C5893" s="2" t="str">
        <f t="shared" si="483"/>
        <v>SUPRI</v>
      </c>
      <c r="D5893" s="2" t="str">
        <f t="shared" si="484"/>
        <v>MGES</v>
      </c>
      <c r="E5893" s="2" t="str">
        <f>"POSICAO DO ESTOQUE SIMPLIFICADO"</f>
        <v>POSICAO DO ESTOQUE SIMPLIFICADO</v>
      </c>
      <c r="F5893" s="2" t="str">
        <f>"R_POS_EST_S_RET"</f>
        <v>R_POS_EST_S_RET</v>
      </c>
      <c r="G5893" s="2" t="str">
        <f>" ()"</f>
        <v xml:space="preserve"> ()</v>
      </c>
    </row>
    <row r="5894" spans="1:7" x14ac:dyDescent="0.3">
      <c r="A5894" s="1" t="s">
        <v>4</v>
      </c>
      <c r="B5894" s="2" t="str">
        <f t="shared" si="482"/>
        <v>SISTEMA DE GERENCIAMENTO DE ESTOQUE</v>
      </c>
      <c r="C5894" s="2" t="str">
        <f t="shared" si="483"/>
        <v>SUPRI</v>
      </c>
      <c r="D5894" s="2" t="str">
        <f t="shared" si="484"/>
        <v>MGES</v>
      </c>
      <c r="E5894" s="2" t="str">
        <f>"RELATÓRIO DE SAÍDAS POR SETOR"</f>
        <v>RELATÓRIO DE SAÍDAS POR SETOR</v>
      </c>
      <c r="F5894" s="2" t="str">
        <f>"R_CONS_SET.RDF"</f>
        <v>R_CONS_SET.RDF</v>
      </c>
      <c r="G5894" s="2" t="str">
        <f>" ()"</f>
        <v xml:space="preserve"> ()</v>
      </c>
    </row>
    <row r="5895" spans="1:7" x14ac:dyDescent="0.3">
      <c r="A5895" s="1" t="s">
        <v>4</v>
      </c>
      <c r="B5895" s="2" t="str">
        <f t="shared" si="482"/>
        <v>SISTEMA DE GERENCIAMENTO DE ESTOQUE</v>
      </c>
      <c r="C5895" s="2" t="str">
        <f t="shared" si="483"/>
        <v>SUPRI</v>
      </c>
      <c r="D5895" s="2" t="str">
        <f t="shared" si="484"/>
        <v>MGES</v>
      </c>
      <c r="E5895" s="2" t="str">
        <f>"RELATÓRIO DE SOLICITAÇÕES PENDENTES"</f>
        <v>RELATÓRIO DE SOLICITAÇÕES PENDENTES</v>
      </c>
      <c r="F5895" s="2" t="str">
        <f>"R_SOLICITACAO_PENDENTES.RDF"</f>
        <v>R_SOLICITACAO_PENDENTES.RDF</v>
      </c>
      <c r="G5895" s="2" t="str">
        <f>" ()"</f>
        <v xml:space="preserve"> ()</v>
      </c>
    </row>
    <row r="5896" spans="1:7" x14ac:dyDescent="0.3">
      <c r="A5896" s="1" t="s">
        <v>4</v>
      </c>
      <c r="B5896" s="2" t="str">
        <f t="shared" si="482"/>
        <v>SISTEMA DE GERENCIAMENTO DE ESTOQUE</v>
      </c>
      <c r="C5896" s="2" t="str">
        <f t="shared" si="483"/>
        <v>SUPRI</v>
      </c>
      <c r="D5896" s="2" t="str">
        <f t="shared" si="484"/>
        <v>MGES</v>
      </c>
      <c r="E5896" s="2" t="str">
        <f>"CONSUMO DE ESTOQUE EM ORDEM ALFABÉTICA"</f>
        <v>CONSUMO DE ESTOQUE EM ORDEM ALFABÉTICA</v>
      </c>
      <c r="F5896" s="2" t="str">
        <f>"R_CONSUMO_ALFABETICA.RDF"</f>
        <v>R_CONSUMO_ALFABETICA.RDF</v>
      </c>
      <c r="G5896" s="2" t="str">
        <f>" ()"</f>
        <v xml:space="preserve"> ()</v>
      </c>
    </row>
    <row r="5897" spans="1:7" x14ac:dyDescent="0.3">
      <c r="A5897" s="1" t="s">
        <v>4</v>
      </c>
      <c r="B5897" s="2" t="str">
        <f t="shared" si="482"/>
        <v>SISTEMA DE GERENCIAMENTO DE ESTOQUE</v>
      </c>
      <c r="C5897" s="2" t="str">
        <f t="shared" si="483"/>
        <v>SUPRI</v>
      </c>
      <c r="D5897" s="2" t="str">
        <f t="shared" si="484"/>
        <v>MGES</v>
      </c>
      <c r="E5897" s="2" t="str">
        <f>"CONSULTA DE RECEBIMENTO DE SOLICITAÇÕES"</f>
        <v>CONSULTA DE RECEBIMENTO DE SOLICITAÇÕES</v>
      </c>
      <c r="F5897" s="2" t="str">
        <f>"M_RECEBE_SOLIC_CONSULTA"</f>
        <v>M_RECEBE_SOLIC_CONSULTA</v>
      </c>
      <c r="G5897" s="2" t="str">
        <f>"Materiais e Logística / Almoxarifado / Personalizados / Consulta de Recebimento de Solicitações (M_RECEBE_SOLIC_CONSULTA)"</f>
        <v>Materiais e Logística / Almoxarifado / Personalizados / Consulta de Recebimento de Solicitações (M_RECEBE_SOLIC_CONSULTA)</v>
      </c>
    </row>
    <row r="5898" spans="1:7" x14ac:dyDescent="0.3">
      <c r="A5898" s="1" t="s">
        <v>4</v>
      </c>
      <c r="B5898" s="2" t="str">
        <f t="shared" si="482"/>
        <v>SISTEMA DE GERENCIAMENTO DE ESTOQUE</v>
      </c>
      <c r="C5898" s="2" t="str">
        <f t="shared" si="483"/>
        <v>SUPRI</v>
      </c>
      <c r="D5898" s="2" t="str">
        <f t="shared" si="484"/>
        <v>MGES</v>
      </c>
      <c r="E5898" s="2" t="str">
        <f>"USUÁRIOS POR ESPÉCIE"</f>
        <v>USUÁRIOS POR ESPÉCIE</v>
      </c>
      <c r="F5898" s="2" t="str">
        <f>"M_USUESP"</f>
        <v>M_USUESP</v>
      </c>
      <c r="G5898" s="2" t="str">
        <f>"Apoio a TI / Gestão de Usuários / Configurações de Acesso / Acessos Suprimentos / Usuários por Espécie (M_USUESP)"</f>
        <v>Apoio a TI / Gestão de Usuários / Configurações de Acesso / Acessos Suprimentos / Usuários por Espécie (M_USUESP)</v>
      </c>
    </row>
    <row r="5899" spans="1:7" x14ac:dyDescent="0.3">
      <c r="A5899" s="1" t="s">
        <v>4</v>
      </c>
      <c r="B5899" s="2" t="str">
        <f t="shared" si="482"/>
        <v>SISTEMA DE GERENCIAMENTO DE ESTOQUE</v>
      </c>
      <c r="C5899" s="2" t="str">
        <f t="shared" si="483"/>
        <v>SUPRI</v>
      </c>
      <c r="D5899" s="2" t="str">
        <f t="shared" si="484"/>
        <v>MGES</v>
      </c>
      <c r="E5899" s="2" t="str">
        <f>"M_MUDANCA_CALCULO_CM"</f>
        <v>M_MUDANCA_CALCULO_CM</v>
      </c>
      <c r="F5899" s="2" t="str">
        <f>"M_MUDANCA_CALCULO_CM"</f>
        <v>M_MUDANCA_CALCULO_CM</v>
      </c>
      <c r="G5899" s="2" t="str">
        <f>" ()"</f>
        <v xml:space="preserve"> ()</v>
      </c>
    </row>
    <row r="5900" spans="1:7" x14ac:dyDescent="0.3">
      <c r="A5900" s="1" t="s">
        <v>4</v>
      </c>
      <c r="B5900" s="2" t="str">
        <f t="shared" si="482"/>
        <v>SISTEMA DE GERENCIAMENTO DE ESTOQUE</v>
      </c>
      <c r="C5900" s="2" t="str">
        <f t="shared" si="483"/>
        <v>SUPRI</v>
      </c>
      <c r="D5900" s="2" t="str">
        <f t="shared" si="484"/>
        <v>MGES</v>
      </c>
      <c r="E5900" s="2" t="str">
        <f>"CADASTRO: MOTIVOS DE BAIXA"</f>
        <v>CADASTRO: MOTIVOS DE BAIXA</v>
      </c>
      <c r="F5900" s="2" t="str">
        <f>"M_TRADUCAO_NEW"</f>
        <v>M_TRADUCAO_NEW</v>
      </c>
      <c r="G5900" s="2" t="str">
        <f>" ()"</f>
        <v xml:space="preserve"> ()</v>
      </c>
    </row>
    <row r="5901" spans="1:7" x14ac:dyDescent="0.3">
      <c r="A5901" s="1" t="s">
        <v>4</v>
      </c>
      <c r="B5901" s="2" t="str">
        <f t="shared" si="482"/>
        <v>SISTEMA DE GERENCIAMENTO DE ESTOQUE</v>
      </c>
      <c r="C5901" s="2" t="str">
        <f t="shared" si="483"/>
        <v>SUPRI</v>
      </c>
      <c r="D5901" s="2" t="str">
        <f t="shared" si="484"/>
        <v>MGES</v>
      </c>
      <c r="E5901" s="2" t="str">
        <f>"C_IMPRESSAO_SOLICITACAO"</f>
        <v>C_IMPRESSAO_SOLICITACAO</v>
      </c>
      <c r="F5901" s="2" t="str">
        <f>"C_IMPRESSAO_SOLICITACAO"</f>
        <v>C_IMPRESSAO_SOLICITACAO</v>
      </c>
      <c r="G5901" s="2" t="str">
        <f>"Materiais e Logística / Almoxarifado / Solicitações / Impressão de solicitação de devolução de produto (C_IMPRESSAO_SOLICITACAO)"</f>
        <v>Materiais e Logística / Almoxarifado / Solicitações / Impressão de solicitação de devolução de produto (C_IMPRESSAO_SOLICITACAO)</v>
      </c>
    </row>
    <row r="5902" spans="1:7" x14ac:dyDescent="0.3">
      <c r="A5902" s="1" t="s">
        <v>4</v>
      </c>
      <c r="B5902" s="2" t="str">
        <f t="shared" si="482"/>
        <v>SISTEMA DE GERENCIAMENTO DE ESTOQUE</v>
      </c>
      <c r="C5902" s="2" t="str">
        <f t="shared" si="483"/>
        <v>SUPRI</v>
      </c>
      <c r="D5902" s="2" t="str">
        <f t="shared" si="484"/>
        <v>MGES</v>
      </c>
      <c r="E5902" s="2" t="str">
        <f>"RELATÓRIO DE RASTREABILIDADE DE LOTE"</f>
        <v>RELATÓRIO DE RASTREABILIDADE DE LOTE</v>
      </c>
      <c r="F5902" s="2" t="str">
        <f>"R_RASTREAB_PROD"</f>
        <v>R_RASTREAB_PROD</v>
      </c>
      <c r="G5902" s="2" t="str">
        <f>"Materiais e Logística / Almoxarifado / Relatórios / Operacionais / Rastreabilidade de Produtos (R_RASTREAB_PROD)"</f>
        <v>Materiais e Logística / Almoxarifado / Relatórios / Operacionais / Rastreabilidade de Produtos (R_RASTREAB_PROD)</v>
      </c>
    </row>
    <row r="5903" spans="1:7" x14ac:dyDescent="0.3">
      <c r="A5903" s="1" t="s">
        <v>4</v>
      </c>
      <c r="B5903" s="2" t="str">
        <f t="shared" si="482"/>
        <v>SISTEMA DE GERENCIAMENTO DE ESTOQUE</v>
      </c>
      <c r="C5903" s="2" t="str">
        <f t="shared" si="483"/>
        <v>SUPRI</v>
      </c>
      <c r="D5903" s="2" t="str">
        <f t="shared" si="484"/>
        <v>MGES</v>
      </c>
      <c r="E5903" s="2" t="str">
        <f>"UNIDADES DO PRODUTO"</f>
        <v>UNIDADES DO PRODUTO</v>
      </c>
      <c r="F5903" s="2" t="str">
        <f>"M_USU_PRO_CONSERTO"</f>
        <v>M_USU_PRO_CONSERTO</v>
      </c>
      <c r="G5903" s="2" t="str">
        <f>" ()"</f>
        <v xml:space="preserve"> ()</v>
      </c>
    </row>
    <row r="5904" spans="1:7" x14ac:dyDescent="0.3">
      <c r="A5904" s="1" t="s">
        <v>4</v>
      </c>
      <c r="B5904" s="2" t="str">
        <f t="shared" si="482"/>
        <v>SISTEMA DE GERENCIAMENTO DE ESTOQUE</v>
      </c>
      <c r="C5904" s="2" t="str">
        <f t="shared" si="483"/>
        <v>SUPRI</v>
      </c>
      <c r="D5904" s="2" t="str">
        <f t="shared" si="484"/>
        <v>MGES</v>
      </c>
      <c r="E5904" s="2" t="str">
        <f>"COD_BARRA_PROD"</f>
        <v>COD_BARRA_PROD</v>
      </c>
      <c r="F5904" s="2" t="str">
        <f>"COD_BARRA_PROD"</f>
        <v>COD_BARRA_PROD</v>
      </c>
      <c r="G5904" s="2" t="str">
        <f>" ()"</f>
        <v xml:space="preserve"> ()</v>
      </c>
    </row>
    <row r="5905" spans="1:7" x14ac:dyDescent="0.3">
      <c r="A5905" s="1" t="s">
        <v>4</v>
      </c>
      <c r="B5905" s="2" t="str">
        <f t="shared" si="482"/>
        <v>SISTEMA DE GERENCIAMENTO DE ESTOQUE</v>
      </c>
      <c r="C5905" s="2" t="str">
        <f t="shared" si="483"/>
        <v>SUPRI</v>
      </c>
      <c r="D5905" s="2" t="str">
        <f t="shared" si="484"/>
        <v>MGES</v>
      </c>
      <c r="E5905" s="2" t="str">
        <f>"WIN_PRINCIPAL"</f>
        <v>WIN_PRINCIPAL</v>
      </c>
      <c r="F5905" s="2" t="str">
        <f>"M_PRODUTO_GERAL"</f>
        <v>M_PRODUTO_GERAL</v>
      </c>
      <c r="G5905" s="2" t="str">
        <f>" ()"</f>
        <v xml:space="preserve"> ()</v>
      </c>
    </row>
    <row r="5906" spans="1:7" x14ac:dyDescent="0.3">
      <c r="A5906" s="1" t="s">
        <v>4</v>
      </c>
      <c r="B5906" s="2" t="str">
        <f t="shared" si="482"/>
        <v>SISTEMA DE GERENCIAMENTO DE ESTOQUE</v>
      </c>
      <c r="C5906" s="2" t="str">
        <f t="shared" si="483"/>
        <v>SUPRI</v>
      </c>
      <c r="D5906" s="2" t="str">
        <f t="shared" si="484"/>
        <v>MGES</v>
      </c>
      <c r="E5906" s="2" t="str">
        <f>"M_USI_PRO_CONSERTO"</f>
        <v>M_USI_PRO_CONSERTO</v>
      </c>
      <c r="F5906" s="2" t="str">
        <f>"M_USI_PRO_CONSERTO"</f>
        <v>M_USI_PRO_CONSERTO</v>
      </c>
      <c r="G5906" s="2" t="str">
        <f>" ()"</f>
        <v xml:space="preserve"> ()</v>
      </c>
    </row>
    <row r="5907" spans="1:7" x14ac:dyDescent="0.3">
      <c r="A5907" s="1" t="s">
        <v>4</v>
      </c>
      <c r="B5907" s="2" t="str">
        <f t="shared" si="482"/>
        <v>SISTEMA DE GERENCIAMENTO DE ESTOQUE</v>
      </c>
      <c r="C5907" s="2" t="str">
        <f t="shared" si="483"/>
        <v>SUPRI</v>
      </c>
      <c r="D5907" s="2" t="str">
        <f t="shared" si="484"/>
        <v>MGES</v>
      </c>
      <c r="E5907" s="2" t="str">
        <f>"RELATÓRIO DA TABELA DE CENTRO CIRÚRGICO"</f>
        <v>RELATÓRIO DA TABELA DE CENTRO CIRÚRGICO</v>
      </c>
      <c r="F5907" s="2" t="str">
        <f>"R_ETIQ_FARM"</f>
        <v>R_ETIQ_FARM</v>
      </c>
      <c r="G5907" s="2" t="str">
        <f>" ()"</f>
        <v xml:space="preserve"> ()</v>
      </c>
    </row>
    <row r="5908" spans="1:7" x14ac:dyDescent="0.3">
      <c r="A5908" s="1" t="s">
        <v>4</v>
      </c>
      <c r="B5908" s="2" t="str">
        <f t="shared" si="482"/>
        <v>SISTEMA DE GERENCIAMENTO DE ESTOQUE</v>
      </c>
      <c r="C5908" s="2" t="str">
        <f t="shared" si="483"/>
        <v>SUPRI</v>
      </c>
      <c r="D5908" s="2" t="str">
        <f t="shared" si="484"/>
        <v>MGES</v>
      </c>
      <c r="E5908" s="2" t="str">
        <f>"RELATORIO DOS ALMOXARIFADOS"</f>
        <v>RELATORIO DOS ALMOXARIFADOS</v>
      </c>
      <c r="F5908" s="2" t="str">
        <f>"R_ESTOQUE"</f>
        <v>R_ESTOQUE</v>
      </c>
      <c r="G5908" s="2" t="str">
        <f>"Materiais e Logística / Almoxarifado / Relatórios / Tabelas / Estoques (R_ESTOQUE)"</f>
        <v>Materiais e Logística / Almoxarifado / Relatórios / Tabelas / Estoques (R_ESTOQUE)</v>
      </c>
    </row>
    <row r="5909" spans="1:7" x14ac:dyDescent="0.3">
      <c r="A5909" s="1" t="s">
        <v>4</v>
      </c>
      <c r="B5909" s="2" t="str">
        <f t="shared" si="482"/>
        <v>SISTEMA DE GERENCIAMENTO DE ESTOQUE</v>
      </c>
      <c r="C5909" s="2" t="str">
        <f t="shared" si="483"/>
        <v>SUPRI</v>
      </c>
      <c r="D5909" s="2" t="str">
        <f t="shared" si="484"/>
        <v>MGES</v>
      </c>
      <c r="E5909" s="2" t="str">
        <f>"DESTINO DE EMPRESTIMO"</f>
        <v>DESTINO DE EMPRESTIMO</v>
      </c>
      <c r="F5909" s="2" t="str">
        <f>"R_DESEMP"</f>
        <v>R_DESEMP</v>
      </c>
      <c r="G5909" s="2" t="str">
        <f>"Materiais e Logística / Almoxarifado / Relatórios / Tabelas / Destino de Empréstimos (R_DESEMP)"</f>
        <v>Materiais e Logística / Almoxarifado / Relatórios / Tabelas / Destino de Empréstimos (R_DESEMP)</v>
      </c>
    </row>
    <row r="5910" spans="1:7" x14ac:dyDescent="0.3">
      <c r="A5910" s="1" t="s">
        <v>4</v>
      </c>
      <c r="B5910" s="2" t="str">
        <f t="shared" si="482"/>
        <v>SISTEMA DE GERENCIAMENTO DE ESTOQUE</v>
      </c>
      <c r="C5910" s="2" t="str">
        <f t="shared" si="483"/>
        <v>SUPRI</v>
      </c>
      <c r="D5910" s="2" t="str">
        <f t="shared" si="484"/>
        <v>MGES</v>
      </c>
      <c r="E5910" s="2" t="str">
        <f>"RELATORIO DE ACAO TERAPEUTICA"</f>
        <v>RELATORIO DE ACAO TERAPEUTICA</v>
      </c>
      <c r="F5910" s="2" t="str">
        <f>"R_ACOTER"</f>
        <v>R_ACOTER</v>
      </c>
      <c r="G5910" s="2" t="str">
        <f>"Materiais e Logística / Almoxarifado / Relatórios / Tabelas / Ações Terapêuticas (R_ACOTER)"</f>
        <v>Materiais e Logística / Almoxarifado / Relatórios / Tabelas / Ações Terapêuticas (R_ACOTER)</v>
      </c>
    </row>
    <row r="5911" spans="1:7" x14ac:dyDescent="0.3">
      <c r="A5911" s="1" t="s">
        <v>4</v>
      </c>
      <c r="B5911" s="2" t="str">
        <f t="shared" si="482"/>
        <v>SISTEMA DE GERENCIAMENTO DE ESTOQUE</v>
      </c>
      <c r="C5911" s="2" t="str">
        <f t="shared" si="483"/>
        <v>SUPRI</v>
      </c>
      <c r="D5911" s="2" t="str">
        <f t="shared" si="484"/>
        <v>MGES</v>
      </c>
      <c r="E5911" s="2" t="str">
        <f>"LISTAGEM DE PRODUTO POR LOTE"</f>
        <v>LISTAGEM DE PRODUTO POR LOTE</v>
      </c>
      <c r="F5911" s="2" t="str">
        <f>"R_CONF_LOTE"</f>
        <v>R_CONF_LOTE</v>
      </c>
      <c r="G5911" s="2" t="str">
        <f>"Materiais e Logística / Almoxarifado / Relatórios / Listagens / Conferência de Lotes (R_CONF_LOTE)"</f>
        <v>Materiais e Logística / Almoxarifado / Relatórios / Listagens / Conferência de Lotes (R_CONF_LOTE)</v>
      </c>
    </row>
    <row r="5912" spans="1:7" x14ac:dyDescent="0.3">
      <c r="A5912" s="1" t="s">
        <v>4</v>
      </c>
      <c r="B5912" s="2" t="str">
        <f t="shared" si="482"/>
        <v>SISTEMA DE GERENCIAMENTO DE ESTOQUE</v>
      </c>
      <c r="C5912" s="2" t="str">
        <f t="shared" si="483"/>
        <v>SUPRI</v>
      </c>
      <c r="D5912" s="2" t="str">
        <f t="shared" si="484"/>
        <v>MGES</v>
      </c>
      <c r="E5912" s="2" t="str">
        <f>"LISTAGEM DE PRODUTO POR LOTE"</f>
        <v>LISTAGEM DE PRODUTO POR LOTE</v>
      </c>
      <c r="F5912" s="2" t="str">
        <f>"R_CONF_LOTE"</f>
        <v>R_CONF_LOTE</v>
      </c>
      <c r="G5912" s="2" t="str">
        <f>"Materiais e Logística / Compras / Relatórios / Tabelas / Conferência de Lotes (R_CONF_LOTE)"</f>
        <v>Materiais e Logística / Compras / Relatórios / Tabelas / Conferência de Lotes (R_CONF_LOTE)</v>
      </c>
    </row>
    <row r="5913" spans="1:7" x14ac:dyDescent="0.3">
      <c r="A5913" s="1" t="s">
        <v>4</v>
      </c>
      <c r="B5913" s="2" t="str">
        <f t="shared" si="482"/>
        <v>SISTEMA DE GERENCIAMENTO DE ESTOQUE</v>
      </c>
      <c r="C5913" s="2" t="str">
        <f t="shared" si="483"/>
        <v>SUPRI</v>
      </c>
      <c r="D5913" s="2" t="str">
        <f t="shared" si="484"/>
        <v>MGES</v>
      </c>
      <c r="E5913" s="2" t="str">
        <f>"LISTAGEM DE PRODUTO POR ALMOXARIFADO"</f>
        <v>LISTAGEM DE PRODUTO POR ALMOXARIFADO</v>
      </c>
      <c r="F5913" s="2" t="str">
        <f>"R_LIST_PROD"</f>
        <v>R_LIST_PROD</v>
      </c>
      <c r="G5913" s="2" t="str">
        <f>"Materiais e Logística / Almoxarifado / Relatórios / Listagens / Produtos por Estoque (R_LIST_PROD)"</f>
        <v>Materiais e Logística / Almoxarifado / Relatórios / Listagens / Produtos por Estoque (R_LIST_PROD)</v>
      </c>
    </row>
    <row r="5914" spans="1:7" x14ac:dyDescent="0.3">
      <c r="A5914" s="1" t="s">
        <v>4</v>
      </c>
      <c r="B5914" s="2" t="str">
        <f t="shared" ref="B5914:B5977" si="486">"SISTEMA DE GERENCIAMENTO DE ESTOQUE"</f>
        <v>SISTEMA DE GERENCIAMENTO DE ESTOQUE</v>
      </c>
      <c r="C5914" s="2" t="str">
        <f t="shared" ref="C5914:C5977" si="487">"SUPRI"</f>
        <v>SUPRI</v>
      </c>
      <c r="D5914" s="2" t="str">
        <f t="shared" ref="D5914:D5977" si="488">"MGES"</f>
        <v>MGES</v>
      </c>
      <c r="E5914" s="2" t="str">
        <f>"LISTAGEM DE PRODUTO POR ALMOXARIFADO"</f>
        <v>LISTAGEM DE PRODUTO POR ALMOXARIFADO</v>
      </c>
      <c r="F5914" s="2" t="str">
        <f>"R_LIST_PROD"</f>
        <v>R_LIST_PROD</v>
      </c>
      <c r="G5914" s="2" t="str">
        <f>"Materiais e Logística / Compras / Relatórios / Tabelas / Produtos por Estoque (R_LIST_PROD)"</f>
        <v>Materiais e Logística / Compras / Relatórios / Tabelas / Produtos por Estoque (R_LIST_PROD)</v>
      </c>
    </row>
    <row r="5915" spans="1:7" x14ac:dyDescent="0.3">
      <c r="A5915" s="1" t="s">
        <v>4</v>
      </c>
      <c r="B5915" s="2" t="str">
        <f t="shared" si="486"/>
        <v>SISTEMA DE GERENCIAMENTO DE ESTOQUE</v>
      </c>
      <c r="C5915" s="2" t="str">
        <f t="shared" si="487"/>
        <v>SUPRI</v>
      </c>
      <c r="D5915" s="2" t="str">
        <f t="shared" si="488"/>
        <v>MGES</v>
      </c>
      <c r="E5915" s="2" t="str">
        <f>"RELAT. DE CLASSIFICACAO DE PRODUTOS"</f>
        <v>RELAT. DE CLASSIFICACAO DE PRODUTOS</v>
      </c>
      <c r="F5915" s="2" t="str">
        <f>"R_CLAS_PROD"</f>
        <v>R_CLAS_PROD</v>
      </c>
      <c r="G5915" s="2" t="str">
        <f>"Materiais e Logística / Almoxarifado / Relatórios / Listagens / Classificação de Produtos (para conferência) (R_CLAS_PROD)"</f>
        <v>Materiais e Logística / Almoxarifado / Relatórios / Listagens / Classificação de Produtos (para conferência) (R_CLAS_PROD)</v>
      </c>
    </row>
    <row r="5916" spans="1:7" x14ac:dyDescent="0.3">
      <c r="A5916" s="1" t="s">
        <v>4</v>
      </c>
      <c r="B5916" s="2" t="str">
        <f t="shared" si="486"/>
        <v>SISTEMA DE GERENCIAMENTO DE ESTOQUE</v>
      </c>
      <c r="C5916" s="2" t="str">
        <f t="shared" si="487"/>
        <v>SUPRI</v>
      </c>
      <c r="D5916" s="2" t="str">
        <f t="shared" si="488"/>
        <v>MGES</v>
      </c>
      <c r="E5916" s="2" t="str">
        <f>"RELAT. DE CLASSIFICACAO DE PRODUTOS"</f>
        <v>RELAT. DE CLASSIFICACAO DE PRODUTOS</v>
      </c>
      <c r="F5916" s="2" t="str">
        <f>"R_CLAS_PROD"</f>
        <v>R_CLAS_PROD</v>
      </c>
      <c r="G5916" s="2" t="str">
        <f>"Materiais e Logística / Compras / Relatórios / Tabelas / Classificação de Produtos (para conferência) (R_CLAS_PROD)"</f>
        <v>Materiais e Logística / Compras / Relatórios / Tabelas / Classificação de Produtos (para conferência) (R_CLAS_PROD)</v>
      </c>
    </row>
    <row r="5917" spans="1:7" x14ac:dyDescent="0.3">
      <c r="A5917" s="1" t="s">
        <v>4</v>
      </c>
      <c r="B5917" s="2" t="str">
        <f t="shared" si="486"/>
        <v>SISTEMA DE GERENCIAMENTO DE ESTOQUE</v>
      </c>
      <c r="C5917" s="2" t="str">
        <f t="shared" si="487"/>
        <v>SUPRI</v>
      </c>
      <c r="D5917" s="2" t="str">
        <f t="shared" si="488"/>
        <v>MGES</v>
      </c>
      <c r="E5917" s="2" t="str">
        <f>"RELAT. DE PRODUTOS ABAIXO DO ESTOQUE"</f>
        <v>RELAT. DE PRODUTOS ABAIXO DO ESTOQUE</v>
      </c>
      <c r="F5917" s="2" t="str">
        <f>"R_PROD_AB_EST_MIN"</f>
        <v>R_PROD_AB_EST_MIN</v>
      </c>
      <c r="G5917" s="2" t="str">
        <f>" ()"</f>
        <v xml:space="preserve"> ()</v>
      </c>
    </row>
    <row r="5918" spans="1:7" x14ac:dyDescent="0.3">
      <c r="A5918" s="1" t="s">
        <v>4</v>
      </c>
      <c r="B5918" s="2" t="str">
        <f t="shared" si="486"/>
        <v>SISTEMA DE GERENCIAMENTO DE ESTOQUE</v>
      </c>
      <c r="C5918" s="2" t="str">
        <f t="shared" si="487"/>
        <v>SUPRI</v>
      </c>
      <c r="D5918" s="2" t="str">
        <f t="shared" si="488"/>
        <v>MGES</v>
      </c>
      <c r="E5918" s="2" t="str">
        <f>"UNIDADES"</f>
        <v>UNIDADES</v>
      </c>
      <c r="F5918" s="2" t="str">
        <f>"M_UNIDADE"</f>
        <v>M_UNIDADE</v>
      </c>
      <c r="G5918" s="2" t="str">
        <f>"Materiais e Logística / Almoxarifado / Tabelas / Gerais / Unidades (M_UNIDADE)"</f>
        <v>Materiais e Logística / Almoxarifado / Tabelas / Gerais / Unidades (M_UNIDADE)</v>
      </c>
    </row>
    <row r="5919" spans="1:7" x14ac:dyDescent="0.3">
      <c r="A5919" s="1" t="s">
        <v>4</v>
      </c>
      <c r="B5919" s="2" t="str">
        <f t="shared" si="486"/>
        <v>SISTEMA DE GERENCIAMENTO DE ESTOQUE</v>
      </c>
      <c r="C5919" s="2" t="str">
        <f t="shared" si="487"/>
        <v>SUPRI</v>
      </c>
      <c r="D5919" s="2" t="str">
        <f t="shared" si="488"/>
        <v>MGES</v>
      </c>
      <c r="E5919" s="2" t="str">
        <f>"TRANSF. DE PRODUTOS ENTRE ESTOQUE"</f>
        <v>TRANSF. DE PRODUTOS ENTRE ESTOQUE</v>
      </c>
      <c r="F5919" s="2" t="str">
        <f>"M_TRAPRO"</f>
        <v>M_TRAPRO</v>
      </c>
      <c r="G5919" s="2" t="str">
        <f>"Materiais e Logística / Almoxarifado / Movimentações / Transferência entre Estoques (M_TRAPRO)"</f>
        <v>Materiais e Logística / Almoxarifado / Movimentações / Transferência entre Estoques (M_TRAPRO)</v>
      </c>
    </row>
    <row r="5920" spans="1:7" x14ac:dyDescent="0.3">
      <c r="A5920" s="1" t="s">
        <v>4</v>
      </c>
      <c r="B5920" s="2" t="str">
        <f t="shared" si="486"/>
        <v>SISTEMA DE GERENCIAMENTO DE ESTOQUE</v>
      </c>
      <c r="C5920" s="2" t="str">
        <f t="shared" si="487"/>
        <v>SUPRI</v>
      </c>
      <c r="D5920" s="2" t="str">
        <f t="shared" si="488"/>
        <v>MGES</v>
      </c>
      <c r="E5920" s="2" t="str">
        <f>"TRANSF. DE PRODUTOS ENTRE ESTOQUE"</f>
        <v>TRANSF. DE PRODUTOS ENTRE ESTOQUE</v>
      </c>
      <c r="F5920" s="2" t="str">
        <f>"M_TRAPRO"</f>
        <v>M_TRAPRO</v>
      </c>
      <c r="G5920" s="2" t="str">
        <f>"Materiais e Logística / Farmácia / Movimentação / Transferência entre Estoques (M_TRAPRO)"</f>
        <v>Materiais e Logística / Farmácia / Movimentação / Transferência entre Estoques (M_TRAPRO)</v>
      </c>
    </row>
    <row r="5921" spans="1:7" x14ac:dyDescent="0.3">
      <c r="A5921" s="1" t="s">
        <v>4</v>
      </c>
      <c r="B5921" s="2" t="str">
        <f t="shared" si="486"/>
        <v>SISTEMA DE GERENCIAMENTO DE ESTOQUE</v>
      </c>
      <c r="C5921" s="2" t="str">
        <f t="shared" si="487"/>
        <v>SUPRI</v>
      </c>
      <c r="D5921" s="2" t="str">
        <f t="shared" si="488"/>
        <v>MGES</v>
      </c>
      <c r="E5921" s="2" t="str">
        <f>"TRANSF. DE PRODUTOS ENTRE ESTOQUE"</f>
        <v>TRANSF. DE PRODUTOS ENTRE ESTOQUE</v>
      </c>
      <c r="F5921" s="2" t="str">
        <f>"M_TRAPRO"</f>
        <v>M_TRAPRO</v>
      </c>
      <c r="G5921" s="2" t="str">
        <f>"Serviços de Apoio / Central de Materiais Esterilizados / Movimentações / Transferência de Produtos entre Estoques (M_TRAPRO)"</f>
        <v>Serviços de Apoio / Central de Materiais Esterilizados / Movimentações / Transferência de Produtos entre Estoques (M_TRAPRO)</v>
      </c>
    </row>
    <row r="5922" spans="1:7" x14ac:dyDescent="0.3">
      <c r="A5922" s="1" t="s">
        <v>4</v>
      </c>
      <c r="B5922" s="2" t="str">
        <f t="shared" si="486"/>
        <v>SISTEMA DE GERENCIAMENTO DE ESTOQUE</v>
      </c>
      <c r="C5922" s="2" t="str">
        <f t="shared" si="487"/>
        <v>SUPRI</v>
      </c>
      <c r="D5922" s="2" t="str">
        <f t="shared" si="488"/>
        <v>MGES</v>
      </c>
      <c r="E5922" s="2" t="str">
        <f>"RELAT. DE TRANSF. DE PROD. ENTRE ESTOQUE"</f>
        <v>RELAT. DE TRANSF. DE PROD. ENTRE ESTOQUE</v>
      </c>
      <c r="F5922" s="2" t="str">
        <f>"R_TRAPRO"</f>
        <v>R_TRAPRO</v>
      </c>
      <c r="G5922" s="2" t="str">
        <f>" ()"</f>
        <v xml:space="preserve"> ()</v>
      </c>
    </row>
    <row r="5923" spans="1:7" x14ac:dyDescent="0.3">
      <c r="A5923" s="1" t="s">
        <v>4</v>
      </c>
      <c r="B5923" s="2" t="str">
        <f t="shared" si="486"/>
        <v>SISTEMA DE GERENCIAMENTO DE ESTOQUE</v>
      </c>
      <c r="C5923" s="2" t="str">
        <f t="shared" si="487"/>
        <v>SUPRI</v>
      </c>
      <c r="D5923" s="2" t="str">
        <f t="shared" si="488"/>
        <v>MGES</v>
      </c>
      <c r="E5923" s="2" t="str">
        <f>"REL DEVOLUCAO DE PRODUTOS POR PACIENTE"</f>
        <v>REL DEVOLUCAO DE PRODUTOS POR PACIENTE</v>
      </c>
      <c r="F5923" s="2" t="str">
        <f>"R_DEV_PROD_PAC"</f>
        <v>R_DEV_PROD_PAC</v>
      </c>
      <c r="G5923" s="2" t="s">
        <v>23</v>
      </c>
    </row>
    <row r="5924" spans="1:7" x14ac:dyDescent="0.3">
      <c r="A5924" s="1" t="s">
        <v>4</v>
      </c>
      <c r="B5924" s="2" t="str">
        <f t="shared" si="486"/>
        <v>SISTEMA DE GERENCIAMENTO DE ESTOQUE</v>
      </c>
      <c r="C5924" s="2" t="str">
        <f t="shared" si="487"/>
        <v>SUPRI</v>
      </c>
      <c r="D5924" s="2" t="str">
        <f t="shared" si="488"/>
        <v>MGES</v>
      </c>
      <c r="E5924" s="2" t="str">
        <f t="shared" ref="E5924:E5930" si="489">"SOLICITACAO DE COMPRAS"</f>
        <v>SOLICITACAO DE COMPRAS</v>
      </c>
      <c r="F5924" s="2" t="str">
        <f t="shared" ref="F5924:F5930" si="490">"M_SOLCOM"</f>
        <v>M_SOLCOM</v>
      </c>
      <c r="G5924" s="2" t="str">
        <f>"Serviços de Apoio / Lavanderia e Rouparia / Solicitações / Solicitação de Compras (M_SOLCOM)"</f>
        <v>Serviços de Apoio / Lavanderia e Rouparia / Solicitações / Solicitação de Compras (M_SOLCOM)</v>
      </c>
    </row>
    <row r="5925" spans="1:7" x14ac:dyDescent="0.3">
      <c r="A5925" s="1" t="s">
        <v>4</v>
      </c>
      <c r="B5925" s="2" t="str">
        <f t="shared" si="486"/>
        <v>SISTEMA DE GERENCIAMENTO DE ESTOQUE</v>
      </c>
      <c r="C5925" s="2" t="str">
        <f t="shared" si="487"/>
        <v>SUPRI</v>
      </c>
      <c r="D5925" s="2" t="str">
        <f t="shared" si="488"/>
        <v>MGES</v>
      </c>
      <c r="E5925" s="2" t="str">
        <f t="shared" si="489"/>
        <v>SOLICITACAO DE COMPRAS</v>
      </c>
      <c r="F5925" s="2" t="str">
        <f t="shared" si="490"/>
        <v>M_SOLCOM</v>
      </c>
      <c r="G5925" s="2" t="str">
        <f>"Serviços de Apoio / Manutenção / Solicitações / Solicitação de Compras (M_SOLCOM)"</f>
        <v>Serviços de Apoio / Manutenção / Solicitações / Solicitação de Compras (M_SOLCOM)</v>
      </c>
    </row>
    <row r="5926" spans="1:7" x14ac:dyDescent="0.3">
      <c r="A5926" s="1" t="s">
        <v>4</v>
      </c>
      <c r="B5926" s="2" t="str">
        <f t="shared" si="486"/>
        <v>SISTEMA DE GERENCIAMENTO DE ESTOQUE</v>
      </c>
      <c r="C5926" s="2" t="str">
        <f t="shared" si="487"/>
        <v>SUPRI</v>
      </c>
      <c r="D5926" s="2" t="str">
        <f t="shared" si="488"/>
        <v>MGES</v>
      </c>
      <c r="E5926" s="2" t="str">
        <f t="shared" si="489"/>
        <v>SOLICITACAO DE COMPRAS</v>
      </c>
      <c r="F5926" s="2" t="str">
        <f t="shared" si="490"/>
        <v>M_SOLCOM</v>
      </c>
      <c r="G5926" s="2" t="str">
        <f>"Materiais e Logística / Compras / Compras / Coleta de Preços (Licitação) / Envio Automático de Cotações (M_SOLCOM)"</f>
        <v>Materiais e Logística / Compras / Compras / Coleta de Preços (Licitação) / Envio Automático de Cotações (M_SOLCOM)</v>
      </c>
    </row>
    <row r="5927" spans="1:7" x14ac:dyDescent="0.3">
      <c r="A5927" s="1" t="s">
        <v>4</v>
      </c>
      <c r="B5927" s="2" t="str">
        <f t="shared" si="486"/>
        <v>SISTEMA DE GERENCIAMENTO DE ESTOQUE</v>
      </c>
      <c r="C5927" s="2" t="str">
        <f t="shared" si="487"/>
        <v>SUPRI</v>
      </c>
      <c r="D5927" s="2" t="str">
        <f t="shared" si="488"/>
        <v>MGES</v>
      </c>
      <c r="E5927" s="2" t="str">
        <f t="shared" si="489"/>
        <v>SOLICITACAO DE COMPRAS</v>
      </c>
      <c r="F5927" s="2" t="str">
        <f t="shared" si="490"/>
        <v>M_SOLCOM</v>
      </c>
      <c r="G5927" s="2" t="str">
        <f>"Serviços de Apoio / Central de Materiais Esterilizados / Solicitações / Solicitação de Compras (M_SOLCOM)"</f>
        <v>Serviços de Apoio / Central de Materiais Esterilizados / Solicitações / Solicitação de Compras (M_SOLCOM)</v>
      </c>
    </row>
    <row r="5928" spans="1:7" x14ac:dyDescent="0.3">
      <c r="A5928" s="1" t="s">
        <v>4</v>
      </c>
      <c r="B5928" s="2" t="str">
        <f t="shared" si="486"/>
        <v>SISTEMA DE GERENCIAMENTO DE ESTOQUE</v>
      </c>
      <c r="C5928" s="2" t="str">
        <f t="shared" si="487"/>
        <v>SUPRI</v>
      </c>
      <c r="D5928" s="2" t="str">
        <f t="shared" si="488"/>
        <v>MGES</v>
      </c>
      <c r="E5928" s="2" t="str">
        <f t="shared" si="489"/>
        <v>SOLICITACAO DE COMPRAS</v>
      </c>
      <c r="F5928" s="2" t="str">
        <f t="shared" si="490"/>
        <v>M_SOLCOM</v>
      </c>
      <c r="G5928" s="2" t="str">
        <f>"Materiais e Logística / Farmácia / Movimentação / Solicitação de Compra / Cadastro (M_SOLCOM)"</f>
        <v>Materiais e Logística / Farmácia / Movimentação / Solicitação de Compra / Cadastro (M_SOLCOM)</v>
      </c>
    </row>
    <row r="5929" spans="1:7" x14ac:dyDescent="0.3">
      <c r="A5929" s="1" t="s">
        <v>4</v>
      </c>
      <c r="B5929" s="2" t="str">
        <f t="shared" si="486"/>
        <v>SISTEMA DE GERENCIAMENTO DE ESTOQUE</v>
      </c>
      <c r="C5929" s="2" t="str">
        <f t="shared" si="487"/>
        <v>SUPRI</v>
      </c>
      <c r="D5929" s="2" t="str">
        <f t="shared" si="488"/>
        <v>MGES</v>
      </c>
      <c r="E5929" s="2" t="str">
        <f t="shared" si="489"/>
        <v>SOLICITACAO DE COMPRAS</v>
      </c>
      <c r="F5929" s="2" t="str">
        <f t="shared" si="490"/>
        <v>M_SOLCOM</v>
      </c>
      <c r="G5929" s="2" t="str">
        <f>"Materiais e Logística / Almoxarifado / Solicitações / Solicitação de Compras (M_SOLCOM)"</f>
        <v>Materiais e Logística / Almoxarifado / Solicitações / Solicitação de Compras (M_SOLCOM)</v>
      </c>
    </row>
    <row r="5930" spans="1:7" x14ac:dyDescent="0.3">
      <c r="A5930" s="1" t="s">
        <v>4</v>
      </c>
      <c r="B5930" s="2" t="str">
        <f t="shared" si="486"/>
        <v>SISTEMA DE GERENCIAMENTO DE ESTOQUE</v>
      </c>
      <c r="C5930" s="2" t="str">
        <f t="shared" si="487"/>
        <v>SUPRI</v>
      </c>
      <c r="D5930" s="2" t="str">
        <f t="shared" si="488"/>
        <v>MGES</v>
      </c>
      <c r="E5930" s="2" t="str">
        <f t="shared" si="489"/>
        <v>SOLICITACAO DE COMPRAS</v>
      </c>
      <c r="F5930" s="2" t="str">
        <f t="shared" si="490"/>
        <v>M_SOLCOM</v>
      </c>
      <c r="G5930" s="2" t="str">
        <f>"Serviços de Apoio / Nutrição e Dietética / Solicitações / Solicitação de Compras (M_SOLCOM)"</f>
        <v>Serviços de Apoio / Nutrição e Dietética / Solicitações / Solicitação de Compras (M_SOLCOM)</v>
      </c>
    </row>
    <row r="5931" spans="1:7" x14ac:dyDescent="0.3">
      <c r="A5931" s="1" t="s">
        <v>4</v>
      </c>
      <c r="B5931" s="2" t="str">
        <f t="shared" si="486"/>
        <v>SISTEMA DE GERENCIAMENTO DE ESTOQUE</v>
      </c>
      <c r="C5931" s="2" t="str">
        <f t="shared" si="487"/>
        <v>SUPRI</v>
      </c>
      <c r="D5931" s="2" t="str">
        <f t="shared" si="488"/>
        <v>MGES</v>
      </c>
      <c r="E5931" s="2" t="str">
        <f>"REL DE ENTRADA DE PRODUTOS SINTÉTICOS"</f>
        <v>REL DE ENTRADA DE PRODUTOS SINTÉTICOS</v>
      </c>
      <c r="F5931" s="2" t="str">
        <f>"R_EST_ENTRADA_PRODUTO_SIN"</f>
        <v>R_EST_ENTRADA_PRODUTO_SIN</v>
      </c>
      <c r="G5931" s="2" t="str">
        <f>" ()"</f>
        <v xml:space="preserve"> ()</v>
      </c>
    </row>
    <row r="5932" spans="1:7" x14ac:dyDescent="0.3">
      <c r="A5932" s="1" t="s">
        <v>4</v>
      </c>
      <c r="B5932" s="2" t="str">
        <f t="shared" si="486"/>
        <v>SISTEMA DE GERENCIAMENTO DE ESTOQUE</v>
      </c>
      <c r="C5932" s="2" t="str">
        <f t="shared" si="487"/>
        <v>SUPRI</v>
      </c>
      <c r="D5932" s="2" t="str">
        <f t="shared" si="488"/>
        <v>MGES</v>
      </c>
      <c r="E5932" s="2" t="str">
        <f>"RELATORIO DE ESTATISTICA DE PRODUTOS"</f>
        <v>RELATORIO DE ESTATISTICA DE PRODUTOS</v>
      </c>
      <c r="F5932" s="2" t="str">
        <f>"R_SAI_RESUMO"</f>
        <v>R_SAI_RESUMO</v>
      </c>
      <c r="G5932" s="2" t="str">
        <f>"Materiais e Logística / Compras / Relatórios / Gerenciais / Estatística de Saida de Produtos (R_SAI_RESUMO)"</f>
        <v>Materiais e Logística / Compras / Relatórios / Gerenciais / Estatística de Saida de Produtos (R_SAI_RESUMO)</v>
      </c>
    </row>
    <row r="5933" spans="1:7" x14ac:dyDescent="0.3">
      <c r="A5933" s="1" t="s">
        <v>4</v>
      </c>
      <c r="B5933" s="2" t="str">
        <f t="shared" si="486"/>
        <v>SISTEMA DE GERENCIAMENTO DE ESTOQUE</v>
      </c>
      <c r="C5933" s="2" t="str">
        <f t="shared" si="487"/>
        <v>SUPRI</v>
      </c>
      <c r="D5933" s="2" t="str">
        <f t="shared" si="488"/>
        <v>MGES</v>
      </c>
      <c r="E5933" s="2" t="str">
        <f>"RELATORIO DE ESTATISTICA DE PRODUTOS"</f>
        <v>RELATORIO DE ESTATISTICA DE PRODUTOS</v>
      </c>
      <c r="F5933" s="2" t="str">
        <f>"R_SAI_RESUMO"</f>
        <v>R_SAI_RESUMO</v>
      </c>
      <c r="G5933" s="2" t="str">
        <f>"Materiais e Logística / Almoxarifado / Relatórios / Estatísticas / Estatística do Consumo dos Produtos (R_SAI_RESUMO)"</f>
        <v>Materiais e Logística / Almoxarifado / Relatórios / Estatísticas / Estatística do Consumo dos Produtos (R_SAI_RESUMO)</v>
      </c>
    </row>
    <row r="5934" spans="1:7" x14ac:dyDescent="0.3">
      <c r="A5934" s="1" t="s">
        <v>4</v>
      </c>
      <c r="B5934" s="2" t="str">
        <f t="shared" si="486"/>
        <v>SISTEMA DE GERENCIAMENTO DE ESTOQUE</v>
      </c>
      <c r="C5934" s="2" t="str">
        <f t="shared" si="487"/>
        <v>SUPRI</v>
      </c>
      <c r="D5934" s="2" t="str">
        <f t="shared" si="488"/>
        <v>MGES</v>
      </c>
      <c r="E5934" s="2" t="str">
        <f>"GRAFICO DO RELATORIO ESTAT. DE ESTOQUE"</f>
        <v>GRAFICO DO RELATORIO ESTAT. DE ESTOQUE</v>
      </c>
      <c r="F5934" s="2" t="str">
        <f>"G_ESTOQUE"</f>
        <v>G_ESTOQUE</v>
      </c>
      <c r="G5934" s="2" t="str">
        <f>" ()"</f>
        <v xml:space="preserve"> ()</v>
      </c>
    </row>
    <row r="5935" spans="1:7" x14ac:dyDescent="0.3">
      <c r="A5935" s="1" t="s">
        <v>4</v>
      </c>
      <c r="B5935" s="2" t="str">
        <f t="shared" si="486"/>
        <v>SISTEMA DE GERENCIAMENTO DE ESTOQUE</v>
      </c>
      <c r="C5935" s="2" t="str">
        <f t="shared" si="487"/>
        <v>SUPRI</v>
      </c>
      <c r="D5935" s="2" t="str">
        <f t="shared" si="488"/>
        <v>MGES</v>
      </c>
      <c r="E5935" s="2" t="str">
        <f>"REL. DE DEVOLUÇÃO DE FORNECEDORES"</f>
        <v>REL. DE DEVOLUÇÃO DE FORNECEDORES</v>
      </c>
      <c r="F5935" s="2" t="str">
        <f>"R_DEV_FORN"</f>
        <v>R_DEV_FORN</v>
      </c>
      <c r="G5935" s="2" t="str">
        <f>" ()"</f>
        <v xml:space="preserve"> ()</v>
      </c>
    </row>
    <row r="5936" spans="1:7" x14ac:dyDescent="0.3">
      <c r="A5936" s="1" t="s">
        <v>4</v>
      </c>
      <c r="B5936" s="2" t="str">
        <f t="shared" si="486"/>
        <v>SISTEMA DE GERENCIAMENTO DE ESTOQUE</v>
      </c>
      <c r="C5936" s="2" t="str">
        <f t="shared" si="487"/>
        <v>SUPRI</v>
      </c>
      <c r="D5936" s="2" t="str">
        <f t="shared" si="488"/>
        <v>MGES</v>
      </c>
      <c r="E5936" s="2" t="str">
        <f>"RESUMO DE SAIDAS POR SETOR"</f>
        <v>RESUMO DE SAIDAS POR SETOR</v>
      </c>
      <c r="F5936" s="2" t="str">
        <f>"R_RESUMO_SAIDAS"</f>
        <v>R_RESUMO_SAIDAS</v>
      </c>
      <c r="G5936" s="2" t="s">
        <v>23</v>
      </c>
    </row>
    <row r="5937" spans="1:7" x14ac:dyDescent="0.3">
      <c r="A5937" s="1" t="s">
        <v>4</v>
      </c>
      <c r="B5937" s="2" t="str">
        <f t="shared" si="486"/>
        <v>SISTEMA DE GERENCIAMENTO DE ESTOQUE</v>
      </c>
      <c r="C5937" s="2" t="str">
        <f t="shared" si="487"/>
        <v>SUPRI</v>
      </c>
      <c r="D5937" s="2" t="str">
        <f t="shared" si="488"/>
        <v>MGES</v>
      </c>
      <c r="E5937" s="2" t="str">
        <f t="shared" ref="E5937:E5948" si="491">"DEVOLUÇÃO DE PRODUTOS"</f>
        <v>DEVOLUÇÃO DE PRODUTOS</v>
      </c>
      <c r="F5937" s="2" t="str">
        <f t="shared" ref="F5937:F5948" si="492">"M_DEVOLPRO"</f>
        <v>M_DEVOLPRO</v>
      </c>
      <c r="G5937" s="2" t="str">
        <f>"Clínica e Assistencial / Controle de Infecção Hospitalar / Estoque / Devolução de Produtos (M_DEVOLPRO)"</f>
        <v>Clínica e Assistencial / Controle de Infecção Hospitalar / Estoque / Devolução de Produtos (M_DEVOLPRO)</v>
      </c>
    </row>
    <row r="5938" spans="1:7" x14ac:dyDescent="0.3">
      <c r="A5938" s="1" t="s">
        <v>4</v>
      </c>
      <c r="B5938" s="2" t="str">
        <f t="shared" si="486"/>
        <v>SISTEMA DE GERENCIAMENTO DE ESTOQUE</v>
      </c>
      <c r="C5938" s="2" t="str">
        <f t="shared" si="487"/>
        <v>SUPRI</v>
      </c>
      <c r="D5938" s="2" t="str">
        <f t="shared" si="488"/>
        <v>MGES</v>
      </c>
      <c r="E5938" s="2" t="str">
        <f t="shared" si="491"/>
        <v>DEVOLUÇÃO DE PRODUTOS</v>
      </c>
      <c r="F5938" s="2" t="str">
        <f t="shared" si="492"/>
        <v>M_DEVOLPRO</v>
      </c>
      <c r="G5938" s="2" t="str">
        <f>"MVSaude / Vendas / Internação / Solicitações / Devolução de Produtos (M_DEVOLPRO)"</f>
        <v>MVSaude / Vendas / Internação / Solicitações / Devolução de Produtos (M_DEVOLPRO)</v>
      </c>
    </row>
    <row r="5939" spans="1:7" x14ac:dyDescent="0.3">
      <c r="A5939" s="1" t="s">
        <v>4</v>
      </c>
      <c r="B5939" s="2" t="str">
        <f t="shared" si="486"/>
        <v>SISTEMA DE GERENCIAMENTO DE ESTOQUE</v>
      </c>
      <c r="C5939" s="2" t="str">
        <f t="shared" si="487"/>
        <v>SUPRI</v>
      </c>
      <c r="D5939" s="2" t="str">
        <f t="shared" si="488"/>
        <v>MGES</v>
      </c>
      <c r="E5939" s="2" t="str">
        <f t="shared" si="491"/>
        <v>DEVOLUÇÃO DE PRODUTOS</v>
      </c>
      <c r="F5939" s="2" t="str">
        <f t="shared" si="492"/>
        <v>M_DEVOLPRO</v>
      </c>
      <c r="G5939" s="2" t="str">
        <f>"MVSaude / Atendimento / Autorizações de Guias / Internação / Solicitações / Devolução de Produtos (M_DEVOLPRO)"</f>
        <v>MVSaude / Atendimento / Autorizações de Guias / Internação / Solicitações / Devolução de Produtos (M_DEVOLPRO)</v>
      </c>
    </row>
    <row r="5940" spans="1:7" x14ac:dyDescent="0.3">
      <c r="A5940" s="1" t="s">
        <v>4</v>
      </c>
      <c r="B5940" s="2" t="str">
        <f t="shared" si="486"/>
        <v>SISTEMA DE GERENCIAMENTO DE ESTOQUE</v>
      </c>
      <c r="C5940" s="2" t="str">
        <f t="shared" si="487"/>
        <v>SUPRI</v>
      </c>
      <c r="D5940" s="2" t="str">
        <f t="shared" si="488"/>
        <v>MGES</v>
      </c>
      <c r="E5940" s="2" t="str">
        <f t="shared" si="491"/>
        <v>DEVOLUÇÃO DE PRODUTOS</v>
      </c>
      <c r="F5940" s="2" t="str">
        <f t="shared" si="492"/>
        <v>M_DEVOLPRO</v>
      </c>
      <c r="G5940" s="2" t="str">
        <f>"Serviços de Apoio / Laprod / Solicitações / Devolução de Produtos (M_DEVOLPRO)"</f>
        <v>Serviços de Apoio / Laprod / Solicitações / Devolução de Produtos (M_DEVOLPRO)</v>
      </c>
    </row>
    <row r="5941" spans="1:7" x14ac:dyDescent="0.3">
      <c r="A5941" s="1" t="s">
        <v>4</v>
      </c>
      <c r="B5941" s="2" t="str">
        <f t="shared" si="486"/>
        <v>SISTEMA DE GERENCIAMENTO DE ESTOQUE</v>
      </c>
      <c r="C5941" s="2" t="str">
        <f t="shared" si="487"/>
        <v>SUPRI</v>
      </c>
      <c r="D5941" s="2" t="str">
        <f t="shared" si="488"/>
        <v>MGES</v>
      </c>
      <c r="E5941" s="2" t="str">
        <f t="shared" si="491"/>
        <v>DEVOLUÇÃO DE PRODUTOS</v>
      </c>
      <c r="F5941" s="2" t="str">
        <f t="shared" si="492"/>
        <v>M_DEVOLPRO</v>
      </c>
      <c r="G5941" s="2" t="str">
        <f>"Materiais e Logística / Almoxarifado / Solicitações / Devolução de Produtos (M_DEVOLPRO)"</f>
        <v>Materiais e Logística / Almoxarifado / Solicitações / Devolução de Produtos (M_DEVOLPRO)</v>
      </c>
    </row>
    <row r="5942" spans="1:7" x14ac:dyDescent="0.3">
      <c r="A5942" s="1" t="s">
        <v>4</v>
      </c>
      <c r="B5942" s="2" t="str">
        <f t="shared" si="486"/>
        <v>SISTEMA DE GERENCIAMENTO DE ESTOQUE</v>
      </c>
      <c r="C5942" s="2" t="str">
        <f t="shared" si="487"/>
        <v>SUPRI</v>
      </c>
      <c r="D5942" s="2" t="str">
        <f t="shared" si="488"/>
        <v>MGES</v>
      </c>
      <c r="E5942" s="2" t="str">
        <f t="shared" si="491"/>
        <v>DEVOLUÇÃO DE PRODUTOS</v>
      </c>
      <c r="F5942" s="2" t="str">
        <f t="shared" si="492"/>
        <v>M_DEVOLPRO</v>
      </c>
      <c r="G5942" s="2" t="str">
        <f>"Materiais e Logística / Patrimônio / Solicitações / Devolução de Produtos (M_DEVOLPRO)"</f>
        <v>Materiais e Logística / Patrimônio / Solicitações / Devolução de Produtos (M_DEVOLPRO)</v>
      </c>
    </row>
    <row r="5943" spans="1:7" x14ac:dyDescent="0.3">
      <c r="A5943" s="1" t="s">
        <v>4</v>
      </c>
      <c r="B5943" s="2" t="str">
        <f t="shared" si="486"/>
        <v>SISTEMA DE GERENCIAMENTO DE ESTOQUE</v>
      </c>
      <c r="C5943" s="2" t="str">
        <f t="shared" si="487"/>
        <v>SUPRI</v>
      </c>
      <c r="D5943" s="2" t="str">
        <f t="shared" si="488"/>
        <v>MGES</v>
      </c>
      <c r="E5943" s="2" t="str">
        <f t="shared" si="491"/>
        <v>DEVOLUÇÃO DE PRODUTOS</v>
      </c>
      <c r="F5943" s="2" t="str">
        <f t="shared" si="492"/>
        <v>M_DEVOLPRO</v>
      </c>
      <c r="G5943" s="2" t="str">
        <f>"Serviços de Apoio / Manutenção / Solicitações / Devolução de Produtos (M_DEVOLPRO)"</f>
        <v>Serviços de Apoio / Manutenção / Solicitações / Devolução de Produtos (M_DEVOLPRO)</v>
      </c>
    </row>
    <row r="5944" spans="1:7" x14ac:dyDescent="0.3">
      <c r="A5944" s="1" t="s">
        <v>4</v>
      </c>
      <c r="B5944" s="2" t="str">
        <f t="shared" si="486"/>
        <v>SISTEMA DE GERENCIAMENTO DE ESTOQUE</v>
      </c>
      <c r="C5944" s="2" t="str">
        <f t="shared" si="487"/>
        <v>SUPRI</v>
      </c>
      <c r="D5944" s="2" t="str">
        <f t="shared" si="488"/>
        <v>MGES</v>
      </c>
      <c r="E5944" s="2" t="str">
        <f t="shared" si="491"/>
        <v>DEVOLUÇÃO DE PRODUTOS</v>
      </c>
      <c r="F5944" s="2" t="str">
        <f t="shared" si="492"/>
        <v>M_DEVOLPRO</v>
      </c>
      <c r="G5944" s="2" t="str">
        <f>"Serviços de Apoio / Central de Materiais Esterilizados / Solicitações / Devolução de Produtos (M_DEVOLPRO)"</f>
        <v>Serviços de Apoio / Central de Materiais Esterilizados / Solicitações / Devolução de Produtos (M_DEVOLPRO)</v>
      </c>
    </row>
    <row r="5945" spans="1:7" x14ac:dyDescent="0.3">
      <c r="A5945" s="1" t="s">
        <v>4</v>
      </c>
      <c r="B5945" s="2" t="str">
        <f t="shared" si="486"/>
        <v>SISTEMA DE GERENCIAMENTO DE ESTOQUE</v>
      </c>
      <c r="C5945" s="2" t="str">
        <f t="shared" si="487"/>
        <v>SUPRI</v>
      </c>
      <c r="D5945" s="2" t="str">
        <f t="shared" si="488"/>
        <v>MGES</v>
      </c>
      <c r="E5945" s="2" t="str">
        <f t="shared" si="491"/>
        <v>DEVOLUÇÃO DE PRODUTOS</v>
      </c>
      <c r="F5945" s="2" t="str">
        <f t="shared" si="492"/>
        <v>M_DEVOLPRO</v>
      </c>
      <c r="G5945" s="2" t="str">
        <f>"Materiais e Logística / Farmácia / Movimentação / Solicitação de Materiais / Devoluções de Produtos (M_DEVOLPRO)"</f>
        <v>Materiais e Logística / Farmácia / Movimentação / Solicitação de Materiais / Devoluções de Produtos (M_DEVOLPRO)</v>
      </c>
    </row>
    <row r="5946" spans="1:7" x14ac:dyDescent="0.3">
      <c r="A5946" s="1" t="s">
        <v>4</v>
      </c>
      <c r="B5946" s="2" t="str">
        <f t="shared" si="486"/>
        <v>SISTEMA DE GERENCIAMENTO DE ESTOQUE</v>
      </c>
      <c r="C5946" s="2" t="str">
        <f t="shared" si="487"/>
        <v>SUPRI</v>
      </c>
      <c r="D5946" s="2" t="str">
        <f t="shared" si="488"/>
        <v>MGES</v>
      </c>
      <c r="E5946" s="2" t="str">
        <f t="shared" si="491"/>
        <v>DEVOLUÇÃO DE PRODUTOS</v>
      </c>
      <c r="F5946" s="2" t="str">
        <f t="shared" si="492"/>
        <v>M_DEVOLPRO</v>
      </c>
      <c r="G5946" s="2" t="str">
        <f>"Serviços de Apoio / Nutrição e Dietética / Solicitações / Devolução de Produtos (M_DEVOLPRO)"</f>
        <v>Serviços de Apoio / Nutrição e Dietética / Solicitações / Devolução de Produtos (M_DEVOLPRO)</v>
      </c>
    </row>
    <row r="5947" spans="1:7" x14ac:dyDescent="0.3">
      <c r="A5947" s="1" t="s">
        <v>4</v>
      </c>
      <c r="B5947" s="2" t="str">
        <f t="shared" si="486"/>
        <v>SISTEMA DE GERENCIAMENTO DE ESTOQUE</v>
      </c>
      <c r="C5947" s="2" t="str">
        <f t="shared" si="487"/>
        <v>SUPRI</v>
      </c>
      <c r="D5947" s="2" t="str">
        <f t="shared" si="488"/>
        <v>MGES</v>
      </c>
      <c r="E5947" s="2" t="str">
        <f t="shared" si="491"/>
        <v>DEVOLUÇÃO DE PRODUTOS</v>
      </c>
      <c r="F5947" s="2" t="str">
        <f t="shared" si="492"/>
        <v>M_DEVOLPRO</v>
      </c>
      <c r="G5947" s="2" t="str">
        <f>"Atendimento / Internação Domiciliar (Home Care) / Solicitações / Devolução de Produtos (M_DEVOLPRO)"</f>
        <v>Atendimento / Internação Domiciliar (Home Care) / Solicitações / Devolução de Produtos (M_DEVOLPRO)</v>
      </c>
    </row>
    <row r="5948" spans="1:7" x14ac:dyDescent="0.3">
      <c r="A5948" s="1" t="s">
        <v>4</v>
      </c>
      <c r="B5948" s="2" t="str">
        <f t="shared" si="486"/>
        <v>SISTEMA DE GERENCIAMENTO DE ESTOQUE</v>
      </c>
      <c r="C5948" s="2" t="str">
        <f t="shared" si="487"/>
        <v>SUPRI</v>
      </c>
      <c r="D5948" s="2" t="str">
        <f t="shared" si="488"/>
        <v>MGES</v>
      </c>
      <c r="E5948" s="2" t="str">
        <f t="shared" si="491"/>
        <v>DEVOLUÇÃO DE PRODUTOS</v>
      </c>
      <c r="F5948" s="2" t="str">
        <f t="shared" si="492"/>
        <v>M_DEVOLPRO</v>
      </c>
      <c r="G5948" s="2" t="str">
        <f>"MVSaude / Solicitações / Devolução de Produtos (M_DEVOLPRO)"</f>
        <v>MVSaude / Solicitações / Devolução de Produtos (M_DEVOLPRO)</v>
      </c>
    </row>
    <row r="5949" spans="1:7" x14ac:dyDescent="0.3">
      <c r="A5949" s="1" t="s">
        <v>4</v>
      </c>
      <c r="B5949" s="2" t="str">
        <f t="shared" si="486"/>
        <v>SISTEMA DE GERENCIAMENTO DE ESTOQUE</v>
      </c>
      <c r="C5949" s="2" t="str">
        <f t="shared" si="487"/>
        <v>SUPRI</v>
      </c>
      <c r="D5949" s="2" t="str">
        <f t="shared" si="488"/>
        <v>MGES</v>
      </c>
      <c r="E5949" s="2" t="str">
        <f>"REL. DOS PRODUTOS POR ATENDIMENTO"</f>
        <v>REL. DOS PRODUTOS POR ATENDIMENTO</v>
      </c>
      <c r="F5949" s="2" t="str">
        <f>"R_PRODATEND"</f>
        <v>R_PRODATEND</v>
      </c>
      <c r="G5949" s="2" t="str">
        <f>" ()"</f>
        <v xml:space="preserve"> ()</v>
      </c>
    </row>
    <row r="5950" spans="1:7" x14ac:dyDescent="0.3">
      <c r="A5950" s="1" t="s">
        <v>4</v>
      </c>
      <c r="B5950" s="2" t="str">
        <f t="shared" si="486"/>
        <v>SISTEMA DE GERENCIAMENTO DE ESTOQUE</v>
      </c>
      <c r="C5950" s="2" t="str">
        <f t="shared" si="487"/>
        <v>SUPRI</v>
      </c>
      <c r="D5950" s="2" t="str">
        <f t="shared" si="488"/>
        <v>MGES</v>
      </c>
      <c r="E5950" s="2" t="str">
        <f>"RELATORIO DE LISTAGEM DE PROD. X PAC."</f>
        <v>RELATORIO DE LISTAGEM DE PROD. X PAC.</v>
      </c>
      <c r="F5950" s="2" t="str">
        <f>"R_LIST_CONS_PAC"</f>
        <v>R_LIST_CONS_PAC</v>
      </c>
      <c r="G5950" s="2" t="str">
        <f>"Materiais e Logística / Almoxarifado / Relatórios / Operacionais / Consumo das Movimentações / Consumo de Produtos por Paciente e/ou Setor  (R_LIST_CONS_PAC)"</f>
        <v>Materiais e Logística / Almoxarifado / Relatórios / Operacionais / Consumo das Movimentações / Consumo de Produtos por Paciente e/ou Setor  (R_LIST_CONS_PAC)</v>
      </c>
    </row>
    <row r="5951" spans="1:7" x14ac:dyDescent="0.3">
      <c r="A5951" s="1" t="s">
        <v>4</v>
      </c>
      <c r="B5951" s="2" t="str">
        <f t="shared" si="486"/>
        <v>SISTEMA DE GERENCIAMENTO DE ESTOQUE</v>
      </c>
      <c r="C5951" s="2" t="str">
        <f t="shared" si="487"/>
        <v>SUPRI</v>
      </c>
      <c r="D5951" s="2" t="str">
        <f t="shared" si="488"/>
        <v>MGES</v>
      </c>
      <c r="E5951" s="2" t="str">
        <f>"RELATÓRIO DE CONTAGEM DE PRODUTOS"</f>
        <v>RELATÓRIO DE CONTAGEM DE PRODUTOS</v>
      </c>
      <c r="F5951" s="2" t="str">
        <f>"R_CONT_PROD"</f>
        <v>R_CONT_PROD</v>
      </c>
      <c r="G5951" s="2" t="str">
        <f>"Materiais e Logística / Almoxarifado / Relatórios / Contagem / Contagem de Produtos (R_CONT_PROD)"</f>
        <v>Materiais e Logística / Almoxarifado / Relatórios / Contagem / Contagem de Produtos (R_CONT_PROD)</v>
      </c>
    </row>
    <row r="5952" spans="1:7" x14ac:dyDescent="0.3">
      <c r="A5952" s="1" t="s">
        <v>4</v>
      </c>
      <c r="B5952" s="2" t="str">
        <f t="shared" si="486"/>
        <v>SISTEMA DE GERENCIAMENTO DE ESTOQUE</v>
      </c>
      <c r="C5952" s="2" t="str">
        <f t="shared" si="487"/>
        <v>SUPRI</v>
      </c>
      <c r="D5952" s="2" t="str">
        <f t="shared" si="488"/>
        <v>MGES</v>
      </c>
      <c r="E5952" s="2" t="str">
        <f>"RELATORIO DE PRODUTOS VENCIDOS AGR. ESPE"</f>
        <v>RELATORIO DE PRODUTOS VENCIDOS AGR. ESPE</v>
      </c>
      <c r="F5952" s="2" t="str">
        <f>"R_CONT_VALID_ESPE"</f>
        <v>R_CONT_VALID_ESPE</v>
      </c>
      <c r="G5952" s="2" t="str">
        <f>" ()"</f>
        <v xml:space="preserve"> ()</v>
      </c>
    </row>
    <row r="5953" spans="1:7" x14ac:dyDescent="0.3">
      <c r="A5953" s="1" t="s">
        <v>4</v>
      </c>
      <c r="B5953" s="2" t="str">
        <f t="shared" si="486"/>
        <v>SISTEMA DE GERENCIAMENTO DE ESTOQUE</v>
      </c>
      <c r="C5953" s="2" t="str">
        <f t="shared" si="487"/>
        <v>SUPRI</v>
      </c>
      <c r="D5953" s="2" t="str">
        <f t="shared" si="488"/>
        <v>MGES</v>
      </c>
      <c r="E5953" s="2" t="str">
        <f>"RELAT. DE CONSUMO DO ESTOQUE"</f>
        <v>RELAT. DE CONSUMO DO ESTOQUE</v>
      </c>
      <c r="F5953" s="2" t="str">
        <f>"R_CONS_ESTOQUE"</f>
        <v>R_CONS_ESTOQUE</v>
      </c>
      <c r="G5953" s="2" t="str">
        <f>"Materiais e Logística / Compras / Relatórios / Gerenciais / Consumo do Estoque (R_CONS_ESTOQUE)"</f>
        <v>Materiais e Logística / Compras / Relatórios / Gerenciais / Consumo do Estoque (R_CONS_ESTOQUE)</v>
      </c>
    </row>
    <row r="5954" spans="1:7" x14ac:dyDescent="0.3">
      <c r="A5954" s="1" t="s">
        <v>4</v>
      </c>
      <c r="B5954" s="2" t="str">
        <f t="shared" si="486"/>
        <v>SISTEMA DE GERENCIAMENTO DE ESTOQUE</v>
      </c>
      <c r="C5954" s="2" t="str">
        <f t="shared" si="487"/>
        <v>SUPRI</v>
      </c>
      <c r="D5954" s="2" t="str">
        <f t="shared" si="488"/>
        <v>MGES</v>
      </c>
      <c r="E5954" s="2" t="str">
        <f>"RELAT. DE CONSUMO DO ESTOQUE"</f>
        <v>RELAT. DE CONSUMO DO ESTOQUE</v>
      </c>
      <c r="F5954" s="2" t="str">
        <f>"R_CONS_ESTOQUE"</f>
        <v>R_CONS_ESTOQUE</v>
      </c>
      <c r="G5954" s="2" t="str">
        <f>"Materiais e Logística / Almoxarifado / Relatórios / Gerenciais / Consumo do Estoque (R_CONS_ESTOQUE)"</f>
        <v>Materiais e Logística / Almoxarifado / Relatórios / Gerenciais / Consumo do Estoque (R_CONS_ESTOQUE)</v>
      </c>
    </row>
    <row r="5955" spans="1:7" x14ac:dyDescent="0.3">
      <c r="A5955" s="1" t="s">
        <v>4</v>
      </c>
      <c r="B5955" s="2" t="str">
        <f t="shared" si="486"/>
        <v>SISTEMA DE GERENCIAMENTO DE ESTOQUE</v>
      </c>
      <c r="C5955" s="2" t="str">
        <f t="shared" si="487"/>
        <v>SUPRI</v>
      </c>
      <c r="D5955" s="2" t="str">
        <f t="shared" si="488"/>
        <v>MGES</v>
      </c>
      <c r="E5955" s="2" t="str">
        <f>"MODULO PARA BLOQUEIA LOTES DOS PRODUTOS"</f>
        <v>MODULO PARA BLOQUEIA LOTES DOS PRODUTOS</v>
      </c>
      <c r="F5955" s="2" t="str">
        <f>"C_LAB2"</f>
        <v>C_LAB2</v>
      </c>
      <c r="G5955" s="2" t="str">
        <f>" ()"</f>
        <v xml:space="preserve"> ()</v>
      </c>
    </row>
    <row r="5956" spans="1:7" x14ac:dyDescent="0.3">
      <c r="A5956" s="1" t="s">
        <v>4</v>
      </c>
      <c r="B5956" s="2" t="str">
        <f t="shared" si="486"/>
        <v>SISTEMA DE GERENCIAMENTO DE ESTOQUE</v>
      </c>
      <c r="C5956" s="2" t="str">
        <f t="shared" si="487"/>
        <v>SUPRI</v>
      </c>
      <c r="D5956" s="2" t="str">
        <f t="shared" si="488"/>
        <v>MGES</v>
      </c>
      <c r="E5956" s="2" t="str">
        <f>"ENTRADA DE FORNECEDORES SINTÉTICO"</f>
        <v>ENTRADA DE FORNECEDORES SINTÉTICO</v>
      </c>
      <c r="F5956" s="2" t="str">
        <f>"R_EST_ENTRADA_PRODUTO_SINT"</f>
        <v>R_EST_ENTRADA_PRODUTO_SINT</v>
      </c>
      <c r="G5956" s="2" t="str">
        <f>"Materiais e Logística / Compras / Relatórios / Operacionais / Entrada de Produtos Sintético (R_EST_ENTRADA_PRODUTO_SINT)"</f>
        <v>Materiais e Logística / Compras / Relatórios / Operacionais / Entrada de Produtos Sintético (R_EST_ENTRADA_PRODUTO_SINT)</v>
      </c>
    </row>
    <row r="5957" spans="1:7" x14ac:dyDescent="0.3">
      <c r="A5957" s="1" t="s">
        <v>4</v>
      </c>
      <c r="B5957" s="2" t="str">
        <f t="shared" si="486"/>
        <v>SISTEMA DE GERENCIAMENTO DE ESTOQUE</v>
      </c>
      <c r="C5957" s="2" t="str">
        <f t="shared" si="487"/>
        <v>SUPRI</v>
      </c>
      <c r="D5957" s="2" t="str">
        <f t="shared" si="488"/>
        <v>MGES</v>
      </c>
      <c r="E5957" s="2" t="str">
        <f>"ENTRADA DE FORNECEDORES SINTÉTICO"</f>
        <v>ENTRADA DE FORNECEDORES SINTÉTICO</v>
      </c>
      <c r="F5957" s="2" t="str">
        <f>"R_EST_ENTRADA_PRODUTO_SINT"</f>
        <v>R_EST_ENTRADA_PRODUTO_SINT</v>
      </c>
      <c r="G5957" s="2" t="str">
        <f>"Materiais e Logística / Almoxarifado / Relatórios / Operacionais / Documento de Entradas e Entradas de Produtos / Entrada de Fornecedores Sintético (R_EST_ENTRADA_PRODUTO_SINT)"</f>
        <v>Materiais e Logística / Almoxarifado / Relatórios / Operacionais / Documento de Entradas e Entradas de Produtos / Entrada de Fornecedores Sintético (R_EST_ENTRADA_PRODUTO_SINT)</v>
      </c>
    </row>
    <row r="5958" spans="1:7" x14ac:dyDescent="0.3">
      <c r="A5958" s="1" t="s">
        <v>4</v>
      </c>
      <c r="B5958" s="2" t="str">
        <f t="shared" si="486"/>
        <v>SISTEMA DE GERENCIAMENTO DE ESTOQUE</v>
      </c>
      <c r="C5958" s="2" t="str">
        <f t="shared" si="487"/>
        <v>SUPRI</v>
      </c>
      <c r="D5958" s="2" t="str">
        <f t="shared" si="488"/>
        <v>MGES</v>
      </c>
      <c r="E5958" s="2" t="str">
        <f>"RELATÓRIO DOCUMENTO DE ENTRADA_SINTÉTICO"</f>
        <v>RELATÓRIO DOCUMENTO DE ENTRADA_SINTÉTICO</v>
      </c>
      <c r="F5958" s="2" t="str">
        <f>"R_EST_DOCUMENTO_ENTRADA_SINT"</f>
        <v>R_EST_DOCUMENTO_ENTRADA_SINT</v>
      </c>
      <c r="G5958" s="2" t="str">
        <f>"Materiais e Logística / Compras / Relatórios / Operacionais / Documento de Entrada Sintético (R_EST_DOCUMENTO_ENTRADA_SINT)"</f>
        <v>Materiais e Logística / Compras / Relatórios / Operacionais / Documento de Entrada Sintético (R_EST_DOCUMENTO_ENTRADA_SINT)</v>
      </c>
    </row>
    <row r="5959" spans="1:7" x14ac:dyDescent="0.3">
      <c r="A5959" s="1" t="s">
        <v>4</v>
      </c>
      <c r="B5959" s="2" t="str">
        <f t="shared" si="486"/>
        <v>SISTEMA DE GERENCIAMENTO DE ESTOQUE</v>
      </c>
      <c r="C5959" s="2" t="str">
        <f t="shared" si="487"/>
        <v>SUPRI</v>
      </c>
      <c r="D5959" s="2" t="str">
        <f t="shared" si="488"/>
        <v>MGES</v>
      </c>
      <c r="E5959" s="2" t="str">
        <f>"REL DE BALANCETE CONTÁBIL MENSAL SINT"</f>
        <v>REL DE BALANCETE CONTÁBIL MENSAL SINT</v>
      </c>
      <c r="F5959" s="2" t="str">
        <f>"R_BALANCO_CONTABIL_SINT"</f>
        <v>R_BALANCO_CONTABIL_SINT</v>
      </c>
      <c r="G5959" s="2" t="str">
        <f>" ()"</f>
        <v xml:space="preserve"> ()</v>
      </c>
    </row>
    <row r="5960" spans="1:7" x14ac:dyDescent="0.3">
      <c r="A5960" s="1" t="s">
        <v>4</v>
      </c>
      <c r="B5960" s="2" t="str">
        <f t="shared" si="486"/>
        <v>SISTEMA DE GERENCIAMENTO DE ESTOQUE</v>
      </c>
      <c r="C5960" s="2" t="str">
        <f t="shared" si="487"/>
        <v>SUPRI</v>
      </c>
      <c r="D5960" s="2" t="str">
        <f t="shared" si="488"/>
        <v>MGES</v>
      </c>
      <c r="E5960" s="2" t="str">
        <f>"ABERTURA DE CONTAGEM"</f>
        <v>ABERTURA DE CONTAGEM</v>
      </c>
      <c r="F5960" s="2" t="str">
        <f>"M_ABERCONTAGEM"</f>
        <v>M_ABERCONTAGEM</v>
      </c>
      <c r="G5960" s="2" t="str">
        <f>"Materiais e Logística / Almoxarifado / Inventário / Abertura do Inventário (M_ABERCONTAGEM)"</f>
        <v>Materiais e Logística / Almoxarifado / Inventário / Abertura do Inventário (M_ABERCONTAGEM)</v>
      </c>
    </row>
    <row r="5961" spans="1:7" x14ac:dyDescent="0.3">
      <c r="A5961" s="1" t="s">
        <v>4</v>
      </c>
      <c r="B5961" s="2" t="str">
        <f t="shared" si="486"/>
        <v>SISTEMA DE GERENCIAMENTO DE ESTOQUE</v>
      </c>
      <c r="C5961" s="2" t="str">
        <f t="shared" si="487"/>
        <v>SUPRI</v>
      </c>
      <c r="D5961" s="2" t="str">
        <f t="shared" si="488"/>
        <v>MGES</v>
      </c>
      <c r="E5961" s="2" t="str">
        <f>"ABERTURA DE CONTAGEM"</f>
        <v>ABERTURA DE CONTAGEM</v>
      </c>
      <c r="F5961" s="2" t="str">
        <f>"M_ABERCONTAGEM"</f>
        <v>M_ABERCONTAGEM</v>
      </c>
      <c r="G5961" s="2" t="str">
        <f>"Materiais e Logística / Farmácia / Inventário / Abertura do Inventário (M_ABERCONTAGEM)"</f>
        <v>Materiais e Logística / Farmácia / Inventário / Abertura do Inventário (M_ABERCONTAGEM)</v>
      </c>
    </row>
    <row r="5962" spans="1:7" x14ac:dyDescent="0.3">
      <c r="A5962" s="1" t="s">
        <v>4</v>
      </c>
      <c r="B5962" s="2" t="str">
        <f t="shared" si="486"/>
        <v>SISTEMA DE GERENCIAMENTO DE ESTOQUE</v>
      </c>
      <c r="C5962" s="2" t="str">
        <f t="shared" si="487"/>
        <v>SUPRI</v>
      </c>
      <c r="D5962" s="2" t="str">
        <f t="shared" si="488"/>
        <v>MGES</v>
      </c>
      <c r="E5962" s="2" t="str">
        <f>"HISTÓRICO DE ENTRADA X SAÍDA CONSOLIDADO"</f>
        <v>HISTÓRICO DE ENTRADA X SAÍDA CONSOLIDADO</v>
      </c>
      <c r="F5962" s="2" t="str">
        <f>"R_HIST_PRODUTO_CONSO"</f>
        <v>R_HIST_PRODUTO_CONSO</v>
      </c>
      <c r="G5962" s="2" t="str">
        <f>"Materiais e Logística / Almoxarifado / Relatórios / Contábeis / Histórico de Entrada X Saída  Consolidado (R_HIST_PRODUTO_CONSO)"</f>
        <v>Materiais e Logística / Almoxarifado / Relatórios / Contábeis / Histórico de Entrada X Saída  Consolidado (R_HIST_PRODUTO_CONSO)</v>
      </c>
    </row>
    <row r="5963" spans="1:7" x14ac:dyDescent="0.3">
      <c r="A5963" s="1" t="s">
        <v>4</v>
      </c>
      <c r="B5963" s="2" t="str">
        <f t="shared" si="486"/>
        <v>SISTEMA DE GERENCIAMENTO DE ESTOQUE</v>
      </c>
      <c r="C5963" s="2" t="str">
        <f t="shared" si="487"/>
        <v>SUPRI</v>
      </c>
      <c r="D5963" s="2" t="str">
        <f t="shared" si="488"/>
        <v>MGES</v>
      </c>
      <c r="E5963" s="2" t="str">
        <f>"REL. BAIXA DE PROD. (QUEBRA POR MOTIVO)"</f>
        <v>REL. BAIXA DE PROD. (QUEBRA POR MOTIVO)</v>
      </c>
      <c r="F5963" s="2" t="str">
        <f>"R_BAIXA_PROD_MOT_BAI"</f>
        <v>R_BAIXA_PROD_MOT_BAI</v>
      </c>
      <c r="G5963" s="2" t="str">
        <f>" ()"</f>
        <v xml:space="preserve"> ()</v>
      </c>
    </row>
    <row r="5964" spans="1:7" x14ac:dyDescent="0.3">
      <c r="A5964" s="1" t="s">
        <v>4</v>
      </c>
      <c r="B5964" s="2" t="str">
        <f t="shared" si="486"/>
        <v>SISTEMA DE GERENCIAMENTO DE ESTOQUE</v>
      </c>
      <c r="C5964" s="2" t="str">
        <f t="shared" si="487"/>
        <v>SUPRI</v>
      </c>
      <c r="D5964" s="2" t="str">
        <f t="shared" si="488"/>
        <v>MGES</v>
      </c>
      <c r="E5964" s="2" t="str">
        <f>"RELATORIO DE PREÇOS DE FORNECEDORES"</f>
        <v>RELATORIO DE PREÇOS DE FORNECEDORES</v>
      </c>
      <c r="F5964" s="2" t="str">
        <f>"R_PROD_FOR"</f>
        <v>R_PROD_FOR</v>
      </c>
      <c r="G5964" s="2" t="str">
        <f>"Materiais e Logística / Almoxarifado / Relatórios / Administrativos / Preços dos Fornecedores (R_PROD_FOR)"</f>
        <v>Materiais e Logística / Almoxarifado / Relatórios / Administrativos / Preços dos Fornecedores (R_PROD_FOR)</v>
      </c>
    </row>
    <row r="5965" spans="1:7" x14ac:dyDescent="0.3">
      <c r="A5965" s="1" t="s">
        <v>4</v>
      </c>
      <c r="B5965" s="2" t="str">
        <f t="shared" si="486"/>
        <v>SISTEMA DE GERENCIAMENTO DE ESTOQUE</v>
      </c>
      <c r="C5965" s="2" t="str">
        <f t="shared" si="487"/>
        <v>SUPRI</v>
      </c>
      <c r="D5965" s="2" t="str">
        <f t="shared" si="488"/>
        <v>MGES</v>
      </c>
      <c r="E5965" s="2" t="str">
        <f>"RELAT. DE ENTRADA DE PRODUTOS"</f>
        <v>RELAT. DE ENTRADA DE PRODUTOS</v>
      </c>
      <c r="F5965" s="2" t="str">
        <f>"R_ENTRADA"</f>
        <v>R_ENTRADA</v>
      </c>
      <c r="G5965" s="2" t="str">
        <f>"Materiais e Logística / Compras / Relatórios / Operacionais / Entrada de Produtos (R_ENTRADA)"</f>
        <v>Materiais e Logística / Compras / Relatórios / Operacionais / Entrada de Produtos (R_ENTRADA)</v>
      </c>
    </row>
    <row r="5966" spans="1:7" x14ac:dyDescent="0.3">
      <c r="A5966" s="1" t="s">
        <v>4</v>
      </c>
      <c r="B5966" s="2" t="str">
        <f t="shared" si="486"/>
        <v>SISTEMA DE GERENCIAMENTO DE ESTOQUE</v>
      </c>
      <c r="C5966" s="2" t="str">
        <f t="shared" si="487"/>
        <v>SUPRI</v>
      </c>
      <c r="D5966" s="2" t="str">
        <f t="shared" si="488"/>
        <v>MGES</v>
      </c>
      <c r="E5966" s="2" t="str">
        <f>"RELAT. DE ENTRADA DE PRODUTOS"</f>
        <v>RELAT. DE ENTRADA DE PRODUTOS</v>
      </c>
      <c r="F5966" s="2" t="str">
        <f>"R_ENTRADA"</f>
        <v>R_ENTRADA</v>
      </c>
      <c r="G5966" s="2" t="str">
        <f>"Materiais e Logística / Almoxarifado / Relatórios / Operacionais / Documento de Entradas e Entradas de Produtos / Entrada de Produtos (R_ENTRADA)"</f>
        <v>Materiais e Logística / Almoxarifado / Relatórios / Operacionais / Documento de Entradas e Entradas de Produtos / Entrada de Produtos (R_ENTRADA)</v>
      </c>
    </row>
    <row r="5967" spans="1:7" x14ac:dyDescent="0.3">
      <c r="A5967" s="1" t="s">
        <v>4</v>
      </c>
      <c r="B5967" s="2" t="str">
        <f t="shared" si="486"/>
        <v>SISTEMA DE GERENCIAMENTO DE ESTOQUE</v>
      </c>
      <c r="C5967" s="2" t="str">
        <f t="shared" si="487"/>
        <v>SUPRI</v>
      </c>
      <c r="D5967" s="2" t="str">
        <f t="shared" si="488"/>
        <v>MGES</v>
      </c>
      <c r="E5967" s="2" t="str">
        <f>"RELATORIO DE FICHA DE ESTOQUE"</f>
        <v>RELATORIO DE FICHA DE ESTOQUE</v>
      </c>
      <c r="F5967" s="2" t="str">
        <f>"R_FICHA_ESTOQUE"</f>
        <v>R_FICHA_ESTOQUE</v>
      </c>
      <c r="G5967" s="2" t="str">
        <f>"Materiais e Logística / Compras / Relatórios / Operacionais / Ficha de Estoque (R_FICHA_ESTOQUE)"</f>
        <v>Materiais e Logística / Compras / Relatórios / Operacionais / Ficha de Estoque (R_FICHA_ESTOQUE)</v>
      </c>
    </row>
    <row r="5968" spans="1:7" x14ac:dyDescent="0.3">
      <c r="A5968" s="1" t="s">
        <v>4</v>
      </c>
      <c r="B5968" s="2" t="str">
        <f t="shared" si="486"/>
        <v>SISTEMA DE GERENCIAMENTO DE ESTOQUE</v>
      </c>
      <c r="C5968" s="2" t="str">
        <f t="shared" si="487"/>
        <v>SUPRI</v>
      </c>
      <c r="D5968" s="2" t="str">
        <f t="shared" si="488"/>
        <v>MGES</v>
      </c>
      <c r="E5968" s="2" t="str">
        <f>"RELATORIO DE FICHA DE ESTOQUE"</f>
        <v>RELATORIO DE FICHA DE ESTOQUE</v>
      </c>
      <c r="F5968" s="2" t="str">
        <f>"R_FICHA_ESTOQUE"</f>
        <v>R_FICHA_ESTOQUE</v>
      </c>
      <c r="G5968" s="2" t="str">
        <f>"Materiais e Logística / Almoxarifado / Relatórios / Operacionais / Análise do Custo Médio dos Produtos / Ficha de Estoque (R_FICHA_ESTOQUE)"</f>
        <v>Materiais e Logística / Almoxarifado / Relatórios / Operacionais / Análise do Custo Médio dos Produtos / Ficha de Estoque (R_FICHA_ESTOQUE)</v>
      </c>
    </row>
    <row r="5969" spans="1:7" x14ac:dyDescent="0.3">
      <c r="A5969" s="1" t="s">
        <v>4</v>
      </c>
      <c r="B5969" s="2" t="str">
        <f t="shared" si="486"/>
        <v>SISTEMA DE GERENCIAMENTO DE ESTOQUE</v>
      </c>
      <c r="C5969" s="2" t="str">
        <f t="shared" si="487"/>
        <v>SUPRI</v>
      </c>
      <c r="D5969" s="2" t="str">
        <f t="shared" si="488"/>
        <v>MGES</v>
      </c>
      <c r="E5969" s="2" t="str">
        <f>"RELATORIO DE PRODUTOS VENCIDOS"</f>
        <v>RELATORIO DE PRODUTOS VENCIDOS</v>
      </c>
      <c r="F5969" s="2" t="str">
        <f>"R_CONT_VALID"</f>
        <v>R_CONT_VALID</v>
      </c>
      <c r="G5969" s="2" t="str">
        <f>"Materiais e Logística / Almoxarifado / Relatórios / Administrativos / Produtos com Prazo de Validade  (R_CONT_VALID)"</f>
        <v>Materiais e Logística / Almoxarifado / Relatórios / Administrativos / Produtos com Prazo de Validade  (R_CONT_VALID)</v>
      </c>
    </row>
    <row r="5970" spans="1:7" x14ac:dyDescent="0.3">
      <c r="A5970" s="1" t="s">
        <v>4</v>
      </c>
      <c r="B5970" s="2" t="str">
        <f t="shared" si="486"/>
        <v>SISTEMA DE GERENCIAMENTO DE ESTOQUE</v>
      </c>
      <c r="C5970" s="2" t="str">
        <f t="shared" si="487"/>
        <v>SUPRI</v>
      </c>
      <c r="D5970" s="2" t="str">
        <f t="shared" si="488"/>
        <v>MGES</v>
      </c>
      <c r="E5970" s="2" t="str">
        <f>"RELATÓRIO DE CURVA ABC DE CONSUMO"</f>
        <v>RELATÓRIO DE CURVA ABC DE CONSUMO</v>
      </c>
      <c r="F5970" s="2" t="str">
        <f>"R_ABC_CONSUMO"</f>
        <v>R_ABC_CONSUMO</v>
      </c>
      <c r="G5970" s="2" t="str">
        <f>" ()"</f>
        <v xml:space="preserve"> ()</v>
      </c>
    </row>
    <row r="5971" spans="1:7" x14ac:dyDescent="0.3">
      <c r="A5971" s="1" t="s">
        <v>4</v>
      </c>
      <c r="B5971" s="2" t="str">
        <f t="shared" si="486"/>
        <v>SISTEMA DE GERENCIAMENTO DE ESTOQUE</v>
      </c>
      <c r="C5971" s="2" t="str">
        <f t="shared" si="487"/>
        <v>SUPRI</v>
      </c>
      <c r="D5971" s="2" t="str">
        <f t="shared" si="488"/>
        <v>MGES</v>
      </c>
      <c r="E5971" s="2" t="str">
        <f>"REL. ESTATISTICO DE SAIDA DE PRODUTOS"</f>
        <v>REL. ESTATISTICO DE SAIDA DE PRODUTOS</v>
      </c>
      <c r="F5971" s="2" t="str">
        <f>"R_EST_SAIDA_PRODUTO"</f>
        <v>R_EST_SAIDA_PRODUTO</v>
      </c>
      <c r="G5971" s="2" t="str">
        <f>"Materiais e Logística / Compras / Relatórios / Gerenciais / Est. de Produtos com Maior/Menor Saída (R_EST_SAIDA_PRODUTO)"</f>
        <v>Materiais e Logística / Compras / Relatórios / Gerenciais / Est. de Produtos com Maior/Menor Saída (R_EST_SAIDA_PRODUTO)</v>
      </c>
    </row>
    <row r="5972" spans="1:7" x14ac:dyDescent="0.3">
      <c r="A5972" s="1" t="s">
        <v>4</v>
      </c>
      <c r="B5972" s="2" t="str">
        <f t="shared" si="486"/>
        <v>SISTEMA DE GERENCIAMENTO DE ESTOQUE</v>
      </c>
      <c r="C5972" s="2" t="str">
        <f t="shared" si="487"/>
        <v>SUPRI</v>
      </c>
      <c r="D5972" s="2" t="str">
        <f t="shared" si="488"/>
        <v>MGES</v>
      </c>
      <c r="E5972" s="2" t="str">
        <f>"REL. ESTATISTICO DE SAIDA DE PRODUTOS"</f>
        <v>REL. ESTATISTICO DE SAIDA DE PRODUTOS</v>
      </c>
      <c r="F5972" s="2" t="str">
        <f>"R_EST_SAIDA_PRODUTO"</f>
        <v>R_EST_SAIDA_PRODUTO</v>
      </c>
      <c r="G5972" s="2" t="str">
        <f>"Materiais e Logística / Almoxarifado / Relatórios / Estatísticas / Est. de Produtos com Maior/Menor Consumo (R_EST_SAIDA_PRODUTO)"</f>
        <v>Materiais e Logística / Almoxarifado / Relatórios / Estatísticas / Est. de Produtos com Maior/Menor Consumo (R_EST_SAIDA_PRODUTO)</v>
      </c>
    </row>
    <row r="5973" spans="1:7" x14ac:dyDescent="0.3">
      <c r="A5973" s="1" t="s">
        <v>4</v>
      </c>
      <c r="B5973" s="2" t="str">
        <f t="shared" si="486"/>
        <v>SISTEMA DE GERENCIAMENTO DE ESTOQUE</v>
      </c>
      <c r="C5973" s="2" t="str">
        <f t="shared" si="487"/>
        <v>SUPRI</v>
      </c>
      <c r="D5973" s="2" t="str">
        <f t="shared" si="488"/>
        <v>MGES</v>
      </c>
      <c r="E5973" s="2" t="str">
        <f>"REL DE CONTAGEM DE PROD P/ESTOQUE P/CONF"</f>
        <v>REL DE CONTAGEM DE PROD P/ESTOQUE P/CONF</v>
      </c>
      <c r="F5973" s="2" t="str">
        <f>"R_CONT_PROD_ESTOQ"</f>
        <v>R_CONT_PROD_ESTOQ</v>
      </c>
      <c r="G5973" s="2" t="str">
        <f>"Materiais e Logística / Almoxarifado / Relatórios / Contagem / Contagem de Prod. por Estoque (Para Conferência) (R_CONT_PROD_ESTOQ)"</f>
        <v>Materiais e Logística / Almoxarifado / Relatórios / Contagem / Contagem de Prod. por Estoque (Para Conferência) (R_CONT_PROD_ESTOQ)</v>
      </c>
    </row>
    <row r="5974" spans="1:7" x14ac:dyDescent="0.3">
      <c r="A5974" s="1" t="s">
        <v>4</v>
      </c>
      <c r="B5974" s="2" t="str">
        <f t="shared" si="486"/>
        <v>SISTEMA DE GERENCIAMENTO DE ESTOQUE</v>
      </c>
      <c r="C5974" s="2" t="str">
        <f t="shared" si="487"/>
        <v>SUPRI</v>
      </c>
      <c r="D5974" s="2" t="str">
        <f t="shared" si="488"/>
        <v>MGES</v>
      </c>
      <c r="E5974" s="2" t="str">
        <f>"REL DE HISTÓRICO DE PRODUTOS - ENT / SAI"</f>
        <v>REL DE HISTÓRICO DE PRODUTOS - ENT / SAI</v>
      </c>
      <c r="F5974" s="2" t="str">
        <f>"R_HIST_PRODUTO"</f>
        <v>R_HIST_PRODUTO</v>
      </c>
      <c r="G5974" s="2" t="str">
        <f>"Materiais e Logística / Compras / Relatórios / Administrativos / Histórico de Produtos - Entrada X Saída (R_HIST_PRODUTO)"</f>
        <v>Materiais e Logística / Compras / Relatórios / Administrativos / Histórico de Produtos - Entrada X Saída (R_HIST_PRODUTO)</v>
      </c>
    </row>
    <row r="5975" spans="1:7" x14ac:dyDescent="0.3">
      <c r="A5975" s="1" t="s">
        <v>4</v>
      </c>
      <c r="B5975" s="2" t="str">
        <f t="shared" si="486"/>
        <v>SISTEMA DE GERENCIAMENTO DE ESTOQUE</v>
      </c>
      <c r="C5975" s="2" t="str">
        <f t="shared" si="487"/>
        <v>SUPRI</v>
      </c>
      <c r="D5975" s="2" t="str">
        <f t="shared" si="488"/>
        <v>MGES</v>
      </c>
      <c r="E5975" s="2" t="str">
        <f>"REL DE HISTÓRICO DE PRODUTOS - ENT / SAI"</f>
        <v>REL DE HISTÓRICO DE PRODUTOS - ENT / SAI</v>
      </c>
      <c r="F5975" s="2" t="str">
        <f>"R_HIST_PRODUTO"</f>
        <v>R_HIST_PRODUTO</v>
      </c>
      <c r="G5975" s="2" t="str">
        <f>"Materiais e Logística / Almoxarifado / Relatórios / Gerenciais / Histórico de Produtos - Entrada x Saída (R_HIST_PRODUTO)"</f>
        <v>Materiais e Logística / Almoxarifado / Relatórios / Gerenciais / Histórico de Produtos - Entrada x Saída (R_HIST_PRODUTO)</v>
      </c>
    </row>
    <row r="5976" spans="1:7" x14ac:dyDescent="0.3">
      <c r="A5976" s="1" t="s">
        <v>4</v>
      </c>
      <c r="B5976" s="2" t="str">
        <f t="shared" si="486"/>
        <v>SISTEMA DE GERENCIAMENTO DE ESTOQUE</v>
      </c>
      <c r="C5976" s="2" t="str">
        <f t="shared" si="487"/>
        <v>SUPRI</v>
      </c>
      <c r="D5976" s="2" t="str">
        <f t="shared" si="488"/>
        <v>MGES</v>
      </c>
      <c r="E5976" s="2" t="str">
        <f>"REL ESTATÍSTICO DE FORNE COM MAI/MEN ENT"</f>
        <v>REL ESTATÍSTICO DE FORNE COM MAI/MEN ENT</v>
      </c>
      <c r="F5976" s="2" t="str">
        <f>"R_EST_ENTRADA_FORN"</f>
        <v>R_EST_ENTRADA_FORN</v>
      </c>
      <c r="G5976" s="2" t="str">
        <f>"Materiais e Logística / Compras / Relatórios / Gerenciais / Est. de Fornecedores com Maior/Menor Entrada (R_EST_ENTRADA_FORN)"</f>
        <v>Materiais e Logística / Compras / Relatórios / Gerenciais / Est. de Fornecedores com Maior/Menor Entrada (R_EST_ENTRADA_FORN)</v>
      </c>
    </row>
    <row r="5977" spans="1:7" x14ac:dyDescent="0.3">
      <c r="A5977" s="1" t="s">
        <v>4</v>
      </c>
      <c r="B5977" s="2" t="str">
        <f t="shared" si="486"/>
        <v>SISTEMA DE GERENCIAMENTO DE ESTOQUE</v>
      </c>
      <c r="C5977" s="2" t="str">
        <f t="shared" si="487"/>
        <v>SUPRI</v>
      </c>
      <c r="D5977" s="2" t="str">
        <f t="shared" si="488"/>
        <v>MGES</v>
      </c>
      <c r="E5977" s="2" t="str">
        <f>"REL ESTATÍSTICO DE FORNE COM MAI/MEN ENT"</f>
        <v>REL ESTATÍSTICO DE FORNE COM MAI/MEN ENT</v>
      </c>
      <c r="F5977" s="2" t="str">
        <f>"R_EST_ENTRADA_FORN"</f>
        <v>R_EST_ENTRADA_FORN</v>
      </c>
      <c r="G5977" s="2" t="str">
        <f>"Materiais e Logística / Almoxarifado / Relatórios / Estatísticas / Est. de Fornecedores com Maior/Menor Entrada (R_EST_ENTRADA_FORN)"</f>
        <v>Materiais e Logística / Almoxarifado / Relatórios / Estatísticas / Est. de Fornecedores com Maior/Menor Entrada (R_EST_ENTRADA_FORN)</v>
      </c>
    </row>
    <row r="5978" spans="1:7" x14ac:dyDescent="0.3">
      <c r="A5978" s="1" t="s">
        <v>4</v>
      </c>
      <c r="B5978" s="2" t="str">
        <f t="shared" ref="B5978:B6041" si="493">"SISTEMA DE GERENCIAMENTO DE ESTOQUE"</f>
        <v>SISTEMA DE GERENCIAMENTO DE ESTOQUE</v>
      </c>
      <c r="C5978" s="2" t="str">
        <f t="shared" ref="C5978:C6041" si="494">"SUPRI"</f>
        <v>SUPRI</v>
      </c>
      <c r="D5978" s="2" t="str">
        <f t="shared" ref="D5978:D6041" si="495">"MGES"</f>
        <v>MGES</v>
      </c>
      <c r="E5978" s="2" t="str">
        <f>"REL ESTATÍSTICO DE ENTRADAS DE PRODUTOS"</f>
        <v>REL ESTATÍSTICO DE ENTRADAS DE PRODUTOS</v>
      </c>
      <c r="F5978" s="2" t="str">
        <f>"R_EST_ENTRADA_PRODUTO"</f>
        <v>R_EST_ENTRADA_PRODUTO</v>
      </c>
      <c r="G5978" s="2" t="str">
        <f>"Materiais e Logística / Compras / Relatórios / Gerenciais / Est. de Produtos com Maior/Menor Entrada (R_EST_ENTRADA_PRODUTO)"</f>
        <v>Materiais e Logística / Compras / Relatórios / Gerenciais / Est. de Produtos com Maior/Menor Entrada (R_EST_ENTRADA_PRODUTO)</v>
      </c>
    </row>
    <row r="5979" spans="1:7" x14ac:dyDescent="0.3">
      <c r="A5979" s="1" t="s">
        <v>4</v>
      </c>
      <c r="B5979" s="2" t="str">
        <f t="shared" si="493"/>
        <v>SISTEMA DE GERENCIAMENTO DE ESTOQUE</v>
      </c>
      <c r="C5979" s="2" t="str">
        <f t="shared" si="494"/>
        <v>SUPRI</v>
      </c>
      <c r="D5979" s="2" t="str">
        <f t="shared" si="495"/>
        <v>MGES</v>
      </c>
      <c r="E5979" s="2" t="str">
        <f>"REL ESTATÍSTICO DE ENTRADAS DE PRODUTOS"</f>
        <v>REL ESTATÍSTICO DE ENTRADAS DE PRODUTOS</v>
      </c>
      <c r="F5979" s="2" t="str">
        <f>"R_EST_ENTRADA_PRODUTO"</f>
        <v>R_EST_ENTRADA_PRODUTO</v>
      </c>
      <c r="G5979" s="2" t="str">
        <f>"Materiais e Logística / Almoxarifado / Relatórios / Estatísticas / Est. de Produtos com Maior/Menor Entrada (R_EST_ENTRADA_PRODUTO)"</f>
        <v>Materiais e Logística / Almoxarifado / Relatórios / Estatísticas / Est. de Produtos com Maior/Menor Entrada (R_EST_ENTRADA_PRODUTO)</v>
      </c>
    </row>
    <row r="5980" spans="1:7" x14ac:dyDescent="0.3">
      <c r="A5980" s="1" t="s">
        <v>4</v>
      </c>
      <c r="B5980" s="2" t="str">
        <f t="shared" si="493"/>
        <v>SISTEMA DE GERENCIAMENTO DE ESTOQUE</v>
      </c>
      <c r="C5980" s="2" t="str">
        <f t="shared" si="494"/>
        <v>SUPRI</v>
      </c>
      <c r="D5980" s="2" t="str">
        <f t="shared" si="495"/>
        <v>MGES</v>
      </c>
      <c r="E5980" s="2" t="str">
        <f>"RELT. SAIDA DE PRODUTOS DO SETOR"</f>
        <v>RELT. SAIDA DE PRODUTOS DO SETOR</v>
      </c>
      <c r="F5980" s="2" t="str">
        <f>"R_SAIDA_SETOR"</f>
        <v>R_SAIDA_SETOR</v>
      </c>
      <c r="G5980" s="2" t="str">
        <f>" ()"</f>
        <v xml:space="preserve"> ()</v>
      </c>
    </row>
    <row r="5981" spans="1:7" x14ac:dyDescent="0.3">
      <c r="A5981" s="1" t="s">
        <v>4</v>
      </c>
      <c r="B5981" s="2" t="str">
        <f t="shared" si="493"/>
        <v>SISTEMA DE GERENCIAMENTO DE ESTOQUE</v>
      </c>
      <c r="C5981" s="2" t="str">
        <f t="shared" si="494"/>
        <v>SUPRI</v>
      </c>
      <c r="D5981" s="2" t="str">
        <f t="shared" si="495"/>
        <v>MGES</v>
      </c>
      <c r="E5981" s="2" t="str">
        <f>"RELATÓRIO BALANÇO DE AQUISICÕES"</f>
        <v>RELATÓRIO BALANÇO DE AQUISICÕES</v>
      </c>
      <c r="F5981" s="2" t="str">
        <f>"R_BALANCO_AQUISICOES"</f>
        <v>R_BALANCO_AQUISICOES</v>
      </c>
      <c r="G5981" s="2" t="str">
        <f>"Materiais e Logística / Almoxarifado / Relatórios / Portarias / Balanço de Aquisições (R_BALANCO_AQUISICOES)"</f>
        <v>Materiais e Logística / Almoxarifado / Relatórios / Portarias / Balanço de Aquisições (R_BALANCO_AQUISICOES)</v>
      </c>
    </row>
    <row r="5982" spans="1:7" x14ac:dyDescent="0.3">
      <c r="A5982" s="1" t="s">
        <v>4</v>
      </c>
      <c r="B5982" s="2" t="str">
        <f t="shared" si="493"/>
        <v>SISTEMA DE GERENCIAMENTO DE ESTOQUE</v>
      </c>
      <c r="C5982" s="2" t="str">
        <f t="shared" si="494"/>
        <v>SUPRI</v>
      </c>
      <c r="D5982" s="2" t="str">
        <f t="shared" si="495"/>
        <v>MGES</v>
      </c>
      <c r="E5982" s="2" t="str">
        <f>"RELAT. CONF DE PROD. COM PROCED. DE FAT."</f>
        <v>RELAT. CONF DE PROD. COM PROCED. DE FAT.</v>
      </c>
      <c r="F5982" s="2" t="str">
        <f>"R_CONF_PRO"</f>
        <v>R_CONF_PRO</v>
      </c>
      <c r="G5982" s="2" t="str">
        <f>"Faturamento / Faturamento de Convênios e Particulares / Relatórios / Tabelas / Configuração / Produtos Relacionados a Procedimentos (R_CONF_PRO)"</f>
        <v>Faturamento / Faturamento de Convênios e Particulares / Relatórios / Tabelas / Configuração / Produtos Relacionados a Procedimentos (R_CONF_PRO)</v>
      </c>
    </row>
    <row r="5983" spans="1:7" x14ac:dyDescent="0.3">
      <c r="A5983" s="1" t="s">
        <v>4</v>
      </c>
      <c r="B5983" s="2" t="str">
        <f t="shared" si="493"/>
        <v>SISTEMA DE GERENCIAMENTO DE ESTOQUE</v>
      </c>
      <c r="C5983" s="2" t="str">
        <f t="shared" si="494"/>
        <v>SUPRI</v>
      </c>
      <c r="D5983" s="2" t="str">
        <f t="shared" si="495"/>
        <v>MGES</v>
      </c>
      <c r="E5983" s="2" t="str">
        <f>"RELAT. CONF DE PROD. COM PROCED. DE FAT."</f>
        <v>RELAT. CONF DE PROD. COM PROCED. DE FAT.</v>
      </c>
      <c r="F5983" s="2" t="str">
        <f>"R_CONF_PRO"</f>
        <v>R_CONF_PRO</v>
      </c>
      <c r="G5983" s="2" t="str">
        <f>"Materiais e Logística / Almoxarifado / Relatórios / Listagens / Configuração de Produtos com Procedimentos (R_CONF_PRO)"</f>
        <v>Materiais e Logística / Almoxarifado / Relatórios / Listagens / Configuração de Produtos com Procedimentos (R_CONF_PRO)</v>
      </c>
    </row>
    <row r="5984" spans="1:7" x14ac:dyDescent="0.3">
      <c r="A5984" s="1" t="s">
        <v>4</v>
      </c>
      <c r="B5984" s="2" t="str">
        <f t="shared" si="493"/>
        <v>SISTEMA DE GERENCIAMENTO DE ESTOQUE</v>
      </c>
      <c r="C5984" s="2" t="str">
        <f t="shared" si="494"/>
        <v>SUPRI</v>
      </c>
      <c r="D5984" s="2" t="str">
        <f t="shared" si="495"/>
        <v>MGES</v>
      </c>
      <c r="E5984" s="2" t="str">
        <f>"RELAT. CONF DE PROD. COM PROCED. DE FAT."</f>
        <v>RELAT. CONF DE PROD. COM PROCED. DE FAT.</v>
      </c>
      <c r="F5984" s="2" t="str">
        <f>"R_CONF_PRO"</f>
        <v>R_CONF_PRO</v>
      </c>
      <c r="G5984" s="2" t="str">
        <f>"Faturamento / Auditoria e Controle de Recursos de Glosas / Relatórios / Tabelas / Configuração / Produtos Relacionados a Procedimentos (R_CONF_PRO)"</f>
        <v>Faturamento / Auditoria e Controle de Recursos de Glosas / Relatórios / Tabelas / Configuração / Produtos Relacionados a Procedimentos (R_CONF_PRO)</v>
      </c>
    </row>
    <row r="5985" spans="1:7" x14ac:dyDescent="0.3">
      <c r="A5985" s="1" t="s">
        <v>4</v>
      </c>
      <c r="B5985" s="2" t="str">
        <f t="shared" si="493"/>
        <v>SISTEMA DE GERENCIAMENTO DE ESTOQUE</v>
      </c>
      <c r="C5985" s="2" t="str">
        <f t="shared" si="494"/>
        <v>SUPRI</v>
      </c>
      <c r="D5985" s="2" t="str">
        <f t="shared" si="495"/>
        <v>MGES</v>
      </c>
      <c r="E5985" s="2" t="str">
        <f>"NOVA ENTRADA DE PRODUTOS COM ORD. COMPRA"</f>
        <v>NOVA ENTRADA DE PRODUTOS COM ORD. COMPRA</v>
      </c>
      <c r="F5985" s="2" t="str">
        <f>"M_ENTRADA_NOVA"</f>
        <v>M_ENTRADA_NOVA</v>
      </c>
      <c r="G5985" s="2" t="str">
        <f>"Materiais e Logística / Almoxarifado / Movimentações / Entradas / Entrada de Produtos (M_ENTRADA_NOVA)"</f>
        <v>Materiais e Logística / Almoxarifado / Movimentações / Entradas / Entrada de Produtos (M_ENTRADA_NOVA)</v>
      </c>
    </row>
    <row r="5986" spans="1:7" x14ac:dyDescent="0.3">
      <c r="A5986" s="1" t="s">
        <v>4</v>
      </c>
      <c r="B5986" s="2" t="str">
        <f t="shared" si="493"/>
        <v>SISTEMA DE GERENCIAMENTO DE ESTOQUE</v>
      </c>
      <c r="C5986" s="2" t="str">
        <f t="shared" si="494"/>
        <v>SUPRI</v>
      </c>
      <c r="D5986" s="2" t="str">
        <f t="shared" si="495"/>
        <v>MGES</v>
      </c>
      <c r="E5986" s="2" t="str">
        <f>"RELST. DE POSICAO DO ESTOQUE SIMPLIF."</f>
        <v>RELST. DE POSICAO DO ESTOQUE SIMPLIF.</v>
      </c>
      <c r="F5986" s="2" t="str">
        <f>"R_POS_EST_S"</f>
        <v>R_POS_EST_S</v>
      </c>
      <c r="G5986" s="2" t="str">
        <f>"Atendimento / Urgência e Emergência / Relatórios / Estoque / Posição de Estoque Simplificado (R_POS_EST_S)"</f>
        <v>Atendimento / Urgência e Emergência / Relatórios / Estoque / Posição de Estoque Simplificado (R_POS_EST_S)</v>
      </c>
    </row>
    <row r="5987" spans="1:7" x14ac:dyDescent="0.3">
      <c r="A5987" s="1" t="s">
        <v>4</v>
      </c>
      <c r="B5987" s="2" t="str">
        <f t="shared" si="493"/>
        <v>SISTEMA DE GERENCIAMENTO DE ESTOQUE</v>
      </c>
      <c r="C5987" s="2" t="str">
        <f t="shared" si="494"/>
        <v>SUPRI</v>
      </c>
      <c r="D5987" s="2" t="str">
        <f t="shared" si="495"/>
        <v>MGES</v>
      </c>
      <c r="E5987" s="2" t="str">
        <f>"RELST. DE POSICAO DO ESTOQUE SIMPLIF."</f>
        <v>RELST. DE POSICAO DO ESTOQUE SIMPLIF.</v>
      </c>
      <c r="F5987" s="2" t="str">
        <f>"R_POS_EST_S"</f>
        <v>R_POS_EST_S</v>
      </c>
      <c r="G5987" s="2" t="str">
        <f>"Atendimento / Centro Cirúrgico e Obstétrico / Relatórios / Operacionais / Posição de Estoque Simplificado (R_POS_EST_S)"</f>
        <v>Atendimento / Centro Cirúrgico e Obstétrico / Relatórios / Operacionais / Posição de Estoque Simplificado (R_POS_EST_S)</v>
      </c>
    </row>
    <row r="5988" spans="1:7" x14ac:dyDescent="0.3">
      <c r="A5988" s="1" t="s">
        <v>4</v>
      </c>
      <c r="B5988" s="2" t="str">
        <f t="shared" si="493"/>
        <v>SISTEMA DE GERENCIAMENTO DE ESTOQUE</v>
      </c>
      <c r="C5988" s="2" t="str">
        <f t="shared" si="494"/>
        <v>SUPRI</v>
      </c>
      <c r="D5988" s="2" t="str">
        <f t="shared" si="495"/>
        <v>MGES</v>
      </c>
      <c r="E5988" s="2" t="str">
        <f>"RELST. DE POSICAO DO ESTOQUE SIMPLIF."</f>
        <v>RELST. DE POSICAO DO ESTOQUE SIMPLIF.</v>
      </c>
      <c r="F5988" s="2" t="str">
        <f>"R_POS_EST_S"</f>
        <v>R_POS_EST_S</v>
      </c>
      <c r="G5988" s="2" t="str">
        <f>"Serviços de Apoio / Higienização / Relatórios / Administrativos / Posição de Estoque Simplificado (R_POS_EST_S)"</f>
        <v>Serviços de Apoio / Higienização / Relatórios / Administrativos / Posição de Estoque Simplificado (R_POS_EST_S)</v>
      </c>
    </row>
    <row r="5989" spans="1:7" x14ac:dyDescent="0.3">
      <c r="A5989" s="1" t="s">
        <v>4</v>
      </c>
      <c r="B5989" s="2" t="str">
        <f t="shared" si="493"/>
        <v>SISTEMA DE GERENCIAMENTO DE ESTOQUE</v>
      </c>
      <c r="C5989" s="2" t="str">
        <f t="shared" si="494"/>
        <v>SUPRI</v>
      </c>
      <c r="D5989" s="2" t="str">
        <f t="shared" si="495"/>
        <v>MGES</v>
      </c>
      <c r="E5989" s="2" t="str">
        <f>"RELST. DE POSICAO DO ESTOQUE SIMPLIF."</f>
        <v>RELST. DE POSICAO DO ESTOQUE SIMPLIF.</v>
      </c>
      <c r="F5989" s="2" t="str">
        <f>"R_POS_EST_S"</f>
        <v>R_POS_EST_S</v>
      </c>
      <c r="G5989" s="2" t="str">
        <f>"Materiais e Logística / Almoxarifado / Relatórios / Administrativos / Posição de Estoque Simplificado (R_POS_EST_S)"</f>
        <v>Materiais e Logística / Almoxarifado / Relatórios / Administrativos / Posição de Estoque Simplificado (R_POS_EST_S)</v>
      </c>
    </row>
    <row r="5990" spans="1:7" x14ac:dyDescent="0.3">
      <c r="A5990" s="1" t="s">
        <v>4</v>
      </c>
      <c r="B5990" s="2" t="str">
        <f t="shared" si="493"/>
        <v>SISTEMA DE GERENCIAMENTO DE ESTOQUE</v>
      </c>
      <c r="C5990" s="2" t="str">
        <f t="shared" si="494"/>
        <v>SUPRI</v>
      </c>
      <c r="D5990" s="2" t="str">
        <f t="shared" si="495"/>
        <v>MGES</v>
      </c>
      <c r="E5990" s="2" t="str">
        <f>"RELST. DE POSICAO DO ESTOQUE SIMPLIF."</f>
        <v>RELST. DE POSICAO DO ESTOQUE SIMPLIF.</v>
      </c>
      <c r="F5990" s="2" t="str">
        <f>"R_POS_EST_S"</f>
        <v>R_POS_EST_S</v>
      </c>
      <c r="G5990" s="2" t="str">
        <f>"Atendimento / Ambulatório / Relatórios / Estoque / Posição de Estoque Simplificado (R_POS_EST_S)"</f>
        <v>Atendimento / Ambulatório / Relatórios / Estoque / Posição de Estoque Simplificado (R_POS_EST_S)</v>
      </c>
    </row>
    <row r="5991" spans="1:7" x14ac:dyDescent="0.3">
      <c r="A5991" s="1" t="s">
        <v>4</v>
      </c>
      <c r="B5991" s="2" t="str">
        <f t="shared" si="493"/>
        <v>SISTEMA DE GERENCIAMENTO DE ESTOQUE</v>
      </c>
      <c r="C5991" s="2" t="str">
        <f t="shared" si="494"/>
        <v>SUPRI</v>
      </c>
      <c r="D5991" s="2" t="str">
        <f t="shared" si="495"/>
        <v>MGES</v>
      </c>
      <c r="E5991" s="2" t="str">
        <f>"BAIXA DE VALE"</f>
        <v>BAIXA DE VALE</v>
      </c>
      <c r="F5991" s="2" t="str">
        <f>"O_VALE"</f>
        <v>O_VALE</v>
      </c>
      <c r="G5991" s="2" t="str">
        <f>"Materiais e Logística / Almoxarifado / Movimentações / Entradas / Baixa de Vale (O_VALE)"</f>
        <v>Materiais e Logística / Almoxarifado / Movimentações / Entradas / Baixa de Vale (O_VALE)</v>
      </c>
    </row>
    <row r="5992" spans="1:7" x14ac:dyDescent="0.3">
      <c r="A5992" s="1" t="s">
        <v>4</v>
      </c>
      <c r="B5992" s="2" t="str">
        <f t="shared" si="493"/>
        <v>SISTEMA DE GERENCIAMENTO DE ESTOQUE</v>
      </c>
      <c r="C5992" s="2" t="str">
        <f t="shared" si="494"/>
        <v>SUPRI</v>
      </c>
      <c r="D5992" s="2" t="str">
        <f t="shared" si="495"/>
        <v>MGES</v>
      </c>
      <c r="E5992" s="2" t="str">
        <f>"RELAT. PRODUTO EM PONTO DE PEDIDO"</f>
        <v>RELAT. PRODUTO EM PONTO DE PEDIDO</v>
      </c>
      <c r="F5992" s="2" t="str">
        <f>"R_PROD_PONT_PED"</f>
        <v>R_PROD_PONT_PED</v>
      </c>
      <c r="G5992" s="2" t="str">
        <f>" ()"</f>
        <v xml:space="preserve"> ()</v>
      </c>
    </row>
    <row r="5993" spans="1:7" x14ac:dyDescent="0.3">
      <c r="A5993" s="1" t="s">
        <v>4</v>
      </c>
      <c r="B5993" s="2" t="str">
        <f t="shared" si="493"/>
        <v>SISTEMA DE GERENCIAMENTO DE ESTOQUE</v>
      </c>
      <c r="C5993" s="2" t="str">
        <f t="shared" si="494"/>
        <v>SUPRI</v>
      </c>
      <c r="D5993" s="2" t="str">
        <f t="shared" si="495"/>
        <v>MGES</v>
      </c>
      <c r="E5993" s="2" t="str">
        <f>"RELAT. DE LISTAGEM DE PROD. POR ESTOQUE"</f>
        <v>RELAT. DE LISTAGEM DE PROD. POR ESTOQUE</v>
      </c>
      <c r="F5993" s="2" t="str">
        <f>"R_PROD_CLAS"</f>
        <v>R_PROD_CLAS</v>
      </c>
      <c r="G5993" s="2" t="str">
        <f>"Materiais e Logística / Almoxarifado / Relatórios / Listagens / Classificação de Produtos (R_PROD_CLAS)"</f>
        <v>Materiais e Logística / Almoxarifado / Relatórios / Listagens / Classificação de Produtos (R_PROD_CLAS)</v>
      </c>
    </row>
    <row r="5994" spans="1:7" x14ac:dyDescent="0.3">
      <c r="A5994" s="1" t="s">
        <v>4</v>
      </c>
      <c r="B5994" s="2" t="str">
        <f t="shared" si="493"/>
        <v>SISTEMA DE GERENCIAMENTO DE ESTOQUE</v>
      </c>
      <c r="C5994" s="2" t="str">
        <f t="shared" si="494"/>
        <v>SUPRI</v>
      </c>
      <c r="D5994" s="2" t="str">
        <f t="shared" si="495"/>
        <v>MGES</v>
      </c>
      <c r="E5994" s="2" t="str">
        <f>"IMPRESSÃO DE ETIQUETA PELO MENU"</f>
        <v>IMPRESSÃO DE ETIQUETA PELO MENU</v>
      </c>
      <c r="F5994" s="2" t="str">
        <f>"R_IMPRIMI_ETIQ"</f>
        <v>R_IMPRIMI_ETIQ</v>
      </c>
      <c r="G5994" s="2" t="str">
        <f>"Materiais e Logística / Almoxarifado / Relatórios / Operacionais / Documento de Entradas e Entradas de Produtos / Etiqueta do Produto (R_IMPRIMI_ETIQ)"</f>
        <v>Materiais e Logística / Almoxarifado / Relatórios / Operacionais / Documento de Entradas e Entradas de Produtos / Etiqueta do Produto (R_IMPRIMI_ETIQ)</v>
      </c>
    </row>
    <row r="5995" spans="1:7" x14ac:dyDescent="0.3">
      <c r="A5995" s="1" t="s">
        <v>4</v>
      </c>
      <c r="B5995" s="2" t="str">
        <f t="shared" si="493"/>
        <v>SISTEMA DE GERENCIAMENTO DE ESTOQUE</v>
      </c>
      <c r="C5995" s="2" t="str">
        <f t="shared" si="494"/>
        <v>SUPRI</v>
      </c>
      <c r="D5995" s="2" t="str">
        <f t="shared" si="495"/>
        <v>MGES</v>
      </c>
      <c r="E5995" s="2" t="str">
        <f>"SOLICITACAO DE PRODUTOS"</f>
        <v>SOLICITACAO DE PRODUTOS</v>
      </c>
      <c r="F5995" s="2" t="str">
        <f>"M_SOLICITACAO_PRODUTO_2"</f>
        <v>M_SOLICITACAO_PRODUTO_2</v>
      </c>
      <c r="G5995" s="2" t="str">
        <f>" ()"</f>
        <v xml:space="preserve"> ()</v>
      </c>
    </row>
    <row r="5996" spans="1:7" x14ac:dyDescent="0.3">
      <c r="A5996" s="1" t="s">
        <v>4</v>
      </c>
      <c r="B5996" s="2" t="str">
        <f t="shared" si="493"/>
        <v>SISTEMA DE GERENCIAMENTO DE ESTOQUE</v>
      </c>
      <c r="C5996" s="2" t="str">
        <f t="shared" si="494"/>
        <v>SUPRI</v>
      </c>
      <c r="D5996" s="2" t="str">
        <f t="shared" si="495"/>
        <v>MGES</v>
      </c>
      <c r="E5996" s="2" t="str">
        <f>"RELAT. DE BAIXA DE PRODUTOS DO ESTOQUE"</f>
        <v>RELAT. DE BAIXA DE PRODUTOS DO ESTOQUE</v>
      </c>
      <c r="F5996" s="2" t="str">
        <f>"R_BAIPRO"</f>
        <v>R_BAIPRO</v>
      </c>
      <c r="G5996" s="2" t="str">
        <f>" ()"</f>
        <v xml:space="preserve"> ()</v>
      </c>
    </row>
    <row r="5997" spans="1:7" x14ac:dyDescent="0.3">
      <c r="A5997" s="1" t="s">
        <v>4</v>
      </c>
      <c r="B5997" s="2" t="str">
        <f t="shared" si="493"/>
        <v>SISTEMA DE GERENCIAMENTO DE ESTOQUE</v>
      </c>
      <c r="C5997" s="2" t="str">
        <f t="shared" si="494"/>
        <v>SUPRI</v>
      </c>
      <c r="D5997" s="2" t="str">
        <f t="shared" si="495"/>
        <v>MGES</v>
      </c>
      <c r="E5997" s="2" t="str">
        <f>"RELATORIO DE DEVOLUCAO DE SETOR"</f>
        <v>RELATORIO DE DEVOLUCAO DE SETOR</v>
      </c>
      <c r="F5997" s="2" t="str">
        <f>"R_DEV_PROD_SET"</f>
        <v>R_DEV_PROD_SET</v>
      </c>
      <c r="G5997" s="2" t="s">
        <v>23</v>
      </c>
    </row>
    <row r="5998" spans="1:7" x14ac:dyDescent="0.3">
      <c r="A5998" s="1" t="s">
        <v>4</v>
      </c>
      <c r="B5998" s="2" t="str">
        <f t="shared" si="493"/>
        <v>SISTEMA DE GERENCIAMENTO DE ESTOQUE</v>
      </c>
      <c r="C5998" s="2" t="str">
        <f t="shared" si="494"/>
        <v>SUPRI</v>
      </c>
      <c r="D5998" s="2" t="str">
        <f t="shared" si="495"/>
        <v>MGES</v>
      </c>
      <c r="E5998" s="2" t="str">
        <f>"REL DE BALANCETE CONTÁBIL MENSAL"</f>
        <v>REL DE BALANCETE CONTÁBIL MENSAL</v>
      </c>
      <c r="F5998" s="2" t="str">
        <f>"R_BALANCO_CONTABIL"</f>
        <v>R_BALANCO_CONTABIL</v>
      </c>
      <c r="G5998" s="2" t="str">
        <f>"Materiais e Logística / Almoxarifado / Relatórios / Contábeis / Balanço Contábil (R_BALANCO_CONTABIL)"</f>
        <v>Materiais e Logística / Almoxarifado / Relatórios / Contábeis / Balanço Contábil (R_BALANCO_CONTABIL)</v>
      </c>
    </row>
    <row r="5999" spans="1:7" x14ac:dyDescent="0.3">
      <c r="A5999" s="1" t="s">
        <v>4</v>
      </c>
      <c r="B5999" s="2" t="str">
        <f t="shared" si="493"/>
        <v>SISTEMA DE GERENCIAMENTO DE ESTOQUE</v>
      </c>
      <c r="C5999" s="2" t="str">
        <f t="shared" si="494"/>
        <v>SUPRI</v>
      </c>
      <c r="D5999" s="2" t="str">
        <f t="shared" si="495"/>
        <v>MGES</v>
      </c>
      <c r="E5999" s="2" t="str">
        <f>"RELATÓRIO BALANÇO COMPLETO DE MEDICAMENT"</f>
        <v>RELATÓRIO BALANÇO COMPLETO DE MEDICAMENT</v>
      </c>
      <c r="F5999" s="2" t="str">
        <f>"R_BAL_COM_MED"</f>
        <v>R_BAL_COM_MED</v>
      </c>
      <c r="G5999" s="2" t="str">
        <f>" ()"</f>
        <v xml:space="preserve"> ()</v>
      </c>
    </row>
    <row r="6000" spans="1:7" x14ac:dyDescent="0.3">
      <c r="A6000" s="1" t="s">
        <v>4</v>
      </c>
      <c r="B6000" s="2" t="str">
        <f t="shared" si="493"/>
        <v>SISTEMA DE GERENCIAMENTO DE ESTOQUE</v>
      </c>
      <c r="C6000" s="2" t="str">
        <f t="shared" si="494"/>
        <v>SUPRI</v>
      </c>
      <c r="D6000" s="2" t="str">
        <f t="shared" si="495"/>
        <v>MGES</v>
      </c>
      <c r="E6000" s="2" t="str">
        <f>"LIVRO DE REGISTRO ESPECIFICO"</f>
        <v>LIVRO DE REGISTRO ESPECIFICO</v>
      </c>
      <c r="F6000" s="2" t="str">
        <f>"R_LIVRO_REG"</f>
        <v>R_LIVRO_REG</v>
      </c>
      <c r="G6000" s="2" t="str">
        <f>"Materiais e Logística / Almoxarifado / Relatórios / Portarias / Livro de Registro Específico (R_LIVRO_REG)"</f>
        <v>Materiais e Logística / Almoxarifado / Relatórios / Portarias / Livro de Registro Específico (R_LIVRO_REG)</v>
      </c>
    </row>
    <row r="6001" spans="1:7" x14ac:dyDescent="0.3">
      <c r="A6001" s="1" t="s">
        <v>4</v>
      </c>
      <c r="B6001" s="2" t="str">
        <f t="shared" si="493"/>
        <v>SISTEMA DE GERENCIAMENTO DE ESTOQUE</v>
      </c>
      <c r="C6001" s="2" t="str">
        <f t="shared" si="494"/>
        <v>SUPRI</v>
      </c>
      <c r="D6001" s="2" t="str">
        <f t="shared" si="495"/>
        <v>MGES</v>
      </c>
      <c r="E6001" s="2" t="str">
        <f>"RELATORIO DOS PRODUTOS FORA DO BRASINDIC"</f>
        <v>RELATORIO DOS PRODUTOS FORA DO BRASINDIC</v>
      </c>
      <c r="F6001" s="2" t="str">
        <f>"R_FORA_BRASIND"</f>
        <v>R_FORA_BRASIND</v>
      </c>
      <c r="G6001" s="2" t="str">
        <f>"Materiais e Logística / Almoxarifado / Relatórios / Operacionais / Produtos Fora do Brasíndice (R_FORA_BRASIND)"</f>
        <v>Materiais e Logística / Almoxarifado / Relatórios / Operacionais / Produtos Fora do Brasíndice (R_FORA_BRASIND)</v>
      </c>
    </row>
    <row r="6002" spans="1:7" x14ac:dyDescent="0.3">
      <c r="A6002" s="1" t="s">
        <v>4</v>
      </c>
      <c r="B6002" s="2" t="str">
        <f t="shared" si="493"/>
        <v>SISTEMA DE GERENCIAMENTO DE ESTOQUE</v>
      </c>
      <c r="C6002" s="2" t="str">
        <f t="shared" si="494"/>
        <v>SUPRI</v>
      </c>
      <c r="D6002" s="2" t="str">
        <f t="shared" si="495"/>
        <v>MGES</v>
      </c>
      <c r="E6002" s="2" t="str">
        <f>"RELATORIO DE BAIXA DE PRODUTOS"</f>
        <v>RELATORIO DE BAIXA DE PRODUTOS</v>
      </c>
      <c r="F6002" s="2" t="str">
        <f>"R_BAIXA_PROD"</f>
        <v>R_BAIXA_PROD</v>
      </c>
      <c r="G6002" s="2" t="s">
        <v>23</v>
      </c>
    </row>
    <row r="6003" spans="1:7" x14ac:dyDescent="0.3">
      <c r="A6003" s="1" t="s">
        <v>4</v>
      </c>
      <c r="B6003" s="2" t="str">
        <f t="shared" si="493"/>
        <v>SISTEMA DE GERENCIAMENTO DE ESTOQUE</v>
      </c>
      <c r="C6003" s="2" t="str">
        <f t="shared" si="494"/>
        <v>SUPRI</v>
      </c>
      <c r="D6003" s="2" t="str">
        <f t="shared" si="495"/>
        <v>MGES</v>
      </c>
      <c r="E6003" s="2" t="str">
        <f>"REL. BALANÇO COMPLETO DE MEDICAMENTOS"</f>
        <v>REL. BALANÇO COMPLETO DE MEDICAMENTOS</v>
      </c>
      <c r="F6003" s="2" t="str">
        <f>"R_BAL_COMP_MED"</f>
        <v>R_BAL_COMP_MED</v>
      </c>
      <c r="G6003" s="2" t="str">
        <f>"Materiais e Logística / Almoxarifado / Relatórios / Portarias / Balanço Completo de Medicamentos (R_BAL_COMP_MED)"</f>
        <v>Materiais e Logística / Almoxarifado / Relatórios / Portarias / Balanço Completo de Medicamentos (R_BAL_COMP_MED)</v>
      </c>
    </row>
    <row r="6004" spans="1:7" x14ac:dyDescent="0.3">
      <c r="A6004" s="1" t="s">
        <v>4</v>
      </c>
      <c r="B6004" s="2" t="str">
        <f t="shared" si="493"/>
        <v>SISTEMA DE GERENCIAMENTO DE ESTOQUE</v>
      </c>
      <c r="C6004" s="2" t="str">
        <f t="shared" si="494"/>
        <v>SUPRI</v>
      </c>
      <c r="D6004" s="2" t="str">
        <f t="shared" si="495"/>
        <v>MGES</v>
      </c>
      <c r="E6004" s="2" t="str">
        <f>"ENTRADA DE PRODUTOS POR DATA"</f>
        <v>ENTRADA DE PRODUTOS POR DATA</v>
      </c>
      <c r="F6004" s="2" t="str">
        <f>"R_EST_ENT_PRODUTO_DATA"</f>
        <v>R_EST_ENT_PRODUTO_DATA</v>
      </c>
      <c r="G6004" s="2" t="str">
        <f>" ()"</f>
        <v xml:space="preserve"> ()</v>
      </c>
    </row>
    <row r="6005" spans="1:7" x14ac:dyDescent="0.3">
      <c r="A6005" s="1" t="s">
        <v>4</v>
      </c>
      <c r="B6005" s="2" t="str">
        <f t="shared" si="493"/>
        <v>SISTEMA DE GERENCIAMENTO DE ESTOQUE</v>
      </c>
      <c r="C6005" s="2" t="str">
        <f t="shared" si="494"/>
        <v>SUPRI</v>
      </c>
      <c r="D6005" s="2" t="str">
        <f t="shared" si="495"/>
        <v>MGES</v>
      </c>
      <c r="E6005" s="2" t="str">
        <f>"RELATORIO DE DOCUMENTO DE E.S POR DATA"</f>
        <v>RELATORIO DE DOCUMENTO DE E.S POR DATA</v>
      </c>
      <c r="F6005" s="2" t="str">
        <f>"R_EST_DOC_ENT_DATA"</f>
        <v>R_EST_DOC_ENT_DATA</v>
      </c>
      <c r="G6005" s="2" t="str">
        <f>" ()"</f>
        <v xml:space="preserve"> ()</v>
      </c>
    </row>
    <row r="6006" spans="1:7" x14ac:dyDescent="0.3">
      <c r="A6006" s="1" t="s">
        <v>4</v>
      </c>
      <c r="B6006" s="2" t="str">
        <f t="shared" si="493"/>
        <v>SISTEMA DE GERENCIAMENTO DE ESTOQUE</v>
      </c>
      <c r="C6006" s="2" t="str">
        <f t="shared" si="494"/>
        <v>SUPRI</v>
      </c>
      <c r="D6006" s="2" t="str">
        <f t="shared" si="495"/>
        <v>MGES</v>
      </c>
      <c r="E6006" s="2" t="str">
        <f>"RELATORIOS DE DOCUMENTO DE ENTRADA SINTE"</f>
        <v>RELATORIOS DE DOCUMENTO DE ENTRADA SINTE</v>
      </c>
      <c r="F6006" s="2" t="str">
        <f>"R_EST_DOCUMENTO_ENTRADA_S"</f>
        <v>R_EST_DOCUMENTO_ENTRADA_S</v>
      </c>
      <c r="G6006" s="2" t="str">
        <f>" ()"</f>
        <v xml:space="preserve"> ()</v>
      </c>
    </row>
    <row r="6007" spans="1:7" x14ac:dyDescent="0.3">
      <c r="A6007" s="1" t="s">
        <v>4</v>
      </c>
      <c r="B6007" s="2" t="str">
        <f t="shared" si="493"/>
        <v>SISTEMA DE GERENCIAMENTO DE ESTOQUE</v>
      </c>
      <c r="C6007" s="2" t="str">
        <f t="shared" si="494"/>
        <v>SUPRI</v>
      </c>
      <c r="D6007" s="2" t="str">
        <f t="shared" si="495"/>
        <v>MGES</v>
      </c>
      <c r="E6007" s="2" t="str">
        <f>"RELATÓRIO DE CONTAGEM DE PRODUTOS"</f>
        <v>RELATÓRIO DE CONTAGEM DE PRODUTOS</v>
      </c>
      <c r="F6007" s="2" t="str">
        <f>"R_CONT_PRO"</f>
        <v>R_CONT_PRO</v>
      </c>
      <c r="G6007" s="2" t="str">
        <f>" ()"</f>
        <v xml:space="preserve"> ()</v>
      </c>
    </row>
    <row r="6008" spans="1:7" x14ac:dyDescent="0.3">
      <c r="A6008" s="1" t="s">
        <v>4</v>
      </c>
      <c r="B6008" s="2" t="str">
        <f t="shared" si="493"/>
        <v>SISTEMA DE GERENCIAMENTO DE ESTOQUE</v>
      </c>
      <c r="C6008" s="2" t="str">
        <f t="shared" si="494"/>
        <v>SUPRI</v>
      </c>
      <c r="D6008" s="2" t="str">
        <f t="shared" si="495"/>
        <v>MGES</v>
      </c>
      <c r="E6008" s="2" t="str">
        <f>"RELATORIO UNIDADE DOS PRODUTOS"</f>
        <v>RELATORIO UNIDADE DOS PRODUTOS</v>
      </c>
      <c r="F6008" s="2" t="str">
        <f>"R_UNIDADE"</f>
        <v>R_UNIDADE</v>
      </c>
      <c r="G6008" s="2" t="str">
        <f>"Materiais e Logística / Almoxarifado / Relatórios / Tabelas / Unidades (R_UNIDADE)"</f>
        <v>Materiais e Logística / Almoxarifado / Relatórios / Tabelas / Unidades (R_UNIDADE)</v>
      </c>
    </row>
    <row r="6009" spans="1:7" x14ac:dyDescent="0.3">
      <c r="A6009" s="1" t="s">
        <v>4</v>
      </c>
      <c r="B6009" s="2" t="str">
        <f t="shared" si="493"/>
        <v>SISTEMA DE GERENCIAMENTO DE ESTOQUE</v>
      </c>
      <c r="C6009" s="2" t="str">
        <f t="shared" si="494"/>
        <v>SUPRI</v>
      </c>
      <c r="D6009" s="2" t="str">
        <f t="shared" si="495"/>
        <v>MGES</v>
      </c>
      <c r="E6009" s="2" t="str">
        <f>"TELA DE CHAMADA DO MENU DO MGES"</f>
        <v>TELA DE CHAMADA DO MENU DO MGES</v>
      </c>
      <c r="F6009" s="2" t="str">
        <f>"MGES"</f>
        <v>MGES</v>
      </c>
      <c r="G6009" s="2" t="str">
        <f>" ()"</f>
        <v xml:space="preserve"> ()</v>
      </c>
    </row>
    <row r="6010" spans="1:7" x14ac:dyDescent="0.3">
      <c r="A6010" s="1" t="s">
        <v>4</v>
      </c>
      <c r="B6010" s="2" t="str">
        <f t="shared" si="493"/>
        <v>SISTEMA DE GERENCIAMENTO DE ESTOQUE</v>
      </c>
      <c r="C6010" s="2" t="str">
        <f t="shared" si="494"/>
        <v>SUPRI</v>
      </c>
      <c r="D6010" s="2" t="str">
        <f t="shared" si="495"/>
        <v>MGES</v>
      </c>
      <c r="E6010" s="2" t="str">
        <f>"CURVA ABC DE ESTOQUE"</f>
        <v>CURVA ABC DE ESTOQUE</v>
      </c>
      <c r="F6010" s="2" t="str">
        <f>"R_C_ABC_ESTOQUE"</f>
        <v>R_C_ABC_ESTOQUE</v>
      </c>
      <c r="G6010" s="2" t="str">
        <f>"Materiais e Logística / Almoxarifado / Relatórios / Administrativos / Curva ABC de Estoque (R_C_ABC_ESTOQUE)"</f>
        <v>Materiais e Logística / Almoxarifado / Relatórios / Administrativos / Curva ABC de Estoque (R_C_ABC_ESTOQUE)</v>
      </c>
    </row>
    <row r="6011" spans="1:7" x14ac:dyDescent="0.3">
      <c r="A6011" s="1" t="s">
        <v>4</v>
      </c>
      <c r="B6011" s="2" t="str">
        <f t="shared" si="493"/>
        <v>SISTEMA DE GERENCIAMENTO DE ESTOQUE</v>
      </c>
      <c r="C6011" s="2" t="str">
        <f t="shared" si="494"/>
        <v>SUPRI</v>
      </c>
      <c r="D6011" s="2" t="str">
        <f t="shared" si="495"/>
        <v>MGES</v>
      </c>
      <c r="E6011" s="2" t="str">
        <f>"RELAT. BALANÇO DO ESTOQUE (CARACTER)"</f>
        <v>RELAT. BALANÇO DO ESTOQUE (CARACTER)</v>
      </c>
      <c r="F6011" s="2" t="str">
        <f>"R_BAL_EST1"</f>
        <v>R_BAL_EST1</v>
      </c>
      <c r="G6011" s="2" t="str">
        <f>" ()"</f>
        <v xml:space="preserve"> ()</v>
      </c>
    </row>
    <row r="6012" spans="1:7" x14ac:dyDescent="0.3">
      <c r="A6012" s="1" t="s">
        <v>4</v>
      </c>
      <c r="B6012" s="2" t="str">
        <f t="shared" si="493"/>
        <v>SISTEMA DE GERENCIAMENTO DE ESTOQUE</v>
      </c>
      <c r="C6012" s="2" t="str">
        <f t="shared" si="494"/>
        <v>SUPRI</v>
      </c>
      <c r="D6012" s="2" t="str">
        <f t="shared" si="495"/>
        <v>MGES</v>
      </c>
      <c r="E6012" s="2" t="str">
        <f>"LISTAGEM DE PRODUTOS (VITORIA)"</f>
        <v>LISTAGEM DE PRODUTOS (VITORIA)</v>
      </c>
      <c r="F6012" s="2" t="str">
        <f>"R_LIST_PROD_VITORIA"</f>
        <v>R_LIST_PROD_VITORIA</v>
      </c>
      <c r="G6012" s="2" t="str">
        <f>" ()"</f>
        <v xml:space="preserve"> ()</v>
      </c>
    </row>
    <row r="6013" spans="1:7" x14ac:dyDescent="0.3">
      <c r="A6013" s="1" t="s">
        <v>4</v>
      </c>
      <c r="B6013" s="2" t="str">
        <f t="shared" si="493"/>
        <v>SISTEMA DE GERENCIAMENTO DE ESTOQUE</v>
      </c>
      <c r="C6013" s="2" t="str">
        <f t="shared" si="494"/>
        <v>SUPRI</v>
      </c>
      <c r="D6013" s="2" t="str">
        <f t="shared" si="495"/>
        <v>MGES</v>
      </c>
      <c r="E6013" s="2" t="str">
        <f>"RELATORIO DE DEVOLUCAO DE SETOR(CARAC)"</f>
        <v>RELATORIO DE DEVOLUCAO DE SETOR(CARAC)</v>
      </c>
      <c r="F6013" s="2" t="str">
        <f>"R_DEV_PROD_SET1"</f>
        <v>R_DEV_PROD_SET1</v>
      </c>
      <c r="G6013" s="2" t="str">
        <f>" ()"</f>
        <v xml:space="preserve"> ()</v>
      </c>
    </row>
    <row r="6014" spans="1:7" x14ac:dyDescent="0.3">
      <c r="A6014" s="1" t="s">
        <v>4</v>
      </c>
      <c r="B6014" s="2" t="str">
        <f t="shared" si="493"/>
        <v>SISTEMA DE GERENCIAMENTO DE ESTOQUE</v>
      </c>
      <c r="C6014" s="2" t="str">
        <f t="shared" si="494"/>
        <v>SUPRI</v>
      </c>
      <c r="D6014" s="2" t="str">
        <f t="shared" si="495"/>
        <v>MGES</v>
      </c>
      <c r="E6014" s="2" t="s">
        <v>29</v>
      </c>
      <c r="F6014" s="2" t="s">
        <v>30</v>
      </c>
      <c r="G6014" s="2" t="str">
        <f>"R_SAI_SETOR_ESP_SINT"</f>
        <v>R_SAI_SETOR_ESP_SINT</v>
      </c>
    </row>
    <row r="6015" spans="1:7" x14ac:dyDescent="0.3">
      <c r="A6015" s="1" t="s">
        <v>4</v>
      </c>
      <c r="B6015" s="2" t="str">
        <f t="shared" si="493"/>
        <v>SISTEMA DE GERENCIAMENTO DE ESTOQUE</v>
      </c>
      <c r="C6015" s="2" t="str">
        <f t="shared" si="494"/>
        <v>SUPRI</v>
      </c>
      <c r="D6015" s="2" t="str">
        <f t="shared" si="495"/>
        <v>MGES</v>
      </c>
      <c r="E6015" s="2" t="str">
        <f>"REL DE CUSTOS DE SAIDAS POR SETOR (SINT)"</f>
        <v>REL DE CUSTOS DE SAIDAS POR SETOR (SINT)</v>
      </c>
      <c r="F6015" s="2" t="str">
        <f>"R_CUSTO_SAIDA_SETOR_SINT"</f>
        <v>R_CUSTO_SAIDA_SETOR_SINT</v>
      </c>
      <c r="G6015" s="2" t="str">
        <f>" ()"</f>
        <v xml:space="preserve"> ()</v>
      </c>
    </row>
    <row r="6016" spans="1:7" x14ac:dyDescent="0.3">
      <c r="A6016" s="1" t="s">
        <v>4</v>
      </c>
      <c r="B6016" s="2" t="str">
        <f t="shared" si="493"/>
        <v>SISTEMA DE GERENCIAMENTO DE ESTOQUE</v>
      </c>
      <c r="C6016" s="2" t="str">
        <f t="shared" si="494"/>
        <v>SUPRI</v>
      </c>
      <c r="D6016" s="2" t="str">
        <f t="shared" si="495"/>
        <v>MGES</v>
      </c>
      <c r="E6016" s="2" t="str">
        <f>"CURVA ABC DE ESTOQUE"</f>
        <v>CURVA ABC DE ESTOQUE</v>
      </c>
      <c r="F6016" s="2" t="str">
        <f>"R_C_ABC_ESTOQUE_CHAR"</f>
        <v>R_C_ABC_ESTOQUE_CHAR</v>
      </c>
      <c r="G6016" s="2" t="str">
        <f>" ()"</f>
        <v xml:space="preserve"> ()</v>
      </c>
    </row>
    <row r="6017" spans="1:7" x14ac:dyDescent="0.3">
      <c r="A6017" s="1" t="s">
        <v>4</v>
      </c>
      <c r="B6017" s="2" t="str">
        <f t="shared" si="493"/>
        <v>SISTEMA DE GERENCIAMENTO DE ESTOQUE</v>
      </c>
      <c r="C6017" s="2" t="str">
        <f t="shared" si="494"/>
        <v>SUPRI</v>
      </c>
      <c r="D6017" s="2" t="str">
        <f t="shared" si="495"/>
        <v>MGES</v>
      </c>
      <c r="E6017" s="2" t="str">
        <f>"RELAT. CURVA ABC CONSUMO (CARACTER)"</f>
        <v>RELAT. CURVA ABC CONSUMO (CARACTER)</v>
      </c>
      <c r="F6017" s="2" t="str">
        <f>"R_C_ABC_CONSUMO_CHAR"</f>
        <v>R_C_ABC_CONSUMO_CHAR</v>
      </c>
      <c r="G6017" s="2" t="str">
        <f>" ()"</f>
        <v xml:space="preserve"> ()</v>
      </c>
    </row>
    <row r="6018" spans="1:7" x14ac:dyDescent="0.3">
      <c r="A6018" s="1" t="s">
        <v>4</v>
      </c>
      <c r="B6018" s="2" t="str">
        <f t="shared" si="493"/>
        <v>SISTEMA DE GERENCIAMENTO DE ESTOQUE</v>
      </c>
      <c r="C6018" s="2" t="str">
        <f t="shared" si="494"/>
        <v>SUPRI</v>
      </c>
      <c r="D6018" s="2" t="str">
        <f t="shared" si="495"/>
        <v>MGES</v>
      </c>
      <c r="E6018" s="2" t="str">
        <f>"RELATORIO DO CUSTO MEDIO MENSAL"</f>
        <v>RELATORIO DO CUSTO MEDIO MENSAL</v>
      </c>
      <c r="F6018" s="2" t="str">
        <f>"R_CUSTO_MEDIO_MENSAL"</f>
        <v>R_CUSTO_MEDIO_MENSAL</v>
      </c>
      <c r="G6018" s="2" t="str">
        <f>" ()"</f>
        <v xml:space="preserve"> ()</v>
      </c>
    </row>
    <row r="6019" spans="1:7" x14ac:dyDescent="0.3">
      <c r="A6019" s="1" t="s">
        <v>4</v>
      </c>
      <c r="B6019" s="2" t="str">
        <f t="shared" si="493"/>
        <v>SISTEMA DE GERENCIAMENTO DE ESTOQUE</v>
      </c>
      <c r="C6019" s="2" t="str">
        <f t="shared" si="494"/>
        <v>SUPRI</v>
      </c>
      <c r="D6019" s="2" t="str">
        <f t="shared" si="495"/>
        <v>MGES</v>
      </c>
      <c r="E6019" s="2" t="str">
        <f>"CADASTRO DAS PORTARIAS E SEUS PRODUTOS"</f>
        <v>CADASTRO DAS PORTARIAS E SEUS PRODUTOS</v>
      </c>
      <c r="F6019" s="2" t="str">
        <f>"M_PORTARIA"</f>
        <v>M_PORTARIA</v>
      </c>
      <c r="G6019" s="2" t="str">
        <f>"Materiais e Logística / Almoxarifado / Tabelas / Padronização e Portaria / Cadastro de Portaria e seus Produtos (M_PORTARIA)"</f>
        <v>Materiais e Logística / Almoxarifado / Tabelas / Padronização e Portaria / Cadastro de Portaria e seus Produtos (M_PORTARIA)</v>
      </c>
    </row>
    <row r="6020" spans="1:7" x14ac:dyDescent="0.3">
      <c r="A6020" s="1" t="s">
        <v>4</v>
      </c>
      <c r="B6020" s="2" t="str">
        <f t="shared" si="493"/>
        <v>SISTEMA DE GERENCIAMENTO DE ESTOQUE</v>
      </c>
      <c r="C6020" s="2" t="str">
        <f t="shared" si="494"/>
        <v>SUPRI</v>
      </c>
      <c r="D6020" s="2" t="str">
        <f t="shared" si="495"/>
        <v>MGES</v>
      </c>
      <c r="E6020" s="2" t="str">
        <f>"ETIQUETA DE PACIENTE"</f>
        <v>ETIQUETA DE PACIENTE</v>
      </c>
      <c r="F6020" s="2" t="str">
        <f>"R_ETQ_ATENDIME_PAC"</f>
        <v>R_ETQ_ATENDIME_PAC</v>
      </c>
      <c r="G6020" s="2" t="str">
        <f>" ()"</f>
        <v xml:space="preserve"> ()</v>
      </c>
    </row>
    <row r="6021" spans="1:7" x14ac:dyDescent="0.3">
      <c r="A6021" s="1" t="s">
        <v>4</v>
      </c>
      <c r="B6021" s="2" t="str">
        <f t="shared" si="493"/>
        <v>SISTEMA DE GERENCIAMENTO DE ESTOQUE</v>
      </c>
      <c r="C6021" s="2" t="str">
        <f t="shared" si="494"/>
        <v>SUPRI</v>
      </c>
      <c r="D6021" s="2" t="str">
        <f t="shared" si="495"/>
        <v>MGES</v>
      </c>
      <c r="E6021" s="2" t="str">
        <f>"ORDEM DE COMPRAS MODO CHARACTER"</f>
        <v>ORDEM DE COMPRAS MODO CHARACTER</v>
      </c>
      <c r="F6021" s="2" t="str">
        <f>"R_ORDCOM_CHAR"</f>
        <v>R_ORDCOM_CHAR</v>
      </c>
      <c r="G6021" s="2" t="str">
        <f>" ()"</f>
        <v xml:space="preserve"> ()</v>
      </c>
    </row>
    <row r="6022" spans="1:7" x14ac:dyDescent="0.3">
      <c r="A6022" s="1" t="s">
        <v>4</v>
      </c>
      <c r="B6022" s="2" t="str">
        <f t="shared" si="493"/>
        <v>SISTEMA DE GERENCIAMENTO DE ESTOQUE</v>
      </c>
      <c r="C6022" s="2" t="str">
        <f t="shared" si="494"/>
        <v>SUPRI</v>
      </c>
      <c r="D6022" s="2" t="str">
        <f t="shared" si="495"/>
        <v>MGES</v>
      </c>
      <c r="E6022" s="2" t="str">
        <f>"RELATÓRIO GERENCIAL DE ESTOQUE"</f>
        <v>RELATÓRIO GERENCIAL DE ESTOQUE</v>
      </c>
      <c r="F6022" s="2" t="str">
        <f>"R_GER_ESTOQUE"</f>
        <v>R_GER_ESTOQUE</v>
      </c>
      <c r="G6022" s="2" t="str">
        <f>" ()"</f>
        <v xml:space="preserve"> ()</v>
      </c>
    </row>
    <row r="6023" spans="1:7" x14ac:dyDescent="0.3">
      <c r="A6023" s="1" t="s">
        <v>4</v>
      </c>
      <c r="B6023" s="2" t="str">
        <f t="shared" si="493"/>
        <v>SISTEMA DE GERENCIAMENTO DE ESTOQUE</v>
      </c>
      <c r="C6023" s="2" t="str">
        <f t="shared" si="494"/>
        <v>SUPRI</v>
      </c>
      <c r="D6023" s="2" t="str">
        <f t="shared" si="495"/>
        <v>MGES</v>
      </c>
      <c r="E6023" s="2" t="str">
        <f>"RESUMO DAS ENTRADAS DE PRODUTOS"</f>
        <v>RESUMO DAS ENTRADAS DE PRODUTOS</v>
      </c>
      <c r="F6023" s="2" t="str">
        <f>"R_RESUMO_ENTRADA"</f>
        <v>R_RESUMO_ENTRADA</v>
      </c>
      <c r="G6023" s="2" t="str">
        <f>"Materiais e Logística / Compras / Relatórios / Operacionais / Resumo das Entradas de Produtos (R_RESUMO_ENTRADA)"</f>
        <v>Materiais e Logística / Compras / Relatórios / Operacionais / Resumo das Entradas de Produtos (R_RESUMO_ENTRADA)</v>
      </c>
    </row>
    <row r="6024" spans="1:7" x14ac:dyDescent="0.3">
      <c r="A6024" s="1" t="s">
        <v>4</v>
      </c>
      <c r="B6024" s="2" t="str">
        <f t="shared" si="493"/>
        <v>SISTEMA DE GERENCIAMENTO DE ESTOQUE</v>
      </c>
      <c r="C6024" s="2" t="str">
        <f t="shared" si="494"/>
        <v>SUPRI</v>
      </c>
      <c r="D6024" s="2" t="str">
        <f t="shared" si="495"/>
        <v>MGES</v>
      </c>
      <c r="E6024" s="2" t="str">
        <f>"RESUMO DAS ENTRADAS DE PRODUTOS"</f>
        <v>RESUMO DAS ENTRADAS DE PRODUTOS</v>
      </c>
      <c r="F6024" s="2" t="str">
        <f>"R_RESUMO_ENTRADA"</f>
        <v>R_RESUMO_ENTRADA</v>
      </c>
      <c r="G6024" s="2" t="str">
        <f>"Materiais e Logística / Almoxarifado / Relatórios / Operacionais / Documento de Entradas e Entradas de Produtos / Resumo das Entradas de Produtos (R_RESUMO_ENTRADA)"</f>
        <v>Materiais e Logística / Almoxarifado / Relatórios / Operacionais / Documento de Entradas e Entradas de Produtos / Resumo das Entradas de Produtos (R_RESUMO_ENTRADA)</v>
      </c>
    </row>
    <row r="6025" spans="1:7" x14ac:dyDescent="0.3">
      <c r="A6025" s="1" t="s">
        <v>4</v>
      </c>
      <c r="B6025" s="2" t="str">
        <f t="shared" si="493"/>
        <v>SISTEMA DE GERENCIAMENTO DE ESTOQUE</v>
      </c>
      <c r="C6025" s="2" t="str">
        <f t="shared" si="494"/>
        <v>SUPRI</v>
      </c>
      <c r="D6025" s="2" t="str">
        <f t="shared" si="495"/>
        <v>MGES</v>
      </c>
      <c r="E6025" s="2" t="str">
        <f>"CURVA ABC DE ESTOQUE BASEADA NO COMPRAS"</f>
        <v>CURVA ABC DE ESTOQUE BASEADA NO COMPRAS</v>
      </c>
      <c r="F6025" s="2" t="str">
        <f>"R_ABC_ESTOQUE_ORD"</f>
        <v>R_ABC_ESTOQUE_ORD</v>
      </c>
      <c r="G6025" s="2" t="str">
        <f>" ()"</f>
        <v xml:space="preserve"> ()</v>
      </c>
    </row>
    <row r="6026" spans="1:7" x14ac:dyDescent="0.3">
      <c r="A6026" s="1" t="s">
        <v>4</v>
      </c>
      <c r="B6026" s="2" t="str">
        <f t="shared" si="493"/>
        <v>SISTEMA DE GERENCIAMENTO DE ESTOQUE</v>
      </c>
      <c r="C6026" s="2" t="str">
        <f t="shared" si="494"/>
        <v>SUPRI</v>
      </c>
      <c r="D6026" s="2" t="str">
        <f t="shared" si="495"/>
        <v>MGES</v>
      </c>
      <c r="E6026" s="2" t="str">
        <f>"CONSULTA DE CONTAGENS"</f>
        <v>CONSULTA DE CONTAGENS</v>
      </c>
      <c r="F6026" s="2" t="str">
        <f>"C_CONS_CONTAG"</f>
        <v>C_CONS_CONTAG</v>
      </c>
      <c r="G6026" s="2" t="str">
        <f>"Materiais e Logística / Almoxarifado / Consultas / Contagens (C_CONS_CONTAG)"</f>
        <v>Materiais e Logística / Almoxarifado / Consultas / Contagens (C_CONS_CONTAG)</v>
      </c>
    </row>
    <row r="6027" spans="1:7" x14ac:dyDescent="0.3">
      <c r="A6027" s="1" t="s">
        <v>4</v>
      </c>
      <c r="B6027" s="2" t="str">
        <f t="shared" si="493"/>
        <v>SISTEMA DE GERENCIAMENTO DE ESTOQUE</v>
      </c>
      <c r="C6027" s="2" t="str">
        <f t="shared" si="494"/>
        <v>SUPRI</v>
      </c>
      <c r="D6027" s="2" t="str">
        <f t="shared" si="495"/>
        <v>MGES</v>
      </c>
      <c r="E6027" s="2" t="str">
        <f>"CADASTRO DE KIT PADRÃO"</f>
        <v>CADASTRO DE KIT PADRÃO</v>
      </c>
      <c r="F6027" s="2" t="str">
        <f>"M_KIT"</f>
        <v>M_KIT</v>
      </c>
      <c r="G6027" s="2" t="str">
        <f>"MVSaude / Contas Médicas / Tabelas / Kit Padrão (M_KIT)"</f>
        <v>MVSaude / Contas Médicas / Tabelas / Kit Padrão (M_KIT)</v>
      </c>
    </row>
    <row r="6028" spans="1:7" x14ac:dyDescent="0.3">
      <c r="A6028" s="1" t="s">
        <v>4</v>
      </c>
      <c r="B6028" s="2" t="str">
        <f t="shared" si="493"/>
        <v>SISTEMA DE GERENCIAMENTO DE ESTOQUE</v>
      </c>
      <c r="C6028" s="2" t="str">
        <f t="shared" si="494"/>
        <v>SUPRI</v>
      </c>
      <c r="D6028" s="2" t="str">
        <f t="shared" si="495"/>
        <v>MGES</v>
      </c>
      <c r="E6028" s="2" t="s">
        <v>29</v>
      </c>
      <c r="F6028" s="2" t="s">
        <v>31</v>
      </c>
      <c r="G6028" s="2" t="str">
        <f>"R_SAI_SETOR_ESP"</f>
        <v>R_SAI_SETOR_ESP</v>
      </c>
    </row>
    <row r="6029" spans="1:7" x14ac:dyDescent="0.3">
      <c r="A6029" s="1" t="s">
        <v>4</v>
      </c>
      <c r="B6029" s="2" t="str">
        <f t="shared" si="493"/>
        <v>SISTEMA DE GERENCIAMENTO DE ESTOQUE</v>
      </c>
      <c r="C6029" s="2" t="str">
        <f t="shared" si="494"/>
        <v>SUPRI</v>
      </c>
      <c r="D6029" s="2" t="str">
        <f t="shared" si="495"/>
        <v>MGES</v>
      </c>
      <c r="E6029" s="2" t="s">
        <v>29</v>
      </c>
      <c r="F6029" s="2" t="s">
        <v>31</v>
      </c>
      <c r="G6029" s="2" t="str">
        <f>"R_SAI_SETOR_ESP"</f>
        <v>R_SAI_SETOR_ESP</v>
      </c>
    </row>
    <row r="6030" spans="1:7" x14ac:dyDescent="0.3">
      <c r="A6030" s="1" t="s">
        <v>4</v>
      </c>
      <c r="B6030" s="2" t="str">
        <f t="shared" si="493"/>
        <v>SISTEMA DE GERENCIAMENTO DE ESTOQUE</v>
      </c>
      <c r="C6030" s="2" t="str">
        <f t="shared" si="494"/>
        <v>SUPRI</v>
      </c>
      <c r="D6030" s="2" t="str">
        <f t="shared" si="495"/>
        <v>MGES</v>
      </c>
      <c r="E6030" s="2" t="str">
        <f>"LISTAGEM DE CODIGO DE MEDICAMENTOS"</f>
        <v>LISTAGEM DE CODIGO DE MEDICAMENTOS</v>
      </c>
      <c r="F6030" s="2" t="str">
        <f>"M_LIS_COD_MED"</f>
        <v>M_LIS_COD_MED</v>
      </c>
      <c r="G6030" s="2" t="str">
        <f>"Materiais e Logística / Almoxarifado / Tabelas / Padronização e Portaria / Listagem de Código de Medicamentos (M_LIS_COD_MED)"</f>
        <v>Materiais e Logística / Almoxarifado / Tabelas / Padronização e Portaria / Listagem de Código de Medicamentos (M_LIS_COD_MED)</v>
      </c>
    </row>
    <row r="6031" spans="1:7" x14ac:dyDescent="0.3">
      <c r="A6031" s="1" t="s">
        <v>4</v>
      </c>
      <c r="B6031" s="2" t="str">
        <f t="shared" si="493"/>
        <v>SISTEMA DE GERENCIAMENTO DE ESTOQUE</v>
      </c>
      <c r="C6031" s="2" t="str">
        <f t="shared" si="494"/>
        <v>SUPRI</v>
      </c>
      <c r="D6031" s="2" t="str">
        <f t="shared" si="495"/>
        <v>MGES</v>
      </c>
      <c r="E6031" s="2" t="str">
        <f>"CADASTRO AVISOS SUBSTANCIAS/PACIENTE"</f>
        <v>CADASTRO AVISOS SUBSTANCIAS/PACIENTE</v>
      </c>
      <c r="F6031" s="2" t="str">
        <f>"M_SUBSPAC"</f>
        <v>M_SUBSPAC</v>
      </c>
      <c r="G6031" s="2" t="str">
        <f>"MVSaude / Atendimento / Autorizações de Guias / Internação / Atendimento / Avisos sobre o Paciente (M_SUBSPAC)"</f>
        <v>MVSaude / Atendimento / Autorizações de Guias / Internação / Atendimento / Avisos sobre o Paciente (M_SUBSPAC)</v>
      </c>
    </row>
    <row r="6032" spans="1:7" x14ac:dyDescent="0.3">
      <c r="A6032" s="1" t="s">
        <v>4</v>
      </c>
      <c r="B6032" s="2" t="str">
        <f t="shared" si="493"/>
        <v>SISTEMA DE GERENCIAMENTO DE ESTOQUE</v>
      </c>
      <c r="C6032" s="2" t="str">
        <f t="shared" si="494"/>
        <v>SUPRI</v>
      </c>
      <c r="D6032" s="2" t="str">
        <f t="shared" si="495"/>
        <v>MGES</v>
      </c>
      <c r="E6032" s="2" t="str">
        <f>"CADASTRO AVISOS SUBSTANCIAS/PACIENTE"</f>
        <v>CADASTRO AVISOS SUBSTANCIAS/PACIENTE</v>
      </c>
      <c r="F6032" s="2" t="str">
        <f>"M_SUBSPAC"</f>
        <v>M_SUBSPAC</v>
      </c>
      <c r="G6032" s="2" t="str">
        <f>"MVSaude / Vendas / Internação / Atendimento / Avisos sobre o Paciente (M_SUBSPAC)"</f>
        <v>MVSaude / Vendas / Internação / Atendimento / Avisos sobre o Paciente (M_SUBSPAC)</v>
      </c>
    </row>
    <row r="6033" spans="1:7" x14ac:dyDescent="0.3">
      <c r="A6033" s="1" t="s">
        <v>4</v>
      </c>
      <c r="B6033" s="2" t="str">
        <f t="shared" si="493"/>
        <v>SISTEMA DE GERENCIAMENTO DE ESTOQUE</v>
      </c>
      <c r="C6033" s="2" t="str">
        <f t="shared" si="494"/>
        <v>SUPRI</v>
      </c>
      <c r="D6033" s="2" t="str">
        <f t="shared" si="495"/>
        <v>MGES</v>
      </c>
      <c r="E6033" s="2" t="str">
        <f>"CADASTRO AVISOS SUBSTANCIAS/PACIENTE"</f>
        <v>CADASTRO AVISOS SUBSTANCIAS/PACIENTE</v>
      </c>
      <c r="F6033" s="2" t="str">
        <f>"M_SUBSPAC"</f>
        <v>M_SUBSPAC</v>
      </c>
      <c r="G6033" s="2" t="str">
        <f>"Atendimento / Internação Domiciliar (Home Care) / Recepção / Avisos Sobre o Paciente (M_SUBSPAC)"</f>
        <v>Atendimento / Internação Domiciliar (Home Care) / Recepção / Avisos Sobre o Paciente (M_SUBSPAC)</v>
      </c>
    </row>
    <row r="6034" spans="1:7" x14ac:dyDescent="0.3">
      <c r="A6034" s="1" t="s">
        <v>4</v>
      </c>
      <c r="B6034" s="2" t="str">
        <f t="shared" si="493"/>
        <v>SISTEMA DE GERENCIAMENTO DE ESTOQUE</v>
      </c>
      <c r="C6034" s="2" t="str">
        <f t="shared" si="494"/>
        <v>SUPRI</v>
      </c>
      <c r="D6034" s="2" t="str">
        <f t="shared" si="495"/>
        <v>MGES</v>
      </c>
      <c r="E6034" s="2" t="str">
        <f>"CADASTRO AVISOS SUBSTANCIAS/PACIENTE"</f>
        <v>CADASTRO AVISOS SUBSTANCIAS/PACIENTE</v>
      </c>
      <c r="F6034" s="2" t="str">
        <f>"M_SUBSPAC"</f>
        <v>M_SUBSPAC</v>
      </c>
      <c r="G6034" s="2" t="str">
        <f>"Atendimento / Internação / Atendimento / Avisos sobre o paciente (M_SUBSPAC)"</f>
        <v>Atendimento / Internação / Atendimento / Avisos sobre o paciente (M_SUBSPAC)</v>
      </c>
    </row>
    <row r="6035" spans="1:7" x14ac:dyDescent="0.3">
      <c r="A6035" s="1" t="s">
        <v>4</v>
      </c>
      <c r="B6035" s="2" t="str">
        <f t="shared" si="493"/>
        <v>SISTEMA DE GERENCIAMENTO DE ESTOQUE</v>
      </c>
      <c r="C6035" s="2" t="str">
        <f t="shared" si="494"/>
        <v>SUPRI</v>
      </c>
      <c r="D6035" s="2" t="str">
        <f t="shared" si="495"/>
        <v>MGES</v>
      </c>
      <c r="E6035" s="2" t="str">
        <f>"CONSULTA DOS DADOS CONSOLIDADOS"</f>
        <v>CONSULTA DOS DADOS CONSOLIDADOS</v>
      </c>
      <c r="F6035" s="2" t="str">
        <f>"C_CONSOLIDACAO"</f>
        <v>C_CONSOLIDACAO</v>
      </c>
      <c r="G6035" s="2" t="str">
        <f>"Materiais e Logística / Almoxarifado / Consultas / Estoques dos Produtos / Dados Consolidados (C_CONSOLIDACAO)"</f>
        <v>Materiais e Logística / Almoxarifado / Consultas / Estoques dos Produtos / Dados Consolidados (C_CONSOLIDACAO)</v>
      </c>
    </row>
    <row r="6036" spans="1:7" x14ac:dyDescent="0.3">
      <c r="A6036" s="1" t="s">
        <v>4</v>
      </c>
      <c r="B6036" s="2" t="str">
        <f t="shared" si="493"/>
        <v>SISTEMA DE GERENCIAMENTO DE ESTOQUE</v>
      </c>
      <c r="C6036" s="2" t="str">
        <f t="shared" si="494"/>
        <v>SUPRI</v>
      </c>
      <c r="D6036" s="2" t="str">
        <f t="shared" si="495"/>
        <v>MGES</v>
      </c>
      <c r="E6036" s="2" t="str">
        <f>"CONSULTA DOS DADOS CONSOLIDADOS"</f>
        <v>CONSULTA DOS DADOS CONSOLIDADOS</v>
      </c>
      <c r="F6036" s="2" t="str">
        <f>"C_CONSOLIDACAO"</f>
        <v>C_CONSOLIDACAO</v>
      </c>
      <c r="G6036" s="2" t="str">
        <f>"Materiais e Logística / Farmácia / Consulta / Dados Consolidados (C_CONSOLIDACAO)"</f>
        <v>Materiais e Logística / Farmácia / Consulta / Dados Consolidados (C_CONSOLIDACAO)</v>
      </c>
    </row>
    <row r="6037" spans="1:7" x14ac:dyDescent="0.3">
      <c r="A6037" s="1" t="s">
        <v>4</v>
      </c>
      <c r="B6037" s="2" t="str">
        <f t="shared" si="493"/>
        <v>SISTEMA DE GERENCIAMENTO DE ESTOQUE</v>
      </c>
      <c r="C6037" s="2" t="str">
        <f t="shared" si="494"/>
        <v>SUPRI</v>
      </c>
      <c r="D6037" s="2" t="str">
        <f t="shared" si="495"/>
        <v>MGES</v>
      </c>
      <c r="E6037" s="2" t="str">
        <f>"CONSULTA DOS DADOS CONSOLIDADOS"</f>
        <v>CONSULTA DOS DADOS CONSOLIDADOS</v>
      </c>
      <c r="F6037" s="2" t="str">
        <f>"C_CONSOLIDACAO"</f>
        <v>C_CONSOLIDACAO</v>
      </c>
      <c r="G6037" s="2" t="str">
        <f>"Atendimento / Internação Domiciliar (Home Care) / Consultas / Dados Consolidados (C_CONSOLIDACAO)"</f>
        <v>Atendimento / Internação Domiciliar (Home Care) / Consultas / Dados Consolidados (C_CONSOLIDACAO)</v>
      </c>
    </row>
    <row r="6038" spans="1:7" x14ac:dyDescent="0.3">
      <c r="A6038" s="1" t="s">
        <v>4</v>
      </c>
      <c r="B6038" s="2" t="str">
        <f t="shared" si="493"/>
        <v>SISTEMA DE GERENCIAMENTO DE ESTOQUE</v>
      </c>
      <c r="C6038" s="2" t="str">
        <f t="shared" si="494"/>
        <v>SUPRI</v>
      </c>
      <c r="D6038" s="2" t="str">
        <f t="shared" si="495"/>
        <v>MGES</v>
      </c>
      <c r="E6038" s="2" t="str">
        <f>"CALCULA CURVA ABC"</f>
        <v>CALCULA CURVA ABC</v>
      </c>
      <c r="F6038" s="2" t="str">
        <f>"O_CALABC"</f>
        <v>O_CALABC</v>
      </c>
      <c r="G6038" s="2" t="str">
        <f>" ()"</f>
        <v xml:space="preserve"> ()</v>
      </c>
    </row>
    <row r="6039" spans="1:7" x14ac:dyDescent="0.3">
      <c r="A6039" s="1" t="s">
        <v>4</v>
      </c>
      <c r="B6039" s="2" t="str">
        <f t="shared" si="493"/>
        <v>SISTEMA DE GERENCIAMENTO DE ESTOQUE</v>
      </c>
      <c r="C6039" s="2" t="str">
        <f t="shared" si="494"/>
        <v>SUPRI</v>
      </c>
      <c r="D6039" s="2" t="str">
        <f t="shared" si="495"/>
        <v>MGES</v>
      </c>
      <c r="E6039" s="2" t="str">
        <f>"PARAMETROS DO RELATORIO DE DOCUMENTOS"</f>
        <v>PARAMETROS DO RELATORIO DE DOCUMENTOS</v>
      </c>
      <c r="F6039" s="2" t="str">
        <f>"R_ENTDOC"</f>
        <v>R_ENTDOC</v>
      </c>
      <c r="G6039" s="2" t="str">
        <f>" ()"</f>
        <v xml:space="preserve"> ()</v>
      </c>
    </row>
    <row r="6040" spans="1:7" x14ac:dyDescent="0.3">
      <c r="A6040" s="1" t="s">
        <v>4</v>
      </c>
      <c r="B6040" s="2" t="str">
        <f t="shared" si="493"/>
        <v>SISTEMA DE GERENCIAMENTO DE ESTOQUE</v>
      </c>
      <c r="C6040" s="2" t="str">
        <f t="shared" si="494"/>
        <v>SUPRI</v>
      </c>
      <c r="D6040" s="2" t="str">
        <f t="shared" si="495"/>
        <v>MGES</v>
      </c>
      <c r="E6040" s="2" t="str">
        <f t="shared" ref="E6040:E6050" si="496">"SOLICITACAO DE PRODUTOS OU MEDICAMENTOS"</f>
        <v>SOLICITACAO DE PRODUTOS OU MEDICAMENTOS</v>
      </c>
      <c r="F6040" s="2" t="str">
        <f t="shared" ref="F6040:F6050" si="497">"M_SOLSAIPRO"</f>
        <v>M_SOLSAIPRO</v>
      </c>
      <c r="G6040" s="2" t="str">
        <f>"Clínica e Assistencial / Controle de Infecção Hospitalar / Estoque / Pedidos ao Estoque (M_SOLSAIPRO)"</f>
        <v>Clínica e Assistencial / Controle de Infecção Hospitalar / Estoque / Pedidos ao Estoque (M_SOLSAIPRO)</v>
      </c>
    </row>
    <row r="6041" spans="1:7" x14ac:dyDescent="0.3">
      <c r="A6041" s="1" t="s">
        <v>4</v>
      </c>
      <c r="B6041" s="2" t="str">
        <f t="shared" si="493"/>
        <v>SISTEMA DE GERENCIAMENTO DE ESTOQUE</v>
      </c>
      <c r="C6041" s="2" t="str">
        <f t="shared" si="494"/>
        <v>SUPRI</v>
      </c>
      <c r="D6041" s="2" t="str">
        <f t="shared" si="495"/>
        <v>MGES</v>
      </c>
      <c r="E6041" s="2" t="str">
        <f t="shared" si="496"/>
        <v>SOLICITACAO DE PRODUTOS OU MEDICAMENTOS</v>
      </c>
      <c r="F6041" s="2" t="str">
        <f t="shared" si="497"/>
        <v>M_SOLSAIPRO</v>
      </c>
      <c r="G6041" s="2" t="str">
        <f>"Serviços de Apoio / Laprod / Solicitações / Produtos ao Estoque (M_SOLSAIPRO)"</f>
        <v>Serviços de Apoio / Laprod / Solicitações / Produtos ao Estoque (M_SOLSAIPRO)</v>
      </c>
    </row>
    <row r="6042" spans="1:7" x14ac:dyDescent="0.3">
      <c r="A6042" s="1" t="s">
        <v>4</v>
      </c>
      <c r="B6042" s="2" t="str">
        <f t="shared" ref="B6042:B6105" si="498">"SISTEMA DE GERENCIAMENTO DE ESTOQUE"</f>
        <v>SISTEMA DE GERENCIAMENTO DE ESTOQUE</v>
      </c>
      <c r="C6042" s="2" t="str">
        <f t="shared" ref="C6042:C6105" si="499">"SUPRI"</f>
        <v>SUPRI</v>
      </c>
      <c r="D6042" s="2" t="str">
        <f t="shared" ref="D6042:D6105" si="500">"MGES"</f>
        <v>MGES</v>
      </c>
      <c r="E6042" s="2" t="str">
        <f t="shared" si="496"/>
        <v>SOLICITACAO DE PRODUTOS OU MEDICAMENTOS</v>
      </c>
      <c r="F6042" s="2" t="str">
        <f t="shared" si="497"/>
        <v>M_SOLSAIPRO</v>
      </c>
      <c r="G6042" s="2" t="str">
        <f>"Materiais e Logística / Almoxarifado / Solicitações / Produtos ao Estoque (M_SOLSAIPRO)"</f>
        <v>Materiais e Logística / Almoxarifado / Solicitações / Produtos ao Estoque (M_SOLSAIPRO)</v>
      </c>
    </row>
    <row r="6043" spans="1:7" x14ac:dyDescent="0.3">
      <c r="A6043" s="1" t="s">
        <v>4</v>
      </c>
      <c r="B6043" s="2" t="str">
        <f t="shared" si="498"/>
        <v>SISTEMA DE GERENCIAMENTO DE ESTOQUE</v>
      </c>
      <c r="C6043" s="2" t="str">
        <f t="shared" si="499"/>
        <v>SUPRI</v>
      </c>
      <c r="D6043" s="2" t="str">
        <f t="shared" si="500"/>
        <v>MGES</v>
      </c>
      <c r="E6043" s="2" t="str">
        <f t="shared" si="496"/>
        <v>SOLICITACAO DE PRODUTOS OU MEDICAMENTOS</v>
      </c>
      <c r="F6043" s="2" t="str">
        <f t="shared" si="497"/>
        <v>M_SOLSAIPRO</v>
      </c>
      <c r="G6043" s="2" t="str">
        <f>"Materiais e Logística / Patrimônio / Solicitações / Produtos ao Estoque (M_SOLSAIPRO)"</f>
        <v>Materiais e Logística / Patrimônio / Solicitações / Produtos ao Estoque (M_SOLSAIPRO)</v>
      </c>
    </row>
    <row r="6044" spans="1:7" x14ac:dyDescent="0.3">
      <c r="A6044" s="1" t="s">
        <v>4</v>
      </c>
      <c r="B6044" s="2" t="str">
        <f t="shared" si="498"/>
        <v>SISTEMA DE GERENCIAMENTO DE ESTOQUE</v>
      </c>
      <c r="C6044" s="2" t="str">
        <f t="shared" si="499"/>
        <v>SUPRI</v>
      </c>
      <c r="D6044" s="2" t="str">
        <f t="shared" si="500"/>
        <v>MGES</v>
      </c>
      <c r="E6044" s="2" t="str">
        <f t="shared" si="496"/>
        <v>SOLICITACAO DE PRODUTOS OU MEDICAMENTOS</v>
      </c>
      <c r="F6044" s="2" t="str">
        <f t="shared" si="497"/>
        <v>M_SOLSAIPRO</v>
      </c>
      <c r="G6044" s="2" t="str">
        <f>"Serviços de Apoio / Central de Materiais Esterilizados / Solicitações / Produtos ao Estoque (M_SOLSAIPRO)"</f>
        <v>Serviços de Apoio / Central de Materiais Esterilizados / Solicitações / Produtos ao Estoque (M_SOLSAIPRO)</v>
      </c>
    </row>
    <row r="6045" spans="1:7" x14ac:dyDescent="0.3">
      <c r="A6045" s="1" t="s">
        <v>4</v>
      </c>
      <c r="B6045" s="2" t="str">
        <f t="shared" si="498"/>
        <v>SISTEMA DE GERENCIAMENTO DE ESTOQUE</v>
      </c>
      <c r="C6045" s="2" t="str">
        <f t="shared" si="499"/>
        <v>SUPRI</v>
      </c>
      <c r="D6045" s="2" t="str">
        <f t="shared" si="500"/>
        <v>MGES</v>
      </c>
      <c r="E6045" s="2" t="str">
        <f t="shared" si="496"/>
        <v>SOLICITACAO DE PRODUTOS OU MEDICAMENTOS</v>
      </c>
      <c r="F6045" s="2" t="str">
        <f t="shared" si="497"/>
        <v>M_SOLSAIPRO</v>
      </c>
      <c r="G6045" s="2" t="str">
        <f>"Serviços de Apoio / Lavanderia e Rouparia / Solicitações / Produtos ao Estoque (M_SOLSAIPRO)"</f>
        <v>Serviços de Apoio / Lavanderia e Rouparia / Solicitações / Produtos ao Estoque (M_SOLSAIPRO)</v>
      </c>
    </row>
    <row r="6046" spans="1:7" x14ac:dyDescent="0.3">
      <c r="A6046" s="1" t="s">
        <v>4</v>
      </c>
      <c r="B6046" s="2" t="str">
        <f t="shared" si="498"/>
        <v>SISTEMA DE GERENCIAMENTO DE ESTOQUE</v>
      </c>
      <c r="C6046" s="2" t="str">
        <f t="shared" si="499"/>
        <v>SUPRI</v>
      </c>
      <c r="D6046" s="2" t="str">
        <f t="shared" si="500"/>
        <v>MGES</v>
      </c>
      <c r="E6046" s="2" t="str">
        <f t="shared" si="496"/>
        <v>SOLICITACAO DE PRODUTOS OU MEDICAMENTOS</v>
      </c>
      <c r="F6046" s="2" t="str">
        <f t="shared" si="497"/>
        <v>M_SOLSAIPRO</v>
      </c>
      <c r="G6046" s="2" t="str">
        <f>"Materiais e Logística / Farmácia / Movimentação / Solicitação de Materiais / Produtos ao Estoque (M_SOLSAIPRO)"</f>
        <v>Materiais e Logística / Farmácia / Movimentação / Solicitação de Materiais / Produtos ao Estoque (M_SOLSAIPRO)</v>
      </c>
    </row>
    <row r="6047" spans="1:7" x14ac:dyDescent="0.3">
      <c r="A6047" s="1" t="s">
        <v>4</v>
      </c>
      <c r="B6047" s="2" t="str">
        <f t="shared" si="498"/>
        <v>SISTEMA DE GERENCIAMENTO DE ESTOQUE</v>
      </c>
      <c r="C6047" s="2" t="str">
        <f t="shared" si="499"/>
        <v>SUPRI</v>
      </c>
      <c r="D6047" s="2" t="str">
        <f t="shared" si="500"/>
        <v>MGES</v>
      </c>
      <c r="E6047" s="2" t="str">
        <f t="shared" si="496"/>
        <v>SOLICITACAO DE PRODUTOS OU MEDICAMENTOS</v>
      </c>
      <c r="F6047" s="2" t="str">
        <f t="shared" si="497"/>
        <v>M_SOLSAIPRO</v>
      </c>
      <c r="G6047" s="2" t="str">
        <f>"Serviços de Apoio / Manutenção / Solicitações / Produtos ao Estoque (M_SOLSAIPRO)"</f>
        <v>Serviços de Apoio / Manutenção / Solicitações / Produtos ao Estoque (M_SOLSAIPRO)</v>
      </c>
    </row>
    <row r="6048" spans="1:7" x14ac:dyDescent="0.3">
      <c r="A6048" s="1" t="s">
        <v>4</v>
      </c>
      <c r="B6048" s="2" t="str">
        <f t="shared" si="498"/>
        <v>SISTEMA DE GERENCIAMENTO DE ESTOQUE</v>
      </c>
      <c r="C6048" s="2" t="str">
        <f t="shared" si="499"/>
        <v>SUPRI</v>
      </c>
      <c r="D6048" s="2" t="str">
        <f t="shared" si="500"/>
        <v>MGES</v>
      </c>
      <c r="E6048" s="2" t="str">
        <f t="shared" si="496"/>
        <v>SOLICITACAO DE PRODUTOS OU MEDICAMENTOS</v>
      </c>
      <c r="F6048" s="2" t="str">
        <f t="shared" si="497"/>
        <v>M_SOLSAIPRO</v>
      </c>
      <c r="G6048" s="2" t="str">
        <f>"Serviços de Apoio / Nutrição e Dietética / Solicitações / Produtos ao Estoque (M_SOLSAIPRO)"</f>
        <v>Serviços de Apoio / Nutrição e Dietética / Solicitações / Produtos ao Estoque (M_SOLSAIPRO)</v>
      </c>
    </row>
    <row r="6049" spans="1:7" x14ac:dyDescent="0.3">
      <c r="A6049" s="1" t="s">
        <v>4</v>
      </c>
      <c r="B6049" s="2" t="str">
        <f t="shared" si="498"/>
        <v>SISTEMA DE GERENCIAMENTO DE ESTOQUE</v>
      </c>
      <c r="C6049" s="2" t="str">
        <f t="shared" si="499"/>
        <v>SUPRI</v>
      </c>
      <c r="D6049" s="2" t="str">
        <f t="shared" si="500"/>
        <v>MGES</v>
      </c>
      <c r="E6049" s="2" t="str">
        <f t="shared" si="496"/>
        <v>SOLICITACAO DE PRODUTOS OU MEDICAMENTOS</v>
      </c>
      <c r="F6049" s="2" t="str">
        <f t="shared" si="497"/>
        <v>M_SOLSAIPRO</v>
      </c>
      <c r="G6049" s="2" t="str">
        <f>"Atendimento / Internação Domiciliar (Home Care) / Solicitações / Produtos ao Estoque (M_SOLSAIPRO)"</f>
        <v>Atendimento / Internação Domiciliar (Home Care) / Solicitações / Produtos ao Estoque (M_SOLSAIPRO)</v>
      </c>
    </row>
    <row r="6050" spans="1:7" x14ac:dyDescent="0.3">
      <c r="A6050" s="1" t="s">
        <v>4</v>
      </c>
      <c r="B6050" s="2" t="str">
        <f t="shared" si="498"/>
        <v>SISTEMA DE GERENCIAMENTO DE ESTOQUE</v>
      </c>
      <c r="C6050" s="2" t="str">
        <f t="shared" si="499"/>
        <v>SUPRI</v>
      </c>
      <c r="D6050" s="2" t="str">
        <f t="shared" si="500"/>
        <v>MGES</v>
      </c>
      <c r="E6050" s="2" t="str">
        <f t="shared" si="496"/>
        <v>SOLICITACAO DE PRODUTOS OU MEDICAMENTOS</v>
      </c>
      <c r="F6050" s="2" t="str">
        <f t="shared" si="497"/>
        <v>M_SOLSAIPRO</v>
      </c>
      <c r="G6050" s="2" t="str">
        <f>"MVSaude / Solicitações / Produtos ao Estoque (M_SOLSAIPRO)"</f>
        <v>MVSaude / Solicitações / Produtos ao Estoque (M_SOLSAIPRO)</v>
      </c>
    </row>
    <row r="6051" spans="1:7" x14ac:dyDescent="0.3">
      <c r="A6051" s="1" t="s">
        <v>4</v>
      </c>
      <c r="B6051" s="2" t="str">
        <f t="shared" si="498"/>
        <v>SISTEMA DE GERENCIAMENTO DE ESTOQUE</v>
      </c>
      <c r="C6051" s="2" t="str">
        <f t="shared" si="499"/>
        <v>SUPRI</v>
      </c>
      <c r="D6051" s="2" t="str">
        <f t="shared" si="500"/>
        <v>MGES</v>
      </c>
      <c r="E6051" s="2" t="str">
        <f>"DOCUMENTO DE ENTRADA DE PRODUTO"</f>
        <v>DOCUMENTO DE ENTRADA DE PRODUTO</v>
      </c>
      <c r="F6051" s="2" t="str">
        <f>"R_ENTRADA_PRODUTO"</f>
        <v>R_ENTRADA_PRODUTO</v>
      </c>
      <c r="G6051" s="2" t="str">
        <f>" ()"</f>
        <v xml:space="preserve"> ()</v>
      </c>
    </row>
    <row r="6052" spans="1:7" x14ac:dyDescent="0.3">
      <c r="A6052" s="1" t="s">
        <v>4</v>
      </c>
      <c r="B6052" s="2" t="str">
        <f t="shared" si="498"/>
        <v>SISTEMA DE GERENCIAMENTO DE ESTOQUE</v>
      </c>
      <c r="C6052" s="2" t="str">
        <f t="shared" si="499"/>
        <v>SUPRI</v>
      </c>
      <c r="D6052" s="2" t="str">
        <f t="shared" si="500"/>
        <v>MGES</v>
      </c>
      <c r="E6052" s="2" t="str">
        <f>"CONFIGURACAO DO ESTOQUE"</f>
        <v>CONFIGURACAO DO ESTOQUE</v>
      </c>
      <c r="F6052" s="2" t="str">
        <f>"M_CONFIG_EST"</f>
        <v>M_CONFIG_EST</v>
      </c>
      <c r="G6052" s="2" t="str">
        <f>"Materiais e Logística / Almoxarifado / Configurações / Funcionamento (M_CONFIG_EST)"</f>
        <v>Materiais e Logística / Almoxarifado / Configurações / Funcionamento (M_CONFIG_EST)</v>
      </c>
    </row>
    <row r="6053" spans="1:7" x14ac:dyDescent="0.3">
      <c r="A6053" s="1" t="s">
        <v>4</v>
      </c>
      <c r="B6053" s="2" t="str">
        <f t="shared" si="498"/>
        <v>SISTEMA DE GERENCIAMENTO DE ESTOQUE</v>
      </c>
      <c r="C6053" s="2" t="str">
        <f t="shared" si="499"/>
        <v>SUPRI</v>
      </c>
      <c r="D6053" s="2" t="str">
        <f t="shared" si="500"/>
        <v>MGES</v>
      </c>
      <c r="E6053" s="2" t="str">
        <f>"CLASSE"</f>
        <v>CLASSE</v>
      </c>
      <c r="F6053" s="2" t="str">
        <f>"M_CLASSE"</f>
        <v>M_CLASSE</v>
      </c>
      <c r="G6053" s="2" t="str">
        <f>" ()"</f>
        <v xml:space="preserve"> ()</v>
      </c>
    </row>
    <row r="6054" spans="1:7" x14ac:dyDescent="0.3">
      <c r="A6054" s="1" t="s">
        <v>4</v>
      </c>
      <c r="B6054" s="2" t="str">
        <f t="shared" si="498"/>
        <v>SISTEMA DE GERENCIAMENTO DE ESTOQUE</v>
      </c>
      <c r="C6054" s="2" t="str">
        <f t="shared" si="499"/>
        <v>SUPRI</v>
      </c>
      <c r="D6054" s="2" t="str">
        <f t="shared" si="500"/>
        <v>MGES</v>
      </c>
      <c r="E6054" s="2" t="str">
        <f>"RELATORIO DE PRODUTO"</f>
        <v>RELATORIO DE PRODUTO</v>
      </c>
      <c r="F6054" s="2" t="str">
        <f>"R_PRODUTO"</f>
        <v>R_PRODUTO</v>
      </c>
      <c r="G6054" s="2" t="str">
        <f>"Materiais e Logística / Almoxarifado / Relatórios / Tabelas / Produtos (R_PRODUTO)"</f>
        <v>Materiais e Logística / Almoxarifado / Relatórios / Tabelas / Produtos (R_PRODUTO)</v>
      </c>
    </row>
    <row r="6055" spans="1:7" x14ac:dyDescent="0.3">
      <c r="A6055" s="1" t="s">
        <v>4</v>
      </c>
      <c r="B6055" s="2" t="str">
        <f t="shared" si="498"/>
        <v>SISTEMA DE GERENCIAMENTO DE ESTOQUE</v>
      </c>
      <c r="C6055" s="2" t="str">
        <f t="shared" si="499"/>
        <v>SUPRI</v>
      </c>
      <c r="D6055" s="2" t="str">
        <f t="shared" si="500"/>
        <v>MGES</v>
      </c>
      <c r="E6055" s="2" t="str">
        <f>"RELATORIO DE PRODUTO"</f>
        <v>RELATORIO DE PRODUTO</v>
      </c>
      <c r="F6055" s="2" t="str">
        <f>"R_PRODUTO"</f>
        <v>R_PRODUTO</v>
      </c>
      <c r="G6055" s="2" t="str">
        <f>"Materiais e Logística / Compras / Relatórios / Tabelas / Produtos (R_PRODUTO)"</f>
        <v>Materiais e Logística / Compras / Relatórios / Tabelas / Produtos (R_PRODUTO)</v>
      </c>
    </row>
    <row r="6056" spans="1:7" x14ac:dyDescent="0.3">
      <c r="A6056" s="1" t="s">
        <v>4</v>
      </c>
      <c r="B6056" s="2" t="str">
        <f t="shared" si="498"/>
        <v>SISTEMA DE GERENCIAMENTO DE ESTOQUE</v>
      </c>
      <c r="C6056" s="2" t="str">
        <f t="shared" si="499"/>
        <v>SUPRI</v>
      </c>
      <c r="D6056" s="2" t="str">
        <f t="shared" si="500"/>
        <v>MGES</v>
      </c>
      <c r="E6056" s="2" t="str">
        <f>"PRODUTO GRUPOS DE TRATAMENTO"</f>
        <v>PRODUTO GRUPOS DE TRATAMENTO</v>
      </c>
      <c r="F6056" s="2" t="str">
        <f>"C_PROGRU"</f>
        <v>C_PROGRU</v>
      </c>
      <c r="G6056" s="2" t="str">
        <f>"Materiais e Logística / Almoxarifado / Consultas / Padronização / Produtos por Grupo Trat. (C_PROGRU)"</f>
        <v>Materiais e Logística / Almoxarifado / Consultas / Padronização / Produtos por Grupo Trat. (C_PROGRU)</v>
      </c>
    </row>
    <row r="6057" spans="1:7" x14ac:dyDescent="0.3">
      <c r="A6057" s="1" t="s">
        <v>4</v>
      </c>
      <c r="B6057" s="2" t="str">
        <f t="shared" si="498"/>
        <v>SISTEMA DE GERENCIAMENTO DE ESTOQUE</v>
      </c>
      <c r="C6057" s="2" t="str">
        <f t="shared" si="499"/>
        <v>SUPRI</v>
      </c>
      <c r="D6057" s="2" t="str">
        <f t="shared" si="500"/>
        <v>MGES</v>
      </c>
      <c r="E6057" s="2" t="str">
        <f>"CONSUMO DO SETOR"</f>
        <v>CONSUMO DO SETOR</v>
      </c>
      <c r="F6057" s="2" t="str">
        <f>"C_CONSETOR"</f>
        <v>C_CONSETOR</v>
      </c>
      <c r="G6057" s="2" t="str">
        <f>"Materiais e Logística / Almoxarifado / Consultas / Consumos / Setor (C_CONSETOR)"</f>
        <v>Materiais e Logística / Almoxarifado / Consultas / Consumos / Setor (C_CONSETOR)</v>
      </c>
    </row>
    <row r="6058" spans="1:7" x14ac:dyDescent="0.3">
      <c r="A6058" s="1" t="s">
        <v>4</v>
      </c>
      <c r="B6058" s="2" t="str">
        <f t="shared" si="498"/>
        <v>SISTEMA DE GERENCIAMENTO DE ESTOQUE</v>
      </c>
      <c r="C6058" s="2" t="str">
        <f t="shared" si="499"/>
        <v>SUPRI</v>
      </c>
      <c r="D6058" s="2" t="str">
        <f t="shared" si="500"/>
        <v>MGES</v>
      </c>
      <c r="E6058" s="2" t="str">
        <f>"ATUALIZACOES DAS CONTAGENS"</f>
        <v>ATUALIZACOES DAS CONTAGENS</v>
      </c>
      <c r="F6058" s="2" t="str">
        <f>"O_GERIVE"</f>
        <v>O_GERIVE</v>
      </c>
      <c r="G6058" s="2" t="str">
        <f>"Materiais e Logística / Almoxarifado / Inventário / Geração do Inventário (O_GERIVE)"</f>
        <v>Materiais e Logística / Almoxarifado / Inventário / Geração do Inventário (O_GERIVE)</v>
      </c>
    </row>
    <row r="6059" spans="1:7" x14ac:dyDescent="0.3">
      <c r="A6059" s="1" t="s">
        <v>4</v>
      </c>
      <c r="B6059" s="2" t="str">
        <f t="shared" si="498"/>
        <v>SISTEMA DE GERENCIAMENTO DE ESTOQUE</v>
      </c>
      <c r="C6059" s="2" t="str">
        <f t="shared" si="499"/>
        <v>SUPRI</v>
      </c>
      <c r="D6059" s="2" t="str">
        <f t="shared" si="500"/>
        <v>MGES</v>
      </c>
      <c r="E6059" s="2" t="str">
        <f>"ATUALIZACOES DAS CONTAGENS"</f>
        <v>ATUALIZACOES DAS CONTAGENS</v>
      </c>
      <c r="F6059" s="2" t="str">
        <f>"O_GERIVE"</f>
        <v>O_GERIVE</v>
      </c>
      <c r="G6059" s="2" t="str">
        <f>"Materiais e Logística / Farmácia / Inventário / Geração do Inventário (O_GERIVE)"</f>
        <v>Materiais e Logística / Farmácia / Inventário / Geração do Inventário (O_GERIVE)</v>
      </c>
    </row>
    <row r="6060" spans="1:7" x14ac:dyDescent="0.3">
      <c r="A6060" s="1" t="s">
        <v>4</v>
      </c>
      <c r="B6060" s="2" t="str">
        <f t="shared" si="498"/>
        <v>SISTEMA DE GERENCIAMENTO DE ESTOQUE</v>
      </c>
      <c r="C6060" s="2" t="str">
        <f t="shared" si="499"/>
        <v>SUPRI</v>
      </c>
      <c r="D6060" s="2" t="str">
        <f t="shared" si="500"/>
        <v>MGES</v>
      </c>
      <c r="E6060" s="2" t="str">
        <f>"USUARIO DO ESTOQUE"</f>
        <v>USUARIO DO ESTOQUE</v>
      </c>
      <c r="F6060" s="2" t="str">
        <f>"M_USUEST"</f>
        <v>M_USUEST</v>
      </c>
      <c r="G6060" s="2" t="str">
        <f>"Apoio a TI / Gestão de Usuários / Configurações de Acesso / Acessos Suprimentos / Usuário por Estoque (M_USUEST)"</f>
        <v>Apoio a TI / Gestão de Usuários / Configurações de Acesso / Acessos Suprimentos / Usuário por Estoque (M_USUEST)</v>
      </c>
    </row>
    <row r="6061" spans="1:7" x14ac:dyDescent="0.3">
      <c r="A6061" s="1" t="s">
        <v>4</v>
      </c>
      <c r="B6061" s="2" t="str">
        <f t="shared" si="498"/>
        <v>SISTEMA DE GERENCIAMENTO DE ESTOQUE</v>
      </c>
      <c r="C6061" s="2" t="str">
        <f t="shared" si="499"/>
        <v>SUPRI</v>
      </c>
      <c r="D6061" s="2" t="str">
        <f t="shared" si="500"/>
        <v>MGES</v>
      </c>
      <c r="E6061" s="2" t="str">
        <f>"USUARIO DO ESTOQUE"</f>
        <v>USUARIO DO ESTOQUE</v>
      </c>
      <c r="F6061" s="2" t="str">
        <f>"M_USUEST"</f>
        <v>M_USUEST</v>
      </c>
      <c r="G6061" s="2" t="str">
        <f>"Serviços de Apoio / Central de Materiais Esterilizados / Configurações / Usuários por Estoques (M_USUEST)"</f>
        <v>Serviços de Apoio / Central de Materiais Esterilizados / Configurações / Usuários por Estoques (M_USUEST)</v>
      </c>
    </row>
    <row r="6062" spans="1:7" x14ac:dyDescent="0.3">
      <c r="A6062" s="1" t="s">
        <v>4</v>
      </c>
      <c r="B6062" s="2" t="str">
        <f t="shared" si="498"/>
        <v>SISTEMA DE GERENCIAMENTO DE ESTOQUE</v>
      </c>
      <c r="C6062" s="2" t="str">
        <f t="shared" si="499"/>
        <v>SUPRI</v>
      </c>
      <c r="D6062" s="2" t="str">
        <f t="shared" si="500"/>
        <v>MGES</v>
      </c>
      <c r="E6062" s="2" t="str">
        <f>"USUARIO DO ESTOQUE"</f>
        <v>USUARIO DO ESTOQUE</v>
      </c>
      <c r="F6062" s="2" t="str">
        <f>"M_USUEST"</f>
        <v>M_USUEST</v>
      </c>
      <c r="G6062" s="2" t="str">
        <f>"Atendimento / Internação Domiciliar (Home Care) / Configurações / Usuários por Estoques (M_USUEST)"</f>
        <v>Atendimento / Internação Domiciliar (Home Care) / Configurações / Usuários por Estoques (M_USUEST)</v>
      </c>
    </row>
    <row r="6063" spans="1:7" x14ac:dyDescent="0.3">
      <c r="A6063" s="1" t="s">
        <v>4</v>
      </c>
      <c r="B6063" s="2" t="str">
        <f t="shared" si="498"/>
        <v>SISTEMA DE GERENCIAMENTO DE ESTOQUE</v>
      </c>
      <c r="C6063" s="2" t="str">
        <f t="shared" si="499"/>
        <v>SUPRI</v>
      </c>
      <c r="D6063" s="2" t="str">
        <f t="shared" si="500"/>
        <v>MGES</v>
      </c>
      <c r="E6063" s="2" t="str">
        <f>"SAIDA DE PACIENTE"</f>
        <v>SAIDA DE PACIENTE</v>
      </c>
      <c r="F6063" s="2" t="str">
        <f>"M_SAIPAC"</f>
        <v>M_SAIPAC</v>
      </c>
      <c r="G6063" s="2" t="str">
        <f>"Materiais e Logística / Almoxarifado / Movimentações / Saída de Produtos / De Pacientes (M_SAIPAC)"</f>
        <v>Materiais e Logística / Almoxarifado / Movimentações / Saída de Produtos / De Pacientes (M_SAIPAC)</v>
      </c>
    </row>
    <row r="6064" spans="1:7" x14ac:dyDescent="0.3">
      <c r="A6064" s="1" t="s">
        <v>4</v>
      </c>
      <c r="B6064" s="2" t="str">
        <f t="shared" si="498"/>
        <v>SISTEMA DE GERENCIAMENTO DE ESTOQUE</v>
      </c>
      <c r="C6064" s="2" t="str">
        <f t="shared" si="499"/>
        <v>SUPRI</v>
      </c>
      <c r="D6064" s="2" t="str">
        <f t="shared" si="500"/>
        <v>MGES</v>
      </c>
      <c r="E6064" s="2" t="str">
        <f>"SAIDA DE PACIENTE"</f>
        <v>SAIDA DE PACIENTE</v>
      </c>
      <c r="F6064" s="2" t="str">
        <f>"M_SAIPAC"</f>
        <v>M_SAIPAC</v>
      </c>
      <c r="G6064" s="2" t="str">
        <f>"Atendimento / Internação Domiciliar (Home Care) / Estoque / Saídas para Pacientes (M_SAIPAC)"</f>
        <v>Atendimento / Internação Domiciliar (Home Care) / Estoque / Saídas para Pacientes (M_SAIPAC)</v>
      </c>
    </row>
    <row r="6065" spans="1:7" x14ac:dyDescent="0.3">
      <c r="A6065" s="1" t="s">
        <v>4</v>
      </c>
      <c r="B6065" s="2" t="str">
        <f t="shared" si="498"/>
        <v>SISTEMA DE GERENCIAMENTO DE ESTOQUE</v>
      </c>
      <c r="C6065" s="2" t="str">
        <f t="shared" si="499"/>
        <v>SUPRI</v>
      </c>
      <c r="D6065" s="2" t="str">
        <f t="shared" si="500"/>
        <v>MGES</v>
      </c>
      <c r="E6065" s="2" t="str">
        <f>"PRODUTOS"</f>
        <v>PRODUTOS</v>
      </c>
      <c r="F6065" s="2" t="str">
        <f>"M_PRODUTO"</f>
        <v>M_PRODUTO</v>
      </c>
      <c r="G6065" s="2" t="str">
        <f>"Materiais e Logística / Almoxarifado / Tabelas / Classificação dos Produtos / Produtos (M_PRODUTO)"</f>
        <v>Materiais e Logística / Almoxarifado / Tabelas / Classificação dos Produtos / Produtos (M_PRODUTO)</v>
      </c>
    </row>
    <row r="6066" spans="1:7" x14ac:dyDescent="0.3">
      <c r="A6066" s="1" t="s">
        <v>4</v>
      </c>
      <c r="B6066" s="2" t="str">
        <f t="shared" si="498"/>
        <v>SISTEMA DE GERENCIAMENTO DE ESTOQUE</v>
      </c>
      <c r="C6066" s="2" t="str">
        <f t="shared" si="499"/>
        <v>SUPRI</v>
      </c>
      <c r="D6066" s="2" t="str">
        <f t="shared" si="500"/>
        <v>MGES</v>
      </c>
      <c r="E6066" s="2" t="str">
        <f>"MOTIVO DA DEVOLUCAO"</f>
        <v>MOTIVO DA DEVOLUCAO</v>
      </c>
      <c r="F6066" s="2" t="str">
        <f>"M_MOTDEV"</f>
        <v>M_MOTDEV</v>
      </c>
      <c r="G6066" s="2" t="str">
        <f>"Materiais e Logística / Almoxarifado / Tabelas / Gerais / Motivos de Devolução/Solicitação (M_MOTDEV)"</f>
        <v>Materiais e Logística / Almoxarifado / Tabelas / Gerais / Motivos de Devolução/Solicitação (M_MOTDEV)</v>
      </c>
    </row>
    <row r="6067" spans="1:7" x14ac:dyDescent="0.3">
      <c r="A6067" s="1" t="s">
        <v>4</v>
      </c>
      <c r="B6067" s="2" t="str">
        <f t="shared" si="498"/>
        <v>SISTEMA DE GERENCIAMENTO DE ESTOQUE</v>
      </c>
      <c r="C6067" s="2" t="str">
        <f t="shared" si="499"/>
        <v>SUPRI</v>
      </c>
      <c r="D6067" s="2" t="str">
        <f t="shared" si="500"/>
        <v>MGES</v>
      </c>
      <c r="E6067" s="2" t="str">
        <f>"ESPECIE DO ESTOQUE"</f>
        <v>ESPECIE DO ESTOQUE</v>
      </c>
      <c r="F6067" s="2" t="str">
        <f>"M_ESPEST"</f>
        <v>M_ESPEST</v>
      </c>
      <c r="G6067" s="2" t="str">
        <f>"Materiais e Logística / Almoxarifado / Configurações / Espécie por Estoque (M_ESPEST)"</f>
        <v>Materiais e Logística / Almoxarifado / Configurações / Espécie por Estoque (M_ESPEST)</v>
      </c>
    </row>
    <row r="6068" spans="1:7" x14ac:dyDescent="0.3">
      <c r="A6068" s="1" t="s">
        <v>4</v>
      </c>
      <c r="B6068" s="2" t="str">
        <f t="shared" si="498"/>
        <v>SISTEMA DE GERENCIAMENTO DE ESTOQUE</v>
      </c>
      <c r="C6068" s="2" t="str">
        <f t="shared" si="499"/>
        <v>SUPRI</v>
      </c>
      <c r="D6068" s="2" t="str">
        <f t="shared" si="500"/>
        <v>MGES</v>
      </c>
      <c r="E6068" s="2" t="str">
        <f>"ESPECIE DO ESTOQUE"</f>
        <v>ESPECIE DO ESTOQUE</v>
      </c>
      <c r="F6068" s="2" t="str">
        <f>"M_ESPEST"</f>
        <v>M_ESPEST</v>
      </c>
      <c r="G6068" s="2" t="str">
        <f>"Atendimento / Internação Domiciliar (Home Care) / Configurações / Espécie por Estoque (M_ESPEST)"</f>
        <v>Atendimento / Internação Domiciliar (Home Care) / Configurações / Espécie por Estoque (M_ESPEST)</v>
      </c>
    </row>
    <row r="6069" spans="1:7" x14ac:dyDescent="0.3">
      <c r="A6069" s="1" t="s">
        <v>4</v>
      </c>
      <c r="B6069" s="2" t="str">
        <f t="shared" si="498"/>
        <v>SISTEMA DE GERENCIAMENTO DE ESTOQUE</v>
      </c>
      <c r="C6069" s="2" t="str">
        <f t="shared" si="499"/>
        <v>SUPRI</v>
      </c>
      <c r="D6069" s="2" t="str">
        <f t="shared" si="500"/>
        <v>MGES</v>
      </c>
      <c r="E6069" s="2" t="str">
        <f>"RELAT. CURVA ABC CONSUMO"</f>
        <v>RELAT. CURVA ABC CONSUMO</v>
      </c>
      <c r="F6069" s="2" t="str">
        <f>"R_C_ABC_CONSUMO"</f>
        <v>R_C_ABC_CONSUMO</v>
      </c>
      <c r="G6069" s="2" t="str">
        <f>"Materiais e Logística / Almoxarifado / Relatórios / Administrativos / Curva ABC de Consumo (R_C_ABC_CONSUMO)"</f>
        <v>Materiais e Logística / Almoxarifado / Relatórios / Administrativos / Curva ABC de Consumo (R_C_ABC_CONSUMO)</v>
      </c>
    </row>
    <row r="6070" spans="1:7" x14ac:dyDescent="0.3">
      <c r="A6070" s="1" t="s">
        <v>4</v>
      </c>
      <c r="B6070" s="2" t="str">
        <f t="shared" si="498"/>
        <v>SISTEMA DE GERENCIAMENTO DE ESTOQUE</v>
      </c>
      <c r="C6070" s="2" t="str">
        <f t="shared" si="499"/>
        <v>SUPRI</v>
      </c>
      <c r="D6070" s="2" t="str">
        <f t="shared" si="500"/>
        <v>MGES</v>
      </c>
      <c r="E6070" s="2" t="str">
        <f>"RELATORIO DE SAIDA DE PACIENTE"</f>
        <v>RELATORIO DE SAIDA DE PACIENTE</v>
      </c>
      <c r="F6070" s="2" t="str">
        <f>"R_SAIDA_PAC"</f>
        <v>R_SAIDA_PAC</v>
      </c>
      <c r="G6070" s="2" t="str">
        <f>" ()"</f>
        <v xml:space="preserve"> ()</v>
      </c>
    </row>
    <row r="6071" spans="1:7" x14ac:dyDescent="0.3">
      <c r="A6071" s="1" t="s">
        <v>4</v>
      </c>
      <c r="B6071" s="2" t="str">
        <f t="shared" si="498"/>
        <v>SISTEMA DE GERENCIAMENTO DE ESTOQUE</v>
      </c>
      <c r="C6071" s="2" t="str">
        <f t="shared" si="499"/>
        <v>SUPRI</v>
      </c>
      <c r="D6071" s="2" t="str">
        <f t="shared" si="500"/>
        <v>MGES</v>
      </c>
      <c r="E6071" s="2" t="str">
        <f>"CONFIGURACAO DA ESPECIE"</f>
        <v>CONFIGURACAO DA ESPECIE</v>
      </c>
      <c r="F6071" s="2" t="str">
        <f>"M_CONF_ESPECIE"</f>
        <v>M_CONF_ESPECIE</v>
      </c>
      <c r="G6071" s="2" t="str">
        <f>"Controladoria / Custos / Configurações / Estoque / Espécies (M_CONF_ESPECIE)"</f>
        <v>Controladoria / Custos / Configurações / Estoque / Espécies (M_CONF_ESPECIE)</v>
      </c>
    </row>
    <row r="6072" spans="1:7" x14ac:dyDescent="0.3">
      <c r="A6072" s="1" t="s">
        <v>4</v>
      </c>
      <c r="B6072" s="2" t="str">
        <f t="shared" si="498"/>
        <v>SISTEMA DE GERENCIAMENTO DE ESTOQUE</v>
      </c>
      <c r="C6072" s="2" t="str">
        <f t="shared" si="499"/>
        <v>SUPRI</v>
      </c>
      <c r="D6072" s="2" t="str">
        <f t="shared" si="500"/>
        <v>MGES</v>
      </c>
      <c r="E6072" s="2" t="str">
        <f>"RELATORIO CONSUMO DE SETOR"</f>
        <v>RELATORIO CONSUMO DE SETOR</v>
      </c>
      <c r="F6072" s="2" t="str">
        <f>"R_CONS_SET"</f>
        <v>R_CONS_SET</v>
      </c>
      <c r="G6072" s="2" t="str">
        <f>"Atendimento / Urgência e Emergência / Relatórios / Estoque / Saídas por Setor (R_CONS_SET)"</f>
        <v>Atendimento / Urgência e Emergência / Relatórios / Estoque / Saídas por Setor (R_CONS_SET)</v>
      </c>
    </row>
    <row r="6073" spans="1:7" x14ac:dyDescent="0.3">
      <c r="A6073" s="1" t="s">
        <v>4</v>
      </c>
      <c r="B6073" s="2" t="str">
        <f t="shared" si="498"/>
        <v>SISTEMA DE GERENCIAMENTO DE ESTOQUE</v>
      </c>
      <c r="C6073" s="2" t="str">
        <f t="shared" si="499"/>
        <v>SUPRI</v>
      </c>
      <c r="D6073" s="2" t="str">
        <f t="shared" si="500"/>
        <v>MGES</v>
      </c>
      <c r="E6073" s="2" t="str">
        <f>"RELATORIO CONSUMO DE SETOR"</f>
        <v>RELATORIO CONSUMO DE SETOR</v>
      </c>
      <c r="F6073" s="2" t="str">
        <f>"R_CONS_SET"</f>
        <v>R_CONS_SET</v>
      </c>
      <c r="G6073" s="2" t="str">
        <f>"Atendimento / Ambulatório / Relatórios / Estoque / Saídas por Setor (R_CONS_SET)"</f>
        <v>Atendimento / Ambulatório / Relatórios / Estoque / Saídas por Setor (R_CONS_SET)</v>
      </c>
    </row>
    <row r="6074" spans="1:7" x14ac:dyDescent="0.3">
      <c r="A6074" s="1" t="s">
        <v>4</v>
      </c>
      <c r="B6074" s="2" t="str">
        <f t="shared" si="498"/>
        <v>SISTEMA DE GERENCIAMENTO DE ESTOQUE</v>
      </c>
      <c r="C6074" s="2" t="str">
        <f t="shared" si="499"/>
        <v>SUPRI</v>
      </c>
      <c r="D6074" s="2" t="str">
        <f t="shared" si="500"/>
        <v>MGES</v>
      </c>
      <c r="E6074" s="2" t="str">
        <f>"RELATORIO CONSUMO DE SETOR"</f>
        <v>RELATORIO CONSUMO DE SETOR</v>
      </c>
      <c r="F6074" s="2" t="str">
        <f>"R_CONS_SET"</f>
        <v>R_CONS_SET</v>
      </c>
      <c r="G6074" s="2" t="str">
        <f>"Serviços de Apoio / Higienização / Relatórios / Operacionais / Saídas por Setor (R_CONS_SET)"</f>
        <v>Serviços de Apoio / Higienização / Relatórios / Operacionais / Saídas por Setor (R_CONS_SET)</v>
      </c>
    </row>
    <row r="6075" spans="1:7" x14ac:dyDescent="0.3">
      <c r="A6075" s="1" t="s">
        <v>4</v>
      </c>
      <c r="B6075" s="2" t="str">
        <f t="shared" si="498"/>
        <v>SISTEMA DE GERENCIAMENTO DE ESTOQUE</v>
      </c>
      <c r="C6075" s="2" t="str">
        <f t="shared" si="499"/>
        <v>SUPRI</v>
      </c>
      <c r="D6075" s="2" t="str">
        <f t="shared" si="500"/>
        <v>MGES</v>
      </c>
      <c r="E6075" s="2" t="str">
        <f>"RELATORIO CONSUMO DE SETOR"</f>
        <v>RELATORIO CONSUMO DE SETOR</v>
      </c>
      <c r="F6075" s="2" t="str">
        <f>"R_CONS_SET"</f>
        <v>R_CONS_SET</v>
      </c>
      <c r="G6075" s="2" t="s">
        <v>23</v>
      </c>
    </row>
    <row r="6076" spans="1:7" x14ac:dyDescent="0.3">
      <c r="A6076" s="1" t="s">
        <v>4</v>
      </c>
      <c r="B6076" s="2" t="str">
        <f t="shared" si="498"/>
        <v>SISTEMA DE GERENCIAMENTO DE ESTOQUE</v>
      </c>
      <c r="C6076" s="2" t="str">
        <f t="shared" si="499"/>
        <v>SUPRI</v>
      </c>
      <c r="D6076" s="2" t="str">
        <f t="shared" si="500"/>
        <v>MGES</v>
      </c>
      <c r="E6076" s="2" t="str">
        <f>"RELATORIO CONSUMO DE PACIENTE"</f>
        <v>RELATORIO CONSUMO DE PACIENTE</v>
      </c>
      <c r="F6076" s="2" t="str">
        <f>"R_CONS_PAC"</f>
        <v>R_CONS_PAC</v>
      </c>
      <c r="G6076" s="2" t="s">
        <v>23</v>
      </c>
    </row>
    <row r="6077" spans="1:7" x14ac:dyDescent="0.3">
      <c r="A6077" s="1" t="s">
        <v>4</v>
      </c>
      <c r="B6077" s="2" t="str">
        <f t="shared" si="498"/>
        <v>SISTEMA DE GERENCIAMENTO DE ESTOQUE</v>
      </c>
      <c r="C6077" s="2" t="str">
        <f t="shared" si="499"/>
        <v>SUPRI</v>
      </c>
      <c r="D6077" s="2" t="str">
        <f t="shared" si="500"/>
        <v>MGES</v>
      </c>
      <c r="E6077" s="2" t="str">
        <f>"R_ENTRADA_SERVICO"</f>
        <v>R_ENTRADA_SERVICO</v>
      </c>
      <c r="F6077" s="2" t="str">
        <f>"R_ENTRADA_SERVICO"</f>
        <v>R_ENTRADA_SERVICO</v>
      </c>
      <c r="G6077" s="2" t="str">
        <f>" ()"</f>
        <v xml:space="preserve"> ()</v>
      </c>
    </row>
    <row r="6078" spans="1:7" x14ac:dyDescent="0.3">
      <c r="A6078" s="1" t="s">
        <v>4</v>
      </c>
      <c r="B6078" s="2" t="str">
        <f t="shared" si="498"/>
        <v>SISTEMA DE GERENCIAMENTO DE ESTOQUE</v>
      </c>
      <c r="C6078" s="2" t="str">
        <f t="shared" si="499"/>
        <v>SUPRI</v>
      </c>
      <c r="D6078" s="2" t="str">
        <f t="shared" si="500"/>
        <v>MGES</v>
      </c>
      <c r="E6078" s="2" t="str">
        <f>"PARAMETROS DE RELATORIO TIPI"</f>
        <v>PARAMETROS DE RELATORIO TIPI</v>
      </c>
      <c r="F6078" s="2" t="str">
        <f>"R_CONS_TIPI"</f>
        <v>R_CONS_TIPI</v>
      </c>
      <c r="G6078" s="2" t="str">
        <f>"Materiais e Logística / Almoxarifado / Relatórios / Contábeis / Consumo de Produtos (com TIPI) (R_CONS_TIPI)"</f>
        <v>Materiais e Logística / Almoxarifado / Relatórios / Contábeis / Consumo de Produtos (com TIPI) (R_CONS_TIPI)</v>
      </c>
    </row>
    <row r="6079" spans="1:7" x14ac:dyDescent="0.3">
      <c r="A6079" s="1" t="s">
        <v>4</v>
      </c>
      <c r="B6079" s="2" t="str">
        <f t="shared" si="498"/>
        <v>SISTEMA DE GERENCIAMENTO DE ESTOQUE</v>
      </c>
      <c r="C6079" s="2" t="str">
        <f t="shared" si="499"/>
        <v>SUPRI</v>
      </c>
      <c r="D6079" s="2" t="str">
        <f t="shared" si="500"/>
        <v>MGES</v>
      </c>
      <c r="E6079" s="2" t="str">
        <f>"RELACIONAMENTO PRODUTO TIPI"</f>
        <v>RELACIONAMENTO PRODUTO TIPI</v>
      </c>
      <c r="F6079" s="2" t="str">
        <f>"M_PRODUTO_TIPI"</f>
        <v>M_PRODUTO_TIPI</v>
      </c>
      <c r="G6079" s="2" t="str">
        <f>"Materiais e Logística / Almoxarifado / Tabelas / Tabela TIPI / De - Para Produtos MV e TIPI (M_PRODUTO_TIPI)"</f>
        <v>Materiais e Logística / Almoxarifado / Tabelas / Tabela TIPI / De - Para Produtos MV e TIPI (M_PRODUTO_TIPI)</v>
      </c>
    </row>
    <row r="6080" spans="1:7" x14ac:dyDescent="0.3">
      <c r="A6080" s="1" t="s">
        <v>4</v>
      </c>
      <c r="B6080" s="2" t="str">
        <f t="shared" si="498"/>
        <v>SISTEMA DE GERENCIAMENTO DE ESTOQUE</v>
      </c>
      <c r="C6080" s="2" t="str">
        <f t="shared" si="499"/>
        <v>SUPRI</v>
      </c>
      <c r="D6080" s="2" t="str">
        <f t="shared" si="500"/>
        <v>MGES</v>
      </c>
      <c r="E6080" s="2" t="str">
        <f>"IMPORTAÇÃO DE REGISTROS TIPI"</f>
        <v>IMPORTAÇÃO DE REGISTROS TIPI</v>
      </c>
      <c r="F6080" s="2" t="str">
        <f>"O_IMP_TIPI"</f>
        <v>O_IMP_TIPI</v>
      </c>
      <c r="G6080" s="2" t="str">
        <f>"Materiais e Logística / Almoxarifado / Tabelas / Tabela TIPI / Importação do TIPI (O_IMP_TIPI)"</f>
        <v>Materiais e Logística / Almoxarifado / Tabelas / Tabela TIPI / Importação do TIPI (O_IMP_TIPI)</v>
      </c>
    </row>
    <row r="6081" spans="1:7" x14ac:dyDescent="0.3">
      <c r="A6081" s="1" t="s">
        <v>4</v>
      </c>
      <c r="B6081" s="2" t="str">
        <f t="shared" si="498"/>
        <v>SISTEMA DE GERENCIAMENTO DE ESTOQUE</v>
      </c>
      <c r="C6081" s="2" t="str">
        <f t="shared" si="499"/>
        <v>SUPRI</v>
      </c>
      <c r="D6081" s="2" t="str">
        <f t="shared" si="500"/>
        <v>MGES</v>
      </c>
      <c r="E6081" s="2" t="str">
        <f>"MANUTENÇÃO DE REGISTRO TIPI"</f>
        <v>MANUTENÇÃO DE REGISTRO TIPI</v>
      </c>
      <c r="F6081" s="2" t="str">
        <f>"M_TIPI"</f>
        <v>M_TIPI</v>
      </c>
      <c r="G6081" s="2" t="str">
        <f>"Materiais e Logística / Almoxarifado / Tabelas / Tabela TIPI / Cadastro do TIPI (M_TIPI)"</f>
        <v>Materiais e Logística / Almoxarifado / Tabelas / Tabela TIPI / Cadastro do TIPI (M_TIPI)</v>
      </c>
    </row>
    <row r="6082" spans="1:7" x14ac:dyDescent="0.3">
      <c r="A6082" s="1" t="s">
        <v>4</v>
      </c>
      <c r="B6082" s="2" t="str">
        <f t="shared" si="498"/>
        <v>SISTEMA DE GERENCIAMENTO DE ESTOQUE</v>
      </c>
      <c r="C6082" s="2" t="str">
        <f t="shared" si="499"/>
        <v>SUPRI</v>
      </c>
      <c r="D6082" s="2" t="str">
        <f t="shared" si="500"/>
        <v>MGES</v>
      </c>
      <c r="E6082" s="2" t="str">
        <f>"WIN_PRINCIPAL"</f>
        <v>WIN_PRINCIPAL</v>
      </c>
      <c r="F6082" s="2" t="str">
        <f>"M_CONFIG_PALM"</f>
        <v>M_CONFIG_PALM</v>
      </c>
      <c r="G6082" s="2" t="str">
        <f>"Materiais e Logística / Almoxarifado / Configurações / Posicionamento da Tela do Palm (M_CONFIG_PALM)"</f>
        <v>Materiais e Logística / Almoxarifado / Configurações / Posicionamento da Tela do Palm (M_CONFIG_PALM)</v>
      </c>
    </row>
    <row r="6083" spans="1:7" x14ac:dyDescent="0.3">
      <c r="A6083" s="1" t="s">
        <v>4</v>
      </c>
      <c r="B6083" s="2" t="str">
        <f t="shared" si="498"/>
        <v>SISTEMA DE GERENCIAMENTO DE ESTOQUE</v>
      </c>
      <c r="C6083" s="2" t="str">
        <f t="shared" si="499"/>
        <v>SUPRI</v>
      </c>
      <c r="D6083" s="2" t="str">
        <f t="shared" si="500"/>
        <v>MGES</v>
      </c>
      <c r="E6083" s="2" t="str">
        <f>"R_ETIQ_PAC_420"</f>
        <v>R_ETIQ_PAC_420</v>
      </c>
      <c r="F6083" s="2" t="str">
        <f>"R_ETIQ_PAC_420"</f>
        <v>R_ETIQ_PAC_420</v>
      </c>
      <c r="G6083" s="2" t="str">
        <f>" ()"</f>
        <v xml:space="preserve"> ()</v>
      </c>
    </row>
    <row r="6084" spans="1:7" x14ac:dyDescent="0.3">
      <c r="A6084" s="1" t="s">
        <v>4</v>
      </c>
      <c r="B6084" s="2" t="str">
        <f t="shared" si="498"/>
        <v>SISTEMA DE GERENCIAMENTO DE ESTOQUE</v>
      </c>
      <c r="C6084" s="2" t="str">
        <f t="shared" si="499"/>
        <v>SUPRI</v>
      </c>
      <c r="D6084" s="2" t="str">
        <f t="shared" si="500"/>
        <v>MGES</v>
      </c>
      <c r="E6084" s="2" t="str">
        <f>"RELATORIO DE SAIDA DE PACIENTE"</f>
        <v>RELATORIO DE SAIDA DE PACIENTE</v>
      </c>
      <c r="F6084" s="2" t="str">
        <f>"R_SAIDA_PAC_737"</f>
        <v>R_SAIDA_PAC_737</v>
      </c>
      <c r="G6084" s="2" t="str">
        <f>" ()"</f>
        <v xml:space="preserve"> ()</v>
      </c>
    </row>
    <row r="6085" spans="1:7" x14ac:dyDescent="0.3">
      <c r="A6085" s="1" t="s">
        <v>4</v>
      </c>
      <c r="B6085" s="2" t="str">
        <f t="shared" si="498"/>
        <v>SISTEMA DE GERENCIAMENTO DE ESTOQUE</v>
      </c>
      <c r="C6085" s="2" t="str">
        <f t="shared" si="499"/>
        <v>SUPRI</v>
      </c>
      <c r="D6085" s="2" t="str">
        <f t="shared" si="500"/>
        <v>MGES</v>
      </c>
      <c r="E6085" s="2" t="str">
        <f>"MODELO ESTOQUE"</f>
        <v>MODELO ESTOQUE</v>
      </c>
      <c r="F6085" s="2" t="str">
        <f>"R_MODELO_ESTOQUE"</f>
        <v>R_MODELO_ESTOQUE</v>
      </c>
      <c r="G6085" s="2" t="str">
        <f>" ()"</f>
        <v xml:space="preserve"> ()</v>
      </c>
    </row>
    <row r="6086" spans="1:7" x14ac:dyDescent="0.3">
      <c r="A6086" s="1" t="s">
        <v>4</v>
      </c>
      <c r="B6086" s="2" t="str">
        <f t="shared" si="498"/>
        <v>SISTEMA DE GERENCIAMENTO DE ESTOQUE</v>
      </c>
      <c r="C6086" s="2" t="str">
        <f t="shared" si="499"/>
        <v>SUPRI</v>
      </c>
      <c r="D6086" s="2" t="str">
        <f t="shared" si="500"/>
        <v>MGES</v>
      </c>
      <c r="E6086" s="2" t="str">
        <f>"RELATORIO DE POSICAO DE ESTOQUE"</f>
        <v>RELATORIO DE POSICAO DE ESTOQUE</v>
      </c>
      <c r="F6086" s="2" t="str">
        <f>"R_POS_EST_CONSO_1302"</f>
        <v>R_POS_EST_CONSO_1302</v>
      </c>
      <c r="G6086" s="2" t="str">
        <f>" ()"</f>
        <v xml:space="preserve"> ()</v>
      </c>
    </row>
    <row r="6087" spans="1:7" x14ac:dyDescent="0.3">
      <c r="A6087" s="1" t="s">
        <v>4</v>
      </c>
      <c r="B6087" s="2" t="str">
        <f t="shared" si="498"/>
        <v>SISTEMA DE GERENCIAMENTO DE ESTOQUE</v>
      </c>
      <c r="C6087" s="2" t="str">
        <f t="shared" si="499"/>
        <v>SUPRI</v>
      </c>
      <c r="D6087" s="2" t="str">
        <f t="shared" si="500"/>
        <v>MGES</v>
      </c>
      <c r="E6087" s="2" t="str">
        <f>"WIN_PRINCIPAL - HOSPITAL MV SISTEMAS"</f>
        <v>WIN_PRINCIPAL - HOSPITAL MV SISTEMAS</v>
      </c>
      <c r="F6087" s="2" t="str">
        <f>"R_CONTAB_PROD_CONSIG"</f>
        <v>R_CONTAB_PROD_CONSIG</v>
      </c>
      <c r="G6087" s="2" t="str">
        <f>"Materiais e Logística / Almoxarifado / Relatórios / Contábeis / Contabilização de Produto Consignado (R_CONTAB_PROD_CONSIG)"</f>
        <v>Materiais e Logística / Almoxarifado / Relatórios / Contábeis / Contabilização de Produto Consignado (R_CONTAB_PROD_CONSIG)</v>
      </c>
    </row>
    <row r="6088" spans="1:7" x14ac:dyDescent="0.3">
      <c r="A6088" s="1" t="s">
        <v>4</v>
      </c>
      <c r="B6088" s="2" t="str">
        <f t="shared" si="498"/>
        <v>SISTEMA DE GERENCIAMENTO DE ESTOQUE</v>
      </c>
      <c r="C6088" s="2" t="str">
        <f t="shared" si="499"/>
        <v>SUPRI</v>
      </c>
      <c r="D6088" s="2" t="str">
        <f t="shared" si="500"/>
        <v>MGES</v>
      </c>
      <c r="E6088" s="2" t="str">
        <f>"R_FICHA_RAST_LOTE1"</f>
        <v>R_FICHA_RAST_LOTE1</v>
      </c>
      <c r="F6088" s="2" t="str">
        <f>"R_FICHA_RAST_LOTE1"</f>
        <v>R_FICHA_RAST_LOTE1</v>
      </c>
      <c r="G6088" s="2" t="str">
        <f t="shared" ref="G6088:G6100" si="501">" ()"</f>
        <v xml:space="preserve"> ()</v>
      </c>
    </row>
    <row r="6089" spans="1:7" x14ac:dyDescent="0.3">
      <c r="A6089" s="1" t="s">
        <v>4</v>
      </c>
      <c r="B6089" s="2" t="str">
        <f t="shared" si="498"/>
        <v>SISTEMA DE GERENCIAMENTO DE ESTOQUE</v>
      </c>
      <c r="C6089" s="2" t="str">
        <f t="shared" si="499"/>
        <v>SUPRI</v>
      </c>
      <c r="D6089" s="2" t="str">
        <f t="shared" si="500"/>
        <v>MGES</v>
      </c>
      <c r="E6089" s="2" t="str">
        <f>"RELATÓRIO CÓDIGO DE BARRA - PRODUTOS"</f>
        <v>RELATÓRIO CÓDIGO DE BARRA - PRODUTOS</v>
      </c>
      <c r="F6089" s="2" t="str">
        <f>"R_COD_BARRA"</f>
        <v>R_COD_BARRA</v>
      </c>
      <c r="G6089" s="2" t="str">
        <f t="shared" si="501"/>
        <v xml:space="preserve"> ()</v>
      </c>
    </row>
    <row r="6090" spans="1:7" x14ac:dyDescent="0.3">
      <c r="A6090" s="1" t="s">
        <v>4</v>
      </c>
      <c r="B6090" s="2" t="str">
        <f t="shared" si="498"/>
        <v>SISTEMA DE GERENCIAMENTO DE ESTOQUE</v>
      </c>
      <c r="C6090" s="2" t="str">
        <f t="shared" si="499"/>
        <v>SUPRI</v>
      </c>
      <c r="D6090" s="2" t="str">
        <f t="shared" si="500"/>
        <v>MGES</v>
      </c>
      <c r="E6090" s="2" t="str">
        <f>"POSIÇÃO DE ESTOQUE POR COMPETÊNCIA"</f>
        <v>POSIÇÃO DE ESTOQUE POR COMPETÊNCIA</v>
      </c>
      <c r="F6090" s="2" t="str">
        <f>"R_POS_EST_CONSO_DT"</f>
        <v>R_POS_EST_CONSO_DT</v>
      </c>
      <c r="G6090" s="2" t="str">
        <f t="shared" si="501"/>
        <v xml:space="preserve"> ()</v>
      </c>
    </row>
    <row r="6091" spans="1:7" x14ac:dyDescent="0.3">
      <c r="A6091" s="1" t="s">
        <v>4</v>
      </c>
      <c r="B6091" s="2" t="str">
        <f t="shared" si="498"/>
        <v>SISTEMA DE GERENCIAMENTO DE ESTOQUE</v>
      </c>
      <c r="C6091" s="2" t="str">
        <f t="shared" si="499"/>
        <v>SUPRI</v>
      </c>
      <c r="D6091" s="2" t="str">
        <f t="shared" si="500"/>
        <v>MGES</v>
      </c>
      <c r="E6091" s="2" t="str">
        <f>"R_TRANSFERENCIA_ESTERNA"</f>
        <v>R_TRANSFERENCIA_ESTERNA</v>
      </c>
      <c r="F6091" s="2" t="str">
        <f>"R_TRANSFERENCIA_ESTERNA"</f>
        <v>R_TRANSFERENCIA_ESTERNA</v>
      </c>
      <c r="G6091" s="2" t="str">
        <f t="shared" si="501"/>
        <v xml:space="preserve"> ()</v>
      </c>
    </row>
    <row r="6092" spans="1:7" x14ac:dyDescent="0.3">
      <c r="A6092" s="1" t="s">
        <v>4</v>
      </c>
      <c r="B6092" s="2" t="str">
        <f t="shared" si="498"/>
        <v>SISTEMA DE GERENCIAMENTO DE ESTOQUE</v>
      </c>
      <c r="C6092" s="2" t="str">
        <f t="shared" si="499"/>
        <v>SUPRI</v>
      </c>
      <c r="D6092" s="2" t="str">
        <f t="shared" si="500"/>
        <v>MGES</v>
      </c>
      <c r="E6092" s="2" t="str">
        <f>"M_TRANSFERENCIA_SAIDA"</f>
        <v>M_TRANSFERENCIA_SAIDA</v>
      </c>
      <c r="F6092" s="2" t="str">
        <f>"M_TRANSFERENCIA_SAIDA"</f>
        <v>M_TRANSFERENCIA_SAIDA</v>
      </c>
      <c r="G6092" s="2" t="str">
        <f t="shared" si="501"/>
        <v xml:space="preserve"> ()</v>
      </c>
    </row>
    <row r="6093" spans="1:7" x14ac:dyDescent="0.3">
      <c r="A6093" s="1" t="s">
        <v>4</v>
      </c>
      <c r="B6093" s="2" t="str">
        <f t="shared" si="498"/>
        <v>SISTEMA DE GERENCIAMENTO DE ESTOQUE</v>
      </c>
      <c r="C6093" s="2" t="str">
        <f t="shared" si="499"/>
        <v>SUPRI</v>
      </c>
      <c r="D6093" s="2" t="str">
        <f t="shared" si="500"/>
        <v>MGES</v>
      </c>
      <c r="E6093" s="2" t="str">
        <f>"R_ENT_CONSIG_PAC"</f>
        <v>R_ENT_CONSIG_PAC</v>
      </c>
      <c r="F6093" s="2" t="str">
        <f>"R_ENT_CONSIG_PAC"</f>
        <v>R_ENT_CONSIG_PAC</v>
      </c>
      <c r="G6093" s="2" t="str">
        <f t="shared" si="501"/>
        <v xml:space="preserve"> ()</v>
      </c>
    </row>
    <row r="6094" spans="1:7" x14ac:dyDescent="0.3">
      <c r="A6094" s="1" t="s">
        <v>4</v>
      </c>
      <c r="B6094" s="2" t="str">
        <f t="shared" si="498"/>
        <v>SISTEMA DE GERENCIAMENTO DE ESTOQUE</v>
      </c>
      <c r="C6094" s="2" t="str">
        <f t="shared" si="499"/>
        <v>SUPRI</v>
      </c>
      <c r="D6094" s="2" t="str">
        <f t="shared" si="500"/>
        <v>MGES</v>
      </c>
      <c r="E6094" s="2" t="str">
        <f>"R_C_ABC_CONSUMO.FMB"</f>
        <v>R_C_ABC_CONSUMO.FMB</v>
      </c>
      <c r="F6094" s="2" t="str">
        <f>"R_C_ABC_CONSUMO.FMB"</f>
        <v>R_C_ABC_CONSUMO.FMB</v>
      </c>
      <c r="G6094" s="2" t="str">
        <f t="shared" si="501"/>
        <v xml:space="preserve"> ()</v>
      </c>
    </row>
    <row r="6095" spans="1:7" x14ac:dyDescent="0.3">
      <c r="A6095" s="1" t="s">
        <v>4</v>
      </c>
      <c r="B6095" s="2" t="str">
        <f t="shared" si="498"/>
        <v>SISTEMA DE GERENCIAMENTO DE ESTOQUE</v>
      </c>
      <c r="C6095" s="2" t="str">
        <f t="shared" si="499"/>
        <v>SUPRI</v>
      </c>
      <c r="D6095" s="2" t="str">
        <f t="shared" si="500"/>
        <v>MGES</v>
      </c>
      <c r="E6095" s="2" t="str">
        <f>"R_C_ABC_ESTOQUE.FMB"</f>
        <v>R_C_ABC_ESTOQUE.FMB</v>
      </c>
      <c r="F6095" s="2" t="str">
        <f>"R_C_ABC_ESTOQUE.FMB"</f>
        <v>R_C_ABC_ESTOQUE.FMB</v>
      </c>
      <c r="G6095" s="2" t="str">
        <f t="shared" si="501"/>
        <v xml:space="preserve"> ()</v>
      </c>
    </row>
    <row r="6096" spans="1:7" x14ac:dyDescent="0.3">
      <c r="A6096" s="1" t="s">
        <v>4</v>
      </c>
      <c r="B6096" s="2" t="str">
        <f t="shared" si="498"/>
        <v>SISTEMA DE GERENCIAMENTO DE ESTOQUE</v>
      </c>
      <c r="C6096" s="2" t="str">
        <f t="shared" si="499"/>
        <v>SUPRI</v>
      </c>
      <c r="D6096" s="2" t="str">
        <f t="shared" si="500"/>
        <v>MGES</v>
      </c>
      <c r="E6096" s="2" t="str">
        <f>"ETIQUETAS DE PRODUTOS"</f>
        <v>ETIQUETAS DE PRODUTOS</v>
      </c>
      <c r="F6096" s="2" t="str">
        <f>"R_IMPRIMI_ETIQ_959"</f>
        <v>R_IMPRIMI_ETIQ_959</v>
      </c>
      <c r="G6096" s="2" t="str">
        <f t="shared" si="501"/>
        <v xml:space="preserve"> ()</v>
      </c>
    </row>
    <row r="6097" spans="1:7" x14ac:dyDescent="0.3">
      <c r="A6097" s="1" t="s">
        <v>4</v>
      </c>
      <c r="B6097" s="2" t="str">
        <f t="shared" si="498"/>
        <v>SISTEMA DE GERENCIAMENTO DE ESTOQUE</v>
      </c>
      <c r="C6097" s="2" t="str">
        <f t="shared" si="499"/>
        <v>SUPRI</v>
      </c>
      <c r="D6097" s="2" t="str">
        <f t="shared" si="500"/>
        <v>MGES</v>
      </c>
      <c r="E6097" s="2" t="str">
        <f>"BM_BAIXASOL"</f>
        <v>BM_BAIXASOL</v>
      </c>
      <c r="F6097" s="2" t="str">
        <f>"BM_BAIXASOL"</f>
        <v>BM_BAIXASOL</v>
      </c>
      <c r="G6097" s="2" t="str">
        <f t="shared" si="501"/>
        <v xml:space="preserve"> ()</v>
      </c>
    </row>
    <row r="6098" spans="1:7" x14ac:dyDescent="0.3">
      <c r="A6098" s="1" t="s">
        <v>4</v>
      </c>
      <c r="B6098" s="2" t="str">
        <f t="shared" si="498"/>
        <v>SISTEMA DE GERENCIAMENTO DE ESTOQUE</v>
      </c>
      <c r="C6098" s="2" t="str">
        <f t="shared" si="499"/>
        <v>SUPRI</v>
      </c>
      <c r="D6098" s="2" t="str">
        <f t="shared" si="500"/>
        <v>MGES</v>
      </c>
      <c r="E6098" s="2" t="str">
        <f>"CALCULO: CONSOLIDAÇÃO."</f>
        <v>CALCULO: CONSOLIDAÇÃO.</v>
      </c>
      <c r="F6098" s="2" t="str">
        <f>"O_CONSOLIDACAO_COM_ZERO"</f>
        <v>O_CONSOLIDACAO_COM_ZERO</v>
      </c>
      <c r="G6098" s="2" t="str">
        <f t="shared" si="501"/>
        <v xml:space="preserve"> ()</v>
      </c>
    </row>
    <row r="6099" spans="1:7" x14ac:dyDescent="0.3">
      <c r="A6099" s="1" t="s">
        <v>4</v>
      </c>
      <c r="B6099" s="2" t="str">
        <f t="shared" si="498"/>
        <v>SISTEMA DE GERENCIAMENTO DE ESTOQUE</v>
      </c>
      <c r="C6099" s="2" t="str">
        <f t="shared" si="499"/>
        <v>SUPRI</v>
      </c>
      <c r="D6099" s="2" t="str">
        <f t="shared" si="500"/>
        <v>MGES</v>
      </c>
      <c r="E6099" s="2" t="str">
        <f>"R_CUSTO_SAIDA_SETOR_ESP_959"</f>
        <v>R_CUSTO_SAIDA_SETOR_ESP_959</v>
      </c>
      <c r="F6099" s="2" t="str">
        <f>"R_CUSTO_SAIDA_SETOR_ESP_959"</f>
        <v>R_CUSTO_SAIDA_SETOR_ESP_959</v>
      </c>
      <c r="G6099" s="2" t="str">
        <f t="shared" si="501"/>
        <v xml:space="preserve"> ()</v>
      </c>
    </row>
    <row r="6100" spans="1:7" x14ac:dyDescent="0.3">
      <c r="A6100" s="1" t="s">
        <v>4</v>
      </c>
      <c r="B6100" s="2" t="str">
        <f t="shared" si="498"/>
        <v>SISTEMA DE GERENCIAMENTO DE ESTOQUE</v>
      </c>
      <c r="C6100" s="2" t="str">
        <f t="shared" si="499"/>
        <v>SUPRI</v>
      </c>
      <c r="D6100" s="2" t="str">
        <f t="shared" si="500"/>
        <v>MGES</v>
      </c>
      <c r="E6100" s="2" t="str">
        <f>"ETIQUETAS DE IDENTIFICAÇÃO DE PRODUTOS"</f>
        <v>ETIQUETAS DE IDENTIFICAÇÃO DE PRODUTOS</v>
      </c>
      <c r="F6100" s="2" t="str">
        <f>"R_ETIQ_ID_PROD_273"</f>
        <v>R_ETIQ_ID_PROD_273</v>
      </c>
      <c r="G6100" s="2" t="str">
        <f t="shared" si="501"/>
        <v xml:space="preserve"> ()</v>
      </c>
    </row>
    <row r="6101" spans="1:7" x14ac:dyDescent="0.3">
      <c r="A6101" s="1" t="s">
        <v>4</v>
      </c>
      <c r="B6101" s="2" t="str">
        <f t="shared" si="498"/>
        <v>SISTEMA DE GERENCIAMENTO DE ESTOQUE</v>
      </c>
      <c r="C6101" s="2" t="str">
        <f t="shared" si="499"/>
        <v>SUPRI</v>
      </c>
      <c r="D6101" s="2" t="str">
        <f t="shared" si="500"/>
        <v>MGES</v>
      </c>
      <c r="E6101" s="2" t="str">
        <f>"R_PRECO_ESPECIE"</f>
        <v>R_PRECO_ESPECIE</v>
      </c>
      <c r="F6101" s="2" t="str">
        <f>"R_PRECO_ESPECIE"</f>
        <v>R_PRECO_ESPECIE</v>
      </c>
      <c r="G6101" s="2" t="str">
        <f>"Materiais e Logística / Almoxarifado / Relatórios / Preço / Preço por Espécie (R_PRECO_ESPECIE)"</f>
        <v>Materiais e Logística / Almoxarifado / Relatórios / Preço / Preço por Espécie (R_PRECO_ESPECIE)</v>
      </c>
    </row>
    <row r="6102" spans="1:7" x14ac:dyDescent="0.3">
      <c r="A6102" s="1" t="s">
        <v>4</v>
      </c>
      <c r="B6102" s="2" t="str">
        <f t="shared" si="498"/>
        <v>SISTEMA DE GERENCIAMENTO DE ESTOQUE</v>
      </c>
      <c r="C6102" s="2" t="str">
        <f t="shared" si="499"/>
        <v>SUPRI</v>
      </c>
      <c r="D6102" s="2" t="str">
        <f t="shared" si="500"/>
        <v>MGES</v>
      </c>
      <c r="E6102" s="2" t="str">
        <f>"WIN_PRINCIPAL"</f>
        <v>WIN_PRINCIPAL</v>
      </c>
      <c r="F6102" s="2" t="str">
        <f>"R_POS_EST_CONSIG"</f>
        <v>R_POS_EST_CONSIG</v>
      </c>
      <c r="G6102" s="2" t="str">
        <f>"Materiais e Logística / Almoxarifado / Relatórios / Operacionais / Movimentação de Consignação / Posição de Estoque Consignado (Fornec. x Produtos) (R_POS_EST_CONSIG)"</f>
        <v>Materiais e Logística / Almoxarifado / Relatórios / Operacionais / Movimentação de Consignação / Posição de Estoque Consignado (Fornec. x Produtos) (R_POS_EST_CONSIG)</v>
      </c>
    </row>
    <row r="6103" spans="1:7" x14ac:dyDescent="0.3">
      <c r="A6103" s="1" t="s">
        <v>4</v>
      </c>
      <c r="B6103" s="2" t="str">
        <f t="shared" si="498"/>
        <v>SISTEMA DE GERENCIAMENTO DE ESTOQUE</v>
      </c>
      <c r="C6103" s="2" t="str">
        <f t="shared" si="499"/>
        <v>SUPRI</v>
      </c>
      <c r="D6103" s="2" t="str">
        <f t="shared" si="500"/>
        <v>MGES</v>
      </c>
      <c r="E6103" s="2" t="str">
        <f>"RELATÓRIO DE ANÁLISE DE COMPRA"</f>
        <v>RELATÓRIO DE ANÁLISE DE COMPRA</v>
      </c>
      <c r="F6103" s="2" t="str">
        <f>"R_ANALISE_COMPRA_755"</f>
        <v>R_ANALISE_COMPRA_755</v>
      </c>
      <c r="G6103" s="2" t="str">
        <f>" ()"</f>
        <v xml:space="preserve"> ()</v>
      </c>
    </row>
    <row r="6104" spans="1:7" x14ac:dyDescent="0.3">
      <c r="A6104" s="1" t="s">
        <v>4</v>
      </c>
      <c r="B6104" s="2" t="str">
        <f t="shared" si="498"/>
        <v>SISTEMA DE GERENCIAMENTO DE ESTOQUE</v>
      </c>
      <c r="C6104" s="2" t="str">
        <f t="shared" si="499"/>
        <v>SUPRI</v>
      </c>
      <c r="D6104" s="2" t="str">
        <f t="shared" si="500"/>
        <v>MGES</v>
      </c>
      <c r="E6104" s="2" t="str">
        <f>"WIN_PRINCIPAL - HOSPITAL MV SISTEMAS"</f>
        <v>WIN_PRINCIPAL - HOSPITAL MV SISTEMAS</v>
      </c>
      <c r="F6104" s="2" t="str">
        <f>"M_PROG_COTA"</f>
        <v>M_PROG_COTA</v>
      </c>
      <c r="G6104" s="2" t="str">
        <f>"Materiais e Logística / Almoxarifado / Tabelas / Gerais / Programação de Reposição da Cota de Produtos (M_PROG_COTA)"</f>
        <v>Materiais e Logística / Almoxarifado / Tabelas / Gerais / Programação de Reposição da Cota de Produtos (M_PROG_COTA)</v>
      </c>
    </row>
    <row r="6105" spans="1:7" x14ac:dyDescent="0.3">
      <c r="A6105" s="1" t="s">
        <v>4</v>
      </c>
      <c r="B6105" s="2" t="str">
        <f t="shared" si="498"/>
        <v>SISTEMA DE GERENCIAMENTO DE ESTOQUE</v>
      </c>
      <c r="C6105" s="2" t="str">
        <f t="shared" si="499"/>
        <v>SUPRI</v>
      </c>
      <c r="D6105" s="2" t="str">
        <f t="shared" si="500"/>
        <v>MGES</v>
      </c>
      <c r="E6105" s="2" t="str">
        <f>"RELATÓRIO DE ETIQUETA DE SOLICITAÇÃO"</f>
        <v>RELATÓRIO DE ETIQUETA DE SOLICITAÇÃO</v>
      </c>
      <c r="F6105" s="2" t="str">
        <f>"R_ETIQUETA_SOLICICACAO_757"</f>
        <v>R_ETIQUETA_SOLICICACAO_757</v>
      </c>
      <c r="G6105" s="2" t="str">
        <f>" ()"</f>
        <v xml:space="preserve"> ()</v>
      </c>
    </row>
    <row r="6106" spans="1:7" x14ac:dyDescent="0.3">
      <c r="A6106" s="1" t="s">
        <v>4</v>
      </c>
      <c r="B6106" s="2" t="str">
        <f t="shared" ref="B6106:B6169" si="502">"SISTEMA DE GERENCIAMENTO DE ESTOQUE"</f>
        <v>SISTEMA DE GERENCIAMENTO DE ESTOQUE</v>
      </c>
      <c r="C6106" s="2" t="str">
        <f t="shared" ref="C6106:C6169" si="503">"SUPRI"</f>
        <v>SUPRI</v>
      </c>
      <c r="D6106" s="2" t="str">
        <f t="shared" ref="D6106:D6169" si="504">"MGES"</f>
        <v>MGES</v>
      </c>
      <c r="E6106" s="2" t="str">
        <f>"INFORME DE TRANSFERENCIA ENTRE EMPRESAS"</f>
        <v>INFORME DE TRANSFERENCIA ENTRE EMPRESAS</v>
      </c>
      <c r="F6106" s="2" t="str">
        <f>"R_TRANSF_EMPRESA"</f>
        <v>R_TRANSF_EMPRESA</v>
      </c>
      <c r="G6106" s="2" t="s">
        <v>23</v>
      </c>
    </row>
    <row r="6107" spans="1:7" x14ac:dyDescent="0.3">
      <c r="A6107" s="1" t="s">
        <v>4</v>
      </c>
      <c r="B6107" s="2" t="str">
        <f t="shared" si="502"/>
        <v>SISTEMA DE GERENCIAMENTO DE ESTOQUE</v>
      </c>
      <c r="C6107" s="2" t="str">
        <f t="shared" si="503"/>
        <v>SUPRI</v>
      </c>
      <c r="D6107" s="2" t="str">
        <f t="shared" si="504"/>
        <v>MGES</v>
      </c>
      <c r="E6107" s="2" t="str">
        <f>"C_RECEBIMENTO_EMP"</f>
        <v>C_RECEBIMENTO_EMP</v>
      </c>
      <c r="F6107" s="2" t="str">
        <f>"C_RECEBIMENTO_EMP"</f>
        <v>C_RECEBIMENTO_EMP</v>
      </c>
      <c r="G6107" s="2" t="str">
        <f>"Materiais e Logística / Almoxarifado / Consultas / Recebimento de transferência entre empresas (C_RECEBIMENTO_EMP)"</f>
        <v>Materiais e Logística / Almoxarifado / Consultas / Recebimento de transferência entre empresas (C_RECEBIMENTO_EMP)</v>
      </c>
    </row>
    <row r="6108" spans="1:7" x14ac:dyDescent="0.3">
      <c r="A6108" s="1" t="s">
        <v>4</v>
      </c>
      <c r="B6108" s="2" t="str">
        <f t="shared" si="502"/>
        <v>SISTEMA DE GERENCIAMENTO DE ESTOQUE</v>
      </c>
      <c r="C6108" s="2" t="str">
        <f t="shared" si="503"/>
        <v>SUPRI</v>
      </c>
      <c r="D6108" s="2" t="str">
        <f t="shared" si="504"/>
        <v>MGES</v>
      </c>
      <c r="E6108" s="2" t="str">
        <f>"WIN_PRINCIPAL - HOSPITAL MV SISTEMAS"</f>
        <v>WIN_PRINCIPAL - HOSPITAL MV SISTEMAS</v>
      </c>
      <c r="F6108" s="2" t="str">
        <f>"M_ENTRADA_SERV"</f>
        <v>M_ENTRADA_SERV</v>
      </c>
      <c r="G6108" s="2" t="str">
        <f>"Materiais e Logística / Almoxarifado / Movimentações / Entradas / Entrada de Serviços (M_ENTRADA_SERV)"</f>
        <v>Materiais e Logística / Almoxarifado / Movimentações / Entradas / Entrada de Serviços (M_ENTRADA_SERV)</v>
      </c>
    </row>
    <row r="6109" spans="1:7" x14ac:dyDescent="0.3">
      <c r="A6109" s="1" t="s">
        <v>4</v>
      </c>
      <c r="B6109" s="2" t="str">
        <f t="shared" si="502"/>
        <v>SISTEMA DE GERENCIAMENTO DE ESTOQUE</v>
      </c>
      <c r="C6109" s="2" t="str">
        <f t="shared" si="503"/>
        <v>SUPRI</v>
      </c>
      <c r="D6109" s="2" t="str">
        <f t="shared" si="504"/>
        <v>MGES</v>
      </c>
      <c r="E6109" s="2" t="str">
        <f>"M_AJUSTA_TRANSF_EMPRESA"</f>
        <v>M_AJUSTA_TRANSF_EMPRESA</v>
      </c>
      <c r="F6109" s="2" t="str">
        <f>"M_AJUSTA_TRANSF_EMPRESA"</f>
        <v>M_AJUSTA_TRANSF_EMPRESA</v>
      </c>
      <c r="G6109" s="2" t="str">
        <f>"Materiais e Logística / Almoxarifado / Personalizados / Ajuste de Trasnferencia entre Empresas (M_AJUSTA_TRANSF_EMPRESA)"</f>
        <v>Materiais e Logística / Almoxarifado / Personalizados / Ajuste de Trasnferencia entre Empresas (M_AJUSTA_TRANSF_EMPRESA)</v>
      </c>
    </row>
    <row r="6110" spans="1:7" x14ac:dyDescent="0.3">
      <c r="A6110" s="1" t="s">
        <v>4</v>
      </c>
      <c r="B6110" s="2" t="str">
        <f t="shared" si="502"/>
        <v>SISTEMA DE GERENCIAMENTO DE ESTOQUE</v>
      </c>
      <c r="C6110" s="2" t="str">
        <f t="shared" si="503"/>
        <v>SUPRI</v>
      </c>
      <c r="D6110" s="2" t="str">
        <f t="shared" si="504"/>
        <v>MGES</v>
      </c>
      <c r="E6110" s="2" t="str">
        <f>"ITENS SELECIONADOS PARA INVENTÁRIO"</f>
        <v>ITENS SELECIONADOS PARA INVENTÁRIO</v>
      </c>
      <c r="F6110" s="2" t="str">
        <f>"C_PRODUTO_INVENTARIO_ATUAL"</f>
        <v>C_PRODUTO_INVENTARIO_ATUAL</v>
      </c>
      <c r="G6110" s="2" t="str">
        <f>" ()"</f>
        <v xml:space="preserve"> ()</v>
      </c>
    </row>
    <row r="6111" spans="1:7" x14ac:dyDescent="0.3">
      <c r="A6111" s="1" t="s">
        <v>4</v>
      </c>
      <c r="B6111" s="2" t="str">
        <f t="shared" si="502"/>
        <v>SISTEMA DE GERENCIAMENTO DE ESTOQUE</v>
      </c>
      <c r="C6111" s="2" t="str">
        <f t="shared" si="503"/>
        <v>SUPRI</v>
      </c>
      <c r="D6111" s="2" t="str">
        <f t="shared" si="504"/>
        <v>MGES</v>
      </c>
      <c r="E6111" s="2" t="str">
        <f>"TRANSFERÊNCIA DE PRODUTOS ENTRE EMPRESAS"</f>
        <v>TRANSFERÊNCIA DE PRODUTOS ENTRE EMPRESAS</v>
      </c>
      <c r="F6111" s="2" t="str">
        <f>"M_TRAPRO_EMPRESA"</f>
        <v>M_TRAPRO_EMPRESA</v>
      </c>
      <c r="G6111" s="2" t="str">
        <f>"Materiais e Logística / Almoxarifado / Movimentações / Movimentação entre empresas / Transferência entre empresas (M_TRAPRO_EMPRESA)"</f>
        <v>Materiais e Logística / Almoxarifado / Movimentações / Movimentação entre empresas / Transferência entre empresas (M_TRAPRO_EMPRESA)</v>
      </c>
    </row>
    <row r="6112" spans="1:7" x14ac:dyDescent="0.3">
      <c r="A6112" s="1" t="s">
        <v>4</v>
      </c>
      <c r="B6112" s="2" t="str">
        <f t="shared" si="502"/>
        <v>SISTEMA DE GERENCIAMENTO DE ESTOQUE</v>
      </c>
      <c r="C6112" s="2" t="str">
        <f t="shared" si="503"/>
        <v>SUPRI</v>
      </c>
      <c r="D6112" s="2" t="str">
        <f t="shared" si="504"/>
        <v>MGES</v>
      </c>
      <c r="E6112" s="2" t="str">
        <f>"WIN_PRINCIPAL - HOSPITAL MV SISTEMAS"</f>
        <v>WIN_PRINCIPAL - HOSPITAL MV SISTEMAS</v>
      </c>
      <c r="F6112" s="2" t="str">
        <f>"M_SOLICITACAO_PAINEL"</f>
        <v>M_SOLICITACAO_PAINEL</v>
      </c>
      <c r="G6112" s="2" t="str">
        <f>"Materiais e Logística / Almoxarifado / Consultas / Acompanhamento de Solicitações (M_SOLICITACAO_PAINEL)"</f>
        <v>Materiais e Logística / Almoxarifado / Consultas / Acompanhamento de Solicitações (M_SOLICITACAO_PAINEL)</v>
      </c>
    </row>
    <row r="6113" spans="1:7" x14ac:dyDescent="0.3">
      <c r="A6113" s="1" t="s">
        <v>4</v>
      </c>
      <c r="B6113" s="2" t="str">
        <f t="shared" si="502"/>
        <v>SISTEMA DE GERENCIAMENTO DE ESTOQUE</v>
      </c>
      <c r="C6113" s="2" t="str">
        <f t="shared" si="503"/>
        <v>SUPRI</v>
      </c>
      <c r="D6113" s="2" t="str">
        <f t="shared" si="504"/>
        <v>MGES</v>
      </c>
      <c r="E6113" s="2" t="str">
        <f>"M_RECEBIMENTO_EMP"</f>
        <v>M_RECEBIMENTO_EMP</v>
      </c>
      <c r="F6113" s="2" t="str">
        <f>"M_RECEBIMENTO_EMP"</f>
        <v>M_RECEBIMENTO_EMP</v>
      </c>
      <c r="G6113" s="2" t="str">
        <f>"Materiais e Logística / Almoxarifado / Movimentações / Movimentação entre empresas / Recebimento de transferência entre empresas (M_RECEBIMENTO_EMP)"</f>
        <v>Materiais e Logística / Almoxarifado / Movimentações / Movimentação entre empresas / Recebimento de transferência entre empresas (M_RECEBIMENTO_EMP)</v>
      </c>
    </row>
    <row r="6114" spans="1:7" x14ac:dyDescent="0.3">
      <c r="A6114" s="1" t="s">
        <v>4</v>
      </c>
      <c r="B6114" s="2" t="str">
        <f t="shared" si="502"/>
        <v>SISTEMA DE GERENCIAMENTO DE ESTOQUE</v>
      </c>
      <c r="C6114" s="2" t="str">
        <f t="shared" si="503"/>
        <v>SUPRI</v>
      </c>
      <c r="D6114" s="2" t="str">
        <f t="shared" si="504"/>
        <v>MGES</v>
      </c>
      <c r="E6114" s="2" t="str">
        <f>"RELATÓRIO DE ENTRADA DE EMPRÉSTIMO"</f>
        <v>RELATÓRIO DE ENTRADA DE EMPRÉSTIMO</v>
      </c>
      <c r="F6114" s="2" t="str">
        <f>"R_EMPRESTIMO"</f>
        <v>R_EMPRESTIMO</v>
      </c>
      <c r="G6114" s="2" t="str">
        <f>"Materiais e Logística / Almoxarifado / Relatórios / Operacionais / Movimentações de Emprestimos / Resumo de Empréstimo (R_EMPRESTIMO)"</f>
        <v>Materiais e Logística / Almoxarifado / Relatórios / Operacionais / Movimentações de Emprestimos / Resumo de Empréstimo (R_EMPRESTIMO)</v>
      </c>
    </row>
    <row r="6115" spans="1:7" x14ac:dyDescent="0.3">
      <c r="A6115" s="1" t="s">
        <v>4</v>
      </c>
      <c r="B6115" s="2" t="str">
        <f t="shared" si="502"/>
        <v>SISTEMA DE GERENCIAMENTO DE ESTOQUE</v>
      </c>
      <c r="C6115" s="2" t="str">
        <f t="shared" si="503"/>
        <v>SUPRI</v>
      </c>
      <c r="D6115" s="2" t="str">
        <f t="shared" si="504"/>
        <v>MGES</v>
      </c>
      <c r="E6115" s="2" t="str">
        <f>"M_ALTERA_TP_PRODUTO"</f>
        <v>M_ALTERA_TP_PRODUTO</v>
      </c>
      <c r="F6115" s="2" t="str">
        <f>"M_ALTERA_TP_PRODUTO"</f>
        <v>M_ALTERA_TP_PRODUTO</v>
      </c>
      <c r="G6115" s="2" t="str">
        <f>" ()"</f>
        <v xml:space="preserve"> ()</v>
      </c>
    </row>
    <row r="6116" spans="1:7" x14ac:dyDescent="0.3">
      <c r="A6116" s="1" t="s">
        <v>4</v>
      </c>
      <c r="B6116" s="2" t="str">
        <f t="shared" si="502"/>
        <v>SISTEMA DE GERENCIAMENTO DE ESTOQUE</v>
      </c>
      <c r="C6116" s="2" t="str">
        <f t="shared" si="503"/>
        <v>SUPRI</v>
      </c>
      <c r="D6116" s="2" t="str">
        <f t="shared" si="504"/>
        <v>MGES</v>
      </c>
      <c r="E6116" s="2" t="str">
        <f>"WIN_PRINCIPAL - HOSPITAL MV SISTEMAS"</f>
        <v>WIN_PRINCIPAL - HOSPITAL MV SISTEMAS</v>
      </c>
      <c r="F6116" s="2" t="str">
        <f>"M_RECEBE_SOLICITACAO"</f>
        <v>M_RECEBE_SOLICITACAO</v>
      </c>
      <c r="G6116" s="2" t="str">
        <f>"Materiais e Logística / Almoxarifado / Solicitações / Recebimento de Solicitação (M_RECEBE_SOLICITACAO)"</f>
        <v>Materiais e Logística / Almoxarifado / Solicitações / Recebimento de Solicitação (M_RECEBE_SOLICITACAO)</v>
      </c>
    </row>
    <row r="6117" spans="1:7" x14ac:dyDescent="0.3">
      <c r="A6117" s="1" t="s">
        <v>4</v>
      </c>
      <c r="B6117" s="2" t="str">
        <f t="shared" si="502"/>
        <v>SISTEMA DE GERENCIAMENTO DE ESTOQUE</v>
      </c>
      <c r="C6117" s="2" t="str">
        <f t="shared" si="503"/>
        <v>SUPRI</v>
      </c>
      <c r="D6117" s="2" t="str">
        <f t="shared" si="504"/>
        <v>MGES</v>
      </c>
      <c r="E6117" s="2" t="str">
        <f>"WIN_PRINCIPAL - HOSPITAL MV SISTEMAS"</f>
        <v>WIN_PRINCIPAL - HOSPITAL MV SISTEMAS</v>
      </c>
      <c r="F6117" s="2" t="str">
        <f>"M_LOCALIZACAO"</f>
        <v>M_LOCALIZACAO</v>
      </c>
      <c r="G6117" s="2" t="str">
        <f>"Materiais e Logística / Almoxarifado / Tabelas / Gerais / Localização (M_LOCALIZACAO)"</f>
        <v>Materiais e Logística / Almoxarifado / Tabelas / Gerais / Localização (M_LOCALIZACAO)</v>
      </c>
    </row>
    <row r="6118" spans="1:7" x14ac:dyDescent="0.3">
      <c r="A6118" s="1" t="s">
        <v>4</v>
      </c>
      <c r="B6118" s="2" t="str">
        <f t="shared" si="502"/>
        <v>SISTEMA DE GERENCIAMENTO DE ESTOQUE</v>
      </c>
      <c r="C6118" s="2" t="str">
        <f t="shared" si="503"/>
        <v>SUPRI</v>
      </c>
      <c r="D6118" s="2" t="str">
        <f t="shared" si="504"/>
        <v>MGES</v>
      </c>
      <c r="E6118" s="2" t="str">
        <f>"MOVIMENTAÇÕES POR ESTOQUE"</f>
        <v>MOVIMENTAÇÕES POR ESTOQUE</v>
      </c>
      <c r="F6118" s="2" t="str">
        <f>"R_SOLPRO_UNID"</f>
        <v>R_SOLPRO_UNID</v>
      </c>
      <c r="G6118" s="2" t="str">
        <f>"Materiais e Logística / Almoxarifado / Relatórios / Operacionais / Solicitação de Produtos por Unidade Inter/Setor (R_SOLPRO_UNID)"</f>
        <v>Materiais e Logística / Almoxarifado / Relatórios / Operacionais / Solicitação de Produtos por Unidade Inter/Setor (R_SOLPRO_UNID)</v>
      </c>
    </row>
    <row r="6119" spans="1:7" x14ac:dyDescent="0.3">
      <c r="A6119" s="1" t="s">
        <v>4</v>
      </c>
      <c r="B6119" s="2" t="str">
        <f t="shared" si="502"/>
        <v>SISTEMA DE GERENCIAMENTO DE ESTOQUE</v>
      </c>
      <c r="C6119" s="2" t="str">
        <f t="shared" si="503"/>
        <v>SUPRI</v>
      </c>
      <c r="D6119" s="2" t="str">
        <f t="shared" si="504"/>
        <v>MGES</v>
      </c>
      <c r="E6119" s="2" t="str">
        <f>"RELATÓRIO DE ANÁLISE DE COMPRA"</f>
        <v>RELATÓRIO DE ANÁLISE DE COMPRA</v>
      </c>
      <c r="F6119" s="2" t="str">
        <f>"R_ANALISE_COMPRA"</f>
        <v>R_ANALISE_COMPRA</v>
      </c>
      <c r="G6119" s="2" t="str">
        <f>"Materiais e Logística / Almoxarifado / Relatórios / Administrativos / Análise de Solicitação de Compras (R_ANALISE_COMPRA)"</f>
        <v>Materiais e Logística / Almoxarifado / Relatórios / Administrativos / Análise de Solicitação de Compras (R_ANALISE_COMPRA)</v>
      </c>
    </row>
    <row r="6120" spans="1:7" x14ac:dyDescent="0.3">
      <c r="A6120" s="1" t="s">
        <v>4</v>
      </c>
      <c r="B6120" s="2" t="str">
        <f t="shared" si="502"/>
        <v>SISTEMA DE GERENCIAMENTO DE ESTOQUE</v>
      </c>
      <c r="C6120" s="2" t="str">
        <f t="shared" si="503"/>
        <v>SUPRI</v>
      </c>
      <c r="D6120" s="2" t="str">
        <f t="shared" si="504"/>
        <v>MGES</v>
      </c>
      <c r="E6120" s="2" t="str">
        <f>"M_VALIDACAO_ASSISTENTE"</f>
        <v>M_VALIDACAO_ASSISTENTE</v>
      </c>
      <c r="F6120" s="2" t="str">
        <f>"M_VALIDACAO_ASSISTENTE"</f>
        <v>M_VALIDACAO_ASSISTENTE</v>
      </c>
      <c r="G6120" s="2" t="str">
        <f>" ()"</f>
        <v xml:space="preserve"> ()</v>
      </c>
    </row>
    <row r="6121" spans="1:7" x14ac:dyDescent="0.3">
      <c r="A6121" s="1" t="s">
        <v>4</v>
      </c>
      <c r="B6121" s="2" t="str">
        <f t="shared" si="502"/>
        <v>SISTEMA DE GERENCIAMENTO DE ESTOQUE</v>
      </c>
      <c r="C6121" s="2" t="str">
        <f t="shared" si="503"/>
        <v>SUPRI</v>
      </c>
      <c r="D6121" s="2" t="str">
        <f t="shared" si="504"/>
        <v>MGES</v>
      </c>
      <c r="E6121" s="2" t="str">
        <f>"IMPORTAÇÃO DE PREÇOS DO BRASINDICE"</f>
        <v>IMPORTAÇÃO DE PREÇOS DO BRASINDICE</v>
      </c>
      <c r="F6121" s="2" t="str">
        <f>"M_EXP_SINTEGRA"</f>
        <v>M_EXP_SINTEGRA</v>
      </c>
      <c r="G6121" s="2" t="str">
        <f>"Materiais e Logística / Almoxarifado / Intercâmbio / Exportação para SINTEGRA (M_EXP_SINTEGRA)"</f>
        <v>Materiais e Logística / Almoxarifado / Intercâmbio / Exportação para SINTEGRA (M_EXP_SINTEGRA)</v>
      </c>
    </row>
    <row r="6122" spans="1:7" x14ac:dyDescent="0.3">
      <c r="A6122" s="1" t="s">
        <v>4</v>
      </c>
      <c r="B6122" s="2" t="str">
        <f t="shared" si="502"/>
        <v>SISTEMA DE GERENCIAMENTO DE ESTOQUE</v>
      </c>
      <c r="C6122" s="2" t="str">
        <f t="shared" si="503"/>
        <v>SUPRI</v>
      </c>
      <c r="D6122" s="2" t="str">
        <f t="shared" si="504"/>
        <v>MGES</v>
      </c>
      <c r="E6122" s="2" t="str">
        <f>"REGISTROS DE ENTRADAS (COM CFOP)"</f>
        <v>REGISTROS DE ENTRADAS (COM CFOP)</v>
      </c>
      <c r="F6122" s="2" t="str">
        <f>"R_REG_ENTR_CFOP"</f>
        <v>R_REG_ENTR_CFOP</v>
      </c>
      <c r="G6122" s="2" t="str">
        <f>"Materiais e Logística / Almoxarifado / Relatórios / Contábeis / Registro de Entradas (com CFOP) (R_REG_ENTR_CFOP)"</f>
        <v>Materiais e Logística / Almoxarifado / Relatórios / Contábeis / Registro de Entradas (com CFOP) (R_REG_ENTR_CFOP)</v>
      </c>
    </row>
    <row r="6123" spans="1:7" x14ac:dyDescent="0.3">
      <c r="A6123" s="1" t="s">
        <v>4</v>
      </c>
      <c r="B6123" s="2" t="str">
        <f t="shared" si="502"/>
        <v>SISTEMA DE GERENCIAMENTO DE ESTOQUE</v>
      </c>
      <c r="C6123" s="2" t="str">
        <f t="shared" si="503"/>
        <v>SUPRI</v>
      </c>
      <c r="D6123" s="2" t="str">
        <f t="shared" si="504"/>
        <v>MGES</v>
      </c>
      <c r="E6123" s="2" t="str">
        <f>"R_BAIXA_PROD.RDF"</f>
        <v>R_BAIXA_PROD.RDF</v>
      </c>
      <c r="F6123" s="2" t="str">
        <f>"R_BAIXA_PROD.RDF"</f>
        <v>R_BAIXA_PROD.RDF</v>
      </c>
      <c r="G6123" s="2" t="str">
        <f>" ()"</f>
        <v xml:space="preserve"> ()</v>
      </c>
    </row>
    <row r="6124" spans="1:7" x14ac:dyDescent="0.3">
      <c r="A6124" s="1" t="s">
        <v>4</v>
      </c>
      <c r="B6124" s="2" t="str">
        <f t="shared" si="502"/>
        <v>SISTEMA DE GERENCIAMENTO DE ESTOQUE</v>
      </c>
      <c r="C6124" s="2" t="str">
        <f t="shared" si="503"/>
        <v>SUPRI</v>
      </c>
      <c r="D6124" s="2" t="str">
        <f t="shared" si="504"/>
        <v>MGES</v>
      </c>
      <c r="E6124" s="2" t="str">
        <f>"R_BAIXA_PROD.FBM"</f>
        <v>R_BAIXA_PROD.FBM</v>
      </c>
      <c r="F6124" s="2" t="str">
        <f>"R_BAIXA_PROD.FBM"</f>
        <v>R_BAIXA_PROD.FBM</v>
      </c>
      <c r="G6124" s="2" t="str">
        <f>" ()"</f>
        <v xml:space="preserve"> ()</v>
      </c>
    </row>
    <row r="6125" spans="1:7" x14ac:dyDescent="0.3">
      <c r="A6125" s="1" t="s">
        <v>4</v>
      </c>
      <c r="B6125" s="2" t="str">
        <f t="shared" si="502"/>
        <v>SISTEMA DE GERENCIAMENTO DE ESTOQUE</v>
      </c>
      <c r="C6125" s="2" t="str">
        <f t="shared" si="503"/>
        <v>SUPRI</v>
      </c>
      <c r="D6125" s="2" t="str">
        <f t="shared" si="504"/>
        <v>MGES</v>
      </c>
      <c r="E6125" s="2" t="str">
        <f>"IMP_GASTO_SALA"</f>
        <v>IMP_GASTO_SALA</v>
      </c>
      <c r="F6125" s="2" t="str">
        <f>"IMP_GASTO_SALA"</f>
        <v>IMP_GASTO_SALA</v>
      </c>
      <c r="G6125" s="2" t="str">
        <f>" ()"</f>
        <v xml:space="preserve"> ()</v>
      </c>
    </row>
    <row r="6126" spans="1:7" x14ac:dyDescent="0.3">
      <c r="A6126" s="1" t="s">
        <v>4</v>
      </c>
      <c r="B6126" s="2" t="str">
        <f t="shared" si="502"/>
        <v>SISTEMA DE GERENCIAMENTO DE ESTOQUE</v>
      </c>
      <c r="C6126" s="2" t="str">
        <f t="shared" si="503"/>
        <v>SUPRI</v>
      </c>
      <c r="D6126" s="2" t="str">
        <f t="shared" si="504"/>
        <v>MGES</v>
      </c>
      <c r="E6126" s="2" t="str">
        <f>"RELATÓRIO DE RASTRIABILIDADE DE LOTE"</f>
        <v>RELATÓRIO DE RASTRIABILIDADE DE LOTE</v>
      </c>
      <c r="F6126" s="2" t="str">
        <f>"R_RASTRIAB_LOTE"</f>
        <v>R_RASTRIAB_LOTE</v>
      </c>
      <c r="G6126" s="2" t="str">
        <f>"Materiais e Logística / Almoxarifado / Relatórios / Operacionais / Rastreabilidade de Lote (R_RASTRIAB_LOTE)"</f>
        <v>Materiais e Logística / Almoxarifado / Relatórios / Operacionais / Rastreabilidade de Lote (R_RASTRIAB_LOTE)</v>
      </c>
    </row>
    <row r="6127" spans="1:7" x14ac:dyDescent="0.3">
      <c r="A6127" s="1" t="s">
        <v>4</v>
      </c>
      <c r="B6127" s="2" t="str">
        <f t="shared" si="502"/>
        <v>SISTEMA DE GERENCIAMENTO DE ESTOQUE</v>
      </c>
      <c r="C6127" s="2" t="str">
        <f t="shared" si="503"/>
        <v>SUPRI</v>
      </c>
      <c r="D6127" s="2" t="str">
        <f t="shared" si="504"/>
        <v>MGES</v>
      </c>
      <c r="E6127" s="2" t="str">
        <f>"PRODUÇÃO DE KITS"</f>
        <v>PRODUÇÃO DE KITS</v>
      </c>
      <c r="F6127" s="2" t="str">
        <f>"M_PRODUZIR_KIT"</f>
        <v>M_PRODUZIR_KIT</v>
      </c>
      <c r="G6127" s="2" t="str">
        <f>"Materiais e Logística / Almoxarifado / Movimentações / Produção de Kits / Produzir Kits (M_PRODUZIR_KIT)"</f>
        <v>Materiais e Logística / Almoxarifado / Movimentações / Produção de Kits / Produzir Kits (M_PRODUZIR_KIT)</v>
      </c>
    </row>
    <row r="6128" spans="1:7" x14ac:dyDescent="0.3">
      <c r="A6128" s="1" t="s">
        <v>4</v>
      </c>
      <c r="B6128" s="2" t="str">
        <f t="shared" si="502"/>
        <v>SISTEMA DE GERENCIAMENTO DE ESTOQUE</v>
      </c>
      <c r="C6128" s="2" t="str">
        <f t="shared" si="503"/>
        <v>SUPRI</v>
      </c>
      <c r="D6128" s="2" t="str">
        <f t="shared" si="504"/>
        <v>MGES</v>
      </c>
      <c r="E6128" s="2" t="str">
        <f>"RELAÇÃO DE ETIQUETA DOS KITS"</f>
        <v>RELAÇÃO DE ETIQUETA DOS KITS</v>
      </c>
      <c r="F6128" s="2" t="str">
        <f>"R_ETIQUETA_KIT"</f>
        <v>R_ETIQUETA_KIT</v>
      </c>
      <c r="G6128" s="2" t="str">
        <f>"Materiais e Logística / Almoxarifado / Relatórios / Operacionais / Documento de Entradas e Entradas de Produtos / Etiqueta dos Kits (R_ETIQUETA_KIT)"</f>
        <v>Materiais e Logística / Almoxarifado / Relatórios / Operacionais / Documento de Entradas e Entradas de Produtos / Etiqueta dos Kits (R_ETIQUETA_KIT)</v>
      </c>
    </row>
    <row r="6129" spans="1:7" x14ac:dyDescent="0.3">
      <c r="A6129" s="1" t="s">
        <v>4</v>
      </c>
      <c r="B6129" s="2" t="str">
        <f t="shared" si="502"/>
        <v>SISTEMA DE GERENCIAMENTO DE ESTOQUE</v>
      </c>
      <c r="C6129" s="2" t="str">
        <f t="shared" si="503"/>
        <v>SUPRI</v>
      </c>
      <c r="D6129" s="2" t="str">
        <f t="shared" si="504"/>
        <v>MGES</v>
      </c>
      <c r="E6129" s="2" t="str">
        <f>"DOCUMENTO DE ENTRADA SINTÉTICO"</f>
        <v>DOCUMENTO DE ENTRADA SINTÉTICO</v>
      </c>
      <c r="F6129" s="2" t="str">
        <f>"R_EST_DOC_ENT_SINT"</f>
        <v>R_EST_DOC_ENT_SINT</v>
      </c>
      <c r="G6129" s="2" t="str">
        <f>"Materiais e Logística / Almoxarifado / Relatórios / Operacionais / Documento de Entradas e Entradas de Produtos / Documento de Entrada Sintético (R_EST_DOC_ENT_SINT)"</f>
        <v>Materiais e Logística / Almoxarifado / Relatórios / Operacionais / Documento de Entradas e Entradas de Produtos / Documento de Entrada Sintético (R_EST_DOC_ENT_SINT)</v>
      </c>
    </row>
    <row r="6130" spans="1:7" x14ac:dyDescent="0.3">
      <c r="A6130" s="1" t="s">
        <v>4</v>
      </c>
      <c r="B6130" s="2" t="str">
        <f t="shared" si="502"/>
        <v>SISTEMA DE GERENCIAMENTO DE ESTOQUE</v>
      </c>
      <c r="C6130" s="2" t="str">
        <f t="shared" si="503"/>
        <v>SUPRI</v>
      </c>
      <c r="D6130" s="2" t="str">
        <f t="shared" si="504"/>
        <v>MGES</v>
      </c>
      <c r="E6130" s="2" t="str">
        <f>"WIN_PRINCIPAL"</f>
        <v>WIN_PRINCIPAL</v>
      </c>
      <c r="F6130" s="2" t="str">
        <f>"M_TRANSF_EST"</f>
        <v>M_TRANSF_EST</v>
      </c>
      <c r="G6130" s="2" t="str">
        <f>" ()"</f>
        <v xml:space="preserve"> ()</v>
      </c>
    </row>
    <row r="6131" spans="1:7" x14ac:dyDescent="0.3">
      <c r="A6131" s="1" t="s">
        <v>4</v>
      </c>
      <c r="B6131" s="2" t="str">
        <f t="shared" si="502"/>
        <v>SISTEMA DE GERENCIAMENTO DE ESTOQUE</v>
      </c>
      <c r="C6131" s="2" t="str">
        <f t="shared" si="503"/>
        <v>SUPRI</v>
      </c>
      <c r="D6131" s="2" t="str">
        <f t="shared" si="504"/>
        <v>MGES</v>
      </c>
      <c r="E6131" s="2" t="str">
        <f>"ENTRADA DE PRODUTO SINTETICO"</f>
        <v>ENTRADA DE PRODUTO SINTETICO</v>
      </c>
      <c r="F6131" s="2" t="str">
        <f>"R_EST_ENT_PROD_SINT"</f>
        <v>R_EST_ENT_PROD_SINT</v>
      </c>
      <c r="G6131" s="2" t="str">
        <f>"Materiais e Logística / Almoxarifado / Relatórios / Operacionais / Documento de Entradas e Entradas de Produtos / Entrada de Produtos Sintético (R_EST_ENT_PROD_SINT)"</f>
        <v>Materiais e Logística / Almoxarifado / Relatórios / Operacionais / Documento de Entradas e Entradas de Produtos / Entrada de Produtos Sintético (R_EST_ENT_PROD_SINT)</v>
      </c>
    </row>
    <row r="6132" spans="1:7" x14ac:dyDescent="0.3">
      <c r="A6132" s="1" t="s">
        <v>4</v>
      </c>
      <c r="B6132" s="2" t="str">
        <f t="shared" si="502"/>
        <v>SISTEMA DE GERENCIAMENTO DE ESTOQUE</v>
      </c>
      <c r="C6132" s="2" t="str">
        <f t="shared" si="503"/>
        <v>SUPRI</v>
      </c>
      <c r="D6132" s="2" t="str">
        <f t="shared" si="504"/>
        <v>MGES</v>
      </c>
      <c r="E6132" s="2" t="str">
        <f>"R_PROD_CONSIG"</f>
        <v>R_PROD_CONSIG</v>
      </c>
      <c r="F6132" s="2" t="str">
        <f>"R_PROD_CONSIG"</f>
        <v>R_PROD_CONSIG</v>
      </c>
      <c r="G6132" s="2" t="str">
        <f>"Materiais e Logística / Almoxarifado / Relatórios / Operacionais / Movimentação de Consignação / Consumo de prod. consignados por aviso de cirurgia (R_PROD_CONSIG)"</f>
        <v>Materiais e Logística / Almoxarifado / Relatórios / Operacionais / Movimentação de Consignação / Consumo de prod. consignados por aviso de cirurgia (R_PROD_CONSIG)</v>
      </c>
    </row>
    <row r="6133" spans="1:7" x14ac:dyDescent="0.3">
      <c r="A6133" s="1" t="s">
        <v>4</v>
      </c>
      <c r="B6133" s="2" t="str">
        <f t="shared" si="502"/>
        <v>SISTEMA DE GERENCIAMENTO DE ESTOQUE</v>
      </c>
      <c r="C6133" s="2" t="str">
        <f t="shared" si="503"/>
        <v>SUPRI</v>
      </c>
      <c r="D6133" s="2" t="str">
        <f t="shared" si="504"/>
        <v>MGES</v>
      </c>
      <c r="E6133" s="2" t="str">
        <f>"R_ENTRADA_CONSIGNADO"</f>
        <v>R_ENTRADA_CONSIGNADO</v>
      </c>
      <c r="F6133" s="2" t="str">
        <f>"R_ENTRADA_CONSIGNADO"</f>
        <v>R_ENTRADA_CONSIGNADO</v>
      </c>
      <c r="G6133" s="2" t="str">
        <f>"Materiais e Logística / Almoxarifado / Relatórios / Operacionais / Movimentação de Consignação / Entrada de Produtos Consignados (R_ENTRADA_CONSIGNADO)"</f>
        <v>Materiais e Logística / Almoxarifado / Relatórios / Operacionais / Movimentação de Consignação / Entrada de Produtos Consignados (R_ENTRADA_CONSIGNADO)</v>
      </c>
    </row>
    <row r="6134" spans="1:7" x14ac:dyDescent="0.3">
      <c r="A6134" s="1" t="s">
        <v>4</v>
      </c>
      <c r="B6134" s="2" t="str">
        <f t="shared" si="502"/>
        <v>SISTEMA DE GERENCIAMENTO DE ESTOQUE</v>
      </c>
      <c r="C6134" s="2" t="str">
        <f t="shared" si="503"/>
        <v>SUPRI</v>
      </c>
      <c r="D6134" s="2" t="str">
        <f t="shared" si="504"/>
        <v>MGES</v>
      </c>
      <c r="E6134" s="2" t="str">
        <f>"R_EFICIENCIA_ATENDIMENTO"</f>
        <v>R_EFICIENCIA_ATENDIMENTO</v>
      </c>
      <c r="F6134" s="2" t="str">
        <f>"R_EFICIENCIA_ATENDIMENTO"</f>
        <v>R_EFICIENCIA_ATENDIMENTO</v>
      </c>
      <c r="G6134" s="2" t="str">
        <f>"Materiais e Logística / Almoxarifado / Relatórios / Estatísticas / Eficiência do Atendimento (R_EFICIENCIA_ATENDIMENTO)"</f>
        <v>Materiais e Logística / Almoxarifado / Relatórios / Estatísticas / Eficiência do Atendimento (R_EFICIENCIA_ATENDIMENTO)</v>
      </c>
    </row>
    <row r="6135" spans="1:7" x14ac:dyDescent="0.3">
      <c r="A6135" s="1" t="s">
        <v>4</v>
      </c>
      <c r="B6135" s="2" t="str">
        <f t="shared" si="502"/>
        <v>SISTEMA DE GERENCIAMENTO DE ESTOQUE</v>
      </c>
      <c r="C6135" s="2" t="str">
        <f t="shared" si="503"/>
        <v>SUPRI</v>
      </c>
      <c r="D6135" s="2" t="str">
        <f t="shared" si="504"/>
        <v>MGES</v>
      </c>
      <c r="E6135" s="2" t="str">
        <f>"ENVIO DAS ORDENS DE COMPRAS"</f>
        <v>ENVIO DAS ORDENS DE COMPRAS</v>
      </c>
      <c r="F6135" s="2" t="str">
        <f>"M_CONFCONS"</f>
        <v>M_CONFCONS</v>
      </c>
      <c r="G6135" s="2" t="str">
        <f>"Materiais e Logística / Almoxarifado / Movimentações / Confirmação do Consumo do OPME (M_CONFCONS)"</f>
        <v>Materiais e Logística / Almoxarifado / Movimentações / Confirmação do Consumo do OPME (M_CONFCONS)</v>
      </c>
    </row>
    <row r="6136" spans="1:7" x14ac:dyDescent="0.3">
      <c r="A6136" s="1" t="s">
        <v>4</v>
      </c>
      <c r="B6136" s="2" t="str">
        <f t="shared" si="502"/>
        <v>SISTEMA DE GERENCIAMENTO DE ESTOQUE</v>
      </c>
      <c r="C6136" s="2" t="str">
        <f t="shared" si="503"/>
        <v>SUPRI</v>
      </c>
      <c r="D6136" s="2" t="str">
        <f t="shared" si="504"/>
        <v>MGES</v>
      </c>
      <c r="E6136" s="2" t="str">
        <f>"ENVIO DAS ORDENS DE COMPRAS"</f>
        <v>ENVIO DAS ORDENS DE COMPRAS</v>
      </c>
      <c r="F6136" s="2" t="str">
        <f>"M_CONFCONS"</f>
        <v>M_CONFCONS</v>
      </c>
      <c r="G6136" s="2" t="str">
        <f>"Serviços de Apoio / Central de Materiais Esterilizados / Movimentações / Confirmação do Consumo do OPME (M_CONFCONS)"</f>
        <v>Serviços de Apoio / Central de Materiais Esterilizados / Movimentações / Confirmação do Consumo do OPME (M_CONFCONS)</v>
      </c>
    </row>
    <row r="6137" spans="1:7" x14ac:dyDescent="0.3">
      <c r="A6137" s="1" t="s">
        <v>4</v>
      </c>
      <c r="B6137" s="2" t="str">
        <f t="shared" si="502"/>
        <v>SISTEMA DE GERENCIAMENTO DE ESTOQUE</v>
      </c>
      <c r="C6137" s="2" t="str">
        <f t="shared" si="503"/>
        <v>SUPRI</v>
      </c>
      <c r="D6137" s="2" t="str">
        <f t="shared" si="504"/>
        <v>MGES</v>
      </c>
      <c r="E6137" s="2" t="str">
        <f>"GERAÇÃO DA CONTAGEM DOS KITS"</f>
        <v>GERAÇÃO DA CONTAGEM DOS KITS</v>
      </c>
      <c r="F6137" s="2" t="str">
        <f>"O_GERACAO_CONT_KIT"</f>
        <v>O_GERACAO_CONT_KIT</v>
      </c>
      <c r="G6137" s="2" t="str">
        <f>"Materiais e Logística / Almoxarifado / Movimentações / Produção de Kits / Geração da Contagem dos Kits (O_GERACAO_CONT_KIT)"</f>
        <v>Materiais e Logística / Almoxarifado / Movimentações / Produção de Kits / Geração da Contagem dos Kits (O_GERACAO_CONT_KIT)</v>
      </c>
    </row>
    <row r="6138" spans="1:7" x14ac:dyDescent="0.3">
      <c r="A6138" s="1" t="s">
        <v>4</v>
      </c>
      <c r="B6138" s="2" t="str">
        <f t="shared" si="502"/>
        <v>SISTEMA DE GERENCIAMENTO DE ESTOQUE</v>
      </c>
      <c r="C6138" s="2" t="str">
        <f t="shared" si="503"/>
        <v>SUPRI</v>
      </c>
      <c r="D6138" s="2" t="str">
        <f t="shared" si="504"/>
        <v>MGES</v>
      </c>
      <c r="E6138" s="2" t="str">
        <f>"CONSULTA DE SOLICITAÇÕES PENDENTES"</f>
        <v>CONSULTA DE SOLICITAÇÕES PENDENTES</v>
      </c>
      <c r="F6138" s="2" t="str">
        <f>"C_SOLSAI_PENDENTE"</f>
        <v>C_SOLSAI_PENDENTE</v>
      </c>
      <c r="G6138" s="2" t="str">
        <f t="shared" ref="G6138:G6143" si="505">" ()"</f>
        <v xml:space="preserve"> ()</v>
      </c>
    </row>
    <row r="6139" spans="1:7" x14ac:dyDescent="0.3">
      <c r="A6139" s="1" t="s">
        <v>4</v>
      </c>
      <c r="B6139" s="2" t="str">
        <f t="shared" si="502"/>
        <v>SISTEMA DE GERENCIAMENTO DE ESTOQUE</v>
      </c>
      <c r="C6139" s="2" t="str">
        <f t="shared" si="503"/>
        <v>SUPRI</v>
      </c>
      <c r="D6139" s="2" t="str">
        <f t="shared" si="504"/>
        <v>MGES</v>
      </c>
      <c r="E6139" s="2" t="str">
        <f>"PROCESSO DE ATENDIMENTO DE SOLICITAÇÃO"</f>
        <v>PROCESSO DE ATENDIMENTO DE SOLICITAÇÃO</v>
      </c>
      <c r="F6139" s="2" t="str">
        <f>"C_SOL_DEMONSTR"</f>
        <v>C_SOL_DEMONSTR</v>
      </c>
      <c r="G6139" s="2" t="str">
        <f t="shared" si="505"/>
        <v xml:space="preserve"> ()</v>
      </c>
    </row>
    <row r="6140" spans="1:7" x14ac:dyDescent="0.3">
      <c r="A6140" s="1" t="s">
        <v>4</v>
      </c>
      <c r="B6140" s="2" t="str">
        <f t="shared" si="502"/>
        <v>SISTEMA DE GERENCIAMENTO DE ESTOQUE</v>
      </c>
      <c r="C6140" s="2" t="str">
        <f t="shared" si="503"/>
        <v>SUPRI</v>
      </c>
      <c r="D6140" s="2" t="str">
        <f t="shared" si="504"/>
        <v>MGES</v>
      </c>
      <c r="E6140" s="2" t="str">
        <f>"RELATÓRIO POSIÇÃO DE ESTOQUE NEGATIVA"</f>
        <v>RELATÓRIO POSIÇÃO DE ESTOQUE NEGATIVA</v>
      </c>
      <c r="F6140" s="2" t="str">
        <f>"R_POS_EST_448"</f>
        <v>R_POS_EST_448</v>
      </c>
      <c r="G6140" s="2" t="str">
        <f t="shared" si="505"/>
        <v xml:space="preserve"> ()</v>
      </c>
    </row>
    <row r="6141" spans="1:7" x14ac:dyDescent="0.3">
      <c r="A6141" s="1" t="s">
        <v>4</v>
      </c>
      <c r="B6141" s="2" t="str">
        <f t="shared" si="502"/>
        <v>SISTEMA DE GERENCIAMENTO DE ESTOQUE</v>
      </c>
      <c r="C6141" s="2" t="str">
        <f t="shared" si="503"/>
        <v>SUPRI</v>
      </c>
      <c r="D6141" s="2" t="str">
        <f t="shared" si="504"/>
        <v>MGES</v>
      </c>
      <c r="E6141" s="2" t="str">
        <f>"RELATORIO DE ENTRADA DE CONSIGNADOS"</f>
        <v>RELATORIO DE ENTRADA DE CONSIGNADOS</v>
      </c>
      <c r="F6141" s="2" t="str">
        <f>"R_CONSIGNADO_ENT"</f>
        <v>R_CONSIGNADO_ENT</v>
      </c>
      <c r="G6141" s="2" t="str">
        <f t="shared" si="505"/>
        <v xml:space="preserve"> ()</v>
      </c>
    </row>
    <row r="6142" spans="1:7" x14ac:dyDescent="0.3">
      <c r="A6142" s="1" t="s">
        <v>4</v>
      </c>
      <c r="B6142" s="2" t="str">
        <f t="shared" si="502"/>
        <v>SISTEMA DE GERENCIAMENTO DE ESTOQUE</v>
      </c>
      <c r="C6142" s="2" t="str">
        <f t="shared" si="503"/>
        <v>SUPRI</v>
      </c>
      <c r="D6142" s="2" t="str">
        <f t="shared" si="504"/>
        <v>MGES</v>
      </c>
      <c r="E6142" s="2" t="str">
        <f>"RELAÇÃO DE ETIQUETA DE PRODUTOS"</f>
        <v>RELAÇÃO DE ETIQUETA DE PRODUTOS</v>
      </c>
      <c r="F6142" s="2" t="str">
        <f>"R_IMPRIMI_ETIQ_110"</f>
        <v>R_IMPRIMI_ETIQ_110</v>
      </c>
      <c r="G6142" s="2" t="str">
        <f t="shared" si="505"/>
        <v xml:space="preserve"> ()</v>
      </c>
    </row>
    <row r="6143" spans="1:7" x14ac:dyDescent="0.3">
      <c r="A6143" s="1" t="s">
        <v>4</v>
      </c>
      <c r="B6143" s="2" t="str">
        <f t="shared" si="502"/>
        <v>SISTEMA DE GERENCIAMENTO DE ESTOQUE</v>
      </c>
      <c r="C6143" s="2" t="str">
        <f t="shared" si="503"/>
        <v>SUPRI</v>
      </c>
      <c r="D6143" s="2" t="str">
        <f t="shared" si="504"/>
        <v>MGES</v>
      </c>
      <c r="E6143" s="2" t="str">
        <f>"R_BALANCO_CONTABIL_SINT_273"</f>
        <v>R_BALANCO_CONTABIL_SINT_273</v>
      </c>
      <c r="F6143" s="2" t="str">
        <f>"R_BALANCO_CONTABIL_SINT_273"</f>
        <v>R_BALANCO_CONTABIL_SINT_273</v>
      </c>
      <c r="G6143" s="2" t="str">
        <f t="shared" si="505"/>
        <v xml:space="preserve"> ()</v>
      </c>
    </row>
    <row r="6144" spans="1:7" x14ac:dyDescent="0.3">
      <c r="A6144" s="1" t="s">
        <v>4</v>
      </c>
      <c r="B6144" s="2" t="str">
        <f t="shared" si="502"/>
        <v>SISTEMA DE GERENCIAMENTO DE ESTOQUE</v>
      </c>
      <c r="C6144" s="2" t="str">
        <f t="shared" si="503"/>
        <v>SUPRI</v>
      </c>
      <c r="D6144" s="2" t="str">
        <f t="shared" si="504"/>
        <v>MGES</v>
      </c>
      <c r="E6144" s="2" t="str">
        <f>"FICHA ANÁLISE"</f>
        <v>FICHA ANÁLISE</v>
      </c>
      <c r="F6144" s="2" t="str">
        <f>"R_FICHA_ANALISE"</f>
        <v>R_FICHA_ANALISE</v>
      </c>
      <c r="G6144" s="2" t="str">
        <f>"Materiais e Logística / Almoxarifado / Relatórios / Operacionais / Análise do Custo Médio dos Produtos / Auditoria da Movimentação do Produto (R_FICHA_ANALISE)"</f>
        <v>Materiais e Logística / Almoxarifado / Relatórios / Operacionais / Análise do Custo Médio dos Produtos / Auditoria da Movimentação do Produto (R_FICHA_ANALISE)</v>
      </c>
    </row>
    <row r="6145" spans="1:7" x14ac:dyDescent="0.3">
      <c r="A6145" s="1" t="s">
        <v>4</v>
      </c>
      <c r="B6145" s="2" t="str">
        <f t="shared" si="502"/>
        <v>SISTEMA DE GERENCIAMENTO DE ESTOQUE</v>
      </c>
      <c r="C6145" s="2" t="str">
        <f t="shared" si="503"/>
        <v>SUPRI</v>
      </c>
      <c r="D6145" s="2" t="str">
        <f t="shared" si="504"/>
        <v>MGES</v>
      </c>
      <c r="E6145" s="2" t="str">
        <f>"O_GERA_INVENTARIO"</f>
        <v>O_GERA_INVENTARIO</v>
      </c>
      <c r="F6145" s="2" t="str">
        <f>"O_GERA_INVENTARIO"</f>
        <v>O_GERA_INVENTARIO</v>
      </c>
      <c r="G6145" s="2" t="str">
        <f>" ()"</f>
        <v xml:space="preserve"> ()</v>
      </c>
    </row>
    <row r="6146" spans="1:7" x14ac:dyDescent="0.3">
      <c r="A6146" s="1" t="s">
        <v>4</v>
      </c>
      <c r="B6146" s="2" t="str">
        <f t="shared" si="502"/>
        <v>SISTEMA DE GERENCIAMENTO DE ESTOQUE</v>
      </c>
      <c r="C6146" s="2" t="str">
        <f t="shared" si="503"/>
        <v>SUPRI</v>
      </c>
      <c r="D6146" s="2" t="str">
        <f t="shared" si="504"/>
        <v>MGES</v>
      </c>
      <c r="E6146" s="2" t="str">
        <f>"ALTERAÇÃO DO PRODUTO MESTRE"</f>
        <v>ALTERAÇÃO DO PRODUTO MESTRE</v>
      </c>
      <c r="F6146" s="2" t="str">
        <f>"M_ALTERA_MESTRE"</f>
        <v>M_ALTERA_MESTRE</v>
      </c>
      <c r="G6146" s="2" t="str">
        <f>"Materiais e Logística / Almoxarifado / Tabelas / Classificação dos Produtos / Alteração de Produto Mestre (M_ALTERA_MESTRE)"</f>
        <v>Materiais e Logística / Almoxarifado / Tabelas / Classificação dos Produtos / Alteração de Produto Mestre (M_ALTERA_MESTRE)</v>
      </c>
    </row>
    <row r="6147" spans="1:7" x14ac:dyDescent="0.3">
      <c r="A6147" s="1" t="s">
        <v>4</v>
      </c>
      <c r="B6147" s="2" t="str">
        <f t="shared" si="502"/>
        <v>SISTEMA DE GERENCIAMENTO DE ESTOQUE</v>
      </c>
      <c r="C6147" s="2" t="str">
        <f t="shared" si="503"/>
        <v>SUPRI</v>
      </c>
      <c r="D6147" s="2" t="str">
        <f t="shared" si="504"/>
        <v>MGES</v>
      </c>
      <c r="E6147" s="2" t="str">
        <f>"ENTRADA DE PRODUTOS"</f>
        <v>ENTRADA DE PRODUTOS</v>
      </c>
      <c r="F6147" s="2" t="str">
        <f>"R_CONS_ATE_AVICIR"</f>
        <v>R_CONS_ATE_AVICIR</v>
      </c>
      <c r="G6147" s="2" t="str">
        <f>"Materiais e Logística / Almoxarifado / Relatórios / Operacionais / Consumo das Movimentações / Produtos por Atendimento / Aviso de Cirurgia (R_CONS_ATE_AVICIR)"</f>
        <v>Materiais e Logística / Almoxarifado / Relatórios / Operacionais / Consumo das Movimentações / Produtos por Atendimento / Aviso de Cirurgia (R_CONS_ATE_AVICIR)</v>
      </c>
    </row>
    <row r="6148" spans="1:7" x14ac:dyDescent="0.3">
      <c r="A6148" s="1" t="s">
        <v>4</v>
      </c>
      <c r="B6148" s="2" t="str">
        <f t="shared" si="502"/>
        <v>SISTEMA DE GERENCIAMENTO DE ESTOQUE</v>
      </c>
      <c r="C6148" s="2" t="str">
        <f t="shared" si="503"/>
        <v>SUPRI</v>
      </c>
      <c r="D6148" s="2" t="str">
        <f t="shared" si="504"/>
        <v>MGES</v>
      </c>
      <c r="E6148" s="2" t="str">
        <f>"ENTRADA DE PRODUTO CONTÁBIL"</f>
        <v>ENTRADA DE PRODUTO CONTÁBIL</v>
      </c>
      <c r="F6148" s="2" t="str">
        <f>"R_ENT_PRO_CONTABIL"</f>
        <v>R_ENT_PRO_CONTABIL</v>
      </c>
      <c r="G6148" s="2" t="str">
        <f>"Materiais e Logística / Almoxarifado / Relatórios / Contábeis / Entrada de Produto Contábil (R_ENT_PRO_CONTABIL)"</f>
        <v>Materiais e Logística / Almoxarifado / Relatórios / Contábeis / Entrada de Produto Contábil (R_ENT_PRO_CONTABIL)</v>
      </c>
    </row>
    <row r="6149" spans="1:7" x14ac:dyDescent="0.3">
      <c r="A6149" s="1" t="s">
        <v>4</v>
      </c>
      <c r="B6149" s="2" t="str">
        <f t="shared" si="502"/>
        <v>SISTEMA DE GERENCIAMENTO DE ESTOQUE</v>
      </c>
      <c r="C6149" s="2" t="str">
        <f t="shared" si="503"/>
        <v>SUPRI</v>
      </c>
      <c r="D6149" s="2" t="str">
        <f t="shared" si="504"/>
        <v>MGES</v>
      </c>
      <c r="E6149" s="2" t="str">
        <f>"CONSUMO DE PRODUTOS"</f>
        <v>CONSUMO DE PRODUTOS</v>
      </c>
      <c r="F6149" s="2" t="str">
        <f>"R_CONS_PROD_1302"</f>
        <v>R_CONS_PROD_1302</v>
      </c>
      <c r="G6149" s="2" t="str">
        <f t="shared" ref="G6149:G6154" si="506">" ()"</f>
        <v xml:space="preserve"> ()</v>
      </c>
    </row>
    <row r="6150" spans="1:7" x14ac:dyDescent="0.3">
      <c r="A6150" s="1" t="s">
        <v>4</v>
      </c>
      <c r="B6150" s="2" t="str">
        <f t="shared" si="502"/>
        <v>SISTEMA DE GERENCIAMENTO DE ESTOQUE</v>
      </c>
      <c r="C6150" s="2" t="str">
        <f t="shared" si="503"/>
        <v>SUPRI</v>
      </c>
      <c r="D6150" s="2" t="str">
        <f t="shared" si="504"/>
        <v>MGES</v>
      </c>
      <c r="E6150" s="2" t="str">
        <f>"RELATÓRIO CONSUMO POR ESPÉCIE POR SETOR"</f>
        <v>RELATÓRIO CONSUMO POR ESPÉCIE POR SETOR</v>
      </c>
      <c r="F6150" s="2" t="str">
        <f>"R_CONS_ESP_SETOR_110"</f>
        <v>R_CONS_ESP_SETOR_110</v>
      </c>
      <c r="G6150" s="2" t="str">
        <f t="shared" si="506"/>
        <v xml:space="preserve"> ()</v>
      </c>
    </row>
    <row r="6151" spans="1:7" x14ac:dyDescent="0.3">
      <c r="A6151" s="1" t="s">
        <v>4</v>
      </c>
      <c r="B6151" s="2" t="str">
        <f t="shared" si="502"/>
        <v>SISTEMA DE GERENCIAMENTO DE ESTOQUE</v>
      </c>
      <c r="C6151" s="2" t="str">
        <f t="shared" si="503"/>
        <v>SUPRI</v>
      </c>
      <c r="D6151" s="2" t="str">
        <f t="shared" si="504"/>
        <v>MGES</v>
      </c>
      <c r="E6151" s="2" t="str">
        <f>"RELAT. DE CONS. P/SETOR P/ESPECIE"</f>
        <v>RELAT. DE CONS. P/SETOR P/ESPECIE</v>
      </c>
      <c r="F6151" s="2" t="str">
        <f>"R_CONS_SETOR_ESP_110"</f>
        <v>R_CONS_SETOR_ESP_110</v>
      </c>
      <c r="G6151" s="2" t="str">
        <f t="shared" si="506"/>
        <v xml:space="preserve"> ()</v>
      </c>
    </row>
    <row r="6152" spans="1:7" x14ac:dyDescent="0.3">
      <c r="A6152" s="1" t="s">
        <v>4</v>
      </c>
      <c r="B6152" s="2" t="str">
        <f t="shared" si="502"/>
        <v>SISTEMA DE GERENCIAMENTO DE ESTOQUE</v>
      </c>
      <c r="C6152" s="2" t="str">
        <f t="shared" si="503"/>
        <v>SUPRI</v>
      </c>
      <c r="D6152" s="2" t="str">
        <f t="shared" si="504"/>
        <v>MGES</v>
      </c>
      <c r="E6152" s="2" t="str">
        <f>"LISTA DE PRODUTOS"</f>
        <v>LISTA DE PRODUTOS</v>
      </c>
      <c r="F6152" s="2" t="str">
        <f>"R_LISTA_PRODUTOS"</f>
        <v>R_LISTA_PRODUTOS</v>
      </c>
      <c r="G6152" s="2" t="str">
        <f t="shared" si="506"/>
        <v xml:space="preserve"> ()</v>
      </c>
    </row>
    <row r="6153" spans="1:7" x14ac:dyDescent="0.3">
      <c r="A6153" s="1" t="s">
        <v>4</v>
      </c>
      <c r="B6153" s="2" t="str">
        <f t="shared" si="502"/>
        <v>SISTEMA DE GERENCIAMENTO DE ESTOQUE</v>
      </c>
      <c r="C6153" s="2" t="str">
        <f t="shared" si="503"/>
        <v>SUPRI</v>
      </c>
      <c r="D6153" s="2" t="str">
        <f t="shared" si="504"/>
        <v>MGES</v>
      </c>
      <c r="E6153" s="2" t="str">
        <f>"R_CONS_PAC_ULT_ENT"</f>
        <v>R_CONS_PAC_ULT_ENT</v>
      </c>
      <c r="F6153" s="2" t="str">
        <f>"R_CONS_PAC_ULT_ENT"</f>
        <v>R_CONS_PAC_ULT_ENT</v>
      </c>
      <c r="G6153" s="2" t="str">
        <f t="shared" si="506"/>
        <v xml:space="preserve"> ()</v>
      </c>
    </row>
    <row r="6154" spans="1:7" x14ac:dyDescent="0.3">
      <c r="A6154" s="1" t="s">
        <v>4</v>
      </c>
      <c r="B6154" s="2" t="str">
        <f t="shared" si="502"/>
        <v>SISTEMA DE GERENCIAMENTO DE ESTOQUE</v>
      </c>
      <c r="C6154" s="2" t="str">
        <f t="shared" si="503"/>
        <v>SUPRI</v>
      </c>
      <c r="D6154" s="2" t="str">
        <f t="shared" si="504"/>
        <v>MGES</v>
      </c>
      <c r="E6154" s="2" t="str">
        <f>"LIVRO DE REGISTRO ESPECÍFICO"</f>
        <v>LIVRO DE REGISTRO ESPECÍFICO</v>
      </c>
      <c r="F6154" s="2" t="str">
        <f>"R_LIVRO_REG_750"</f>
        <v>R_LIVRO_REG_750</v>
      </c>
      <c r="G6154" s="2" t="str">
        <f t="shared" si="506"/>
        <v xml:space="preserve"> ()</v>
      </c>
    </row>
    <row r="6155" spans="1:7" x14ac:dyDescent="0.3">
      <c r="A6155" s="1" t="s">
        <v>4</v>
      </c>
      <c r="B6155" s="2" t="str">
        <f t="shared" si="502"/>
        <v>SISTEMA DE GERENCIAMENTO DE ESTOQUE</v>
      </c>
      <c r="C6155" s="2" t="str">
        <f t="shared" si="503"/>
        <v>SUPRI</v>
      </c>
      <c r="D6155" s="2" t="str">
        <f t="shared" si="504"/>
        <v>MGES</v>
      </c>
      <c r="E6155" s="2" t="str">
        <f>"REL DE CUSTOS DE SAIDAS POR SETOR"</f>
        <v>REL DE CUSTOS DE SAIDAS POR SETOR</v>
      </c>
      <c r="F6155" s="2" t="str">
        <f>"R_CUSTO_SAIDA_SETOR"</f>
        <v>R_CUSTO_SAIDA_SETOR</v>
      </c>
      <c r="G6155" s="2" t="str">
        <f>"Materiais e Logística / Compras / Relatórios / Gerenciais / Custos das Saídas por Setor (R_CUSTO_SAIDA_SETOR)"</f>
        <v>Materiais e Logística / Compras / Relatórios / Gerenciais / Custos das Saídas por Setor (R_CUSTO_SAIDA_SETOR)</v>
      </c>
    </row>
    <row r="6156" spans="1:7" x14ac:dyDescent="0.3">
      <c r="A6156" s="1" t="s">
        <v>4</v>
      </c>
      <c r="B6156" s="2" t="str">
        <f t="shared" si="502"/>
        <v>SISTEMA DE GERENCIAMENTO DE ESTOQUE</v>
      </c>
      <c r="C6156" s="2" t="str">
        <f t="shared" si="503"/>
        <v>SUPRI</v>
      </c>
      <c r="D6156" s="2" t="str">
        <f t="shared" si="504"/>
        <v>MGES</v>
      </c>
      <c r="E6156" s="2" t="str">
        <f>"REL DE CUSTOS DE SAIDAS POR SETOR"</f>
        <v>REL DE CUSTOS DE SAIDAS POR SETOR</v>
      </c>
      <c r="F6156" s="2" t="str">
        <f>"R_CUSTO_SAIDA_SETOR"</f>
        <v>R_CUSTO_SAIDA_SETOR</v>
      </c>
      <c r="G6156" s="2" t="str">
        <f>"Materiais e Logística / Almoxarifado / Relatórios / Contábeis / Custos do Consumo por Setor (R_CUSTO_SAIDA_SETOR)"</f>
        <v>Materiais e Logística / Almoxarifado / Relatórios / Contábeis / Custos do Consumo por Setor (R_CUSTO_SAIDA_SETOR)</v>
      </c>
    </row>
    <row r="6157" spans="1:7" x14ac:dyDescent="0.3">
      <c r="A6157" s="1" t="s">
        <v>4</v>
      </c>
      <c r="B6157" s="2" t="str">
        <f t="shared" si="502"/>
        <v>SISTEMA DE GERENCIAMENTO DE ESTOQUE</v>
      </c>
      <c r="C6157" s="2" t="str">
        <f t="shared" si="503"/>
        <v>SUPRI</v>
      </c>
      <c r="D6157" s="2" t="str">
        <f t="shared" si="504"/>
        <v>MGES</v>
      </c>
      <c r="E6157" s="2" t="str">
        <f>"REL DE BALANÇO DE MOVIMENTO DE MATERIAIS"</f>
        <v>REL DE BALANÇO DE MOVIMENTO DE MATERIAIS</v>
      </c>
      <c r="F6157" s="2" t="str">
        <f>"R_BALANCO_MAT"</f>
        <v>R_BALANCO_MAT</v>
      </c>
      <c r="G6157" s="2" t="str">
        <f>"Materiais e Logística / Compras / Relatórios / Gerenciais / Balanço de Movimento de Produtos (R_BALANCO_MAT)"</f>
        <v>Materiais e Logística / Compras / Relatórios / Gerenciais / Balanço de Movimento de Produtos (R_BALANCO_MAT)</v>
      </c>
    </row>
    <row r="6158" spans="1:7" x14ac:dyDescent="0.3">
      <c r="A6158" s="1" t="s">
        <v>4</v>
      </c>
      <c r="B6158" s="2" t="str">
        <f t="shared" si="502"/>
        <v>SISTEMA DE GERENCIAMENTO DE ESTOQUE</v>
      </c>
      <c r="C6158" s="2" t="str">
        <f t="shared" si="503"/>
        <v>SUPRI</v>
      </c>
      <c r="D6158" s="2" t="str">
        <f t="shared" si="504"/>
        <v>MGES</v>
      </c>
      <c r="E6158" s="2" t="str">
        <f>"REL DE BALANÇO DE MOVIMENTO DE MATERIAIS"</f>
        <v>REL DE BALANÇO DE MOVIMENTO DE MATERIAIS</v>
      </c>
      <c r="F6158" s="2" t="str">
        <f>"R_BALANCO_MAT"</f>
        <v>R_BALANCO_MAT</v>
      </c>
      <c r="G6158" s="2" t="str">
        <f>"Materiais e Logística / Almoxarifado / Relatórios / Gerenciais / Balanço de Movimento de Produtos (R_BALANCO_MAT)"</f>
        <v>Materiais e Logística / Almoxarifado / Relatórios / Gerenciais / Balanço de Movimento de Produtos (R_BALANCO_MAT)</v>
      </c>
    </row>
    <row r="6159" spans="1:7" x14ac:dyDescent="0.3">
      <c r="A6159" s="1" t="s">
        <v>4</v>
      </c>
      <c r="B6159" s="2" t="str">
        <f t="shared" si="502"/>
        <v>SISTEMA DE GERENCIAMENTO DE ESTOQUE</v>
      </c>
      <c r="C6159" s="2" t="str">
        <f t="shared" si="503"/>
        <v>SUPRI</v>
      </c>
      <c r="D6159" s="2" t="str">
        <f t="shared" si="504"/>
        <v>MGES</v>
      </c>
      <c r="E6159" s="2" t="str">
        <f>"REL DE DIVERGÊNCIAS DA CONTA"</f>
        <v>REL DE DIVERGÊNCIAS DA CONTA</v>
      </c>
      <c r="F6159" s="2" t="str">
        <f>"R_DIVERGE_CONTA"</f>
        <v>R_DIVERGE_CONTA</v>
      </c>
      <c r="G6159" s="2" t="str">
        <f>"Materiais e Logística / Almoxarifado / Relatórios / Contagem / Divergências da Contagem (R_DIVERGE_CONTA)"</f>
        <v>Materiais e Logística / Almoxarifado / Relatórios / Contagem / Divergências da Contagem (R_DIVERGE_CONTA)</v>
      </c>
    </row>
    <row r="6160" spans="1:7" x14ac:dyDescent="0.3">
      <c r="A6160" s="1" t="s">
        <v>4</v>
      </c>
      <c r="B6160" s="2" t="str">
        <f t="shared" si="502"/>
        <v>SISTEMA DE GERENCIAMENTO DE ESTOQUE</v>
      </c>
      <c r="C6160" s="2" t="str">
        <f t="shared" si="503"/>
        <v>SUPRI</v>
      </c>
      <c r="D6160" s="2" t="str">
        <f t="shared" si="504"/>
        <v>MGES</v>
      </c>
      <c r="E6160" s="2" t="str">
        <f>"RELAT. BALANÇO DO ESTOQUE POR ESPECIE"</f>
        <v>RELAT. BALANÇO DO ESTOQUE POR ESPECIE</v>
      </c>
      <c r="F6160" s="2" t="str">
        <f>"R_BAL_EST"</f>
        <v>R_BAL_EST</v>
      </c>
      <c r="G6160" s="2" t="str">
        <f>"Materiais e Logística / Almoxarifado / Relatórios / Contagem / Balanço do Estoque (R_BAL_EST)"</f>
        <v>Materiais e Logística / Almoxarifado / Relatórios / Contagem / Balanço do Estoque (R_BAL_EST)</v>
      </c>
    </row>
    <row r="6161" spans="1:7" x14ac:dyDescent="0.3">
      <c r="A6161" s="1" t="s">
        <v>4</v>
      </c>
      <c r="B6161" s="2" t="str">
        <f t="shared" si="502"/>
        <v>SISTEMA DE GERENCIAMENTO DE ESTOQUE</v>
      </c>
      <c r="C6161" s="2" t="str">
        <f t="shared" si="503"/>
        <v>SUPRI</v>
      </c>
      <c r="D6161" s="2" t="str">
        <f t="shared" si="504"/>
        <v>MGES</v>
      </c>
      <c r="E6161" s="2" t="str">
        <f>"DESTINO DE SAIDA"</f>
        <v>DESTINO DE SAIDA</v>
      </c>
      <c r="F6161" s="2" t="str">
        <f>"M_DESSAI"</f>
        <v>M_DESSAI</v>
      </c>
      <c r="G6161" s="2" t="str">
        <f>" ()"</f>
        <v xml:space="preserve"> ()</v>
      </c>
    </row>
    <row r="6162" spans="1:7" x14ac:dyDescent="0.3">
      <c r="A6162" s="1" t="s">
        <v>4</v>
      </c>
      <c r="B6162" s="2" t="str">
        <f t="shared" si="502"/>
        <v>SISTEMA DE GERENCIAMENTO DE ESTOQUE</v>
      </c>
      <c r="C6162" s="2" t="str">
        <f t="shared" si="503"/>
        <v>SUPRI</v>
      </c>
      <c r="D6162" s="2" t="str">
        <f t="shared" si="504"/>
        <v>MGES</v>
      </c>
      <c r="E6162" s="2" t="str">
        <f>"CONTAGEM"</f>
        <v>CONTAGEM</v>
      </c>
      <c r="F6162" s="2" t="str">
        <f>"O_CONTAGEM"</f>
        <v>O_CONTAGEM</v>
      </c>
      <c r="G6162" s="2" t="str">
        <f>"Materiais e Logística / Almoxarifado / Inventário / Digitação dos Produtos (O_CONTAGEM)"</f>
        <v>Materiais e Logística / Almoxarifado / Inventário / Digitação dos Produtos (O_CONTAGEM)</v>
      </c>
    </row>
    <row r="6163" spans="1:7" x14ac:dyDescent="0.3">
      <c r="A6163" s="1" t="s">
        <v>4</v>
      </c>
      <c r="B6163" s="2" t="str">
        <f t="shared" si="502"/>
        <v>SISTEMA DE GERENCIAMENTO DE ESTOQUE</v>
      </c>
      <c r="C6163" s="2" t="str">
        <f t="shared" si="503"/>
        <v>SUPRI</v>
      </c>
      <c r="D6163" s="2" t="str">
        <f t="shared" si="504"/>
        <v>MGES</v>
      </c>
      <c r="E6163" s="2" t="str">
        <f>"CONTAGEM"</f>
        <v>CONTAGEM</v>
      </c>
      <c r="F6163" s="2" t="str">
        <f>"O_CONTAGEM"</f>
        <v>O_CONTAGEM</v>
      </c>
      <c r="G6163" s="2" t="str">
        <f>"Materiais e Logística / Farmácia / Inventário / Digitação dos Produtos (O_CONTAGEM)"</f>
        <v>Materiais e Logística / Farmácia / Inventário / Digitação dos Produtos (O_CONTAGEM)</v>
      </c>
    </row>
    <row r="6164" spans="1:7" x14ac:dyDescent="0.3">
      <c r="A6164" s="1" t="s">
        <v>4</v>
      </c>
      <c r="B6164" s="2" t="str">
        <f t="shared" si="502"/>
        <v>SISTEMA DE GERENCIAMENTO DE ESTOQUE</v>
      </c>
      <c r="C6164" s="2" t="str">
        <f t="shared" si="503"/>
        <v>SUPRI</v>
      </c>
      <c r="D6164" s="2" t="str">
        <f t="shared" si="504"/>
        <v>MGES</v>
      </c>
      <c r="E6164" s="2" t="str">
        <f>"CALCULA QUANTIDADE"</f>
        <v>CALCULA QUANTIDADE</v>
      </c>
      <c r="F6164" s="2" t="str">
        <f>"O_CALQTD"</f>
        <v>O_CALQTD</v>
      </c>
      <c r="G6164" s="2" t="str">
        <f>" ()"</f>
        <v xml:space="preserve"> ()</v>
      </c>
    </row>
    <row r="6165" spans="1:7" x14ac:dyDescent="0.3">
      <c r="A6165" s="1" t="s">
        <v>4</v>
      </c>
      <c r="B6165" s="2" t="str">
        <f t="shared" si="502"/>
        <v>SISTEMA DE GERENCIAMENTO DE ESTOQUE</v>
      </c>
      <c r="C6165" s="2" t="str">
        <f t="shared" si="503"/>
        <v>SUPRI</v>
      </c>
      <c r="D6165" s="2" t="str">
        <f t="shared" si="504"/>
        <v>MGES</v>
      </c>
      <c r="E6165" s="2" t="str">
        <f>"VENDAS DE PRODUTOS"</f>
        <v>VENDAS DE PRODUTOS</v>
      </c>
      <c r="F6165" s="2" t="str">
        <f>"M_VENPRO"</f>
        <v>M_VENPRO</v>
      </c>
      <c r="G6165" s="2" t="str">
        <f>" ()"</f>
        <v xml:space="preserve"> ()</v>
      </c>
    </row>
    <row r="6166" spans="1:7" x14ac:dyDescent="0.3">
      <c r="A6166" s="1" t="s">
        <v>4</v>
      </c>
      <c r="B6166" s="2" t="str">
        <f t="shared" si="502"/>
        <v>SISTEMA DE GERENCIAMENTO DE ESTOQUE</v>
      </c>
      <c r="C6166" s="2" t="str">
        <f t="shared" si="503"/>
        <v>SUPRI</v>
      </c>
      <c r="D6166" s="2" t="str">
        <f t="shared" si="504"/>
        <v>MGES</v>
      </c>
      <c r="E6166" s="2" t="str">
        <f>"BALANCO DO ESTOQUE"</f>
        <v>BALANCO DO ESTOQUE</v>
      </c>
      <c r="F6166" s="2" t="str">
        <f>"M_BALANCO"</f>
        <v>M_BALANCO</v>
      </c>
      <c r="G6166" s="2" t="str">
        <f>"Materiais e Logística / Almoxarifado / Inventário / Balanço do Estoque (M_BALANCO)"</f>
        <v>Materiais e Logística / Almoxarifado / Inventário / Balanço do Estoque (M_BALANCO)</v>
      </c>
    </row>
    <row r="6167" spans="1:7" x14ac:dyDescent="0.3">
      <c r="A6167" s="1" t="s">
        <v>4</v>
      </c>
      <c r="B6167" s="2" t="str">
        <f t="shared" si="502"/>
        <v>SISTEMA DE GERENCIAMENTO DE ESTOQUE</v>
      </c>
      <c r="C6167" s="2" t="str">
        <f t="shared" si="503"/>
        <v>SUPRI</v>
      </c>
      <c r="D6167" s="2" t="str">
        <f t="shared" si="504"/>
        <v>MGES</v>
      </c>
      <c r="E6167" s="2" t="str">
        <f>"BALANCO DO ESTOQUE"</f>
        <v>BALANCO DO ESTOQUE</v>
      </c>
      <c r="F6167" s="2" t="str">
        <f>"M_BALANCO"</f>
        <v>M_BALANCO</v>
      </c>
      <c r="G6167" s="2" t="str">
        <f>"Materiais e Logística / Farmácia / Inventário / Balanço do Estoque (M_BALANCO)"</f>
        <v>Materiais e Logística / Farmácia / Inventário / Balanço do Estoque (M_BALANCO)</v>
      </c>
    </row>
    <row r="6168" spans="1:7" x14ac:dyDescent="0.3">
      <c r="A6168" s="1" t="s">
        <v>4</v>
      </c>
      <c r="B6168" s="2" t="str">
        <f t="shared" si="502"/>
        <v>SISTEMA DE GERENCIAMENTO DE ESTOQUE</v>
      </c>
      <c r="C6168" s="2" t="str">
        <f t="shared" si="503"/>
        <v>SUPRI</v>
      </c>
      <c r="D6168" s="2" t="str">
        <f t="shared" si="504"/>
        <v>MGES</v>
      </c>
      <c r="E6168" s="2" t="str">
        <f>"BAIXA DA SOLICITACAO"</f>
        <v>BAIXA DA SOLICITACAO</v>
      </c>
      <c r="F6168" s="2" t="str">
        <f>"M_BAIXASOL"</f>
        <v>M_BAIXASOL</v>
      </c>
      <c r="G6168" s="2" t="str">
        <f>"Materiais e Logística / Almoxarifado / Solicitações / Atender (M_BAIXASOL)"</f>
        <v>Materiais e Logística / Almoxarifado / Solicitações / Atender (M_BAIXASOL)</v>
      </c>
    </row>
    <row r="6169" spans="1:7" x14ac:dyDescent="0.3">
      <c r="A6169" s="1" t="s">
        <v>4</v>
      </c>
      <c r="B6169" s="2" t="str">
        <f t="shared" si="502"/>
        <v>SISTEMA DE GERENCIAMENTO DE ESTOQUE</v>
      </c>
      <c r="C6169" s="2" t="str">
        <f t="shared" si="503"/>
        <v>SUPRI</v>
      </c>
      <c r="D6169" s="2" t="str">
        <f t="shared" si="504"/>
        <v>MGES</v>
      </c>
      <c r="E6169" s="2" t="str">
        <f>"BAIXA DA SOLICITACAO"</f>
        <v>BAIXA DA SOLICITACAO</v>
      </c>
      <c r="F6169" s="2" t="str">
        <f>"M_BAIXASOL"</f>
        <v>M_BAIXASOL</v>
      </c>
      <c r="G6169" s="2" t="str">
        <f>"Atendimento / Internação Domiciliar (Home Care) / Estoque / Atender Solicitações (M_BAIXASOL)"</f>
        <v>Atendimento / Internação Domiciliar (Home Care) / Estoque / Atender Solicitações (M_BAIXASOL)</v>
      </c>
    </row>
    <row r="6170" spans="1:7" x14ac:dyDescent="0.3">
      <c r="A6170" s="1" t="s">
        <v>4</v>
      </c>
      <c r="B6170" s="2" t="str">
        <f t="shared" ref="B6170:B6233" si="507">"SISTEMA DE GERENCIAMENTO DE ESTOQUE"</f>
        <v>SISTEMA DE GERENCIAMENTO DE ESTOQUE</v>
      </c>
      <c r="C6170" s="2" t="str">
        <f t="shared" ref="C6170:C6233" si="508">"SUPRI"</f>
        <v>SUPRI</v>
      </c>
      <c r="D6170" s="2" t="str">
        <f t="shared" ref="D6170:D6233" si="509">"MGES"</f>
        <v>MGES</v>
      </c>
      <c r="E6170" s="2" t="str">
        <f>"BAIXA DE PRODUTO"</f>
        <v>BAIXA DE PRODUTO</v>
      </c>
      <c r="F6170" s="2" t="str">
        <f>"M_BAIPRO"</f>
        <v>M_BAIPRO</v>
      </c>
      <c r="G6170" s="2" t="str">
        <f>"Materiais e Logística / Almoxarifado / Movimentações / Baixa de Produtos (M_BAIPRO)"</f>
        <v>Materiais e Logística / Almoxarifado / Movimentações / Baixa de Produtos (M_BAIPRO)</v>
      </c>
    </row>
    <row r="6171" spans="1:7" x14ac:dyDescent="0.3">
      <c r="A6171" s="1" t="s">
        <v>4</v>
      </c>
      <c r="B6171" s="2" t="str">
        <f t="shared" si="507"/>
        <v>SISTEMA DE GERENCIAMENTO DE ESTOQUE</v>
      </c>
      <c r="C6171" s="2" t="str">
        <f t="shared" si="508"/>
        <v>SUPRI</v>
      </c>
      <c r="D6171" s="2" t="str">
        <f t="shared" si="509"/>
        <v>MGES</v>
      </c>
      <c r="E6171" s="2" t="str">
        <f>"BAIXA DE PRODUTO"</f>
        <v>BAIXA DE PRODUTO</v>
      </c>
      <c r="F6171" s="2" t="str">
        <f>"M_BAIPRO"</f>
        <v>M_BAIPRO</v>
      </c>
      <c r="G6171" s="2" t="str">
        <f>"Serviços de Apoio / Central de Materiais Esterilizados / Movimentações / Baixa de Produtos do Estoque (M_BAIPRO)"</f>
        <v>Serviços de Apoio / Central de Materiais Esterilizados / Movimentações / Baixa de Produtos do Estoque (M_BAIPRO)</v>
      </c>
    </row>
    <row r="6172" spans="1:7" x14ac:dyDescent="0.3">
      <c r="A6172" s="1" t="s">
        <v>4</v>
      </c>
      <c r="B6172" s="2" t="str">
        <f t="shared" si="507"/>
        <v>SISTEMA DE GERENCIAMENTO DE ESTOQUE</v>
      </c>
      <c r="C6172" s="2" t="str">
        <f t="shared" si="508"/>
        <v>SUPRI</v>
      </c>
      <c r="D6172" s="2" t="str">
        <f t="shared" si="509"/>
        <v>MGES</v>
      </c>
      <c r="E6172" s="2" t="str">
        <f>"PRODUTOS E UNIDADES"</f>
        <v>PRODUTOS E UNIDADES</v>
      </c>
      <c r="F6172" s="2" t="str">
        <f>"C_PROUNID"</f>
        <v>C_PROUNID</v>
      </c>
      <c r="G6172" s="2" t="str">
        <f>"Materiais e Logística / Almoxarifado / Personalizados / Consulta de Produtos Por Unidade de Internação (C_PROUNID)"</f>
        <v>Materiais e Logística / Almoxarifado / Personalizados / Consulta de Produtos Por Unidade de Internação (C_PROUNID)</v>
      </c>
    </row>
    <row r="6173" spans="1:7" x14ac:dyDescent="0.3">
      <c r="A6173" s="1" t="s">
        <v>4</v>
      </c>
      <c r="B6173" s="2" t="str">
        <f t="shared" si="507"/>
        <v>SISTEMA DE GERENCIAMENTO DE ESTOQUE</v>
      </c>
      <c r="C6173" s="2" t="str">
        <f t="shared" si="508"/>
        <v>SUPRI</v>
      </c>
      <c r="D6173" s="2" t="str">
        <f t="shared" si="509"/>
        <v>MGES</v>
      </c>
      <c r="E6173" s="2" t="str">
        <f>"PRODUTOS SUBSTANCIAS"</f>
        <v>PRODUTOS SUBSTANCIAS</v>
      </c>
      <c r="F6173" s="2" t="str">
        <f>"C_PROSUB"</f>
        <v>C_PROSUB</v>
      </c>
      <c r="G6173" s="2" t="str">
        <f>"Materiais e Logística / Almoxarifado / Consultas / Padronização / Produtos por Substância (C_PROSUB)"</f>
        <v>Materiais e Logística / Almoxarifado / Consultas / Padronização / Produtos por Substância (C_PROSUB)</v>
      </c>
    </row>
    <row r="6174" spans="1:7" x14ac:dyDescent="0.3">
      <c r="A6174" s="1" t="s">
        <v>4</v>
      </c>
      <c r="B6174" s="2" t="str">
        <f t="shared" si="507"/>
        <v>SISTEMA DE GERENCIAMENTO DE ESTOQUE</v>
      </c>
      <c r="C6174" s="2" t="str">
        <f t="shared" si="508"/>
        <v>SUPRI</v>
      </c>
      <c r="D6174" s="2" t="str">
        <f t="shared" si="509"/>
        <v>MGES</v>
      </c>
      <c r="E6174" s="2" t="str">
        <f>"PRODUTOS LABORATORIOS"</f>
        <v>PRODUTOS LABORATORIOS</v>
      </c>
      <c r="F6174" s="2" t="str">
        <f>"C_PROLAB"</f>
        <v>C_PROLAB</v>
      </c>
      <c r="G6174" s="2" t="str">
        <f>"Materiais e Logística / Almoxarifado / Consultas / Padronização / Produtos do Laboratório (C_PROLAB)"</f>
        <v>Materiais e Logística / Almoxarifado / Consultas / Padronização / Produtos do Laboratório (C_PROLAB)</v>
      </c>
    </row>
    <row r="6175" spans="1:7" x14ac:dyDescent="0.3">
      <c r="A6175" s="1" t="s">
        <v>4</v>
      </c>
      <c r="B6175" s="2" t="str">
        <f t="shared" si="507"/>
        <v>SISTEMA DE GERENCIAMENTO DE ESTOQUE</v>
      </c>
      <c r="C6175" s="2" t="str">
        <f t="shared" si="508"/>
        <v>SUPRI</v>
      </c>
      <c r="D6175" s="2" t="str">
        <f t="shared" si="509"/>
        <v>MGES</v>
      </c>
      <c r="E6175" s="2" t="str">
        <f>"PRODUTOS ATENDIMENTO"</f>
        <v>PRODUTOS ATENDIMENTO</v>
      </c>
      <c r="F6175" s="2" t="str">
        <f>"C_PRODATEND"</f>
        <v>C_PRODATEND</v>
      </c>
      <c r="G6175" s="2" t="str">
        <f>"Materiais e Logística / Almoxarifado / Consultas / Consumos / Consumo do Atendimento (C_PRODATEND)"</f>
        <v>Materiais e Logística / Almoxarifado / Consultas / Consumos / Consumo do Atendimento (C_PRODATEND)</v>
      </c>
    </row>
    <row r="6176" spans="1:7" x14ac:dyDescent="0.3">
      <c r="A6176" s="1" t="s">
        <v>4</v>
      </c>
      <c r="B6176" s="2" t="str">
        <f t="shared" si="507"/>
        <v>SISTEMA DE GERENCIAMENTO DE ESTOQUE</v>
      </c>
      <c r="C6176" s="2" t="str">
        <f t="shared" si="508"/>
        <v>SUPRI</v>
      </c>
      <c r="D6176" s="2" t="str">
        <f t="shared" si="509"/>
        <v>MGES</v>
      </c>
      <c r="E6176" s="2" t="str">
        <f>"PRODUTOS E ACOES TERAPEUTICA"</f>
        <v>PRODUTOS E ACOES TERAPEUTICA</v>
      </c>
      <c r="F6176" s="2" t="str">
        <f>"C_PROACO"</f>
        <v>C_PROACO</v>
      </c>
      <c r="G6176" s="2" t="str">
        <f>"Materiais e Logística / Almoxarifado / Consultas / Padronização / Produtos por Ação Terap. (C_PROACO)"</f>
        <v>Materiais e Logística / Almoxarifado / Consultas / Padronização / Produtos por Ação Terap. (C_PROACO)</v>
      </c>
    </row>
    <row r="6177" spans="1:7" x14ac:dyDescent="0.3">
      <c r="A6177" s="1" t="s">
        <v>4</v>
      </c>
      <c r="B6177" s="2" t="str">
        <f t="shared" si="507"/>
        <v>SISTEMA DE GERENCIAMENTO DE ESTOQUE</v>
      </c>
      <c r="C6177" s="2" t="str">
        <f t="shared" si="508"/>
        <v>SUPRI</v>
      </c>
      <c r="D6177" s="2" t="str">
        <f t="shared" si="509"/>
        <v>MGES</v>
      </c>
      <c r="E6177" s="2" t="str">
        <f>"LOTE DE PRODUTOS"</f>
        <v>LOTE DE PRODUTOS</v>
      </c>
      <c r="F6177" s="2" t="str">
        <f>"C_LOTPRO"</f>
        <v>C_LOTPRO</v>
      </c>
      <c r="G6177" s="2" t="str">
        <f>"Materiais e Logística / Almoxarifado / Consultas / Estoques dos Produtos / Lotes do Estoque (C_LOTPRO)"</f>
        <v>Materiais e Logística / Almoxarifado / Consultas / Estoques dos Produtos / Lotes do Estoque (C_LOTPRO)</v>
      </c>
    </row>
    <row r="6178" spans="1:7" x14ac:dyDescent="0.3">
      <c r="A6178" s="1" t="s">
        <v>4</v>
      </c>
      <c r="B6178" s="2" t="str">
        <f t="shared" si="507"/>
        <v>SISTEMA DE GERENCIAMENTO DE ESTOQUE</v>
      </c>
      <c r="C6178" s="2" t="str">
        <f t="shared" si="508"/>
        <v>SUPRI</v>
      </c>
      <c r="D6178" s="2" t="str">
        <f t="shared" si="509"/>
        <v>MGES</v>
      </c>
      <c r="E6178" s="2" t="str">
        <f>"UNIDADE DE INTERNACAO"</f>
        <v>UNIDADE DE INTERNACAO</v>
      </c>
      <c r="F6178" s="2" t="str">
        <f>"C_ESTUNIDINT"</f>
        <v>C_ESTUNIDINT</v>
      </c>
      <c r="G6178" s="2" t="str">
        <f>" ()"</f>
        <v xml:space="preserve"> ()</v>
      </c>
    </row>
    <row r="6179" spans="1:7" x14ac:dyDescent="0.3">
      <c r="A6179" s="1" t="s">
        <v>4</v>
      </c>
      <c r="B6179" s="2" t="str">
        <f t="shared" si="507"/>
        <v>SISTEMA DE GERENCIAMENTO DE ESTOQUE</v>
      </c>
      <c r="C6179" s="2" t="str">
        <f t="shared" si="508"/>
        <v>SUPRI</v>
      </c>
      <c r="D6179" s="2" t="str">
        <f t="shared" si="509"/>
        <v>MGES</v>
      </c>
      <c r="E6179" s="2" t="s">
        <v>19</v>
      </c>
      <c r="F6179" s="2" t="s">
        <v>20</v>
      </c>
      <c r="G6179" s="2" t="s">
        <v>32</v>
      </c>
    </row>
    <row r="6180" spans="1:7" x14ac:dyDescent="0.3">
      <c r="A6180" s="1" t="s">
        <v>4</v>
      </c>
      <c r="B6180" s="2" t="str">
        <f t="shared" si="507"/>
        <v>SISTEMA DE GERENCIAMENTO DE ESTOQUE</v>
      </c>
      <c r="C6180" s="2" t="str">
        <f t="shared" si="508"/>
        <v>SUPRI</v>
      </c>
      <c r="D6180" s="2" t="str">
        <f t="shared" si="509"/>
        <v>MGES</v>
      </c>
      <c r="E6180" s="2" t="s">
        <v>19</v>
      </c>
      <c r="F6180" s="2" t="s">
        <v>20</v>
      </c>
      <c r="G6180" s="2" t="s">
        <v>32</v>
      </c>
    </row>
    <row r="6181" spans="1:7" x14ac:dyDescent="0.3">
      <c r="A6181" s="1" t="s">
        <v>4</v>
      </c>
      <c r="B6181" s="2" t="str">
        <f t="shared" si="507"/>
        <v>SISTEMA DE GERENCIAMENTO DE ESTOQUE</v>
      </c>
      <c r="C6181" s="2" t="str">
        <f t="shared" si="508"/>
        <v>SUPRI</v>
      </c>
      <c r="D6181" s="2" t="str">
        <f t="shared" si="509"/>
        <v>MGES</v>
      </c>
      <c r="E6181" s="2" t="str">
        <f>"TESTE"</f>
        <v>TESTE</v>
      </c>
      <c r="F6181" s="2" t="str">
        <f>"M_TRAPRO_CONTAGEM"</f>
        <v>M_TRAPRO_CONTAGEM</v>
      </c>
      <c r="G6181" s="2" t="str">
        <f t="shared" ref="G6181:G6187" si="510">" ()"</f>
        <v xml:space="preserve"> ()</v>
      </c>
    </row>
    <row r="6182" spans="1:7" x14ac:dyDescent="0.3">
      <c r="A6182" s="1" t="s">
        <v>4</v>
      </c>
      <c r="B6182" s="2" t="str">
        <f t="shared" si="507"/>
        <v>SISTEMA DE GERENCIAMENTO DE ESTOQUE</v>
      </c>
      <c r="C6182" s="2" t="str">
        <f t="shared" si="508"/>
        <v>SUPRI</v>
      </c>
      <c r="D6182" s="2" t="str">
        <f t="shared" si="509"/>
        <v>MGES</v>
      </c>
      <c r="E6182" s="2" t="str">
        <f>"ENTRADA DOS PRODUTOS"</f>
        <v>ENTRADA DOS PRODUTOS</v>
      </c>
      <c r="F6182" s="2" t="str">
        <f>"M_ENTRADA_NOVA_TEST"</f>
        <v>M_ENTRADA_NOVA_TEST</v>
      </c>
      <c r="G6182" s="2" t="str">
        <f t="shared" si="510"/>
        <v xml:space="preserve"> ()</v>
      </c>
    </row>
    <row r="6183" spans="1:7" x14ac:dyDescent="0.3">
      <c r="A6183" s="1" t="s">
        <v>4</v>
      </c>
      <c r="B6183" s="2" t="str">
        <f t="shared" si="507"/>
        <v>SISTEMA DE GERENCIAMENTO DE ESTOQUE</v>
      </c>
      <c r="C6183" s="2" t="str">
        <f t="shared" si="508"/>
        <v>SUPRI</v>
      </c>
      <c r="D6183" s="2" t="str">
        <f t="shared" si="509"/>
        <v>MGES</v>
      </c>
      <c r="E6183" s="2" t="str">
        <f>"R_VERIFICACAO_ROTATIVA"</f>
        <v>R_VERIFICACAO_ROTATIVA</v>
      </c>
      <c r="F6183" s="2" t="str">
        <f>"R_VERIFICACAO_ROTATIVA"</f>
        <v>R_VERIFICACAO_ROTATIVA</v>
      </c>
      <c r="G6183" s="2" t="str">
        <f t="shared" si="510"/>
        <v xml:space="preserve"> ()</v>
      </c>
    </row>
    <row r="6184" spans="1:7" x14ac:dyDescent="0.3">
      <c r="A6184" s="1" t="s">
        <v>4</v>
      </c>
      <c r="B6184" s="2" t="str">
        <f t="shared" si="507"/>
        <v>SISTEMA DE GERENCIAMENTO DE ESTOQUE</v>
      </c>
      <c r="C6184" s="2" t="str">
        <f t="shared" si="508"/>
        <v>SUPRI</v>
      </c>
      <c r="D6184" s="2" t="str">
        <f t="shared" si="509"/>
        <v>MGES</v>
      </c>
      <c r="E6184" s="2" t="str">
        <f>"R_ITENS_SEM_VERIF_ROTATIVA"</f>
        <v>R_ITENS_SEM_VERIF_ROTATIVA</v>
      </c>
      <c r="F6184" s="2" t="str">
        <f>"R_ITENS_SEM_VERIF_ROTATIVA"</f>
        <v>R_ITENS_SEM_VERIF_ROTATIVA</v>
      </c>
      <c r="G6184" s="2" t="str">
        <f t="shared" si="510"/>
        <v xml:space="preserve"> ()</v>
      </c>
    </row>
    <row r="6185" spans="1:7" x14ac:dyDescent="0.3">
      <c r="A6185" s="1" t="s">
        <v>4</v>
      </c>
      <c r="B6185" s="2" t="str">
        <f t="shared" si="507"/>
        <v>SISTEMA DE GERENCIAMENTO DE ESTOQUE</v>
      </c>
      <c r="C6185" s="2" t="str">
        <f t="shared" si="508"/>
        <v>SUPRI</v>
      </c>
      <c r="D6185" s="2" t="str">
        <f t="shared" si="509"/>
        <v>MGES</v>
      </c>
      <c r="E6185" s="2" t="str">
        <f>"R_FICHA_VERIFICACAO_ROTATIVA"</f>
        <v>R_FICHA_VERIFICACAO_ROTATIVA</v>
      </c>
      <c r="F6185" s="2" t="str">
        <f>"R_FICHA_VERIFICACAO_ROTATIVA"</f>
        <v>R_FICHA_VERIFICACAO_ROTATIVA</v>
      </c>
      <c r="G6185" s="2" t="str">
        <f t="shared" si="510"/>
        <v xml:space="preserve"> ()</v>
      </c>
    </row>
    <row r="6186" spans="1:7" x14ac:dyDescent="0.3">
      <c r="A6186" s="1" t="s">
        <v>4</v>
      </c>
      <c r="B6186" s="2" t="str">
        <f t="shared" si="507"/>
        <v>SISTEMA DE GERENCIAMENTO DE ESTOQUE</v>
      </c>
      <c r="C6186" s="2" t="str">
        <f t="shared" si="508"/>
        <v>SUPRI</v>
      </c>
      <c r="D6186" s="2" t="str">
        <f t="shared" si="509"/>
        <v>MGES</v>
      </c>
      <c r="E6186" s="2" t="str">
        <f>"RELATORIO DE SAIDA DE PACIENTE"</f>
        <v>RELATORIO DE SAIDA DE PACIENTE</v>
      </c>
      <c r="F6186" s="2" t="str">
        <f>"R_SAIDA_PAC_900"</f>
        <v>R_SAIDA_PAC_900</v>
      </c>
      <c r="G6186" s="2" t="str">
        <f t="shared" si="510"/>
        <v xml:space="preserve"> ()</v>
      </c>
    </row>
    <row r="6187" spans="1:7" x14ac:dyDescent="0.3">
      <c r="A6187" s="1" t="s">
        <v>4</v>
      </c>
      <c r="B6187" s="2" t="str">
        <f t="shared" si="507"/>
        <v>SISTEMA DE GERENCIAMENTO DE ESTOQUE</v>
      </c>
      <c r="C6187" s="2" t="str">
        <f t="shared" si="508"/>
        <v>SUPRI</v>
      </c>
      <c r="D6187" s="2" t="str">
        <f t="shared" si="509"/>
        <v>MGES</v>
      </c>
      <c r="E6187" s="2" t="str">
        <f>"WIN_PRINCIPAL"</f>
        <v>WIN_PRINCIPAL</v>
      </c>
      <c r="F6187" s="2" t="str">
        <f>"M_ALTERA_LOTE_VALIDADE"</f>
        <v>M_ALTERA_LOTE_VALIDADE</v>
      </c>
      <c r="G6187" s="2" t="str">
        <f t="shared" si="510"/>
        <v xml:space="preserve"> ()</v>
      </c>
    </row>
    <row r="6188" spans="1:7" x14ac:dyDescent="0.3">
      <c r="A6188" s="1" t="s">
        <v>4</v>
      </c>
      <c r="B6188" s="2" t="str">
        <f t="shared" si="507"/>
        <v>SISTEMA DE GERENCIAMENTO DE ESTOQUE</v>
      </c>
      <c r="C6188" s="2" t="str">
        <f t="shared" si="508"/>
        <v>SUPRI</v>
      </c>
      <c r="D6188" s="2" t="str">
        <f t="shared" si="509"/>
        <v>MGES</v>
      </c>
      <c r="E6188" s="2" t="str">
        <f>"CONSULTA DE PRODUTOS"</f>
        <v>CONSULTA DE PRODUTOS</v>
      </c>
      <c r="F6188" s="2" t="str">
        <f>"C_PRODUTO_CONS"</f>
        <v>C_PRODUTO_CONS</v>
      </c>
      <c r="G6188" s="2" t="str">
        <f>"Materiais e Logística / Almoxarifado / Consultas / Produtos (C_PRODUTO_CONS)"</f>
        <v>Materiais e Logística / Almoxarifado / Consultas / Produtos (C_PRODUTO_CONS)</v>
      </c>
    </row>
    <row r="6189" spans="1:7" x14ac:dyDescent="0.3">
      <c r="A6189" s="1" t="s">
        <v>4</v>
      </c>
      <c r="B6189" s="2" t="str">
        <f t="shared" si="507"/>
        <v>SISTEMA DE GERENCIAMENTO DE ESTOQUE</v>
      </c>
      <c r="C6189" s="2" t="str">
        <f t="shared" si="508"/>
        <v>SUPRI</v>
      </c>
      <c r="D6189" s="2" t="str">
        <f t="shared" si="509"/>
        <v>MGES</v>
      </c>
      <c r="E6189" s="2" t="str">
        <f>"CONSULTA DE PRODUTOS"</f>
        <v>CONSULTA DE PRODUTOS</v>
      </c>
      <c r="F6189" s="2" t="str">
        <f>"C_PRODUTO_CONS"</f>
        <v>C_PRODUTO_CONS</v>
      </c>
      <c r="G6189" s="2" t="str">
        <f>"Materiais e Logística / Farmácia / Consulta / Produtos (C_PRODUTO_CONS)"</f>
        <v>Materiais e Logística / Farmácia / Consulta / Produtos (C_PRODUTO_CONS)</v>
      </c>
    </row>
    <row r="6190" spans="1:7" x14ac:dyDescent="0.3">
      <c r="A6190" s="1" t="s">
        <v>4</v>
      </c>
      <c r="B6190" s="2" t="str">
        <f t="shared" si="507"/>
        <v>SISTEMA DE GERENCIAMENTO DE ESTOQUE</v>
      </c>
      <c r="C6190" s="2" t="str">
        <f t="shared" si="508"/>
        <v>SUPRI</v>
      </c>
      <c r="D6190" s="2" t="str">
        <f t="shared" si="509"/>
        <v>MGES</v>
      </c>
      <c r="E6190" s="2" t="str">
        <f>"RESUMO DAS DEVOLUÇÕES DE PRODUTOS"</f>
        <v>RESUMO DAS DEVOLUÇÕES DE PRODUTOS</v>
      </c>
      <c r="F6190" s="2" t="str">
        <f>"R_RESUMO_DEVOLUCAO_SINT"</f>
        <v>R_RESUMO_DEVOLUCAO_SINT</v>
      </c>
      <c r="G6190" s="2" t="str">
        <f t="shared" ref="G6190:G6196" si="511">" ()"</f>
        <v xml:space="preserve"> ()</v>
      </c>
    </row>
    <row r="6191" spans="1:7" x14ac:dyDescent="0.3">
      <c r="A6191" s="1" t="s">
        <v>4</v>
      </c>
      <c r="B6191" s="2" t="str">
        <f t="shared" si="507"/>
        <v>SISTEMA DE GERENCIAMENTO DE ESTOQUE</v>
      </c>
      <c r="C6191" s="2" t="str">
        <f t="shared" si="508"/>
        <v>SUPRI</v>
      </c>
      <c r="D6191" s="2" t="str">
        <f t="shared" si="509"/>
        <v>MGES</v>
      </c>
      <c r="E6191" s="2" t="str">
        <f>"RELATÓRIO DE BALANÇO DE ESTOQUE"</f>
        <v>RELATÓRIO DE BALANÇO DE ESTOQUE</v>
      </c>
      <c r="F6191" s="2" t="str">
        <f>"R_BAL_EST.SINT"</f>
        <v>R_BAL_EST.SINT</v>
      </c>
      <c r="G6191" s="2" t="str">
        <f t="shared" si="511"/>
        <v xml:space="preserve"> ()</v>
      </c>
    </row>
    <row r="6192" spans="1:7" x14ac:dyDescent="0.3">
      <c r="A6192" s="1" t="s">
        <v>4</v>
      </c>
      <c r="B6192" s="2" t="str">
        <f t="shared" si="507"/>
        <v>SISTEMA DE GERENCIAMENTO DE ESTOQUE</v>
      </c>
      <c r="C6192" s="2" t="str">
        <f t="shared" si="508"/>
        <v>SUPRI</v>
      </c>
      <c r="D6192" s="2" t="str">
        <f t="shared" si="509"/>
        <v>MGES</v>
      </c>
      <c r="E6192" s="2" t="str">
        <f>"RELAT. DE DOCUMENTO DE ENTRADA SINTÉTICO"</f>
        <v>RELAT. DE DOCUMENTO DE ENTRADA SINTÉTICO</v>
      </c>
      <c r="F6192" s="2" t="str">
        <f>"R_EST_DOCUMENTO_ENTRADA_SINT.RDF"</f>
        <v>R_EST_DOCUMENTO_ENTRADA_SINT.RDF</v>
      </c>
      <c r="G6192" s="2" t="str">
        <f t="shared" si="511"/>
        <v xml:space="preserve"> ()</v>
      </c>
    </row>
    <row r="6193" spans="1:7" x14ac:dyDescent="0.3">
      <c r="A6193" s="1" t="s">
        <v>4</v>
      </c>
      <c r="B6193" s="2" t="str">
        <f t="shared" si="507"/>
        <v>SISTEMA DE GERENCIAMENTO DE ESTOQUE</v>
      </c>
      <c r="C6193" s="2" t="str">
        <f t="shared" si="508"/>
        <v>SUPRI</v>
      </c>
      <c r="D6193" s="2" t="str">
        <f t="shared" si="509"/>
        <v>MGES</v>
      </c>
      <c r="E6193" s="2" t="str">
        <f>"RELATORIO DE CONFERÊNCIA DE LOTES"</f>
        <v>RELATORIO DE CONFERÊNCIA DE LOTES</v>
      </c>
      <c r="F6193" s="2" t="str">
        <f>"R_CONF_LOTE.RDF"</f>
        <v>R_CONF_LOTE.RDF</v>
      </c>
      <c r="G6193" s="2" t="str">
        <f t="shared" si="511"/>
        <v xml:space="preserve"> ()</v>
      </c>
    </row>
    <row r="6194" spans="1:7" x14ac:dyDescent="0.3">
      <c r="A6194" s="1" t="s">
        <v>4</v>
      </c>
      <c r="B6194" s="2" t="str">
        <f t="shared" si="507"/>
        <v>SISTEMA DE GERENCIAMENTO DE ESTOQUE</v>
      </c>
      <c r="C6194" s="2" t="str">
        <f t="shared" si="508"/>
        <v>SUPRI</v>
      </c>
      <c r="D6194" s="2" t="str">
        <f t="shared" si="509"/>
        <v>MGES</v>
      </c>
      <c r="E6194" s="2" t="str">
        <f>"RELATÓRIO DE PRODUTOS POR ESTOQUE"</f>
        <v>RELATÓRIO DE PRODUTOS POR ESTOQUE</v>
      </c>
      <c r="F6194" s="2" t="str">
        <f>"R_LIST_PROD.RDF"</f>
        <v>R_LIST_PROD.RDF</v>
      </c>
      <c r="G6194" s="2" t="str">
        <f t="shared" si="511"/>
        <v xml:space="preserve"> ()</v>
      </c>
    </row>
    <row r="6195" spans="1:7" x14ac:dyDescent="0.3">
      <c r="A6195" s="1" t="s">
        <v>4</v>
      </c>
      <c r="B6195" s="2" t="str">
        <f t="shared" si="507"/>
        <v>SISTEMA DE GERENCIAMENTO DE ESTOQUE</v>
      </c>
      <c r="C6195" s="2" t="str">
        <f t="shared" si="508"/>
        <v>SUPRI</v>
      </c>
      <c r="D6195" s="2" t="str">
        <f t="shared" si="509"/>
        <v>MGES</v>
      </c>
      <c r="E6195" s="2" t="str">
        <f>"RELATÓRIO DE LABORATÓRIOS"</f>
        <v>RELATÓRIO DE LABORATÓRIOS</v>
      </c>
      <c r="F6195" s="2" t="str">
        <f>"R_LABORATORIOS.RDF"</f>
        <v>R_LABORATORIOS.RDF</v>
      </c>
      <c r="G6195" s="2" t="str">
        <f t="shared" si="511"/>
        <v xml:space="preserve"> ()</v>
      </c>
    </row>
    <row r="6196" spans="1:7" x14ac:dyDescent="0.3">
      <c r="A6196" s="1" t="s">
        <v>4</v>
      </c>
      <c r="B6196" s="2" t="str">
        <f t="shared" si="507"/>
        <v>SISTEMA DE GERENCIAMENTO DE ESTOQUE</v>
      </c>
      <c r="C6196" s="2" t="str">
        <f t="shared" si="508"/>
        <v>SUPRI</v>
      </c>
      <c r="D6196" s="2" t="str">
        <f t="shared" si="509"/>
        <v>MGES</v>
      </c>
      <c r="E6196" s="2" t="str">
        <f>"REL. DE COTAS DE PRODUTOS POR ESPÉCIE"</f>
        <v>REL. DE COTAS DE PRODUTOS POR ESPÉCIE</v>
      </c>
      <c r="F6196" s="2" t="str">
        <f>"R_COTSETESP.RDF"</f>
        <v>R_COTSETESP.RDF</v>
      </c>
      <c r="G6196" s="2" t="str">
        <f t="shared" si="511"/>
        <v xml:space="preserve"> ()</v>
      </c>
    </row>
    <row r="6197" spans="1:7" x14ac:dyDescent="0.3">
      <c r="A6197" s="1" t="s">
        <v>4</v>
      </c>
      <c r="B6197" s="2" t="str">
        <f t="shared" si="507"/>
        <v>SISTEMA DE GERENCIAMENTO DE ESTOQUE</v>
      </c>
      <c r="C6197" s="2" t="str">
        <f t="shared" si="508"/>
        <v>SUPRI</v>
      </c>
      <c r="D6197" s="2" t="str">
        <f t="shared" si="509"/>
        <v>MGES</v>
      </c>
      <c r="E6197" s="2" t="s">
        <v>33</v>
      </c>
      <c r="F6197" s="2" t="s">
        <v>34</v>
      </c>
      <c r="G6197" s="2" t="s">
        <v>35</v>
      </c>
    </row>
    <row r="6198" spans="1:7" x14ac:dyDescent="0.3">
      <c r="A6198" s="1" t="s">
        <v>4</v>
      </c>
      <c r="B6198" s="2" t="str">
        <f t="shared" si="507"/>
        <v>SISTEMA DE GERENCIAMENTO DE ESTOQUE</v>
      </c>
      <c r="C6198" s="2" t="str">
        <f t="shared" si="508"/>
        <v>SUPRI</v>
      </c>
      <c r="D6198" s="2" t="str">
        <f t="shared" si="509"/>
        <v>MGES</v>
      </c>
      <c r="E6198" s="2" t="str">
        <f>"ENTRADAS SEM O.C. POR JUSTIFICATIVA"</f>
        <v>ENTRADAS SEM O.C. POR JUSTIFICATIVA</v>
      </c>
      <c r="F6198" s="2" t="str">
        <f>"R_ENT_SEM_OC_JUSTIFICA.RDF"</f>
        <v>R_ENT_SEM_OC_JUSTIFICA.RDF</v>
      </c>
      <c r="G6198" s="2" t="str">
        <f t="shared" ref="G6198:G6238" si="512">" ()"</f>
        <v xml:space="preserve"> ()</v>
      </c>
    </row>
    <row r="6199" spans="1:7" x14ac:dyDescent="0.3">
      <c r="A6199" s="1" t="s">
        <v>4</v>
      </c>
      <c r="B6199" s="2" t="str">
        <f t="shared" si="507"/>
        <v>SISTEMA DE GERENCIAMENTO DE ESTOQUE</v>
      </c>
      <c r="C6199" s="2" t="str">
        <f t="shared" si="508"/>
        <v>SUPRI</v>
      </c>
      <c r="D6199" s="2" t="str">
        <f t="shared" si="509"/>
        <v>MGES</v>
      </c>
      <c r="E6199" s="2" t="str">
        <f>"RELATÓRIO DE MOVIMENTAÇÃO POR ESTOQUE"</f>
        <v>RELATÓRIO DE MOVIMENTAÇÃO POR ESTOQUE</v>
      </c>
      <c r="F6199" s="2" t="str">
        <f>"R_MOVI_ESTOQ.RDF"</f>
        <v>R_MOVI_ESTOQ.RDF</v>
      </c>
      <c r="G6199" s="2" t="str">
        <f t="shared" si="512"/>
        <v xml:space="preserve"> ()</v>
      </c>
    </row>
    <row r="6200" spans="1:7" x14ac:dyDescent="0.3">
      <c r="A6200" s="1" t="s">
        <v>4</v>
      </c>
      <c r="B6200" s="2" t="str">
        <f t="shared" si="507"/>
        <v>SISTEMA DE GERENCIAMENTO DE ESTOQUE</v>
      </c>
      <c r="C6200" s="2" t="str">
        <f t="shared" si="508"/>
        <v>SUPRI</v>
      </c>
      <c r="D6200" s="2" t="str">
        <f t="shared" si="509"/>
        <v>MGES</v>
      </c>
      <c r="E6200" s="2" t="str">
        <f>"RELATÓRIO DE MOVIMENTAÇÃO DE KITS"</f>
        <v>RELATÓRIO DE MOVIMENTAÇÃO DE KITS</v>
      </c>
      <c r="F6200" s="2" t="str">
        <f>"R_MVTO_KIT.RDF"</f>
        <v>R_MVTO_KIT.RDF</v>
      </c>
      <c r="G6200" s="2" t="str">
        <f t="shared" si="512"/>
        <v xml:space="preserve"> ()</v>
      </c>
    </row>
    <row r="6201" spans="1:7" x14ac:dyDescent="0.3">
      <c r="A6201" s="1" t="s">
        <v>4</v>
      </c>
      <c r="B6201" s="2" t="str">
        <f t="shared" si="507"/>
        <v>SISTEMA DE GERENCIAMENTO DE ESTOQUE</v>
      </c>
      <c r="C6201" s="2" t="str">
        <f t="shared" si="508"/>
        <v>SUPRI</v>
      </c>
      <c r="D6201" s="2" t="str">
        <f t="shared" si="509"/>
        <v>MGES</v>
      </c>
      <c r="E6201" s="2" t="str">
        <f>"RELATÓRIO DE CONSUMO POR CONVÊNIO"</f>
        <v>RELATÓRIO DE CONSUMO POR CONVÊNIO</v>
      </c>
      <c r="F6201" s="2" t="str">
        <f>"R_CONS_CONV.RDF"</f>
        <v>R_CONS_CONV.RDF</v>
      </c>
      <c r="G6201" s="2" t="str">
        <f t="shared" si="512"/>
        <v xml:space="preserve"> ()</v>
      </c>
    </row>
    <row r="6202" spans="1:7" x14ac:dyDescent="0.3">
      <c r="A6202" s="1" t="s">
        <v>4</v>
      </c>
      <c r="B6202" s="2" t="str">
        <f t="shared" si="507"/>
        <v>SISTEMA DE GERENCIAMENTO DE ESTOQUE</v>
      </c>
      <c r="C6202" s="2" t="str">
        <f t="shared" si="508"/>
        <v>SUPRI</v>
      </c>
      <c r="D6202" s="2" t="str">
        <f t="shared" si="509"/>
        <v>MGES</v>
      </c>
      <c r="E6202" s="2" t="str">
        <f>"REL. DEVOL. DE FORNECEDORES POR ESPÉCIE"</f>
        <v>REL. DEVOL. DE FORNECEDORES POR ESPÉCIE</v>
      </c>
      <c r="F6202" s="2" t="str">
        <f>"R_DEV_FOR_ESPEC_SINT"</f>
        <v>R_DEV_FOR_ESPEC_SINT</v>
      </c>
      <c r="G6202" s="2" t="str">
        <f t="shared" si="512"/>
        <v xml:space="preserve"> ()</v>
      </c>
    </row>
    <row r="6203" spans="1:7" x14ac:dyDescent="0.3">
      <c r="A6203" s="1" t="s">
        <v>4</v>
      </c>
      <c r="B6203" s="2" t="str">
        <f t="shared" si="507"/>
        <v>SISTEMA DE GERENCIAMENTO DE ESTOQUE</v>
      </c>
      <c r="C6203" s="2" t="str">
        <f t="shared" si="508"/>
        <v>SUPRI</v>
      </c>
      <c r="D6203" s="2" t="str">
        <f t="shared" si="509"/>
        <v>MGES</v>
      </c>
      <c r="E6203" s="2" t="str">
        <f>"REL. DE ENTRADAS DE PRODUTOS POR ESPÉCIE"</f>
        <v>REL. DE ENTRADAS DE PRODUTOS POR ESPÉCIE</v>
      </c>
      <c r="F6203" s="2" t="str">
        <f>"R_ENTR_PROD_ESPEC_SINT"</f>
        <v>R_ENTR_PROD_ESPEC_SINT</v>
      </c>
      <c r="G6203" s="2" t="str">
        <f t="shared" si="512"/>
        <v xml:space="preserve"> ()</v>
      </c>
    </row>
    <row r="6204" spans="1:7" x14ac:dyDescent="0.3">
      <c r="A6204" s="1" t="s">
        <v>4</v>
      </c>
      <c r="B6204" s="2" t="str">
        <f t="shared" si="507"/>
        <v>SISTEMA DE GERENCIAMENTO DE ESTOQUE</v>
      </c>
      <c r="C6204" s="2" t="str">
        <f t="shared" si="508"/>
        <v>SUPRI</v>
      </c>
      <c r="D6204" s="2" t="str">
        <f t="shared" si="509"/>
        <v>MGES</v>
      </c>
      <c r="E6204" s="2" t="str">
        <f>"RELATÓRIO DE PREÇOS DOS FORNECEDORES"</f>
        <v>RELATÓRIO DE PREÇOS DOS FORNECEDORES</v>
      </c>
      <c r="F6204" s="2" t="str">
        <f>"R_PROD_FOR.RDF"</f>
        <v>R_PROD_FOR.RDF</v>
      </c>
      <c r="G6204" s="2" t="str">
        <f t="shared" si="512"/>
        <v xml:space="preserve"> ()</v>
      </c>
    </row>
    <row r="6205" spans="1:7" x14ac:dyDescent="0.3">
      <c r="A6205" s="1" t="s">
        <v>4</v>
      </c>
      <c r="B6205" s="2" t="str">
        <f t="shared" si="507"/>
        <v>SISTEMA DE GERENCIAMENTO DE ESTOQUE</v>
      </c>
      <c r="C6205" s="2" t="str">
        <f t="shared" si="508"/>
        <v>SUPRI</v>
      </c>
      <c r="D6205" s="2" t="str">
        <f t="shared" si="509"/>
        <v>MGES</v>
      </c>
      <c r="E6205" s="2" t="str">
        <f>"RELATÓRIO CURVA ABC DE ORDENS DE COMPRA"</f>
        <v>RELATÓRIO CURVA ABC DE ORDENS DE COMPRA</v>
      </c>
      <c r="F6205" s="2" t="str">
        <f>"R_C_ABC_ESTOQUE_ORD.RDF"</f>
        <v>R_C_ABC_ESTOQUE_ORD.RDF</v>
      </c>
      <c r="G6205" s="2" t="str">
        <f t="shared" si="512"/>
        <v xml:space="preserve"> ()</v>
      </c>
    </row>
    <row r="6206" spans="1:7" x14ac:dyDescent="0.3">
      <c r="A6206" s="1" t="s">
        <v>4</v>
      </c>
      <c r="B6206" s="2" t="str">
        <f t="shared" si="507"/>
        <v>SISTEMA DE GERENCIAMENTO DE ESTOQUE</v>
      </c>
      <c r="C6206" s="2" t="str">
        <f t="shared" si="508"/>
        <v>SUPRI</v>
      </c>
      <c r="D6206" s="2" t="str">
        <f t="shared" si="509"/>
        <v>MGES</v>
      </c>
      <c r="E6206" s="2" t="str">
        <f>"RELATÓRIO DA CURVA ABC DE ESTOQUE"</f>
        <v>RELATÓRIO DA CURVA ABC DE ESTOQUE</v>
      </c>
      <c r="F6206" s="2" t="str">
        <f>"R_C_ABC_ESTOQUE.RDF"</f>
        <v>R_C_ABC_ESTOQUE.RDF</v>
      </c>
      <c r="G6206" s="2" t="str">
        <f t="shared" si="512"/>
        <v xml:space="preserve"> ()</v>
      </c>
    </row>
    <row r="6207" spans="1:7" x14ac:dyDescent="0.3">
      <c r="A6207" s="1" t="s">
        <v>4</v>
      </c>
      <c r="B6207" s="2" t="str">
        <f t="shared" si="507"/>
        <v>SISTEMA DE GERENCIAMENTO DE ESTOQUE</v>
      </c>
      <c r="C6207" s="2" t="str">
        <f t="shared" si="508"/>
        <v>SUPRI</v>
      </c>
      <c r="D6207" s="2" t="str">
        <f t="shared" si="509"/>
        <v>MGES</v>
      </c>
      <c r="E6207" s="2" t="str">
        <f>"RELATÓRIO DA CURVA ABC DE ESTOQUE"</f>
        <v>RELATÓRIO DA CURVA ABC DE ESTOQUE</v>
      </c>
      <c r="F6207" s="2" t="str">
        <f>"R_C_ABC_ESTOQUE_SINT"</f>
        <v>R_C_ABC_ESTOQUE_SINT</v>
      </c>
      <c r="G6207" s="2" t="str">
        <f t="shared" si="512"/>
        <v xml:space="preserve"> ()</v>
      </c>
    </row>
    <row r="6208" spans="1:7" x14ac:dyDescent="0.3">
      <c r="A6208" s="1" t="s">
        <v>4</v>
      </c>
      <c r="B6208" s="2" t="str">
        <f t="shared" si="507"/>
        <v>SISTEMA DE GERENCIAMENTO DE ESTOQUE</v>
      </c>
      <c r="C6208" s="2" t="str">
        <f t="shared" si="508"/>
        <v>SUPRI</v>
      </c>
      <c r="D6208" s="2" t="str">
        <f t="shared" si="509"/>
        <v>MGES</v>
      </c>
      <c r="E6208" s="2" t="str">
        <f>"RELATÓRIO SINT. DA CURVA ABC DE CONSUMO"</f>
        <v>RELATÓRIO SINT. DA CURVA ABC DE CONSUMO</v>
      </c>
      <c r="F6208" s="2" t="str">
        <f>"R_C_ABC_CONSUMO_SINT"</f>
        <v>R_C_ABC_CONSUMO_SINT</v>
      </c>
      <c r="G6208" s="2" t="str">
        <f t="shared" si="512"/>
        <v xml:space="preserve"> ()</v>
      </c>
    </row>
    <row r="6209" spans="1:7" x14ac:dyDescent="0.3">
      <c r="A6209" s="1" t="s">
        <v>4</v>
      </c>
      <c r="B6209" s="2" t="str">
        <f t="shared" si="507"/>
        <v>SISTEMA DE GERENCIAMENTO DE ESTOQUE</v>
      </c>
      <c r="C6209" s="2" t="str">
        <f t="shared" si="508"/>
        <v>SUPRI</v>
      </c>
      <c r="D6209" s="2" t="str">
        <f t="shared" si="509"/>
        <v>MGES</v>
      </c>
      <c r="E6209" s="2" t="str">
        <f>"RELATÓRIO COM PRAZO DE VALIDADE"</f>
        <v>RELATÓRIO COM PRAZO DE VALIDADE</v>
      </c>
      <c r="F6209" s="2" t="str">
        <f>"R_CONT_VALID.RDF"</f>
        <v>R_CONT_VALID.RDF</v>
      </c>
      <c r="G6209" s="2" t="str">
        <f t="shared" si="512"/>
        <v xml:space="preserve"> ()</v>
      </c>
    </row>
    <row r="6210" spans="1:7" x14ac:dyDescent="0.3">
      <c r="A6210" s="1" t="s">
        <v>4</v>
      </c>
      <c r="B6210" s="2" t="str">
        <f t="shared" si="507"/>
        <v>SISTEMA DE GERENCIAMENTO DE ESTOQUE</v>
      </c>
      <c r="C6210" s="2" t="str">
        <f t="shared" si="508"/>
        <v>SUPRI</v>
      </c>
      <c r="D6210" s="2" t="str">
        <f t="shared" si="509"/>
        <v>MGES</v>
      </c>
      <c r="E6210" s="2" t="str">
        <f>"RELATÓRIO DE PRODUTOS SEM MOVIMENTAÇÃO"</f>
        <v>RELATÓRIO DE PRODUTOS SEM MOVIMENTAÇÃO</v>
      </c>
      <c r="F6210" s="2" t="str">
        <f>"R_PROD_SMOV.RDF"</f>
        <v>R_PROD_SMOV.RDF</v>
      </c>
      <c r="G6210" s="2" t="str">
        <f t="shared" si="512"/>
        <v xml:space="preserve"> ()</v>
      </c>
    </row>
    <row r="6211" spans="1:7" x14ac:dyDescent="0.3">
      <c r="A6211" s="1" t="s">
        <v>4</v>
      </c>
      <c r="B6211" s="2" t="str">
        <f t="shared" si="507"/>
        <v>SISTEMA DE GERENCIAMENTO DE ESTOQUE</v>
      </c>
      <c r="C6211" s="2" t="str">
        <f t="shared" si="508"/>
        <v>SUPRI</v>
      </c>
      <c r="D6211" s="2" t="str">
        <f t="shared" si="509"/>
        <v>MGES</v>
      </c>
      <c r="E6211" s="2" t="str">
        <f>"REL. ANÁLISE DE SOLICITAÇÃO DE COMPRAS"</f>
        <v>REL. ANÁLISE DE SOLICITAÇÃO DE COMPRAS</v>
      </c>
      <c r="F6211" s="2" t="str">
        <f>"R_ANALISE_COMPRA.RDF"</f>
        <v>R_ANALISE_COMPRA.RDF</v>
      </c>
      <c r="G6211" s="2" t="str">
        <f t="shared" si="512"/>
        <v xml:space="preserve"> ()</v>
      </c>
    </row>
    <row r="6212" spans="1:7" x14ac:dyDescent="0.3">
      <c r="A6212" s="1" t="s">
        <v>4</v>
      </c>
      <c r="B6212" s="2" t="str">
        <f t="shared" si="507"/>
        <v>SISTEMA DE GERENCIAMENTO DE ESTOQUE</v>
      </c>
      <c r="C6212" s="2" t="str">
        <f t="shared" si="508"/>
        <v>SUPRI</v>
      </c>
      <c r="D6212" s="2" t="str">
        <f t="shared" si="509"/>
        <v>MGES</v>
      </c>
      <c r="E6212" s="2" t="str">
        <f>"RELATÓRIO DE PRODUTOS CRÍTICOS"</f>
        <v>RELATÓRIO DE PRODUTOS CRÍTICOS</v>
      </c>
      <c r="F6212" s="2" t="str">
        <f>"R_PROD_CRIT_SINT"</f>
        <v>R_PROD_CRIT_SINT</v>
      </c>
      <c r="G6212" s="2" t="str">
        <f t="shared" si="512"/>
        <v xml:space="preserve"> ()</v>
      </c>
    </row>
    <row r="6213" spans="1:7" x14ac:dyDescent="0.3">
      <c r="A6213" s="1" t="s">
        <v>4</v>
      </c>
      <c r="B6213" s="2" t="str">
        <f t="shared" si="507"/>
        <v>SISTEMA DE GERENCIAMENTO DE ESTOQUE</v>
      </c>
      <c r="C6213" s="2" t="str">
        <f t="shared" si="508"/>
        <v>SUPRI</v>
      </c>
      <c r="D6213" s="2" t="str">
        <f t="shared" si="509"/>
        <v>MGES</v>
      </c>
      <c r="E6213" s="2" t="str">
        <f>"RELATÓRIO DE ESTATÍSTICAS DE DEVOLUÇÃO"</f>
        <v>RELATÓRIO DE ESTATÍSTICAS DE DEVOLUÇÃO</v>
      </c>
      <c r="F6213" s="2" t="str">
        <f>"R_ESTATISTICA_DEVOLUCAO.RDF"</f>
        <v>R_ESTATISTICA_DEVOLUCAO.RDF</v>
      </c>
      <c r="G6213" s="2" t="str">
        <f t="shared" si="512"/>
        <v xml:space="preserve"> ()</v>
      </c>
    </row>
    <row r="6214" spans="1:7" x14ac:dyDescent="0.3">
      <c r="A6214" s="1" t="s">
        <v>4</v>
      </c>
      <c r="B6214" s="2" t="str">
        <f t="shared" si="507"/>
        <v>SISTEMA DE GERENCIAMENTO DE ESTOQUE</v>
      </c>
      <c r="C6214" s="2" t="str">
        <f t="shared" si="508"/>
        <v>SUPRI</v>
      </c>
      <c r="D6214" s="2" t="str">
        <f t="shared" si="509"/>
        <v>MGES</v>
      </c>
      <c r="E6214" s="2" t="str">
        <f>"RELATÓRIO DE EFICIÊNCIA DO ATENDIMENTO"</f>
        <v>RELATÓRIO DE EFICIÊNCIA DO ATENDIMENTO</v>
      </c>
      <c r="F6214" s="2" t="str">
        <f>"R_EFICIENCIA_ATENDIMENTO_SINT"</f>
        <v>R_EFICIENCIA_ATENDIMENTO_SINT</v>
      </c>
      <c r="G6214" s="2" t="str">
        <f t="shared" si="512"/>
        <v xml:space="preserve"> ()</v>
      </c>
    </row>
    <row r="6215" spans="1:7" x14ac:dyDescent="0.3">
      <c r="A6215" s="1" t="s">
        <v>4</v>
      </c>
      <c r="B6215" s="2" t="str">
        <f t="shared" si="507"/>
        <v>SISTEMA DE GERENCIAMENTO DE ESTOQUE</v>
      </c>
      <c r="C6215" s="2" t="str">
        <f t="shared" si="508"/>
        <v>SUPRI</v>
      </c>
      <c r="D6215" s="2" t="str">
        <f t="shared" si="509"/>
        <v>MGES</v>
      </c>
      <c r="E6215" s="2" t="str">
        <f>"REL. ESTATÍSTICA DO CONSUMO DOS PRODUTOS"</f>
        <v>REL. ESTATÍSTICA DO CONSUMO DOS PRODUTOS</v>
      </c>
      <c r="F6215" s="2" t="str">
        <f>"R_SAI_RESUMO.RDF"</f>
        <v>R_SAI_RESUMO.RDF</v>
      </c>
      <c r="G6215" s="2" t="str">
        <f t="shared" si="512"/>
        <v xml:space="preserve"> ()</v>
      </c>
    </row>
    <row r="6216" spans="1:7" x14ac:dyDescent="0.3">
      <c r="A6216" s="1" t="s">
        <v>4</v>
      </c>
      <c r="B6216" s="2" t="str">
        <f t="shared" si="507"/>
        <v>SISTEMA DE GERENCIAMENTO DE ESTOQUE</v>
      </c>
      <c r="C6216" s="2" t="str">
        <f t="shared" si="508"/>
        <v>SUPRI</v>
      </c>
      <c r="D6216" s="2" t="str">
        <f t="shared" si="509"/>
        <v>MGES</v>
      </c>
      <c r="E6216" s="2" t="str">
        <f>"REL. DE PROD. MAIS CONSUMIDOS POR SETOR"</f>
        <v>REL. DE PROD. MAIS CONSUMIDOS POR SETOR</v>
      </c>
      <c r="F6216" s="2" t="str">
        <f>"R_CONS_SETOR.RDF"</f>
        <v>R_CONS_SETOR.RDF</v>
      </c>
      <c r="G6216" s="2" t="str">
        <f t="shared" si="512"/>
        <v xml:space="preserve"> ()</v>
      </c>
    </row>
    <row r="6217" spans="1:7" x14ac:dyDescent="0.3">
      <c r="A6217" s="1" t="s">
        <v>4</v>
      </c>
      <c r="B6217" s="2" t="str">
        <f t="shared" si="507"/>
        <v>SISTEMA DE GERENCIAMENTO DE ESTOQUE</v>
      </c>
      <c r="C6217" s="2" t="str">
        <f t="shared" si="508"/>
        <v>SUPRI</v>
      </c>
      <c r="D6217" s="2" t="str">
        <f t="shared" si="509"/>
        <v>MGES</v>
      </c>
      <c r="E6217" s="2" t="str">
        <f>"REL. DE SETOR X CONSUMO POR HORÁRIO"</f>
        <v>REL. DE SETOR X CONSUMO POR HORÁRIO</v>
      </c>
      <c r="F6217" s="2" t="str">
        <f>"R_CONSET.RDF"</f>
        <v>R_CONSET.RDF</v>
      </c>
      <c r="G6217" s="2" t="str">
        <f t="shared" si="512"/>
        <v xml:space="preserve"> ()</v>
      </c>
    </row>
    <row r="6218" spans="1:7" x14ac:dyDescent="0.3">
      <c r="A6218" s="1" t="s">
        <v>4</v>
      </c>
      <c r="B6218" s="2" t="str">
        <f t="shared" si="507"/>
        <v>SISTEMA DE GERENCIAMENTO DE ESTOQUE</v>
      </c>
      <c r="C6218" s="2" t="str">
        <f t="shared" si="508"/>
        <v>SUPRI</v>
      </c>
      <c r="D6218" s="2" t="str">
        <f t="shared" si="509"/>
        <v>MGES</v>
      </c>
      <c r="E6218" s="2" t="str">
        <f>"REL. SETOR X SOLICITAÇÃO POR HORÁRIO"</f>
        <v>REL. SETOR X SOLICITAÇÃO POR HORÁRIO</v>
      </c>
      <c r="F6218" s="2" t="str">
        <f>"R_SOLSET.RDF"</f>
        <v>R_SOLSET.RDF</v>
      </c>
      <c r="G6218" s="2" t="str">
        <f t="shared" si="512"/>
        <v xml:space="preserve"> ()</v>
      </c>
    </row>
    <row r="6219" spans="1:7" x14ac:dyDescent="0.3">
      <c r="A6219" s="1" t="s">
        <v>4</v>
      </c>
      <c r="B6219" s="2" t="str">
        <f t="shared" si="507"/>
        <v>SISTEMA DE GERENCIAMENTO DE ESTOQUE</v>
      </c>
      <c r="C6219" s="2" t="str">
        <f t="shared" si="508"/>
        <v>SUPRI</v>
      </c>
      <c r="D6219" s="2" t="str">
        <f t="shared" si="509"/>
        <v>MGES</v>
      </c>
      <c r="E6219" s="2" t="str">
        <f>"RELATÓRIO DE PREÇO POR ESPÉCIE"</f>
        <v>RELATÓRIO DE PREÇO POR ESPÉCIE</v>
      </c>
      <c r="F6219" s="2" t="str">
        <f>"R_PRECO_ESPECIE.RDF"</f>
        <v>R_PRECO_ESPECIE.RDF</v>
      </c>
      <c r="G6219" s="2" t="str">
        <f t="shared" si="512"/>
        <v xml:space="preserve"> ()</v>
      </c>
    </row>
    <row r="6220" spans="1:7" x14ac:dyDescent="0.3">
      <c r="A6220" s="1" t="s">
        <v>4</v>
      </c>
      <c r="B6220" s="2" t="str">
        <f t="shared" si="507"/>
        <v>SISTEMA DE GERENCIAMENTO DE ESTOQUE</v>
      </c>
      <c r="C6220" s="2" t="str">
        <f t="shared" si="508"/>
        <v>SUPRI</v>
      </c>
      <c r="D6220" s="2" t="str">
        <f t="shared" si="509"/>
        <v>MGES</v>
      </c>
      <c r="E6220" s="2" t="str">
        <f>"REL. PROD. SEM SALDO P/REPOSIÇÃO DA COTA"</f>
        <v>REL. PROD. SEM SALDO P/REPOSIÇÃO DA COTA</v>
      </c>
      <c r="F6220" s="2" t="str">
        <f>"R_PROD_SEM_SALDO_COTA.RDF"</f>
        <v>R_PROD_SEM_SALDO_COTA.RDF</v>
      </c>
      <c r="G6220" s="2" t="str">
        <f t="shared" si="512"/>
        <v xml:space="preserve"> ()</v>
      </c>
    </row>
    <row r="6221" spans="1:7" x14ac:dyDescent="0.3">
      <c r="A6221" s="1" t="s">
        <v>4</v>
      </c>
      <c r="B6221" s="2" t="str">
        <f t="shared" si="507"/>
        <v>SISTEMA DE GERENCIAMENTO DE ESTOQUE</v>
      </c>
      <c r="C6221" s="2" t="str">
        <f t="shared" si="508"/>
        <v>SUPRI</v>
      </c>
      <c r="D6221" s="2" t="str">
        <f t="shared" si="509"/>
        <v>MGES</v>
      </c>
      <c r="E6221" s="2" t="str">
        <f>"REL. DE REGISTRO DE INVENTÁRIO TIPI"</f>
        <v>REL. DE REGISTRO DE INVENTÁRIO TIPI</v>
      </c>
      <c r="F6221" s="2" t="str">
        <f>"R_REG_INV_TIPI.RDF"</f>
        <v>R_REG_INV_TIPI.RDF</v>
      </c>
      <c r="G6221" s="2" t="str">
        <f t="shared" si="512"/>
        <v xml:space="preserve"> ()</v>
      </c>
    </row>
    <row r="6222" spans="1:7" x14ac:dyDescent="0.3">
      <c r="A6222" s="1" t="s">
        <v>4</v>
      </c>
      <c r="B6222" s="2" t="str">
        <f t="shared" si="507"/>
        <v>SISTEMA DE GERENCIAMENTO DE ESTOQUE</v>
      </c>
      <c r="C6222" s="2" t="str">
        <f t="shared" si="508"/>
        <v>SUPRI</v>
      </c>
      <c r="D6222" s="2" t="str">
        <f t="shared" si="509"/>
        <v>MGES</v>
      </c>
      <c r="E6222" s="2" t="str">
        <f>"REL. DE CONSUMO DE PRODUTOS (COM TIPI)"</f>
        <v>REL. DE CONSUMO DE PRODUTOS (COM TIPI)</v>
      </c>
      <c r="F6222" s="2" t="str">
        <f>"R_CONS_TIPI.RDF"</f>
        <v>R_CONS_TIPI.RDF</v>
      </c>
      <c r="G6222" s="2" t="str">
        <f t="shared" si="512"/>
        <v xml:space="preserve"> ()</v>
      </c>
    </row>
    <row r="6223" spans="1:7" x14ac:dyDescent="0.3">
      <c r="A6223" s="1" t="s">
        <v>4</v>
      </c>
      <c r="B6223" s="2" t="str">
        <f t="shared" si="507"/>
        <v>SISTEMA DE GERENCIAMENTO DE ESTOQUE</v>
      </c>
      <c r="C6223" s="2" t="str">
        <f t="shared" si="508"/>
        <v>SUPRI</v>
      </c>
      <c r="D6223" s="2" t="str">
        <f t="shared" si="509"/>
        <v>MGES</v>
      </c>
      <c r="E6223" s="2" t="str">
        <f>"RELATÓRIO DE REGISTRO DE ENTRADAS"</f>
        <v>RELATÓRIO DE REGISTRO DE ENTRADAS</v>
      </c>
      <c r="F6223" s="2" t="str">
        <f>"R_REG_ENTR_CFOP.RDF"</f>
        <v>R_REG_ENTR_CFOP.RDF</v>
      </c>
      <c r="G6223" s="2" t="str">
        <f t="shared" si="512"/>
        <v xml:space="preserve"> ()</v>
      </c>
    </row>
    <row r="6224" spans="1:7" x14ac:dyDescent="0.3">
      <c r="A6224" s="1" t="s">
        <v>4</v>
      </c>
      <c r="B6224" s="2" t="str">
        <f t="shared" si="507"/>
        <v>SISTEMA DE GERENCIAMENTO DE ESTOQUE</v>
      </c>
      <c r="C6224" s="2" t="str">
        <f t="shared" si="508"/>
        <v>SUPRI</v>
      </c>
      <c r="D6224" s="2" t="str">
        <f t="shared" si="509"/>
        <v>MGES</v>
      </c>
      <c r="E6224" s="2" t="str">
        <f>"DIVERGÊNCIA ENTRE ENTRADAS DO ESTOQUE"</f>
        <v>DIVERGÊNCIA ENTRE ENTRADAS DO ESTOQUE</v>
      </c>
      <c r="F6224" s="2" t="str">
        <f>"R_DIVERGE_ENT_ESTOQUE.RDF"</f>
        <v>R_DIVERGE_ENT_ESTOQUE.RDF</v>
      </c>
      <c r="G6224" s="2" t="str">
        <f t="shared" si="512"/>
        <v xml:space="preserve"> ()</v>
      </c>
    </row>
    <row r="6225" spans="1:7" x14ac:dyDescent="0.3">
      <c r="A6225" s="1" t="s">
        <v>4</v>
      </c>
      <c r="B6225" s="2" t="str">
        <f t="shared" si="507"/>
        <v>SISTEMA DE GERENCIAMENTO DE ESTOQUE</v>
      </c>
      <c r="C6225" s="2" t="str">
        <f t="shared" si="508"/>
        <v>SUPRI</v>
      </c>
      <c r="D6225" s="2" t="str">
        <f t="shared" si="509"/>
        <v>MGES</v>
      </c>
      <c r="E6225" s="2" t="str">
        <f>"RELATÓRIO DE ENTRADA DE PRODUTO CONTÁBIL"</f>
        <v>RELATÓRIO DE ENTRADA DE PRODUTO CONTÁBIL</v>
      </c>
      <c r="F6225" s="2" t="str">
        <f>"R_ENT_PRO_CONTABIL.RDF"</f>
        <v>R_ENT_PRO_CONTABIL.RDF</v>
      </c>
      <c r="G6225" s="2" t="str">
        <f t="shared" si="512"/>
        <v xml:space="preserve"> ()</v>
      </c>
    </row>
    <row r="6226" spans="1:7" x14ac:dyDescent="0.3">
      <c r="A6226" s="1" t="s">
        <v>4</v>
      </c>
      <c r="B6226" s="2" t="str">
        <f t="shared" si="507"/>
        <v>SISTEMA DE GERENCIAMENTO DE ESTOQUE</v>
      </c>
      <c r="C6226" s="2" t="str">
        <f t="shared" si="508"/>
        <v>SUPRI</v>
      </c>
      <c r="D6226" s="2" t="str">
        <f t="shared" si="509"/>
        <v>MGES</v>
      </c>
      <c r="E6226" s="2" t="str">
        <f>"REL. CLASS. CONTÁBIL DAS NOTAS FISCAIS"</f>
        <v>REL. CLASS. CONTÁBIL DAS NOTAS FISCAIS</v>
      </c>
      <c r="F6226" s="2" t="str">
        <f>"R_CLAS_CONTAB.RDF"</f>
        <v>R_CLAS_CONTAB.RDF</v>
      </c>
      <c r="G6226" s="2" t="str">
        <f t="shared" si="512"/>
        <v xml:space="preserve"> ()</v>
      </c>
    </row>
    <row r="6227" spans="1:7" x14ac:dyDescent="0.3">
      <c r="A6227" s="1" t="s">
        <v>4</v>
      </c>
      <c r="B6227" s="2" t="str">
        <f t="shared" si="507"/>
        <v>SISTEMA DE GERENCIAMENTO DE ESTOQUE</v>
      </c>
      <c r="C6227" s="2" t="str">
        <f t="shared" si="508"/>
        <v>SUPRI</v>
      </c>
      <c r="D6227" s="2" t="str">
        <f t="shared" si="509"/>
        <v>MGES</v>
      </c>
      <c r="E6227" s="2" t="str">
        <f>"REL. DE RESUMO DAS ENTRADAS DE PRODUTOS"</f>
        <v>REL. DE RESUMO DAS ENTRADAS DE PRODUTOS</v>
      </c>
      <c r="F6227" s="2" t="str">
        <f>"R_RESUMO_ENTRADA.RDF"</f>
        <v>R_RESUMO_ENTRADA.RDF</v>
      </c>
      <c r="G6227" s="2" t="str">
        <f t="shared" si="512"/>
        <v xml:space="preserve"> ()</v>
      </c>
    </row>
    <row r="6228" spans="1:7" x14ac:dyDescent="0.3">
      <c r="A6228" s="1" t="s">
        <v>4</v>
      </c>
      <c r="B6228" s="2" t="str">
        <f t="shared" si="507"/>
        <v>SISTEMA DE GERENCIAMENTO DE ESTOQUE</v>
      </c>
      <c r="C6228" s="2" t="str">
        <f t="shared" si="508"/>
        <v>SUPRI</v>
      </c>
      <c r="D6228" s="2" t="str">
        <f t="shared" si="509"/>
        <v>MGES</v>
      </c>
      <c r="E6228" s="2" t="str">
        <f>"REL DE DOCUMENTO DE ENTRADA SINTÉTICO"</f>
        <v>REL DE DOCUMENTO DE ENTRADA SINTÉTICO</v>
      </c>
      <c r="F6228" s="2" t="str">
        <f>"R_EST_DOC_ENT_SINT.RDF"</f>
        <v>R_EST_DOC_ENT_SINT.RDF</v>
      </c>
      <c r="G6228" s="2" t="str">
        <f t="shared" si="512"/>
        <v xml:space="preserve"> ()</v>
      </c>
    </row>
    <row r="6229" spans="1:7" x14ac:dyDescent="0.3">
      <c r="A6229" s="1" t="s">
        <v>4</v>
      </c>
      <c r="B6229" s="2" t="str">
        <f t="shared" si="507"/>
        <v>SISTEMA DE GERENCIAMENTO DE ESTOQUE</v>
      </c>
      <c r="C6229" s="2" t="str">
        <f t="shared" si="508"/>
        <v>SUPRI</v>
      </c>
      <c r="D6229" s="2" t="str">
        <f t="shared" si="509"/>
        <v>MGES</v>
      </c>
      <c r="E6229" s="2" t="str">
        <f>"RELATÓRIO DE ENTRADA DE PRODUTOS"</f>
        <v>RELATÓRIO DE ENTRADA DE PRODUTOS</v>
      </c>
      <c r="F6229" s="2" t="str">
        <f>"R_EST_ENT_PROD_SINT.RDF"</f>
        <v>R_EST_ENT_PROD_SINT.RDF</v>
      </c>
      <c r="G6229" s="2" t="str">
        <f t="shared" si="512"/>
        <v xml:space="preserve"> ()</v>
      </c>
    </row>
    <row r="6230" spans="1:7" x14ac:dyDescent="0.3">
      <c r="A6230" s="1" t="s">
        <v>4</v>
      </c>
      <c r="B6230" s="2" t="str">
        <f t="shared" si="507"/>
        <v>SISTEMA DE GERENCIAMENTO DE ESTOQUE</v>
      </c>
      <c r="C6230" s="2" t="str">
        <f t="shared" si="508"/>
        <v>SUPRI</v>
      </c>
      <c r="D6230" s="2" t="str">
        <f t="shared" si="509"/>
        <v>MGES</v>
      </c>
      <c r="E6230" s="2" t="str">
        <f>"REL. DE DOCUMENTO DE ENTRADA"</f>
        <v>REL. DE DOCUMENTO DE ENTRADA</v>
      </c>
      <c r="F6230" s="2" t="str">
        <f>"R_EST_DOC_ENT.RDF"</f>
        <v>R_EST_DOC_ENT.RDF</v>
      </c>
      <c r="G6230" s="2" t="str">
        <f t="shared" si="512"/>
        <v xml:space="preserve"> ()</v>
      </c>
    </row>
    <row r="6231" spans="1:7" x14ac:dyDescent="0.3">
      <c r="A6231" s="1" t="s">
        <v>4</v>
      </c>
      <c r="B6231" s="2" t="str">
        <f t="shared" si="507"/>
        <v>SISTEMA DE GERENCIAMENTO DE ESTOQUE</v>
      </c>
      <c r="C6231" s="2" t="str">
        <f t="shared" si="508"/>
        <v>SUPRI</v>
      </c>
      <c r="D6231" s="2" t="str">
        <f t="shared" si="509"/>
        <v>MGES</v>
      </c>
      <c r="E6231" s="2" t="str">
        <f>"RELATÓRIO DO BALANÇO DE AQUISIÇÕES"</f>
        <v>RELATÓRIO DO BALANÇO DE AQUISIÇÕES</v>
      </c>
      <c r="F6231" s="2" t="str">
        <f>"R_BALANCO_AQUISICOES.RDF"</f>
        <v>R_BALANCO_AQUISICOES.RDF</v>
      </c>
      <c r="G6231" s="2" t="str">
        <f t="shared" si="512"/>
        <v xml:space="preserve"> ()</v>
      </c>
    </row>
    <row r="6232" spans="1:7" x14ac:dyDescent="0.3">
      <c r="A6232" s="1" t="s">
        <v>4</v>
      </c>
      <c r="B6232" s="2" t="str">
        <f t="shared" si="507"/>
        <v>SISTEMA DE GERENCIAMENTO DE ESTOQUE</v>
      </c>
      <c r="C6232" s="2" t="str">
        <f t="shared" si="508"/>
        <v>SUPRI</v>
      </c>
      <c r="D6232" s="2" t="str">
        <f t="shared" si="509"/>
        <v>MGES</v>
      </c>
      <c r="E6232" s="2" t="str">
        <f>"REL. DE BALANÇO COMPLETO DE MEDICAMENTOS"</f>
        <v>REL. DE BALANÇO COMPLETO DE MEDICAMENTOS</v>
      </c>
      <c r="F6232" s="2" t="str">
        <f>"R_BAL_COMP_MED.RDF"</f>
        <v>R_BAL_COMP_MED.RDF</v>
      </c>
      <c r="G6232" s="2" t="str">
        <f t="shared" si="512"/>
        <v xml:space="preserve"> ()</v>
      </c>
    </row>
    <row r="6233" spans="1:7" x14ac:dyDescent="0.3">
      <c r="A6233" s="1" t="s">
        <v>4</v>
      </c>
      <c r="B6233" s="2" t="str">
        <f t="shared" si="507"/>
        <v>SISTEMA DE GERENCIAMENTO DE ESTOQUE</v>
      </c>
      <c r="C6233" s="2" t="str">
        <f t="shared" si="508"/>
        <v>SUPRI</v>
      </c>
      <c r="D6233" s="2" t="str">
        <f t="shared" si="509"/>
        <v>MGES</v>
      </c>
      <c r="E6233" s="2" t="str">
        <f>"REL. DE LIVRO DE REGISTRO ESPECÍFICO"</f>
        <v>REL. DE LIVRO DE REGISTRO ESPECÍFICO</v>
      </c>
      <c r="F6233" s="2" t="str">
        <f>"R_LIVRO_REG.RDF"</f>
        <v>R_LIVRO_REG.RDF</v>
      </c>
      <c r="G6233" s="2" t="str">
        <f t="shared" si="512"/>
        <v xml:space="preserve"> ()</v>
      </c>
    </row>
    <row r="6234" spans="1:7" x14ac:dyDescent="0.3">
      <c r="A6234" s="1" t="s">
        <v>4</v>
      </c>
      <c r="B6234" s="2" t="str">
        <f t="shared" ref="B6234:B6297" si="513">"SISTEMA DE GERENCIAMENTO DE ESTOQUE"</f>
        <v>SISTEMA DE GERENCIAMENTO DE ESTOQUE</v>
      </c>
      <c r="C6234" s="2" t="str">
        <f t="shared" ref="C6234:C6297" si="514">"SUPRI"</f>
        <v>SUPRI</v>
      </c>
      <c r="D6234" s="2" t="str">
        <f t="shared" ref="D6234:D6297" si="515">"MGES"</f>
        <v>MGES</v>
      </c>
      <c r="E6234" s="2" t="str">
        <f>"REL. DE BALANÇO DO ESTOQUE POR ESPÉCIE"</f>
        <v>REL. DE BALANÇO DO ESTOQUE POR ESPÉCIE</v>
      </c>
      <c r="F6234" s="2" t="str">
        <f>"R_BAL_EST_CONF.RDF"</f>
        <v>R_BAL_EST_CONF.RDF</v>
      </c>
      <c r="G6234" s="2" t="str">
        <f t="shared" si="512"/>
        <v xml:space="preserve"> ()</v>
      </c>
    </row>
    <row r="6235" spans="1:7" x14ac:dyDescent="0.3">
      <c r="A6235" s="1" t="s">
        <v>4</v>
      </c>
      <c r="B6235" s="2" t="str">
        <f t="shared" si="513"/>
        <v>SISTEMA DE GERENCIAMENTO DE ESTOQUE</v>
      </c>
      <c r="C6235" s="2" t="str">
        <f t="shared" si="514"/>
        <v>SUPRI</v>
      </c>
      <c r="D6235" s="2" t="str">
        <f t="shared" si="515"/>
        <v>MGES</v>
      </c>
      <c r="E6235" s="2" t="str">
        <f>"RELATÓRIO DE FICHA PARA CONTAGEM"</f>
        <v>RELATÓRIO DE FICHA PARA CONTAGEM</v>
      </c>
      <c r="F6235" s="2" t="str">
        <f>"R_FICHA_CONTAGEM.RDF"</f>
        <v>R_FICHA_CONTAGEM.RDF</v>
      </c>
      <c r="G6235" s="2" t="str">
        <f t="shared" si="512"/>
        <v xml:space="preserve"> ()</v>
      </c>
    </row>
    <row r="6236" spans="1:7" x14ac:dyDescent="0.3">
      <c r="A6236" s="1" t="s">
        <v>4</v>
      </c>
      <c r="B6236" s="2" t="str">
        <f t="shared" si="513"/>
        <v>SISTEMA DE GERENCIAMENTO DE ESTOQUE</v>
      </c>
      <c r="C6236" s="2" t="str">
        <f t="shared" si="514"/>
        <v>SUPRI</v>
      </c>
      <c r="D6236" s="2" t="str">
        <f t="shared" si="515"/>
        <v>MGES</v>
      </c>
      <c r="E6236" s="2" t="str">
        <f>"RELATÓRIO DE SALDO DE KITS"</f>
        <v>RELATÓRIO DE SALDO DE KITS</v>
      </c>
      <c r="F6236" s="2" t="str">
        <f>"R_SALDO_KITS.RDF"</f>
        <v>R_SALDO_KITS.RDF</v>
      </c>
      <c r="G6236" s="2" t="str">
        <f t="shared" si="512"/>
        <v xml:space="preserve"> ()</v>
      </c>
    </row>
    <row r="6237" spans="1:7" x14ac:dyDescent="0.3">
      <c r="A6237" s="1" t="s">
        <v>4</v>
      </c>
      <c r="B6237" s="2" t="str">
        <f t="shared" si="513"/>
        <v>SISTEMA DE GERENCIAMENTO DE ESTOQUE</v>
      </c>
      <c r="C6237" s="2" t="str">
        <f t="shared" si="514"/>
        <v>SUPRI</v>
      </c>
      <c r="D6237" s="2" t="str">
        <f t="shared" si="515"/>
        <v>MGES</v>
      </c>
      <c r="E6237" s="2" t="str">
        <f>"RELATÓRIO DE IDENTIFICADORES DE ETIQUETA"</f>
        <v>RELATÓRIO DE IDENTIFICADORES DE ETIQUETA</v>
      </c>
      <c r="F6237" s="2" t="str">
        <f>"R_IDENTIFICADOR_ETIQUETA.RDF"</f>
        <v>R_IDENTIFICADOR_ETIQUETA.RDF</v>
      </c>
      <c r="G6237" s="2" t="str">
        <f t="shared" si="512"/>
        <v xml:space="preserve"> ()</v>
      </c>
    </row>
    <row r="6238" spans="1:7" x14ac:dyDescent="0.3">
      <c r="A6238" s="1" t="s">
        <v>4</v>
      </c>
      <c r="B6238" s="2" t="str">
        <f t="shared" si="513"/>
        <v>SISTEMA DE GERENCIAMENTO DE ESTOQUE</v>
      </c>
      <c r="C6238" s="2" t="str">
        <f t="shared" si="514"/>
        <v>SUPRI</v>
      </c>
      <c r="D6238" s="2" t="str">
        <f t="shared" si="515"/>
        <v>MGES</v>
      </c>
      <c r="E6238" s="2" t="str">
        <f>"RELATÓRIO DE CLASSIFICAÇÃO CONTÁBIL"</f>
        <v>RELATÓRIO DE CLASSIFICAÇÃO CONTÁBIL</v>
      </c>
      <c r="F6238" s="2" t="str">
        <f>"R_CLAS_CONTABIL.RDF"</f>
        <v>R_CLAS_CONTABIL.RDF</v>
      </c>
      <c r="G6238" s="2" t="str">
        <f t="shared" si="512"/>
        <v xml:space="preserve"> ()</v>
      </c>
    </row>
    <row r="6239" spans="1:7" x14ac:dyDescent="0.3">
      <c r="A6239" s="1" t="s">
        <v>4</v>
      </c>
      <c r="B6239" s="2" t="str">
        <f t="shared" si="513"/>
        <v>SISTEMA DE GERENCIAMENTO DE ESTOQUE</v>
      </c>
      <c r="C6239" s="2" t="str">
        <f t="shared" si="514"/>
        <v>SUPRI</v>
      </c>
      <c r="D6239" s="2" t="str">
        <f t="shared" si="515"/>
        <v>MGES</v>
      </c>
      <c r="E6239" s="2" t="str">
        <f>"WIN_PRINCIPAL - 01-HOSPITAL MV SISTEMAS"</f>
        <v>WIN_PRINCIPAL - 01-HOSPITAL MV SISTEMAS</v>
      </c>
      <c r="F6239" s="2" t="str">
        <f>"M_CONTAGEM"</f>
        <v>M_CONTAGEM</v>
      </c>
      <c r="G6239" s="2" t="str">
        <f>"Materiais e Logística / Almoxarifado / Inventário / Digitação de Contagens (M_CONTAGEM)"</f>
        <v>Materiais e Logística / Almoxarifado / Inventário / Digitação de Contagens (M_CONTAGEM)</v>
      </c>
    </row>
    <row r="6240" spans="1:7" x14ac:dyDescent="0.3">
      <c r="A6240" s="1" t="s">
        <v>4</v>
      </c>
      <c r="B6240" s="2" t="str">
        <f t="shared" si="513"/>
        <v>SISTEMA DE GERENCIAMENTO DE ESTOQUE</v>
      </c>
      <c r="C6240" s="2" t="str">
        <f t="shared" si="514"/>
        <v>SUPRI</v>
      </c>
      <c r="D6240" s="2" t="str">
        <f t="shared" si="515"/>
        <v>MGES</v>
      </c>
      <c r="E6240" s="2" t="str">
        <f>"ENTRADA E SAÍDA DE ESTOQUE"</f>
        <v>ENTRADA E SAÍDA DE ESTOQUE</v>
      </c>
      <c r="F6240" s="2" t="str">
        <f>"R_ENT_SAI_EST.RDF"</f>
        <v>R_ENT_SAI_EST.RDF</v>
      </c>
      <c r="G6240" s="2" t="str">
        <f t="shared" ref="G6240:G6266" si="516">" ()"</f>
        <v xml:space="preserve"> ()</v>
      </c>
    </row>
    <row r="6241" spans="1:7" x14ac:dyDescent="0.3">
      <c r="A6241" s="1" t="s">
        <v>4</v>
      </c>
      <c r="B6241" s="2" t="str">
        <f t="shared" si="513"/>
        <v>SISTEMA DE GERENCIAMENTO DE ESTOQUE</v>
      </c>
      <c r="C6241" s="2" t="str">
        <f t="shared" si="514"/>
        <v>SUPRI</v>
      </c>
      <c r="D6241" s="2" t="str">
        <f t="shared" si="515"/>
        <v>MGES</v>
      </c>
      <c r="E6241" s="2" t="str">
        <f>"REL.HIST. DE ENTRADA X SAÍDA CONSOLIDADO"</f>
        <v>REL.HIST. DE ENTRADA X SAÍDA CONSOLIDADO</v>
      </c>
      <c r="F6241" s="2" t="str">
        <f>"R_HIST_PRODUTO_CONSO.RDF"</f>
        <v>R_HIST_PRODUTO_CONSO.RDF</v>
      </c>
      <c r="G6241" s="2" t="str">
        <f t="shared" si="516"/>
        <v xml:space="preserve"> ()</v>
      </c>
    </row>
    <row r="6242" spans="1:7" x14ac:dyDescent="0.3">
      <c r="A6242" s="1" t="s">
        <v>4</v>
      </c>
      <c r="B6242" s="2" t="str">
        <f t="shared" si="513"/>
        <v>SISTEMA DE GERENCIAMENTO DE ESTOQUE</v>
      </c>
      <c r="C6242" s="2" t="str">
        <f t="shared" si="514"/>
        <v>SUPRI</v>
      </c>
      <c r="D6242" s="2" t="str">
        <f t="shared" si="515"/>
        <v>MGES</v>
      </c>
      <c r="E6242" s="2" t="str">
        <f>"CUSTOS CONSUMO SETOR AGRUPADO P/ESPÉCIE"</f>
        <v>CUSTOS CONSUMO SETOR AGRUPADO P/ESPÉCIE</v>
      </c>
      <c r="F6242" s="2" t="str">
        <f>"R_CUSTO_SAIDA_SETOR_ESP.RDF"</f>
        <v>R_CUSTO_SAIDA_SETOR_ESP.RDF</v>
      </c>
      <c r="G6242" s="2" t="str">
        <f t="shared" si="516"/>
        <v xml:space="preserve"> ()</v>
      </c>
    </row>
    <row r="6243" spans="1:7" x14ac:dyDescent="0.3">
      <c r="A6243" s="1" t="s">
        <v>4</v>
      </c>
      <c r="B6243" s="2" t="str">
        <f t="shared" si="513"/>
        <v>SISTEMA DE GERENCIAMENTO DE ESTOQUE</v>
      </c>
      <c r="C6243" s="2" t="str">
        <f t="shared" si="514"/>
        <v>SUPRI</v>
      </c>
      <c r="D6243" s="2" t="str">
        <f t="shared" si="515"/>
        <v>MGES</v>
      </c>
      <c r="E6243" s="2" t="str">
        <f>"RELATÓRIO DE RESUMO DE EMPRÉSTIMO"</f>
        <v>RELATÓRIO DE RESUMO DE EMPRÉSTIMO</v>
      </c>
      <c r="F6243" s="2" t="str">
        <f>"R_EMPRESTIMO_SINT"</f>
        <v>R_EMPRESTIMO_SINT</v>
      </c>
      <c r="G6243" s="2" t="str">
        <f t="shared" si="516"/>
        <v xml:space="preserve"> ()</v>
      </c>
    </row>
    <row r="6244" spans="1:7" x14ac:dyDescent="0.3">
      <c r="A6244" s="1" t="s">
        <v>4</v>
      </c>
      <c r="B6244" s="2" t="str">
        <f t="shared" si="513"/>
        <v>SISTEMA DE GERENCIAMENTO DE ESTOQUE</v>
      </c>
      <c r="C6244" s="2" t="str">
        <f t="shared" si="514"/>
        <v>SUPRI</v>
      </c>
      <c r="D6244" s="2" t="str">
        <f t="shared" si="515"/>
        <v>MGES</v>
      </c>
      <c r="E6244" s="2" t="str">
        <f>"RELATÓRIO DE RESUMO DE EMPRÉSTIMO"</f>
        <v>RELATÓRIO DE RESUMO DE EMPRÉSTIMO</v>
      </c>
      <c r="F6244" s="2" t="str">
        <f>"R_EMPRESTIMO.RDF"</f>
        <v>R_EMPRESTIMO.RDF</v>
      </c>
      <c r="G6244" s="2" t="str">
        <f t="shared" si="516"/>
        <v xml:space="preserve"> ()</v>
      </c>
    </row>
    <row r="6245" spans="1:7" x14ac:dyDescent="0.3">
      <c r="A6245" s="1" t="s">
        <v>4</v>
      </c>
      <c r="B6245" s="2" t="str">
        <f t="shared" si="513"/>
        <v>SISTEMA DE GERENCIAMENTO DE ESTOQUE</v>
      </c>
      <c r="C6245" s="2" t="str">
        <f t="shared" si="514"/>
        <v>SUPRI</v>
      </c>
      <c r="D6245" s="2" t="str">
        <f t="shared" si="515"/>
        <v>MGES</v>
      </c>
      <c r="E6245" s="2" t="str">
        <f>"RELATÓRIO DE SAÍDAS DE EMPRÉSTIMOS"</f>
        <v>RELATÓRIO DE SAÍDAS DE EMPRÉSTIMOS</v>
      </c>
      <c r="F6245" s="2" t="str">
        <f>"R_SAIDA_EMPRESTIMO.RDF"</f>
        <v>R_SAIDA_EMPRESTIMO.RDF</v>
      </c>
      <c r="G6245" s="2" t="str">
        <f t="shared" si="516"/>
        <v xml:space="preserve"> ()</v>
      </c>
    </row>
    <row r="6246" spans="1:7" x14ac:dyDescent="0.3">
      <c r="A6246" s="1" t="s">
        <v>4</v>
      </c>
      <c r="B6246" s="2" t="str">
        <f t="shared" si="513"/>
        <v>SISTEMA DE GERENCIAMENTO DE ESTOQUE</v>
      </c>
      <c r="C6246" s="2" t="str">
        <f t="shared" si="514"/>
        <v>SUPRI</v>
      </c>
      <c r="D6246" s="2" t="str">
        <f t="shared" si="515"/>
        <v>MGES</v>
      </c>
      <c r="E6246" s="2" t="str">
        <f>"RELATÓRIO DE ENTRADAS DE EMPRÉSTIMO"</f>
        <v>RELATÓRIO DE ENTRADAS DE EMPRÉSTIMO</v>
      </c>
      <c r="F6246" s="2" t="str">
        <f>"R_EMPRESTIMO_ENTRADA.RDF"</f>
        <v>R_EMPRESTIMO_ENTRADA.RDF</v>
      </c>
      <c r="G6246" s="2" t="str">
        <f t="shared" si="516"/>
        <v xml:space="preserve"> ()</v>
      </c>
    </row>
    <row r="6247" spans="1:7" x14ac:dyDescent="0.3">
      <c r="A6247" s="1" t="s">
        <v>4</v>
      </c>
      <c r="B6247" s="2" t="str">
        <f t="shared" si="513"/>
        <v>SISTEMA DE GERENCIAMENTO DE ESTOQUE</v>
      </c>
      <c r="C6247" s="2" t="str">
        <f t="shared" si="514"/>
        <v>SUPRI</v>
      </c>
      <c r="D6247" s="2" t="str">
        <f t="shared" si="515"/>
        <v>MGES</v>
      </c>
      <c r="E6247" s="2" t="str">
        <f>"REL. DEVOLUÇÃO DE MATERIAIS POR ESPÉCIE"</f>
        <v>REL. DEVOLUÇÃO DE MATERIAIS POR ESPÉCIE</v>
      </c>
      <c r="F6247" s="2" t="str">
        <f>"R_DEVOLUCAO_MATERIAL.RDF"</f>
        <v>R_DEVOLUCAO_MATERIAL.RDF</v>
      </c>
      <c r="G6247" s="2" t="str">
        <f t="shared" si="516"/>
        <v xml:space="preserve"> ()</v>
      </c>
    </row>
    <row r="6248" spans="1:7" x14ac:dyDescent="0.3">
      <c r="A6248" s="1" t="s">
        <v>4</v>
      </c>
      <c r="B6248" s="2" t="str">
        <f t="shared" si="513"/>
        <v>SISTEMA DE GERENCIAMENTO DE ESTOQUE</v>
      </c>
      <c r="C6248" s="2" t="str">
        <f t="shared" si="514"/>
        <v>SUPRI</v>
      </c>
      <c r="D6248" s="2" t="str">
        <f t="shared" si="515"/>
        <v>MGES</v>
      </c>
      <c r="E6248" s="2" t="str">
        <f>"REL. RESUMO DAS DEVOLUÇÕES DE PRODUTOS"</f>
        <v>REL. RESUMO DAS DEVOLUÇÕES DE PRODUTOS</v>
      </c>
      <c r="F6248" s="2" t="str">
        <f>"R_RESUMO_DEVOLUCAO.RDF"</f>
        <v>R_RESUMO_DEVOLUCAO.RDF</v>
      </c>
      <c r="G6248" s="2" t="str">
        <f t="shared" si="516"/>
        <v xml:space="preserve"> ()</v>
      </c>
    </row>
    <row r="6249" spans="1:7" x14ac:dyDescent="0.3">
      <c r="A6249" s="1" t="s">
        <v>4</v>
      </c>
      <c r="B6249" s="2" t="str">
        <f t="shared" si="513"/>
        <v>SISTEMA DE GERENCIAMENTO DE ESTOQUE</v>
      </c>
      <c r="C6249" s="2" t="str">
        <f t="shared" si="514"/>
        <v>SUPRI</v>
      </c>
      <c r="D6249" s="2" t="str">
        <f t="shared" si="515"/>
        <v>MGES</v>
      </c>
      <c r="E6249" s="2" t="str">
        <f>"REL.DEVOLUÇÕES DE FORNECEDORES SINTÉTICO"</f>
        <v>REL.DEVOLUÇÕES DE FORNECEDORES SINTÉTICO</v>
      </c>
      <c r="F6249" s="2" t="str">
        <f>"R_EST_DEVOLUCAO_FORNECEDO_SINT.RDF"</f>
        <v>R_EST_DEVOLUCAO_FORNECEDO_SINT.RDF</v>
      </c>
      <c r="G6249" s="2" t="str">
        <f t="shared" si="516"/>
        <v xml:space="preserve"> ()</v>
      </c>
    </row>
    <row r="6250" spans="1:7" x14ac:dyDescent="0.3">
      <c r="A6250" s="1" t="s">
        <v>4</v>
      </c>
      <c r="B6250" s="2" t="str">
        <f t="shared" si="513"/>
        <v>SISTEMA DE GERENCIAMENTO DE ESTOQUE</v>
      </c>
      <c r="C6250" s="2" t="str">
        <f t="shared" si="514"/>
        <v>SUPRI</v>
      </c>
      <c r="D6250" s="2" t="str">
        <f t="shared" si="515"/>
        <v>MGES</v>
      </c>
      <c r="E6250" s="2" t="str">
        <f>"REL. ENTRADA DE FORNECEDORES SINTÉTICO"</f>
        <v>REL. ENTRADA DE FORNECEDORES SINTÉTICO</v>
      </c>
      <c r="F6250" s="2" t="str">
        <f>"R_EST_ENTRADA_PRODUTO_SINT.RDF"</f>
        <v>R_EST_ENTRADA_PRODUTO_SINT.RDF</v>
      </c>
      <c r="G6250" s="2" t="str">
        <f t="shared" si="516"/>
        <v xml:space="preserve"> ()</v>
      </c>
    </row>
    <row r="6251" spans="1:7" x14ac:dyDescent="0.3">
      <c r="A6251" s="1" t="s">
        <v>4</v>
      </c>
      <c r="B6251" s="2" t="str">
        <f t="shared" si="513"/>
        <v>SISTEMA DE GERENCIAMENTO DE ESTOQUE</v>
      </c>
      <c r="C6251" s="2" t="str">
        <f t="shared" si="514"/>
        <v>SUPRI</v>
      </c>
      <c r="D6251" s="2" t="str">
        <f t="shared" si="515"/>
        <v>MGES</v>
      </c>
      <c r="E6251" s="2" t="str">
        <f>"RELATÓRIO DE ETIQUETA DOS KITS"</f>
        <v>RELATÓRIO DE ETIQUETA DOS KITS</v>
      </c>
      <c r="F6251" s="2" t="str">
        <f>"R_ETIQUETA_KIT.RDF"</f>
        <v>R_ETIQUETA_KIT.RDF</v>
      </c>
      <c r="G6251" s="2" t="str">
        <f t="shared" si="516"/>
        <v xml:space="preserve"> ()</v>
      </c>
    </row>
    <row r="6252" spans="1:7" x14ac:dyDescent="0.3">
      <c r="A6252" s="1" t="s">
        <v>4</v>
      </c>
      <c r="B6252" s="2" t="str">
        <f t="shared" si="513"/>
        <v>SISTEMA DE GERENCIAMENTO DE ESTOQUE</v>
      </c>
      <c r="C6252" s="2" t="str">
        <f t="shared" si="514"/>
        <v>SUPRI</v>
      </c>
      <c r="D6252" s="2" t="str">
        <f t="shared" si="515"/>
        <v>MGES</v>
      </c>
      <c r="E6252" s="2" t="str">
        <f>"RELATÓRIO DE ETIQUETA DO PRODUTO"</f>
        <v>RELATÓRIO DE ETIQUETA DO PRODUTO</v>
      </c>
      <c r="F6252" s="2" t="str">
        <f>"R_IMPRIMI_ETIQ.RDF"</f>
        <v>R_IMPRIMI_ETIQ.RDF</v>
      </c>
      <c r="G6252" s="2" t="str">
        <f t="shared" si="516"/>
        <v xml:space="preserve"> ()</v>
      </c>
    </row>
    <row r="6253" spans="1:7" x14ac:dyDescent="0.3">
      <c r="A6253" s="1" t="s">
        <v>4</v>
      </c>
      <c r="B6253" s="2" t="str">
        <f t="shared" si="513"/>
        <v>SISTEMA DE GERENCIAMENTO DE ESTOQUE</v>
      </c>
      <c r="C6253" s="2" t="str">
        <f t="shared" si="514"/>
        <v>SUPRI</v>
      </c>
      <c r="D6253" s="2" t="str">
        <f t="shared" si="515"/>
        <v>MGES</v>
      </c>
      <c r="E6253" s="2" t="str">
        <f>"TEXTBOX"</f>
        <v>TEXTBOX</v>
      </c>
      <c r="F6253" s="2" t="str">
        <f>"TEXTBOX"</f>
        <v>TEXTBOX</v>
      </c>
      <c r="G6253" s="2" t="str">
        <f t="shared" si="516"/>
        <v xml:space="preserve"> ()</v>
      </c>
    </row>
    <row r="6254" spans="1:7" x14ac:dyDescent="0.3">
      <c r="A6254" s="1" t="s">
        <v>4</v>
      </c>
      <c r="B6254" s="2" t="str">
        <f t="shared" si="513"/>
        <v>SISTEMA DE GERENCIAMENTO DE ESTOQUE</v>
      </c>
      <c r="C6254" s="2" t="str">
        <f t="shared" si="514"/>
        <v>SUPRI</v>
      </c>
      <c r="D6254" s="2" t="str">
        <f t="shared" si="515"/>
        <v>MGES</v>
      </c>
      <c r="E6254" s="2" t="str">
        <f>"R_SETOR_ESTOQUE_755"</f>
        <v>R_SETOR_ESTOQUE_755</v>
      </c>
      <c r="F6254" s="2" t="str">
        <f>"R_SETOR_ESTOQUE_755"</f>
        <v>R_SETOR_ESTOQUE_755</v>
      </c>
      <c r="G6254" s="2" t="str">
        <f t="shared" si="516"/>
        <v xml:space="preserve"> ()</v>
      </c>
    </row>
    <row r="6255" spans="1:7" x14ac:dyDescent="0.3">
      <c r="A6255" s="1" t="s">
        <v>4</v>
      </c>
      <c r="B6255" s="2" t="str">
        <f t="shared" si="513"/>
        <v>SISTEMA DE GERENCIAMENTO DE ESTOQUE</v>
      </c>
      <c r="C6255" s="2" t="str">
        <f t="shared" si="514"/>
        <v>SUPRI</v>
      </c>
      <c r="D6255" s="2" t="str">
        <f t="shared" si="515"/>
        <v>MGES</v>
      </c>
      <c r="E6255" s="2" t="str">
        <f>"R_SETOR_ESPECIE_755"</f>
        <v>R_SETOR_ESPECIE_755</v>
      </c>
      <c r="F6255" s="2" t="str">
        <f>"R_SETOR_ESPECIE_755"</f>
        <v>R_SETOR_ESPECIE_755</v>
      </c>
      <c r="G6255" s="2" t="str">
        <f t="shared" si="516"/>
        <v xml:space="preserve"> ()</v>
      </c>
    </row>
    <row r="6256" spans="1:7" x14ac:dyDescent="0.3">
      <c r="A6256" s="1" t="s">
        <v>4</v>
      </c>
      <c r="B6256" s="2" t="str">
        <f t="shared" si="513"/>
        <v>SISTEMA DE GERENCIAMENTO DE ESTOQUE</v>
      </c>
      <c r="C6256" s="2" t="str">
        <f t="shared" si="514"/>
        <v>SUPRI</v>
      </c>
      <c r="D6256" s="2" t="str">
        <f t="shared" si="515"/>
        <v>MGES</v>
      </c>
      <c r="E6256" s="2" t="str">
        <f>"M_ETIQUETAS"</f>
        <v>M_ETIQUETAS</v>
      </c>
      <c r="F6256" s="2" t="str">
        <f>"M_ETIQUETAS"</f>
        <v>M_ETIQUETAS</v>
      </c>
      <c r="G6256" s="2" t="str">
        <f t="shared" si="516"/>
        <v xml:space="preserve"> ()</v>
      </c>
    </row>
    <row r="6257" spans="1:7" x14ac:dyDescent="0.3">
      <c r="A6257" s="1" t="s">
        <v>4</v>
      </c>
      <c r="B6257" s="2" t="str">
        <f t="shared" si="513"/>
        <v>SISTEMA DE GERENCIAMENTO DE ESTOQUE</v>
      </c>
      <c r="C6257" s="2" t="str">
        <f t="shared" si="514"/>
        <v>SUPRI</v>
      </c>
      <c r="D6257" s="2" t="str">
        <f t="shared" si="515"/>
        <v>MGES</v>
      </c>
      <c r="E6257" s="2" t="str">
        <f>"ORACLE FORMS RUNTIME"</f>
        <v>ORACLE FORMS RUNTIME</v>
      </c>
      <c r="F6257" s="2" t="str">
        <f>"M_SOLABERTAS"</f>
        <v>M_SOLABERTAS</v>
      </c>
      <c r="G6257" s="2" t="str">
        <f t="shared" si="516"/>
        <v xml:space="preserve"> ()</v>
      </c>
    </row>
    <row r="6258" spans="1:7" x14ac:dyDescent="0.3">
      <c r="A6258" s="1" t="s">
        <v>4</v>
      </c>
      <c r="B6258" s="2" t="str">
        <f t="shared" si="513"/>
        <v>SISTEMA DE GERENCIAMENTO DE ESTOQUE</v>
      </c>
      <c r="C6258" s="2" t="str">
        <f t="shared" si="514"/>
        <v>SUPRI</v>
      </c>
      <c r="D6258" s="2" t="str">
        <f t="shared" si="515"/>
        <v>MGES</v>
      </c>
      <c r="E6258" s="2" t="str">
        <f>"RELATÓRIO DE CONSUMO POR SETOR"</f>
        <v>RELATÓRIO DE CONSUMO POR SETOR</v>
      </c>
      <c r="F6258" s="2" t="str">
        <f>"R_CONSUMO_SETOR_755"</f>
        <v>R_CONSUMO_SETOR_755</v>
      </c>
      <c r="G6258" s="2" t="str">
        <f t="shared" si="516"/>
        <v xml:space="preserve"> ()</v>
      </c>
    </row>
    <row r="6259" spans="1:7" x14ac:dyDescent="0.3">
      <c r="A6259" s="1" t="s">
        <v>4</v>
      </c>
      <c r="B6259" s="2" t="str">
        <f t="shared" si="513"/>
        <v>SISTEMA DE GERENCIAMENTO DE ESTOQUE</v>
      </c>
      <c r="C6259" s="2" t="str">
        <f t="shared" si="514"/>
        <v>SUPRI</v>
      </c>
      <c r="D6259" s="2" t="str">
        <f t="shared" si="515"/>
        <v>MGES</v>
      </c>
      <c r="E6259" s="2" t="str">
        <f>"INVETÁRIO: DIGITAÇÃO DOS PRODUTOS"</f>
        <v>INVETÁRIO: DIGITAÇÃO DOS PRODUTOS</v>
      </c>
      <c r="F6259" s="2" t="str">
        <f>"CONTAGEM_HR"</f>
        <v>CONTAGEM_HR</v>
      </c>
      <c r="G6259" s="2" t="str">
        <f t="shared" si="516"/>
        <v xml:space="preserve"> ()</v>
      </c>
    </row>
    <row r="6260" spans="1:7" x14ac:dyDescent="0.3">
      <c r="A6260" s="1" t="s">
        <v>4</v>
      </c>
      <c r="B6260" s="2" t="str">
        <f t="shared" si="513"/>
        <v>SISTEMA DE GERENCIAMENTO DE ESTOQUE</v>
      </c>
      <c r="C6260" s="2" t="str">
        <f t="shared" si="514"/>
        <v>SUPRI</v>
      </c>
      <c r="D6260" s="2" t="str">
        <f t="shared" si="515"/>
        <v>MGES</v>
      </c>
      <c r="E6260" s="2" t="str">
        <f>"CURVA ABC DE FARMÁCIA"</f>
        <v>CURVA ABC DE FARMÁCIA</v>
      </c>
      <c r="F6260" s="2" t="str">
        <f>"R_CURVA_ABC_FARM_755"</f>
        <v>R_CURVA_ABC_FARM_755</v>
      </c>
      <c r="G6260" s="2" t="str">
        <f t="shared" si="516"/>
        <v xml:space="preserve"> ()</v>
      </c>
    </row>
    <row r="6261" spans="1:7" x14ac:dyDescent="0.3">
      <c r="A6261" s="1" t="s">
        <v>4</v>
      </c>
      <c r="B6261" s="2" t="str">
        <f t="shared" si="513"/>
        <v>SISTEMA DE GERENCIAMENTO DE ESTOQUE</v>
      </c>
      <c r="C6261" s="2" t="str">
        <f t="shared" si="514"/>
        <v>SUPRI</v>
      </c>
      <c r="D6261" s="2" t="str">
        <f t="shared" si="515"/>
        <v>MGES</v>
      </c>
      <c r="E6261" s="2" t="str">
        <f>"R_BALANCETE_CONTABIL_959"</f>
        <v>R_BALANCETE_CONTABIL_959</v>
      </c>
      <c r="F6261" s="2" t="str">
        <f>"R_BALANCETE_CONTABIL_959"</f>
        <v>R_BALANCETE_CONTABIL_959</v>
      </c>
      <c r="G6261" s="2" t="str">
        <f t="shared" si="516"/>
        <v xml:space="preserve"> ()</v>
      </c>
    </row>
    <row r="6262" spans="1:7" x14ac:dyDescent="0.3">
      <c r="A6262" s="1" t="s">
        <v>4</v>
      </c>
      <c r="B6262" s="2" t="str">
        <f t="shared" si="513"/>
        <v>SISTEMA DE GERENCIAMENTO DE ESTOQUE</v>
      </c>
      <c r="C6262" s="2" t="str">
        <f t="shared" si="514"/>
        <v>SUPRI</v>
      </c>
      <c r="D6262" s="2" t="str">
        <f t="shared" si="515"/>
        <v>MGES</v>
      </c>
      <c r="E6262" s="2" t="str">
        <f>"TRANSFERÊNCIA EFETUADA"</f>
        <v>TRANSFERÊNCIA EFETUADA</v>
      </c>
      <c r="F6262" s="2" t="str">
        <f>"R_LIVRO_IT_FRACIONADOS"</f>
        <v>R_LIVRO_IT_FRACIONADOS</v>
      </c>
      <c r="G6262" s="2" t="str">
        <f t="shared" si="516"/>
        <v xml:space="preserve"> ()</v>
      </c>
    </row>
    <row r="6263" spans="1:7" x14ac:dyDescent="0.3">
      <c r="A6263" s="1" t="s">
        <v>4</v>
      </c>
      <c r="B6263" s="2" t="str">
        <f t="shared" si="513"/>
        <v>SISTEMA DE GERENCIAMENTO DE ESTOQUE</v>
      </c>
      <c r="C6263" s="2" t="str">
        <f t="shared" si="514"/>
        <v>SUPRI</v>
      </c>
      <c r="D6263" s="2" t="str">
        <f t="shared" si="515"/>
        <v>MGES</v>
      </c>
      <c r="E6263" s="2" t="str">
        <f>"LIVRO DE REGISTRO ESPECÍFICO"</f>
        <v>LIVRO DE REGISTRO ESPECÍFICO</v>
      </c>
      <c r="F6263" s="2" t="str">
        <f>"R_LIVRO_REG_1754"</f>
        <v>R_LIVRO_REG_1754</v>
      </c>
      <c r="G6263" s="2" t="str">
        <f t="shared" si="516"/>
        <v xml:space="preserve"> ()</v>
      </c>
    </row>
    <row r="6264" spans="1:7" x14ac:dyDescent="0.3">
      <c r="A6264" s="1" t="s">
        <v>4</v>
      </c>
      <c r="B6264" s="2" t="str">
        <f t="shared" si="513"/>
        <v>SISTEMA DE GERENCIAMENTO DE ESTOQUE</v>
      </c>
      <c r="C6264" s="2" t="str">
        <f t="shared" si="514"/>
        <v>SUPRI</v>
      </c>
      <c r="D6264" s="2" t="str">
        <f t="shared" si="515"/>
        <v>MGES</v>
      </c>
      <c r="E6264" s="2" t="str">
        <f>"R_DIVERGE_CONTA_KIT"</f>
        <v>R_DIVERGE_CONTA_KIT</v>
      </c>
      <c r="F6264" s="2" t="str">
        <f>"R_DIVERGE_CONTA_KIT"</f>
        <v>R_DIVERGE_CONTA_KIT</v>
      </c>
      <c r="G6264" s="2" t="str">
        <f t="shared" si="516"/>
        <v xml:space="preserve"> ()</v>
      </c>
    </row>
    <row r="6265" spans="1:7" x14ac:dyDescent="0.3">
      <c r="A6265" s="1" t="s">
        <v>4</v>
      </c>
      <c r="B6265" s="2" t="str">
        <f t="shared" si="513"/>
        <v>SISTEMA DE GERENCIAMENTO DE ESTOQUE</v>
      </c>
      <c r="C6265" s="2" t="str">
        <f t="shared" si="514"/>
        <v>SUPRI</v>
      </c>
      <c r="D6265" s="2" t="str">
        <f t="shared" si="515"/>
        <v>MGES</v>
      </c>
      <c r="E6265" s="2" t="str">
        <f>"TRANSFERÊNCIA EFETUADA"</f>
        <v>TRANSFERÊNCIA EFETUADA</v>
      </c>
      <c r="F6265" s="2" t="str">
        <f>"R_LIV_IT_FRACIONADO"</f>
        <v>R_LIV_IT_FRACIONADO</v>
      </c>
      <c r="G6265" s="2" t="str">
        <f t="shared" si="516"/>
        <v xml:space="preserve"> ()</v>
      </c>
    </row>
    <row r="6266" spans="1:7" x14ac:dyDescent="0.3">
      <c r="A6266" s="1" t="s">
        <v>4</v>
      </c>
      <c r="B6266" s="2" t="str">
        <f t="shared" si="513"/>
        <v>SISTEMA DE GERENCIAMENTO DE ESTOQUE</v>
      </c>
      <c r="C6266" s="2" t="str">
        <f t="shared" si="514"/>
        <v>SUPRI</v>
      </c>
      <c r="D6266" s="2" t="str">
        <f t="shared" si="515"/>
        <v>MGES</v>
      </c>
      <c r="E6266" s="2" t="str">
        <f>"R_CONT_PROD_EST_N_MESTRE"</f>
        <v>R_CONT_PROD_EST_N_MESTRE</v>
      </c>
      <c r="F6266" s="2" t="str">
        <f>"R_CONT_PROD_EST_N_MESTRE"</f>
        <v>R_CONT_PROD_EST_N_MESTRE</v>
      </c>
      <c r="G6266" s="2" t="str">
        <f t="shared" si="516"/>
        <v xml:space="preserve"> ()</v>
      </c>
    </row>
    <row r="6267" spans="1:7" x14ac:dyDescent="0.3">
      <c r="A6267" s="1" t="s">
        <v>4</v>
      </c>
      <c r="B6267" s="2" t="str">
        <f t="shared" si="513"/>
        <v>SISTEMA DE GERENCIAMENTO DE ESTOQUE</v>
      </c>
      <c r="C6267" s="2" t="str">
        <f t="shared" si="514"/>
        <v>SUPRI</v>
      </c>
      <c r="D6267" s="2" t="str">
        <f t="shared" si="515"/>
        <v>MGES</v>
      </c>
      <c r="E6267" s="2" t="str">
        <f>"M_CANCSOL"</f>
        <v>M_CANCSOL</v>
      </c>
      <c r="F6267" s="2" t="str">
        <f>"M_CANCSOL"</f>
        <v>M_CANCSOL</v>
      </c>
      <c r="G6267" s="2" t="str">
        <f>"Materiais e Logística / Almoxarifado / Solicitações / Cancelamento de Solicitação (M_CANCSOL)"</f>
        <v>Materiais e Logística / Almoxarifado / Solicitações / Cancelamento de Solicitação (M_CANCSOL)</v>
      </c>
    </row>
    <row r="6268" spans="1:7" x14ac:dyDescent="0.3">
      <c r="A6268" s="1" t="s">
        <v>4</v>
      </c>
      <c r="B6268" s="2" t="str">
        <f t="shared" si="513"/>
        <v>SISTEMA DE GERENCIAMENTO DE ESTOQUE</v>
      </c>
      <c r="C6268" s="2" t="str">
        <f t="shared" si="514"/>
        <v>SUPRI</v>
      </c>
      <c r="D6268" s="2" t="str">
        <f t="shared" si="515"/>
        <v>MGES</v>
      </c>
      <c r="E6268" s="2" t="str">
        <f>"PARAMETROS REGISTRO INVENTARIO TIPI"</f>
        <v>PARAMETROS REGISTRO INVENTARIO TIPI</v>
      </c>
      <c r="F6268" s="2" t="str">
        <f>"R_REG_INV_TIPI"</f>
        <v>R_REG_INV_TIPI</v>
      </c>
      <c r="G6268" s="2" t="str">
        <f>"Controladoria / Contabilidade / Relatórios / Registro de Inventário (com TIPI) (R_REG_INV_TIPI)"</f>
        <v>Controladoria / Contabilidade / Relatórios / Registro de Inventário (com TIPI) (R_REG_INV_TIPI)</v>
      </c>
    </row>
    <row r="6269" spans="1:7" x14ac:dyDescent="0.3">
      <c r="A6269" s="1" t="s">
        <v>4</v>
      </c>
      <c r="B6269" s="2" t="str">
        <f t="shared" si="513"/>
        <v>SISTEMA DE GERENCIAMENTO DE ESTOQUE</v>
      </c>
      <c r="C6269" s="2" t="str">
        <f t="shared" si="514"/>
        <v>SUPRI</v>
      </c>
      <c r="D6269" s="2" t="str">
        <f t="shared" si="515"/>
        <v>MGES</v>
      </c>
      <c r="E6269" s="2" t="str">
        <f>"PARAMETROS REGISTRO INVENTARIO TIPI"</f>
        <v>PARAMETROS REGISTRO INVENTARIO TIPI</v>
      </c>
      <c r="F6269" s="2" t="str">
        <f>"R_REG_INV_TIPI"</f>
        <v>R_REG_INV_TIPI</v>
      </c>
      <c r="G6269" s="2" t="str">
        <f>"Materiais e Logística / Almoxarifado / Relatórios / Contábeis / Registro de Inventário (com TIPI) (R_REG_INV_TIPI)"</f>
        <v>Materiais e Logística / Almoxarifado / Relatórios / Contábeis / Registro de Inventário (com TIPI) (R_REG_INV_TIPI)</v>
      </c>
    </row>
    <row r="6270" spans="1:7" x14ac:dyDescent="0.3">
      <c r="A6270" s="1" t="s">
        <v>4</v>
      </c>
      <c r="B6270" s="2" t="str">
        <f t="shared" si="513"/>
        <v>SISTEMA DE GERENCIAMENTO DE ESTOQUE</v>
      </c>
      <c r="C6270" s="2" t="str">
        <f t="shared" si="514"/>
        <v>SUPRI</v>
      </c>
      <c r="D6270" s="2" t="str">
        <f t="shared" si="515"/>
        <v>MGES</v>
      </c>
      <c r="E6270" s="2" t="str">
        <f>"PRODUTO SEM SALDO POR COTA E MOV."</f>
        <v>PRODUTO SEM SALDO POR COTA E MOV.</v>
      </c>
      <c r="F6270" s="2" t="str">
        <f>"R_PROD_SEM_SALDO_COTA_MOV"</f>
        <v>R_PROD_SEM_SALDO_COTA_MOV</v>
      </c>
      <c r="G6270" s="2" t="str">
        <f t="shared" ref="G6270:G6284" si="517">" ()"</f>
        <v xml:space="preserve"> ()</v>
      </c>
    </row>
    <row r="6271" spans="1:7" x14ac:dyDescent="0.3">
      <c r="A6271" s="1" t="s">
        <v>4</v>
      </c>
      <c r="B6271" s="2" t="str">
        <f t="shared" si="513"/>
        <v>SISTEMA DE GERENCIAMENTO DE ESTOQUE</v>
      </c>
      <c r="C6271" s="2" t="str">
        <f t="shared" si="514"/>
        <v>SUPRI</v>
      </c>
      <c r="D6271" s="2" t="str">
        <f t="shared" si="515"/>
        <v>MGES</v>
      </c>
      <c r="E6271" s="2" t="str">
        <f>"RELAT. CURVA ABC CONSUMO"</f>
        <v>RELAT. CURVA ABC CONSUMO</v>
      </c>
      <c r="F6271" s="2" t="str">
        <f>"R_C_ABC_CONSUMO_737"</f>
        <v>R_C_ABC_CONSUMO_737</v>
      </c>
      <c r="G6271" s="2" t="str">
        <f t="shared" si="517"/>
        <v xml:space="preserve"> ()</v>
      </c>
    </row>
    <row r="6272" spans="1:7" x14ac:dyDescent="0.3">
      <c r="A6272" s="1" t="s">
        <v>4</v>
      </c>
      <c r="B6272" s="2" t="str">
        <f t="shared" si="513"/>
        <v>SISTEMA DE GERENCIAMENTO DE ESTOQUE</v>
      </c>
      <c r="C6272" s="2" t="str">
        <f t="shared" si="514"/>
        <v>SUPRI</v>
      </c>
      <c r="D6272" s="2" t="str">
        <f t="shared" si="515"/>
        <v>MGES</v>
      </c>
      <c r="E6272" s="2" t="str">
        <f>"PRODUTOS CRITICOS"</f>
        <v>PRODUTOS CRITICOS</v>
      </c>
      <c r="F6272" s="2" t="str">
        <f>"R_PROD_CRIT_EMP"</f>
        <v>R_PROD_CRIT_EMP</v>
      </c>
      <c r="G6272" s="2" t="str">
        <f t="shared" si="517"/>
        <v xml:space="preserve"> ()</v>
      </c>
    </row>
    <row r="6273" spans="1:7" x14ac:dyDescent="0.3">
      <c r="A6273" s="1" t="s">
        <v>4</v>
      </c>
      <c r="B6273" s="2" t="str">
        <f t="shared" si="513"/>
        <v>SISTEMA DE GERENCIAMENTO DE ESTOQUE</v>
      </c>
      <c r="C6273" s="2" t="str">
        <f t="shared" si="514"/>
        <v>SUPRI</v>
      </c>
      <c r="D6273" s="2" t="str">
        <f t="shared" si="515"/>
        <v>MGES</v>
      </c>
      <c r="E6273" s="2" t="str">
        <f>"RELATORIO DE EMPRESTIMO DE ENTRADA"</f>
        <v>RELATORIO DE EMPRESTIMO DE ENTRADA</v>
      </c>
      <c r="F6273" s="2" t="str">
        <f>"R_EMPRESTIMO_ ENT"</f>
        <v>R_EMPRESTIMO_ ENT</v>
      </c>
      <c r="G6273" s="2" t="str">
        <f t="shared" si="517"/>
        <v xml:space="preserve"> ()</v>
      </c>
    </row>
    <row r="6274" spans="1:7" x14ac:dyDescent="0.3">
      <c r="A6274" s="1" t="s">
        <v>4</v>
      </c>
      <c r="B6274" s="2" t="str">
        <f t="shared" si="513"/>
        <v>SISTEMA DE GERENCIAMENTO DE ESTOQUE</v>
      </c>
      <c r="C6274" s="2" t="str">
        <f t="shared" si="514"/>
        <v>SUPRI</v>
      </c>
      <c r="D6274" s="2" t="str">
        <f t="shared" si="515"/>
        <v>MGES</v>
      </c>
      <c r="E6274" s="2" t="str">
        <f>"CONSULTA DE ENTRADA DE PRODUTOS"</f>
        <v>CONSULTA DE ENTRADA DE PRODUTOS</v>
      </c>
      <c r="F6274" s="2" t="str">
        <f>"C_ENTRADA_NOVA_CONS"</f>
        <v>C_ENTRADA_NOVA_CONS</v>
      </c>
      <c r="G6274" s="2" t="str">
        <f t="shared" si="517"/>
        <v xml:space="preserve"> ()</v>
      </c>
    </row>
    <row r="6275" spans="1:7" x14ac:dyDescent="0.3">
      <c r="A6275" s="1" t="s">
        <v>4</v>
      </c>
      <c r="B6275" s="2" t="str">
        <f t="shared" si="513"/>
        <v>SISTEMA DE GERENCIAMENTO DE ESTOQUE</v>
      </c>
      <c r="C6275" s="2" t="str">
        <f t="shared" si="514"/>
        <v>SUPRI</v>
      </c>
      <c r="D6275" s="2" t="str">
        <f t="shared" si="515"/>
        <v>MGES</v>
      </c>
      <c r="E6275" s="2" t="str">
        <f>"RELATÓRIO DE EMPRÉSTIMOS PENDENTES"</f>
        <v>RELATÓRIO DE EMPRÉSTIMOS PENDENTES</v>
      </c>
      <c r="F6275" s="2" t="str">
        <f>"R_EMPRESTIMO_PENDENTE.FMX"</f>
        <v>R_EMPRESTIMO_PENDENTE.FMX</v>
      </c>
      <c r="G6275" s="2" t="str">
        <f t="shared" si="517"/>
        <v xml:space="preserve"> ()</v>
      </c>
    </row>
    <row r="6276" spans="1:7" x14ac:dyDescent="0.3">
      <c r="A6276" s="1" t="s">
        <v>4</v>
      </c>
      <c r="B6276" s="2" t="str">
        <f t="shared" si="513"/>
        <v>SISTEMA DE GERENCIAMENTO DE ESTOQUE</v>
      </c>
      <c r="C6276" s="2" t="str">
        <f t="shared" si="514"/>
        <v>SUPRI</v>
      </c>
      <c r="D6276" s="2" t="str">
        <f t="shared" si="515"/>
        <v>MGES</v>
      </c>
      <c r="E6276" s="2" t="str">
        <f>"RELATÓRIO DE EMPRESTIMOS PENDENTES"</f>
        <v>RELATÓRIO DE EMPRESTIMOS PENDENTES</v>
      </c>
      <c r="F6276" s="2" t="str">
        <f>"R_EMPRESTIMO_PENDENTE"</f>
        <v>R_EMPRESTIMO_PENDENTE</v>
      </c>
      <c r="G6276" s="2" t="str">
        <f t="shared" si="517"/>
        <v xml:space="preserve"> ()</v>
      </c>
    </row>
    <row r="6277" spans="1:7" x14ac:dyDescent="0.3">
      <c r="A6277" s="1" t="s">
        <v>4</v>
      </c>
      <c r="B6277" s="2" t="str">
        <f t="shared" si="513"/>
        <v>SISTEMA DE GERENCIAMENTO DE ESTOQUE</v>
      </c>
      <c r="C6277" s="2" t="str">
        <f t="shared" si="514"/>
        <v>SUPRI</v>
      </c>
      <c r="D6277" s="2" t="str">
        <f t="shared" si="515"/>
        <v>MGES</v>
      </c>
      <c r="E6277" s="2" t="str">
        <f>"RELATÓRIO DE EMPRÉSTIMOS PENDENTES"</f>
        <v>RELATÓRIO DE EMPRÉSTIMOS PENDENTES</v>
      </c>
      <c r="F6277" s="2" t="str">
        <f>" R_EMPRESTIMO_PENDENTE.FMX"</f>
        <v xml:space="preserve"> R_EMPRESTIMO_PENDENTE.FMX</v>
      </c>
      <c r="G6277" s="2" t="str">
        <f t="shared" si="517"/>
        <v xml:space="preserve"> ()</v>
      </c>
    </row>
    <row r="6278" spans="1:7" x14ac:dyDescent="0.3">
      <c r="A6278" s="1" t="s">
        <v>4</v>
      </c>
      <c r="B6278" s="2" t="str">
        <f t="shared" si="513"/>
        <v>SISTEMA DE GERENCIAMENTO DE ESTOQUE</v>
      </c>
      <c r="C6278" s="2" t="str">
        <f t="shared" si="514"/>
        <v>SUPRI</v>
      </c>
      <c r="D6278" s="2" t="str">
        <f t="shared" si="515"/>
        <v>MGES</v>
      </c>
      <c r="E6278" s="2" t="str">
        <f>"ETIQUETAS DE IDENTIFICAÇÃO DE PRODUTOS"</f>
        <v>ETIQUETAS DE IDENTIFICAÇÃO DE PRODUTOS</v>
      </c>
      <c r="F6278" s="2" t="str">
        <f>"R_ETIQ_ID_PROD_200"</f>
        <v>R_ETIQ_ID_PROD_200</v>
      </c>
      <c r="G6278" s="2" t="str">
        <f t="shared" si="517"/>
        <v xml:space="preserve"> ()</v>
      </c>
    </row>
    <row r="6279" spans="1:7" x14ac:dyDescent="0.3">
      <c r="A6279" s="1" t="s">
        <v>4</v>
      </c>
      <c r="B6279" s="2" t="str">
        <f t="shared" si="513"/>
        <v>SISTEMA DE GERENCIAMENTO DE ESTOQUE</v>
      </c>
      <c r="C6279" s="2" t="str">
        <f t="shared" si="514"/>
        <v>SUPRI</v>
      </c>
      <c r="D6279" s="2" t="str">
        <f t="shared" si="515"/>
        <v>MGES</v>
      </c>
      <c r="E6279" s="2" t="str">
        <f>"CALCULO: CONSOLIDAÇÃO."</f>
        <v>CALCULO: CONSOLIDAÇÃO.</v>
      </c>
      <c r="F6279" s="2" t="str">
        <f>"O_CONSOLIDACAO_PRODUTO"</f>
        <v>O_CONSOLIDACAO_PRODUTO</v>
      </c>
      <c r="G6279" s="2" t="str">
        <f t="shared" si="517"/>
        <v xml:space="preserve"> ()</v>
      </c>
    </row>
    <row r="6280" spans="1:7" x14ac:dyDescent="0.3">
      <c r="A6280" s="1" t="s">
        <v>4</v>
      </c>
      <c r="B6280" s="2" t="str">
        <f t="shared" si="513"/>
        <v>SISTEMA DE GERENCIAMENTO DE ESTOQUE</v>
      </c>
      <c r="C6280" s="2" t="str">
        <f t="shared" si="514"/>
        <v>SUPRI</v>
      </c>
      <c r="D6280" s="2" t="str">
        <f t="shared" si="515"/>
        <v>MGES</v>
      </c>
      <c r="E6280" s="2" t="str">
        <f>"ATUALIZA_PRECO_FFCV"</f>
        <v>ATUALIZA_PRECO_FFCV</v>
      </c>
      <c r="F6280" s="2" t="str">
        <f>"ATUALIZA_PRECO_FFCV"</f>
        <v>ATUALIZA_PRECO_FFCV</v>
      </c>
      <c r="G6280" s="2" t="str">
        <f t="shared" si="517"/>
        <v xml:space="preserve"> ()</v>
      </c>
    </row>
    <row r="6281" spans="1:7" x14ac:dyDescent="0.3">
      <c r="A6281" s="1" t="s">
        <v>4</v>
      </c>
      <c r="B6281" s="2" t="str">
        <f t="shared" si="513"/>
        <v>SISTEMA DE GERENCIAMENTO DE ESTOQUE</v>
      </c>
      <c r="C6281" s="2" t="str">
        <f t="shared" si="514"/>
        <v>SUPRI</v>
      </c>
      <c r="D6281" s="2" t="str">
        <f t="shared" si="515"/>
        <v>MGES</v>
      </c>
      <c r="E6281" s="2" t="str">
        <f>"R_TERMO_PORTARIA"</f>
        <v>R_TERMO_PORTARIA</v>
      </c>
      <c r="F6281" s="2" t="str">
        <f>"R_TERMO_PORTARIA"</f>
        <v>R_TERMO_PORTARIA</v>
      </c>
      <c r="G6281" s="2" t="str">
        <f t="shared" si="517"/>
        <v xml:space="preserve"> ()</v>
      </c>
    </row>
    <row r="6282" spans="1:7" x14ac:dyDescent="0.3">
      <c r="A6282" s="1" t="s">
        <v>4</v>
      </c>
      <c r="B6282" s="2" t="str">
        <f t="shared" si="513"/>
        <v>SISTEMA DE GERENCIAMENTO DE ESTOQUE</v>
      </c>
      <c r="C6282" s="2" t="str">
        <f t="shared" si="514"/>
        <v>SUPRI</v>
      </c>
      <c r="D6282" s="2" t="str">
        <f t="shared" si="515"/>
        <v>MGES</v>
      </c>
      <c r="E6282" s="2" t="str">
        <f>"R_LIVRO_REG_CAPAS"</f>
        <v>R_LIVRO_REG_CAPAS</v>
      </c>
      <c r="F6282" s="2" t="str">
        <f>"R_LIVRO_REG_CAPAS"</f>
        <v>R_LIVRO_REG_CAPAS</v>
      </c>
      <c r="G6282" s="2" t="str">
        <f t="shared" si="517"/>
        <v xml:space="preserve"> ()</v>
      </c>
    </row>
    <row r="6283" spans="1:7" x14ac:dyDescent="0.3">
      <c r="A6283" s="1" t="s">
        <v>4</v>
      </c>
      <c r="B6283" s="2" t="str">
        <f t="shared" si="513"/>
        <v>SISTEMA DE GERENCIAMENTO DE ESTOQUE</v>
      </c>
      <c r="C6283" s="2" t="str">
        <f t="shared" si="514"/>
        <v>SUPRI</v>
      </c>
      <c r="D6283" s="2" t="str">
        <f t="shared" si="515"/>
        <v>MGES</v>
      </c>
      <c r="E6283" s="2" t="str">
        <f>"IT_TERMO_PORTARIA"</f>
        <v>IT_TERMO_PORTARIA</v>
      </c>
      <c r="F6283" s="2" t="str">
        <f>"IT_TERMO_PORTARIA"</f>
        <v>IT_TERMO_PORTARIA</v>
      </c>
      <c r="G6283" s="2" t="str">
        <f t="shared" si="517"/>
        <v xml:space="preserve"> ()</v>
      </c>
    </row>
    <row r="6284" spans="1:7" x14ac:dyDescent="0.3">
      <c r="A6284" s="1" t="s">
        <v>4</v>
      </c>
      <c r="B6284" s="2" t="str">
        <f t="shared" si="513"/>
        <v>SISTEMA DE GERENCIAMENTO DE ESTOQUE</v>
      </c>
      <c r="C6284" s="2" t="str">
        <f t="shared" si="514"/>
        <v>SUPRI</v>
      </c>
      <c r="D6284" s="2" t="str">
        <f t="shared" si="515"/>
        <v>MGES</v>
      </c>
      <c r="E6284" s="2" t="str">
        <f>"TERMO_PORTARIA"</f>
        <v>TERMO_PORTARIA</v>
      </c>
      <c r="F6284" s="2" t="str">
        <f>"TERMO_PORTARIA"</f>
        <v>TERMO_PORTARIA</v>
      </c>
      <c r="G6284" s="2" t="str">
        <f t="shared" si="517"/>
        <v xml:space="preserve"> ()</v>
      </c>
    </row>
    <row r="6285" spans="1:7" x14ac:dyDescent="0.3">
      <c r="A6285" s="1" t="s">
        <v>4</v>
      </c>
      <c r="B6285" s="2" t="str">
        <f t="shared" si="513"/>
        <v>SISTEMA DE GERENCIAMENTO DE ESTOQUE</v>
      </c>
      <c r="C6285" s="2" t="str">
        <f t="shared" si="514"/>
        <v>SUPRI</v>
      </c>
      <c r="D6285" s="2" t="str">
        <f t="shared" si="515"/>
        <v>MGES</v>
      </c>
      <c r="E6285" s="2" t="str">
        <f>"R_CLAS_CONTABIL"</f>
        <v>R_CLAS_CONTABIL</v>
      </c>
      <c r="F6285" s="2" t="str">
        <f>"R_CLAS_CONTABIL"</f>
        <v>R_CLAS_CONTABIL</v>
      </c>
      <c r="G6285" s="2" t="str">
        <f>"Materiais e Logística / Almoxarifado / Relatórios / Listagens / Classificação Contábil (R_CLAS_CONTABIL)"</f>
        <v>Materiais e Logística / Almoxarifado / Relatórios / Listagens / Classificação Contábil (R_CLAS_CONTABIL)</v>
      </c>
    </row>
    <row r="6286" spans="1:7" x14ac:dyDescent="0.3">
      <c r="A6286" s="1" t="s">
        <v>4</v>
      </c>
      <c r="B6286" s="2" t="str">
        <f t="shared" si="513"/>
        <v>SISTEMA DE GERENCIAMENTO DE ESTOQUE</v>
      </c>
      <c r="C6286" s="2" t="str">
        <f t="shared" si="514"/>
        <v>SUPRI</v>
      </c>
      <c r="D6286" s="2" t="str">
        <f t="shared" si="515"/>
        <v>MGES</v>
      </c>
      <c r="E6286" s="2" t="str">
        <f>"IMPORTACAO"</f>
        <v>IMPORTACAO</v>
      </c>
      <c r="F6286" s="2" t="str">
        <f>"IMPORTACAO"</f>
        <v>IMPORTACAO</v>
      </c>
      <c r="G6286" s="2" t="str">
        <f t="shared" ref="G6286:G6314" si="518">" ()"</f>
        <v xml:space="preserve"> ()</v>
      </c>
    </row>
    <row r="6287" spans="1:7" x14ac:dyDescent="0.3">
      <c r="A6287" s="1" t="s">
        <v>4</v>
      </c>
      <c r="B6287" s="2" t="str">
        <f t="shared" si="513"/>
        <v>SISTEMA DE GERENCIAMENTO DE ESTOQUE</v>
      </c>
      <c r="C6287" s="2" t="str">
        <f t="shared" si="514"/>
        <v>SUPRI</v>
      </c>
      <c r="D6287" s="2" t="str">
        <f t="shared" si="515"/>
        <v>MGES</v>
      </c>
      <c r="E6287" s="2" t="str">
        <f>"CONSUMO DE PROD. POR PACIENTE E/OU SETOR"</f>
        <v>CONSUMO DE PROD. POR PACIENTE E/OU SETOR</v>
      </c>
      <c r="F6287" s="2" t="str">
        <f>"R_LIST_CONS_PAC_SINT"</f>
        <v>R_LIST_CONS_PAC_SINT</v>
      </c>
      <c r="G6287" s="2" t="str">
        <f t="shared" si="518"/>
        <v xml:space="preserve"> ()</v>
      </c>
    </row>
    <row r="6288" spans="1:7" x14ac:dyDescent="0.3">
      <c r="A6288" s="1" t="s">
        <v>4</v>
      </c>
      <c r="B6288" s="2" t="str">
        <f t="shared" si="513"/>
        <v>SISTEMA DE GERENCIAMENTO DE ESTOQUE</v>
      </c>
      <c r="C6288" s="2" t="str">
        <f t="shared" si="514"/>
        <v>SUPRI</v>
      </c>
      <c r="D6288" s="2" t="str">
        <f t="shared" si="515"/>
        <v>MGES</v>
      </c>
      <c r="E6288" s="2" t="str">
        <f>"REL.PROD. POR ATEND. / AVISO DE CIRURGIA"</f>
        <v>REL.PROD. POR ATEND. / AVISO DE CIRURGIA</v>
      </c>
      <c r="F6288" s="2" t="str">
        <f>"R_CONS_ATE_AVICIR.RDF"</f>
        <v>R_CONS_ATE_AVICIR.RDF</v>
      </c>
      <c r="G6288" s="2" t="str">
        <f t="shared" si="518"/>
        <v xml:space="preserve"> ()</v>
      </c>
    </row>
    <row r="6289" spans="1:7" x14ac:dyDescent="0.3">
      <c r="A6289" s="1" t="s">
        <v>4</v>
      </c>
      <c r="B6289" s="2" t="str">
        <f t="shared" si="513"/>
        <v>SISTEMA DE GERENCIAMENTO DE ESTOQUE</v>
      </c>
      <c r="C6289" s="2" t="str">
        <f t="shared" si="514"/>
        <v>SUPRI</v>
      </c>
      <c r="D6289" s="2" t="str">
        <f t="shared" si="515"/>
        <v>MGES</v>
      </c>
      <c r="E6289" s="2" t="str">
        <f>"REL.TRANSF. DE PRODUTOS ENTRE EMPRESAS"</f>
        <v>REL.TRANSF. DE PRODUTOS ENTRE EMPRESAS</v>
      </c>
      <c r="F6289" s="2" t="str">
        <f>"R_TRANSF_EMPRESA.RDF"</f>
        <v>R_TRANSF_EMPRESA.RDF</v>
      </c>
      <c r="G6289" s="2" t="str">
        <f t="shared" si="518"/>
        <v xml:space="preserve"> ()</v>
      </c>
    </row>
    <row r="6290" spans="1:7" x14ac:dyDescent="0.3">
      <c r="A6290" s="1" t="s">
        <v>4</v>
      </c>
      <c r="B6290" s="2" t="str">
        <f t="shared" si="513"/>
        <v>SISTEMA DE GERENCIAMENTO DE ESTOQUE</v>
      </c>
      <c r="C6290" s="2" t="str">
        <f t="shared" si="514"/>
        <v>SUPRI</v>
      </c>
      <c r="D6290" s="2" t="str">
        <f t="shared" si="515"/>
        <v>MGES</v>
      </c>
      <c r="E6290" s="2" t="str">
        <f>"REL.TRANSFERÊNCIAS EFETUADAS POR ESPÉCIE"</f>
        <v>REL.TRANSFERÊNCIAS EFETUADAS POR ESPÉCIE</v>
      </c>
      <c r="F6290" s="2" t="str">
        <f>"R_TRANS_EFET_ANA_S_SINT"</f>
        <v>R_TRANS_EFET_ANA_S_SINT</v>
      </c>
      <c r="G6290" s="2" t="str">
        <f t="shared" si="518"/>
        <v xml:space="preserve"> ()</v>
      </c>
    </row>
    <row r="6291" spans="1:7" x14ac:dyDescent="0.3">
      <c r="A6291" s="1" t="s">
        <v>4</v>
      </c>
      <c r="B6291" s="2" t="str">
        <f t="shared" si="513"/>
        <v>SISTEMA DE GERENCIAMENTO DE ESTOQUE</v>
      </c>
      <c r="C6291" s="2" t="str">
        <f t="shared" si="514"/>
        <v>SUPRI</v>
      </c>
      <c r="D6291" s="2" t="str">
        <f t="shared" si="515"/>
        <v>MGES</v>
      </c>
      <c r="E6291" s="2" t="str">
        <f>"RELATÓRIO DE TRANSFERÊNCIAS EFETUADAS"</f>
        <v>RELATÓRIO DE TRANSFERÊNCIAS EFETUADAS</v>
      </c>
      <c r="F6291" s="2" t="str">
        <f>"R_TRANS_EFET_SINT"</f>
        <v>R_TRANS_EFET_SINT</v>
      </c>
      <c r="G6291" s="2" t="str">
        <f t="shared" si="518"/>
        <v xml:space="preserve"> ()</v>
      </c>
    </row>
    <row r="6292" spans="1:7" x14ac:dyDescent="0.3">
      <c r="A6292" s="1" t="s">
        <v>4</v>
      </c>
      <c r="B6292" s="2" t="str">
        <f t="shared" si="513"/>
        <v>SISTEMA DE GERENCIAMENTO DE ESTOQUE</v>
      </c>
      <c r="C6292" s="2" t="str">
        <f t="shared" si="514"/>
        <v>SUPRI</v>
      </c>
      <c r="D6292" s="2" t="str">
        <f t="shared" si="515"/>
        <v>MGES</v>
      </c>
      <c r="E6292" s="2" t="str">
        <f>"RELATÓRIO DE DEVOLUÇÃO POR SETOR"</f>
        <v>RELATÓRIO DE DEVOLUÇÃO POR SETOR</v>
      </c>
      <c r="F6292" s="2" t="str">
        <f>"R_DEV_PROD_SET.RDF"</f>
        <v>R_DEV_PROD_SET.RDF</v>
      </c>
      <c r="G6292" s="2" t="str">
        <f t="shared" si="518"/>
        <v xml:space="preserve"> ()</v>
      </c>
    </row>
    <row r="6293" spans="1:7" x14ac:dyDescent="0.3">
      <c r="A6293" s="1" t="s">
        <v>4</v>
      </c>
      <c r="B6293" s="2" t="str">
        <f t="shared" si="513"/>
        <v>SISTEMA DE GERENCIAMENTO DE ESTOQUE</v>
      </c>
      <c r="C6293" s="2" t="str">
        <f t="shared" si="514"/>
        <v>SUPRI</v>
      </c>
      <c r="D6293" s="2" t="str">
        <f t="shared" si="515"/>
        <v>MGES</v>
      </c>
      <c r="E6293" s="2" t="str">
        <f>"REL. DE RESUMO DAS SAÍDAS POR SETOR"</f>
        <v>REL. DE RESUMO DAS SAÍDAS POR SETOR</v>
      </c>
      <c r="F6293" s="2" t="str">
        <f>"R_RESUMO_SAIDAS.RDF"</f>
        <v>R_RESUMO_SAIDAS.RDF</v>
      </c>
      <c r="G6293" s="2" t="str">
        <f t="shared" si="518"/>
        <v xml:space="preserve"> ()</v>
      </c>
    </row>
    <row r="6294" spans="1:7" x14ac:dyDescent="0.3">
      <c r="A6294" s="1" t="s">
        <v>4</v>
      </c>
      <c r="B6294" s="2" t="str">
        <f t="shared" si="513"/>
        <v>SISTEMA DE GERENCIAMENTO DE ESTOQUE</v>
      </c>
      <c r="C6294" s="2" t="str">
        <f t="shared" si="514"/>
        <v>SUPRI</v>
      </c>
      <c r="D6294" s="2" t="str">
        <f t="shared" si="515"/>
        <v>MGES</v>
      </c>
      <c r="E6294" s="2" t="str">
        <f>"RELATÓRIO DE SAÍDA POR PACIENTE"</f>
        <v>RELATÓRIO DE SAÍDA POR PACIENTE</v>
      </c>
      <c r="F6294" s="2" t="str">
        <f>"R_CONS_PAC.RDF"</f>
        <v>R_CONS_PAC.RDF</v>
      </c>
      <c r="G6294" s="2" t="str">
        <f t="shared" si="518"/>
        <v xml:space="preserve"> ()</v>
      </c>
    </row>
    <row r="6295" spans="1:7" x14ac:dyDescent="0.3">
      <c r="A6295" s="1" t="s">
        <v>4</v>
      </c>
      <c r="B6295" s="2" t="str">
        <f t="shared" si="513"/>
        <v>SISTEMA DE GERENCIAMENTO DE ESTOQUE</v>
      </c>
      <c r="C6295" s="2" t="str">
        <f t="shared" si="514"/>
        <v>SUPRI</v>
      </c>
      <c r="D6295" s="2" t="str">
        <f t="shared" si="515"/>
        <v>MGES</v>
      </c>
      <c r="E6295" s="2" t="str">
        <f>"RELATÓRIO SINTÉTICO DE SAÍDA POR SETOR"</f>
        <v>RELATÓRIO SINTÉTICO DE SAÍDA POR SETOR</v>
      </c>
      <c r="F6295" s="2" t="str">
        <f>"R_CONS_SET_SINT"</f>
        <v>R_CONS_SET_SINT</v>
      </c>
      <c r="G6295" s="2" t="str">
        <f t="shared" si="518"/>
        <v xml:space="preserve"> ()</v>
      </c>
    </row>
    <row r="6296" spans="1:7" x14ac:dyDescent="0.3">
      <c r="A6296" s="1" t="s">
        <v>4</v>
      </c>
      <c r="B6296" s="2" t="str">
        <f t="shared" si="513"/>
        <v>SISTEMA DE GERENCIAMENTO DE ESTOQUE</v>
      </c>
      <c r="C6296" s="2" t="str">
        <f t="shared" si="514"/>
        <v>SUPRI</v>
      </c>
      <c r="D6296" s="2" t="str">
        <f t="shared" si="515"/>
        <v>MGES</v>
      </c>
      <c r="E6296" s="2" t="str">
        <f>"REL. CONSUMO DE PROD. CONSIG. POR AVISO"</f>
        <v>REL. CONSUMO DE PROD. CONSIG. POR AVISO</v>
      </c>
      <c r="F6296" s="2" t="str">
        <f>"R_PROD_CONSIG.RDF"</f>
        <v>R_PROD_CONSIG.RDF</v>
      </c>
      <c r="G6296" s="2" t="str">
        <f t="shared" si="518"/>
        <v xml:space="preserve"> ()</v>
      </c>
    </row>
    <row r="6297" spans="1:7" x14ac:dyDescent="0.3">
      <c r="A6297" s="1" t="s">
        <v>4</v>
      </c>
      <c r="B6297" s="2" t="str">
        <f t="shared" si="513"/>
        <v>SISTEMA DE GERENCIAMENTO DE ESTOQUE</v>
      </c>
      <c r="C6297" s="2" t="str">
        <f t="shared" si="514"/>
        <v>SUPRI</v>
      </c>
      <c r="D6297" s="2" t="str">
        <f t="shared" si="515"/>
        <v>MGES</v>
      </c>
      <c r="E6297" s="2" t="str">
        <f>"REL. DE ENTRADA DE PRODUTOS CONSIGNADOS"</f>
        <v>REL. DE ENTRADA DE PRODUTOS CONSIGNADOS</v>
      </c>
      <c r="F6297" s="2" t="str">
        <f>"R_ENTRADA_CONSIGNADO.RDF"</f>
        <v>R_ENTRADA_CONSIGNADO.RDF</v>
      </c>
      <c r="G6297" s="2" t="str">
        <f t="shared" si="518"/>
        <v xml:space="preserve"> ()</v>
      </c>
    </row>
    <row r="6298" spans="1:7" x14ac:dyDescent="0.3">
      <c r="A6298" s="1" t="s">
        <v>4</v>
      </c>
      <c r="B6298" s="2" t="str">
        <f t="shared" ref="B6298:B6313" si="519">"SISTEMA DE GERENCIAMENTO DE ESTOQUE"</f>
        <v>SISTEMA DE GERENCIAMENTO DE ESTOQUE</v>
      </c>
      <c r="C6298" s="2" t="str">
        <f t="shared" ref="C6298:C6313" si="520">"SUPRI"</f>
        <v>SUPRI</v>
      </c>
      <c r="D6298" s="2" t="str">
        <f t="shared" ref="D6298:D6313" si="521">"MGES"</f>
        <v>MGES</v>
      </c>
      <c r="E6298" s="2" t="str">
        <f>"REL DE POSIÇÃO DE ESTOQUE CONSIGNADO"</f>
        <v>REL DE POSIÇÃO DE ESTOQUE CONSIGNADO</v>
      </c>
      <c r="F6298" s="2" t="str">
        <f>"R_POS_EST_CONSIG.RDF"</f>
        <v>R_POS_EST_CONSIG.RDF</v>
      </c>
      <c r="G6298" s="2" t="str">
        <f t="shared" si="518"/>
        <v xml:space="preserve"> ()</v>
      </c>
    </row>
    <row r="6299" spans="1:7" x14ac:dyDescent="0.3">
      <c r="A6299" s="1" t="s">
        <v>4</v>
      </c>
      <c r="B6299" s="2" t="str">
        <f t="shared" si="519"/>
        <v>SISTEMA DE GERENCIAMENTO DE ESTOQUE</v>
      </c>
      <c r="C6299" s="2" t="str">
        <f t="shared" si="520"/>
        <v>SUPRI</v>
      </c>
      <c r="D6299" s="2" t="str">
        <f t="shared" si="521"/>
        <v>MGES</v>
      </c>
      <c r="E6299" s="2" t="str">
        <f>"REL. CONSUMO DE CONSIGNAÇÃO POR FORNEC."</f>
        <v>REL. CONSUMO DE CONSIGNAÇÃO POR FORNEC.</v>
      </c>
      <c r="F6299" s="2" t="str">
        <f>"R_CONS_CONSIG.RDF"</f>
        <v>R_CONS_CONSIG.RDF</v>
      </c>
      <c r="G6299" s="2" t="str">
        <f t="shared" si="518"/>
        <v xml:space="preserve"> ()</v>
      </c>
    </row>
    <row r="6300" spans="1:7" x14ac:dyDescent="0.3">
      <c r="A6300" s="1" t="s">
        <v>4</v>
      </c>
      <c r="B6300" s="2" t="str">
        <f t="shared" si="519"/>
        <v>SISTEMA DE GERENCIAMENTO DE ESTOQUE</v>
      </c>
      <c r="C6300" s="2" t="str">
        <f t="shared" si="520"/>
        <v>SUPRI</v>
      </c>
      <c r="D6300" s="2" t="str">
        <f t="shared" si="521"/>
        <v>MGES</v>
      </c>
      <c r="E6300" s="2" t="str">
        <f>"RELATÓRIO POSIÇÃO DE EMPRÉSTIMOS NA DATA"</f>
        <v>RELATÓRIO POSIÇÃO DE EMPRÉSTIMOS NA DATA</v>
      </c>
      <c r="F6300" s="2" t="str">
        <f>"R_POS_PENDENCIA_EMP.RDF"</f>
        <v>R_POS_PENDENCIA_EMP.RDF</v>
      </c>
      <c r="G6300" s="2" t="str">
        <f t="shared" si="518"/>
        <v xml:space="preserve"> ()</v>
      </c>
    </row>
    <row r="6301" spans="1:7" x14ac:dyDescent="0.3">
      <c r="A6301" s="1" t="s">
        <v>4</v>
      </c>
      <c r="B6301" s="2" t="str">
        <f t="shared" si="519"/>
        <v>SISTEMA DE GERENCIAMENTO DE ESTOQUE</v>
      </c>
      <c r="C6301" s="2" t="str">
        <f t="shared" si="520"/>
        <v>SUPRI</v>
      </c>
      <c r="D6301" s="2" t="str">
        <f t="shared" si="521"/>
        <v>MGES</v>
      </c>
      <c r="E6301" s="2" t="str">
        <f>"SAÍDAS DE PRODUTOS POR SETOR"</f>
        <v>SAÍDAS DE PRODUTOS POR SETOR</v>
      </c>
      <c r="F6301" s="2" t="str">
        <f>"R_CONS_SET.SINT"</f>
        <v>R_CONS_SET.SINT</v>
      </c>
      <c r="G6301" s="2" t="str">
        <f t="shared" si="518"/>
        <v xml:space="preserve"> ()</v>
      </c>
    </row>
    <row r="6302" spans="1:7" x14ac:dyDescent="0.3">
      <c r="A6302" s="1" t="s">
        <v>4</v>
      </c>
      <c r="B6302" s="2" t="str">
        <f t="shared" si="519"/>
        <v>SISTEMA DE GERENCIAMENTO DE ESTOQUE</v>
      </c>
      <c r="C6302" s="2" t="str">
        <f t="shared" si="520"/>
        <v>SUPRI</v>
      </c>
      <c r="D6302" s="2" t="str">
        <f t="shared" si="521"/>
        <v>MGES</v>
      </c>
      <c r="E6302" s="2" t="str">
        <f>"FÓRMULAS KIT"</f>
        <v>FÓRMULAS KIT</v>
      </c>
      <c r="F6302" s="2" t="str">
        <f>"R_FORMULA_KIT.RDF"</f>
        <v>R_FORMULA_KIT.RDF</v>
      </c>
      <c r="G6302" s="2" t="str">
        <f t="shared" si="518"/>
        <v xml:space="preserve"> ()</v>
      </c>
    </row>
    <row r="6303" spans="1:7" x14ac:dyDescent="0.3">
      <c r="A6303" s="1" t="s">
        <v>4</v>
      </c>
      <c r="B6303" s="2" t="str">
        <f t="shared" si="519"/>
        <v>SISTEMA DE GERENCIAMENTO DE ESTOQUE</v>
      </c>
      <c r="C6303" s="2" t="str">
        <f t="shared" si="520"/>
        <v>SUPRI</v>
      </c>
      <c r="D6303" s="2" t="str">
        <f t="shared" si="521"/>
        <v>MGES</v>
      </c>
      <c r="E6303" s="2" t="str">
        <f>"RELATÓRIO DE RASTREABILIDADE DE PRODUTOS"</f>
        <v>RELATÓRIO DE RASTREABILIDADE DE PRODUTOS</v>
      </c>
      <c r="F6303" s="2" t="str">
        <f>"R_RASTREAB_PROD.RDF"</f>
        <v>R_RASTREAB_PROD.RDF</v>
      </c>
      <c r="G6303" s="2" t="str">
        <f t="shared" si="518"/>
        <v xml:space="preserve"> ()</v>
      </c>
    </row>
    <row r="6304" spans="1:7" x14ac:dyDescent="0.3">
      <c r="A6304" s="1" t="s">
        <v>4</v>
      </c>
      <c r="B6304" s="2" t="str">
        <f t="shared" si="519"/>
        <v>SISTEMA DE GERENCIAMENTO DE ESTOQUE</v>
      </c>
      <c r="C6304" s="2" t="str">
        <f t="shared" si="520"/>
        <v>SUPRI</v>
      </c>
      <c r="D6304" s="2" t="str">
        <f t="shared" si="521"/>
        <v>MGES</v>
      </c>
      <c r="E6304" s="2" t="str">
        <f>"RELATÓRIO DE PRODUTOS FORA DO BRASÍNDICE"</f>
        <v>RELATÓRIO DE PRODUTOS FORA DO BRASÍNDICE</v>
      </c>
      <c r="F6304" s="2" t="str">
        <f>"R_FORA_BRASIND.RDF"</f>
        <v>R_FORA_BRASIND.RDF</v>
      </c>
      <c r="G6304" s="2" t="str">
        <f t="shared" si="518"/>
        <v xml:space="preserve"> ()</v>
      </c>
    </row>
    <row r="6305" spans="1:7" x14ac:dyDescent="0.3">
      <c r="A6305" s="1" t="s">
        <v>4</v>
      </c>
      <c r="B6305" s="2" t="str">
        <f t="shared" si="519"/>
        <v>SISTEMA DE GERENCIAMENTO DE ESTOQUE</v>
      </c>
      <c r="C6305" s="2" t="str">
        <f t="shared" si="520"/>
        <v>SUPRI</v>
      </c>
      <c r="D6305" s="2" t="str">
        <f t="shared" si="521"/>
        <v>MGES</v>
      </c>
      <c r="E6305" s="2" t="str">
        <f>"REL. DA FICHA DE RASTREABILIDADE DO LOTE"</f>
        <v>REL. DA FICHA DE RASTREABILIDADE DO LOTE</v>
      </c>
      <c r="F6305" s="2" t="str">
        <f>"R_FICHA_RAST_LOTE.RDF"</f>
        <v>R_FICHA_RAST_LOTE.RDF</v>
      </c>
      <c r="G6305" s="2" t="str">
        <f t="shared" si="518"/>
        <v xml:space="preserve"> ()</v>
      </c>
    </row>
    <row r="6306" spans="1:7" x14ac:dyDescent="0.3">
      <c r="A6306" s="1" t="s">
        <v>4</v>
      </c>
      <c r="B6306" s="2" t="str">
        <f t="shared" si="519"/>
        <v>SISTEMA DE GERENCIAMENTO DE ESTOQUE</v>
      </c>
      <c r="C6306" s="2" t="str">
        <f t="shared" si="520"/>
        <v>SUPRI</v>
      </c>
      <c r="D6306" s="2" t="str">
        <f t="shared" si="521"/>
        <v>MGES</v>
      </c>
      <c r="E6306" s="2" t="str">
        <f>"RELATÓRIO DE CUSTO MÉDIO"</f>
        <v>RELATÓRIO DE CUSTO MÉDIO</v>
      </c>
      <c r="F6306" s="2" t="str">
        <f>"R_CUSTO_MEDIO.RDF"</f>
        <v>R_CUSTO_MEDIO.RDF</v>
      </c>
      <c r="G6306" s="2" t="str">
        <f t="shared" si="518"/>
        <v xml:space="preserve"> ()</v>
      </c>
    </row>
    <row r="6307" spans="1:7" x14ac:dyDescent="0.3">
      <c r="A6307" s="1" t="s">
        <v>4</v>
      </c>
      <c r="B6307" s="2" t="str">
        <f t="shared" si="519"/>
        <v>SISTEMA DE GERENCIAMENTO DE ESTOQUE</v>
      </c>
      <c r="C6307" s="2" t="str">
        <f t="shared" si="520"/>
        <v>SUPRI</v>
      </c>
      <c r="D6307" s="2" t="str">
        <f t="shared" si="521"/>
        <v>MGES</v>
      </c>
      <c r="E6307" s="2" t="str">
        <f>"REL AUDITORIA DA MOVIMENTAÇÃO DO PRODUTO"</f>
        <v>REL AUDITORIA DA MOVIMENTAÇÃO DO PRODUTO</v>
      </c>
      <c r="F6307" s="2" t="str">
        <f>"R_FICHA_ANALISE.RDF"</f>
        <v>R_FICHA_ANALISE.RDF</v>
      </c>
      <c r="G6307" s="2" t="str">
        <f t="shared" si="518"/>
        <v xml:space="preserve"> ()</v>
      </c>
    </row>
    <row r="6308" spans="1:7" x14ac:dyDescent="0.3">
      <c r="A6308" s="1" t="s">
        <v>4</v>
      </c>
      <c r="B6308" s="2" t="str">
        <f t="shared" si="519"/>
        <v>SISTEMA DE GERENCIAMENTO DE ESTOQUE</v>
      </c>
      <c r="C6308" s="2" t="str">
        <f t="shared" si="520"/>
        <v>SUPRI</v>
      </c>
      <c r="D6308" s="2" t="str">
        <f t="shared" si="521"/>
        <v>MGES</v>
      </c>
      <c r="E6308" s="2" t="str">
        <f>"REL. DE PRODUTOS SOLICITADOS X ATENDIDOS"</f>
        <v>REL. DE PRODUTOS SOLICITADOS X ATENDIDOS</v>
      </c>
      <c r="F6308" s="2" t="str">
        <f>"R_PROD_SOLICITADO_ATEND.RDF"</f>
        <v>R_PROD_SOLICITADO_ATEND.RDF</v>
      </c>
      <c r="G6308" s="2" t="str">
        <f t="shared" si="518"/>
        <v xml:space="preserve"> ()</v>
      </c>
    </row>
    <row r="6309" spans="1:7" x14ac:dyDescent="0.3">
      <c r="A6309" s="1" t="s">
        <v>4</v>
      </c>
      <c r="B6309" s="2" t="str">
        <f t="shared" si="519"/>
        <v>SISTEMA DE GERENCIAMENTO DE ESTOQUE</v>
      </c>
      <c r="C6309" s="2" t="str">
        <f t="shared" si="520"/>
        <v>SUPRI</v>
      </c>
      <c r="D6309" s="2" t="str">
        <f t="shared" si="521"/>
        <v>MGES</v>
      </c>
      <c r="E6309" s="2" t="str">
        <f>"RELATÓRIO DE CONSUMO DIÁRIO"</f>
        <v>RELATÓRIO DE CONSUMO DIÁRIO</v>
      </c>
      <c r="F6309" s="2" t="str">
        <f>"R_CONS_DIARIO.RDF"</f>
        <v>R_CONS_DIARIO.RDF</v>
      </c>
      <c r="G6309" s="2" t="str">
        <f t="shared" si="518"/>
        <v xml:space="preserve"> ()</v>
      </c>
    </row>
    <row r="6310" spans="1:7" x14ac:dyDescent="0.3">
      <c r="A6310" s="1" t="s">
        <v>4</v>
      </c>
      <c r="B6310" s="2" t="str">
        <f t="shared" si="519"/>
        <v>SISTEMA DE GERENCIAMENTO DE ESTOQUE</v>
      </c>
      <c r="C6310" s="2" t="str">
        <f t="shared" si="520"/>
        <v>SUPRI</v>
      </c>
      <c r="D6310" s="2" t="str">
        <f t="shared" si="521"/>
        <v>MGES</v>
      </c>
      <c r="E6310" s="2" t="str">
        <f>"REL. RESUMO DOS MOVIMENTOS POR USUÁRIO"</f>
        <v>REL. RESUMO DOS MOVIMENTOS POR USUÁRIO</v>
      </c>
      <c r="F6310" s="2" t="str">
        <f>"R_RESUMO_DE_USUARIO.RDF"</f>
        <v>R_RESUMO_DE_USUARIO.RDF</v>
      </c>
      <c r="G6310" s="2" t="str">
        <f t="shared" si="518"/>
        <v xml:space="preserve"> ()</v>
      </c>
    </row>
    <row r="6311" spans="1:7" x14ac:dyDescent="0.3">
      <c r="A6311" s="1" t="s">
        <v>4</v>
      </c>
      <c r="B6311" s="2" t="str">
        <f t="shared" si="519"/>
        <v>SISTEMA DE GERENCIAMENTO DE ESTOQUE</v>
      </c>
      <c r="C6311" s="2" t="str">
        <f t="shared" si="520"/>
        <v>SUPRI</v>
      </c>
      <c r="D6311" s="2" t="str">
        <f t="shared" si="521"/>
        <v>MGES</v>
      </c>
      <c r="E6311" s="2" t="str">
        <f>"RELATÓRIO DE DESTINO DE EMPRÉSTIMOS"</f>
        <v>RELATÓRIO DE DESTINO DE EMPRÉSTIMOS</v>
      </c>
      <c r="F6311" s="2" t="str">
        <f>"R_DESEMP.RDF"</f>
        <v>R_DESEMP.RDF</v>
      </c>
      <c r="G6311" s="2" t="str">
        <f t="shared" si="518"/>
        <v xml:space="preserve"> ()</v>
      </c>
    </row>
    <row r="6312" spans="1:7" x14ac:dyDescent="0.3">
      <c r="A6312" s="1" t="s">
        <v>4</v>
      </c>
      <c r="B6312" s="2" t="str">
        <f t="shared" si="519"/>
        <v>SISTEMA DE GERENCIAMENTO DE ESTOQUE</v>
      </c>
      <c r="C6312" s="2" t="str">
        <f t="shared" si="520"/>
        <v>SUPRI</v>
      </c>
      <c r="D6312" s="2" t="str">
        <f t="shared" si="521"/>
        <v>MGES</v>
      </c>
      <c r="E6312" s="2" t="str">
        <f>"RELATÓRIO DE UNIDADES"</f>
        <v>RELATÓRIO DE UNIDADES</v>
      </c>
      <c r="F6312" s="2" t="str">
        <f>"R_UNIDADE.RDF"</f>
        <v>R_UNIDADE.RDF</v>
      </c>
      <c r="G6312" s="2" t="str">
        <f t="shared" si="518"/>
        <v xml:space="preserve"> ()</v>
      </c>
    </row>
    <row r="6313" spans="1:7" x14ac:dyDescent="0.3">
      <c r="A6313" s="1" t="s">
        <v>4</v>
      </c>
      <c r="B6313" s="2" t="str">
        <f t="shared" si="519"/>
        <v>SISTEMA DE GERENCIAMENTO DE ESTOQUE</v>
      </c>
      <c r="C6313" s="2" t="str">
        <f t="shared" si="520"/>
        <v>SUPRI</v>
      </c>
      <c r="D6313" s="2" t="str">
        <f t="shared" si="521"/>
        <v>MGES</v>
      </c>
      <c r="E6313" s="2" t="str">
        <f>"RELATÓRIO DE CLASSIFICAÇÃO"</f>
        <v>RELATÓRIO DE CLASSIFICAÇÃO</v>
      </c>
      <c r="F6313" s="2" t="str">
        <f>"R_CLASSIFICACAO.RDF"</f>
        <v>R_CLASSIFICACAO.RDF</v>
      </c>
      <c r="G6313" s="2" t="str">
        <f t="shared" si="518"/>
        <v xml:space="preserve"> ()</v>
      </c>
    </row>
    <row r="6314" spans="1:7" x14ac:dyDescent="0.3">
      <c r="A6314" s="1" t="s">
        <v>4</v>
      </c>
      <c r="B6314" s="2" t="str">
        <f>""</f>
        <v/>
      </c>
      <c r="C6314" s="2" t="str">
        <f>""</f>
        <v/>
      </c>
      <c r="D6314" s="2" t="str">
        <f>"mges"</f>
        <v>mges</v>
      </c>
      <c r="E6314" s="2" t="str">
        <f>"M_ATERACAO_PRODUTO"</f>
        <v>M_ATERACAO_PRODUTO</v>
      </c>
      <c r="F6314" s="2" t="str">
        <f>"M_ATERACAO_PRODUTO"</f>
        <v>M_ATERACAO_PRODUTO</v>
      </c>
      <c r="G6314" s="2" t="str">
        <f t="shared" si="518"/>
        <v xml:space="preserve"> ()</v>
      </c>
    </row>
    <row r="6315" spans="1:7" x14ac:dyDescent="0.3">
      <c r="A6315" s="1" t="s">
        <v>4</v>
      </c>
      <c r="B6315" s="2" t="str">
        <f t="shared" ref="B6315:B6333" si="522">"FARMACIA EXTERNA"</f>
        <v>FARMACIA EXTERNA</v>
      </c>
      <c r="C6315" s="2" t="str">
        <f t="shared" ref="C6315:C6333" si="523">"SUPRI"</f>
        <v>SUPRI</v>
      </c>
      <c r="D6315" s="2" t="str">
        <f t="shared" ref="D6315:D6333" si="524">"MGFE"</f>
        <v>MGFE</v>
      </c>
      <c r="E6315" s="2" t="str">
        <f>"CONFIGURAÇÃO: PREÇOS DO BRASÍNDICE"</f>
        <v>CONFIGURAÇÃO: PREÇOS DO BRASÍNDICE</v>
      </c>
      <c r="F6315" s="2" t="str">
        <f>"M_CONFIG_BRASINDICE"</f>
        <v>M_CONFIG_BRASINDICE</v>
      </c>
      <c r="G6315" s="2" t="str">
        <f>"Materiais e Logística / Farmácia / Configuração / Produtos x Brasíndice (M_CONFIG_BRASINDICE)"</f>
        <v>Materiais e Logística / Farmácia / Configuração / Produtos x Brasíndice (M_CONFIG_BRASINDICE)</v>
      </c>
    </row>
    <row r="6316" spans="1:7" x14ac:dyDescent="0.3">
      <c r="A6316" s="1" t="s">
        <v>4</v>
      </c>
      <c r="B6316" s="2" t="str">
        <f t="shared" si="522"/>
        <v>FARMACIA EXTERNA</v>
      </c>
      <c r="C6316" s="2" t="str">
        <f t="shared" si="523"/>
        <v>SUPRI</v>
      </c>
      <c r="D6316" s="2" t="str">
        <f t="shared" si="524"/>
        <v>MGFE</v>
      </c>
      <c r="E6316" s="2" t="str">
        <f>"LISTAGEM ESTATÍSTICA DE VENDAS"</f>
        <v>LISTAGEM ESTATÍSTICA DE VENDAS</v>
      </c>
      <c r="F6316" s="2" t="str">
        <f>"R_LIST_CLIENTE"</f>
        <v>R_LIST_CLIENTE</v>
      </c>
      <c r="G6316" s="2" t="str">
        <f>"Materiais e Logística / Farmácia / Relatórios / Estatísticos / Listagem de vendas (R_LIST_CLIENTE)"</f>
        <v>Materiais e Logística / Farmácia / Relatórios / Estatísticos / Listagem de vendas (R_LIST_CLIENTE)</v>
      </c>
    </row>
    <row r="6317" spans="1:7" x14ac:dyDescent="0.3">
      <c r="A6317" s="1" t="s">
        <v>4</v>
      </c>
      <c r="B6317" s="2" t="str">
        <f t="shared" si="522"/>
        <v>FARMACIA EXTERNA</v>
      </c>
      <c r="C6317" s="2" t="str">
        <f t="shared" si="523"/>
        <v>SUPRI</v>
      </c>
      <c r="D6317" s="2" t="str">
        <f t="shared" si="524"/>
        <v>MGFE</v>
      </c>
      <c r="E6317" s="2" t="str">
        <f>"PERSONALIZADOS MGFE"</f>
        <v>PERSONALIZADOS MGFE</v>
      </c>
      <c r="F6317" s="2" t="str">
        <f>"R_PERSON_MGFE"</f>
        <v>R_PERSON_MGFE</v>
      </c>
      <c r="G6317" s="2" t="str">
        <f>" ()"</f>
        <v xml:space="preserve"> ()</v>
      </c>
    </row>
    <row r="6318" spans="1:7" x14ac:dyDescent="0.3">
      <c r="A6318" s="1" t="s">
        <v>4</v>
      </c>
      <c r="B6318" s="2" t="str">
        <f t="shared" si="522"/>
        <v>FARMACIA EXTERNA</v>
      </c>
      <c r="C6318" s="2" t="str">
        <f t="shared" si="523"/>
        <v>SUPRI</v>
      </c>
      <c r="D6318" s="2" t="str">
        <f t="shared" si="524"/>
        <v>MGFE</v>
      </c>
      <c r="E6318" s="2" t="str">
        <f>"RELATÓRIO DE VENDAS"</f>
        <v>RELATÓRIO DE VENDAS</v>
      </c>
      <c r="F6318" s="2" t="str">
        <f>"R_EST_VENDAS.RDF"</f>
        <v>R_EST_VENDAS.RDF</v>
      </c>
      <c r="G6318" s="2" t="str">
        <f>" ()"</f>
        <v xml:space="preserve"> ()</v>
      </c>
    </row>
    <row r="6319" spans="1:7" x14ac:dyDescent="0.3">
      <c r="A6319" s="1" t="s">
        <v>4</v>
      </c>
      <c r="B6319" s="2" t="str">
        <f t="shared" si="522"/>
        <v>FARMACIA EXTERNA</v>
      </c>
      <c r="C6319" s="2" t="str">
        <f t="shared" si="523"/>
        <v>SUPRI</v>
      </c>
      <c r="D6319" s="2" t="str">
        <f t="shared" si="524"/>
        <v>MGFE</v>
      </c>
      <c r="E6319" s="2" t="str">
        <f>"RELATÓRIOS DE LISTAGEM DE VENDAS"</f>
        <v>RELATÓRIOS DE LISTAGEM DE VENDAS</v>
      </c>
      <c r="F6319" s="2" t="str">
        <f>"R_LIST_CLIENTE.RDF"</f>
        <v>R_LIST_CLIENTE.RDF</v>
      </c>
      <c r="G6319" s="2" t="str">
        <f>" ()"</f>
        <v xml:space="preserve"> ()</v>
      </c>
    </row>
    <row r="6320" spans="1:7" x14ac:dyDescent="0.3">
      <c r="A6320" s="1" t="s">
        <v>4</v>
      </c>
      <c r="B6320" s="2" t="str">
        <f t="shared" si="522"/>
        <v>FARMACIA EXTERNA</v>
      </c>
      <c r="C6320" s="2" t="str">
        <f t="shared" si="523"/>
        <v>SUPRI</v>
      </c>
      <c r="D6320" s="2" t="str">
        <f t="shared" si="524"/>
        <v>MGFE</v>
      </c>
      <c r="E6320" s="2" t="str">
        <f>"REL. DE MOVIMENTAÇÃO DOS FUNCIONÁRIOS"</f>
        <v>REL. DE MOVIMENTAÇÃO DOS FUNCIONÁRIOS</v>
      </c>
      <c r="F6320" s="2" t="str">
        <f>"R_MOV_FUNC.RDF"</f>
        <v>R_MOV_FUNC.RDF</v>
      </c>
      <c r="G6320" s="2" t="str">
        <f>" ()"</f>
        <v xml:space="preserve"> ()</v>
      </c>
    </row>
    <row r="6321" spans="1:7" x14ac:dyDescent="0.3">
      <c r="A6321" s="1" t="s">
        <v>4</v>
      </c>
      <c r="B6321" s="2" t="str">
        <f t="shared" si="522"/>
        <v>FARMACIA EXTERNA</v>
      </c>
      <c r="C6321" s="2" t="str">
        <f t="shared" si="523"/>
        <v>SUPRI</v>
      </c>
      <c r="D6321" s="2" t="str">
        <f t="shared" si="524"/>
        <v>MGFE</v>
      </c>
      <c r="E6321" s="2" t="str">
        <f>"RELATÓRIO DE VENDAS POR OPERADOR"</f>
        <v>RELATÓRIO DE VENDAS POR OPERADOR</v>
      </c>
      <c r="F6321" s="2" t="str">
        <f>"R_LIST_FUNCIONARIO.RDF"</f>
        <v>R_LIST_FUNCIONARIO.RDF</v>
      </c>
      <c r="G6321" s="2" t="str">
        <f>" ()"</f>
        <v xml:space="preserve"> ()</v>
      </c>
    </row>
    <row r="6322" spans="1:7" x14ac:dyDescent="0.3">
      <c r="A6322" s="1" t="s">
        <v>4</v>
      </c>
      <c r="B6322" s="2" t="str">
        <f t="shared" si="522"/>
        <v>FARMACIA EXTERNA</v>
      </c>
      <c r="C6322" s="2" t="str">
        <f t="shared" si="523"/>
        <v>SUPRI</v>
      </c>
      <c r="D6322" s="2" t="str">
        <f t="shared" si="524"/>
        <v>MGFE</v>
      </c>
      <c r="E6322" s="2" t="str">
        <f>"BAIXA DE RECEBIMENTOS DOS FUNCIONÁRIOS"</f>
        <v>BAIXA DE RECEBIMENTOS DOS FUNCIONÁRIOS</v>
      </c>
      <c r="F6322" s="2" t="str">
        <f>"O_BAIXA_REC"</f>
        <v>O_BAIXA_REC</v>
      </c>
      <c r="G6322" s="2" t="str">
        <f>"Materiais e Logística / Farmácia / Movimentação / Baixa de Recebimentos de Funcionários (O_BAIXA_REC)"</f>
        <v>Materiais e Logística / Farmácia / Movimentação / Baixa de Recebimentos de Funcionários (O_BAIXA_REC)</v>
      </c>
    </row>
    <row r="6323" spans="1:7" x14ac:dyDescent="0.3">
      <c r="A6323" s="1" t="s">
        <v>4</v>
      </c>
      <c r="B6323" s="2" t="str">
        <f t="shared" si="522"/>
        <v>FARMACIA EXTERNA</v>
      </c>
      <c r="C6323" s="2" t="str">
        <f t="shared" si="523"/>
        <v>SUPRI</v>
      </c>
      <c r="D6323" s="2" t="str">
        <f t="shared" si="524"/>
        <v>MGFE</v>
      </c>
      <c r="E6323" s="2" t="str">
        <f>"MODULO PARA ACESSAR O MENU"</f>
        <v>MODULO PARA ACESSAR O MENU</v>
      </c>
      <c r="F6323" s="2" t="str">
        <f>"MGFE"</f>
        <v>MGFE</v>
      </c>
      <c r="G6323" s="2" t="str">
        <f>" ()"</f>
        <v xml:space="preserve"> ()</v>
      </c>
    </row>
    <row r="6324" spans="1:7" x14ac:dyDescent="0.3">
      <c r="A6324" s="1" t="s">
        <v>4</v>
      </c>
      <c r="B6324" s="2" t="str">
        <f t="shared" si="522"/>
        <v>FARMACIA EXTERNA</v>
      </c>
      <c r="C6324" s="2" t="str">
        <f t="shared" si="523"/>
        <v>SUPRI</v>
      </c>
      <c r="D6324" s="2" t="str">
        <f t="shared" si="524"/>
        <v>MGFE</v>
      </c>
      <c r="E6324" s="2" t="str">
        <f>"DEVOLUÇÃO DE VENDAS"</f>
        <v>DEVOLUÇÃO DE VENDAS</v>
      </c>
      <c r="F6324" s="2" t="str">
        <f>"M_DEV_VENDA"</f>
        <v>M_DEV_VENDA</v>
      </c>
      <c r="G6324" s="2" t="str">
        <f>"Materiais e Logística / Farmácia / Movimentação / Devolução de Vendas (M_DEV_VENDA)"</f>
        <v>Materiais e Logística / Farmácia / Movimentação / Devolução de Vendas (M_DEV_VENDA)</v>
      </c>
    </row>
    <row r="6325" spans="1:7" x14ac:dyDescent="0.3">
      <c r="A6325" s="1" t="s">
        <v>4</v>
      </c>
      <c r="B6325" s="2" t="str">
        <f t="shared" si="522"/>
        <v>FARMACIA EXTERNA</v>
      </c>
      <c r="C6325" s="2" t="str">
        <f t="shared" si="523"/>
        <v>SUPRI</v>
      </c>
      <c r="D6325" s="2" t="str">
        <f t="shared" si="524"/>
        <v>MGFE</v>
      </c>
      <c r="E6325" s="2" t="str">
        <f>"DEMONSTRATIVO DO DESEMPENHO DOS OPERADOR"</f>
        <v>DEMONSTRATIVO DO DESEMPENHO DOS OPERADOR</v>
      </c>
      <c r="F6325" s="2" t="str">
        <f>"R_LIST_FUNCIONARIO"</f>
        <v>R_LIST_FUNCIONARIO</v>
      </c>
      <c r="G6325" s="2" t="str">
        <f>"Materiais e Logística / Farmácia / Relatórios / Operacionais / Vendas por Operador (R_LIST_FUNCIONARIO)"</f>
        <v>Materiais e Logística / Farmácia / Relatórios / Operacionais / Vendas por Operador (R_LIST_FUNCIONARIO)</v>
      </c>
    </row>
    <row r="6326" spans="1:7" x14ac:dyDescent="0.3">
      <c r="A6326" s="1" t="s">
        <v>4</v>
      </c>
      <c r="B6326" s="2" t="str">
        <f t="shared" si="522"/>
        <v>FARMACIA EXTERNA</v>
      </c>
      <c r="C6326" s="2" t="str">
        <f t="shared" si="523"/>
        <v>SUPRI</v>
      </c>
      <c r="D6326" s="2" t="str">
        <f t="shared" si="524"/>
        <v>MGFE</v>
      </c>
      <c r="E6326" s="2" t="str">
        <f>"MOVIMENTAÇÃO DOS CONSUMOS DOS FUNCIONARI"</f>
        <v>MOVIMENTAÇÃO DOS CONSUMOS DOS FUNCIONARI</v>
      </c>
      <c r="F6326" s="2" t="str">
        <f>"R_MOV_FUNC"</f>
        <v>R_MOV_FUNC</v>
      </c>
      <c r="G6326" s="2" t="str">
        <f>"Materiais e Logística / Farmácia / Relatórios / Operacionais / Movimentação dos Funcionários (R_MOV_FUNC)"</f>
        <v>Materiais e Logística / Farmácia / Relatórios / Operacionais / Movimentação dos Funcionários (R_MOV_FUNC)</v>
      </c>
    </row>
    <row r="6327" spans="1:7" x14ac:dyDescent="0.3">
      <c r="A6327" s="1" t="s">
        <v>4</v>
      </c>
      <c r="B6327" s="2" t="str">
        <f t="shared" si="522"/>
        <v>FARMACIA EXTERNA</v>
      </c>
      <c r="C6327" s="2" t="str">
        <f t="shared" si="523"/>
        <v>SUPRI</v>
      </c>
      <c r="D6327" s="2" t="str">
        <f t="shared" si="524"/>
        <v>MGFE</v>
      </c>
      <c r="E6327" s="2" t="str">
        <f>"MÓDULO DE FARMACIA EXTERNA"</f>
        <v>MÓDULO DE FARMACIA EXTERNA</v>
      </c>
      <c r="F6327" s="2" t="str">
        <f>"M_MGFE"</f>
        <v>M_MGFE</v>
      </c>
      <c r="G6327" s="2" t="str">
        <f>" ()"</f>
        <v xml:space="preserve"> ()</v>
      </c>
    </row>
    <row r="6328" spans="1:7" x14ac:dyDescent="0.3">
      <c r="A6328" s="1" t="s">
        <v>4</v>
      </c>
      <c r="B6328" s="2" t="str">
        <f t="shared" si="522"/>
        <v>FARMACIA EXTERNA</v>
      </c>
      <c r="C6328" s="2" t="str">
        <f t="shared" si="523"/>
        <v>SUPRI</v>
      </c>
      <c r="D6328" s="2" t="str">
        <f t="shared" si="524"/>
        <v>MGFE</v>
      </c>
      <c r="E6328" s="2" t="str">
        <f>"ESTATÍSTICO DAS VENDAS POR FORMAS DE PAG"</f>
        <v>ESTATÍSTICO DAS VENDAS POR FORMAS DE PAG</v>
      </c>
      <c r="F6328" s="2" t="str">
        <f>"R_EST_VENDAS"</f>
        <v>R_EST_VENDAS</v>
      </c>
      <c r="G6328" s="2" t="str">
        <f>"Materiais e Logística / Farmácia / Relatórios / Estatísticos / Vendas (R_EST_VENDAS)"</f>
        <v>Materiais e Logística / Farmácia / Relatórios / Estatísticos / Vendas (R_EST_VENDAS)</v>
      </c>
    </row>
    <row r="6329" spans="1:7" x14ac:dyDescent="0.3">
      <c r="A6329" s="1" t="s">
        <v>4</v>
      </c>
      <c r="B6329" s="2" t="str">
        <f t="shared" si="522"/>
        <v>FARMACIA EXTERNA</v>
      </c>
      <c r="C6329" s="2" t="str">
        <f t="shared" si="523"/>
        <v>SUPRI</v>
      </c>
      <c r="D6329" s="2" t="str">
        <f t="shared" si="524"/>
        <v>MGFE</v>
      </c>
      <c r="E6329" s="2" t="str">
        <f>"WIN_PRINCIPAL - HOSPITAL MV SISTEMAS"</f>
        <v>WIN_PRINCIPAL - HOSPITAL MV SISTEMAS</v>
      </c>
      <c r="F6329" s="2" t="str">
        <f>"M_CANCELA_CUPOM"</f>
        <v>M_CANCELA_CUPOM</v>
      </c>
      <c r="G6329" s="2" t="str">
        <f>"Materiais e Logística / Farmácia / Movimentação / Cancelamento de Cupom Fiscal (M_CANCELA_CUPOM)"</f>
        <v>Materiais e Logística / Farmácia / Movimentação / Cancelamento de Cupom Fiscal (M_CANCELA_CUPOM)</v>
      </c>
    </row>
    <row r="6330" spans="1:7" x14ac:dyDescent="0.3">
      <c r="A6330" s="1" t="s">
        <v>4</v>
      </c>
      <c r="B6330" s="2" t="str">
        <f t="shared" si="522"/>
        <v>FARMACIA EXTERNA</v>
      </c>
      <c r="C6330" s="2" t="str">
        <f t="shared" si="523"/>
        <v>SUPRI</v>
      </c>
      <c r="D6330" s="2" t="str">
        <f t="shared" si="524"/>
        <v>MGFE</v>
      </c>
      <c r="E6330" s="2" t="str">
        <f>"TELA DE VENDA DE PRODUTOS"</f>
        <v>TELA DE VENDA DE PRODUTOS</v>
      </c>
      <c r="F6330" s="2" t="str">
        <f>"M_VENDA_EXT"</f>
        <v>M_VENDA_EXT</v>
      </c>
      <c r="G6330" s="2" t="str">
        <f>"Materiais e Logística / Farmácia / Movimentação / Vendas (M_VENDA_EXT)"</f>
        <v>Materiais e Logística / Farmácia / Movimentação / Vendas (M_VENDA_EXT)</v>
      </c>
    </row>
    <row r="6331" spans="1:7" x14ac:dyDescent="0.3">
      <c r="A6331" s="1" t="s">
        <v>4</v>
      </c>
      <c r="B6331" s="2" t="str">
        <f t="shared" si="522"/>
        <v>FARMACIA EXTERNA</v>
      </c>
      <c r="C6331" s="2" t="str">
        <f t="shared" si="523"/>
        <v>SUPRI</v>
      </c>
      <c r="D6331" s="2" t="str">
        <f t="shared" si="524"/>
        <v>MGFE</v>
      </c>
      <c r="E6331" s="2" t="str">
        <f>"CADASTRO DE FUNCIONÁRIO / CONVENIADOS"</f>
        <v>CADASTRO DE FUNCIONÁRIO / CONVENIADOS</v>
      </c>
      <c r="F6331" s="2" t="str">
        <f>"M_FUNCIONARIOS"</f>
        <v>M_FUNCIONARIOS</v>
      </c>
      <c r="G6331" s="2" t="str">
        <f>"Materiais e Logística / Farmácia / Tabelas / Funcionários (M_FUNCIONARIOS)"</f>
        <v>Materiais e Logística / Farmácia / Tabelas / Funcionários (M_FUNCIONARIOS)</v>
      </c>
    </row>
    <row r="6332" spans="1:7" x14ac:dyDescent="0.3">
      <c r="A6332" s="1" t="s">
        <v>4</v>
      </c>
      <c r="B6332" s="2" t="str">
        <f t="shared" si="522"/>
        <v>FARMACIA EXTERNA</v>
      </c>
      <c r="C6332" s="2" t="str">
        <f t="shared" si="523"/>
        <v>SUPRI</v>
      </c>
      <c r="D6332" s="2" t="str">
        <f t="shared" si="524"/>
        <v>MGFE</v>
      </c>
      <c r="E6332" s="2" t="str">
        <f>"IMPORTACAO DE VALORES BRASINDICE PARA FA"</f>
        <v>IMPORTACAO DE VALORES BRASINDICE PARA FA</v>
      </c>
      <c r="F6332" s="2" t="str">
        <f>"O_IMPVALBRASIND_PROD"</f>
        <v>O_IMPVALBRASIND_PROD</v>
      </c>
      <c r="G6332" s="2" t="str">
        <f>"Materiais e Logística / Farmácia / Tabelas / Importação de Valores do Brasíndice (O_IMPVALBRASIND_PROD)"</f>
        <v>Materiais e Logística / Farmácia / Tabelas / Importação de Valores do Brasíndice (O_IMPVALBRASIND_PROD)</v>
      </c>
    </row>
    <row r="6333" spans="1:7" x14ac:dyDescent="0.3">
      <c r="A6333" s="1" t="s">
        <v>4</v>
      </c>
      <c r="B6333" s="2" t="str">
        <f t="shared" si="522"/>
        <v>FARMACIA EXTERNA</v>
      </c>
      <c r="C6333" s="2" t="str">
        <f t="shared" si="523"/>
        <v>SUPRI</v>
      </c>
      <c r="D6333" s="2" t="str">
        <f t="shared" si="524"/>
        <v>MGFE</v>
      </c>
      <c r="E6333" s="2" t="str">
        <f>"CADASTRO: VALORES DOS PROCEDIMENTOS"</f>
        <v>CADASTRO: VALORES DOS PROCEDIMENTOS</v>
      </c>
      <c r="F6333" s="2" t="str">
        <f>"M_PRECO_PROD"</f>
        <v>M_PRECO_PROD</v>
      </c>
      <c r="G6333" s="2" t="str">
        <f>"Materiais e Logística / Farmácia / Tabelas / Preços (M_PRECO_PROD)"</f>
        <v>Materiais e Logística / Farmácia / Tabelas / Preços (M_PRECO_PROD)</v>
      </c>
    </row>
    <row r="6334" spans="1:7" x14ac:dyDescent="0.3">
      <c r="A6334" s="1" t="s">
        <v>4</v>
      </c>
      <c r="B6334" s="2" t="str">
        <f t="shared" ref="B6334:B6344" si="525">"ASSISTENCIAL MOBILE"</f>
        <v>ASSISTENCIAL MOBILE</v>
      </c>
      <c r="C6334" s="2" t="str">
        <f>""</f>
        <v/>
      </c>
      <c r="D6334" s="2" t="str">
        <f t="shared" ref="D6334:D6344" si="526">"MOBAST"</f>
        <v>MOBAST</v>
      </c>
      <c r="E6334" s="2" t="str">
        <f>"AFERICAO - MOBILE"</f>
        <v>AFERICAO - MOBILE</v>
      </c>
      <c r="F6334" s="2" t="str">
        <f>"MOBAST_AFERICAO"</f>
        <v>MOBAST_AFERICAO</v>
      </c>
      <c r="G6334" s="2" t="str">
        <f t="shared" ref="G6334:G6397" si="527">" ()"</f>
        <v xml:space="preserve"> ()</v>
      </c>
    </row>
    <row r="6335" spans="1:7" x14ac:dyDescent="0.3">
      <c r="A6335" s="1" t="s">
        <v>4</v>
      </c>
      <c r="B6335" s="2" t="str">
        <f t="shared" si="525"/>
        <v>ASSISTENCIAL MOBILE</v>
      </c>
      <c r="C6335" s="2" t="str">
        <f>""</f>
        <v/>
      </c>
      <c r="D6335" s="2" t="str">
        <f t="shared" si="526"/>
        <v>MOBAST</v>
      </c>
      <c r="E6335" s="2" t="str">
        <f>"BALANCO HIDRICO AGRUPADO"</f>
        <v>BALANCO HIDRICO AGRUPADO</v>
      </c>
      <c r="F6335" s="2" t="str">
        <f>"MOBAST_BALANCO_HIDRICO_AGRUPADO"</f>
        <v>MOBAST_BALANCO_HIDRICO_AGRUPADO</v>
      </c>
      <c r="G6335" s="2" t="str">
        <f t="shared" si="527"/>
        <v xml:space="preserve"> ()</v>
      </c>
    </row>
    <row r="6336" spans="1:7" x14ac:dyDescent="0.3">
      <c r="A6336" s="1" t="s">
        <v>4</v>
      </c>
      <c r="B6336" s="2" t="str">
        <f t="shared" si="525"/>
        <v>ASSISTENCIAL MOBILE</v>
      </c>
      <c r="C6336" s="2" t="str">
        <f>""</f>
        <v/>
      </c>
      <c r="D6336" s="2" t="str">
        <f t="shared" si="526"/>
        <v>MOBAST</v>
      </c>
      <c r="E6336" s="2" t="str">
        <f>"HISTORICO DE ENFERMAGEM"</f>
        <v>HISTORICO DE ENFERMAGEM</v>
      </c>
      <c r="F6336" s="2" t="str">
        <f>"MOBAST_HISTORICO_ENFERMAGEM"</f>
        <v>MOBAST_HISTORICO_ENFERMAGEM</v>
      </c>
      <c r="G6336" s="2" t="str">
        <f t="shared" si="527"/>
        <v xml:space="preserve"> ()</v>
      </c>
    </row>
    <row r="6337" spans="1:7" x14ac:dyDescent="0.3">
      <c r="A6337" s="1" t="s">
        <v>4</v>
      </c>
      <c r="B6337" s="2" t="str">
        <f t="shared" si="525"/>
        <v>ASSISTENCIAL MOBILE</v>
      </c>
      <c r="C6337" s="2" t="str">
        <f>""</f>
        <v/>
      </c>
      <c r="D6337" s="2" t="str">
        <f t="shared" si="526"/>
        <v>MOBAST</v>
      </c>
      <c r="E6337" s="2" t="str">
        <f>"CHECAGEM - MOBILE"</f>
        <v>CHECAGEM - MOBILE</v>
      </c>
      <c r="F6337" s="2" t="str">
        <f>"MOBAST_CHECAGEM"</f>
        <v>MOBAST_CHECAGEM</v>
      </c>
      <c r="G6337" s="2" t="str">
        <f t="shared" si="527"/>
        <v xml:space="preserve"> ()</v>
      </c>
    </row>
    <row r="6338" spans="1:7" x14ac:dyDescent="0.3">
      <c r="A6338" s="1" t="s">
        <v>4</v>
      </c>
      <c r="B6338" s="2" t="str">
        <f t="shared" si="525"/>
        <v>ASSISTENCIAL MOBILE</v>
      </c>
      <c r="C6338" s="2" t="str">
        <f>""</f>
        <v/>
      </c>
      <c r="D6338" s="2" t="str">
        <f t="shared" si="526"/>
        <v>MOBAST</v>
      </c>
      <c r="E6338" s="2" t="str">
        <f>"AUDITORIA PARCIAL - MOBILE"</f>
        <v>AUDITORIA PARCIAL - MOBILE</v>
      </c>
      <c r="F6338" s="2" t="str">
        <f>"MOBAST_AUDITORIA_PARCIAL"</f>
        <v>MOBAST_AUDITORIA_PARCIAL</v>
      </c>
      <c r="G6338" s="2" t="str">
        <f t="shared" si="527"/>
        <v xml:space="preserve"> ()</v>
      </c>
    </row>
    <row r="6339" spans="1:7" x14ac:dyDescent="0.3">
      <c r="A6339" s="1" t="s">
        <v>36</v>
      </c>
      <c r="B6339" s="2" t="str">
        <f t="shared" si="525"/>
        <v>ASSISTENCIAL MOBILE</v>
      </c>
      <c r="C6339" s="2" t="str">
        <f>""</f>
        <v/>
      </c>
      <c r="D6339" s="2" t="str">
        <f t="shared" si="526"/>
        <v>MOBAST</v>
      </c>
      <c r="E6339" s="2" t="str">
        <f>"LISTA DE PACIENTES"</f>
        <v>LISTA DE PACIENTES</v>
      </c>
      <c r="F6339" s="2" t="str">
        <f>"MOBAST_LISTA_PACIENTE"</f>
        <v>MOBAST_LISTA_PACIENTE</v>
      </c>
      <c r="G6339" s="2" t="str">
        <f t="shared" si="527"/>
        <v xml:space="preserve"> ()</v>
      </c>
    </row>
    <row r="6340" spans="1:7" x14ac:dyDescent="0.3">
      <c r="A6340" s="1" t="s">
        <v>4</v>
      </c>
      <c r="B6340" s="2" t="str">
        <f t="shared" si="525"/>
        <v>ASSISTENCIAL MOBILE</v>
      </c>
      <c r="C6340" s="2" t="str">
        <f>""</f>
        <v/>
      </c>
      <c r="D6340" s="2" t="str">
        <f t="shared" si="526"/>
        <v>MOBAST</v>
      </c>
      <c r="E6340" s="2" t="str">
        <f>"SUSPENDER HORARIOS - MOBILE"</f>
        <v>SUSPENDER HORARIOS - MOBILE</v>
      </c>
      <c r="F6340" s="2" t="str">
        <f>"MOBAST_SUSPENDER_HORARIOS"</f>
        <v>MOBAST_SUSPENDER_HORARIOS</v>
      </c>
      <c r="G6340" s="2" t="str">
        <f t="shared" si="527"/>
        <v xml:space="preserve"> ()</v>
      </c>
    </row>
    <row r="6341" spans="1:7" x14ac:dyDescent="0.3">
      <c r="A6341" s="1" t="s">
        <v>4</v>
      </c>
      <c r="B6341" s="2" t="str">
        <f t="shared" si="525"/>
        <v>ASSISTENCIAL MOBILE</v>
      </c>
      <c r="C6341" s="2" t="str">
        <f>""</f>
        <v/>
      </c>
      <c r="D6341" s="2" t="str">
        <f t="shared" si="526"/>
        <v>MOBAST</v>
      </c>
      <c r="E6341" s="2" t="str">
        <f>"ANOTACAO ENFERMAGEM - MOBILE"</f>
        <v>ANOTACAO ENFERMAGEM - MOBILE</v>
      </c>
      <c r="F6341" s="2" t="str">
        <f>"MOBAST_ANOTACAO_ENFERMAGEM"</f>
        <v>MOBAST_ANOTACAO_ENFERMAGEM</v>
      </c>
      <c r="G6341" s="2" t="str">
        <f t="shared" si="527"/>
        <v xml:space="preserve"> ()</v>
      </c>
    </row>
    <row r="6342" spans="1:7" x14ac:dyDescent="0.3">
      <c r="A6342" s="1" t="s">
        <v>4</v>
      </c>
      <c r="B6342" s="2" t="str">
        <f t="shared" si="525"/>
        <v>ASSISTENCIAL MOBILE</v>
      </c>
      <c r="C6342" s="2" t="str">
        <f>""</f>
        <v/>
      </c>
      <c r="D6342" s="2" t="str">
        <f t="shared" si="526"/>
        <v>MOBAST</v>
      </c>
      <c r="E6342" s="2" t="str">
        <f>"EVOLUCAO ENFERMAGEM - MOBILE"</f>
        <v>EVOLUCAO ENFERMAGEM - MOBILE</v>
      </c>
      <c r="F6342" s="2" t="str">
        <f>"MOBAST_EVOLUCAO_ENFERMAGEM"</f>
        <v>MOBAST_EVOLUCAO_ENFERMAGEM</v>
      </c>
      <c r="G6342" s="2" t="str">
        <f t="shared" si="527"/>
        <v xml:space="preserve"> ()</v>
      </c>
    </row>
    <row r="6343" spans="1:7" x14ac:dyDescent="0.3">
      <c r="A6343" s="1" t="s">
        <v>4</v>
      </c>
      <c r="B6343" s="2" t="str">
        <f t="shared" si="525"/>
        <v>ASSISTENCIAL MOBILE</v>
      </c>
      <c r="C6343" s="2" t="str">
        <f>""</f>
        <v/>
      </c>
      <c r="D6343" s="2" t="str">
        <f t="shared" si="526"/>
        <v>MOBAST</v>
      </c>
      <c r="E6343" s="2" t="str">
        <f>"AUDITORIA - MOBILE"</f>
        <v>AUDITORIA - MOBILE</v>
      </c>
      <c r="F6343" s="2" t="str">
        <f>"MOBAST_AUDITORIA"</f>
        <v>MOBAST_AUDITORIA</v>
      </c>
      <c r="G6343" s="2" t="str">
        <f t="shared" si="527"/>
        <v xml:space="preserve"> ()</v>
      </c>
    </row>
    <row r="6344" spans="1:7" x14ac:dyDescent="0.3">
      <c r="A6344" s="1" t="s">
        <v>4</v>
      </c>
      <c r="B6344" s="2" t="str">
        <f t="shared" si="525"/>
        <v>ASSISTENCIAL MOBILE</v>
      </c>
      <c r="C6344" s="2" t="str">
        <f>""</f>
        <v/>
      </c>
      <c r="D6344" s="2" t="str">
        <f t="shared" si="526"/>
        <v>MOBAST</v>
      </c>
      <c r="E6344" s="2" t="str">
        <f>"BALANCO HIDRICO - MOBILE"</f>
        <v>BALANCO HIDRICO - MOBILE</v>
      </c>
      <c r="F6344" s="2" t="str">
        <f>"MOBAST_BALANCO_HIDRICO"</f>
        <v>MOBAST_BALANCO_HIDRICO</v>
      </c>
      <c r="G6344" s="2" t="str">
        <f t="shared" si="527"/>
        <v xml:space="preserve"> ()</v>
      </c>
    </row>
    <row r="6345" spans="1:7" x14ac:dyDescent="0.3">
      <c r="A6345" s="1" t="s">
        <v>4</v>
      </c>
      <c r="B6345" s="2" t="str">
        <f>"SISTEMA DE MOBILIDADE"</f>
        <v>SISTEMA DE MOBILIDADE</v>
      </c>
      <c r="C6345" s="2" t="str">
        <f>""</f>
        <v/>
      </c>
      <c r="D6345" s="2" t="str">
        <f>"MOBILE"</f>
        <v>MOBILE</v>
      </c>
      <c r="E6345" s="2" t="str">
        <f>"AUDITORIA MOBILE"</f>
        <v>AUDITORIA MOBILE</v>
      </c>
      <c r="F6345" s="2" t="str">
        <f>"MOBILE_AUDITORIA"</f>
        <v>MOBILE_AUDITORIA</v>
      </c>
      <c r="G6345" s="2" t="str">
        <f t="shared" si="527"/>
        <v xml:space="preserve"> ()</v>
      </c>
    </row>
    <row r="6346" spans="1:7" x14ac:dyDescent="0.3">
      <c r="A6346" s="1" t="s">
        <v>4</v>
      </c>
      <c r="B6346" s="2" t="str">
        <f>"SISTEMA DE MOBILIDADE"</f>
        <v>SISTEMA DE MOBILIDADE</v>
      </c>
      <c r="C6346" s="2" t="str">
        <f>""</f>
        <v/>
      </c>
      <c r="D6346" s="2" t="str">
        <f>"MOBILE"</f>
        <v>MOBILE</v>
      </c>
      <c r="E6346" s="2" t="str">
        <f>"ANOTACAO ENFERMAGEM MOBILE"</f>
        <v>ANOTACAO ENFERMAGEM MOBILE</v>
      </c>
      <c r="F6346" s="2" t="str">
        <f>"MOBILE_ANOTACAO"</f>
        <v>MOBILE_ANOTACAO</v>
      </c>
      <c r="G6346" s="2" t="str">
        <f t="shared" si="527"/>
        <v xml:space="preserve"> ()</v>
      </c>
    </row>
    <row r="6347" spans="1:7" x14ac:dyDescent="0.3">
      <c r="A6347" s="1" t="s">
        <v>4</v>
      </c>
      <c r="B6347" s="2" t="str">
        <f>"SISTEMA DE MOBILIDADE"</f>
        <v>SISTEMA DE MOBILIDADE</v>
      </c>
      <c r="C6347" s="2" t="str">
        <f>""</f>
        <v/>
      </c>
      <c r="D6347" s="2" t="str">
        <f>"MOBILE"</f>
        <v>MOBILE</v>
      </c>
      <c r="E6347" s="2" t="str">
        <f>"EVOLUCAO MOBILE"</f>
        <v>EVOLUCAO MOBILE</v>
      </c>
      <c r="F6347" s="2" t="str">
        <f>"MOBILE_EVOLUCAO"</f>
        <v>MOBILE_EVOLUCAO</v>
      </c>
      <c r="G6347" s="2" t="str">
        <f t="shared" si="527"/>
        <v xml:space="preserve"> ()</v>
      </c>
    </row>
    <row r="6348" spans="1:7" x14ac:dyDescent="0.3">
      <c r="A6348" s="1" t="s">
        <v>36</v>
      </c>
      <c r="B6348" s="2" t="str">
        <f t="shared" ref="B6348:B6366" si="528">"PRONTUÁRIO ELETRÔNICO MOBILE"</f>
        <v>PRONTUÁRIO ELETRÔNICO MOBILE</v>
      </c>
      <c r="C6348" s="2" t="str">
        <f>""</f>
        <v/>
      </c>
      <c r="D6348" s="2" t="str">
        <f t="shared" ref="D6348:D6366" si="529">"MOBPEP"</f>
        <v>MOBPEP</v>
      </c>
      <c r="E6348" s="2" t="str">
        <f>"LISTA DE PACIENTES - MOBILE"</f>
        <v>LISTA DE PACIENTES - MOBILE</v>
      </c>
      <c r="F6348" s="2" t="str">
        <f>"MOBPEP_LISTA_PACIENTE"</f>
        <v>MOBPEP_LISTA_PACIENTE</v>
      </c>
      <c r="G6348" s="2" t="str">
        <f t="shared" si="527"/>
        <v xml:space="preserve"> ()</v>
      </c>
    </row>
    <row r="6349" spans="1:7" x14ac:dyDescent="0.3">
      <c r="A6349" s="1" t="s">
        <v>4</v>
      </c>
      <c r="B6349" s="2" t="str">
        <f t="shared" si="528"/>
        <v>PRONTUÁRIO ELETRÔNICO MOBILE</v>
      </c>
      <c r="C6349" s="2" t="str">
        <f>""</f>
        <v/>
      </c>
      <c r="D6349" s="2" t="str">
        <f t="shared" si="529"/>
        <v>MOBPEP</v>
      </c>
      <c r="E6349" s="2" t="str">
        <f>"ANOTAÇÃO - MOBILE"</f>
        <v>ANOTAÇÃO - MOBILE</v>
      </c>
      <c r="F6349" s="2" t="str">
        <f>"MOBPEP_ANOTACAO"</f>
        <v>MOBPEP_ANOTACAO</v>
      </c>
      <c r="G6349" s="2" t="str">
        <f t="shared" si="527"/>
        <v xml:space="preserve"> ()</v>
      </c>
    </row>
    <row r="6350" spans="1:7" x14ac:dyDescent="0.3">
      <c r="A6350" s="1" t="s">
        <v>4</v>
      </c>
      <c r="B6350" s="2" t="str">
        <f t="shared" si="528"/>
        <v>PRONTUÁRIO ELETRÔNICO MOBILE</v>
      </c>
      <c r="C6350" s="2" t="str">
        <f>""</f>
        <v/>
      </c>
      <c r="D6350" s="2" t="str">
        <f t="shared" si="529"/>
        <v>MOBPEP</v>
      </c>
      <c r="E6350" s="2" t="str">
        <f>"ALERGIA - MOBILE"</f>
        <v>ALERGIA - MOBILE</v>
      </c>
      <c r="F6350" s="2" t="str">
        <f>"MOBPEP_ALERGIA"</f>
        <v>MOBPEP_ALERGIA</v>
      </c>
      <c r="G6350" s="2" t="str">
        <f t="shared" si="527"/>
        <v xml:space="preserve"> ()</v>
      </c>
    </row>
    <row r="6351" spans="1:7" x14ac:dyDescent="0.3">
      <c r="A6351" s="1" t="s">
        <v>4</v>
      </c>
      <c r="B6351" s="2" t="str">
        <f t="shared" si="528"/>
        <v>PRONTUÁRIO ELETRÔNICO MOBILE</v>
      </c>
      <c r="C6351" s="2" t="str">
        <f>""</f>
        <v/>
      </c>
      <c r="D6351" s="2" t="str">
        <f t="shared" si="529"/>
        <v>MOBPEP</v>
      </c>
      <c r="E6351" s="2" t="str">
        <f>"DOCUMENTO ELETRÔNICO - MOBILE"</f>
        <v>DOCUMENTO ELETRÔNICO - MOBILE</v>
      </c>
      <c r="F6351" s="2" t="str">
        <f>"MOBPEP_DOC_ELETRONICO"</f>
        <v>MOBPEP_DOC_ELETRONICO</v>
      </c>
      <c r="G6351" s="2" t="str">
        <f t="shared" si="527"/>
        <v xml:space="preserve"> ()</v>
      </c>
    </row>
    <row r="6352" spans="1:7" x14ac:dyDescent="0.3">
      <c r="A6352" s="1" t="s">
        <v>4</v>
      </c>
      <c r="B6352" s="2" t="str">
        <f t="shared" si="528"/>
        <v>PRONTUÁRIO ELETRÔNICO MOBILE</v>
      </c>
      <c r="C6352" s="2" t="str">
        <f>""</f>
        <v/>
      </c>
      <c r="D6352" s="2" t="str">
        <f t="shared" si="529"/>
        <v>MOBPEP</v>
      </c>
      <c r="E6352" s="2" t="str">
        <f>"EVOLUÇÃO - MOBILE"</f>
        <v>EVOLUÇÃO - MOBILE</v>
      </c>
      <c r="F6352" s="2" t="str">
        <f>"MOBPEP_EVOLUCAO"</f>
        <v>MOBPEP_EVOLUCAO</v>
      </c>
      <c r="G6352" s="2" t="str">
        <f t="shared" si="527"/>
        <v xml:space="preserve"> ()</v>
      </c>
    </row>
    <row r="6353" spans="1:7" x14ac:dyDescent="0.3">
      <c r="A6353" s="1" t="s">
        <v>4</v>
      </c>
      <c r="B6353" s="2" t="str">
        <f t="shared" si="528"/>
        <v>PRONTUÁRIO ELETRÔNICO MOBILE</v>
      </c>
      <c r="C6353" s="2" t="str">
        <f>""</f>
        <v/>
      </c>
      <c r="D6353" s="2" t="str">
        <f t="shared" si="529"/>
        <v>MOBPEP</v>
      </c>
      <c r="E6353" s="2" t="str">
        <f>"AVALIAÇÃO - MOBILE"</f>
        <v>AVALIAÇÃO - MOBILE</v>
      </c>
      <c r="F6353" s="2" t="str">
        <f>"MOBPEP_AVALIACAO"</f>
        <v>MOBPEP_AVALIACAO</v>
      </c>
      <c r="G6353" s="2" t="str">
        <f t="shared" si="527"/>
        <v xml:space="preserve"> ()</v>
      </c>
    </row>
    <row r="6354" spans="1:7" x14ac:dyDescent="0.3">
      <c r="A6354" s="1" t="s">
        <v>4</v>
      </c>
      <c r="B6354" s="2" t="str">
        <f t="shared" si="528"/>
        <v>PRONTUÁRIO ELETRÔNICO MOBILE</v>
      </c>
      <c r="C6354" s="2" t="str">
        <f>""</f>
        <v/>
      </c>
      <c r="D6354" s="2" t="str">
        <f t="shared" si="529"/>
        <v>MOBPEP</v>
      </c>
      <c r="E6354" s="2" t="str">
        <f>"INFORMAÇÕES RELEVANTES - MOBILE"</f>
        <v>INFORMAÇÕES RELEVANTES - MOBILE</v>
      </c>
      <c r="F6354" s="2" t="str">
        <f>"MOBPEP_INFO_RELEVANTES"</f>
        <v>MOBPEP_INFO_RELEVANTES</v>
      </c>
      <c r="G6354" s="2" t="str">
        <f t="shared" si="527"/>
        <v xml:space="preserve"> ()</v>
      </c>
    </row>
    <row r="6355" spans="1:7" x14ac:dyDescent="0.3">
      <c r="A6355" s="1" t="s">
        <v>4</v>
      </c>
      <c r="B6355" s="2" t="str">
        <f t="shared" si="528"/>
        <v>PRONTUÁRIO ELETRÔNICO MOBILE</v>
      </c>
      <c r="C6355" s="2" t="str">
        <f>""</f>
        <v/>
      </c>
      <c r="D6355" s="2" t="str">
        <f t="shared" si="529"/>
        <v>MOBPEP</v>
      </c>
      <c r="E6355" s="2" t="str">
        <f>"RESULTADO EXAMES LABORATORIAL - MOBILE"</f>
        <v>RESULTADO EXAMES LABORATORIAL - MOBILE</v>
      </c>
      <c r="F6355" s="2" t="str">
        <f>"MOBPEP_RESULTADO_LABORATORIO"</f>
        <v>MOBPEP_RESULTADO_LABORATORIO</v>
      </c>
      <c r="G6355" s="2" t="str">
        <f t="shared" si="527"/>
        <v xml:space="preserve"> ()</v>
      </c>
    </row>
    <row r="6356" spans="1:7" x14ac:dyDescent="0.3">
      <c r="A6356" s="1" t="s">
        <v>4</v>
      </c>
      <c r="B6356" s="2" t="str">
        <f t="shared" si="528"/>
        <v>PRONTUÁRIO ELETRÔNICO MOBILE</v>
      </c>
      <c r="C6356" s="2" t="str">
        <f>""</f>
        <v/>
      </c>
      <c r="D6356" s="2" t="str">
        <f t="shared" si="529"/>
        <v>MOBPEP</v>
      </c>
      <c r="E6356" s="2" t="str">
        <f>"RESULTADO EXAMES IMAGEM - MOBILE"</f>
        <v>RESULTADO EXAMES IMAGEM - MOBILE</v>
      </c>
      <c r="F6356" s="2" t="str">
        <f>"MOBPEP_RESULTADO_IMAGEM"</f>
        <v>MOBPEP_RESULTADO_IMAGEM</v>
      </c>
      <c r="G6356" s="2" t="str">
        <f t="shared" si="527"/>
        <v xml:space="preserve"> ()</v>
      </c>
    </row>
    <row r="6357" spans="1:7" x14ac:dyDescent="0.3">
      <c r="A6357" s="1" t="s">
        <v>4</v>
      </c>
      <c r="B6357" s="2" t="str">
        <f t="shared" si="528"/>
        <v>PRONTUÁRIO ELETRÔNICO MOBILE</v>
      </c>
      <c r="C6357" s="2" t="str">
        <f>""</f>
        <v/>
      </c>
      <c r="D6357" s="2" t="str">
        <f t="shared" si="529"/>
        <v>MOBPEP</v>
      </c>
      <c r="E6357" s="2" t="str">
        <f>"EVOLUÇÃO (TEMA) - MOBILE"</f>
        <v>EVOLUÇÃO (TEMA) - MOBILE</v>
      </c>
      <c r="F6357" s="2" t="str">
        <f>"MOBPEP_TEMA_EVOLUCAO"</f>
        <v>MOBPEP_TEMA_EVOLUCAO</v>
      </c>
      <c r="G6357" s="2" t="str">
        <f t="shared" si="527"/>
        <v xml:space="preserve"> ()</v>
      </c>
    </row>
    <row r="6358" spans="1:7" x14ac:dyDescent="0.3">
      <c r="A6358" s="1" t="s">
        <v>4</v>
      </c>
      <c r="B6358" s="2" t="str">
        <f t="shared" si="528"/>
        <v>PRONTUÁRIO ELETRÔNICO MOBILE</v>
      </c>
      <c r="C6358" s="2" t="str">
        <f>""</f>
        <v/>
      </c>
      <c r="D6358" s="2" t="str">
        <f t="shared" si="529"/>
        <v>MOBPEP</v>
      </c>
      <c r="E6358" s="2" t="str">
        <f>"LINK URL - MOBILE"</f>
        <v>LINK URL - MOBILE</v>
      </c>
      <c r="F6358" s="2" t="str">
        <f>"MOBPEP_LINK_URL"</f>
        <v>MOBPEP_LINK_URL</v>
      </c>
      <c r="G6358" s="2" t="str">
        <f t="shared" si="527"/>
        <v xml:space="preserve"> ()</v>
      </c>
    </row>
    <row r="6359" spans="1:7" x14ac:dyDescent="0.3">
      <c r="A6359" s="1" t="s">
        <v>4</v>
      </c>
      <c r="B6359" s="2" t="str">
        <f t="shared" si="528"/>
        <v>PRONTUÁRIO ELETRÔNICO MOBILE</v>
      </c>
      <c r="C6359" s="2" t="str">
        <f>""</f>
        <v/>
      </c>
      <c r="D6359" s="2" t="str">
        <f t="shared" si="529"/>
        <v>MOBPEP</v>
      </c>
      <c r="E6359" s="2" t="str">
        <f>"LEGADO - MOBILE"</f>
        <v>LEGADO - MOBILE</v>
      </c>
      <c r="F6359" s="2" t="str">
        <f>"MOBPEP_LEGADO"</f>
        <v>MOBPEP_LEGADO</v>
      </c>
      <c r="G6359" s="2" t="str">
        <f t="shared" si="527"/>
        <v xml:space="preserve"> ()</v>
      </c>
    </row>
    <row r="6360" spans="1:7" x14ac:dyDescent="0.3">
      <c r="A6360" s="1" t="s">
        <v>4</v>
      </c>
      <c r="B6360" s="2" t="str">
        <f t="shared" si="528"/>
        <v>PRONTUÁRIO ELETRÔNICO MOBILE</v>
      </c>
      <c r="C6360" s="2" t="str">
        <f>""</f>
        <v/>
      </c>
      <c r="D6360" s="2" t="str">
        <f t="shared" si="529"/>
        <v>MOBPEP</v>
      </c>
      <c r="E6360" s="2" t="str">
        <f>"GRUPO DE DOCUMENTOS - MOBILE"</f>
        <v>GRUPO DE DOCUMENTOS - MOBILE</v>
      </c>
      <c r="F6360" s="2" t="str">
        <f>"MOBPEP_GRUPO_DOCUMENTO"</f>
        <v>MOBPEP_GRUPO_DOCUMENTO</v>
      </c>
      <c r="G6360" s="2" t="str">
        <f t="shared" si="527"/>
        <v xml:space="preserve"> ()</v>
      </c>
    </row>
    <row r="6361" spans="1:7" x14ac:dyDescent="0.3">
      <c r="A6361" s="1" t="s">
        <v>4</v>
      </c>
      <c r="B6361" s="2" t="str">
        <f t="shared" si="528"/>
        <v>PRONTUÁRIO ELETRÔNICO MOBILE</v>
      </c>
      <c r="C6361" s="2" t="str">
        <f>""</f>
        <v/>
      </c>
      <c r="D6361" s="2" t="str">
        <f t="shared" si="529"/>
        <v>MOBPEP</v>
      </c>
      <c r="E6361" s="2" t="str">
        <f>"BALANÇO HÍDRICO"</f>
        <v>BALANÇO HÍDRICO</v>
      </c>
      <c r="F6361" s="2" t="str">
        <f>"MOBPEP_BALANCO_HIDRICO"</f>
        <v>MOBPEP_BALANCO_HIDRICO</v>
      </c>
      <c r="G6361" s="2" t="str">
        <f t="shared" si="527"/>
        <v xml:space="preserve"> ()</v>
      </c>
    </row>
    <row r="6362" spans="1:7" x14ac:dyDescent="0.3">
      <c r="A6362" s="1" t="s">
        <v>4</v>
      </c>
      <c r="B6362" s="2" t="str">
        <f t="shared" si="528"/>
        <v>PRONTUÁRIO ELETRÔNICO MOBILE</v>
      </c>
      <c r="C6362" s="2" t="str">
        <f>""</f>
        <v/>
      </c>
      <c r="D6362" s="2" t="str">
        <f t="shared" si="529"/>
        <v>MOBPEP</v>
      </c>
      <c r="E6362" s="2" t="str">
        <f>"AFERIÇÃO"</f>
        <v>AFERIÇÃO</v>
      </c>
      <c r="F6362" s="2" t="str">
        <f>"MOBPEP_AFERICAO"</f>
        <v>MOBPEP_AFERICAO</v>
      </c>
      <c r="G6362" s="2" t="str">
        <f t="shared" si="527"/>
        <v xml:space="preserve"> ()</v>
      </c>
    </row>
    <row r="6363" spans="1:7" x14ac:dyDescent="0.3">
      <c r="A6363" s="1" t="s">
        <v>4</v>
      </c>
      <c r="B6363" s="2" t="str">
        <f t="shared" si="528"/>
        <v>PRONTUÁRIO ELETRÔNICO MOBILE</v>
      </c>
      <c r="C6363" s="2" t="str">
        <f>""</f>
        <v/>
      </c>
      <c r="D6363" s="2" t="str">
        <f t="shared" si="529"/>
        <v>MOBPEP</v>
      </c>
      <c r="E6363" s="2" t="str">
        <f>"CHECAGEM"</f>
        <v>CHECAGEM</v>
      </c>
      <c r="F6363" s="2" t="str">
        <f>"MOBPEP_CHECAGEM"</f>
        <v>MOBPEP_CHECAGEM</v>
      </c>
      <c r="G6363" s="2" t="str">
        <f t="shared" si="527"/>
        <v xml:space="preserve"> ()</v>
      </c>
    </row>
    <row r="6364" spans="1:7" x14ac:dyDescent="0.3">
      <c r="A6364" s="1" t="s">
        <v>4</v>
      </c>
      <c r="B6364" s="2" t="str">
        <f t="shared" si="528"/>
        <v>PRONTUÁRIO ELETRÔNICO MOBILE</v>
      </c>
      <c r="C6364" s="2" t="str">
        <f>""</f>
        <v/>
      </c>
      <c r="D6364" s="2" t="str">
        <f t="shared" si="529"/>
        <v>MOBPEP</v>
      </c>
      <c r="E6364" s="2" t="str">
        <f>"RESUMO CLINICO"</f>
        <v>RESUMO CLINICO</v>
      </c>
      <c r="F6364" s="2" t="str">
        <f>"MOBPEP_RESUMO"</f>
        <v>MOBPEP_RESUMO</v>
      </c>
      <c r="G6364" s="2" t="str">
        <f t="shared" si="527"/>
        <v xml:space="preserve"> ()</v>
      </c>
    </row>
    <row r="6365" spans="1:7" x14ac:dyDescent="0.3">
      <c r="A6365" s="1" t="s">
        <v>4</v>
      </c>
      <c r="B6365" s="2" t="str">
        <f t="shared" si="528"/>
        <v>PRONTUÁRIO ELETRÔNICO MOBILE</v>
      </c>
      <c r="C6365" s="2" t="str">
        <f>""</f>
        <v/>
      </c>
      <c r="D6365" s="2" t="str">
        <f t="shared" si="529"/>
        <v>MOBPEP</v>
      </c>
      <c r="E6365" s="2" t="str">
        <f>"INFORMAÇÕES DEMOGRÁFICAS - MOBILE"</f>
        <v>INFORMAÇÕES DEMOGRÁFICAS - MOBILE</v>
      </c>
      <c r="F6365" s="2" t="str">
        <f>"MOBPEP_INFO_DEMOGRAFICA"</f>
        <v>MOBPEP_INFO_DEMOGRAFICA</v>
      </c>
      <c r="G6365" s="2" t="str">
        <f t="shared" si="527"/>
        <v xml:space="preserve"> ()</v>
      </c>
    </row>
    <row r="6366" spans="1:7" x14ac:dyDescent="0.3">
      <c r="A6366" s="1" t="s">
        <v>4</v>
      </c>
      <c r="B6366" s="2" t="str">
        <f t="shared" si="528"/>
        <v>PRONTUÁRIO ELETRÔNICO MOBILE</v>
      </c>
      <c r="C6366" s="2" t="str">
        <f>""</f>
        <v/>
      </c>
      <c r="D6366" s="2" t="str">
        <f t="shared" si="529"/>
        <v>MOBPEP</v>
      </c>
      <c r="E6366" s="2" t="str">
        <f>"Prescricao Medica - MOBILE"</f>
        <v>Prescricao Medica - MOBILE</v>
      </c>
      <c r="F6366" s="2" t="str">
        <f>"MOBPEP_PRESCRICAO"</f>
        <v>MOBPEP_PRESCRICAO</v>
      </c>
      <c r="G6366" s="2" t="str">
        <f t="shared" si="527"/>
        <v xml:space="preserve"> ()</v>
      </c>
    </row>
    <row r="6367" spans="1:7" x14ac:dyDescent="0.3">
      <c r="A6367" s="1" t="s">
        <v>4</v>
      </c>
      <c r="B6367" s="2" t="str">
        <f t="shared" ref="B6367:B6421" si="530">"MONITOR"</f>
        <v>MONITOR</v>
      </c>
      <c r="C6367" s="2" t="str">
        <f>""</f>
        <v/>
      </c>
      <c r="D6367" s="2" t="str">
        <f t="shared" ref="D6367:D6421" si="531">"MON"</f>
        <v>MON</v>
      </c>
      <c r="E6367" s="2" t="str">
        <f>"REL DE ESTAT DE CONEXOES POR COMPETENCIA"</f>
        <v>REL DE ESTAT DE CONEXOES POR COMPETENCIA</v>
      </c>
      <c r="F6367" s="2" t="str">
        <f>"R_ESTA_CON_SINT_MES"</f>
        <v>R_ESTA_CON_SINT_MES</v>
      </c>
      <c r="G6367" s="2" t="str">
        <f t="shared" si="527"/>
        <v xml:space="preserve"> ()</v>
      </c>
    </row>
    <row r="6368" spans="1:7" x14ac:dyDescent="0.3">
      <c r="A6368" s="1" t="s">
        <v>4</v>
      </c>
      <c r="B6368" s="2" t="str">
        <f t="shared" si="530"/>
        <v>MONITOR</v>
      </c>
      <c r="C6368" s="2" t="str">
        <f>""</f>
        <v/>
      </c>
      <c r="D6368" s="2" t="str">
        <f t="shared" si="531"/>
        <v>MON</v>
      </c>
      <c r="E6368" s="2" t="str">
        <f>"ALTERAÇÃO DA SENHA DE ACESSO MONITOR"</f>
        <v>ALTERAÇÃO DA SENHA DE ACESSO MONITOR</v>
      </c>
      <c r="F6368" s="2" t="str">
        <f>"ALT_SENHA_MON"</f>
        <v>ALT_SENHA_MON</v>
      </c>
      <c r="G6368" s="2" t="str">
        <f t="shared" si="527"/>
        <v xml:space="preserve"> ()</v>
      </c>
    </row>
    <row r="6369" spans="1:7" x14ac:dyDescent="0.3">
      <c r="A6369" s="1" t="s">
        <v>4</v>
      </c>
      <c r="B6369" s="2" t="str">
        <f t="shared" si="530"/>
        <v>MONITOR</v>
      </c>
      <c r="C6369" s="2" t="str">
        <f>""</f>
        <v/>
      </c>
      <c r="D6369" s="2" t="str">
        <f t="shared" si="531"/>
        <v>MON</v>
      </c>
      <c r="E6369" s="2" t="str">
        <f>"RELATÓRIO DE FECHAMENTO DE VERSÃO"</f>
        <v>RELATÓRIO DE FECHAMENTO DE VERSÃO</v>
      </c>
      <c r="F6369" s="2" t="str">
        <f>"R_VERSAO_NEW"</f>
        <v>R_VERSAO_NEW</v>
      </c>
      <c r="G6369" s="2" t="str">
        <f t="shared" si="527"/>
        <v xml:space="preserve"> ()</v>
      </c>
    </row>
    <row r="6370" spans="1:7" x14ac:dyDescent="0.3">
      <c r="A6370" s="1" t="s">
        <v>4</v>
      </c>
      <c r="B6370" s="2" t="str">
        <f t="shared" si="530"/>
        <v>MONITOR</v>
      </c>
      <c r="C6370" s="2" t="str">
        <f>""</f>
        <v/>
      </c>
      <c r="D6370" s="2" t="str">
        <f t="shared" si="531"/>
        <v>MON</v>
      </c>
      <c r="E6370" s="2" t="str">
        <f>"RELATÓRIO DA SITUAÇÃO DAS SOLICITAÇÕES"</f>
        <v>RELATÓRIO DA SITUAÇÃO DAS SOLICITAÇÕES</v>
      </c>
      <c r="F6370" s="2" t="str">
        <f>"R_SITUACAO_SOLIC"</f>
        <v>R_SITUACAO_SOLIC</v>
      </c>
      <c r="G6370" s="2" t="str">
        <f t="shared" si="527"/>
        <v xml:space="preserve"> ()</v>
      </c>
    </row>
    <row r="6371" spans="1:7" x14ac:dyDescent="0.3">
      <c r="A6371" s="1" t="s">
        <v>4</v>
      </c>
      <c r="B6371" s="2" t="str">
        <f t="shared" si="530"/>
        <v>MONITOR</v>
      </c>
      <c r="C6371" s="2" t="str">
        <f>""</f>
        <v/>
      </c>
      <c r="D6371" s="2" t="str">
        <f t="shared" si="531"/>
        <v>MON</v>
      </c>
      <c r="E6371" s="2" t="str">
        <f>"ORCAMENTO DE PDA´S"</f>
        <v>ORCAMENTO DE PDA´S</v>
      </c>
      <c r="F6371" s="2" t="str">
        <f>"R_ORCAMENTO_PDA"</f>
        <v>R_ORCAMENTO_PDA</v>
      </c>
      <c r="G6371" s="2" t="str">
        <f t="shared" si="527"/>
        <v xml:space="preserve"> ()</v>
      </c>
    </row>
    <row r="6372" spans="1:7" x14ac:dyDescent="0.3">
      <c r="A6372" s="1" t="s">
        <v>4</v>
      </c>
      <c r="B6372" s="2" t="str">
        <f t="shared" si="530"/>
        <v>MONITOR</v>
      </c>
      <c r="C6372" s="2" t="str">
        <f>""</f>
        <v/>
      </c>
      <c r="D6372" s="2" t="str">
        <f t="shared" si="531"/>
        <v>MON</v>
      </c>
      <c r="E6372" s="2" t="str">
        <f>"RETRABALHO ANALITICO POR EQUIPE"</f>
        <v>RETRABALHO ANALITICO POR EQUIPE</v>
      </c>
      <c r="F6372" s="2" t="str">
        <f>"R_RETRAB_ANALITICO"</f>
        <v>R_RETRAB_ANALITICO</v>
      </c>
      <c r="G6372" s="2" t="str">
        <f t="shared" si="527"/>
        <v xml:space="preserve"> ()</v>
      </c>
    </row>
    <row r="6373" spans="1:7" x14ac:dyDescent="0.3">
      <c r="A6373" s="1" t="s">
        <v>4</v>
      </c>
      <c r="B6373" s="2" t="str">
        <f t="shared" si="530"/>
        <v>MONITOR</v>
      </c>
      <c r="C6373" s="2" t="str">
        <f>""</f>
        <v/>
      </c>
      <c r="D6373" s="2" t="str">
        <f t="shared" si="531"/>
        <v>MON</v>
      </c>
      <c r="E6373" s="2" t="str">
        <f>"REL. ATEND. AO CLIENTE (PERIODO)"</f>
        <v>REL. ATEND. AO CLIENTE (PERIODO)</v>
      </c>
      <c r="F6373" s="2" t="str">
        <f>"R_CLI_ESTATISTICA_HORA"</f>
        <v>R_CLI_ESTATISTICA_HORA</v>
      </c>
      <c r="G6373" s="2" t="str">
        <f t="shared" si="527"/>
        <v xml:space="preserve"> ()</v>
      </c>
    </row>
    <row r="6374" spans="1:7" x14ac:dyDescent="0.3">
      <c r="A6374" s="1" t="s">
        <v>4</v>
      </c>
      <c r="B6374" s="2" t="str">
        <f t="shared" si="530"/>
        <v>MONITOR</v>
      </c>
      <c r="C6374" s="2" t="str">
        <f>""</f>
        <v/>
      </c>
      <c r="D6374" s="2" t="str">
        <f t="shared" si="531"/>
        <v>MON</v>
      </c>
      <c r="E6374" s="2" t="str">
        <f>"R DE EST DE ATEND AO CLIENT EM HORA (PER"</f>
        <v>R DE EST DE ATEND AO CLIENT EM HORA (PER</v>
      </c>
      <c r="F6374" s="2" t="str">
        <f>"R_CLI_ESTATISTICA_PER_HORA"</f>
        <v>R_CLI_ESTATISTICA_PER_HORA</v>
      </c>
      <c r="G6374" s="2" t="str">
        <f t="shared" si="527"/>
        <v xml:space="preserve"> ()</v>
      </c>
    </row>
    <row r="6375" spans="1:7" x14ac:dyDescent="0.3">
      <c r="A6375" s="1" t="s">
        <v>4</v>
      </c>
      <c r="B6375" s="2" t="str">
        <f t="shared" si="530"/>
        <v>MONITOR</v>
      </c>
      <c r="C6375" s="2" t="str">
        <f>""</f>
        <v/>
      </c>
      <c r="D6375" s="2" t="str">
        <f t="shared" si="531"/>
        <v>MON</v>
      </c>
      <c r="E6375" s="2" t="str">
        <f>"REL ESTATIST. POR PROG EM HORAS (PER)"</f>
        <v>REL ESTATIST. POR PROG EM HORAS (PER)</v>
      </c>
      <c r="F6375" s="2" t="str">
        <f>"R_PROG_ESTATISTICA_PER_HORA"</f>
        <v>R_PROG_ESTATISTICA_PER_HORA</v>
      </c>
      <c r="G6375" s="2" t="str">
        <f t="shared" si="527"/>
        <v xml:space="preserve"> ()</v>
      </c>
    </row>
    <row r="6376" spans="1:7" x14ac:dyDescent="0.3">
      <c r="A6376" s="1" t="s">
        <v>4</v>
      </c>
      <c r="B6376" s="2" t="str">
        <f t="shared" si="530"/>
        <v>MONITOR</v>
      </c>
      <c r="C6376" s="2" t="str">
        <f>""</f>
        <v/>
      </c>
      <c r="D6376" s="2" t="str">
        <f t="shared" si="531"/>
        <v>MON</v>
      </c>
      <c r="E6376" s="2" t="str">
        <f>"REL. ESTATISTICO POR PROGRAMADOR (PER)"</f>
        <v>REL. ESTATISTICO POR PROGRAMADOR (PER)</v>
      </c>
      <c r="F6376" s="2" t="str">
        <f>"R_PROG_ESTATISTICA_PER"</f>
        <v>R_PROG_ESTATISTICA_PER</v>
      </c>
      <c r="G6376" s="2" t="str">
        <f t="shared" si="527"/>
        <v xml:space="preserve"> ()</v>
      </c>
    </row>
    <row r="6377" spans="1:7" x14ac:dyDescent="0.3">
      <c r="A6377" s="1" t="s">
        <v>4</v>
      </c>
      <c r="B6377" s="2" t="str">
        <f t="shared" si="530"/>
        <v>MONITOR</v>
      </c>
      <c r="C6377" s="2" t="str">
        <f>""</f>
        <v/>
      </c>
      <c r="D6377" s="2" t="str">
        <f t="shared" si="531"/>
        <v>MON</v>
      </c>
      <c r="E6377" s="2" t="str">
        <f>"RELATÓRIO ESTATÍSCO DE CHAMADOS DO SUPOR"</f>
        <v>RELATÓRIO ESTATÍSCO DE CHAMADOS DO SUPOR</v>
      </c>
      <c r="F6377" s="2" t="str">
        <f>"R_EST_CHAMADO_SUP"</f>
        <v>R_EST_CHAMADO_SUP</v>
      </c>
      <c r="G6377" s="2" t="str">
        <f t="shared" si="527"/>
        <v xml:space="preserve"> ()</v>
      </c>
    </row>
    <row r="6378" spans="1:7" x14ac:dyDescent="0.3">
      <c r="A6378" s="1" t="s">
        <v>4</v>
      </c>
      <c r="B6378" s="2" t="str">
        <f t="shared" si="530"/>
        <v>MONITOR</v>
      </c>
      <c r="C6378" s="2" t="str">
        <f>""</f>
        <v/>
      </c>
      <c r="D6378" s="2" t="str">
        <f t="shared" si="531"/>
        <v>MON</v>
      </c>
      <c r="E6378" s="2" t="str">
        <f>"RELATORIO QUANT. HORAS POR EQUIPE"</f>
        <v>RELATORIO QUANT. HORAS POR EQUIPE</v>
      </c>
      <c r="F6378" s="2" t="str">
        <f>"R_EQUIPE_ESTATISTICA_HORA"</f>
        <v>R_EQUIPE_ESTATISTICA_HORA</v>
      </c>
      <c r="G6378" s="2" t="str">
        <f t="shared" si="527"/>
        <v xml:space="preserve"> ()</v>
      </c>
    </row>
    <row r="6379" spans="1:7" x14ac:dyDescent="0.3">
      <c r="A6379" s="1" t="s">
        <v>4</v>
      </c>
      <c r="B6379" s="2" t="str">
        <f t="shared" si="530"/>
        <v>MONITOR</v>
      </c>
      <c r="C6379" s="2" t="str">
        <f>""</f>
        <v/>
      </c>
      <c r="D6379" s="2" t="str">
        <f t="shared" si="531"/>
        <v>MON</v>
      </c>
      <c r="E6379" s="2" t="str">
        <f>"RELATORIO DE QUANT. HORAS P/ PROGRAMADOR"</f>
        <v>RELATORIO DE QUANT. HORAS P/ PROGRAMADOR</v>
      </c>
      <c r="F6379" s="2" t="str">
        <f>"R_PROG_ESTATISTICA_HORA"</f>
        <v>R_PROG_ESTATISTICA_HORA</v>
      </c>
      <c r="G6379" s="2" t="str">
        <f t="shared" si="527"/>
        <v xml:space="preserve"> ()</v>
      </c>
    </row>
    <row r="6380" spans="1:7" x14ac:dyDescent="0.3">
      <c r="A6380" s="1" t="s">
        <v>4</v>
      </c>
      <c r="B6380" s="2" t="str">
        <f t="shared" si="530"/>
        <v>MONITOR</v>
      </c>
      <c r="C6380" s="2" t="str">
        <f>""</f>
        <v/>
      </c>
      <c r="D6380" s="2" t="str">
        <f t="shared" si="531"/>
        <v>MON</v>
      </c>
      <c r="E6380" s="2" t="str">
        <f>"RELATORIO DE QUANT. HORAS POR MODULO"</f>
        <v>RELATORIO DE QUANT. HORAS POR MODULO</v>
      </c>
      <c r="F6380" s="2" t="str">
        <f>"R_MODULO_ESTATISTICA_HORA"</f>
        <v>R_MODULO_ESTATISTICA_HORA</v>
      </c>
      <c r="G6380" s="2" t="str">
        <f t="shared" si="527"/>
        <v xml:space="preserve"> ()</v>
      </c>
    </row>
    <row r="6381" spans="1:7" x14ac:dyDescent="0.3">
      <c r="A6381" s="1" t="s">
        <v>4</v>
      </c>
      <c r="B6381" s="2" t="str">
        <f t="shared" si="530"/>
        <v>MONITOR</v>
      </c>
      <c r="C6381" s="2" t="str">
        <f>""</f>
        <v/>
      </c>
      <c r="D6381" s="2" t="str">
        <f t="shared" si="531"/>
        <v>MON</v>
      </c>
      <c r="E6381" s="2" t="str">
        <f>"RELATORIO DE QUANT. HORAS  POR CLIENTES"</f>
        <v>RELATORIO DE QUANT. HORAS  POR CLIENTES</v>
      </c>
      <c r="F6381" s="2" t="str">
        <f>"R_CLIENTE_ESTATISTICA_HORA"</f>
        <v>R_CLIENTE_ESTATISTICA_HORA</v>
      </c>
      <c r="G6381" s="2" t="str">
        <f t="shared" si="527"/>
        <v xml:space="preserve"> ()</v>
      </c>
    </row>
    <row r="6382" spans="1:7" x14ac:dyDescent="0.3">
      <c r="A6382" s="1" t="s">
        <v>4</v>
      </c>
      <c r="B6382" s="2" t="str">
        <f t="shared" si="530"/>
        <v>MONITOR</v>
      </c>
      <c r="C6382" s="2" t="str">
        <f>""</f>
        <v/>
      </c>
      <c r="D6382" s="2" t="str">
        <f t="shared" si="531"/>
        <v>MON</v>
      </c>
      <c r="E6382" s="2" t="str">
        <f>"RELATORIO DE QUANTITATIVO POR PROGRAMDOR"</f>
        <v>RELATORIO DE QUANTITATIVO POR PROGRAMDOR</v>
      </c>
      <c r="F6382" s="2" t="str">
        <f>"R_PROG_ESTATISTICA"</f>
        <v>R_PROG_ESTATISTICA</v>
      </c>
      <c r="G6382" s="2" t="str">
        <f t="shared" si="527"/>
        <v xml:space="preserve"> ()</v>
      </c>
    </row>
    <row r="6383" spans="1:7" x14ac:dyDescent="0.3">
      <c r="A6383" s="1" t="s">
        <v>4</v>
      </c>
      <c r="B6383" s="2" t="str">
        <f t="shared" si="530"/>
        <v>MONITOR</v>
      </c>
      <c r="C6383" s="2" t="str">
        <f>""</f>
        <v/>
      </c>
      <c r="D6383" s="2" t="str">
        <f t="shared" si="531"/>
        <v>MON</v>
      </c>
      <c r="E6383" s="2" t="str">
        <f>"RELATORIO DE QUANTITATVO POR MODULOS"</f>
        <v>RELATORIO DE QUANTITATVO POR MODULOS</v>
      </c>
      <c r="F6383" s="2" t="str">
        <f>"R_MODULO_ESTATISTICA"</f>
        <v>R_MODULO_ESTATISTICA</v>
      </c>
      <c r="G6383" s="2" t="str">
        <f t="shared" si="527"/>
        <v xml:space="preserve"> ()</v>
      </c>
    </row>
    <row r="6384" spans="1:7" x14ac:dyDescent="0.3">
      <c r="A6384" s="1" t="s">
        <v>4</v>
      </c>
      <c r="B6384" s="2" t="str">
        <f t="shared" si="530"/>
        <v>MONITOR</v>
      </c>
      <c r="C6384" s="2" t="str">
        <f>""</f>
        <v/>
      </c>
      <c r="D6384" s="2" t="str">
        <f t="shared" si="531"/>
        <v>MON</v>
      </c>
      <c r="E6384" s="2" t="str">
        <f>"RELATORIO DE QUANTITATIVO POR EQUIPE"</f>
        <v>RELATORIO DE QUANTITATIVO POR EQUIPE</v>
      </c>
      <c r="F6384" s="2" t="str">
        <f>"R_EQUIPE_ESTATISTICA"</f>
        <v>R_EQUIPE_ESTATISTICA</v>
      </c>
      <c r="G6384" s="2" t="str">
        <f t="shared" si="527"/>
        <v xml:space="preserve"> ()</v>
      </c>
    </row>
    <row r="6385" spans="1:7" x14ac:dyDescent="0.3">
      <c r="A6385" s="1" t="s">
        <v>4</v>
      </c>
      <c r="B6385" s="2" t="str">
        <f t="shared" si="530"/>
        <v>MONITOR</v>
      </c>
      <c r="C6385" s="2" t="str">
        <f>""</f>
        <v/>
      </c>
      <c r="D6385" s="2" t="str">
        <f t="shared" si="531"/>
        <v>MON</v>
      </c>
      <c r="E6385" s="2" t="str">
        <f>"REL ESTATISTICO POR MODULO (PERIODO)"</f>
        <v>REL ESTATISTICO POR MODULO (PERIODO)</v>
      </c>
      <c r="F6385" s="2" t="str">
        <f>"R_MOD_ESTATISTICA_PER"</f>
        <v>R_MOD_ESTATISTICA_PER</v>
      </c>
      <c r="G6385" s="2" t="str">
        <f t="shared" si="527"/>
        <v xml:space="preserve"> ()</v>
      </c>
    </row>
    <row r="6386" spans="1:7" x14ac:dyDescent="0.3">
      <c r="A6386" s="1" t="s">
        <v>4</v>
      </c>
      <c r="B6386" s="2" t="str">
        <f t="shared" si="530"/>
        <v>MONITOR</v>
      </c>
      <c r="C6386" s="2" t="str">
        <f>""</f>
        <v/>
      </c>
      <c r="D6386" s="2" t="str">
        <f t="shared" si="531"/>
        <v>MON</v>
      </c>
      <c r="E6386" s="2" t="str">
        <f>"REL ESTATIST POR EQUIPE EM HORAS (PER)"</f>
        <v>REL ESTATIST POR EQUIPE EM HORAS (PER)</v>
      </c>
      <c r="F6386" s="2" t="str">
        <f>"R_EQP_ESTATISTICA_PER_HORA"</f>
        <v>R_EQP_ESTATISTICA_PER_HORA</v>
      </c>
      <c r="G6386" s="2" t="str">
        <f t="shared" si="527"/>
        <v xml:space="preserve"> ()</v>
      </c>
    </row>
    <row r="6387" spans="1:7" x14ac:dyDescent="0.3">
      <c r="A6387" s="1" t="s">
        <v>4</v>
      </c>
      <c r="B6387" s="2" t="str">
        <f t="shared" si="530"/>
        <v>MONITOR</v>
      </c>
      <c r="C6387" s="2" t="str">
        <f>""</f>
        <v/>
      </c>
      <c r="D6387" s="2" t="str">
        <f t="shared" si="531"/>
        <v>MON</v>
      </c>
      <c r="E6387" s="2" t="str">
        <f>"REL ESTATISTICO POR EQUIPE (PERIODO)"</f>
        <v>REL ESTATISTICO POR EQUIPE (PERIODO)</v>
      </c>
      <c r="F6387" s="2" t="str">
        <f>"R_EQP_ESTATISTICA_PER"</f>
        <v>R_EQP_ESTATISTICA_PER</v>
      </c>
      <c r="G6387" s="2" t="str">
        <f t="shared" si="527"/>
        <v xml:space="preserve"> ()</v>
      </c>
    </row>
    <row r="6388" spans="1:7" x14ac:dyDescent="0.3">
      <c r="A6388" s="1" t="s">
        <v>4</v>
      </c>
      <c r="B6388" s="2" t="str">
        <f t="shared" si="530"/>
        <v>MONITOR</v>
      </c>
      <c r="C6388" s="2" t="str">
        <f>""</f>
        <v/>
      </c>
      <c r="D6388" s="2" t="str">
        <f t="shared" si="531"/>
        <v>MON</v>
      </c>
      <c r="E6388" s="2" t="str">
        <f>"REL ESTATIST POR MODULO EM HORA (PER)"</f>
        <v>REL ESTATIST POR MODULO EM HORA (PER)</v>
      </c>
      <c r="F6388" s="2" t="str">
        <f>"R_MOD_ESTATISTICA_PER_HORA"</f>
        <v>R_MOD_ESTATISTICA_PER_HORA</v>
      </c>
      <c r="G6388" s="2" t="str">
        <f t="shared" si="527"/>
        <v xml:space="preserve"> ()</v>
      </c>
    </row>
    <row r="6389" spans="1:7" x14ac:dyDescent="0.3">
      <c r="A6389" s="1" t="s">
        <v>4</v>
      </c>
      <c r="B6389" s="2" t="str">
        <f t="shared" si="530"/>
        <v>MONITOR</v>
      </c>
      <c r="C6389" s="2" t="str">
        <f>""</f>
        <v/>
      </c>
      <c r="D6389" s="2" t="str">
        <f t="shared" si="531"/>
        <v>MON</v>
      </c>
      <c r="E6389" s="2" t="str">
        <f>"R_PEDIDOS_SOLICIT"</f>
        <v>R_PEDIDOS_SOLICIT</v>
      </c>
      <c r="F6389" s="2" t="str">
        <f>"R_PEDIDOS_SOLICIT"</f>
        <v>R_PEDIDOS_SOLICIT</v>
      </c>
      <c r="G6389" s="2" t="str">
        <f t="shared" si="527"/>
        <v xml:space="preserve"> ()</v>
      </c>
    </row>
    <row r="6390" spans="1:7" x14ac:dyDescent="0.3">
      <c r="A6390" s="1" t="s">
        <v>4</v>
      </c>
      <c r="B6390" s="2" t="str">
        <f t="shared" si="530"/>
        <v>MONITOR</v>
      </c>
      <c r="C6390" s="2" t="str">
        <f>""</f>
        <v/>
      </c>
      <c r="D6390" s="2" t="str">
        <f t="shared" si="531"/>
        <v>MON</v>
      </c>
      <c r="E6390" s="2" t="str">
        <f>"ESTATÍSTICA DE CONEXÕES POR CLIENTE"</f>
        <v>ESTATÍSTICA DE CONEXÕES POR CLIENTE</v>
      </c>
      <c r="F6390" s="2" t="str">
        <f>"R_ESTA_CON_CLI"</f>
        <v>R_ESTA_CON_CLI</v>
      </c>
      <c r="G6390" s="2" t="str">
        <f t="shared" si="527"/>
        <v xml:space="preserve"> ()</v>
      </c>
    </row>
    <row r="6391" spans="1:7" x14ac:dyDescent="0.3">
      <c r="A6391" s="1" t="s">
        <v>4</v>
      </c>
      <c r="B6391" s="2" t="str">
        <f t="shared" si="530"/>
        <v>MONITOR</v>
      </c>
      <c r="C6391" s="2" t="str">
        <f>""</f>
        <v/>
      </c>
      <c r="D6391" s="2" t="str">
        <f t="shared" si="531"/>
        <v>MON</v>
      </c>
      <c r="E6391" s="2" t="str">
        <f>"RELATORIO DE MOTIVOS DE ERRO POR SISTEMA"</f>
        <v>RELATORIO DE MOTIVOS DE ERRO POR SISTEMA</v>
      </c>
      <c r="F6391" s="2" t="str">
        <f>"R_MOTIVOS_SISTEMA"</f>
        <v>R_MOTIVOS_SISTEMA</v>
      </c>
      <c r="G6391" s="2" t="str">
        <f t="shared" si="527"/>
        <v xml:space="preserve"> ()</v>
      </c>
    </row>
    <row r="6392" spans="1:7" x14ac:dyDescent="0.3">
      <c r="A6392" s="1" t="s">
        <v>4</v>
      </c>
      <c r="B6392" s="2" t="str">
        <f t="shared" si="530"/>
        <v>MONITOR</v>
      </c>
      <c r="C6392" s="2" t="str">
        <f>""</f>
        <v/>
      </c>
      <c r="D6392" s="2" t="str">
        <f t="shared" si="531"/>
        <v>MON</v>
      </c>
      <c r="E6392" s="2" t="str">
        <f>"R_VERSAO_CARACTER"</f>
        <v>R_VERSAO_CARACTER</v>
      </c>
      <c r="F6392" s="2" t="str">
        <f>"R_VERSAO_CARACTER"</f>
        <v>R_VERSAO_CARACTER</v>
      </c>
      <c r="G6392" s="2" t="str">
        <f t="shared" si="527"/>
        <v xml:space="preserve"> ()</v>
      </c>
    </row>
    <row r="6393" spans="1:7" x14ac:dyDescent="0.3">
      <c r="A6393" s="1" t="s">
        <v>4</v>
      </c>
      <c r="B6393" s="2" t="str">
        <f t="shared" si="530"/>
        <v>MONITOR</v>
      </c>
      <c r="C6393" s="2" t="str">
        <f>""</f>
        <v/>
      </c>
      <c r="D6393" s="2" t="str">
        <f t="shared" si="531"/>
        <v>MON</v>
      </c>
      <c r="E6393" s="2" t="str">
        <f>"R_QTD_SOLIC_ABERTAS"</f>
        <v>R_QTD_SOLIC_ABERTAS</v>
      </c>
      <c r="F6393" s="2" t="str">
        <f>"R_QTD_SOLIC_ABERTAS"</f>
        <v>R_QTD_SOLIC_ABERTAS</v>
      </c>
      <c r="G6393" s="2" t="str">
        <f t="shared" si="527"/>
        <v xml:space="preserve"> ()</v>
      </c>
    </row>
    <row r="6394" spans="1:7" x14ac:dyDescent="0.3">
      <c r="A6394" s="1" t="s">
        <v>4</v>
      </c>
      <c r="B6394" s="2" t="str">
        <f t="shared" si="530"/>
        <v>MONITOR</v>
      </c>
      <c r="C6394" s="2" t="str">
        <f>""</f>
        <v/>
      </c>
      <c r="D6394" s="2" t="str">
        <f t="shared" si="531"/>
        <v>MON</v>
      </c>
      <c r="E6394" s="2" t="str">
        <f>"CONSULTA DE SOLICITAÇÕES"</f>
        <v>CONSULTA DE SOLICITAÇÕES</v>
      </c>
      <c r="F6394" s="2" t="str">
        <f>"C_SOLICITACAO_PRIORI"</f>
        <v>C_SOLICITACAO_PRIORI</v>
      </c>
      <c r="G6394" s="2" t="str">
        <f t="shared" si="527"/>
        <v xml:space="preserve"> ()</v>
      </c>
    </row>
    <row r="6395" spans="1:7" x14ac:dyDescent="0.3">
      <c r="A6395" s="1" t="s">
        <v>4</v>
      </c>
      <c r="B6395" s="2" t="str">
        <f t="shared" si="530"/>
        <v>MONITOR</v>
      </c>
      <c r="C6395" s="2" t="str">
        <f>""</f>
        <v/>
      </c>
      <c r="D6395" s="2" t="str">
        <f t="shared" si="531"/>
        <v>MON</v>
      </c>
      <c r="E6395" s="2" t="str">
        <f>"CONSULTAS DE AGENDAMENTO"</f>
        <v>CONSULTAS DE AGENDAMENTO</v>
      </c>
      <c r="F6395" s="2" t="str">
        <f>"M_SOLICITACAO_GRAF"</f>
        <v>M_SOLICITACAO_GRAF</v>
      </c>
      <c r="G6395" s="2" t="str">
        <f t="shared" si="527"/>
        <v xml:space="preserve"> ()</v>
      </c>
    </row>
    <row r="6396" spans="1:7" x14ac:dyDescent="0.3">
      <c r="A6396" s="1" t="s">
        <v>4</v>
      </c>
      <c r="B6396" s="2" t="str">
        <f t="shared" si="530"/>
        <v>MONITOR</v>
      </c>
      <c r="C6396" s="2" t="str">
        <f>""</f>
        <v/>
      </c>
      <c r="D6396" s="2" t="str">
        <f t="shared" si="531"/>
        <v>MON</v>
      </c>
      <c r="E6396" s="2" t="str">
        <f>"CADASTRO DOS MOTIVOS DE DESCONTO"</f>
        <v>CADASTRO DOS MOTIVOS DE DESCONTO</v>
      </c>
      <c r="F6396" s="2" t="str">
        <f>"M_MOT_DESCONTO"</f>
        <v>M_MOT_DESCONTO</v>
      </c>
      <c r="G6396" s="2" t="str">
        <f t="shared" si="527"/>
        <v xml:space="preserve"> ()</v>
      </c>
    </row>
    <row r="6397" spans="1:7" x14ac:dyDescent="0.3">
      <c r="A6397" s="1" t="s">
        <v>4</v>
      </c>
      <c r="B6397" s="2" t="str">
        <f t="shared" si="530"/>
        <v>MONITOR</v>
      </c>
      <c r="C6397" s="2" t="str">
        <f>""</f>
        <v/>
      </c>
      <c r="D6397" s="2" t="str">
        <f t="shared" si="531"/>
        <v>MON</v>
      </c>
      <c r="E6397" s="2" t="str">
        <f>"RELATÓRIO DE AGENDAMENTO DETALHADO"</f>
        <v>RELATÓRIO DE AGENDAMENTO DETALHADO</v>
      </c>
      <c r="F6397" s="2" t="str">
        <f>"R_MODELO_AGENDA_DET"</f>
        <v>R_MODELO_AGENDA_DET</v>
      </c>
      <c r="G6397" s="2" t="str">
        <f t="shared" si="527"/>
        <v xml:space="preserve"> ()</v>
      </c>
    </row>
    <row r="6398" spans="1:7" x14ac:dyDescent="0.3">
      <c r="A6398" s="1" t="s">
        <v>4</v>
      </c>
      <c r="B6398" s="2" t="str">
        <f t="shared" si="530"/>
        <v>MONITOR</v>
      </c>
      <c r="C6398" s="2" t="str">
        <f>""</f>
        <v/>
      </c>
      <c r="D6398" s="2" t="str">
        <f t="shared" si="531"/>
        <v>MON</v>
      </c>
      <c r="E6398" s="2" t="str">
        <f>"RELAT DE AGENDAM POR FUNC SEMANAL"</f>
        <v>RELAT DE AGENDAM POR FUNC SEMANAL</v>
      </c>
      <c r="F6398" s="2" t="str">
        <f>"R_MODELO_AGENDA_GRAF"</f>
        <v>R_MODELO_AGENDA_GRAF</v>
      </c>
      <c r="G6398" s="2" t="str">
        <f t="shared" ref="G6398:G6399" si="532">" ()"</f>
        <v xml:space="preserve"> ()</v>
      </c>
    </row>
    <row r="6399" spans="1:7" x14ac:dyDescent="0.3">
      <c r="A6399" s="1" t="s">
        <v>4</v>
      </c>
      <c r="B6399" s="2" t="str">
        <f t="shared" si="530"/>
        <v>MONITOR</v>
      </c>
      <c r="C6399" s="2" t="str">
        <f>""</f>
        <v/>
      </c>
      <c r="D6399" s="2" t="str">
        <f t="shared" si="531"/>
        <v>MON</v>
      </c>
      <c r="E6399" s="2" t="str">
        <f>"RELATÓRIO DE AGENDAMENTO POR FUNCIONÁRIO"</f>
        <v>RELATÓRIO DE AGENDAMENTO POR FUNCIONÁRIO</v>
      </c>
      <c r="F6399" s="2" t="str">
        <f>"R_MODELO_AGENDA"</f>
        <v>R_MODELO_AGENDA</v>
      </c>
      <c r="G6399" s="2" t="str">
        <f t="shared" si="532"/>
        <v xml:space="preserve"> ()</v>
      </c>
    </row>
    <row r="6400" spans="1:7" x14ac:dyDescent="0.3">
      <c r="A6400" s="1" t="s">
        <v>4</v>
      </c>
      <c r="B6400" s="2" t="str">
        <f t="shared" si="530"/>
        <v>MONITOR</v>
      </c>
      <c r="C6400" s="2" t="str">
        <f>""</f>
        <v/>
      </c>
      <c r="D6400" s="2" t="str">
        <f t="shared" si="531"/>
        <v>MON</v>
      </c>
      <c r="E6400" s="2" t="s">
        <v>37</v>
      </c>
      <c r="F6400" s="2" t="s">
        <v>38</v>
      </c>
      <c r="G6400" s="2" t="str">
        <f>"R_QTD_SOLIC_ABERTAS4"</f>
        <v>R_QTD_SOLIC_ABERTAS4</v>
      </c>
    </row>
    <row r="6401" spans="1:7" x14ac:dyDescent="0.3">
      <c r="A6401" s="1" t="s">
        <v>4</v>
      </c>
      <c r="B6401" s="2" t="str">
        <f t="shared" si="530"/>
        <v>MONITOR</v>
      </c>
      <c r="C6401" s="2" t="str">
        <f>""</f>
        <v/>
      </c>
      <c r="D6401" s="2" t="str">
        <f t="shared" si="531"/>
        <v>MON</v>
      </c>
      <c r="E6401" s="2" t="s">
        <v>37</v>
      </c>
      <c r="F6401" s="2" t="s">
        <v>38</v>
      </c>
      <c r="G6401" s="2" t="str">
        <f>"R_QTD_SOLIC_ABERTAS3"</f>
        <v>R_QTD_SOLIC_ABERTAS3</v>
      </c>
    </row>
    <row r="6402" spans="1:7" x14ac:dyDescent="0.3">
      <c r="A6402" s="1" t="s">
        <v>4</v>
      </c>
      <c r="B6402" s="2" t="str">
        <f t="shared" si="530"/>
        <v>MONITOR</v>
      </c>
      <c r="C6402" s="2" t="str">
        <f>""</f>
        <v/>
      </c>
      <c r="D6402" s="2" t="str">
        <f t="shared" si="531"/>
        <v>MON</v>
      </c>
      <c r="E6402" s="2" t="s">
        <v>37</v>
      </c>
      <c r="F6402" s="2" t="s">
        <v>38</v>
      </c>
      <c r="G6402" s="2" t="str">
        <f>"R_QTD_SOLIC_ABERTAS2"</f>
        <v>R_QTD_SOLIC_ABERTAS2</v>
      </c>
    </row>
    <row r="6403" spans="1:7" x14ac:dyDescent="0.3">
      <c r="A6403" s="1" t="s">
        <v>4</v>
      </c>
      <c r="B6403" s="2" t="str">
        <f t="shared" si="530"/>
        <v>MONITOR</v>
      </c>
      <c r="C6403" s="2" t="str">
        <f>""</f>
        <v/>
      </c>
      <c r="D6403" s="2" t="str">
        <f t="shared" si="531"/>
        <v>MON</v>
      </c>
      <c r="E6403" s="2" t="str">
        <f>"RELATÓRIO DE CAPA DE DOCUMENTAÇÃO"</f>
        <v>RELATÓRIO DE CAPA DE DOCUMENTAÇÃO</v>
      </c>
      <c r="F6403" s="2" t="str">
        <f>"R_PDA_DETALHE"</f>
        <v>R_PDA_DETALHE</v>
      </c>
      <c r="G6403" s="2" t="str">
        <f t="shared" ref="G6403:G6422" si="533">" ()"</f>
        <v xml:space="preserve"> ()</v>
      </c>
    </row>
    <row r="6404" spans="1:7" x14ac:dyDescent="0.3">
      <c r="A6404" s="1" t="s">
        <v>4</v>
      </c>
      <c r="B6404" s="2" t="str">
        <f t="shared" si="530"/>
        <v>MONITOR</v>
      </c>
      <c r="C6404" s="2" t="str">
        <f>""</f>
        <v/>
      </c>
      <c r="D6404" s="2" t="str">
        <f t="shared" si="531"/>
        <v>MON</v>
      </c>
      <c r="E6404" s="2" t="str">
        <f>"CADASTRO DE USUÁRIO DO MONITOR"</f>
        <v>CADASTRO DE USUÁRIO DO MONITOR</v>
      </c>
      <c r="F6404" s="2" t="str">
        <f>"M_USUARIOS_MON"</f>
        <v>M_USUARIOS_MON</v>
      </c>
      <c r="G6404" s="2" t="str">
        <f t="shared" si="533"/>
        <v xml:space="preserve"> ()</v>
      </c>
    </row>
    <row r="6405" spans="1:7" x14ac:dyDescent="0.3">
      <c r="A6405" s="1" t="s">
        <v>4</v>
      </c>
      <c r="B6405" s="2" t="str">
        <f t="shared" si="530"/>
        <v>MONITOR</v>
      </c>
      <c r="C6405" s="2" t="str">
        <f>""</f>
        <v/>
      </c>
      <c r="D6405" s="2" t="str">
        <f t="shared" si="531"/>
        <v>MON</v>
      </c>
      <c r="E6405" s="2" t="str">
        <f>"CADASTRO DE CARGOS"</f>
        <v>CADASTRO DE CARGOS</v>
      </c>
      <c r="F6405" s="2" t="str">
        <f>"M_CARGO_MON"</f>
        <v>M_CARGO_MON</v>
      </c>
      <c r="G6405" s="2" t="str">
        <f t="shared" si="533"/>
        <v xml:space="preserve"> ()</v>
      </c>
    </row>
    <row r="6406" spans="1:7" x14ac:dyDescent="0.3">
      <c r="A6406" s="1" t="s">
        <v>4</v>
      </c>
      <c r="B6406" s="2" t="str">
        <f t="shared" si="530"/>
        <v>MONITOR</v>
      </c>
      <c r="C6406" s="2" t="str">
        <f>""</f>
        <v/>
      </c>
      <c r="D6406" s="2" t="str">
        <f t="shared" si="531"/>
        <v>MON</v>
      </c>
      <c r="E6406" s="2" t="str">
        <f>"ORÇAMENTO DE PDA´S - MÓDULO"</f>
        <v>ORÇAMENTO DE PDA´S - MÓDULO</v>
      </c>
      <c r="F6406" s="2" t="str">
        <f>"R_ORCAMENTO_PDA_MODULO"</f>
        <v>R_ORCAMENTO_PDA_MODULO</v>
      </c>
      <c r="G6406" s="2" t="str">
        <f t="shared" si="533"/>
        <v xml:space="preserve"> ()</v>
      </c>
    </row>
    <row r="6407" spans="1:7" x14ac:dyDescent="0.3">
      <c r="A6407" s="1" t="s">
        <v>4</v>
      </c>
      <c r="B6407" s="2" t="str">
        <f t="shared" si="530"/>
        <v>MONITOR</v>
      </c>
      <c r="C6407" s="2" t="str">
        <f>""</f>
        <v/>
      </c>
      <c r="D6407" s="2" t="str">
        <f t="shared" si="531"/>
        <v>MON</v>
      </c>
      <c r="E6407" s="2" t="str">
        <f>"CONSULTA DE PDA POR MÓDULOS"</f>
        <v>CONSULTA DE PDA POR MÓDULOS</v>
      </c>
      <c r="F6407" s="2" t="str">
        <f>"C_CONSULTA_PDA_MOD"</f>
        <v>C_CONSULTA_PDA_MOD</v>
      </c>
      <c r="G6407" s="2" t="str">
        <f t="shared" si="533"/>
        <v xml:space="preserve"> ()</v>
      </c>
    </row>
    <row r="6408" spans="1:7" x14ac:dyDescent="0.3">
      <c r="A6408" s="1" t="s">
        <v>4</v>
      </c>
      <c r="B6408" s="2" t="str">
        <f t="shared" si="530"/>
        <v>MONITOR</v>
      </c>
      <c r="C6408" s="2" t="str">
        <f>""</f>
        <v/>
      </c>
      <c r="D6408" s="2" t="str">
        <f t="shared" si="531"/>
        <v>MON</v>
      </c>
      <c r="E6408" s="2" t="str">
        <f>"CONSULTA VERSÃO DO CLIENTE"</f>
        <v>CONSULTA VERSÃO DO CLIENTE</v>
      </c>
      <c r="F6408" s="2" t="str">
        <f>"C_CLIENTE_VER"</f>
        <v>C_CLIENTE_VER</v>
      </c>
      <c r="G6408" s="2" t="str">
        <f t="shared" si="533"/>
        <v xml:space="preserve"> ()</v>
      </c>
    </row>
    <row r="6409" spans="1:7" x14ac:dyDescent="0.3">
      <c r="A6409" s="1" t="s">
        <v>4</v>
      </c>
      <c r="B6409" s="2" t="str">
        <f t="shared" si="530"/>
        <v>MONITOR</v>
      </c>
      <c r="C6409" s="2" t="str">
        <f>""</f>
        <v/>
      </c>
      <c r="D6409" s="2" t="str">
        <f t="shared" si="531"/>
        <v>MON</v>
      </c>
      <c r="E6409" s="2" t="str">
        <f>"RELAÇÃO DE CLIENTES POR VERSÃO"</f>
        <v>RELAÇÃO DE CLIENTES POR VERSÃO</v>
      </c>
      <c r="F6409" s="2" t="str">
        <f>"R_CLIENTE_VERSAO"</f>
        <v>R_CLIENTE_VERSAO</v>
      </c>
      <c r="G6409" s="2" t="str">
        <f t="shared" si="533"/>
        <v xml:space="preserve"> ()</v>
      </c>
    </row>
    <row r="6410" spans="1:7" x14ac:dyDescent="0.3">
      <c r="A6410" s="1" t="s">
        <v>4</v>
      </c>
      <c r="B6410" s="2" t="str">
        <f t="shared" si="530"/>
        <v>MONITOR</v>
      </c>
      <c r="C6410" s="2" t="str">
        <f>""</f>
        <v/>
      </c>
      <c r="D6410" s="2" t="str">
        <f t="shared" si="531"/>
        <v>MON</v>
      </c>
      <c r="E6410" s="2" t="str">
        <f>"R_HORAS_TP_SOL"</f>
        <v>R_HORAS_TP_SOL</v>
      </c>
      <c r="F6410" s="2" t="str">
        <f>"R_HORAS_TP_SOL"</f>
        <v>R_HORAS_TP_SOL</v>
      </c>
      <c r="G6410" s="2" t="str">
        <f t="shared" si="533"/>
        <v xml:space="preserve"> ()</v>
      </c>
    </row>
    <row r="6411" spans="1:7" x14ac:dyDescent="0.3">
      <c r="A6411" s="1" t="s">
        <v>4</v>
      </c>
      <c r="B6411" s="2" t="str">
        <f t="shared" si="530"/>
        <v>MONITOR</v>
      </c>
      <c r="C6411" s="2" t="str">
        <f>""</f>
        <v/>
      </c>
      <c r="D6411" s="2" t="str">
        <f t="shared" si="531"/>
        <v>MON</v>
      </c>
      <c r="E6411" s="2" t="str">
        <f>"R_SOL_ABERTA3"</f>
        <v>R_SOL_ABERTA3</v>
      </c>
      <c r="F6411" s="2" t="str">
        <f>"R_SOL_ABERTA3"</f>
        <v>R_SOL_ABERTA3</v>
      </c>
      <c r="G6411" s="2" t="str">
        <f t="shared" si="533"/>
        <v xml:space="preserve"> ()</v>
      </c>
    </row>
    <row r="6412" spans="1:7" x14ac:dyDescent="0.3">
      <c r="A6412" s="1" t="s">
        <v>4</v>
      </c>
      <c r="B6412" s="2" t="str">
        <f t="shared" si="530"/>
        <v>MONITOR</v>
      </c>
      <c r="C6412" s="2" t="str">
        <f>""</f>
        <v/>
      </c>
      <c r="D6412" s="2" t="str">
        <f t="shared" si="531"/>
        <v>MON</v>
      </c>
      <c r="E6412" s="2" t="str">
        <f>"RELATÓRIO DE AGENDAMENTO DETALHADO"</f>
        <v>RELATÓRIO DE AGENDAMENTO DETALHADO</v>
      </c>
      <c r="F6412" s="2" t="str">
        <f>"R_MODELO_AGENDA_DET2"</f>
        <v>R_MODELO_AGENDA_DET2</v>
      </c>
      <c r="G6412" s="2" t="str">
        <f t="shared" si="533"/>
        <v xml:space="preserve"> ()</v>
      </c>
    </row>
    <row r="6413" spans="1:7" x14ac:dyDescent="0.3">
      <c r="A6413" s="1" t="s">
        <v>4</v>
      </c>
      <c r="B6413" s="2" t="str">
        <f t="shared" si="530"/>
        <v>MONITOR</v>
      </c>
      <c r="C6413" s="2" t="str">
        <f>""</f>
        <v/>
      </c>
      <c r="D6413" s="2" t="str">
        <f t="shared" si="531"/>
        <v>MON</v>
      </c>
      <c r="E6413" s="2" t="str">
        <f>"MUDANCA DE SENHA DO MONITOR"</f>
        <v>MUDANCA DE SENHA DO MONITOR</v>
      </c>
      <c r="F6413" s="2" t="str">
        <f>"MUDAPASS_MON"</f>
        <v>MUDAPASS_MON</v>
      </c>
      <c r="G6413" s="2" t="str">
        <f t="shared" si="533"/>
        <v xml:space="preserve"> ()</v>
      </c>
    </row>
    <row r="6414" spans="1:7" x14ac:dyDescent="0.3">
      <c r="A6414" s="1" t="s">
        <v>4</v>
      </c>
      <c r="B6414" s="2" t="str">
        <f t="shared" si="530"/>
        <v>MONITOR</v>
      </c>
      <c r="C6414" s="2" t="str">
        <f>""</f>
        <v/>
      </c>
      <c r="D6414" s="2" t="str">
        <f t="shared" si="531"/>
        <v>MON</v>
      </c>
      <c r="E6414" s="2" t="str">
        <f>"MODELO_AGENDA"</f>
        <v>MODELO_AGENDA</v>
      </c>
      <c r="F6414" s="2" t="str">
        <f>"MODELO_AGENDA"</f>
        <v>MODELO_AGENDA</v>
      </c>
      <c r="G6414" s="2" t="str">
        <f t="shared" si="533"/>
        <v xml:space="preserve"> ()</v>
      </c>
    </row>
    <row r="6415" spans="1:7" x14ac:dyDescent="0.3">
      <c r="A6415" s="1" t="s">
        <v>4</v>
      </c>
      <c r="B6415" s="2" t="str">
        <f t="shared" si="530"/>
        <v>MONITOR</v>
      </c>
      <c r="C6415" s="2" t="str">
        <f>""</f>
        <v/>
      </c>
      <c r="D6415" s="2" t="str">
        <f t="shared" si="531"/>
        <v>MON</v>
      </c>
      <c r="E6415" s="2" t="str">
        <f>"CONSULTA POR SISTEMA DE SOLICITAÇÕES"</f>
        <v>CONSULTA POR SISTEMA DE SOLICITAÇÕES</v>
      </c>
      <c r="F6415" s="2" t="str">
        <f>"M_CONSULTA_SISTEMA"</f>
        <v>M_CONSULTA_SISTEMA</v>
      </c>
      <c r="G6415" s="2" t="str">
        <f t="shared" si="533"/>
        <v xml:space="preserve"> ()</v>
      </c>
    </row>
    <row r="6416" spans="1:7" x14ac:dyDescent="0.3">
      <c r="A6416" s="1" t="s">
        <v>4</v>
      </c>
      <c r="B6416" s="2" t="str">
        <f t="shared" si="530"/>
        <v>MONITOR</v>
      </c>
      <c r="C6416" s="2" t="str">
        <f>""</f>
        <v/>
      </c>
      <c r="D6416" s="2" t="str">
        <f t="shared" si="531"/>
        <v>MON</v>
      </c>
      <c r="E6416" s="2" t="str">
        <f>"CADASTRO DE ATENDIMENTOS DO SUPORTE"</f>
        <v>CADASTRO DE ATENDIMENTOS DO SUPORTE</v>
      </c>
      <c r="F6416" s="2" t="str">
        <f>"M_SUPORTE"</f>
        <v>M_SUPORTE</v>
      </c>
      <c r="G6416" s="2" t="str">
        <f t="shared" si="533"/>
        <v xml:space="preserve"> ()</v>
      </c>
    </row>
    <row r="6417" spans="1:7" x14ac:dyDescent="0.3">
      <c r="A6417" s="1" t="s">
        <v>4</v>
      </c>
      <c r="B6417" s="2" t="str">
        <f t="shared" si="530"/>
        <v>MONITOR</v>
      </c>
      <c r="C6417" s="2" t="str">
        <f>""</f>
        <v/>
      </c>
      <c r="D6417" s="2" t="str">
        <f t="shared" si="531"/>
        <v>MON</v>
      </c>
      <c r="E6417" s="2" t="str">
        <f>"REL. SOLICITACAO DE SISTEMAS2"</f>
        <v>REL. SOLICITACAO DE SISTEMAS2</v>
      </c>
      <c r="F6417" s="2" t="str">
        <f>"R_SOL_SISTEMAS2"</f>
        <v>R_SOL_SISTEMAS2</v>
      </c>
      <c r="G6417" s="2" t="str">
        <f t="shared" si="533"/>
        <v xml:space="preserve"> ()</v>
      </c>
    </row>
    <row r="6418" spans="1:7" x14ac:dyDescent="0.3">
      <c r="A6418" s="1" t="s">
        <v>4</v>
      </c>
      <c r="B6418" s="2" t="str">
        <f t="shared" si="530"/>
        <v>MONITOR</v>
      </c>
      <c r="C6418" s="2" t="str">
        <f>""</f>
        <v/>
      </c>
      <c r="D6418" s="2" t="str">
        <f t="shared" si="531"/>
        <v>MON</v>
      </c>
      <c r="E6418" s="2" t="str">
        <f>"CHAMADA DO MONITOR"</f>
        <v>CHAMADA DO MONITOR</v>
      </c>
      <c r="F6418" s="2" t="str">
        <f>"MONITOR"</f>
        <v>MONITOR</v>
      </c>
      <c r="G6418" s="2" t="str">
        <f t="shared" si="533"/>
        <v xml:space="preserve"> ()</v>
      </c>
    </row>
    <row r="6419" spans="1:7" x14ac:dyDescent="0.3">
      <c r="A6419" s="1" t="s">
        <v>4</v>
      </c>
      <c r="B6419" s="2" t="str">
        <f t="shared" si="530"/>
        <v>MONITOR</v>
      </c>
      <c r="C6419" s="2" t="str">
        <f>""</f>
        <v/>
      </c>
      <c r="D6419" s="2" t="str">
        <f t="shared" si="531"/>
        <v>MON</v>
      </c>
      <c r="E6419" s="2" t="str">
        <f>"R_HORAS_CLI_TP_SOL"</f>
        <v>R_HORAS_CLI_TP_SOL</v>
      </c>
      <c r="F6419" s="2" t="str">
        <f>"R_HORAS_CLI_TP_SOL"</f>
        <v>R_HORAS_CLI_TP_SOL</v>
      </c>
      <c r="G6419" s="2" t="str">
        <f t="shared" si="533"/>
        <v xml:space="preserve"> ()</v>
      </c>
    </row>
    <row r="6420" spans="1:7" x14ac:dyDescent="0.3">
      <c r="A6420" s="1" t="s">
        <v>4</v>
      </c>
      <c r="B6420" s="2" t="str">
        <f t="shared" si="530"/>
        <v>MONITOR</v>
      </c>
      <c r="C6420" s="2" t="str">
        <f>""</f>
        <v/>
      </c>
      <c r="D6420" s="2" t="str">
        <f t="shared" si="531"/>
        <v>MON</v>
      </c>
      <c r="E6420" s="2" t="str">
        <f>"R_HORAS_EQP_TP_SOL"</f>
        <v>R_HORAS_EQP_TP_SOL</v>
      </c>
      <c r="F6420" s="2" t="str">
        <f>"R_HORAS_EQP_TP_SOL"</f>
        <v>R_HORAS_EQP_TP_SOL</v>
      </c>
      <c r="G6420" s="2" t="str">
        <f t="shared" si="533"/>
        <v xml:space="preserve"> ()</v>
      </c>
    </row>
    <row r="6421" spans="1:7" x14ac:dyDescent="0.3">
      <c r="A6421" s="1" t="s">
        <v>4</v>
      </c>
      <c r="B6421" s="2" t="str">
        <f t="shared" si="530"/>
        <v>MONITOR</v>
      </c>
      <c r="C6421" s="2" t="str">
        <f>""</f>
        <v/>
      </c>
      <c r="D6421" s="2" t="str">
        <f t="shared" si="531"/>
        <v>MON</v>
      </c>
      <c r="E6421" s="2" t="str">
        <f>"CONSULTA DE ESTATISTICA DE CONEXOES"</f>
        <v>CONSULTA DE ESTATISTICA DE CONEXOES</v>
      </c>
      <c r="F6421" s="2" t="str">
        <f>"C_ESTAT_CON"</f>
        <v>C_ESTAT_CON</v>
      </c>
      <c r="G6421" s="2" t="str">
        <f t="shared" si="533"/>
        <v xml:space="preserve"> ()</v>
      </c>
    </row>
    <row r="6422" spans="1:7" x14ac:dyDescent="0.3">
      <c r="A6422" s="1" t="s">
        <v>4</v>
      </c>
      <c r="B6422" s="2" t="str">
        <f t="shared" ref="B6422:B6477" si="534">"CONTROLE DE DOCUMENTO"</f>
        <v>CONTROLE DE DOCUMENTO</v>
      </c>
      <c r="C6422" s="2" t="str">
        <f t="shared" ref="C6422:C6477" si="535">"FATUR-CONV"</f>
        <v>FATUR-CONV</v>
      </c>
      <c r="D6422" s="2" t="str">
        <f t="shared" ref="D6422:D6477" si="536">"MOVDOC"</f>
        <v>MOVDOC</v>
      </c>
      <c r="E6422" s="2" t="str">
        <f>"RELTÓRIO DE DOCUMENTOS DE PROTOCOLO"</f>
        <v>RELTÓRIO DE DOCUMENTOS DE PROTOCOLO</v>
      </c>
      <c r="F6422" s="2" t="str">
        <f>"R_DOCUMENTO_PROT.RDF"</f>
        <v>R_DOCUMENTO_PROT.RDF</v>
      </c>
      <c r="G6422" s="2" t="str">
        <f t="shared" si="533"/>
        <v xml:space="preserve"> ()</v>
      </c>
    </row>
    <row r="6423" spans="1:7" x14ac:dyDescent="0.3">
      <c r="A6423" s="1" t="s">
        <v>4</v>
      </c>
      <c r="B6423" s="2" t="str">
        <f t="shared" si="534"/>
        <v>CONTROLE DE DOCUMENTO</v>
      </c>
      <c r="C6423" s="2" t="str">
        <f t="shared" si="535"/>
        <v>FATUR-CONV</v>
      </c>
      <c r="D6423" s="2" t="str">
        <f t="shared" si="536"/>
        <v>MOVDOC</v>
      </c>
      <c r="E6423" s="2" t="str">
        <f>"MOTIVO DE ENVIO"</f>
        <v>MOTIVO DE ENVIO</v>
      </c>
      <c r="F6423" s="2" t="str">
        <f>"M_MOTIVO_ENVIO"</f>
        <v>M_MOTIVO_ENVIO</v>
      </c>
      <c r="G6423" s="2" t="str">
        <f>"Serviços de Apoio / Movimentação de Documentos / Tabelas / Motivos de Envio (M_MOTIVO_ENVIO)"</f>
        <v>Serviços de Apoio / Movimentação de Documentos / Tabelas / Motivos de Envio (M_MOTIVO_ENVIO)</v>
      </c>
    </row>
    <row r="6424" spans="1:7" x14ac:dyDescent="0.3">
      <c r="A6424" s="1" t="s">
        <v>4</v>
      </c>
      <c r="B6424" s="2" t="str">
        <f t="shared" si="534"/>
        <v>CONTROLE DE DOCUMENTO</v>
      </c>
      <c r="C6424" s="2" t="str">
        <f t="shared" si="535"/>
        <v>FATUR-CONV</v>
      </c>
      <c r="D6424" s="2" t="str">
        <f t="shared" si="536"/>
        <v>MOVDOC</v>
      </c>
      <c r="E6424" s="2" t="str">
        <f>"USUARIOS POR SETOR"</f>
        <v>USUARIOS POR SETOR</v>
      </c>
      <c r="F6424" s="2" t="str">
        <f>"M_USUARIO_SETOR_MOVDOC"</f>
        <v>M_USUARIO_SETOR_MOVDOC</v>
      </c>
      <c r="G6424" s="2" t="str">
        <f>"Serviços de Apoio / Movimentação de Documentos / Configurações / Usuario por setor (M_USUARIO_SETOR_MOVDOC)"</f>
        <v>Serviços de Apoio / Movimentação de Documentos / Configurações / Usuario por setor (M_USUARIO_SETOR_MOVDOC)</v>
      </c>
    </row>
    <row r="6425" spans="1:7" x14ac:dyDescent="0.3">
      <c r="A6425" s="1" t="s">
        <v>4</v>
      </c>
      <c r="B6425" s="2" t="str">
        <f t="shared" si="534"/>
        <v>CONTROLE DE DOCUMENTO</v>
      </c>
      <c r="C6425" s="2" t="str">
        <f t="shared" si="535"/>
        <v>FATUR-CONV</v>
      </c>
      <c r="D6425" s="2" t="str">
        <f t="shared" si="536"/>
        <v>MOVDOC</v>
      </c>
      <c r="E6425" s="2" t="str">
        <f>"PROTOCOLAÇÃO DE ENVIO DE DOCUMENTOS"</f>
        <v>PROTOCOLAÇÃO DE ENVIO DE DOCUMENTOS</v>
      </c>
      <c r="F6425" s="2" t="str">
        <f>"M_ABRE_PASTAPARC"</f>
        <v>M_ABRE_PASTAPARC</v>
      </c>
      <c r="G6425" s="2" t="str">
        <f>"MVSaude / Vendas / Internação / Solicitações / Pasta Parcial do Paciente / Abertura de Pastas Parciais (M_ABRE_PASTAPARC)"</f>
        <v>MVSaude / Vendas / Internação / Solicitações / Pasta Parcial do Paciente / Abertura de Pastas Parciais (M_ABRE_PASTAPARC)</v>
      </c>
    </row>
    <row r="6426" spans="1:7" x14ac:dyDescent="0.3">
      <c r="A6426" s="1" t="s">
        <v>4</v>
      </c>
      <c r="B6426" s="2" t="str">
        <f t="shared" si="534"/>
        <v>CONTROLE DE DOCUMENTO</v>
      </c>
      <c r="C6426" s="2" t="str">
        <f t="shared" si="535"/>
        <v>FATUR-CONV</v>
      </c>
      <c r="D6426" s="2" t="str">
        <f t="shared" si="536"/>
        <v>MOVDOC</v>
      </c>
      <c r="E6426" s="2" t="str">
        <f>"PROTOCOLAÇÃO DE ENVIO DE DOCUMENTOS"</f>
        <v>PROTOCOLAÇÃO DE ENVIO DE DOCUMENTOS</v>
      </c>
      <c r="F6426" s="2" t="str">
        <f>"M_ABRE_PASTAPARC"</f>
        <v>M_ABRE_PASTAPARC</v>
      </c>
      <c r="G6426" s="2" t="str">
        <f>"MVSaude / Atendimento / Autorizações de Guias / Internação / Solicitações / Pasta Parcial do Paciente / Abertura de Pastas Parciais (M_ABRE_PASTAPARC)"</f>
        <v>MVSaude / Atendimento / Autorizações de Guias / Internação / Solicitações / Pasta Parcial do Paciente / Abertura de Pastas Parciais (M_ABRE_PASTAPARC)</v>
      </c>
    </row>
    <row r="6427" spans="1:7" x14ac:dyDescent="0.3">
      <c r="A6427" s="1" t="s">
        <v>4</v>
      </c>
      <c r="B6427" s="2" t="str">
        <f t="shared" si="534"/>
        <v>CONTROLE DE DOCUMENTO</v>
      </c>
      <c r="C6427" s="2" t="str">
        <f t="shared" si="535"/>
        <v>FATUR-CONV</v>
      </c>
      <c r="D6427" s="2" t="str">
        <f t="shared" si="536"/>
        <v>MOVDOC</v>
      </c>
      <c r="E6427" s="2" t="str">
        <f>"PROTOCOLAÇÃO DE ENVIO DE DOCUMENTOS"</f>
        <v>PROTOCOLAÇÃO DE ENVIO DE DOCUMENTOS</v>
      </c>
      <c r="F6427" s="2" t="str">
        <f>"M_ABRE_PASTAPARC"</f>
        <v>M_ABRE_PASTAPARC</v>
      </c>
      <c r="G6427" s="2" t="str">
        <f>"Serviços de Apoio / Movimentação de Documentos / Solicitações / Pasta Parcial / Abertura de Pasta Parcial (M_ABRE_PASTAPARC)"</f>
        <v>Serviços de Apoio / Movimentação de Documentos / Solicitações / Pasta Parcial / Abertura de Pasta Parcial (M_ABRE_PASTAPARC)</v>
      </c>
    </row>
    <row r="6428" spans="1:7" x14ac:dyDescent="0.3">
      <c r="A6428" s="1" t="s">
        <v>4</v>
      </c>
      <c r="B6428" s="2" t="str">
        <f t="shared" si="534"/>
        <v>CONTROLE DE DOCUMENTO</v>
      </c>
      <c r="C6428" s="2" t="str">
        <f t="shared" si="535"/>
        <v>FATUR-CONV</v>
      </c>
      <c r="D6428" s="2" t="str">
        <f t="shared" si="536"/>
        <v>MOVDOC</v>
      </c>
      <c r="E6428" s="2" t="str">
        <f>"PERSONALIZADOS MOVDOC"</f>
        <v>PERSONALIZADOS MOVDOC</v>
      </c>
      <c r="F6428" s="2" t="str">
        <f>"R_PERSON_MOVDOC"</f>
        <v>R_PERSON_MOVDOC</v>
      </c>
      <c r="G6428" s="2" t="str">
        <f>"Serviços de Apoio / Movimentação de Documentos / Relatórios / Personalizados (R_PERSON_MOVDOC)"</f>
        <v>Serviços de Apoio / Movimentação de Documentos / Relatórios / Personalizados (R_PERSON_MOVDOC)</v>
      </c>
    </row>
    <row r="6429" spans="1:7" x14ac:dyDescent="0.3">
      <c r="A6429" s="1" t="s">
        <v>4</v>
      </c>
      <c r="B6429" s="2" t="str">
        <f t="shared" si="534"/>
        <v>CONTROLE DE DOCUMENTO</v>
      </c>
      <c r="C6429" s="2" t="str">
        <f t="shared" si="535"/>
        <v>FATUR-CONV</v>
      </c>
      <c r="D6429" s="2" t="str">
        <f t="shared" si="536"/>
        <v>MOVDOC</v>
      </c>
      <c r="E6429" s="2" t="str">
        <f>"R_IMPRIMI_ETIQ_MOVDOC"</f>
        <v>R_IMPRIMI_ETIQ_MOVDOC</v>
      </c>
      <c r="F6429" s="2" t="str">
        <f>"R_IMPRIMI_ETIQ_MOVDOC"</f>
        <v>R_IMPRIMI_ETIQ_MOVDOC</v>
      </c>
      <c r="G6429" s="2" t="str">
        <f>" ()"</f>
        <v xml:space="preserve"> ()</v>
      </c>
    </row>
    <row r="6430" spans="1:7" x14ac:dyDescent="0.3">
      <c r="A6430" s="1" t="s">
        <v>4</v>
      </c>
      <c r="B6430" s="2" t="str">
        <f t="shared" si="534"/>
        <v>CONTROLE DE DOCUMENTO</v>
      </c>
      <c r="C6430" s="2" t="str">
        <f t="shared" si="535"/>
        <v>FATUR-CONV</v>
      </c>
      <c r="D6430" s="2" t="str">
        <f t="shared" si="536"/>
        <v>MOVDOC</v>
      </c>
      <c r="E6430" s="2" t="str">
        <f>"R_PROT_RECEB"</f>
        <v>R_PROT_RECEB</v>
      </c>
      <c r="F6430" s="2" t="str">
        <f>"R_PROT_RECEB"</f>
        <v>R_PROT_RECEB</v>
      </c>
      <c r="G6430" s="2" t="str">
        <f>" ()"</f>
        <v xml:space="preserve"> ()</v>
      </c>
    </row>
    <row r="6431" spans="1:7" x14ac:dyDescent="0.3">
      <c r="A6431" s="1" t="s">
        <v>4</v>
      </c>
      <c r="B6431" s="2" t="str">
        <f t="shared" si="534"/>
        <v>CONTROLE DE DOCUMENTO</v>
      </c>
      <c r="C6431" s="2" t="str">
        <f t="shared" si="535"/>
        <v>FATUR-CONV</v>
      </c>
      <c r="D6431" s="2" t="str">
        <f t="shared" si="536"/>
        <v>MOVDOC</v>
      </c>
      <c r="E6431" s="2" t="str">
        <f>"R_PROT_ENVIO"</f>
        <v>R_PROT_ENVIO</v>
      </c>
      <c r="F6431" s="2" t="str">
        <f>"R_PROT_ENVIO"</f>
        <v>R_PROT_ENVIO</v>
      </c>
      <c r="G6431" s="2" t="str">
        <f>" ()"</f>
        <v xml:space="preserve"> ()</v>
      </c>
    </row>
    <row r="6432" spans="1:7" x14ac:dyDescent="0.3">
      <c r="A6432" s="1" t="s">
        <v>4</v>
      </c>
      <c r="B6432" s="2" t="str">
        <f t="shared" si="534"/>
        <v>CONTROLE DE DOCUMENTO</v>
      </c>
      <c r="C6432" s="2" t="str">
        <f t="shared" si="535"/>
        <v>FATUR-CONV</v>
      </c>
      <c r="D6432" s="2" t="str">
        <f t="shared" si="536"/>
        <v>MOVDOC</v>
      </c>
      <c r="E6432" s="2" t="str">
        <f>"M_CONF_REC_CONTA"</f>
        <v>M_CONF_REC_CONTA</v>
      </c>
      <c r="F6432" s="2" t="str">
        <f>"M_CONF_REC_CONTA"</f>
        <v>M_CONF_REC_CONTA</v>
      </c>
      <c r="G6432" s="2" t="str">
        <f>" ()"</f>
        <v xml:space="preserve"> ()</v>
      </c>
    </row>
    <row r="6433" spans="1:7" x14ac:dyDescent="0.3">
      <c r="A6433" s="1" t="s">
        <v>4</v>
      </c>
      <c r="B6433" s="2" t="str">
        <f t="shared" si="534"/>
        <v>CONTROLE DE DOCUMENTO</v>
      </c>
      <c r="C6433" s="2" t="str">
        <f t="shared" si="535"/>
        <v>FATUR-CONV</v>
      </c>
      <c r="D6433" s="2" t="str">
        <f t="shared" si="536"/>
        <v>MOVDOC</v>
      </c>
      <c r="E6433" s="2" t="str">
        <f>"WIN_PRINCIPAL"</f>
        <v>WIN_PRINCIPAL</v>
      </c>
      <c r="F6433" s="2" t="str">
        <f>"M_ENVIO_PASTAPARC"</f>
        <v>M_ENVIO_PASTAPARC</v>
      </c>
      <c r="G6433" s="2" t="str">
        <f>"MVSaude / Vendas / Internação / Solicitações / Pasta Parcial do Paciente / Envio de Documentos (M_ENVIO_PASTAPARC)"</f>
        <v>MVSaude / Vendas / Internação / Solicitações / Pasta Parcial do Paciente / Envio de Documentos (M_ENVIO_PASTAPARC)</v>
      </c>
    </row>
    <row r="6434" spans="1:7" x14ac:dyDescent="0.3">
      <c r="A6434" s="1" t="s">
        <v>4</v>
      </c>
      <c r="B6434" s="2" t="str">
        <f t="shared" si="534"/>
        <v>CONTROLE DE DOCUMENTO</v>
      </c>
      <c r="C6434" s="2" t="str">
        <f t="shared" si="535"/>
        <v>FATUR-CONV</v>
      </c>
      <c r="D6434" s="2" t="str">
        <f t="shared" si="536"/>
        <v>MOVDOC</v>
      </c>
      <c r="E6434" s="2" t="str">
        <f>"WIN_PRINCIPAL"</f>
        <v>WIN_PRINCIPAL</v>
      </c>
      <c r="F6434" s="2" t="str">
        <f>"M_ENVIO_PASTAPARC"</f>
        <v>M_ENVIO_PASTAPARC</v>
      </c>
      <c r="G6434" s="2" t="str">
        <f>"MVSaude / Atendimento / Autorizações de Guias / Internação / Solicitações / Pasta Parcial do Paciente / Envio de Documentos (M_ENVIO_PASTAPARC)"</f>
        <v>MVSaude / Atendimento / Autorizações de Guias / Internação / Solicitações / Pasta Parcial do Paciente / Envio de Documentos (M_ENVIO_PASTAPARC)</v>
      </c>
    </row>
    <row r="6435" spans="1:7" x14ac:dyDescent="0.3">
      <c r="A6435" s="1" t="s">
        <v>4</v>
      </c>
      <c r="B6435" s="2" t="str">
        <f t="shared" si="534"/>
        <v>CONTROLE DE DOCUMENTO</v>
      </c>
      <c r="C6435" s="2" t="str">
        <f t="shared" si="535"/>
        <v>FATUR-CONV</v>
      </c>
      <c r="D6435" s="2" t="str">
        <f t="shared" si="536"/>
        <v>MOVDOC</v>
      </c>
      <c r="E6435" s="2" t="str">
        <f>"WIN_PRINCIPAL"</f>
        <v>WIN_PRINCIPAL</v>
      </c>
      <c r="F6435" s="2" t="str">
        <f>"M_ENVIO_PASTAPARC"</f>
        <v>M_ENVIO_PASTAPARC</v>
      </c>
      <c r="G6435" s="2" t="str">
        <f>"Atendimento / Internação / Atendimento / Pasta Parcial do Paciente - Envio de Documentos (M_ENVIO_PASTAPARC)"</f>
        <v>Atendimento / Internação / Atendimento / Pasta Parcial do Paciente - Envio de Documentos (M_ENVIO_PASTAPARC)</v>
      </c>
    </row>
    <row r="6436" spans="1:7" x14ac:dyDescent="0.3">
      <c r="A6436" s="1" t="s">
        <v>4</v>
      </c>
      <c r="B6436" s="2" t="str">
        <f t="shared" si="534"/>
        <v>CONTROLE DE DOCUMENTO</v>
      </c>
      <c r="C6436" s="2" t="str">
        <f t="shared" si="535"/>
        <v>FATUR-CONV</v>
      </c>
      <c r="D6436" s="2" t="str">
        <f t="shared" si="536"/>
        <v>MOVDOC</v>
      </c>
      <c r="E6436" s="2" t="str">
        <f>"WIN_PRINCIPAL"</f>
        <v>WIN_PRINCIPAL</v>
      </c>
      <c r="F6436" s="2" t="str">
        <f>"M_ENVIO_PASTAPARC"</f>
        <v>M_ENVIO_PASTAPARC</v>
      </c>
      <c r="G6436" s="2" t="str">
        <f>"Serviços de Apoio / Movimentação de Documentos / Solicitações / Pasta Parcial / Envio de Pasta Parcial (M_ENVIO_PASTAPARC)"</f>
        <v>Serviços de Apoio / Movimentação de Documentos / Solicitações / Pasta Parcial / Envio de Pasta Parcial (M_ENVIO_PASTAPARC)</v>
      </c>
    </row>
    <row r="6437" spans="1:7" x14ac:dyDescent="0.3">
      <c r="A6437" s="1" t="s">
        <v>4</v>
      </c>
      <c r="B6437" s="2" t="str">
        <f t="shared" si="534"/>
        <v>CONTROLE DE DOCUMENTO</v>
      </c>
      <c r="C6437" s="2" t="str">
        <f t="shared" si="535"/>
        <v>FATUR-CONV</v>
      </c>
      <c r="D6437" s="2" t="str">
        <f t="shared" si="536"/>
        <v>MOVDOC</v>
      </c>
      <c r="E6437" s="2" t="str">
        <f>"PROTOCOLAÇÃO DE BAIXA DE DOCUMENTOS"</f>
        <v>PROTOCOLAÇÃO DE BAIXA DE DOCUMENTOS</v>
      </c>
      <c r="F6437" s="2" t="str">
        <f>"M_RECEBE_PASTAPARC"</f>
        <v>M_RECEBE_PASTAPARC</v>
      </c>
      <c r="G6437" s="2" t="str">
        <f>"MVSaude / Vendas / Internação / Solicitações / Pasta Parcial do Paciente / Recebimento de Documentos (M_RECEBE_PASTAPARC)"</f>
        <v>MVSaude / Vendas / Internação / Solicitações / Pasta Parcial do Paciente / Recebimento de Documentos (M_RECEBE_PASTAPARC)</v>
      </c>
    </row>
    <row r="6438" spans="1:7" x14ac:dyDescent="0.3">
      <c r="A6438" s="1" t="s">
        <v>4</v>
      </c>
      <c r="B6438" s="2" t="str">
        <f t="shared" si="534"/>
        <v>CONTROLE DE DOCUMENTO</v>
      </c>
      <c r="C6438" s="2" t="str">
        <f t="shared" si="535"/>
        <v>FATUR-CONV</v>
      </c>
      <c r="D6438" s="2" t="str">
        <f t="shared" si="536"/>
        <v>MOVDOC</v>
      </c>
      <c r="E6438" s="2" t="str">
        <f>"PROTOCOLAÇÃO DE BAIXA DE DOCUMENTOS"</f>
        <v>PROTOCOLAÇÃO DE BAIXA DE DOCUMENTOS</v>
      </c>
      <c r="F6438" s="2" t="str">
        <f>"M_RECEBE_PASTAPARC"</f>
        <v>M_RECEBE_PASTAPARC</v>
      </c>
      <c r="G6438" s="2" t="str">
        <f>"MVSaude / Atendimento / Autorizações de Guias / Internação / Solicitações / Pasta Parcial do Paciente / Recebimento de Documentos (M_RECEBE_PASTAPARC)"</f>
        <v>MVSaude / Atendimento / Autorizações de Guias / Internação / Solicitações / Pasta Parcial do Paciente / Recebimento de Documentos (M_RECEBE_PASTAPARC)</v>
      </c>
    </row>
    <row r="6439" spans="1:7" x14ac:dyDescent="0.3">
      <c r="A6439" s="1" t="s">
        <v>4</v>
      </c>
      <c r="B6439" s="2" t="str">
        <f t="shared" si="534"/>
        <v>CONTROLE DE DOCUMENTO</v>
      </c>
      <c r="C6439" s="2" t="str">
        <f t="shared" si="535"/>
        <v>FATUR-CONV</v>
      </c>
      <c r="D6439" s="2" t="str">
        <f t="shared" si="536"/>
        <v>MOVDOC</v>
      </c>
      <c r="E6439" s="2" t="str">
        <f>"PROTOCOLAÇÃO DE BAIXA DE DOCUMENTOS"</f>
        <v>PROTOCOLAÇÃO DE BAIXA DE DOCUMENTOS</v>
      </c>
      <c r="F6439" s="2" t="str">
        <f>"M_RECEBE_PASTAPARC"</f>
        <v>M_RECEBE_PASTAPARC</v>
      </c>
      <c r="G6439" s="2" t="str">
        <f>"Atendimento / Internação / Atendimento / Pasta Parcial - Recebimento de Documentos (M_RECEBE_PASTAPARC)"</f>
        <v>Atendimento / Internação / Atendimento / Pasta Parcial - Recebimento de Documentos (M_RECEBE_PASTAPARC)</v>
      </c>
    </row>
    <row r="6440" spans="1:7" x14ac:dyDescent="0.3">
      <c r="A6440" s="1" t="s">
        <v>4</v>
      </c>
      <c r="B6440" s="2" t="str">
        <f t="shared" si="534"/>
        <v>CONTROLE DE DOCUMENTO</v>
      </c>
      <c r="C6440" s="2" t="str">
        <f t="shared" si="535"/>
        <v>FATUR-CONV</v>
      </c>
      <c r="D6440" s="2" t="str">
        <f t="shared" si="536"/>
        <v>MOVDOC</v>
      </c>
      <c r="E6440" s="2" t="str">
        <f>"PROTOCOLAÇÃO DE BAIXA DE DOCUMENTOS"</f>
        <v>PROTOCOLAÇÃO DE BAIXA DE DOCUMENTOS</v>
      </c>
      <c r="F6440" s="2" t="str">
        <f>"M_RECEBE_PASTAPARC"</f>
        <v>M_RECEBE_PASTAPARC</v>
      </c>
      <c r="G6440" s="2" t="str">
        <f>"Serviços de Apoio / Movimentação de Documentos / Solicitações / Pasta Parcial / Recebimento de Pasta Parcial (M_RECEBE_PASTAPARC)"</f>
        <v>Serviços de Apoio / Movimentação de Documentos / Solicitações / Pasta Parcial / Recebimento de Pasta Parcial (M_RECEBE_PASTAPARC)</v>
      </c>
    </row>
    <row r="6441" spans="1:7" x14ac:dyDescent="0.3">
      <c r="A6441" s="1" t="s">
        <v>4</v>
      </c>
      <c r="B6441" s="2" t="str">
        <f t="shared" si="534"/>
        <v>CONTROLE DE DOCUMENTO</v>
      </c>
      <c r="C6441" s="2" t="str">
        <f t="shared" si="535"/>
        <v>FATUR-CONV</v>
      </c>
      <c r="D6441" s="2" t="str">
        <f t="shared" si="536"/>
        <v>MOVDOC</v>
      </c>
      <c r="E6441" s="2" t="str">
        <f>"WIN_PRINCIPAL"</f>
        <v>WIN_PRINCIPAL</v>
      </c>
      <c r="F6441" s="2" t="str">
        <f>"C_HISTORICO_PASTAPARC"</f>
        <v>C_HISTORICO_PASTAPARC</v>
      </c>
      <c r="G6441" s="2" t="str">
        <f>"Consulta de Hisptorico de Pasta Parcial (C_HISTORICO_PASTAPARC)"</f>
        <v>Consulta de Hisptorico de Pasta Parcial (C_HISTORICO_PASTAPARC)</v>
      </c>
    </row>
    <row r="6442" spans="1:7" x14ac:dyDescent="0.3">
      <c r="A6442" s="1" t="s">
        <v>4</v>
      </c>
      <c r="B6442" s="2" t="str">
        <f t="shared" si="534"/>
        <v>CONTROLE DE DOCUMENTO</v>
      </c>
      <c r="C6442" s="2" t="str">
        <f t="shared" si="535"/>
        <v>FATUR-CONV</v>
      </c>
      <c r="D6442" s="2" t="str">
        <f t="shared" si="536"/>
        <v>MOVDOC</v>
      </c>
      <c r="E6442" s="2" t="str">
        <f>"WIN_PRINCIPAL"</f>
        <v>WIN_PRINCIPAL</v>
      </c>
      <c r="F6442" s="2" t="str">
        <f>"C_LOCALIZA_PASTA_SETOR"</f>
        <v>C_LOCALIZA_PASTA_SETOR</v>
      </c>
      <c r="G6442" s="2" t="str">
        <f>"MVSaude / Vendas / Internação / Consultas / Pastas Parciais / Localização por Setor (C_LOCALIZA_PASTA_SETOR)"</f>
        <v>MVSaude / Vendas / Internação / Consultas / Pastas Parciais / Localização por Setor (C_LOCALIZA_PASTA_SETOR)</v>
      </c>
    </row>
    <row r="6443" spans="1:7" x14ac:dyDescent="0.3">
      <c r="A6443" s="1" t="s">
        <v>4</v>
      </c>
      <c r="B6443" s="2" t="str">
        <f t="shared" si="534"/>
        <v>CONTROLE DE DOCUMENTO</v>
      </c>
      <c r="C6443" s="2" t="str">
        <f t="shared" si="535"/>
        <v>FATUR-CONV</v>
      </c>
      <c r="D6443" s="2" t="str">
        <f t="shared" si="536"/>
        <v>MOVDOC</v>
      </c>
      <c r="E6443" s="2" t="str">
        <f>"WIN_PRINCIPAL"</f>
        <v>WIN_PRINCIPAL</v>
      </c>
      <c r="F6443" s="2" t="str">
        <f>"C_LOCALIZA_PASTA_SETOR"</f>
        <v>C_LOCALIZA_PASTA_SETOR</v>
      </c>
      <c r="G6443" s="2" t="str">
        <f>"MVSaude / Atendimento / Autorizações de Guias / Internação / Consultas / Pastas Parciais / Localização por Setor (C_LOCALIZA_PASTA_SETOR)"</f>
        <v>MVSaude / Atendimento / Autorizações de Guias / Internação / Consultas / Pastas Parciais / Localização por Setor (C_LOCALIZA_PASTA_SETOR)</v>
      </c>
    </row>
    <row r="6444" spans="1:7" x14ac:dyDescent="0.3">
      <c r="A6444" s="1" t="s">
        <v>4</v>
      </c>
      <c r="B6444" s="2" t="str">
        <f t="shared" si="534"/>
        <v>CONTROLE DE DOCUMENTO</v>
      </c>
      <c r="C6444" s="2" t="str">
        <f t="shared" si="535"/>
        <v>FATUR-CONV</v>
      </c>
      <c r="D6444" s="2" t="str">
        <f t="shared" si="536"/>
        <v>MOVDOC</v>
      </c>
      <c r="E6444" s="2" t="str">
        <f>"WIN_PRINCIPAL"</f>
        <v>WIN_PRINCIPAL</v>
      </c>
      <c r="F6444" s="2" t="str">
        <f>"C_LOCALIZA_PASTA_SETOR"</f>
        <v>C_LOCALIZA_PASTA_SETOR</v>
      </c>
      <c r="G6444" s="2" t="str">
        <f>"Atendimento / Internação / Consultas / Pasta Parcial - Localização por Setor (C_LOCALIZA_PASTA_SETOR)"</f>
        <v>Atendimento / Internação / Consultas / Pasta Parcial - Localização por Setor (C_LOCALIZA_PASTA_SETOR)</v>
      </c>
    </row>
    <row r="6445" spans="1:7" x14ac:dyDescent="0.3">
      <c r="A6445" s="1" t="s">
        <v>4</v>
      </c>
      <c r="B6445" s="2" t="str">
        <f t="shared" si="534"/>
        <v>CONTROLE DE DOCUMENTO</v>
      </c>
      <c r="C6445" s="2" t="str">
        <f t="shared" si="535"/>
        <v>FATUR-CONV</v>
      </c>
      <c r="D6445" s="2" t="str">
        <f t="shared" si="536"/>
        <v>MOVDOC</v>
      </c>
      <c r="E6445" s="2" t="str">
        <f>"WIN_PRINCIPAL"</f>
        <v>WIN_PRINCIPAL</v>
      </c>
      <c r="F6445" s="2" t="str">
        <f>"C_LOCALIZA_PASTA_SETOR"</f>
        <v>C_LOCALIZA_PASTA_SETOR</v>
      </c>
      <c r="G6445" s="2" t="str">
        <f>"Serviços de Apoio / Movimentação de Documentos / Consultas / Pastas Parciais / Localização por Setor (C_LOCALIZA_PASTA_SETOR)"</f>
        <v>Serviços de Apoio / Movimentação de Documentos / Consultas / Pastas Parciais / Localização por Setor (C_LOCALIZA_PASTA_SETOR)</v>
      </c>
    </row>
    <row r="6446" spans="1:7" x14ac:dyDescent="0.3">
      <c r="A6446" s="1" t="s">
        <v>4</v>
      </c>
      <c r="B6446" s="2" t="str">
        <f t="shared" si="534"/>
        <v>CONTROLE DE DOCUMENTO</v>
      </c>
      <c r="C6446" s="2" t="str">
        <f t="shared" si="535"/>
        <v>FATUR-CONV</v>
      </c>
      <c r="D6446" s="2" t="str">
        <f t="shared" si="536"/>
        <v>MOVDOC</v>
      </c>
      <c r="E6446" s="2" t="str">
        <f>"WIN_PRINCIPAL - HOSPITAL MV SISTEMAS"</f>
        <v>WIN_PRINCIPAL - HOSPITAL MV SISTEMAS</v>
      </c>
      <c r="F6446" s="2" t="str">
        <f>"C_RASTREIA_PASTAPARC"</f>
        <v>C_RASTREIA_PASTAPARC</v>
      </c>
      <c r="G6446" s="2" t="str">
        <f>"MVSaude / Vendas / Internação / Consultas / Pastas Parciais / Rastreabilidade de Pasta (C_RASTREIA_PASTAPARC)"</f>
        <v>MVSaude / Vendas / Internação / Consultas / Pastas Parciais / Rastreabilidade de Pasta (C_RASTREIA_PASTAPARC)</v>
      </c>
    </row>
    <row r="6447" spans="1:7" x14ac:dyDescent="0.3">
      <c r="A6447" s="1" t="s">
        <v>4</v>
      </c>
      <c r="B6447" s="2" t="str">
        <f t="shared" si="534"/>
        <v>CONTROLE DE DOCUMENTO</v>
      </c>
      <c r="C6447" s="2" t="str">
        <f t="shared" si="535"/>
        <v>FATUR-CONV</v>
      </c>
      <c r="D6447" s="2" t="str">
        <f t="shared" si="536"/>
        <v>MOVDOC</v>
      </c>
      <c r="E6447" s="2" t="str">
        <f>"WIN_PRINCIPAL - HOSPITAL MV SISTEMAS"</f>
        <v>WIN_PRINCIPAL - HOSPITAL MV SISTEMAS</v>
      </c>
      <c r="F6447" s="2" t="str">
        <f>"C_RASTREIA_PASTAPARC"</f>
        <v>C_RASTREIA_PASTAPARC</v>
      </c>
      <c r="G6447" s="2" t="str">
        <f>"MVSaude / Atendimento / Autorizações de Guias / Internação / Consultas / Pastas Parciais / Rastreabilidade de Pasta (C_RASTREIA_PASTAPARC)"</f>
        <v>MVSaude / Atendimento / Autorizações de Guias / Internação / Consultas / Pastas Parciais / Rastreabilidade de Pasta (C_RASTREIA_PASTAPARC)</v>
      </c>
    </row>
    <row r="6448" spans="1:7" x14ac:dyDescent="0.3">
      <c r="A6448" s="1" t="s">
        <v>4</v>
      </c>
      <c r="B6448" s="2" t="str">
        <f t="shared" si="534"/>
        <v>CONTROLE DE DOCUMENTO</v>
      </c>
      <c r="C6448" s="2" t="str">
        <f t="shared" si="535"/>
        <v>FATUR-CONV</v>
      </c>
      <c r="D6448" s="2" t="str">
        <f t="shared" si="536"/>
        <v>MOVDOC</v>
      </c>
      <c r="E6448" s="2" t="str">
        <f>"WIN_PRINCIPAL - HOSPITAL MV SISTEMAS"</f>
        <v>WIN_PRINCIPAL - HOSPITAL MV SISTEMAS</v>
      </c>
      <c r="F6448" s="2" t="str">
        <f>"C_RASTREIA_PASTAPARC"</f>
        <v>C_RASTREIA_PASTAPARC</v>
      </c>
      <c r="G6448" s="2" t="str">
        <f>"Atendimento / Internação / Consultas / Pasta Parcial - Rastreabilidade de Pasta (C_RASTREIA_PASTAPARC)"</f>
        <v>Atendimento / Internação / Consultas / Pasta Parcial - Rastreabilidade de Pasta (C_RASTREIA_PASTAPARC)</v>
      </c>
    </row>
    <row r="6449" spans="1:7" x14ac:dyDescent="0.3">
      <c r="A6449" s="1" t="s">
        <v>4</v>
      </c>
      <c r="B6449" s="2" t="str">
        <f t="shared" si="534"/>
        <v>CONTROLE DE DOCUMENTO</v>
      </c>
      <c r="C6449" s="2" t="str">
        <f t="shared" si="535"/>
        <v>FATUR-CONV</v>
      </c>
      <c r="D6449" s="2" t="str">
        <f t="shared" si="536"/>
        <v>MOVDOC</v>
      </c>
      <c r="E6449" s="2" t="str">
        <f>"WIN_PRINCIPAL - HOSPITAL MV SISTEMAS"</f>
        <v>WIN_PRINCIPAL - HOSPITAL MV SISTEMAS</v>
      </c>
      <c r="F6449" s="2" t="str">
        <f>"C_RASTREIA_PASTAPARC"</f>
        <v>C_RASTREIA_PASTAPARC</v>
      </c>
      <c r="G6449" s="2" t="str">
        <f>"Serviços de Apoio / Movimentação de Documentos / Consultas / Pastas Parciais / Rastreabilidade de Pasta (C_RASTREIA_PASTAPARC)"</f>
        <v>Serviços de Apoio / Movimentação de Documentos / Consultas / Pastas Parciais / Rastreabilidade de Pasta (C_RASTREIA_PASTAPARC)</v>
      </c>
    </row>
    <row r="6450" spans="1:7" x14ac:dyDescent="0.3">
      <c r="A6450" s="1" t="s">
        <v>4</v>
      </c>
      <c r="B6450" s="2" t="str">
        <f t="shared" si="534"/>
        <v>CONTROLE DE DOCUMENTO</v>
      </c>
      <c r="C6450" s="2" t="str">
        <f t="shared" si="535"/>
        <v>FATUR-CONV</v>
      </c>
      <c r="D6450" s="2" t="str">
        <f t="shared" si="536"/>
        <v>MOVDOC</v>
      </c>
      <c r="E6450" s="2" t="str">
        <f>"RELATÓRIO DE MOVIMENTAÇÃO DE CONTAS"</f>
        <v>RELATÓRIO DE MOVIMENTAÇÃO DE CONTAS</v>
      </c>
      <c r="F6450" s="2" t="str">
        <f>"R_SITUACAO_DOCUMENTO"</f>
        <v>R_SITUACAO_DOCUMENTO</v>
      </c>
      <c r="G6450" s="2" t="str">
        <f>"Serviços de Apoio / Movimentação de Documentos / Relatórios / Gerenciais / Posição de Documentos (R_SITUACAO_DOCUMENTO)"</f>
        <v>Serviços de Apoio / Movimentação de Documentos / Relatórios / Gerenciais / Posição de Documentos (R_SITUACAO_DOCUMENTO)</v>
      </c>
    </row>
    <row r="6451" spans="1:7" x14ac:dyDescent="0.3">
      <c r="A6451" s="1" t="s">
        <v>4</v>
      </c>
      <c r="B6451" s="2" t="str">
        <f t="shared" si="534"/>
        <v>CONTROLE DE DOCUMENTO</v>
      </c>
      <c r="C6451" s="2" t="str">
        <f t="shared" si="535"/>
        <v>FATUR-CONV</v>
      </c>
      <c r="D6451" s="2" t="str">
        <f t="shared" si="536"/>
        <v>MOVDOC</v>
      </c>
      <c r="E6451" s="2" t="str">
        <f>"R_LISTA_CHECAGEM"</f>
        <v>R_LISTA_CHECAGEM</v>
      </c>
      <c r="F6451" s="2" t="str">
        <f>"R_LISTA_CHECAGEM"</f>
        <v>R_LISTA_CHECAGEM</v>
      </c>
      <c r="G6451" s="2" t="str">
        <f>"Serviços de Apoio / Movimentação de Documentos / Relatórios / Administrativos / Lista de Checagem (Check-List) (R_LISTA_CHECAGEM)"</f>
        <v>Serviços de Apoio / Movimentação de Documentos / Relatórios / Administrativos / Lista de Checagem (Check-List) (R_LISTA_CHECAGEM)</v>
      </c>
    </row>
    <row r="6452" spans="1:7" x14ac:dyDescent="0.3">
      <c r="A6452" s="1" t="s">
        <v>4</v>
      </c>
      <c r="B6452" s="2" t="str">
        <f t="shared" si="534"/>
        <v>CONTROLE DE DOCUMENTO</v>
      </c>
      <c r="C6452" s="2" t="str">
        <f t="shared" si="535"/>
        <v>FATUR-CONV</v>
      </c>
      <c r="D6452" s="2" t="str">
        <f t="shared" si="536"/>
        <v>MOVDOC</v>
      </c>
      <c r="E6452" s="2" t="str">
        <f>"R_NAO_PROT_ATEND"</f>
        <v>R_NAO_PROT_ATEND</v>
      </c>
      <c r="F6452" s="2" t="str">
        <f>"R_NAO_PROT_ATEND"</f>
        <v>R_NAO_PROT_ATEND</v>
      </c>
      <c r="G6452" s="2" t="str">
        <f>"Serviços de Apoio / Movimentação de Documentos / Relatórios / Administrativos / Documentos Não Protocolados (R_NAO_PROT_ATEND)"</f>
        <v>Serviços de Apoio / Movimentação de Documentos / Relatórios / Administrativos / Documentos Não Protocolados (R_NAO_PROT_ATEND)</v>
      </c>
    </row>
    <row r="6453" spans="1:7" x14ac:dyDescent="0.3">
      <c r="A6453" s="1" t="s">
        <v>4</v>
      </c>
      <c r="B6453" s="2" t="str">
        <f t="shared" si="534"/>
        <v>CONTROLE DE DOCUMENTO</v>
      </c>
      <c r="C6453" s="2" t="str">
        <f t="shared" si="535"/>
        <v>FATUR-CONV</v>
      </c>
      <c r="D6453" s="2" t="str">
        <f t="shared" si="536"/>
        <v>MOVDOC</v>
      </c>
      <c r="E6453" s="2" t="str">
        <f>"RELATÓRIO DE PROTOCOLOS DO ATENDIMENTO"</f>
        <v>RELATÓRIO DE PROTOCOLOS DO ATENDIMENTO</v>
      </c>
      <c r="F6453" s="2" t="str">
        <f>"R_PROT_ATEND"</f>
        <v>R_PROT_ATEND</v>
      </c>
      <c r="G6453" s="2" t="str">
        <f>"Serviços de Apoio / Movimentação de Documentos / Relatórios / Operacionais / Protocolos por Atendimento (R_PROT_ATEND)"</f>
        <v>Serviços de Apoio / Movimentação de Documentos / Relatórios / Operacionais / Protocolos por Atendimento (R_PROT_ATEND)</v>
      </c>
    </row>
    <row r="6454" spans="1:7" x14ac:dyDescent="0.3">
      <c r="A6454" s="1" t="s">
        <v>4</v>
      </c>
      <c r="B6454" s="2" t="str">
        <f t="shared" si="534"/>
        <v>CONTROLE DE DOCUMENTO</v>
      </c>
      <c r="C6454" s="2" t="str">
        <f t="shared" si="535"/>
        <v>FATUR-CONV</v>
      </c>
      <c r="D6454" s="2" t="str">
        <f t="shared" si="536"/>
        <v>MOVDOC</v>
      </c>
      <c r="E6454" s="2" t="str">
        <f>"WEBUTIL INFORMATION"</f>
        <v>WEBUTIL INFORMATION</v>
      </c>
      <c r="F6454" s="2" t="str">
        <f>"R_DOCUMENTO_PROT"</f>
        <v>R_DOCUMENTO_PROT</v>
      </c>
      <c r="G6454" s="2" t="str">
        <f>"Serviços de Apoio / Movimentação de Documentos / Relatórios / Tabelas / Documentos (R_DOCUMENTO_PROT)"</f>
        <v>Serviços de Apoio / Movimentação de Documentos / Relatórios / Tabelas / Documentos (R_DOCUMENTO_PROT)</v>
      </c>
    </row>
    <row r="6455" spans="1:7" x14ac:dyDescent="0.3">
      <c r="A6455" s="1" t="s">
        <v>4</v>
      </c>
      <c r="B6455" s="2" t="str">
        <f t="shared" si="534"/>
        <v>CONTROLE DE DOCUMENTO</v>
      </c>
      <c r="C6455" s="2" t="str">
        <f t="shared" si="535"/>
        <v>FATUR-CONV</v>
      </c>
      <c r="D6455" s="2" t="str">
        <f t="shared" si="536"/>
        <v>MOVDOC</v>
      </c>
      <c r="E6455" s="2" t="str">
        <f>"M_DOCUMENTO_PROC"</f>
        <v>M_DOCUMENTO_PROC</v>
      </c>
      <c r="F6455" s="2" t="str">
        <f>"M_DOCUMENTO_PROC"</f>
        <v>M_DOCUMENTO_PROC</v>
      </c>
      <c r="G6455" s="2" t="str">
        <f>"Serviços de Apoio / Movimentação de Documentos / Tabelas / Documentos por Procedimento (M_DOCUMENTO_PROC)"</f>
        <v>Serviços de Apoio / Movimentação de Documentos / Tabelas / Documentos por Procedimento (M_DOCUMENTO_PROC)</v>
      </c>
    </row>
    <row r="6456" spans="1:7" x14ac:dyDescent="0.3">
      <c r="A6456" s="1" t="s">
        <v>4</v>
      </c>
      <c r="B6456" s="2" t="str">
        <f t="shared" si="534"/>
        <v>CONTROLE DE DOCUMENTO</v>
      </c>
      <c r="C6456" s="2" t="str">
        <f t="shared" si="535"/>
        <v>FATUR-CONV</v>
      </c>
      <c r="D6456" s="2" t="str">
        <f t="shared" si="536"/>
        <v>MOVDOC</v>
      </c>
      <c r="E6456" s="2" t="str">
        <f>"M_PENDENCIA"</f>
        <v>M_PENDENCIA</v>
      </c>
      <c r="F6456" s="2" t="str">
        <f>"M_PENDENCIA"</f>
        <v>M_PENDENCIA</v>
      </c>
      <c r="G6456" s="2" t="str">
        <f>"Serviços de Apoio / Movimentação de Documentos / Tabelas / Pendências/Motivos de Movimentação de Documentos (M_PENDENCIA)"</f>
        <v>Serviços de Apoio / Movimentação de Documentos / Tabelas / Pendências/Motivos de Movimentação de Documentos (M_PENDENCIA)</v>
      </c>
    </row>
    <row r="6457" spans="1:7" x14ac:dyDescent="0.3">
      <c r="A6457" s="1" t="s">
        <v>4</v>
      </c>
      <c r="B6457" s="2" t="str">
        <f t="shared" si="534"/>
        <v>CONTROLE DE DOCUMENTO</v>
      </c>
      <c r="C6457" s="2" t="str">
        <f t="shared" si="535"/>
        <v>FATUR-CONV</v>
      </c>
      <c r="D6457" s="2" t="str">
        <f t="shared" si="536"/>
        <v>MOVDOC</v>
      </c>
      <c r="E6457" s="2" t="str">
        <f>"M_CONFIG_MOVDOC"</f>
        <v>M_CONFIG_MOVDOC</v>
      </c>
      <c r="F6457" s="2" t="str">
        <f>"M_CONFIG_MOVDOC"</f>
        <v>M_CONFIG_MOVDOC</v>
      </c>
      <c r="G6457" s="2" t="str">
        <f>"Serviços de Apoio / Movimentação de Documentos / Configurações / Parâmetros (M_CONFIG_MOVDOC)"</f>
        <v>Serviços de Apoio / Movimentação de Documentos / Configurações / Parâmetros (M_CONFIG_MOVDOC)</v>
      </c>
    </row>
    <row r="6458" spans="1:7" x14ac:dyDescent="0.3">
      <c r="A6458" s="1" t="s">
        <v>4</v>
      </c>
      <c r="B6458" s="2" t="str">
        <f t="shared" si="534"/>
        <v>CONTROLE DE DOCUMENTO</v>
      </c>
      <c r="C6458" s="2" t="str">
        <f t="shared" si="535"/>
        <v>FATUR-CONV</v>
      </c>
      <c r="D6458" s="2" t="str">
        <f t="shared" si="536"/>
        <v>MOVDOC</v>
      </c>
      <c r="E6458" s="2" t="str">
        <f>"M_DOCUMENTO_SET"</f>
        <v>M_DOCUMENTO_SET</v>
      </c>
      <c r="F6458" s="2" t="str">
        <f>"M_DOCUMENTO_SET"</f>
        <v>M_DOCUMENTO_SET</v>
      </c>
      <c r="G6458" s="2" t="str">
        <f>"Serviços de Apoio / Movimentação de Documentos / Tabelas / Documentos por Setor (M_DOCUMENTO_SET)"</f>
        <v>Serviços de Apoio / Movimentação de Documentos / Tabelas / Documentos por Setor (M_DOCUMENTO_SET)</v>
      </c>
    </row>
    <row r="6459" spans="1:7" x14ac:dyDescent="0.3">
      <c r="A6459" s="1" t="s">
        <v>4</v>
      </c>
      <c r="B6459" s="2" t="str">
        <f t="shared" si="534"/>
        <v>CONTROLE DE DOCUMENTO</v>
      </c>
      <c r="C6459" s="2" t="str">
        <f t="shared" si="535"/>
        <v>FATUR-CONV</v>
      </c>
      <c r="D6459" s="2" t="str">
        <f t="shared" si="536"/>
        <v>MOVDOC</v>
      </c>
      <c r="E6459" s="2" t="str">
        <f>"CADASTRO: DOCUMENTOS DE PROTOCOLO"</f>
        <v>CADASTRO: DOCUMENTOS DE PROTOCOLO</v>
      </c>
      <c r="F6459" s="2" t="str">
        <f>"M_DOCUMENTO_PROT"</f>
        <v>M_DOCUMENTO_PROT</v>
      </c>
      <c r="G6459" s="2" t="str">
        <f>"Serviços de Apoio / Movimentação de Documentos / Tabelas / Documentos (M_DOCUMENTO_PROT)"</f>
        <v>Serviços de Apoio / Movimentação de Documentos / Tabelas / Documentos (M_DOCUMENTO_PROT)</v>
      </c>
    </row>
    <row r="6460" spans="1:7" x14ac:dyDescent="0.3">
      <c r="A6460" s="1" t="s">
        <v>4</v>
      </c>
      <c r="B6460" s="2" t="str">
        <f t="shared" si="534"/>
        <v>CONTROLE DE DOCUMENTO</v>
      </c>
      <c r="C6460" s="2" t="str">
        <f t="shared" si="535"/>
        <v>FATUR-CONV</v>
      </c>
      <c r="D6460" s="2" t="str">
        <f t="shared" si="536"/>
        <v>MOVDOC</v>
      </c>
      <c r="E6460" s="2" t="str">
        <f>"PROTOCOLAÇÃO DE BAIXA DE DOCUMENTOS"</f>
        <v>PROTOCOLAÇÃO DE BAIXA DE DOCUMENTOS</v>
      </c>
      <c r="F6460" s="2" t="str">
        <f>"M_PROT_RECEB"</f>
        <v>M_PROT_RECEB</v>
      </c>
      <c r="G6460" s="2" t="str">
        <f>"Serviços de Apoio / Movimentação de Documentos / Manutenção / Protocolação de Documentos / Baixa de Documentos (M_PROT_RECEB)"</f>
        <v>Serviços de Apoio / Movimentação de Documentos / Manutenção / Protocolação de Documentos / Baixa de Documentos (M_PROT_RECEB)</v>
      </c>
    </row>
    <row r="6461" spans="1:7" x14ac:dyDescent="0.3">
      <c r="A6461" s="1" t="s">
        <v>4</v>
      </c>
      <c r="B6461" s="2" t="str">
        <f t="shared" si="534"/>
        <v>CONTROLE DE DOCUMENTO</v>
      </c>
      <c r="C6461" s="2" t="str">
        <f t="shared" si="535"/>
        <v>FATUR-CONV</v>
      </c>
      <c r="D6461" s="2" t="str">
        <f t="shared" si="536"/>
        <v>MOVDOC</v>
      </c>
      <c r="E6461" s="2" t="str">
        <f>"PROTOCOLAÇÃO DE ENVIO DE DOCUMENTOS"</f>
        <v>PROTOCOLAÇÃO DE ENVIO DE DOCUMENTOS</v>
      </c>
      <c r="F6461" s="2" t="str">
        <f>"M_PROT_ENVIO"</f>
        <v>M_PROT_ENVIO</v>
      </c>
      <c r="G6461" s="2" t="str">
        <f>"Serviços de Apoio / Movimentação de Documentos / Manutenção / Protocolação de Documentos / Envio de Documentos (M_PROT_ENVIO)"</f>
        <v>Serviços de Apoio / Movimentação de Documentos / Manutenção / Protocolação de Documentos / Envio de Documentos (M_PROT_ENVIO)</v>
      </c>
    </row>
    <row r="6462" spans="1:7" x14ac:dyDescent="0.3">
      <c r="A6462" s="1" t="s">
        <v>4</v>
      </c>
      <c r="B6462" s="2" t="str">
        <f t="shared" si="534"/>
        <v>CONTROLE DE DOCUMENTO</v>
      </c>
      <c r="C6462" s="2" t="str">
        <f t="shared" si="535"/>
        <v>FATUR-CONV</v>
      </c>
      <c r="D6462" s="2" t="str">
        <f t="shared" si="536"/>
        <v>MOVDOC</v>
      </c>
      <c r="E6462" s="2" t="str">
        <f>"RELATÓRIO AUDITORIA DE COMPRAS"</f>
        <v>RELATÓRIO AUDITORIA DE COMPRAS</v>
      </c>
      <c r="F6462" s="2" t="str">
        <f>"M_AUDITORIA_DE_COMPRAS"</f>
        <v>M_AUDITORIA_DE_COMPRAS</v>
      </c>
      <c r="G6462" s="2" t="str">
        <f>" ()"</f>
        <v xml:space="preserve"> ()</v>
      </c>
    </row>
    <row r="6463" spans="1:7" x14ac:dyDescent="0.3">
      <c r="A6463" s="1" t="s">
        <v>4</v>
      </c>
      <c r="B6463" s="2" t="str">
        <f t="shared" si="534"/>
        <v>CONTROLE DE DOCUMENTO</v>
      </c>
      <c r="C6463" s="2" t="str">
        <f t="shared" si="535"/>
        <v>FATUR-CONV</v>
      </c>
      <c r="D6463" s="2" t="str">
        <f t="shared" si="536"/>
        <v>MOVDOC</v>
      </c>
      <c r="E6463" s="2" t="str">
        <f>"RELATÓRIO AUDITORIA DE COMPRAS"</f>
        <v>RELATÓRIO AUDITORIA DE COMPRAS</v>
      </c>
      <c r="F6463" s="2" t="str">
        <f>"AUDITORIA_DE_COMPRAS"</f>
        <v>AUDITORIA_DE_COMPRAS</v>
      </c>
      <c r="G6463" s="2" t="str">
        <f>" ()"</f>
        <v xml:space="preserve"> ()</v>
      </c>
    </row>
    <row r="6464" spans="1:7" x14ac:dyDescent="0.3">
      <c r="A6464" s="1" t="s">
        <v>4</v>
      </c>
      <c r="B6464" s="2" t="str">
        <f t="shared" si="534"/>
        <v>CONTROLE DE DOCUMENTO</v>
      </c>
      <c r="C6464" s="2" t="str">
        <f t="shared" si="535"/>
        <v>FATUR-CONV</v>
      </c>
      <c r="D6464" s="2" t="str">
        <f t="shared" si="536"/>
        <v>MOVDOC</v>
      </c>
      <c r="E6464" s="2" t="str">
        <f>"RELATÓRIO DE DOCUMENTOS"</f>
        <v>RELATÓRIO DE DOCUMENTOS</v>
      </c>
      <c r="F6464" s="2" t="str">
        <f>"VW_PAGU_MGES_FFCV"</f>
        <v>VW_PAGU_MGES_FFCV</v>
      </c>
      <c r="G6464" s="2" t="str">
        <f>" ()"</f>
        <v xml:space="preserve"> ()</v>
      </c>
    </row>
    <row r="6465" spans="1:7" x14ac:dyDescent="0.3">
      <c r="A6465" s="1" t="s">
        <v>4</v>
      </c>
      <c r="B6465" s="2" t="str">
        <f t="shared" si="534"/>
        <v>CONTROLE DE DOCUMENTO</v>
      </c>
      <c r="C6465" s="2" t="str">
        <f t="shared" si="535"/>
        <v>FATUR-CONV</v>
      </c>
      <c r="D6465" s="2" t="str">
        <f t="shared" si="536"/>
        <v>MOVDOC</v>
      </c>
      <c r="E6465" s="2" t="str">
        <f>"RELATÓRIO DE INTEGRAÇÃO SAME"</f>
        <v>RELATÓRIO DE INTEGRAÇÃO SAME</v>
      </c>
      <c r="F6465" s="2" t="str">
        <f>"R_INTEGRACAO_SAME"</f>
        <v>R_INTEGRACAO_SAME</v>
      </c>
      <c r="G6465" s="2" t="str">
        <f>"Serviços de Apoio / Movimentação de Documentos / Relatórios / Operacionais / Integração SAME (R_INTEGRACAO_SAME)"</f>
        <v>Serviços de Apoio / Movimentação de Documentos / Relatórios / Operacionais / Integração SAME (R_INTEGRACAO_SAME)</v>
      </c>
    </row>
    <row r="6466" spans="1:7" x14ac:dyDescent="0.3">
      <c r="A6466" s="1" t="s">
        <v>4</v>
      </c>
      <c r="B6466" s="2" t="str">
        <f t="shared" si="534"/>
        <v>CONTROLE DE DOCUMENTO</v>
      </c>
      <c r="C6466" s="2" t="str">
        <f t="shared" si="535"/>
        <v>FATUR-CONV</v>
      </c>
      <c r="D6466" s="2" t="str">
        <f t="shared" si="536"/>
        <v>MOVDOC</v>
      </c>
      <c r="E6466" s="2" t="str">
        <f>"ETIQUETAS DE CÓDIGO DE BARRAS"</f>
        <v>ETIQUETAS DE CÓDIGO DE BARRAS</v>
      </c>
      <c r="F6466" s="2" t="str">
        <f>"M_CONFIG_ETIQUETA_MOVDOC"</f>
        <v>M_CONFIG_ETIQUETA_MOVDOC</v>
      </c>
      <c r="G6466" s="2" t="str">
        <f>"Serviços de Apoio / Movimentação de Documentos / Configurações / Etiqueta de Código de Barras (M_CONFIG_ETIQUETA_MOVDOC)"</f>
        <v>Serviços de Apoio / Movimentação de Documentos / Configurações / Etiqueta de Código de Barras (M_CONFIG_ETIQUETA_MOVDOC)</v>
      </c>
    </row>
    <row r="6467" spans="1:7" x14ac:dyDescent="0.3">
      <c r="A6467" s="1" t="s">
        <v>4</v>
      </c>
      <c r="B6467" s="2" t="str">
        <f t="shared" si="534"/>
        <v>CONTROLE DE DOCUMENTO</v>
      </c>
      <c r="C6467" s="2" t="str">
        <f t="shared" si="535"/>
        <v>FATUR-CONV</v>
      </c>
      <c r="D6467" s="2" t="str">
        <f t="shared" si="536"/>
        <v>MOVDOC</v>
      </c>
      <c r="E6467" s="2" t="str">
        <f>"M_DOCUMENTO_REQ"</f>
        <v>M_DOCUMENTO_REQ</v>
      </c>
      <c r="F6467" s="2" t="str">
        <f>"M_DOCUMENTO_REQ"</f>
        <v>M_DOCUMENTO_REQ</v>
      </c>
      <c r="G6467" s="2" t="str">
        <f>"Serviços de Apoio / Movimentação de Documentos / Tabelas / Documentos Requisitados (M_DOCUMENTO_REQ)"</f>
        <v>Serviços de Apoio / Movimentação de Documentos / Tabelas / Documentos Requisitados (M_DOCUMENTO_REQ)</v>
      </c>
    </row>
    <row r="6468" spans="1:7" x14ac:dyDescent="0.3">
      <c r="A6468" s="1" t="s">
        <v>4</v>
      </c>
      <c r="B6468" s="2" t="str">
        <f t="shared" si="534"/>
        <v>CONTROLE DE DOCUMENTO</v>
      </c>
      <c r="C6468" s="2" t="str">
        <f t="shared" si="535"/>
        <v>FATUR-CONV</v>
      </c>
      <c r="D6468" s="2" t="str">
        <f t="shared" si="536"/>
        <v>MOVDOC</v>
      </c>
      <c r="E6468" s="2" t="str">
        <f>"MOVIMENTAÇÃO DE DOCUMENTOS"</f>
        <v>MOVIMENTAÇÃO DE DOCUMENTOS</v>
      </c>
      <c r="F6468" s="2" t="str">
        <f>"C_PROT_DOC"</f>
        <v>C_PROT_DOC</v>
      </c>
      <c r="G6468" s="2" t="str">
        <f>"Serviços de Apoio / Movimentação de Documentos / Consultas / Movimentações por Atendimento (C_PROT_DOC)"</f>
        <v>Serviços de Apoio / Movimentação de Documentos / Consultas / Movimentações por Atendimento (C_PROT_DOC)</v>
      </c>
    </row>
    <row r="6469" spans="1:7" x14ac:dyDescent="0.3">
      <c r="A6469" s="1" t="s">
        <v>4</v>
      </c>
      <c r="B6469" s="2" t="str">
        <f t="shared" si="534"/>
        <v>CONTROLE DE DOCUMENTO</v>
      </c>
      <c r="C6469" s="2" t="str">
        <f t="shared" si="535"/>
        <v>FATUR-CONV</v>
      </c>
      <c r="D6469" s="2" t="str">
        <f t="shared" si="536"/>
        <v>MOVDOC</v>
      </c>
      <c r="E6469" s="2" t="str">
        <f>"RELATÓRIO DE MOVIMENTAÇÃO DE CONTAS"</f>
        <v>RELATÓRIO DE MOVIMENTAÇÃO DE CONTAS</v>
      </c>
      <c r="F6469" s="2" t="str">
        <f>"R_MVTO_SETOR"</f>
        <v>R_MVTO_SETOR</v>
      </c>
      <c r="G6469" s="2" t="str">
        <f>" ()"</f>
        <v xml:space="preserve"> ()</v>
      </c>
    </row>
    <row r="6470" spans="1:7" x14ac:dyDescent="0.3">
      <c r="A6470" s="1" t="s">
        <v>4</v>
      </c>
      <c r="B6470" s="2" t="str">
        <f t="shared" si="534"/>
        <v>CONTROLE DE DOCUMENTO</v>
      </c>
      <c r="C6470" s="2" t="str">
        <f t="shared" si="535"/>
        <v>FATUR-CONV</v>
      </c>
      <c r="D6470" s="2" t="str">
        <f t="shared" si="536"/>
        <v>MOVDOC</v>
      </c>
      <c r="E6470" s="2" t="str">
        <f>"CADASTRO: GRUPOS DE DOCUMENTOS"</f>
        <v>CADASTRO: GRUPOS DE DOCUMENTOS</v>
      </c>
      <c r="F6470" s="2" t="str">
        <f>"M_GRU_DOC"</f>
        <v>M_GRU_DOC</v>
      </c>
      <c r="G6470" s="2" t="str">
        <f>"Serviços de Apoio / Movimentação de Documentos / Tabelas / Grupos de Documento (M_GRU_DOC)"</f>
        <v>Serviços de Apoio / Movimentação de Documentos / Tabelas / Grupos de Documento (M_GRU_DOC)</v>
      </c>
    </row>
    <row r="6471" spans="1:7" x14ac:dyDescent="0.3">
      <c r="A6471" s="1" t="s">
        <v>4</v>
      </c>
      <c r="B6471" s="2" t="str">
        <f t="shared" si="534"/>
        <v>CONTROLE DE DOCUMENTO</v>
      </c>
      <c r="C6471" s="2" t="str">
        <f t="shared" si="535"/>
        <v>FATUR-CONV</v>
      </c>
      <c r="D6471" s="2" t="str">
        <f t="shared" si="536"/>
        <v>MOVDOC</v>
      </c>
      <c r="E6471" s="2" t="str">
        <f>"MOVDOC"</f>
        <v>MOVDOC</v>
      </c>
      <c r="F6471" s="2" t="str">
        <f>"MOVDOC"</f>
        <v>MOVDOC</v>
      </c>
      <c r="G6471" s="2" t="str">
        <f>" ()"</f>
        <v xml:space="preserve"> ()</v>
      </c>
    </row>
    <row r="6472" spans="1:7" x14ac:dyDescent="0.3">
      <c r="A6472" s="1" t="s">
        <v>4</v>
      </c>
      <c r="B6472" s="2" t="str">
        <f t="shared" si="534"/>
        <v>CONTROLE DE DOCUMENTO</v>
      </c>
      <c r="C6472" s="2" t="str">
        <f t="shared" si="535"/>
        <v>FATUR-CONV</v>
      </c>
      <c r="D6472" s="2" t="str">
        <f t="shared" si="536"/>
        <v>MOVDOC</v>
      </c>
      <c r="E6472" s="2" t="str">
        <f>"WIN_PRINCIPAL"</f>
        <v>WIN_PRINCIPAL</v>
      </c>
      <c r="F6472" s="2" t="str">
        <f>"M_FLUXO_DOCUMENTO"</f>
        <v>M_FLUXO_DOCUMENTO</v>
      </c>
      <c r="G6472" s="2" t="str">
        <f>"Serviços de Apoio / Movimentação de Documentos / Tabelas / Fluxo de Documentos (M_FLUXO_DOCUMENTO)"</f>
        <v>Serviços de Apoio / Movimentação de Documentos / Tabelas / Fluxo de Documentos (M_FLUXO_DOCUMENTO)</v>
      </c>
    </row>
    <row r="6473" spans="1:7" x14ac:dyDescent="0.3">
      <c r="A6473" s="1" t="s">
        <v>4</v>
      </c>
      <c r="B6473" s="2" t="str">
        <f t="shared" si="534"/>
        <v>CONTROLE DE DOCUMENTO</v>
      </c>
      <c r="C6473" s="2" t="str">
        <f t="shared" si="535"/>
        <v>FATUR-CONV</v>
      </c>
      <c r="D6473" s="2" t="str">
        <f t="shared" si="536"/>
        <v>MOVDOC</v>
      </c>
      <c r="E6473" s="2" t="str">
        <f>"RELATÓRIO DE LISTA DE CHECAGEM"</f>
        <v>RELATÓRIO DE LISTA DE CHECAGEM</v>
      </c>
      <c r="F6473" s="2" t="str">
        <f>"R_LISTA_CHECAGEM.RDF"</f>
        <v>R_LISTA_CHECAGEM.RDF</v>
      </c>
      <c r="G6473" s="2" t="str">
        <f t="shared" ref="G6473:G6479" si="537">" ()"</f>
        <v xml:space="preserve"> ()</v>
      </c>
    </row>
    <row r="6474" spans="1:7" x14ac:dyDescent="0.3">
      <c r="A6474" s="1" t="s">
        <v>4</v>
      </c>
      <c r="B6474" s="2" t="str">
        <f t="shared" si="534"/>
        <v>CONTROLE DE DOCUMENTO</v>
      </c>
      <c r="C6474" s="2" t="str">
        <f t="shared" si="535"/>
        <v>FATUR-CONV</v>
      </c>
      <c r="D6474" s="2" t="str">
        <f t="shared" si="536"/>
        <v>MOVDOC</v>
      </c>
      <c r="E6474" s="2" t="str">
        <f>"DOCUMENTOS NÃO PROTOCOLADOS DO ATEND."</f>
        <v>DOCUMENTOS NÃO PROTOCOLADOS DO ATEND.</v>
      </c>
      <c r="F6474" s="2" t="str">
        <f>"R_NAO_PROT_ATEND.RDF"</f>
        <v>R_NAO_PROT_ATEND.RDF</v>
      </c>
      <c r="G6474" s="2" t="str">
        <f t="shared" si="537"/>
        <v xml:space="preserve"> ()</v>
      </c>
    </row>
    <row r="6475" spans="1:7" x14ac:dyDescent="0.3">
      <c r="A6475" s="1" t="s">
        <v>4</v>
      </c>
      <c r="B6475" s="2" t="str">
        <f t="shared" si="534"/>
        <v>CONTROLE DE DOCUMENTO</v>
      </c>
      <c r="C6475" s="2" t="str">
        <f t="shared" si="535"/>
        <v>FATUR-CONV</v>
      </c>
      <c r="D6475" s="2" t="str">
        <f t="shared" si="536"/>
        <v>MOVDOC</v>
      </c>
      <c r="E6475" s="2" t="str">
        <f>"RELATÓRIO DE INTEGRAÇÃO SAME"</f>
        <v>RELATÓRIO DE INTEGRAÇÃO SAME</v>
      </c>
      <c r="F6475" s="2" t="str">
        <f>"R_INTEGRACAO_SAME.RDF"</f>
        <v>R_INTEGRACAO_SAME.RDF</v>
      </c>
      <c r="G6475" s="2" t="str">
        <f t="shared" si="537"/>
        <v xml:space="preserve"> ()</v>
      </c>
    </row>
    <row r="6476" spans="1:7" x14ac:dyDescent="0.3">
      <c r="A6476" s="1" t="s">
        <v>4</v>
      </c>
      <c r="B6476" s="2" t="str">
        <f t="shared" si="534"/>
        <v>CONTROLE DE DOCUMENTO</v>
      </c>
      <c r="C6476" s="2" t="str">
        <f t="shared" si="535"/>
        <v>FATUR-CONV</v>
      </c>
      <c r="D6476" s="2" t="str">
        <f t="shared" si="536"/>
        <v>MOVDOC</v>
      </c>
      <c r="E6476" s="2" t="str">
        <f>"RELATÓRIO DE PROTOCOLOS POR ATENDIMENTO"</f>
        <v>RELATÓRIO DE PROTOCOLOS POR ATENDIMENTO</v>
      </c>
      <c r="F6476" s="2" t="str">
        <f>"R_PROT_ATEND.RDF"</f>
        <v>R_PROT_ATEND.RDF</v>
      </c>
      <c r="G6476" s="2" t="str">
        <f t="shared" si="537"/>
        <v xml:space="preserve"> ()</v>
      </c>
    </row>
    <row r="6477" spans="1:7" x14ac:dyDescent="0.3">
      <c r="A6477" s="1" t="s">
        <v>4</v>
      </c>
      <c r="B6477" s="2" t="str">
        <f t="shared" si="534"/>
        <v>CONTROLE DE DOCUMENTO</v>
      </c>
      <c r="C6477" s="2" t="str">
        <f t="shared" si="535"/>
        <v>FATUR-CONV</v>
      </c>
      <c r="D6477" s="2" t="str">
        <f t="shared" si="536"/>
        <v>MOVDOC</v>
      </c>
      <c r="E6477" s="2" t="str">
        <f>"M_EXCLUSAO_PASTAPARC"</f>
        <v>M_EXCLUSAO_PASTAPARC</v>
      </c>
      <c r="F6477" s="2" t="str">
        <f>"M_EXCLUSAO_PASTAPARC"</f>
        <v>M_EXCLUSAO_PASTAPARC</v>
      </c>
      <c r="G6477" s="2" t="str">
        <f t="shared" si="537"/>
        <v xml:space="preserve"> ()</v>
      </c>
    </row>
    <row r="6478" spans="1:7" x14ac:dyDescent="0.3">
      <c r="A6478" s="1" t="s">
        <v>4</v>
      </c>
      <c r="B6478" s="2" t="str">
        <f>""</f>
        <v/>
      </c>
      <c r="C6478" s="2" t="str">
        <f>""</f>
        <v/>
      </c>
      <c r="D6478" s="2" t="str">
        <f>"M_PORT"</f>
        <v>M_PORT</v>
      </c>
      <c r="E6478" s="2" t="str">
        <f>"C_ADM"</f>
        <v>C_ADM</v>
      </c>
      <c r="F6478" s="2" t="str">
        <f>"C_ADM"</f>
        <v>C_ADM</v>
      </c>
      <c r="G6478" s="2" t="str">
        <f t="shared" si="537"/>
        <v xml:space="preserve"> ()</v>
      </c>
    </row>
    <row r="6479" spans="1:7" x14ac:dyDescent="0.3">
      <c r="A6479" s="1" t="s">
        <v>4</v>
      </c>
      <c r="B6479" s="2" t="str">
        <f>"MANUTENÇÃO DE TABELAS DO SUS"</f>
        <v>MANUTENÇÃO DE TABELAS DO SUS</v>
      </c>
      <c r="C6479" s="2" t="str">
        <f>""</f>
        <v/>
      </c>
      <c r="D6479" s="2" t="str">
        <f>"MTAB"</f>
        <v>MTAB</v>
      </c>
      <c r="E6479" s="2" t="str">
        <f>"IMPORTAÇÃO DO ARQUIVO GERADO PELO CLIPPE"</f>
        <v>IMPORTAÇÃO DO ARQUIVO GERADO PELO CLIPPE</v>
      </c>
      <c r="F6479" s="2" t="str">
        <f>"M_IMPORTA_TABSIA_DOS"</f>
        <v>M_IMPORTA_TABSIA_DOS</v>
      </c>
      <c r="G6479" s="2" t="str">
        <f t="shared" si="537"/>
        <v xml:space="preserve"> ()</v>
      </c>
    </row>
    <row r="6480" spans="1:7" x14ac:dyDescent="0.3">
      <c r="A6480" s="1" t="s">
        <v>4</v>
      </c>
      <c r="B6480" s="2" t="str">
        <f t="shared" ref="B6480:B6543" si="538">"BIBLIOTECAS GERAIS DO MV2000 E DO SGPS"</f>
        <v>BIBLIOTECAS GERAIS DO MV2000 E DO SGPS</v>
      </c>
      <c r="C6480" s="2" t="str">
        <f>""</f>
        <v/>
      </c>
      <c r="D6480" s="2" t="str">
        <f t="shared" ref="D6480:D6543" si="539">"MV"</f>
        <v>MV</v>
      </c>
      <c r="E6480" s="2" t="str">
        <f>"WIN_PRINCIPAL - 01-HOSPITAL MV SISTEMAS"</f>
        <v>WIN_PRINCIPAL - 01-HOSPITAL MV SISTEMAS</v>
      </c>
      <c r="F6480" s="2" t="str">
        <f>"M_GRU_MOTIVO_GLOSA"</f>
        <v>M_GRU_MOTIVO_GLOSA</v>
      </c>
      <c r="G6480" s="2" t="str">
        <f>"MVSaude / ANS / TISS / Tabelas de Domínio / Grupos de Motivos de Glosa (M_GRU_MOTIVO_GLOSA)"</f>
        <v>MVSaude / ANS / TISS / Tabelas de Domínio / Grupos de Motivos de Glosa (M_GRU_MOTIVO_GLOSA)</v>
      </c>
    </row>
    <row r="6481" spans="1:7" x14ac:dyDescent="0.3">
      <c r="A6481" s="1" t="s">
        <v>4</v>
      </c>
      <c r="B6481" s="2" t="str">
        <f t="shared" si="538"/>
        <v>BIBLIOTECAS GERAIS DO MV2000 E DO SGPS</v>
      </c>
      <c r="C6481" s="2" t="str">
        <f>""</f>
        <v/>
      </c>
      <c r="D6481" s="2" t="str">
        <f t="shared" si="539"/>
        <v>MV</v>
      </c>
      <c r="E6481" s="2" t="str">
        <f>"RELATÓRIO EXTRATO BANCÁRIO"</f>
        <v>RELATÓRIO EXTRATO BANCÁRIO</v>
      </c>
      <c r="F6481" s="2" t="str">
        <f>"R_BOLETIM"</f>
        <v>R_BOLETIM</v>
      </c>
      <c r="G6481" s="2" t="str">
        <f>" ()"</f>
        <v xml:space="preserve"> ()</v>
      </c>
    </row>
    <row r="6482" spans="1:7" x14ac:dyDescent="0.3">
      <c r="A6482" s="1" t="s">
        <v>4</v>
      </c>
      <c r="B6482" s="2" t="str">
        <f t="shared" si="538"/>
        <v>BIBLIOTECAS GERAIS DO MV2000 E DO SGPS</v>
      </c>
      <c r="C6482" s="2" t="str">
        <f>""</f>
        <v/>
      </c>
      <c r="D6482" s="2" t="str">
        <f t="shared" si="539"/>
        <v>MV</v>
      </c>
      <c r="E6482" s="2" t="str">
        <f>"RELATORIO DE USUARIOS"</f>
        <v>RELATORIO DE USUARIOS</v>
      </c>
      <c r="F6482" s="2" t="str">
        <f>"R_MOVIMENTO_CADASTRO"</f>
        <v>R_MOVIMENTO_CADASTRO</v>
      </c>
      <c r="G6482" s="2" t="str">
        <f>" ()"</f>
        <v xml:space="preserve"> ()</v>
      </c>
    </row>
    <row r="6483" spans="1:7" x14ac:dyDescent="0.3">
      <c r="A6483" s="1" t="s">
        <v>4</v>
      </c>
      <c r="B6483" s="2" t="str">
        <f t="shared" si="538"/>
        <v>BIBLIOTECAS GERAIS DO MV2000 E DO SGPS</v>
      </c>
      <c r="C6483" s="2" t="str">
        <f>""</f>
        <v/>
      </c>
      <c r="D6483" s="2" t="str">
        <f t="shared" si="539"/>
        <v>MV</v>
      </c>
      <c r="E6483" s="2" t="str">
        <f>"RELATÓRIO DE REPASSE DE PRESTADORES"</f>
        <v>RELATÓRIO DE REPASSE DE PRESTADORES</v>
      </c>
      <c r="F6483" s="2" t="str">
        <f>"TESTE_MARCOS1"</f>
        <v>TESTE_MARCOS1</v>
      </c>
      <c r="G6483" s="2" t="str">
        <f>" ()"</f>
        <v xml:space="preserve"> ()</v>
      </c>
    </row>
    <row r="6484" spans="1:7" x14ac:dyDescent="0.3">
      <c r="A6484" s="1" t="s">
        <v>4</v>
      </c>
      <c r="B6484" s="2" t="str">
        <f t="shared" si="538"/>
        <v>BIBLIOTECAS GERAIS DO MV2000 E DO SGPS</v>
      </c>
      <c r="C6484" s="2" t="str">
        <f>""</f>
        <v/>
      </c>
      <c r="D6484" s="2" t="str">
        <f t="shared" si="539"/>
        <v>MV</v>
      </c>
      <c r="E6484" s="2" t="str">
        <f>"RELATÓRIO DE PRODUTO"</f>
        <v>RELATÓRIO DE PRODUTO</v>
      </c>
      <c r="F6484" s="2" t="str">
        <f>"PARAMETRO"</f>
        <v>PARAMETRO</v>
      </c>
      <c r="G6484" s="2" t="str">
        <f>" ()"</f>
        <v xml:space="preserve"> ()</v>
      </c>
    </row>
    <row r="6485" spans="1:7" x14ac:dyDescent="0.3">
      <c r="A6485" s="1" t="s">
        <v>4</v>
      </c>
      <c r="B6485" s="2" t="str">
        <f t="shared" si="538"/>
        <v>BIBLIOTECAS GERAIS DO MV2000 E DO SGPS</v>
      </c>
      <c r="C6485" s="2" t="str">
        <f>""</f>
        <v/>
      </c>
      <c r="D6485" s="2" t="str">
        <f t="shared" si="539"/>
        <v>MV</v>
      </c>
      <c r="E6485" s="2" t="str">
        <f>"WIN_PRINCIPAL - HOSPITAL MV SISTEMAS"</f>
        <v>WIN_PRINCIPAL - HOSPITAL MV SISTEMAS</v>
      </c>
      <c r="F6485" s="2" t="str">
        <f>"C_HORARIO"</f>
        <v>C_HORARIO</v>
      </c>
      <c r="G6485" s="2" t="str">
        <f>" ()"</f>
        <v xml:space="preserve"> ()</v>
      </c>
    </row>
    <row r="6486" spans="1:7" x14ac:dyDescent="0.3">
      <c r="A6486" s="1" t="s">
        <v>4</v>
      </c>
      <c r="B6486" s="2" t="str">
        <f t="shared" si="538"/>
        <v>BIBLIOTECAS GERAIS DO MV2000 E DO SGPS</v>
      </c>
      <c r="C6486" s="2" t="str">
        <f>""</f>
        <v/>
      </c>
      <c r="D6486" s="2" t="str">
        <f t="shared" si="539"/>
        <v>MV</v>
      </c>
      <c r="E6486" s="2" t="str">
        <f>"WIN_PRINCIPAL - HOSPITAL MV SISTEMAS"</f>
        <v>WIN_PRINCIPAL - HOSPITAL MV SISTEMAS</v>
      </c>
      <c r="F6486" s="2" t="str">
        <f>"M_TIPO_DOC_CONVENIO"</f>
        <v>M_TIPO_DOC_CONVENIO</v>
      </c>
      <c r="G6486" s="2" t="str">
        <f>"Faturamento / Faturamento de Convênios e Particulares / Tabelas / Gerais / Tipo de Documento (M_TIPO_DOC_CONVENIO)"</f>
        <v>Faturamento / Faturamento de Convênios e Particulares / Tabelas / Gerais / Tipo de Documento (M_TIPO_DOC_CONVENIO)</v>
      </c>
    </row>
    <row r="6487" spans="1:7" x14ac:dyDescent="0.3">
      <c r="A6487" s="1" t="s">
        <v>4</v>
      </c>
      <c r="B6487" s="2" t="str">
        <f t="shared" si="538"/>
        <v>BIBLIOTECAS GERAIS DO MV2000 E DO SGPS</v>
      </c>
      <c r="C6487" s="2" t="str">
        <f>""</f>
        <v/>
      </c>
      <c r="D6487" s="2" t="str">
        <f t="shared" si="539"/>
        <v>MV</v>
      </c>
      <c r="E6487" s="2" t="str">
        <f>"Pedido exame de imagem"</f>
        <v>Pedido exame de imagem</v>
      </c>
      <c r="F6487" s="2" t="str">
        <f>"USR_PEDIDO_RX"</f>
        <v>USR_PEDIDO_RX</v>
      </c>
      <c r="G6487" s="2" t="str">
        <f t="shared" ref="G6487:G6500" si="540">" ()"</f>
        <v xml:space="preserve"> ()</v>
      </c>
    </row>
    <row r="6488" spans="1:7" x14ac:dyDescent="0.3">
      <c r="A6488" s="1" t="s">
        <v>4</v>
      </c>
      <c r="B6488" s="2" t="str">
        <f t="shared" si="538"/>
        <v>BIBLIOTECAS GERAIS DO MV2000 E DO SGPS</v>
      </c>
      <c r="C6488" s="2" t="str">
        <f>""</f>
        <v/>
      </c>
      <c r="D6488" s="2" t="str">
        <f t="shared" si="539"/>
        <v>MV</v>
      </c>
      <c r="E6488" s="2" t="str">
        <f>"R_CONTA_RUBRICA_1"</f>
        <v>R_CONTA_RUBRICA_1</v>
      </c>
      <c r="F6488" s="2" t="str">
        <f>"R_CONTA_RUBRICA_1"</f>
        <v>R_CONTA_RUBRICA_1</v>
      </c>
      <c r="G6488" s="2" t="str">
        <f t="shared" si="540"/>
        <v xml:space="preserve"> ()</v>
      </c>
    </row>
    <row r="6489" spans="1:7" x14ac:dyDescent="0.3">
      <c r="A6489" s="1" t="s">
        <v>4</v>
      </c>
      <c r="B6489" s="2" t="str">
        <f t="shared" si="538"/>
        <v>BIBLIOTECAS GERAIS DO MV2000 E DO SGPS</v>
      </c>
      <c r="C6489" s="2" t="str">
        <f>""</f>
        <v/>
      </c>
      <c r="D6489" s="2" t="str">
        <f t="shared" si="539"/>
        <v>MV</v>
      </c>
      <c r="E6489" s="2" t="str">
        <f>"C_ERRO_CAD_PROD_207"</f>
        <v>C_ERRO_CAD_PROD_207</v>
      </c>
      <c r="F6489" s="2" t="str">
        <f>"C_ERRO_CAD_PROD_207"</f>
        <v>C_ERRO_CAD_PROD_207</v>
      </c>
      <c r="G6489" s="2" t="str">
        <f t="shared" si="540"/>
        <v xml:space="preserve"> ()</v>
      </c>
    </row>
    <row r="6490" spans="1:7" x14ac:dyDescent="0.3">
      <c r="A6490" s="1" t="s">
        <v>4</v>
      </c>
      <c r="B6490" s="2" t="str">
        <f t="shared" si="538"/>
        <v>BIBLIOTECAS GERAIS DO MV2000 E DO SGPS</v>
      </c>
      <c r="C6490" s="2" t="str">
        <f>""</f>
        <v/>
      </c>
      <c r="D6490" s="2" t="str">
        <f t="shared" si="539"/>
        <v>MV</v>
      </c>
      <c r="E6490" s="2" t="str">
        <f>"Transferência de Convênio"</f>
        <v>Transferência de Convênio</v>
      </c>
      <c r="F6490" s="2" t="str">
        <f>"USR_TRANSFERENCIA_DE_CONVENIO"</f>
        <v>USR_TRANSFERENCIA_DE_CONVENIO</v>
      </c>
      <c r="G6490" s="2" t="str">
        <f t="shared" si="540"/>
        <v xml:space="preserve"> ()</v>
      </c>
    </row>
    <row r="6491" spans="1:7" x14ac:dyDescent="0.3">
      <c r="A6491" s="1" t="s">
        <v>4</v>
      </c>
      <c r="B6491" s="2" t="str">
        <f t="shared" si="538"/>
        <v>BIBLIOTECAS GERAIS DO MV2000 E DO SGPS</v>
      </c>
      <c r="C6491" s="2" t="str">
        <f>""</f>
        <v/>
      </c>
      <c r="D6491" s="2" t="str">
        <f t="shared" si="539"/>
        <v>MV</v>
      </c>
      <c r="E6491" s="2" t="str">
        <f>"RELATÓRIO DE REPASSE DE PRESTADORES"</f>
        <v>RELATÓRIO DE REPASSE DE PRESTADORES</v>
      </c>
      <c r="F6491" s="2" t="str">
        <f>"TESTE_MARCOS9"</f>
        <v>TESTE_MARCOS9</v>
      </c>
      <c r="G6491" s="2" t="str">
        <f t="shared" si="540"/>
        <v xml:space="preserve"> ()</v>
      </c>
    </row>
    <row r="6492" spans="1:7" x14ac:dyDescent="0.3">
      <c r="A6492" s="1" t="s">
        <v>4</v>
      </c>
      <c r="B6492" s="2" t="str">
        <f t="shared" si="538"/>
        <v>BIBLIOTECAS GERAIS DO MV2000 E DO SGPS</v>
      </c>
      <c r="C6492" s="2" t="str">
        <f>""</f>
        <v/>
      </c>
      <c r="D6492" s="2" t="str">
        <f t="shared" si="539"/>
        <v>MV</v>
      </c>
      <c r="E6492" s="2" t="str">
        <f>"MOVIMENTO DO CADASTRO POR EMPRESA"</f>
        <v>MOVIMENTO DO CADASTRO POR EMPRESA</v>
      </c>
      <c r="F6492" s="2" t="str">
        <f>"R_USUARIO_INC_ATI_EXC_TAB"</f>
        <v>R_USUARIO_INC_ATI_EXC_TAB</v>
      </c>
      <c r="G6492" s="2" t="str">
        <f t="shared" si="540"/>
        <v xml:space="preserve"> ()</v>
      </c>
    </row>
    <row r="6493" spans="1:7" x14ac:dyDescent="0.3">
      <c r="A6493" s="1" t="s">
        <v>4</v>
      </c>
      <c r="B6493" s="2" t="str">
        <f t="shared" si="538"/>
        <v>BIBLIOTECAS GERAIS DO MV2000 E DO SGPS</v>
      </c>
      <c r="C6493" s="2" t="str">
        <f>""</f>
        <v/>
      </c>
      <c r="D6493" s="2" t="str">
        <f t="shared" si="539"/>
        <v>MV</v>
      </c>
      <c r="E6493" s="2" t="str">
        <f>"RELATÓRIO DE BANCOS"</f>
        <v>RELATÓRIO DE BANCOS</v>
      </c>
      <c r="F6493" s="2" t="str">
        <f>"R_SALDOS_RECEBER"</f>
        <v>R_SALDOS_RECEBER</v>
      </c>
      <c r="G6493" s="2" t="str">
        <f t="shared" si="540"/>
        <v xml:space="preserve"> ()</v>
      </c>
    </row>
    <row r="6494" spans="1:7" x14ac:dyDescent="0.3">
      <c r="A6494" s="1" t="s">
        <v>4</v>
      </c>
      <c r="B6494" s="2" t="str">
        <f t="shared" si="538"/>
        <v>BIBLIOTECAS GERAIS DO MV2000 E DO SGPS</v>
      </c>
      <c r="C6494" s="2" t="str">
        <f>""</f>
        <v/>
      </c>
      <c r="D6494" s="2" t="str">
        <f t="shared" si="539"/>
        <v>MV</v>
      </c>
      <c r="E6494" s="2" t="str">
        <f>"DEMONTRATIVO DE EVENTOS CONHECIDOS"</f>
        <v>DEMONTRATIVO DE EVENTOS CONHECIDOS</v>
      </c>
      <c r="F6494" s="2" t="str">
        <f>"R_RAZAO_COMPETENCIA_CONMEDH"</f>
        <v>R_RAZAO_COMPETENCIA_CONMEDH</v>
      </c>
      <c r="G6494" s="2" t="str">
        <f t="shared" si="540"/>
        <v xml:space="preserve"> ()</v>
      </c>
    </row>
    <row r="6495" spans="1:7" x14ac:dyDescent="0.3">
      <c r="A6495" s="1" t="s">
        <v>4</v>
      </c>
      <c r="B6495" s="2" t="str">
        <f t="shared" si="538"/>
        <v>BIBLIOTECAS GERAIS DO MV2000 E DO SGPS</v>
      </c>
      <c r="C6495" s="2" t="str">
        <f>""</f>
        <v/>
      </c>
      <c r="D6495" s="2" t="str">
        <f t="shared" si="539"/>
        <v>MV</v>
      </c>
      <c r="E6495" s="2" t="str">
        <f>"JOB´S ( MV2000 X DATASUL )"</f>
        <v>JOB´S ( MV2000 X DATASUL )</v>
      </c>
      <c r="F6495" s="2" t="str">
        <f>"O_GERA_JOB"</f>
        <v>O_GERA_JOB</v>
      </c>
      <c r="G6495" s="2" t="str">
        <f t="shared" si="540"/>
        <v xml:space="preserve"> ()</v>
      </c>
    </row>
    <row r="6496" spans="1:7" x14ac:dyDescent="0.3">
      <c r="A6496" s="1" t="s">
        <v>4</v>
      </c>
      <c r="B6496" s="2" t="str">
        <f t="shared" si="538"/>
        <v>BIBLIOTECAS GERAIS DO MV2000 E DO SGPS</v>
      </c>
      <c r="C6496" s="2" t="str">
        <f>""</f>
        <v/>
      </c>
      <c r="D6496" s="2" t="str">
        <f t="shared" si="539"/>
        <v>MV</v>
      </c>
      <c r="E6496" s="2" t="str">
        <f>"BIBLIOTECA MODAL DO SISTEMA"</f>
        <v>BIBLIOTECA MODAL DO SISTEMA</v>
      </c>
      <c r="F6496" s="2" t="str">
        <f>"MODAL"</f>
        <v>MODAL</v>
      </c>
      <c r="G6496" s="2" t="str">
        <f t="shared" si="540"/>
        <v xml:space="preserve"> ()</v>
      </c>
    </row>
    <row r="6497" spans="1:7" x14ac:dyDescent="0.3">
      <c r="A6497" s="1" t="s">
        <v>4</v>
      </c>
      <c r="B6497" s="2" t="str">
        <f t="shared" si="538"/>
        <v>BIBLIOTECAS GERAIS DO MV2000 E DO SGPS</v>
      </c>
      <c r="C6497" s="2" t="str">
        <f>""</f>
        <v/>
      </c>
      <c r="D6497" s="2" t="str">
        <f t="shared" si="539"/>
        <v>MV</v>
      </c>
      <c r="E6497" s="2" t="str">
        <f>"R_PREVISAO_MENSAL"</f>
        <v>R_PREVISAO_MENSAL</v>
      </c>
      <c r="F6497" s="2" t="str">
        <f>"R_PREVISAO_MENSAL"</f>
        <v>R_PREVISAO_MENSAL</v>
      </c>
      <c r="G6497" s="2" t="str">
        <f t="shared" si="540"/>
        <v xml:space="preserve"> ()</v>
      </c>
    </row>
    <row r="6498" spans="1:7" x14ac:dyDescent="0.3">
      <c r="A6498" s="1" t="s">
        <v>4</v>
      </c>
      <c r="B6498" s="2" t="str">
        <f t="shared" si="538"/>
        <v>BIBLIOTECAS GERAIS DO MV2000 E DO SGPS</v>
      </c>
      <c r="C6498" s="2" t="str">
        <f>""</f>
        <v/>
      </c>
      <c r="D6498" s="2" t="str">
        <f t="shared" si="539"/>
        <v>MV</v>
      </c>
      <c r="E6498" s="2" t="str">
        <f>"R_IMVDATASUL_RECEBER"</f>
        <v>R_IMVDATASUL_RECEBER</v>
      </c>
      <c r="F6498" s="2" t="str">
        <f>"R_IMVDATASUL_RECEBER"</f>
        <v>R_IMVDATASUL_RECEBER</v>
      </c>
      <c r="G6498" s="2" t="str">
        <f t="shared" si="540"/>
        <v xml:space="preserve"> ()</v>
      </c>
    </row>
    <row r="6499" spans="1:7" x14ac:dyDescent="0.3">
      <c r="A6499" s="1" t="s">
        <v>4</v>
      </c>
      <c r="B6499" s="2" t="str">
        <f t="shared" si="538"/>
        <v>BIBLIOTECAS GERAIS DO MV2000 E DO SGPS</v>
      </c>
      <c r="C6499" s="2" t="str">
        <f>""</f>
        <v/>
      </c>
      <c r="D6499" s="2" t="str">
        <f t="shared" si="539"/>
        <v>MV</v>
      </c>
      <c r="E6499" s="2" t="str">
        <f>"RELATÓRIO DE SOLICITAÇÃO DE COMPRAS"</f>
        <v>RELATÓRIO DE SOLICITAÇÃO DE COMPRAS</v>
      </c>
      <c r="F6499" s="2" t="str">
        <f>"R_IMVDATASUL_COMPRAS"</f>
        <v>R_IMVDATASUL_COMPRAS</v>
      </c>
      <c r="G6499" s="2" t="str">
        <f t="shared" si="540"/>
        <v xml:space="preserve"> ()</v>
      </c>
    </row>
    <row r="6500" spans="1:7" x14ac:dyDescent="0.3">
      <c r="A6500" s="1" t="s">
        <v>4</v>
      </c>
      <c r="B6500" s="2" t="str">
        <f t="shared" si="538"/>
        <v>BIBLIOTECAS GERAIS DO MV2000 E DO SGPS</v>
      </c>
      <c r="C6500" s="2" t="str">
        <f>""</f>
        <v/>
      </c>
      <c r="D6500" s="2" t="str">
        <f t="shared" si="539"/>
        <v>MV</v>
      </c>
      <c r="E6500" s="2" t="str">
        <f>"RELATÓRIO DE FATURAMENTO GLOBAL"</f>
        <v>RELATÓRIO DE FATURAMENTO GLOBAL</v>
      </c>
      <c r="F6500" s="2" t="str">
        <f>"R_EST_AMB_CONV"</f>
        <v>R_EST_AMB_CONV</v>
      </c>
      <c r="G6500" s="2" t="str">
        <f t="shared" si="540"/>
        <v xml:space="preserve"> ()</v>
      </c>
    </row>
    <row r="6501" spans="1:7" x14ac:dyDescent="0.3">
      <c r="A6501" s="1" t="s">
        <v>4</v>
      </c>
      <c r="B6501" s="2" t="str">
        <f t="shared" si="538"/>
        <v>BIBLIOTECAS GERAIS DO MV2000 E DO SGPS</v>
      </c>
      <c r="C6501" s="2" t="str">
        <f>""</f>
        <v/>
      </c>
      <c r="D6501" s="2" t="str">
        <f t="shared" si="539"/>
        <v>MV</v>
      </c>
      <c r="E6501" s="2" t="str">
        <f>"RELATÓRIO DOS DESLIGAMENTOS DE USUÁRIOS"</f>
        <v>RELATÓRIO DOS DESLIGAMENTOS DE USUÁRIOS</v>
      </c>
      <c r="F6501" s="2" t="str">
        <f>"R_DESLIG_USU"</f>
        <v>R_DESLIG_USU</v>
      </c>
      <c r="G6501" s="2" t="str">
        <f>"MVSaude / Relatórios / Operacionais / Desligamento por Regra Dependentes / Agregados (R_DESLIG_USU)"</f>
        <v>MVSaude / Relatórios / Operacionais / Desligamento por Regra Dependentes / Agregados (R_DESLIG_USU)</v>
      </c>
    </row>
    <row r="6502" spans="1:7" x14ac:dyDescent="0.3">
      <c r="A6502" s="1" t="s">
        <v>4</v>
      </c>
      <c r="B6502" s="2" t="str">
        <f t="shared" si="538"/>
        <v>BIBLIOTECAS GERAIS DO MV2000 E DO SGPS</v>
      </c>
      <c r="C6502" s="2" t="str">
        <f>""</f>
        <v/>
      </c>
      <c r="D6502" s="2" t="str">
        <f t="shared" si="539"/>
        <v>MV</v>
      </c>
      <c r="E6502" s="2" t="str">
        <f>"RELATÓRIO DE REPASSE DE SERVIÇOS"</f>
        <v>RELATÓRIO DE REPASSE DE SERVIÇOS</v>
      </c>
      <c r="F6502" s="2" t="str">
        <f>"R_REP_SERV"</f>
        <v>R_REP_SERV</v>
      </c>
      <c r="G6502" s="2" t="str">
        <f>" ()"</f>
        <v xml:space="preserve"> ()</v>
      </c>
    </row>
    <row r="6503" spans="1:7" x14ac:dyDescent="0.3">
      <c r="A6503" s="1" t="s">
        <v>4</v>
      </c>
      <c r="B6503" s="2" t="str">
        <f t="shared" si="538"/>
        <v>BIBLIOTECAS GERAIS DO MV2000 E DO SGPS</v>
      </c>
      <c r="C6503" s="2" t="str">
        <f>""</f>
        <v/>
      </c>
      <c r="D6503" s="2" t="str">
        <f t="shared" si="539"/>
        <v>MV</v>
      </c>
      <c r="E6503" s="2" t="str">
        <f>"R_LIB_GUIAS"</f>
        <v>R_LIB_GUIAS</v>
      </c>
      <c r="F6503" s="2" t="str">
        <f>"R_LIB_GUIAS"</f>
        <v>R_LIB_GUIAS</v>
      </c>
      <c r="G6503" s="2" t="str">
        <f>"MVSaude / Relatórios / Atendimentos / Registro de Guias (R_LIB_GUIAS)"</f>
        <v>MVSaude / Relatórios / Atendimentos / Registro de Guias (R_LIB_GUIAS)</v>
      </c>
    </row>
    <row r="6504" spans="1:7" x14ac:dyDescent="0.3">
      <c r="A6504" s="1" t="s">
        <v>4</v>
      </c>
      <c r="B6504" s="2" t="str">
        <f t="shared" si="538"/>
        <v>BIBLIOTECAS GERAIS DO MV2000 E DO SGPS</v>
      </c>
      <c r="C6504" s="2" t="str">
        <f>""</f>
        <v/>
      </c>
      <c r="D6504" s="2" t="str">
        <f t="shared" si="539"/>
        <v>MV</v>
      </c>
      <c r="E6504" s="2" t="str">
        <f>"R_RECEITAS_DESPESAS_EMPRESA"</f>
        <v>R_RECEITAS_DESPESAS_EMPRESA</v>
      </c>
      <c r="F6504" s="2" t="str">
        <f>"R_RECEITAS_DESPESAS_EMPRESA"</f>
        <v>R_RECEITAS_DESPESAS_EMPRESA</v>
      </c>
      <c r="G6504" s="2" t="str">
        <f t="shared" ref="G6504:G6509" si="541">" ()"</f>
        <v xml:space="preserve"> ()</v>
      </c>
    </row>
    <row r="6505" spans="1:7" x14ac:dyDescent="0.3">
      <c r="A6505" s="1" t="s">
        <v>4</v>
      </c>
      <c r="B6505" s="2" t="str">
        <f t="shared" si="538"/>
        <v>BIBLIOTECAS GERAIS DO MV2000 E DO SGPS</v>
      </c>
      <c r="C6505" s="2" t="str">
        <f>""</f>
        <v/>
      </c>
      <c r="D6505" s="2" t="str">
        <f t="shared" si="539"/>
        <v>MV</v>
      </c>
      <c r="E6505" s="2" t="str">
        <f>"R_PRECO_ESPECIAL"</f>
        <v>R_PRECO_ESPECIAL</v>
      </c>
      <c r="F6505" s="2" t="str">
        <f>"R_PRECO_ESPECIAL"</f>
        <v>R_PRECO_ESPECIAL</v>
      </c>
      <c r="G6505" s="2" t="str">
        <f t="shared" si="541"/>
        <v xml:space="preserve"> ()</v>
      </c>
    </row>
    <row r="6506" spans="1:7" x14ac:dyDescent="0.3">
      <c r="A6506" s="1" t="s">
        <v>4</v>
      </c>
      <c r="B6506" s="2" t="str">
        <f t="shared" si="538"/>
        <v>BIBLIOTECAS GERAIS DO MV2000 E DO SGPS</v>
      </c>
      <c r="C6506" s="2" t="str">
        <f>""</f>
        <v/>
      </c>
      <c r="D6506" s="2" t="str">
        <f t="shared" si="539"/>
        <v>MV</v>
      </c>
      <c r="E6506" s="2" t="str">
        <f>"RELATÓRIO DE CONTAS E REMESSAS AUDITADAS"</f>
        <v>RELATÓRIO DE CONTAS E REMESSAS AUDITADAS</v>
      </c>
      <c r="F6506" s="2" t="str">
        <f>"R_DIGITACAO_AUDITADA"</f>
        <v>R_DIGITACAO_AUDITADA</v>
      </c>
      <c r="G6506" s="2" t="str">
        <f t="shared" si="541"/>
        <v xml:space="preserve"> ()</v>
      </c>
    </row>
    <row r="6507" spans="1:7" x14ac:dyDescent="0.3">
      <c r="A6507" s="1" t="s">
        <v>4</v>
      </c>
      <c r="B6507" s="2" t="str">
        <f t="shared" si="538"/>
        <v>BIBLIOTECAS GERAIS DO MV2000 E DO SGPS</v>
      </c>
      <c r="C6507" s="2" t="str">
        <f>""</f>
        <v/>
      </c>
      <c r="D6507" s="2" t="str">
        <f t="shared" si="539"/>
        <v>MV</v>
      </c>
      <c r="E6507" s="2" t="str">
        <f>"USUÁRIOS POR EMPRESA/CENTRO DE CUSTO"</f>
        <v>USUÁRIOS POR EMPRESA/CENTRO DE CUSTO</v>
      </c>
      <c r="F6507" s="2" t="str">
        <f>"R_USUCUSTO"</f>
        <v>R_USUCUSTO</v>
      </c>
      <c r="G6507" s="2" t="str">
        <f t="shared" si="541"/>
        <v xml:space="preserve"> ()</v>
      </c>
    </row>
    <row r="6508" spans="1:7" x14ac:dyDescent="0.3">
      <c r="A6508" s="1" t="s">
        <v>4</v>
      </c>
      <c r="B6508" s="2" t="str">
        <f t="shared" si="538"/>
        <v>BIBLIOTECAS GERAIS DO MV2000 E DO SGPS</v>
      </c>
      <c r="C6508" s="2" t="str">
        <f>""</f>
        <v/>
      </c>
      <c r="D6508" s="2" t="str">
        <f t="shared" si="539"/>
        <v>MV</v>
      </c>
      <c r="E6508" s="2" t="str">
        <f>"R_INT_CONV_PLANO"</f>
        <v>R_INT_CONV_PLANO</v>
      </c>
      <c r="F6508" s="2" t="str">
        <f>"R_INT_CONV_PLANO"</f>
        <v>R_INT_CONV_PLANO</v>
      </c>
      <c r="G6508" s="2" t="str">
        <f t="shared" si="541"/>
        <v xml:space="preserve"> ()</v>
      </c>
    </row>
    <row r="6509" spans="1:7" x14ac:dyDescent="0.3">
      <c r="A6509" s="1" t="s">
        <v>4</v>
      </c>
      <c r="B6509" s="2" t="str">
        <f t="shared" si="538"/>
        <v>BIBLIOTECAS GERAIS DO MV2000 E DO SGPS</v>
      </c>
      <c r="C6509" s="2" t="str">
        <f>""</f>
        <v/>
      </c>
      <c r="D6509" s="2" t="str">
        <f t="shared" si="539"/>
        <v>MV</v>
      </c>
      <c r="E6509" s="2" t="str">
        <f>"BIBLIOTECA DE PROCEDIMENTOS PADROES"</f>
        <v>BIBLIOTECA DE PROCEDIMENTOS PADROES</v>
      </c>
      <c r="F6509" s="2" t="str">
        <f>"MV2000.PLL"</f>
        <v>MV2000.PLL</v>
      </c>
      <c r="G6509" s="2" t="str">
        <f t="shared" si="541"/>
        <v xml:space="preserve"> ()</v>
      </c>
    </row>
    <row r="6510" spans="1:7" x14ac:dyDescent="0.3">
      <c r="A6510" s="1" t="s">
        <v>4</v>
      </c>
      <c r="B6510" s="2" t="str">
        <f t="shared" si="538"/>
        <v>BIBLIOTECAS GERAIS DO MV2000 E DO SGPS</v>
      </c>
      <c r="C6510" s="2" t="str">
        <f>""</f>
        <v/>
      </c>
      <c r="D6510" s="2" t="str">
        <f t="shared" si="539"/>
        <v>MV</v>
      </c>
      <c r="E6510" s="2" t="str">
        <f>"ETIQUETAS DE USUÁRIOS"</f>
        <v>ETIQUETAS DE USUÁRIOS</v>
      </c>
      <c r="F6510" s="2" t="str">
        <f>"R_ETQ_USUARIOS"</f>
        <v>R_ETQ_USUARIOS</v>
      </c>
      <c r="G6510" s="2" t="str">
        <f>"MVSaude / Relatórios / Cadastros / Etiquetas para Beneficiários do Plano (R_ETQ_USUARIOS)"</f>
        <v>MVSaude / Relatórios / Cadastros / Etiquetas para Beneficiários do Plano (R_ETQ_USUARIOS)</v>
      </c>
    </row>
    <row r="6511" spans="1:7" x14ac:dyDescent="0.3">
      <c r="A6511" s="1" t="s">
        <v>4</v>
      </c>
      <c r="B6511" s="2" t="str">
        <f t="shared" si="538"/>
        <v>BIBLIOTECAS GERAIS DO MV2000 E DO SGPS</v>
      </c>
      <c r="C6511" s="2" t="str">
        <f>""</f>
        <v/>
      </c>
      <c r="D6511" s="2" t="str">
        <f t="shared" si="539"/>
        <v>MV</v>
      </c>
      <c r="E6511" s="2" t="str">
        <f>"RELATÓRIO DE APLICAÇÕES ABERTAS"</f>
        <v>RELATÓRIO DE APLICAÇÕES ABERTAS</v>
      </c>
      <c r="F6511" s="2" t="str">
        <f>"R_CON_RECEB_340"</f>
        <v>R_CON_RECEB_340</v>
      </c>
      <c r="G6511" s="2" t="str">
        <f>" ()"</f>
        <v xml:space="preserve"> ()</v>
      </c>
    </row>
    <row r="6512" spans="1:7" x14ac:dyDescent="0.3">
      <c r="A6512" s="1" t="s">
        <v>4</v>
      </c>
      <c r="B6512" s="2" t="str">
        <f t="shared" si="538"/>
        <v>BIBLIOTECAS GERAIS DO MV2000 E DO SGPS</v>
      </c>
      <c r="C6512" s="2" t="str">
        <f>""</f>
        <v/>
      </c>
      <c r="D6512" s="2" t="str">
        <f t="shared" si="539"/>
        <v>MV</v>
      </c>
      <c r="E6512" s="2" t="str">
        <f>"R_RATEIO_PROD"</f>
        <v>R_RATEIO_PROD</v>
      </c>
      <c r="F6512" s="2" t="str">
        <f>"R_RATEIO_PROD"</f>
        <v>R_RATEIO_PROD</v>
      </c>
      <c r="G6512" s="2" t="str">
        <f>" ()"</f>
        <v xml:space="preserve"> ()</v>
      </c>
    </row>
    <row r="6513" spans="1:7" x14ac:dyDescent="0.3">
      <c r="A6513" s="1" t="s">
        <v>4</v>
      </c>
      <c r="B6513" s="2" t="str">
        <f t="shared" si="538"/>
        <v>BIBLIOTECAS GERAIS DO MV2000 E DO SGPS</v>
      </c>
      <c r="C6513" s="2" t="str">
        <f>""</f>
        <v/>
      </c>
      <c r="D6513" s="2" t="str">
        <f t="shared" si="539"/>
        <v>MV</v>
      </c>
      <c r="E6513" s="2" t="str">
        <f>"R_PROC_USUARIO"</f>
        <v>R_PROC_USUARIO</v>
      </c>
      <c r="F6513" s="2" t="str">
        <f>"R_PROC_USUARIO"</f>
        <v>R_PROC_USUARIO</v>
      </c>
      <c r="G6513" s="2" t="str">
        <f>"MVSaude / Relatórios / Contas Médicas / Repasse dos Prestadores / Por Beneficiarios (R_PROC_USUARIO)"</f>
        <v>MVSaude / Relatórios / Contas Médicas / Repasse dos Prestadores / Por Beneficiarios (R_PROC_USUARIO)</v>
      </c>
    </row>
    <row r="6514" spans="1:7" x14ac:dyDescent="0.3">
      <c r="A6514" s="1" t="s">
        <v>4</v>
      </c>
      <c r="B6514" s="2" t="str">
        <f t="shared" si="538"/>
        <v>BIBLIOTECAS GERAIS DO MV2000 E DO SGPS</v>
      </c>
      <c r="C6514" s="2" t="str">
        <f>""</f>
        <v/>
      </c>
      <c r="D6514" s="2" t="str">
        <f t="shared" si="539"/>
        <v>MV</v>
      </c>
      <c r="E6514" s="2" t="str">
        <f>"SOLICITAÇÕES DE SISTEMA"</f>
        <v>SOLICITAÇÕES DE SISTEMA</v>
      </c>
      <c r="F6514" s="2" t="str">
        <f>"MV2000PF_DEVELOPER_TEMPLATE_SE"</f>
        <v>MV2000PF_DEVELOPER_TEMPLATE_SE</v>
      </c>
      <c r="G6514" s="2" t="str">
        <f>" ()"</f>
        <v xml:space="preserve"> ()</v>
      </c>
    </row>
    <row r="6515" spans="1:7" x14ac:dyDescent="0.3">
      <c r="A6515" s="1" t="s">
        <v>4</v>
      </c>
      <c r="B6515" s="2" t="str">
        <f t="shared" si="538"/>
        <v>BIBLIOTECAS GERAIS DO MV2000 E DO SGPS</v>
      </c>
      <c r="C6515" s="2" t="str">
        <f>""</f>
        <v/>
      </c>
      <c r="D6515" s="2" t="str">
        <f t="shared" si="539"/>
        <v>MV</v>
      </c>
      <c r="E6515" s="2" t="str">
        <f>"R_REP_PREST_ANALITICO_PROCED"</f>
        <v>R_REP_PREST_ANALITICO_PROCED</v>
      </c>
      <c r="F6515" s="2" t="str">
        <f>"R_REP_PREST_ANALITICO_PROCED"</f>
        <v>R_REP_PREST_ANALITICO_PROCED</v>
      </c>
      <c r="G6515" s="2" t="str">
        <f>"MVSaude / Relatórios / Contas Médicas / Repasse dos Prestadores / Por Contas Medicas (R_REP_PREST_ANALITICO_PROCED)"</f>
        <v>MVSaude / Relatórios / Contas Médicas / Repasse dos Prestadores / Por Contas Medicas (R_REP_PREST_ANALITICO_PROCED)</v>
      </c>
    </row>
    <row r="6516" spans="1:7" x14ac:dyDescent="0.3">
      <c r="A6516" s="1" t="s">
        <v>4</v>
      </c>
      <c r="B6516" s="2" t="str">
        <f t="shared" si="538"/>
        <v>BIBLIOTECAS GERAIS DO MV2000 E DO SGPS</v>
      </c>
      <c r="C6516" s="2" t="str">
        <f>""</f>
        <v/>
      </c>
      <c r="D6516" s="2" t="str">
        <f t="shared" si="539"/>
        <v>MV</v>
      </c>
      <c r="E6516" s="2" t="str">
        <f>"RELATÓRIO DE RESUMO DE OBTOS POR CLINICA"</f>
        <v>RELATÓRIO DE RESUMO DE OBTOS POR CLINICA</v>
      </c>
      <c r="F6516" s="2" t="str">
        <f>"R_RESUMO_OBTOS_POR_CLINICA"</f>
        <v>R_RESUMO_OBTOS_POR_CLINICA</v>
      </c>
      <c r="G6516" s="2" t="str">
        <f t="shared" ref="G6516:G6552" si="542">" ()"</f>
        <v xml:space="preserve"> ()</v>
      </c>
    </row>
    <row r="6517" spans="1:7" x14ac:dyDescent="0.3">
      <c r="A6517" s="1" t="s">
        <v>4</v>
      </c>
      <c r="B6517" s="2" t="str">
        <f t="shared" si="538"/>
        <v>BIBLIOTECAS GERAIS DO MV2000 E DO SGPS</v>
      </c>
      <c r="C6517" s="2" t="str">
        <f>""</f>
        <v/>
      </c>
      <c r="D6517" s="2" t="str">
        <f t="shared" si="539"/>
        <v>MV</v>
      </c>
      <c r="E6517" s="2" t="str">
        <f>"MV2000PF.PLL"</f>
        <v>MV2000PF.PLL</v>
      </c>
      <c r="F6517" s="2" t="str">
        <f>"MV2000PF.PLL"</f>
        <v>MV2000PF.PLL</v>
      </c>
      <c r="G6517" s="2" t="str">
        <f t="shared" si="542"/>
        <v xml:space="preserve"> ()</v>
      </c>
    </row>
    <row r="6518" spans="1:7" x14ac:dyDescent="0.3">
      <c r="A6518" s="1" t="s">
        <v>4</v>
      </c>
      <c r="B6518" s="2" t="str">
        <f t="shared" si="538"/>
        <v>BIBLIOTECAS GERAIS DO MV2000 E DO SGPS</v>
      </c>
      <c r="C6518" s="2" t="str">
        <f>""</f>
        <v/>
      </c>
      <c r="D6518" s="2" t="str">
        <f t="shared" si="539"/>
        <v>MV</v>
      </c>
      <c r="E6518" s="2" t="str">
        <f>"IMPRESSÃO DE ETIQUETAS"</f>
        <v>IMPRESSÃO DE ETIQUETAS</v>
      </c>
      <c r="F6518" s="2" t="str">
        <f>"R_IMP_ETIQUETA"</f>
        <v>R_IMP_ETIQUETA</v>
      </c>
      <c r="G6518" s="2" t="str">
        <f t="shared" si="542"/>
        <v xml:space="preserve"> ()</v>
      </c>
    </row>
    <row r="6519" spans="1:7" x14ac:dyDescent="0.3">
      <c r="A6519" s="1" t="s">
        <v>4</v>
      </c>
      <c r="B6519" s="2" t="str">
        <f t="shared" si="538"/>
        <v>BIBLIOTECAS GERAIS DO MV2000 E DO SGPS</v>
      </c>
      <c r="C6519" s="2" t="str">
        <f>""</f>
        <v/>
      </c>
      <c r="D6519" s="2" t="str">
        <f t="shared" si="539"/>
        <v>MV</v>
      </c>
      <c r="E6519" s="2" t="str">
        <f>"WIN_PRINCIPAL - HOSPITAL MV SISTEMAS"</f>
        <v>WIN_PRINCIPAL - HOSPITAL MV SISTEMAS</v>
      </c>
      <c r="F6519" s="2" t="str">
        <f>"M_FAQ"</f>
        <v>M_FAQ</v>
      </c>
      <c r="G6519" s="2" t="str">
        <f t="shared" si="542"/>
        <v xml:space="preserve"> ()</v>
      </c>
    </row>
    <row r="6520" spans="1:7" x14ac:dyDescent="0.3">
      <c r="A6520" s="1" t="s">
        <v>4</v>
      </c>
      <c r="B6520" s="2" t="str">
        <f t="shared" si="538"/>
        <v>BIBLIOTECAS GERAIS DO MV2000 E DO SGPS</v>
      </c>
      <c r="C6520" s="2" t="str">
        <f>""</f>
        <v/>
      </c>
      <c r="D6520" s="2" t="str">
        <f t="shared" si="539"/>
        <v>MV</v>
      </c>
      <c r="E6520" s="2" t="str">
        <f>"M_OBJ_BANCO"</f>
        <v>M_OBJ_BANCO</v>
      </c>
      <c r="F6520" s="2" t="str">
        <f>"M_OBJ_BANCO"</f>
        <v>M_OBJ_BANCO</v>
      </c>
      <c r="G6520" s="2" t="str">
        <f t="shared" si="542"/>
        <v xml:space="preserve"> ()</v>
      </c>
    </row>
    <row r="6521" spans="1:7" x14ac:dyDescent="0.3">
      <c r="A6521" s="1" t="s">
        <v>4</v>
      </c>
      <c r="B6521" s="2" t="str">
        <f t="shared" si="538"/>
        <v>BIBLIOTECAS GERAIS DO MV2000 E DO SGPS</v>
      </c>
      <c r="C6521" s="2" t="str">
        <f>""</f>
        <v/>
      </c>
      <c r="D6521" s="2" t="str">
        <f t="shared" si="539"/>
        <v>MV</v>
      </c>
      <c r="E6521" s="2" t="str">
        <f>"IMPORTAR_TEXTO"</f>
        <v>IMPORTAR_TEXTO</v>
      </c>
      <c r="F6521" s="2" t="str">
        <f>"IMPORTAR_TEXTO"</f>
        <v>IMPORTAR_TEXTO</v>
      </c>
      <c r="G6521" s="2" t="str">
        <f t="shared" si="542"/>
        <v xml:space="preserve"> ()</v>
      </c>
    </row>
    <row r="6522" spans="1:7" x14ac:dyDescent="0.3">
      <c r="A6522" s="1" t="s">
        <v>4</v>
      </c>
      <c r="B6522" s="2" t="str">
        <f t="shared" si="538"/>
        <v>BIBLIOTECAS GERAIS DO MV2000 E DO SGPS</v>
      </c>
      <c r="C6522" s="2" t="str">
        <f>""</f>
        <v/>
      </c>
      <c r="D6522" s="2" t="str">
        <f t="shared" si="539"/>
        <v>MV</v>
      </c>
      <c r="E6522" s="2" t="str">
        <f>"ITEM_HOSPITALAR"</f>
        <v>ITEM_HOSPITALAR</v>
      </c>
      <c r="F6522" s="2" t="str">
        <f>"ITEM_HOSPITALAR"</f>
        <v>ITEM_HOSPITALAR</v>
      </c>
      <c r="G6522" s="2" t="str">
        <f t="shared" si="542"/>
        <v xml:space="preserve"> ()</v>
      </c>
    </row>
    <row r="6523" spans="1:7" x14ac:dyDescent="0.3">
      <c r="A6523" s="1" t="s">
        <v>4</v>
      </c>
      <c r="B6523" s="2" t="str">
        <f t="shared" si="538"/>
        <v>BIBLIOTECAS GERAIS DO MV2000 E DO SGPS</v>
      </c>
      <c r="C6523" s="2" t="str">
        <f>""</f>
        <v/>
      </c>
      <c r="D6523" s="2" t="str">
        <f t="shared" si="539"/>
        <v>MV</v>
      </c>
      <c r="E6523" s="2" t="str">
        <f t="shared" ref="E6523:E6539" si="543">"WIN_PRINCIPAL"</f>
        <v>WIN_PRINCIPAL</v>
      </c>
      <c r="F6523" s="2" t="str">
        <f>"CAD_PACIENTE"</f>
        <v>CAD_PACIENTE</v>
      </c>
      <c r="G6523" s="2" t="str">
        <f t="shared" si="542"/>
        <v xml:space="preserve"> ()</v>
      </c>
    </row>
    <row r="6524" spans="1:7" x14ac:dyDescent="0.3">
      <c r="A6524" s="1" t="s">
        <v>4</v>
      </c>
      <c r="B6524" s="2" t="str">
        <f t="shared" si="538"/>
        <v>BIBLIOTECAS GERAIS DO MV2000 E DO SGPS</v>
      </c>
      <c r="C6524" s="2" t="str">
        <f>""</f>
        <v/>
      </c>
      <c r="D6524" s="2" t="str">
        <f t="shared" si="539"/>
        <v>MV</v>
      </c>
      <c r="E6524" s="2" t="str">
        <f t="shared" si="543"/>
        <v>WIN_PRINCIPAL</v>
      </c>
      <c r="F6524" s="2" t="str">
        <f>"PROVA_ILO"</f>
        <v>PROVA_ILO</v>
      </c>
      <c r="G6524" s="2" t="str">
        <f t="shared" si="542"/>
        <v xml:space="preserve"> ()</v>
      </c>
    </row>
    <row r="6525" spans="1:7" x14ac:dyDescent="0.3">
      <c r="A6525" s="1" t="s">
        <v>4</v>
      </c>
      <c r="B6525" s="2" t="str">
        <f t="shared" si="538"/>
        <v>BIBLIOTECAS GERAIS DO MV2000 E DO SGPS</v>
      </c>
      <c r="C6525" s="2" t="str">
        <f>""</f>
        <v/>
      </c>
      <c r="D6525" s="2" t="str">
        <f t="shared" si="539"/>
        <v>MV</v>
      </c>
      <c r="E6525" s="2" t="str">
        <f t="shared" si="543"/>
        <v>WIN_PRINCIPAL</v>
      </c>
      <c r="F6525" s="2" t="str">
        <f>"ULTIMO"</f>
        <v>ULTIMO</v>
      </c>
      <c r="G6525" s="2" t="str">
        <f t="shared" si="542"/>
        <v xml:space="preserve"> ()</v>
      </c>
    </row>
    <row r="6526" spans="1:7" x14ac:dyDescent="0.3">
      <c r="A6526" s="1" t="s">
        <v>4</v>
      </c>
      <c r="B6526" s="2" t="str">
        <f t="shared" si="538"/>
        <v>BIBLIOTECAS GERAIS DO MV2000 E DO SGPS</v>
      </c>
      <c r="C6526" s="2" t="str">
        <f>""</f>
        <v/>
      </c>
      <c r="D6526" s="2" t="str">
        <f t="shared" si="539"/>
        <v>MV</v>
      </c>
      <c r="E6526" s="2" t="str">
        <f t="shared" si="543"/>
        <v>WIN_PRINCIPAL</v>
      </c>
      <c r="F6526" s="2" t="str">
        <f>"TESTE2"</f>
        <v>TESTE2</v>
      </c>
      <c r="G6526" s="2" t="str">
        <f t="shared" si="542"/>
        <v xml:space="preserve"> ()</v>
      </c>
    </row>
    <row r="6527" spans="1:7" x14ac:dyDescent="0.3">
      <c r="A6527" s="1" t="s">
        <v>4</v>
      </c>
      <c r="B6527" s="2" t="str">
        <f t="shared" si="538"/>
        <v>BIBLIOTECAS GERAIS DO MV2000 E DO SGPS</v>
      </c>
      <c r="C6527" s="2" t="str">
        <f>""</f>
        <v/>
      </c>
      <c r="D6527" s="2" t="str">
        <f t="shared" si="539"/>
        <v>MV</v>
      </c>
      <c r="E6527" s="2" t="str">
        <f t="shared" si="543"/>
        <v>WIN_PRINCIPAL</v>
      </c>
      <c r="F6527" s="2" t="str">
        <f>"PROVAJESSE"</f>
        <v>PROVAJESSE</v>
      </c>
      <c r="G6527" s="2" t="str">
        <f t="shared" si="542"/>
        <v xml:space="preserve"> ()</v>
      </c>
    </row>
    <row r="6528" spans="1:7" x14ac:dyDescent="0.3">
      <c r="A6528" s="1" t="s">
        <v>4</v>
      </c>
      <c r="B6528" s="2" t="str">
        <f t="shared" si="538"/>
        <v>BIBLIOTECAS GERAIS DO MV2000 E DO SGPS</v>
      </c>
      <c r="C6528" s="2" t="str">
        <f>""</f>
        <v/>
      </c>
      <c r="D6528" s="2" t="str">
        <f t="shared" si="539"/>
        <v>MV</v>
      </c>
      <c r="E6528" s="2" t="str">
        <f t="shared" si="543"/>
        <v>WIN_PRINCIPAL</v>
      </c>
      <c r="F6528" s="2" t="str">
        <f>"EXE_ULT"</f>
        <v>EXE_ULT</v>
      </c>
      <c r="G6528" s="2" t="str">
        <f t="shared" si="542"/>
        <v xml:space="preserve"> ()</v>
      </c>
    </row>
    <row r="6529" spans="1:7" x14ac:dyDescent="0.3">
      <c r="A6529" s="1" t="s">
        <v>4</v>
      </c>
      <c r="B6529" s="2" t="str">
        <f t="shared" si="538"/>
        <v>BIBLIOTECAS GERAIS DO MV2000 E DO SGPS</v>
      </c>
      <c r="C6529" s="2" t="str">
        <f>""</f>
        <v/>
      </c>
      <c r="D6529" s="2" t="str">
        <f t="shared" si="539"/>
        <v>MV</v>
      </c>
      <c r="E6529" s="2" t="str">
        <f t="shared" si="543"/>
        <v>WIN_PRINCIPAL</v>
      </c>
      <c r="F6529" s="2" t="str">
        <f>"PROVA"</f>
        <v>PROVA</v>
      </c>
      <c r="G6529" s="2" t="str">
        <f t="shared" si="542"/>
        <v xml:space="preserve"> ()</v>
      </c>
    </row>
    <row r="6530" spans="1:7" x14ac:dyDescent="0.3">
      <c r="A6530" s="1" t="s">
        <v>4</v>
      </c>
      <c r="B6530" s="2" t="str">
        <f t="shared" si="538"/>
        <v>BIBLIOTECAS GERAIS DO MV2000 E DO SGPS</v>
      </c>
      <c r="C6530" s="2" t="str">
        <f>""</f>
        <v/>
      </c>
      <c r="D6530" s="2" t="str">
        <f t="shared" si="539"/>
        <v>MV</v>
      </c>
      <c r="E6530" s="2" t="str">
        <f t="shared" si="543"/>
        <v>WIN_PRINCIPAL</v>
      </c>
      <c r="F6530" s="2" t="str">
        <f>"EXEC_PROV"</f>
        <v>EXEC_PROV</v>
      </c>
      <c r="G6530" s="2" t="str">
        <f t="shared" si="542"/>
        <v xml:space="preserve"> ()</v>
      </c>
    </row>
    <row r="6531" spans="1:7" x14ac:dyDescent="0.3">
      <c r="A6531" s="1" t="s">
        <v>4</v>
      </c>
      <c r="B6531" s="2" t="str">
        <f t="shared" si="538"/>
        <v>BIBLIOTECAS GERAIS DO MV2000 E DO SGPS</v>
      </c>
      <c r="C6531" s="2" t="str">
        <f>""</f>
        <v/>
      </c>
      <c r="D6531" s="2" t="str">
        <f t="shared" si="539"/>
        <v>MV</v>
      </c>
      <c r="E6531" s="2" t="str">
        <f t="shared" si="543"/>
        <v>WIN_PRINCIPAL</v>
      </c>
      <c r="F6531" s="2" t="str">
        <f>"EXER_P_PROVA"</f>
        <v>EXER_P_PROVA</v>
      </c>
      <c r="G6531" s="2" t="str">
        <f t="shared" si="542"/>
        <v xml:space="preserve"> ()</v>
      </c>
    </row>
    <row r="6532" spans="1:7" x14ac:dyDescent="0.3">
      <c r="A6532" s="1" t="s">
        <v>4</v>
      </c>
      <c r="B6532" s="2" t="str">
        <f t="shared" si="538"/>
        <v>BIBLIOTECAS GERAIS DO MV2000 E DO SGPS</v>
      </c>
      <c r="C6532" s="2" t="str">
        <f>""</f>
        <v/>
      </c>
      <c r="D6532" s="2" t="str">
        <f t="shared" si="539"/>
        <v>MV</v>
      </c>
      <c r="E6532" s="2" t="str">
        <f t="shared" si="543"/>
        <v>WIN_PRINCIPAL</v>
      </c>
      <c r="F6532" s="2" t="str">
        <f>"MODULE8"</f>
        <v>MODULE8</v>
      </c>
      <c r="G6532" s="2" t="str">
        <f t="shared" si="542"/>
        <v xml:space="preserve"> ()</v>
      </c>
    </row>
    <row r="6533" spans="1:7" x14ac:dyDescent="0.3">
      <c r="A6533" s="1" t="s">
        <v>4</v>
      </c>
      <c r="B6533" s="2" t="str">
        <f t="shared" si="538"/>
        <v>BIBLIOTECAS GERAIS DO MV2000 E DO SGPS</v>
      </c>
      <c r="C6533" s="2" t="str">
        <f>""</f>
        <v/>
      </c>
      <c r="D6533" s="2" t="str">
        <f t="shared" si="539"/>
        <v>MV</v>
      </c>
      <c r="E6533" s="2" t="str">
        <f t="shared" si="543"/>
        <v>WIN_PRINCIPAL</v>
      </c>
      <c r="F6533" s="2" t="str">
        <f>"EX_PROVA"</f>
        <v>EX_PROVA</v>
      </c>
      <c r="G6533" s="2" t="str">
        <f t="shared" si="542"/>
        <v xml:space="preserve"> ()</v>
      </c>
    </row>
    <row r="6534" spans="1:7" x14ac:dyDescent="0.3">
      <c r="A6534" s="1" t="s">
        <v>4</v>
      </c>
      <c r="B6534" s="2" t="str">
        <f t="shared" si="538"/>
        <v>BIBLIOTECAS GERAIS DO MV2000 E DO SGPS</v>
      </c>
      <c r="C6534" s="2" t="str">
        <f>""</f>
        <v/>
      </c>
      <c r="D6534" s="2" t="str">
        <f t="shared" si="539"/>
        <v>MV</v>
      </c>
      <c r="E6534" s="2" t="str">
        <f t="shared" si="543"/>
        <v>WIN_PRINCIPAL</v>
      </c>
      <c r="F6534" s="2" t="str">
        <f>"EX_FINAL"</f>
        <v>EX_FINAL</v>
      </c>
      <c r="G6534" s="2" t="str">
        <f t="shared" si="542"/>
        <v xml:space="preserve"> ()</v>
      </c>
    </row>
    <row r="6535" spans="1:7" x14ac:dyDescent="0.3">
      <c r="A6535" s="1" t="s">
        <v>4</v>
      </c>
      <c r="B6535" s="2" t="str">
        <f t="shared" si="538"/>
        <v>BIBLIOTECAS GERAIS DO MV2000 E DO SGPS</v>
      </c>
      <c r="C6535" s="2" t="str">
        <f>""</f>
        <v/>
      </c>
      <c r="D6535" s="2" t="str">
        <f t="shared" si="539"/>
        <v>MV</v>
      </c>
      <c r="E6535" s="2" t="str">
        <f t="shared" si="543"/>
        <v>WIN_PRINCIPAL</v>
      </c>
      <c r="F6535" s="2" t="str">
        <f>"EXECFINAL"</f>
        <v>EXECFINAL</v>
      </c>
      <c r="G6535" s="2" t="str">
        <f t="shared" si="542"/>
        <v xml:space="preserve"> ()</v>
      </c>
    </row>
    <row r="6536" spans="1:7" x14ac:dyDescent="0.3">
      <c r="A6536" s="1" t="s">
        <v>4</v>
      </c>
      <c r="B6536" s="2" t="str">
        <f t="shared" si="538"/>
        <v>BIBLIOTECAS GERAIS DO MV2000 E DO SGPS</v>
      </c>
      <c r="C6536" s="2" t="str">
        <f>""</f>
        <v/>
      </c>
      <c r="D6536" s="2" t="str">
        <f t="shared" si="539"/>
        <v>MV</v>
      </c>
      <c r="E6536" s="2" t="str">
        <f t="shared" si="543"/>
        <v>WIN_PRINCIPAL</v>
      </c>
      <c r="F6536" s="2" t="str">
        <f>"EXERC_FINAL"</f>
        <v>EXERC_FINAL</v>
      </c>
      <c r="G6536" s="2" t="str">
        <f t="shared" si="542"/>
        <v xml:space="preserve"> ()</v>
      </c>
    </row>
    <row r="6537" spans="1:7" x14ac:dyDescent="0.3">
      <c r="A6537" s="1" t="s">
        <v>4</v>
      </c>
      <c r="B6537" s="2" t="str">
        <f t="shared" si="538"/>
        <v>BIBLIOTECAS GERAIS DO MV2000 E DO SGPS</v>
      </c>
      <c r="C6537" s="2" t="str">
        <f>""</f>
        <v/>
      </c>
      <c r="D6537" s="2" t="str">
        <f t="shared" si="539"/>
        <v>MV</v>
      </c>
      <c r="E6537" s="2" t="str">
        <f t="shared" si="543"/>
        <v>WIN_PRINCIPAL</v>
      </c>
      <c r="F6537" s="2" t="str">
        <f>"CURSO"</f>
        <v>CURSO</v>
      </c>
      <c r="G6537" s="2" t="str">
        <f t="shared" si="542"/>
        <v xml:space="preserve"> ()</v>
      </c>
    </row>
    <row r="6538" spans="1:7" x14ac:dyDescent="0.3">
      <c r="A6538" s="1" t="s">
        <v>4</v>
      </c>
      <c r="B6538" s="2" t="str">
        <f t="shared" si="538"/>
        <v>BIBLIOTECAS GERAIS DO MV2000 E DO SGPS</v>
      </c>
      <c r="C6538" s="2" t="str">
        <f>""</f>
        <v/>
      </c>
      <c r="D6538" s="2" t="str">
        <f t="shared" si="539"/>
        <v>MV</v>
      </c>
      <c r="E6538" s="2" t="str">
        <f t="shared" si="543"/>
        <v>WIN_PRINCIPAL</v>
      </c>
      <c r="F6538" s="2" t="str">
        <f>"MODULE7"</f>
        <v>MODULE7</v>
      </c>
      <c r="G6538" s="2" t="str">
        <f t="shared" si="542"/>
        <v xml:space="preserve"> ()</v>
      </c>
    </row>
    <row r="6539" spans="1:7" x14ac:dyDescent="0.3">
      <c r="A6539" s="1" t="s">
        <v>4</v>
      </c>
      <c r="B6539" s="2" t="str">
        <f t="shared" si="538"/>
        <v>BIBLIOTECAS GERAIS DO MV2000 E DO SGPS</v>
      </c>
      <c r="C6539" s="2" t="str">
        <f>""</f>
        <v/>
      </c>
      <c r="D6539" s="2" t="str">
        <f t="shared" si="539"/>
        <v>MV</v>
      </c>
      <c r="E6539" s="2" t="str">
        <f t="shared" si="543"/>
        <v>WIN_PRINCIPAL</v>
      </c>
      <c r="F6539" s="2" t="str">
        <f>"MODULE5"</f>
        <v>MODULE5</v>
      </c>
      <c r="G6539" s="2" t="str">
        <f t="shared" si="542"/>
        <v xml:space="preserve"> ()</v>
      </c>
    </row>
    <row r="6540" spans="1:7" x14ac:dyDescent="0.3">
      <c r="A6540" s="1" t="s">
        <v>4</v>
      </c>
      <c r="B6540" s="2" t="str">
        <f t="shared" si="538"/>
        <v>BIBLIOTECAS GERAIS DO MV2000 E DO SGPS</v>
      </c>
      <c r="C6540" s="2" t="str">
        <f>""</f>
        <v/>
      </c>
      <c r="D6540" s="2" t="str">
        <f t="shared" si="539"/>
        <v>MV</v>
      </c>
      <c r="E6540" s="2" t="str">
        <f>"WIN_PRINCIPAL - HOSPITAL MV SISTEMAS"</f>
        <v>WIN_PRINCIPAL - HOSPITAL MV SISTEMAS</v>
      </c>
      <c r="F6540" s="2" t="str">
        <f>"CLIENTE_CIDADE"</f>
        <v>CLIENTE_CIDADE</v>
      </c>
      <c r="G6540" s="2" t="str">
        <f t="shared" si="542"/>
        <v xml:space="preserve"> ()</v>
      </c>
    </row>
    <row r="6541" spans="1:7" x14ac:dyDescent="0.3">
      <c r="A6541" s="1" t="s">
        <v>4</v>
      </c>
      <c r="B6541" s="2" t="str">
        <f t="shared" si="538"/>
        <v>BIBLIOTECAS GERAIS DO MV2000 E DO SGPS</v>
      </c>
      <c r="C6541" s="2" t="str">
        <f>""</f>
        <v/>
      </c>
      <c r="D6541" s="2" t="str">
        <f t="shared" si="539"/>
        <v>MV</v>
      </c>
      <c r="E6541" s="2" t="str">
        <f t="shared" ref="E6541:E6548" si="544">"WIN_PRINCIPAL"</f>
        <v>WIN_PRINCIPAL</v>
      </c>
      <c r="F6541" s="2" t="str">
        <f>"CONVENIOS"</f>
        <v>CONVENIOS</v>
      </c>
      <c r="G6541" s="2" t="str">
        <f t="shared" si="542"/>
        <v xml:space="preserve"> ()</v>
      </c>
    </row>
    <row r="6542" spans="1:7" x14ac:dyDescent="0.3">
      <c r="A6542" s="1" t="s">
        <v>4</v>
      </c>
      <c r="B6542" s="2" t="str">
        <f t="shared" si="538"/>
        <v>BIBLIOTECAS GERAIS DO MV2000 E DO SGPS</v>
      </c>
      <c r="C6542" s="2" t="str">
        <f>""</f>
        <v/>
      </c>
      <c r="D6542" s="2" t="str">
        <f t="shared" si="539"/>
        <v>MV</v>
      </c>
      <c r="E6542" s="2" t="str">
        <f t="shared" si="544"/>
        <v>WIN_PRINCIPAL</v>
      </c>
      <c r="F6542" s="2" t="str">
        <f>"MODULE6"</f>
        <v>MODULE6</v>
      </c>
      <c r="G6542" s="2" t="str">
        <f t="shared" si="542"/>
        <v xml:space="preserve"> ()</v>
      </c>
    </row>
    <row r="6543" spans="1:7" x14ac:dyDescent="0.3">
      <c r="A6543" s="1" t="s">
        <v>4</v>
      </c>
      <c r="B6543" s="2" t="str">
        <f t="shared" si="538"/>
        <v>BIBLIOTECAS GERAIS DO MV2000 E DO SGPS</v>
      </c>
      <c r="C6543" s="2" t="str">
        <f>""</f>
        <v/>
      </c>
      <c r="D6543" s="2" t="str">
        <f t="shared" si="539"/>
        <v>MV</v>
      </c>
      <c r="E6543" s="2" t="str">
        <f t="shared" si="544"/>
        <v>WIN_PRINCIPAL</v>
      </c>
      <c r="F6543" s="2" t="str">
        <f>"PACIENTES"</f>
        <v>PACIENTES</v>
      </c>
      <c r="G6543" s="2" t="str">
        <f t="shared" si="542"/>
        <v xml:space="preserve"> ()</v>
      </c>
    </row>
    <row r="6544" spans="1:7" x14ac:dyDescent="0.3">
      <c r="A6544" s="1" t="s">
        <v>4</v>
      </c>
      <c r="B6544" s="2" t="str">
        <f t="shared" ref="B6544:B6607" si="545">"BIBLIOTECAS GERAIS DO MV2000 E DO SGPS"</f>
        <v>BIBLIOTECAS GERAIS DO MV2000 E DO SGPS</v>
      </c>
      <c r="C6544" s="2" t="str">
        <f>""</f>
        <v/>
      </c>
      <c r="D6544" s="2" t="str">
        <f t="shared" ref="D6544:D6607" si="546">"MV"</f>
        <v>MV</v>
      </c>
      <c r="E6544" s="2" t="str">
        <f t="shared" si="544"/>
        <v>WIN_PRINCIPAL</v>
      </c>
      <c r="F6544" s="2" t="str">
        <f>"EXERCICIO"</f>
        <v>EXERCICIO</v>
      </c>
      <c r="G6544" s="2" t="str">
        <f t="shared" si="542"/>
        <v xml:space="preserve"> ()</v>
      </c>
    </row>
    <row r="6545" spans="1:7" x14ac:dyDescent="0.3">
      <c r="A6545" s="1" t="s">
        <v>4</v>
      </c>
      <c r="B6545" s="2" t="str">
        <f t="shared" si="545"/>
        <v>BIBLIOTECAS GERAIS DO MV2000 E DO SGPS</v>
      </c>
      <c r="C6545" s="2" t="str">
        <f>""</f>
        <v/>
      </c>
      <c r="D6545" s="2" t="str">
        <f t="shared" si="546"/>
        <v>MV</v>
      </c>
      <c r="E6545" s="2" t="str">
        <f t="shared" si="544"/>
        <v>WIN_PRINCIPAL</v>
      </c>
      <c r="F6545" s="2" t="str">
        <f>"TESTES"</f>
        <v>TESTES</v>
      </c>
      <c r="G6545" s="2" t="str">
        <f t="shared" si="542"/>
        <v xml:space="preserve"> ()</v>
      </c>
    </row>
    <row r="6546" spans="1:7" x14ac:dyDescent="0.3">
      <c r="A6546" s="1" t="s">
        <v>4</v>
      </c>
      <c r="B6546" s="2" t="str">
        <f t="shared" si="545"/>
        <v>BIBLIOTECAS GERAIS DO MV2000 E DO SGPS</v>
      </c>
      <c r="C6546" s="2" t="str">
        <f>""</f>
        <v/>
      </c>
      <c r="D6546" s="2" t="str">
        <f t="shared" si="546"/>
        <v>MV</v>
      </c>
      <c r="E6546" s="2" t="str">
        <f t="shared" si="544"/>
        <v>WIN_PRINCIPAL</v>
      </c>
      <c r="F6546" s="2" t="str">
        <f>"TESTE1"</f>
        <v>TESTE1</v>
      </c>
      <c r="G6546" s="2" t="str">
        <f t="shared" si="542"/>
        <v xml:space="preserve"> ()</v>
      </c>
    </row>
    <row r="6547" spans="1:7" x14ac:dyDescent="0.3">
      <c r="A6547" s="1" t="s">
        <v>4</v>
      </c>
      <c r="B6547" s="2" t="str">
        <f t="shared" si="545"/>
        <v>BIBLIOTECAS GERAIS DO MV2000 E DO SGPS</v>
      </c>
      <c r="C6547" s="2" t="str">
        <f>""</f>
        <v/>
      </c>
      <c r="D6547" s="2" t="str">
        <f t="shared" si="546"/>
        <v>MV</v>
      </c>
      <c r="E6547" s="2" t="str">
        <f t="shared" si="544"/>
        <v>WIN_PRINCIPAL</v>
      </c>
      <c r="F6547" s="2" t="str">
        <f>"CIDADE"</f>
        <v>CIDADE</v>
      </c>
      <c r="G6547" s="2" t="str">
        <f t="shared" si="542"/>
        <v xml:space="preserve"> ()</v>
      </c>
    </row>
    <row r="6548" spans="1:7" x14ac:dyDescent="0.3">
      <c r="A6548" s="1" t="s">
        <v>4</v>
      </c>
      <c r="B6548" s="2" t="str">
        <f t="shared" si="545"/>
        <v>BIBLIOTECAS GERAIS DO MV2000 E DO SGPS</v>
      </c>
      <c r="C6548" s="2" t="str">
        <f>""</f>
        <v/>
      </c>
      <c r="D6548" s="2" t="str">
        <f t="shared" si="546"/>
        <v>MV</v>
      </c>
      <c r="E6548" s="2" t="str">
        <f t="shared" si="544"/>
        <v>WIN_PRINCIPAL</v>
      </c>
      <c r="F6548" s="2" t="str">
        <f>"FORM"</f>
        <v>FORM</v>
      </c>
      <c r="G6548" s="2" t="str">
        <f t="shared" si="542"/>
        <v xml:space="preserve"> ()</v>
      </c>
    </row>
    <row r="6549" spans="1:7" x14ac:dyDescent="0.3">
      <c r="A6549" s="1" t="s">
        <v>4</v>
      </c>
      <c r="B6549" s="2" t="str">
        <f t="shared" si="545"/>
        <v>BIBLIOTECAS GERAIS DO MV2000 E DO SGPS</v>
      </c>
      <c r="C6549" s="2" t="str">
        <f>""</f>
        <v/>
      </c>
      <c r="D6549" s="2" t="str">
        <f t="shared" si="546"/>
        <v>MV</v>
      </c>
      <c r="E6549" s="2" t="str">
        <f>"CADASTRO DA LISTA DE PDA´S PRIORITÁRIOS"</f>
        <v>CADASTRO DA LISTA DE PDA´S PRIORITÁRIOS</v>
      </c>
      <c r="F6549" s="2" t="str">
        <f>"M_LISTA_PRIORIDADES"</f>
        <v>M_LISTA_PRIORIDADES</v>
      </c>
      <c r="G6549" s="2" t="str">
        <f t="shared" si="542"/>
        <v xml:space="preserve"> ()</v>
      </c>
    </row>
    <row r="6550" spans="1:7" x14ac:dyDescent="0.3">
      <c r="A6550" s="1" t="s">
        <v>4</v>
      </c>
      <c r="B6550" s="2" t="str">
        <f t="shared" si="545"/>
        <v>BIBLIOTECAS GERAIS DO MV2000 E DO SGPS</v>
      </c>
      <c r="C6550" s="2" t="str">
        <f>""</f>
        <v/>
      </c>
      <c r="D6550" s="2" t="str">
        <f t="shared" si="546"/>
        <v>MV</v>
      </c>
      <c r="E6550" s="2" t="str">
        <f>"GERENCIADOR DE FATURAMENTO SUS"</f>
        <v>GERENCIADOR DE FATURAMENTO SUS</v>
      </c>
      <c r="F6550" s="2" t="str">
        <f>"GERENCIADOR_SUS"</f>
        <v>GERENCIADOR_SUS</v>
      </c>
      <c r="G6550" s="2" t="str">
        <f t="shared" si="542"/>
        <v xml:space="preserve"> ()</v>
      </c>
    </row>
    <row r="6551" spans="1:7" x14ac:dyDescent="0.3">
      <c r="A6551" s="1" t="s">
        <v>4</v>
      </c>
      <c r="B6551" s="2" t="str">
        <f t="shared" si="545"/>
        <v>BIBLIOTECAS GERAIS DO MV2000 E DO SGPS</v>
      </c>
      <c r="C6551" s="2" t="str">
        <f>""</f>
        <v/>
      </c>
      <c r="D6551" s="2" t="str">
        <f t="shared" si="546"/>
        <v>MV</v>
      </c>
      <c r="E6551" s="2" t="str">
        <f>"WIN_PRINCIPAL"</f>
        <v>WIN_PRINCIPAL</v>
      </c>
      <c r="F6551" s="2" t="str">
        <f>"OPERADOR_CRITICA"</f>
        <v>OPERADOR_CRITICA</v>
      </c>
      <c r="G6551" s="2" t="str">
        <f t="shared" si="542"/>
        <v xml:space="preserve"> ()</v>
      </c>
    </row>
    <row r="6552" spans="1:7" x14ac:dyDescent="0.3">
      <c r="A6552" s="1" t="s">
        <v>4</v>
      </c>
      <c r="B6552" s="2" t="str">
        <f t="shared" si="545"/>
        <v>BIBLIOTECAS GERAIS DO MV2000 E DO SGPS</v>
      </c>
      <c r="C6552" s="2" t="str">
        <f>""</f>
        <v/>
      </c>
      <c r="D6552" s="2" t="str">
        <f t="shared" si="546"/>
        <v>MV</v>
      </c>
      <c r="E6552" s="2" t="str">
        <f>"WIN_PRINCIPAL"</f>
        <v>WIN_PRINCIPAL</v>
      </c>
      <c r="F6552" s="2" t="str">
        <f>"M_CENARIO"</f>
        <v>M_CENARIO</v>
      </c>
      <c r="G6552" s="2" t="str">
        <f t="shared" si="542"/>
        <v xml:space="preserve"> ()</v>
      </c>
    </row>
    <row r="6553" spans="1:7" x14ac:dyDescent="0.3">
      <c r="A6553" s="1" t="s">
        <v>4</v>
      </c>
      <c r="B6553" s="2" t="str">
        <f t="shared" si="545"/>
        <v>BIBLIOTECAS GERAIS DO MV2000 E DO SGPS</v>
      </c>
      <c r="C6553" s="2" t="str">
        <f>""</f>
        <v/>
      </c>
      <c r="D6553" s="2" t="str">
        <f t="shared" si="546"/>
        <v>MV</v>
      </c>
      <c r="E6553" s="2" t="str">
        <f>"MOVIMENTAÇÃO DIÁRIA DAS MENSALIDADES"</f>
        <v>MOVIMENTAÇÃO DIÁRIA DAS MENSALIDADES</v>
      </c>
      <c r="F6553" s="2" t="str">
        <f>"C_MVTO_DIA_MENSALIDADES"</f>
        <v>C_MVTO_DIA_MENSALIDADES</v>
      </c>
      <c r="G6553" s="2" t="str">
        <f>"MVSaude / Consultas / Gerenciais / Movimentação Diária das Receitas (C_MVTO_DIA_MENSALIDADES)"</f>
        <v>MVSaude / Consultas / Gerenciais / Movimentação Diária das Receitas (C_MVTO_DIA_MENSALIDADES)</v>
      </c>
    </row>
    <row r="6554" spans="1:7" x14ac:dyDescent="0.3">
      <c r="A6554" s="1" t="s">
        <v>4</v>
      </c>
      <c r="B6554" s="2" t="str">
        <f t="shared" si="545"/>
        <v>BIBLIOTECAS GERAIS DO MV2000 E DO SGPS</v>
      </c>
      <c r="C6554" s="2" t="str">
        <f>""</f>
        <v/>
      </c>
      <c r="D6554" s="2" t="str">
        <f t="shared" si="546"/>
        <v>MV</v>
      </c>
      <c r="E6554" s="2" t="str">
        <f>"MOVIMENTAÇÃO DIÁRIA DAS MENSALIDADES"</f>
        <v>MOVIMENTAÇÃO DIÁRIA DAS MENSALIDADES</v>
      </c>
      <c r="F6554" s="2" t="str">
        <f>"C_MVTO_DIA_GUIA"</f>
        <v>C_MVTO_DIA_GUIA</v>
      </c>
      <c r="G6554" s="2" t="str">
        <f>"MVSaude / Consultas / Gerenciais / Movimentação Diária das Autorizações (C_MVTO_DIA_GUIA)"</f>
        <v>MVSaude / Consultas / Gerenciais / Movimentação Diária das Autorizações (C_MVTO_DIA_GUIA)</v>
      </c>
    </row>
    <row r="6555" spans="1:7" x14ac:dyDescent="0.3">
      <c r="A6555" s="1" t="s">
        <v>4</v>
      </c>
      <c r="B6555" s="2" t="str">
        <f t="shared" si="545"/>
        <v>BIBLIOTECAS GERAIS DO MV2000 E DO SGPS</v>
      </c>
      <c r="C6555" s="2" t="str">
        <f>""</f>
        <v/>
      </c>
      <c r="D6555" s="2" t="str">
        <f t="shared" si="546"/>
        <v>MV</v>
      </c>
      <c r="E6555" s="2" t="str">
        <f>"MOVIMENTAÇÃO DIÁRIA DAS MENSALIDADES"</f>
        <v>MOVIMENTAÇÃO DIÁRIA DAS MENSALIDADES</v>
      </c>
      <c r="F6555" s="2" t="str">
        <f>"C_DESLIGAMENTO_USUARIOS"</f>
        <v>C_DESLIGAMENTO_USUARIOS</v>
      </c>
      <c r="G6555" s="2" t="str">
        <f t="shared" ref="G6555:G6564" si="547">" ()"</f>
        <v xml:space="preserve"> ()</v>
      </c>
    </row>
    <row r="6556" spans="1:7" x14ac:dyDescent="0.3">
      <c r="A6556" s="1" t="s">
        <v>4</v>
      </c>
      <c r="B6556" s="2" t="str">
        <f t="shared" si="545"/>
        <v>BIBLIOTECAS GERAIS DO MV2000 E DO SGPS</v>
      </c>
      <c r="C6556" s="2" t="str">
        <f>""</f>
        <v/>
      </c>
      <c r="D6556" s="2" t="str">
        <f t="shared" si="546"/>
        <v>MV</v>
      </c>
      <c r="E6556" s="2" t="str">
        <f>"MOVIMENTAÇÃO DIÁRIA DAS MENSALIDADES"</f>
        <v>MOVIMENTAÇÃO DIÁRIA DAS MENSALIDADES</v>
      </c>
      <c r="F6556" s="2" t="str">
        <f>"C_CUSTOS_MEDICOS"</f>
        <v>C_CUSTOS_MEDICOS</v>
      </c>
      <c r="G6556" s="2" t="str">
        <f t="shared" si="547"/>
        <v xml:space="preserve"> ()</v>
      </c>
    </row>
    <row r="6557" spans="1:7" x14ac:dyDescent="0.3">
      <c r="A6557" s="1" t="s">
        <v>4</v>
      </c>
      <c r="B6557" s="2" t="str">
        <f t="shared" si="545"/>
        <v>BIBLIOTECAS GERAIS DO MV2000 E DO SGPS</v>
      </c>
      <c r="C6557" s="2" t="str">
        <f>""</f>
        <v/>
      </c>
      <c r="D6557" s="2" t="str">
        <f t="shared" si="546"/>
        <v>MV</v>
      </c>
      <c r="E6557" s="2" t="str">
        <f>"MOVIMENTAÇÃO DIÁRIA DAS MENSALIDADES"</f>
        <v>MOVIMENTAÇÃO DIÁRIA DAS MENSALIDADES</v>
      </c>
      <c r="F6557" s="2" t="str">
        <f>"C_CUSTO_CONTRATO"</f>
        <v>C_CUSTO_CONTRATO</v>
      </c>
      <c r="G6557" s="2" t="str">
        <f t="shared" si="547"/>
        <v xml:space="preserve"> ()</v>
      </c>
    </row>
    <row r="6558" spans="1:7" x14ac:dyDescent="0.3">
      <c r="A6558" s="1" t="s">
        <v>4</v>
      </c>
      <c r="B6558" s="2" t="str">
        <f t="shared" si="545"/>
        <v>BIBLIOTECAS GERAIS DO MV2000 E DO SGPS</v>
      </c>
      <c r="C6558" s="2" t="str">
        <f>""</f>
        <v/>
      </c>
      <c r="D6558" s="2" t="str">
        <f t="shared" si="546"/>
        <v>MV</v>
      </c>
      <c r="E6558" s="2" t="str">
        <f>"R_LOG_BIO"</f>
        <v>R_LOG_BIO</v>
      </c>
      <c r="F6558" s="2" t="str">
        <f>"R_LOG_BIO"</f>
        <v>R_LOG_BIO</v>
      </c>
      <c r="G6558" s="2" t="str">
        <f t="shared" si="547"/>
        <v xml:space="preserve"> ()</v>
      </c>
    </row>
    <row r="6559" spans="1:7" x14ac:dyDescent="0.3">
      <c r="A6559" s="1" t="s">
        <v>4</v>
      </c>
      <c r="B6559" s="2" t="str">
        <f t="shared" si="545"/>
        <v>BIBLIOTECAS GERAIS DO MV2000 E DO SGPS</v>
      </c>
      <c r="C6559" s="2" t="str">
        <f>""</f>
        <v/>
      </c>
      <c r="D6559" s="2" t="str">
        <f t="shared" si="546"/>
        <v>MV</v>
      </c>
      <c r="E6559" s="2" t="str">
        <f>"CONSULTA DO LOG DE IMPORTAÇÃO BIOCLINICO"</f>
        <v>CONSULTA DO LOG DE IMPORTAÇÃO BIOCLINICO</v>
      </c>
      <c r="F6559" s="2" t="str">
        <f>"C_LOG_BIO"</f>
        <v>C_LOG_BIO</v>
      </c>
      <c r="G6559" s="2" t="str">
        <f t="shared" si="547"/>
        <v xml:space="preserve"> ()</v>
      </c>
    </row>
    <row r="6560" spans="1:7" x14ac:dyDescent="0.3">
      <c r="A6560" s="1" t="s">
        <v>4</v>
      </c>
      <c r="B6560" s="2" t="str">
        <f t="shared" si="545"/>
        <v>BIBLIOTECAS GERAIS DO MV2000 E DO SGPS</v>
      </c>
      <c r="C6560" s="2" t="str">
        <f>""</f>
        <v/>
      </c>
      <c r="D6560" s="2" t="str">
        <f t="shared" si="546"/>
        <v>MV</v>
      </c>
      <c r="E6560" s="2" t="str">
        <f>"WIN_PRINCIPAL"</f>
        <v>WIN_PRINCIPAL</v>
      </c>
      <c r="F6560" s="2" t="str">
        <f>"M_MOVIMENTO_RETORNO"</f>
        <v>M_MOVIMENTO_RETORNO</v>
      </c>
      <c r="G6560" s="2" t="str">
        <f t="shared" si="547"/>
        <v xml:space="preserve"> ()</v>
      </c>
    </row>
    <row r="6561" spans="1:7" x14ac:dyDescent="0.3">
      <c r="A6561" s="1" t="s">
        <v>4</v>
      </c>
      <c r="B6561" s="2" t="str">
        <f t="shared" si="545"/>
        <v>BIBLIOTECAS GERAIS DO MV2000 E DO SGPS</v>
      </c>
      <c r="C6561" s="2" t="str">
        <f>""</f>
        <v/>
      </c>
      <c r="D6561" s="2" t="str">
        <f t="shared" si="546"/>
        <v>MV</v>
      </c>
      <c r="E6561" s="2" t="str">
        <f>"WIN_PRINCIPAL"</f>
        <v>WIN_PRINCIPAL</v>
      </c>
      <c r="F6561" s="2" t="str">
        <f>"M_REGRA_PROGRAMACAO"</f>
        <v>M_REGRA_PROGRAMACAO</v>
      </c>
      <c r="G6561" s="2" t="str">
        <f t="shared" si="547"/>
        <v xml:space="preserve"> ()</v>
      </c>
    </row>
    <row r="6562" spans="1:7" x14ac:dyDescent="0.3">
      <c r="A6562" s="1" t="s">
        <v>4</v>
      </c>
      <c r="B6562" s="2" t="str">
        <f t="shared" si="545"/>
        <v>BIBLIOTECAS GERAIS DO MV2000 E DO SGPS</v>
      </c>
      <c r="C6562" s="2" t="str">
        <f>""</f>
        <v/>
      </c>
      <c r="D6562" s="2" t="str">
        <f t="shared" si="546"/>
        <v>MV</v>
      </c>
      <c r="E6562" s="2" t="str">
        <f>"WIN_PRINCIPAL"</f>
        <v>WIN_PRINCIPAL</v>
      </c>
      <c r="F6562" s="2" t="str">
        <f>"M_MEDICO"</f>
        <v>M_MEDICO</v>
      </c>
      <c r="G6562" s="2" t="str">
        <f t="shared" si="547"/>
        <v xml:space="preserve"> ()</v>
      </c>
    </row>
    <row r="6563" spans="1:7" x14ac:dyDescent="0.3">
      <c r="A6563" s="1" t="s">
        <v>4</v>
      </c>
      <c r="B6563" s="2" t="str">
        <f t="shared" si="545"/>
        <v>BIBLIOTECAS GERAIS DO MV2000 E DO SGPS</v>
      </c>
      <c r="C6563" s="2" t="str">
        <f>""</f>
        <v/>
      </c>
      <c r="D6563" s="2" t="str">
        <f t="shared" si="546"/>
        <v>MV</v>
      </c>
      <c r="E6563" s="2" t="str">
        <f>"CADASTRO: PRESTADOR PCO POLIMED"</f>
        <v>CADASTRO: PRESTADOR PCO POLIMED</v>
      </c>
      <c r="F6563" s="2" t="str">
        <f>"M_PRESTADOR_PCO_POLIMED"</f>
        <v>M_PRESTADOR_PCO_POLIMED</v>
      </c>
      <c r="G6563" s="2" t="str">
        <f t="shared" si="547"/>
        <v xml:space="preserve"> ()</v>
      </c>
    </row>
    <row r="6564" spans="1:7" x14ac:dyDescent="0.3">
      <c r="A6564" s="1" t="s">
        <v>4</v>
      </c>
      <c r="B6564" s="2" t="str">
        <f t="shared" si="545"/>
        <v>BIBLIOTECAS GERAIS DO MV2000 E DO SGPS</v>
      </c>
      <c r="C6564" s="2" t="str">
        <f>""</f>
        <v/>
      </c>
      <c r="D6564" s="2" t="str">
        <f t="shared" si="546"/>
        <v>MV</v>
      </c>
      <c r="E6564" s="2" t="str">
        <f>"COLUNAS DAS TABELAS"</f>
        <v>COLUNAS DAS TABELAS</v>
      </c>
      <c r="F6564" s="2" t="str">
        <f>"M_COLUNA_TAB_REG_LAYOUT_ARQ"</f>
        <v>M_COLUNA_TAB_REG_LAYOUT_ARQ</v>
      </c>
      <c r="G6564" s="2" t="str">
        <f t="shared" si="547"/>
        <v xml:space="preserve"> ()</v>
      </c>
    </row>
    <row r="6565" spans="1:7" x14ac:dyDescent="0.3">
      <c r="A6565" s="1" t="s">
        <v>4</v>
      </c>
      <c r="B6565" s="2" t="str">
        <f t="shared" si="545"/>
        <v>BIBLIOTECAS GERAIS DO MV2000 E DO SGPS</v>
      </c>
      <c r="C6565" s="2" t="str">
        <f>""</f>
        <v/>
      </c>
      <c r="D6565" s="2" t="str">
        <f t="shared" si="546"/>
        <v>MV</v>
      </c>
      <c r="E6565" s="2" t="str">
        <f>"M_LAYOUT_ARQUIVOS"</f>
        <v>M_LAYOUT_ARQUIVOS</v>
      </c>
      <c r="F6565" s="2" t="str">
        <f>"M_LAYOUT_ARQUIVOS"</f>
        <v>M_LAYOUT_ARQUIVOS</v>
      </c>
      <c r="G6565" s="2" t="s">
        <v>10</v>
      </c>
    </row>
    <row r="6566" spans="1:7" x14ac:dyDescent="0.3">
      <c r="A6566" s="1" t="s">
        <v>4</v>
      </c>
      <c r="B6566" s="2" t="str">
        <f t="shared" si="545"/>
        <v>BIBLIOTECAS GERAIS DO MV2000 E DO SGPS</v>
      </c>
      <c r="C6566" s="2" t="str">
        <f>""</f>
        <v/>
      </c>
      <c r="D6566" s="2" t="str">
        <f t="shared" si="546"/>
        <v>MV</v>
      </c>
      <c r="E6566" s="2" t="str">
        <f>"RELATÓRIO DAS OCORRÊNCIAS DO PLANTÃO"</f>
        <v>RELATÓRIO DAS OCORRÊNCIAS DO PLANTÃO</v>
      </c>
      <c r="F6566" s="2" t="str">
        <f>"R_FATURAMENTO"</f>
        <v>R_FATURAMENTO</v>
      </c>
      <c r="G6566" s="2" t="str">
        <f>" ()"</f>
        <v xml:space="preserve"> ()</v>
      </c>
    </row>
    <row r="6567" spans="1:7" x14ac:dyDescent="0.3">
      <c r="A6567" s="1" t="s">
        <v>4</v>
      </c>
      <c r="B6567" s="2" t="str">
        <f t="shared" si="545"/>
        <v>BIBLIOTECAS GERAIS DO MV2000 E DO SGPS</v>
      </c>
      <c r="C6567" s="2" t="str">
        <f>""</f>
        <v/>
      </c>
      <c r="D6567" s="2" t="str">
        <f t="shared" si="546"/>
        <v>MV</v>
      </c>
      <c r="E6567" s="2" t="str">
        <f>"WIN_PRINCIPAL"</f>
        <v>WIN_PRINCIPAL</v>
      </c>
      <c r="F6567" s="2" t="str">
        <f>"M_POLIMED_TABELA_PMA"</f>
        <v>M_POLIMED_TABELA_PMA</v>
      </c>
      <c r="G6567" s="2" t="str">
        <f>" ()"</f>
        <v xml:space="preserve"> ()</v>
      </c>
    </row>
    <row r="6568" spans="1:7" x14ac:dyDescent="0.3">
      <c r="A6568" s="1" t="s">
        <v>4</v>
      </c>
      <c r="B6568" s="2" t="str">
        <f t="shared" si="545"/>
        <v>BIBLIOTECAS GERAIS DO MV2000 E DO SGPS</v>
      </c>
      <c r="C6568" s="2" t="str">
        <f>""</f>
        <v/>
      </c>
      <c r="D6568" s="2" t="str">
        <f t="shared" si="546"/>
        <v>MV</v>
      </c>
      <c r="E6568" s="2" t="str">
        <f>"PROCEDIMENTOS VS. CID'S"</f>
        <v>PROCEDIMENTOS VS. CID'S</v>
      </c>
      <c r="F6568" s="2" t="str">
        <f>"M_PROCEDIMENTO_CID"</f>
        <v>M_PROCEDIMENTO_CID</v>
      </c>
      <c r="G6568" s="2" t="str">
        <f>"MVSaude / Contas Médicas / Tabelas / Procedimentos vs CIDs (M_PROCEDIMENTO_CID)"</f>
        <v>MVSaude / Contas Médicas / Tabelas / Procedimentos vs CIDs (M_PROCEDIMENTO_CID)</v>
      </c>
    </row>
    <row r="6569" spans="1:7" x14ac:dyDescent="0.3">
      <c r="A6569" s="1" t="s">
        <v>4</v>
      </c>
      <c r="B6569" s="2" t="str">
        <f t="shared" si="545"/>
        <v>BIBLIOTECAS GERAIS DO MV2000 E DO SGPS</v>
      </c>
      <c r="C6569" s="2" t="str">
        <f>""</f>
        <v/>
      </c>
      <c r="D6569" s="2" t="str">
        <f t="shared" si="546"/>
        <v>MV</v>
      </c>
      <c r="E6569" s="2" t="str">
        <f>"CADASTRO: TIPOS DE CARGOS"</f>
        <v>CADASTRO: TIPOS DE CARGOS</v>
      </c>
      <c r="F6569" s="2" t="str">
        <f>"M_MOTIVO_ALTA"</f>
        <v>M_MOTIVO_ALTA</v>
      </c>
      <c r="G6569" s="2" t="str">
        <f>"MVSaude / ANS / TISS / Tabelas de Domínio / Motivos de Alta (M_MOTIVO_ALTA)"</f>
        <v>MVSaude / ANS / TISS / Tabelas de Domínio / Motivos de Alta (M_MOTIVO_ALTA)</v>
      </c>
    </row>
    <row r="6570" spans="1:7" x14ac:dyDescent="0.3">
      <c r="A6570" s="1" t="s">
        <v>4</v>
      </c>
      <c r="B6570" s="2" t="str">
        <f t="shared" si="545"/>
        <v>BIBLIOTECAS GERAIS DO MV2000 E DO SGPS</v>
      </c>
      <c r="C6570" s="2" t="str">
        <f>""</f>
        <v/>
      </c>
      <c r="D6570" s="2" t="str">
        <f t="shared" si="546"/>
        <v>MV</v>
      </c>
      <c r="E6570" s="2" t="str">
        <f>"CADASTRO: TIPOS DE CARGOS"</f>
        <v>CADASTRO: TIPOS DE CARGOS</v>
      </c>
      <c r="F6570" s="2" t="str">
        <f>"M_MOTIVO_ALTA"</f>
        <v>M_MOTIVO_ALTA</v>
      </c>
      <c r="G6570" s="2" t="str">
        <f>"MVSaude / Contas Médicas / Tabelas / Motivos de Alta (M_MOTIVO_ALTA)"</f>
        <v>MVSaude / Contas Médicas / Tabelas / Motivos de Alta (M_MOTIVO_ALTA)</v>
      </c>
    </row>
    <row r="6571" spans="1:7" x14ac:dyDescent="0.3">
      <c r="A6571" s="1" t="s">
        <v>4</v>
      </c>
      <c r="B6571" s="2" t="str">
        <f t="shared" si="545"/>
        <v>BIBLIOTECAS GERAIS DO MV2000 E DO SGPS</v>
      </c>
      <c r="C6571" s="2" t="str">
        <f>""</f>
        <v/>
      </c>
      <c r="D6571" s="2" t="str">
        <f t="shared" si="546"/>
        <v>MV</v>
      </c>
      <c r="E6571" s="2" t="str">
        <f>"REMESSA POLIMED"</f>
        <v>REMESSA POLIMED</v>
      </c>
      <c r="F6571" s="2" t="str">
        <f>"M_REMESSA_POLIMED"</f>
        <v>M_REMESSA_POLIMED</v>
      </c>
      <c r="G6571" s="2" t="str">
        <f t="shared" ref="G6571:G6586" si="548">" ()"</f>
        <v xml:space="preserve"> ()</v>
      </c>
    </row>
    <row r="6572" spans="1:7" x14ac:dyDescent="0.3">
      <c r="A6572" s="1" t="s">
        <v>4</v>
      </c>
      <c r="B6572" s="2" t="str">
        <f t="shared" si="545"/>
        <v>BIBLIOTECAS GERAIS DO MV2000 E DO SGPS</v>
      </c>
      <c r="C6572" s="2" t="str">
        <f>""</f>
        <v/>
      </c>
      <c r="D6572" s="2" t="str">
        <f t="shared" si="546"/>
        <v>MV</v>
      </c>
      <c r="E6572" s="2" t="str">
        <f>"CADASTRO PRESTADOR RESUMIDO"</f>
        <v>CADASTRO PRESTADOR RESUMIDO</v>
      </c>
      <c r="F6572" s="2" t="str">
        <f>"C_PAC_DEPEND_ALTERADA"</f>
        <v>C_PAC_DEPEND_ALTERADA</v>
      </c>
      <c r="G6572" s="2" t="str">
        <f t="shared" si="548"/>
        <v xml:space="preserve"> ()</v>
      </c>
    </row>
    <row r="6573" spans="1:7" x14ac:dyDescent="0.3">
      <c r="A6573" s="1" t="s">
        <v>4</v>
      </c>
      <c r="B6573" s="2" t="str">
        <f t="shared" si="545"/>
        <v>BIBLIOTECAS GERAIS DO MV2000 E DO SGPS</v>
      </c>
      <c r="C6573" s="2" t="str">
        <f>""</f>
        <v/>
      </c>
      <c r="D6573" s="2" t="str">
        <f t="shared" si="546"/>
        <v>MV</v>
      </c>
      <c r="E6573" s="2" t="str">
        <f>"CARGA - CLASSIFICAÇÃO DE PRODUTOS"</f>
        <v>CARGA - CLASSIFICAÇÃO DE PRODUTOS</v>
      </c>
      <c r="F6573" s="2" t="str">
        <f>"M_CARGA_CLAS_207"</f>
        <v>M_CARGA_CLAS_207</v>
      </c>
      <c r="G6573" s="2" t="str">
        <f t="shared" si="548"/>
        <v xml:space="preserve"> ()</v>
      </c>
    </row>
    <row r="6574" spans="1:7" x14ac:dyDescent="0.3">
      <c r="A6574" s="1" t="s">
        <v>4</v>
      </c>
      <c r="B6574" s="2" t="str">
        <f t="shared" si="545"/>
        <v>BIBLIOTECAS GERAIS DO MV2000 E DO SGPS</v>
      </c>
      <c r="C6574" s="2" t="str">
        <f>""</f>
        <v/>
      </c>
      <c r="D6574" s="2" t="str">
        <f t="shared" si="546"/>
        <v>MV</v>
      </c>
      <c r="E6574" s="2" t="str">
        <f>"WIN_PRINCIPAL"</f>
        <v>WIN_PRINCIPAL</v>
      </c>
      <c r="F6574" s="2" t="str">
        <f>"M_USUCENCIR"</f>
        <v>M_USUCENCIR</v>
      </c>
      <c r="G6574" s="2" t="str">
        <f t="shared" si="548"/>
        <v xml:space="preserve"> ()</v>
      </c>
    </row>
    <row r="6575" spans="1:7" x14ac:dyDescent="0.3">
      <c r="A6575" s="1" t="s">
        <v>4</v>
      </c>
      <c r="B6575" s="2" t="str">
        <f t="shared" si="545"/>
        <v>BIBLIOTECAS GERAIS DO MV2000 E DO SGPS</v>
      </c>
      <c r="C6575" s="2" t="str">
        <f>""</f>
        <v/>
      </c>
      <c r="D6575" s="2" t="str">
        <f t="shared" si="546"/>
        <v>MV</v>
      </c>
      <c r="E6575" s="2" t="str">
        <f>"RELATÓRIO GERENCIAL PARA BALANÇO FISCAL"</f>
        <v>RELATÓRIO GERENCIAL PARA BALANÇO FISCAL</v>
      </c>
      <c r="F6575" s="2" t="str">
        <f>"F_GER_BAL_FISC_200"</f>
        <v>F_GER_BAL_FISC_200</v>
      </c>
      <c r="G6575" s="2" t="str">
        <f t="shared" si="548"/>
        <v xml:space="preserve"> ()</v>
      </c>
    </row>
    <row r="6576" spans="1:7" x14ac:dyDescent="0.3">
      <c r="A6576" s="1" t="s">
        <v>4</v>
      </c>
      <c r="B6576" s="2" t="str">
        <f t="shared" si="545"/>
        <v>BIBLIOTECAS GERAIS DO MV2000 E DO SGPS</v>
      </c>
      <c r="C6576" s="2" t="str">
        <f>""</f>
        <v/>
      </c>
      <c r="D6576" s="2" t="str">
        <f t="shared" si="546"/>
        <v>MV</v>
      </c>
      <c r="E6576" s="2" t="str">
        <f>"C_ERRO_NF_207"</f>
        <v>C_ERRO_NF_207</v>
      </c>
      <c r="F6576" s="2" t="str">
        <f>"C_ERRO_NF_207"</f>
        <v>C_ERRO_NF_207</v>
      </c>
      <c r="G6576" s="2" t="str">
        <f t="shared" si="548"/>
        <v xml:space="preserve"> ()</v>
      </c>
    </row>
    <row r="6577" spans="1:7" x14ac:dyDescent="0.3">
      <c r="A6577" s="1" t="s">
        <v>4</v>
      </c>
      <c r="B6577" s="2" t="str">
        <f t="shared" si="545"/>
        <v>BIBLIOTECAS GERAIS DO MV2000 E DO SGPS</v>
      </c>
      <c r="C6577" s="2" t="str">
        <f>""</f>
        <v/>
      </c>
      <c r="D6577" s="2" t="str">
        <f t="shared" si="546"/>
        <v>MV</v>
      </c>
      <c r="E6577" s="2" t="str">
        <f>"C_ERRO_SOLIC_207"</f>
        <v>C_ERRO_SOLIC_207</v>
      </c>
      <c r="F6577" s="2" t="str">
        <f>"C_ERRO_SOLIC_207"</f>
        <v>C_ERRO_SOLIC_207</v>
      </c>
      <c r="G6577" s="2" t="str">
        <f t="shared" si="548"/>
        <v xml:space="preserve"> ()</v>
      </c>
    </row>
    <row r="6578" spans="1:7" x14ac:dyDescent="0.3">
      <c r="A6578" s="1" t="s">
        <v>4</v>
      </c>
      <c r="B6578" s="2" t="str">
        <f t="shared" si="545"/>
        <v>BIBLIOTECAS GERAIS DO MV2000 E DO SGPS</v>
      </c>
      <c r="C6578" s="2" t="str">
        <f>""</f>
        <v/>
      </c>
      <c r="D6578" s="2" t="str">
        <f t="shared" si="546"/>
        <v>MV</v>
      </c>
      <c r="E6578" s="2" t="str">
        <f>"C_ERRO_MOV_EST_207"</f>
        <v>C_ERRO_MOV_EST_207</v>
      </c>
      <c r="F6578" s="2" t="str">
        <f>"C_ERRO_MOV_EST_207"</f>
        <v>C_ERRO_MOV_EST_207</v>
      </c>
      <c r="G6578" s="2" t="str">
        <f t="shared" si="548"/>
        <v xml:space="preserve"> ()</v>
      </c>
    </row>
    <row r="6579" spans="1:7" x14ac:dyDescent="0.3">
      <c r="A6579" s="1" t="s">
        <v>4</v>
      </c>
      <c r="B6579" s="2" t="str">
        <f t="shared" si="545"/>
        <v>BIBLIOTECAS GERAIS DO MV2000 E DO SGPS</v>
      </c>
      <c r="C6579" s="2" t="str">
        <f>""</f>
        <v/>
      </c>
      <c r="D6579" s="2" t="str">
        <f t="shared" si="546"/>
        <v>MV</v>
      </c>
      <c r="E6579" s="2" t="str">
        <f>"C_ERRO_FORNE_207"</f>
        <v>C_ERRO_FORNE_207</v>
      </c>
      <c r="F6579" s="2" t="str">
        <f>"C_ERRO_FORNE_207"</f>
        <v>C_ERRO_FORNE_207</v>
      </c>
      <c r="G6579" s="2" t="str">
        <f t="shared" si="548"/>
        <v xml:space="preserve"> ()</v>
      </c>
    </row>
    <row r="6580" spans="1:7" x14ac:dyDescent="0.3">
      <c r="A6580" s="1" t="s">
        <v>4</v>
      </c>
      <c r="B6580" s="2" t="str">
        <f t="shared" si="545"/>
        <v>BIBLIOTECAS GERAIS DO MV2000 E DO SGPS</v>
      </c>
      <c r="C6580" s="2" t="str">
        <f>""</f>
        <v/>
      </c>
      <c r="D6580" s="2" t="str">
        <f t="shared" si="546"/>
        <v>MV</v>
      </c>
      <c r="E6580" s="2" t="str">
        <f>"C_ERRO_CLAS_PROD_207"</f>
        <v>C_ERRO_CLAS_PROD_207</v>
      </c>
      <c r="F6580" s="2" t="str">
        <f>"C_ERRO_CLAS_PROD_207"</f>
        <v>C_ERRO_CLAS_PROD_207</v>
      </c>
      <c r="G6580" s="2" t="str">
        <f t="shared" si="548"/>
        <v xml:space="preserve"> ()</v>
      </c>
    </row>
    <row r="6581" spans="1:7" x14ac:dyDescent="0.3">
      <c r="A6581" s="1" t="s">
        <v>4</v>
      </c>
      <c r="B6581" s="2" t="str">
        <f t="shared" si="545"/>
        <v>BIBLIOTECAS GERAIS DO MV2000 E DO SGPS</v>
      </c>
      <c r="C6581" s="2" t="str">
        <f>""</f>
        <v/>
      </c>
      <c r="D6581" s="2" t="str">
        <f t="shared" si="546"/>
        <v>MV</v>
      </c>
      <c r="E6581" s="2" t="str">
        <f>"CARGA - CLASSIFICAÇÃO DE PRODUTOS"</f>
        <v>CARGA - CLASSIFICAÇÃO DE PRODUTOS</v>
      </c>
      <c r="F6581" s="2" t="str">
        <f>"C_ERRO_CAD_PROD_20"</f>
        <v>C_ERRO_CAD_PROD_20</v>
      </c>
      <c r="G6581" s="2" t="str">
        <f t="shared" si="548"/>
        <v xml:space="preserve"> ()</v>
      </c>
    </row>
    <row r="6582" spans="1:7" x14ac:dyDescent="0.3">
      <c r="A6582" s="1" t="s">
        <v>4</v>
      </c>
      <c r="B6582" s="2" t="str">
        <f t="shared" si="545"/>
        <v>BIBLIOTECAS GERAIS DO MV2000 E DO SGPS</v>
      </c>
      <c r="C6582" s="2" t="str">
        <f>""</f>
        <v/>
      </c>
      <c r="D6582" s="2" t="str">
        <f t="shared" si="546"/>
        <v>MV</v>
      </c>
      <c r="E6582" s="2" t="str">
        <f>"CARGA - CLASSIFICAÇÃO DE PRODUTOS"</f>
        <v>CARGA - CLASSIFICAÇÃO DE PRODUTOS</v>
      </c>
      <c r="F6582" s="2" t="str">
        <f>"M_CARGA_PROD_207"</f>
        <v>M_CARGA_PROD_207</v>
      </c>
      <c r="G6582" s="2" t="str">
        <f t="shared" si="548"/>
        <v xml:space="preserve"> ()</v>
      </c>
    </row>
    <row r="6583" spans="1:7" x14ac:dyDescent="0.3">
      <c r="A6583" s="1" t="s">
        <v>4</v>
      </c>
      <c r="B6583" s="2" t="str">
        <f t="shared" si="545"/>
        <v>BIBLIOTECAS GERAIS DO MV2000 E DO SGPS</v>
      </c>
      <c r="C6583" s="2" t="str">
        <f>""</f>
        <v/>
      </c>
      <c r="D6583" s="2" t="str">
        <f t="shared" si="546"/>
        <v>MV</v>
      </c>
      <c r="E6583" s="2" t="str">
        <f>"M_PREST_CONV_BLQ"</f>
        <v>M_PREST_CONV_BLQ</v>
      </c>
      <c r="F6583" s="2" t="str">
        <f>"M_PREST_CONV_BLQ"</f>
        <v>M_PREST_CONV_BLQ</v>
      </c>
      <c r="G6583" s="2" t="str">
        <f t="shared" si="548"/>
        <v xml:space="preserve"> ()</v>
      </c>
    </row>
    <row r="6584" spans="1:7" x14ac:dyDescent="0.3">
      <c r="A6584" s="1" t="s">
        <v>4</v>
      </c>
      <c r="B6584" s="2" t="str">
        <f t="shared" si="545"/>
        <v>BIBLIOTECAS GERAIS DO MV2000 E DO SGPS</v>
      </c>
      <c r="C6584" s="2" t="str">
        <f>""</f>
        <v/>
      </c>
      <c r="D6584" s="2" t="str">
        <f t="shared" si="546"/>
        <v>MV</v>
      </c>
      <c r="E6584" s="2" t="str">
        <f>"RELATÓRIO CONTROLE DE DOCUMENTOS"</f>
        <v>RELATÓRIO CONTROLE DE DOCUMENTOS</v>
      </c>
      <c r="F6584" s="2" t="str">
        <f>"R_CONTROLE_DOCUMENTOS_264"</f>
        <v>R_CONTROLE_DOCUMENTOS_264</v>
      </c>
      <c r="G6584" s="2" t="str">
        <f t="shared" si="548"/>
        <v xml:space="preserve"> ()</v>
      </c>
    </row>
    <row r="6585" spans="1:7" x14ac:dyDescent="0.3">
      <c r="A6585" s="1" t="s">
        <v>4</v>
      </c>
      <c r="B6585" s="2" t="str">
        <f t="shared" si="545"/>
        <v>BIBLIOTECAS GERAIS DO MV2000 E DO SGPS</v>
      </c>
      <c r="C6585" s="2" t="str">
        <f>""</f>
        <v/>
      </c>
      <c r="D6585" s="2" t="str">
        <f t="shared" si="546"/>
        <v>MV</v>
      </c>
      <c r="E6585" s="2" t="str">
        <f>"WIN_PRINCIPAL"</f>
        <v>WIN_PRINCIPAL</v>
      </c>
      <c r="F6585" s="2" t="str">
        <f>"TESTEGERAL"</f>
        <v>TESTEGERAL</v>
      </c>
      <c r="G6585" s="2" t="str">
        <f t="shared" si="548"/>
        <v xml:space="preserve"> ()</v>
      </c>
    </row>
    <row r="6586" spans="1:7" x14ac:dyDescent="0.3">
      <c r="A6586" s="1" t="s">
        <v>4</v>
      </c>
      <c r="B6586" s="2" t="str">
        <f t="shared" si="545"/>
        <v>BIBLIOTECAS GERAIS DO MV2000 E DO SGPS</v>
      </c>
      <c r="C6586" s="2" t="str">
        <f>""</f>
        <v/>
      </c>
      <c r="D6586" s="2" t="str">
        <f t="shared" si="546"/>
        <v>MV</v>
      </c>
      <c r="E6586" s="2" t="str">
        <f>"WIN_PRINCIPAL"</f>
        <v>WIN_PRINCIPAL</v>
      </c>
      <c r="F6586" s="2" t="str">
        <f>"PECAS"</f>
        <v>PECAS</v>
      </c>
      <c r="G6586" s="2" t="str">
        <f t="shared" si="548"/>
        <v xml:space="preserve"> ()</v>
      </c>
    </row>
    <row r="6587" spans="1:7" x14ac:dyDescent="0.3">
      <c r="A6587" s="1" t="s">
        <v>4</v>
      </c>
      <c r="B6587" s="2" t="str">
        <f t="shared" si="545"/>
        <v>BIBLIOTECAS GERAIS DO MV2000 E DO SGPS</v>
      </c>
      <c r="C6587" s="2" t="str">
        <f>""</f>
        <v/>
      </c>
      <c r="D6587" s="2" t="str">
        <f t="shared" si="546"/>
        <v>MV</v>
      </c>
      <c r="E6587" s="2" t="str">
        <f>"M_REGRA_EXPORTACAO"</f>
        <v>M_REGRA_EXPORTACAO</v>
      </c>
      <c r="F6587" s="2" t="str">
        <f>"M_REGRA_EXPORTACAO"</f>
        <v>M_REGRA_EXPORTACAO</v>
      </c>
      <c r="G6587" s="2" t="str">
        <f>"Faturamento / Faturamento de Internação SUS (AIH) / Tabelas / Prestadores / Regra de Exportação (M_REGRA_EXPORTACAO)"</f>
        <v>Faturamento / Faturamento de Internação SUS (AIH) / Tabelas / Prestadores / Regra de Exportação (M_REGRA_EXPORTACAO)</v>
      </c>
    </row>
    <row r="6588" spans="1:7" x14ac:dyDescent="0.3">
      <c r="A6588" s="1" t="s">
        <v>4</v>
      </c>
      <c r="B6588" s="2" t="str">
        <f t="shared" si="545"/>
        <v>BIBLIOTECAS GERAIS DO MV2000 E DO SGPS</v>
      </c>
      <c r="C6588" s="2" t="str">
        <f>""</f>
        <v/>
      </c>
      <c r="D6588" s="2" t="str">
        <f t="shared" si="546"/>
        <v>MV</v>
      </c>
      <c r="E6588" s="2" t="str">
        <f>"WIN_MODAL - HOSPITAL MV SISTEMAS"</f>
        <v>WIN_MODAL - HOSPITAL MV SISTEMAS</v>
      </c>
      <c r="F6588" s="2" t="str">
        <f>"TREINA"</f>
        <v>TREINA</v>
      </c>
      <c r="G6588" s="2" t="str">
        <f t="shared" ref="G6588:G6603" si="549">" ()"</f>
        <v xml:space="preserve"> ()</v>
      </c>
    </row>
    <row r="6589" spans="1:7" x14ac:dyDescent="0.3">
      <c r="A6589" s="1" t="s">
        <v>4</v>
      </c>
      <c r="B6589" s="2" t="str">
        <f t="shared" si="545"/>
        <v>BIBLIOTECAS GERAIS DO MV2000 E DO SGPS</v>
      </c>
      <c r="C6589" s="2" t="str">
        <f>""</f>
        <v/>
      </c>
      <c r="D6589" s="2" t="str">
        <f t="shared" si="546"/>
        <v>MV</v>
      </c>
      <c r="E6589" s="2" t="str">
        <f>"WIN_PRINCIPAL - CRED PARTO"</f>
        <v>WIN_PRINCIPAL - CRED PARTO</v>
      </c>
      <c r="F6589" s="2" t="str">
        <f>"M_CONSULTA_AMB"</f>
        <v>M_CONSULTA_AMB</v>
      </c>
      <c r="G6589" s="2" t="str">
        <f t="shared" si="549"/>
        <v xml:space="preserve"> ()</v>
      </c>
    </row>
    <row r="6590" spans="1:7" x14ac:dyDescent="0.3">
      <c r="A6590" s="1" t="s">
        <v>4</v>
      </c>
      <c r="B6590" s="2" t="str">
        <f t="shared" si="545"/>
        <v>BIBLIOTECAS GERAIS DO MV2000 E DO SGPS</v>
      </c>
      <c r="C6590" s="2" t="str">
        <f>""</f>
        <v/>
      </c>
      <c r="D6590" s="2" t="str">
        <f t="shared" si="546"/>
        <v>MV</v>
      </c>
      <c r="E6590" s="2" t="str">
        <f>"WIN_PRINCIPAL - CRED PARTO"</f>
        <v>WIN_PRINCIPAL - CRED PARTO</v>
      </c>
      <c r="F6590" s="2" t="str">
        <f>"TESTE_2"</f>
        <v>TESTE_2</v>
      </c>
      <c r="G6590" s="2" t="str">
        <f t="shared" si="549"/>
        <v xml:space="preserve"> ()</v>
      </c>
    </row>
    <row r="6591" spans="1:7" x14ac:dyDescent="0.3">
      <c r="A6591" s="1" t="s">
        <v>4</v>
      </c>
      <c r="B6591" s="2" t="str">
        <f t="shared" si="545"/>
        <v>BIBLIOTECAS GERAIS DO MV2000 E DO SGPS</v>
      </c>
      <c r="C6591" s="2" t="str">
        <f>""</f>
        <v/>
      </c>
      <c r="D6591" s="2" t="str">
        <f t="shared" si="546"/>
        <v>MV</v>
      </c>
      <c r="E6591" s="2" t="str">
        <f>"EXPORTAÇÃO - HOSPITAL MV SISTEMAS"</f>
        <v>EXPORTAÇÃO - HOSPITAL MV SISTEMAS</v>
      </c>
      <c r="F6591" s="2" t="str">
        <f>"O_EXP_MGES_AMESP"</f>
        <v>O_EXP_MGES_AMESP</v>
      </c>
      <c r="G6591" s="2" t="str">
        <f t="shared" si="549"/>
        <v xml:space="preserve"> ()</v>
      </c>
    </row>
    <row r="6592" spans="1:7" x14ac:dyDescent="0.3">
      <c r="A6592" s="1" t="s">
        <v>4</v>
      </c>
      <c r="B6592" s="2" t="str">
        <f t="shared" si="545"/>
        <v>BIBLIOTECAS GERAIS DO MV2000 E DO SGPS</v>
      </c>
      <c r="C6592" s="2" t="str">
        <f>""</f>
        <v/>
      </c>
      <c r="D6592" s="2" t="str">
        <f t="shared" si="546"/>
        <v>MV</v>
      </c>
      <c r="E6592" s="2" t="str">
        <f>"M_MEDIAL_PL_CONTAS"</f>
        <v>M_MEDIAL_PL_CONTAS</v>
      </c>
      <c r="F6592" s="2" t="str">
        <f>"M_MEDIAL_PL_CONTAS"</f>
        <v>M_MEDIAL_PL_CONTAS</v>
      </c>
      <c r="G6592" s="2" t="str">
        <f t="shared" si="549"/>
        <v xml:space="preserve"> ()</v>
      </c>
    </row>
    <row r="6593" spans="1:7" x14ac:dyDescent="0.3">
      <c r="A6593" s="1" t="s">
        <v>4</v>
      </c>
      <c r="B6593" s="2" t="str">
        <f t="shared" si="545"/>
        <v>BIBLIOTECAS GERAIS DO MV2000 E DO SGPS</v>
      </c>
      <c r="C6593" s="2" t="str">
        <f>""</f>
        <v/>
      </c>
      <c r="D6593" s="2" t="str">
        <f t="shared" si="546"/>
        <v>MV</v>
      </c>
      <c r="E6593" s="2" t="str">
        <f>"AJUSTAR LANÇAMENTOS AMBULATORIAIS"</f>
        <v>AJUSTAR LANÇAMENTOS AMBULATORIAIS</v>
      </c>
      <c r="F6593" s="2" t="str">
        <f>"O_CONSISTE_BPA"</f>
        <v>O_CONSISTE_BPA</v>
      </c>
      <c r="G6593" s="2" t="str">
        <f t="shared" si="549"/>
        <v xml:space="preserve"> ()</v>
      </c>
    </row>
    <row r="6594" spans="1:7" x14ac:dyDescent="0.3">
      <c r="A6594" s="1" t="s">
        <v>4</v>
      </c>
      <c r="B6594" s="2" t="str">
        <f t="shared" si="545"/>
        <v>BIBLIOTECAS GERAIS DO MV2000 E DO SGPS</v>
      </c>
      <c r="C6594" s="2" t="str">
        <f>""</f>
        <v/>
      </c>
      <c r="D6594" s="2" t="str">
        <f t="shared" si="546"/>
        <v>MV</v>
      </c>
      <c r="E6594" s="2" t="str">
        <f>"R_DEMO_IR"</f>
        <v>R_DEMO_IR</v>
      </c>
      <c r="F6594" s="2" t="str">
        <f>"R_DEMO_IR"</f>
        <v>R_DEMO_IR</v>
      </c>
      <c r="G6594" s="2" t="str">
        <f t="shared" si="549"/>
        <v xml:space="preserve"> ()</v>
      </c>
    </row>
    <row r="6595" spans="1:7" x14ac:dyDescent="0.3">
      <c r="A6595" s="1" t="s">
        <v>4</v>
      </c>
      <c r="B6595" s="2" t="str">
        <f t="shared" si="545"/>
        <v>BIBLIOTECAS GERAIS DO MV2000 E DO SGPS</v>
      </c>
      <c r="C6595" s="2" t="str">
        <f>""</f>
        <v/>
      </c>
      <c r="D6595" s="2" t="str">
        <f t="shared" si="546"/>
        <v>MV</v>
      </c>
      <c r="E6595" s="2" t="str">
        <f>"R_COMP_INTER_CONV"</f>
        <v>R_COMP_INTER_CONV</v>
      </c>
      <c r="F6595" s="2" t="str">
        <f>"R_COMP_INTER_CONV"</f>
        <v>R_COMP_INTER_CONV</v>
      </c>
      <c r="G6595" s="2" t="str">
        <f t="shared" si="549"/>
        <v xml:space="preserve"> ()</v>
      </c>
    </row>
    <row r="6596" spans="1:7" x14ac:dyDescent="0.3">
      <c r="A6596" s="1" t="s">
        <v>4</v>
      </c>
      <c r="B6596" s="2" t="str">
        <f t="shared" si="545"/>
        <v>BIBLIOTECAS GERAIS DO MV2000 E DO SGPS</v>
      </c>
      <c r="C6596" s="2" t="str">
        <f>""</f>
        <v/>
      </c>
      <c r="D6596" s="2" t="str">
        <f t="shared" si="546"/>
        <v>MV</v>
      </c>
      <c r="E6596" s="2" t="str">
        <f>"RELATÓRIO DAS GLOSAS DOS PRESTADORES"</f>
        <v>RELATÓRIO DAS GLOSAS DOS PRESTADORES</v>
      </c>
      <c r="F6596" s="2" t="str">
        <f>"R_CTAREM_GLOSADAS"</f>
        <v>R_CTAREM_GLOSADAS</v>
      </c>
      <c r="G6596" s="2" t="str">
        <f t="shared" si="549"/>
        <v xml:space="preserve"> ()</v>
      </c>
    </row>
    <row r="6597" spans="1:7" x14ac:dyDescent="0.3">
      <c r="A6597" s="1" t="s">
        <v>4</v>
      </c>
      <c r="B6597" s="2" t="str">
        <f t="shared" si="545"/>
        <v>BIBLIOTECAS GERAIS DO MV2000 E DO SGPS</v>
      </c>
      <c r="C6597" s="2" t="str">
        <f>""</f>
        <v/>
      </c>
      <c r="D6597" s="2" t="str">
        <f t="shared" si="546"/>
        <v>MV</v>
      </c>
      <c r="E6597" s="2" t="str">
        <f>"RELATÓRIO DE USUÁRIOS POR CIDADE"</f>
        <v>RELATÓRIO DE USUÁRIOS POR CIDADE</v>
      </c>
      <c r="F6597" s="2" t="str">
        <f>"R_USUARIOS_CIDADE_ANA"</f>
        <v>R_USUARIOS_CIDADE_ANA</v>
      </c>
      <c r="G6597" s="2" t="str">
        <f t="shared" si="549"/>
        <v xml:space="preserve"> ()</v>
      </c>
    </row>
    <row r="6598" spans="1:7" x14ac:dyDescent="0.3">
      <c r="A6598" s="1" t="s">
        <v>4</v>
      </c>
      <c r="B6598" s="2" t="str">
        <f t="shared" si="545"/>
        <v>BIBLIOTECAS GERAIS DO MV2000 E DO SGPS</v>
      </c>
      <c r="C6598" s="2" t="str">
        <f>""</f>
        <v/>
      </c>
      <c r="D6598" s="2" t="str">
        <f t="shared" si="546"/>
        <v>MV</v>
      </c>
      <c r="E6598" s="2" t="str">
        <f>"O_REP_SPAR"</f>
        <v>O_REP_SPAR</v>
      </c>
      <c r="F6598" s="2" t="str">
        <f>"O_REP_SPAR"</f>
        <v>O_REP_SPAR</v>
      </c>
      <c r="G6598" s="2" t="str">
        <f t="shared" si="549"/>
        <v xml:space="preserve"> ()</v>
      </c>
    </row>
    <row r="6599" spans="1:7" x14ac:dyDescent="0.3">
      <c r="A6599" s="1" t="s">
        <v>4</v>
      </c>
      <c r="B6599" s="2" t="str">
        <f t="shared" si="545"/>
        <v>BIBLIOTECAS GERAIS DO MV2000 E DO SGPS</v>
      </c>
      <c r="C6599" s="2" t="str">
        <f>""</f>
        <v/>
      </c>
      <c r="D6599" s="2" t="str">
        <f t="shared" si="546"/>
        <v>MV</v>
      </c>
      <c r="E6599" s="2" t="str">
        <f>"RELATÓRIO DE PRODUÇÃO POR PRESTADOR"</f>
        <v>RELATÓRIO DE PRODUÇÃO POR PRESTADOR</v>
      </c>
      <c r="F6599" s="2" t="str">
        <f>"R_PROD_RX_PROF_360_S"</f>
        <v>R_PROD_RX_PROF_360_S</v>
      </c>
      <c r="G6599" s="2" t="str">
        <f t="shared" si="549"/>
        <v xml:space="preserve"> ()</v>
      </c>
    </row>
    <row r="6600" spans="1:7" x14ac:dyDescent="0.3">
      <c r="A6600" s="1" t="s">
        <v>4</v>
      </c>
      <c r="B6600" s="2" t="str">
        <f t="shared" si="545"/>
        <v>BIBLIOTECAS GERAIS DO MV2000 E DO SGPS</v>
      </c>
      <c r="C6600" s="2" t="str">
        <f>""</f>
        <v/>
      </c>
      <c r="D6600" s="2" t="str">
        <f t="shared" si="546"/>
        <v>MV</v>
      </c>
      <c r="E6600" s="2" t="str">
        <f>"RELATÓRIO SINTÉTICO DE FLUXO DE CAIXA"</f>
        <v>RELATÓRIO SINTÉTICO DE FLUXO DE CAIXA</v>
      </c>
      <c r="F6600" s="2" t="str">
        <f>"R_FLUXO_CAIXA_DIA_SINT"</f>
        <v>R_FLUXO_CAIXA_DIA_SINT</v>
      </c>
      <c r="G6600" s="2" t="str">
        <f t="shared" si="549"/>
        <v xml:space="preserve"> ()</v>
      </c>
    </row>
    <row r="6601" spans="1:7" x14ac:dyDescent="0.3">
      <c r="A6601" s="1" t="s">
        <v>4</v>
      </c>
      <c r="B6601" s="2" t="str">
        <f t="shared" si="545"/>
        <v>BIBLIOTECAS GERAIS DO MV2000 E DO SGPS</v>
      </c>
      <c r="C6601" s="2" t="str">
        <f>""</f>
        <v/>
      </c>
      <c r="D6601" s="2" t="str">
        <f t="shared" si="546"/>
        <v>MV</v>
      </c>
      <c r="E6601" s="2" t="str">
        <f>"ESPECIALIDADE X CONVÊNIO"</f>
        <v>ESPECIALIDADE X CONVÊNIO</v>
      </c>
      <c r="F6601" s="2" t="str">
        <f>"CONVENIOXESPECIALIDADE"</f>
        <v>CONVENIOXESPECIALIDADE</v>
      </c>
      <c r="G6601" s="2" t="str">
        <f t="shared" si="549"/>
        <v xml:space="preserve"> ()</v>
      </c>
    </row>
    <row r="6602" spans="1:7" x14ac:dyDescent="0.3">
      <c r="A6602" s="1" t="s">
        <v>4</v>
      </c>
      <c r="B6602" s="2" t="str">
        <f t="shared" si="545"/>
        <v>BIBLIOTECAS GERAIS DO MV2000 E DO SGPS</v>
      </c>
      <c r="C6602" s="2" t="str">
        <f>""</f>
        <v/>
      </c>
      <c r="D6602" s="2" t="str">
        <f t="shared" si="546"/>
        <v>MV</v>
      </c>
      <c r="E6602" s="2" t="str">
        <f>"PRESCRIÇÃO MÉDICA"</f>
        <v>PRESCRIÇÃO MÉDICA</v>
      </c>
      <c r="F6602" s="2" t="str">
        <f>"M_PREMED_JEAN"</f>
        <v>M_PREMED_JEAN</v>
      </c>
      <c r="G6602" s="2" t="str">
        <f t="shared" si="549"/>
        <v xml:space="preserve"> ()</v>
      </c>
    </row>
    <row r="6603" spans="1:7" x14ac:dyDescent="0.3">
      <c r="A6603" s="1" t="s">
        <v>4</v>
      </c>
      <c r="B6603" s="2" t="str">
        <f t="shared" si="545"/>
        <v>BIBLIOTECAS GERAIS DO MV2000 E DO SGPS</v>
      </c>
      <c r="C6603" s="2" t="str">
        <f>""</f>
        <v/>
      </c>
      <c r="D6603" s="2" t="str">
        <f t="shared" si="546"/>
        <v>MV</v>
      </c>
      <c r="E6603" s="2" t="str">
        <f>"R_VIDAS_CID"</f>
        <v>R_VIDAS_CID</v>
      </c>
      <c r="F6603" s="2" t="str">
        <f>"R_VIDAS_CID"</f>
        <v>R_VIDAS_CID</v>
      </c>
      <c r="G6603" s="2" t="str">
        <f t="shared" si="549"/>
        <v xml:space="preserve"> ()</v>
      </c>
    </row>
    <row r="6604" spans="1:7" x14ac:dyDescent="0.3">
      <c r="A6604" s="1" t="s">
        <v>4</v>
      </c>
      <c r="B6604" s="2" t="str">
        <f t="shared" si="545"/>
        <v>BIBLIOTECAS GERAIS DO MV2000 E DO SGPS</v>
      </c>
      <c r="C6604" s="2" t="str">
        <f>""</f>
        <v/>
      </c>
      <c r="D6604" s="2" t="str">
        <f t="shared" si="546"/>
        <v>MV</v>
      </c>
      <c r="E6604" s="2" t="str">
        <f>"R_VENDAS_EMP"</f>
        <v>R_VENDAS_EMP</v>
      </c>
      <c r="F6604" s="2" t="str">
        <f>"R_VENDAS_EMP"</f>
        <v>R_VENDAS_EMP</v>
      </c>
      <c r="G6604" s="2" t="str">
        <f>"MVSaude / Relatórios / Vendas / Vendas por Vendedores x Unidades x Empresas (R_VENDAS_EMP)"</f>
        <v>MVSaude / Relatórios / Vendas / Vendas por Vendedores x Unidades x Empresas (R_VENDAS_EMP)</v>
      </c>
    </row>
    <row r="6605" spans="1:7" x14ac:dyDescent="0.3">
      <c r="A6605" s="1" t="s">
        <v>4</v>
      </c>
      <c r="B6605" s="2" t="str">
        <f t="shared" si="545"/>
        <v>BIBLIOTECAS GERAIS DO MV2000 E DO SGPS</v>
      </c>
      <c r="C6605" s="2" t="str">
        <f>""</f>
        <v/>
      </c>
      <c r="D6605" s="2" t="str">
        <f t="shared" si="546"/>
        <v>MV</v>
      </c>
      <c r="E6605" s="2" t="str">
        <f>"R_MAPA_DISTRIBUI_EMP"</f>
        <v>R_MAPA_DISTRIBUI_EMP</v>
      </c>
      <c r="F6605" s="2" t="str">
        <f>"R_MAPA_DISTRIBUI_EMP"</f>
        <v>R_MAPA_DISTRIBUI_EMP</v>
      </c>
      <c r="G6605" s="2" t="str">
        <f>" ()"</f>
        <v xml:space="preserve"> ()</v>
      </c>
    </row>
    <row r="6606" spans="1:7" x14ac:dyDescent="0.3">
      <c r="A6606" s="1" t="s">
        <v>4</v>
      </c>
      <c r="B6606" s="2" t="str">
        <f t="shared" si="545"/>
        <v>BIBLIOTECAS GERAIS DO MV2000 E DO SGPS</v>
      </c>
      <c r="C6606" s="2" t="str">
        <f>""</f>
        <v/>
      </c>
      <c r="D6606" s="2" t="str">
        <f t="shared" si="546"/>
        <v>MV</v>
      </c>
      <c r="E6606" s="2" t="str">
        <f>"R_MAPA_DISTRIBUICAO"</f>
        <v>R_MAPA_DISTRIBUICAO</v>
      </c>
      <c r="F6606" s="2" t="str">
        <f>"R_MAPA_DISTRIBUICAO"</f>
        <v>R_MAPA_DISTRIBUICAO</v>
      </c>
      <c r="G6606" s="2" t="str">
        <f>" ()"</f>
        <v xml:space="preserve"> ()</v>
      </c>
    </row>
    <row r="6607" spans="1:7" x14ac:dyDescent="0.3">
      <c r="A6607" s="1" t="s">
        <v>4</v>
      </c>
      <c r="B6607" s="2" t="str">
        <f t="shared" si="545"/>
        <v>BIBLIOTECAS GERAIS DO MV2000 E DO SGPS</v>
      </c>
      <c r="C6607" s="2" t="str">
        <f>""</f>
        <v/>
      </c>
      <c r="D6607" s="2" t="str">
        <f t="shared" si="546"/>
        <v>MV</v>
      </c>
      <c r="E6607" s="2" t="str">
        <f>"RELATORIO DE COMISSAO VENDEDOR"</f>
        <v>RELATORIO DE COMISSAO VENDEDOR</v>
      </c>
      <c r="F6607" s="2" t="str">
        <f>"R_DIST_COMISSAO_VENDEDOR"</f>
        <v>R_DIST_COMISSAO_VENDEDOR</v>
      </c>
      <c r="G6607" s="2" t="str">
        <f>" ()"</f>
        <v xml:space="preserve"> ()</v>
      </c>
    </row>
    <row r="6608" spans="1:7" x14ac:dyDescent="0.3">
      <c r="A6608" s="1" t="s">
        <v>4</v>
      </c>
      <c r="B6608" s="2" t="str">
        <f t="shared" ref="B6608:B6671" si="550">"BIBLIOTECAS GERAIS DO MV2000 E DO SGPS"</f>
        <v>BIBLIOTECAS GERAIS DO MV2000 E DO SGPS</v>
      </c>
      <c r="C6608" s="2" t="str">
        <f>""</f>
        <v/>
      </c>
      <c r="D6608" s="2" t="str">
        <f t="shared" ref="D6608:D6671" si="551">"MV"</f>
        <v>MV</v>
      </c>
      <c r="E6608" s="2" t="str">
        <f>"R_EST_ATEND_MED_CONV"</f>
        <v>R_EST_ATEND_MED_CONV</v>
      </c>
      <c r="F6608" s="2" t="str">
        <f>"R_EST_ATEND_MED_CONV"</f>
        <v>R_EST_ATEND_MED_CONV</v>
      </c>
      <c r="G6608" s="2" t="str">
        <f>" ()"</f>
        <v xml:space="preserve"> ()</v>
      </c>
    </row>
    <row r="6609" spans="1:7" x14ac:dyDescent="0.3">
      <c r="A6609" s="1" t="s">
        <v>4</v>
      </c>
      <c r="B6609" s="2" t="str">
        <f t="shared" si="550"/>
        <v>BIBLIOTECAS GERAIS DO MV2000 E DO SGPS</v>
      </c>
      <c r="C6609" s="2" t="str">
        <f>""</f>
        <v/>
      </c>
      <c r="D6609" s="2" t="str">
        <f t="shared" si="551"/>
        <v>MV</v>
      </c>
      <c r="E6609" s="2" t="str">
        <f>"RELATÓRIO DA DISTRIBUIÇÃO DAS COMISSÕES"</f>
        <v>RELATÓRIO DA DISTRIBUIÇÃO DAS COMISSÕES</v>
      </c>
      <c r="F6609" s="2" t="str">
        <f>"R_DISTRIBUICAO_COMISSAO"</f>
        <v>R_DISTRIBUICAO_COMISSAO</v>
      </c>
      <c r="G6609" s="2" t="str">
        <f>"MVSaude / Relatórios / Vendas / Extrato de Comissões (R_DISTRIBUICAO_COMISSAO)"</f>
        <v>MVSaude / Relatórios / Vendas / Extrato de Comissões (R_DISTRIBUICAO_COMISSAO)</v>
      </c>
    </row>
    <row r="6610" spans="1:7" x14ac:dyDescent="0.3">
      <c r="A6610" s="1" t="s">
        <v>4</v>
      </c>
      <c r="B6610" s="2" t="str">
        <f t="shared" si="550"/>
        <v>BIBLIOTECAS GERAIS DO MV2000 E DO SGPS</v>
      </c>
      <c r="C6610" s="2" t="str">
        <f>""</f>
        <v/>
      </c>
      <c r="D6610" s="2" t="str">
        <f t="shared" si="551"/>
        <v>MV</v>
      </c>
      <c r="E6610" s="2" t="str">
        <f>"R_EMP_UNI_VEND"</f>
        <v>R_EMP_UNI_VEND</v>
      </c>
      <c r="F6610" s="2" t="str">
        <f>"R_EMP_UNI_VEND"</f>
        <v>R_EMP_UNI_VEND</v>
      </c>
      <c r="G6610" s="2" t="str">
        <f>"MVSaude / Relatórios / Vendas / Empresas x Unidades x Vendedores (R_EMP_UNI_VEND)"</f>
        <v>MVSaude / Relatórios / Vendas / Empresas x Unidades x Vendedores (R_EMP_UNI_VEND)</v>
      </c>
    </row>
    <row r="6611" spans="1:7" x14ac:dyDescent="0.3">
      <c r="A6611" s="1" t="s">
        <v>4</v>
      </c>
      <c r="B6611" s="2" t="str">
        <f t="shared" si="550"/>
        <v>BIBLIOTECAS GERAIS DO MV2000 E DO SGPS</v>
      </c>
      <c r="C6611" s="2" t="str">
        <f>""</f>
        <v/>
      </c>
      <c r="D6611" s="2" t="str">
        <f t="shared" si="551"/>
        <v>MV</v>
      </c>
      <c r="E6611" s="2" t="str">
        <f>"RELATÓRIO GERENCIAL PARA BALANÇO FISCAL"</f>
        <v>RELATÓRIO GERENCIAL PARA BALANÇO FISCAL</v>
      </c>
      <c r="F6611" s="2" t="str">
        <f>"R_GER_BAL_FISC_200"</f>
        <v>R_GER_BAL_FISC_200</v>
      </c>
      <c r="G6611" s="2" t="str">
        <f t="shared" ref="G6611:G6640" si="552">" ()"</f>
        <v xml:space="preserve"> ()</v>
      </c>
    </row>
    <row r="6612" spans="1:7" x14ac:dyDescent="0.3">
      <c r="A6612" s="1" t="s">
        <v>4</v>
      </c>
      <c r="B6612" s="2" t="str">
        <f t="shared" si="550"/>
        <v>BIBLIOTECAS GERAIS DO MV2000 E DO SGPS</v>
      </c>
      <c r="C6612" s="2" t="str">
        <f>""</f>
        <v/>
      </c>
      <c r="D6612" s="2" t="str">
        <f t="shared" si="551"/>
        <v>MV</v>
      </c>
      <c r="E6612" s="2" t="str">
        <f>"R_EST_OCUP_PREV_LEIT"</f>
        <v>R_EST_OCUP_PREV_LEIT</v>
      </c>
      <c r="F6612" s="2" t="str">
        <f>"R_EST_OCUP_PREV_LEIT"</f>
        <v>R_EST_OCUP_PREV_LEIT</v>
      </c>
      <c r="G6612" s="2" t="str">
        <f t="shared" si="552"/>
        <v xml:space="preserve"> ()</v>
      </c>
    </row>
    <row r="6613" spans="1:7" x14ac:dyDescent="0.3">
      <c r="A6613" s="1" t="s">
        <v>4</v>
      </c>
      <c r="B6613" s="2" t="str">
        <f t="shared" si="550"/>
        <v>BIBLIOTECAS GERAIS DO MV2000 E DO SGPS</v>
      </c>
      <c r="C6613" s="2" t="str">
        <f>""</f>
        <v/>
      </c>
      <c r="D6613" s="2" t="str">
        <f t="shared" si="551"/>
        <v>MV</v>
      </c>
      <c r="E6613" s="2" t="str">
        <f>"R_EST_OCUP_PREV_LEITO"</f>
        <v>R_EST_OCUP_PREV_LEITO</v>
      </c>
      <c r="F6613" s="2" t="str">
        <f>"R_EST_OCUP_PREV_LEITO"</f>
        <v>R_EST_OCUP_PREV_LEITO</v>
      </c>
      <c r="G6613" s="2" t="str">
        <f t="shared" si="552"/>
        <v xml:space="preserve"> ()</v>
      </c>
    </row>
    <row r="6614" spans="1:7" x14ac:dyDescent="0.3">
      <c r="A6614" s="1" t="s">
        <v>4</v>
      </c>
      <c r="B6614" s="2" t="str">
        <f t="shared" si="550"/>
        <v>BIBLIOTECAS GERAIS DO MV2000 E DO SGPS</v>
      </c>
      <c r="C6614" s="2" t="str">
        <f>""</f>
        <v/>
      </c>
      <c r="D6614" s="2" t="str">
        <f t="shared" si="551"/>
        <v>MV</v>
      </c>
      <c r="E6614" s="2" t="str">
        <f>"RELATÓRIO DE REPASSE DE PRESTADORES"</f>
        <v>RELATÓRIO DE REPASSE DE PRESTADORES</v>
      </c>
      <c r="F6614" s="2" t="str">
        <f>"TESTE_MARCOS7"</f>
        <v>TESTE_MARCOS7</v>
      </c>
      <c r="G6614" s="2" t="str">
        <f t="shared" si="552"/>
        <v xml:space="preserve"> ()</v>
      </c>
    </row>
    <row r="6615" spans="1:7" x14ac:dyDescent="0.3">
      <c r="A6615" s="1" t="s">
        <v>4</v>
      </c>
      <c r="B6615" s="2" t="str">
        <f t="shared" si="550"/>
        <v>BIBLIOTECAS GERAIS DO MV2000 E DO SGPS</v>
      </c>
      <c r="C6615" s="2" t="str">
        <f>""</f>
        <v/>
      </c>
      <c r="D6615" s="2" t="str">
        <f t="shared" si="551"/>
        <v>MV</v>
      </c>
      <c r="E6615" s="2" t="str">
        <f>"RELATÓRIO DE REPASSE DE PRESTADORES"</f>
        <v>RELATÓRIO DE REPASSE DE PRESTADORES</v>
      </c>
      <c r="F6615" s="2" t="str">
        <f>"TESTE_MARCOS6"</f>
        <v>TESTE_MARCOS6</v>
      </c>
      <c r="G6615" s="2" t="str">
        <f t="shared" si="552"/>
        <v xml:space="preserve"> ()</v>
      </c>
    </row>
    <row r="6616" spans="1:7" x14ac:dyDescent="0.3">
      <c r="A6616" s="1" t="s">
        <v>4</v>
      </c>
      <c r="B6616" s="2" t="str">
        <f t="shared" si="550"/>
        <v>BIBLIOTECAS GERAIS DO MV2000 E DO SGPS</v>
      </c>
      <c r="C6616" s="2" t="str">
        <f>""</f>
        <v/>
      </c>
      <c r="D6616" s="2" t="str">
        <f t="shared" si="551"/>
        <v>MV</v>
      </c>
      <c r="E6616" s="2" t="str">
        <f>"RELATÓRIO DE REPASSE DE PRESTADORES"</f>
        <v>RELATÓRIO DE REPASSE DE PRESTADORES</v>
      </c>
      <c r="F6616" s="2" t="str">
        <f>"TESTE_MARCOS5"</f>
        <v>TESTE_MARCOS5</v>
      </c>
      <c r="G6616" s="2" t="str">
        <f t="shared" si="552"/>
        <v xml:space="preserve"> ()</v>
      </c>
    </row>
    <row r="6617" spans="1:7" x14ac:dyDescent="0.3">
      <c r="A6617" s="1" t="s">
        <v>4</v>
      </c>
      <c r="B6617" s="2" t="str">
        <f t="shared" si="550"/>
        <v>BIBLIOTECAS GERAIS DO MV2000 E DO SGPS</v>
      </c>
      <c r="C6617" s="2" t="str">
        <f>""</f>
        <v/>
      </c>
      <c r="D6617" s="2" t="str">
        <f t="shared" si="551"/>
        <v>MV</v>
      </c>
      <c r="E6617" s="2" t="str">
        <f>"RELATÓRIO DE GRUPOS DE SERVIÇOS"</f>
        <v>RELATÓRIO DE GRUPOS DE SERVIÇOS</v>
      </c>
      <c r="F6617" s="2" t="str">
        <f>"R_PROCESSOS_ANS_ASTA"</f>
        <v>R_PROCESSOS_ANS_ASTA</v>
      </c>
      <c r="G6617" s="2" t="str">
        <f t="shared" si="552"/>
        <v xml:space="preserve"> ()</v>
      </c>
    </row>
    <row r="6618" spans="1:7" x14ac:dyDescent="0.3">
      <c r="A6618" s="1" t="s">
        <v>4</v>
      </c>
      <c r="B6618" s="2" t="str">
        <f t="shared" si="550"/>
        <v>BIBLIOTECAS GERAIS DO MV2000 E DO SGPS</v>
      </c>
      <c r="C6618" s="2" t="str">
        <f>""</f>
        <v/>
      </c>
      <c r="D6618" s="2" t="str">
        <f t="shared" si="551"/>
        <v>MV</v>
      </c>
      <c r="E6618" s="2" t="str">
        <f>"RELATÓRIO GUIA DE RECOLHIMENTO"</f>
        <v>RELATÓRIO GUIA DE RECOLHIMENTO</v>
      </c>
      <c r="F6618" s="2" t="str">
        <f>"R_IMP_IMVSAP_MGES"</f>
        <v>R_IMP_IMVSAP_MGES</v>
      </c>
      <c r="G6618" s="2" t="str">
        <f t="shared" si="552"/>
        <v xml:space="preserve"> ()</v>
      </c>
    </row>
    <row r="6619" spans="1:7" x14ac:dyDescent="0.3">
      <c r="A6619" s="1" t="s">
        <v>4</v>
      </c>
      <c r="B6619" s="2" t="str">
        <f t="shared" si="550"/>
        <v>BIBLIOTECAS GERAIS DO MV2000 E DO SGPS</v>
      </c>
      <c r="C6619" s="2" t="str">
        <f>""</f>
        <v/>
      </c>
      <c r="D6619" s="2" t="str">
        <f t="shared" si="551"/>
        <v>MV</v>
      </c>
      <c r="E6619" s="2" t="str">
        <f>"R_EST_PREV_OCUP_LEITO"</f>
        <v>R_EST_PREV_OCUP_LEITO</v>
      </c>
      <c r="F6619" s="2" t="str">
        <f>"R_EST_PREV_OCUP_LEITO"</f>
        <v>R_EST_PREV_OCUP_LEITO</v>
      </c>
      <c r="G6619" s="2" t="str">
        <f t="shared" si="552"/>
        <v xml:space="preserve"> ()</v>
      </c>
    </row>
    <row r="6620" spans="1:7" x14ac:dyDescent="0.3">
      <c r="A6620" s="1" t="s">
        <v>4</v>
      </c>
      <c r="B6620" s="2" t="str">
        <f t="shared" si="550"/>
        <v>BIBLIOTECAS GERAIS DO MV2000 E DO SGPS</v>
      </c>
      <c r="C6620" s="2" t="str">
        <f>""</f>
        <v/>
      </c>
      <c r="D6620" s="2" t="str">
        <f t="shared" si="551"/>
        <v>MV</v>
      </c>
      <c r="E6620" s="2" t="str">
        <f>"RELATÓRIO DE SITUAÇÃO DAS CONTAS"</f>
        <v>RELATÓRIO DE SITUAÇÃO DAS CONTAS</v>
      </c>
      <c r="F6620" s="2" t="str">
        <f>"R_ATENDE_CONTA_AMB"</f>
        <v>R_ATENDE_CONTA_AMB</v>
      </c>
      <c r="G6620" s="2" t="str">
        <f t="shared" si="552"/>
        <v xml:space="preserve"> ()</v>
      </c>
    </row>
    <row r="6621" spans="1:7" x14ac:dyDescent="0.3">
      <c r="A6621" s="1" t="s">
        <v>4</v>
      </c>
      <c r="B6621" s="2" t="str">
        <f t="shared" si="550"/>
        <v>BIBLIOTECAS GERAIS DO MV2000 E DO SGPS</v>
      </c>
      <c r="C6621" s="2" t="str">
        <f>""</f>
        <v/>
      </c>
      <c r="D6621" s="2" t="str">
        <f t="shared" si="551"/>
        <v>MV</v>
      </c>
      <c r="E6621" s="2" t="str">
        <f>"ENTRADA DE MATERIAIS"</f>
        <v>ENTRADA DE MATERIAIS</v>
      </c>
      <c r="F6621" s="2" t="str">
        <f>"R_ENTR_MAT"</f>
        <v>R_ENTR_MAT</v>
      </c>
      <c r="G6621" s="2" t="str">
        <f t="shared" si="552"/>
        <v xml:space="preserve"> ()</v>
      </c>
    </row>
    <row r="6622" spans="1:7" x14ac:dyDescent="0.3">
      <c r="A6622" s="1" t="s">
        <v>4</v>
      </c>
      <c r="B6622" s="2" t="str">
        <f t="shared" si="550"/>
        <v>BIBLIOTECAS GERAIS DO MV2000 E DO SGPS</v>
      </c>
      <c r="C6622" s="2" t="str">
        <f>""</f>
        <v/>
      </c>
      <c r="D6622" s="2" t="str">
        <f t="shared" si="551"/>
        <v>MV</v>
      </c>
      <c r="E6622" s="2" t="str">
        <f>"POSIÇÃO DO CONTAS A RECEBER"</f>
        <v>POSIÇÃO DO CONTAS A RECEBER</v>
      </c>
      <c r="F6622" s="2" t="str">
        <f>"R_CONTA_ARECB_POSICAO"</f>
        <v>R_CONTA_ARECB_POSICAO</v>
      </c>
      <c r="G6622" s="2" t="str">
        <f t="shared" si="552"/>
        <v xml:space="preserve"> ()</v>
      </c>
    </row>
    <row r="6623" spans="1:7" x14ac:dyDescent="0.3">
      <c r="A6623" s="1" t="s">
        <v>4</v>
      </c>
      <c r="B6623" s="2" t="str">
        <f t="shared" si="550"/>
        <v>BIBLIOTECAS GERAIS DO MV2000 E DO SGPS</v>
      </c>
      <c r="C6623" s="2" t="str">
        <f>""</f>
        <v/>
      </c>
      <c r="D6623" s="2" t="str">
        <f t="shared" si="551"/>
        <v>MV</v>
      </c>
      <c r="E6623" s="2" t="str">
        <f>"R_CONTA_PAC_455"</f>
        <v>R_CONTA_PAC_455</v>
      </c>
      <c r="F6623" s="2" t="str">
        <f>"R_CONTA_PAC_455"</f>
        <v>R_CONTA_PAC_455</v>
      </c>
      <c r="G6623" s="2" t="str">
        <f t="shared" si="552"/>
        <v xml:space="preserve"> ()</v>
      </c>
    </row>
    <row r="6624" spans="1:7" x14ac:dyDescent="0.3">
      <c r="A6624" s="1" t="s">
        <v>4</v>
      </c>
      <c r="B6624" s="2" t="str">
        <f t="shared" si="550"/>
        <v>BIBLIOTECAS GERAIS DO MV2000 E DO SGPS</v>
      </c>
      <c r="C6624" s="2" t="str">
        <f>""</f>
        <v/>
      </c>
      <c r="D6624" s="2" t="str">
        <f t="shared" si="551"/>
        <v>MV</v>
      </c>
      <c r="E6624" s="2" t="str">
        <f>"RELATÓRIO DE RAZÃO CONTÁBIL -"</f>
        <v>RELATÓRIO DE RAZÃO CONTÁBIL -</v>
      </c>
      <c r="F6624" s="2" t="str">
        <f>"MODULE10"</f>
        <v>MODULE10</v>
      </c>
      <c r="G6624" s="2" t="str">
        <f t="shared" si="552"/>
        <v xml:space="preserve"> ()</v>
      </c>
    </row>
    <row r="6625" spans="1:7" x14ac:dyDescent="0.3">
      <c r="A6625" s="1" t="s">
        <v>4</v>
      </c>
      <c r="B6625" s="2" t="str">
        <f t="shared" si="550"/>
        <v>BIBLIOTECAS GERAIS DO MV2000 E DO SGPS</v>
      </c>
      <c r="C6625" s="2" t="str">
        <f>""</f>
        <v/>
      </c>
      <c r="D6625" s="2" t="str">
        <f t="shared" si="551"/>
        <v>MV</v>
      </c>
      <c r="E6625" s="2" t="str">
        <f>"RELATÓRIO DE RAZÃO CONTÁBIL -"</f>
        <v>RELATÓRIO DE RAZÃO CONTÁBIL -</v>
      </c>
      <c r="F6625" s="2" t="str">
        <f>"MODULO10"</f>
        <v>MODULO10</v>
      </c>
      <c r="G6625" s="2" t="str">
        <f t="shared" si="552"/>
        <v xml:space="preserve"> ()</v>
      </c>
    </row>
    <row r="6626" spans="1:7" x14ac:dyDescent="0.3">
      <c r="A6626" s="1" t="s">
        <v>4</v>
      </c>
      <c r="B6626" s="2" t="str">
        <f t="shared" si="550"/>
        <v>BIBLIOTECAS GERAIS DO MV2000 E DO SGPS</v>
      </c>
      <c r="C6626" s="2" t="str">
        <f>""</f>
        <v/>
      </c>
      <c r="D6626" s="2" t="str">
        <f t="shared" si="551"/>
        <v>MV</v>
      </c>
      <c r="E6626" s="2" t="str">
        <f>"CONSUMO POR PACIENTE"</f>
        <v>CONSUMO POR PACIENTE</v>
      </c>
      <c r="F6626" s="2" t="str">
        <f>"R_CONSUMO_PACIENTE_2"</f>
        <v>R_CONSUMO_PACIENTE_2</v>
      </c>
      <c r="G6626" s="2" t="str">
        <f t="shared" si="552"/>
        <v xml:space="preserve"> ()</v>
      </c>
    </row>
    <row r="6627" spans="1:7" x14ac:dyDescent="0.3">
      <c r="A6627" s="1" t="s">
        <v>4</v>
      </c>
      <c r="B6627" s="2" t="str">
        <f t="shared" si="550"/>
        <v>BIBLIOTECAS GERAIS DO MV2000 E DO SGPS</v>
      </c>
      <c r="C6627" s="2" t="str">
        <f>""</f>
        <v/>
      </c>
      <c r="D6627" s="2" t="str">
        <f t="shared" si="551"/>
        <v>MV</v>
      </c>
      <c r="E6627" s="2" t="str">
        <f>"R_MALAD_ETIQUETA"</f>
        <v>R_MALAD_ETIQUETA</v>
      </c>
      <c r="F6627" s="2" t="str">
        <f>"R_MALAD_ETIQUETA"</f>
        <v>R_MALAD_ETIQUETA</v>
      </c>
      <c r="G6627" s="2" t="str">
        <f t="shared" si="552"/>
        <v xml:space="preserve"> ()</v>
      </c>
    </row>
    <row r="6628" spans="1:7" x14ac:dyDescent="0.3">
      <c r="A6628" s="1" t="s">
        <v>4</v>
      </c>
      <c r="B6628" s="2" t="str">
        <f t="shared" si="550"/>
        <v>BIBLIOTECAS GERAIS DO MV2000 E DO SGPS</v>
      </c>
      <c r="C6628" s="2" t="str">
        <f>""</f>
        <v/>
      </c>
      <c r="D6628" s="2" t="str">
        <f t="shared" si="551"/>
        <v>MV</v>
      </c>
      <c r="E6628" s="2" t="str">
        <f>"RELATÓRIO DE FLUXO DE CAIXA"</f>
        <v>RELATÓRIO DE FLUXO DE CAIXA</v>
      </c>
      <c r="F6628" s="2" t="str">
        <f>"R_FLUXO_CAIXA_DIA_REALIZ_860"</f>
        <v>R_FLUXO_CAIXA_DIA_REALIZ_860</v>
      </c>
      <c r="G6628" s="2" t="str">
        <f t="shared" si="552"/>
        <v xml:space="preserve"> ()</v>
      </c>
    </row>
    <row r="6629" spans="1:7" x14ac:dyDescent="0.3">
      <c r="A6629" s="1" t="s">
        <v>4</v>
      </c>
      <c r="B6629" s="2" t="str">
        <f t="shared" si="550"/>
        <v>BIBLIOTECAS GERAIS DO MV2000 E DO SGPS</v>
      </c>
      <c r="C6629" s="2" t="str">
        <f>""</f>
        <v/>
      </c>
      <c r="D6629" s="2" t="str">
        <f t="shared" si="551"/>
        <v>MV</v>
      </c>
      <c r="E6629" s="2" t="str">
        <f>"R_TIPO_SOL_X_STATUS_PPO"</f>
        <v>R_TIPO_SOL_X_STATUS_PPO</v>
      </c>
      <c r="F6629" s="2" t="str">
        <f>"R_TIPO_SOL_X_STATUS_PPO"</f>
        <v>R_TIPO_SOL_X_STATUS_PPO</v>
      </c>
      <c r="G6629" s="2" t="str">
        <f t="shared" si="552"/>
        <v xml:space="preserve"> ()</v>
      </c>
    </row>
    <row r="6630" spans="1:7" x14ac:dyDescent="0.3">
      <c r="A6630" s="1" t="s">
        <v>4</v>
      </c>
      <c r="B6630" s="2" t="str">
        <f t="shared" si="550"/>
        <v>BIBLIOTECAS GERAIS DO MV2000 E DO SGPS</v>
      </c>
      <c r="C6630" s="2" t="str">
        <f>""</f>
        <v/>
      </c>
      <c r="D6630" s="2" t="str">
        <f t="shared" si="551"/>
        <v>MV</v>
      </c>
      <c r="E6630" s="2" t="str">
        <f>"R_VIDAS_BAIRRO"</f>
        <v>R_VIDAS_BAIRRO</v>
      </c>
      <c r="F6630" s="2" t="str">
        <f>"R_VIDAS_BAIRRO"</f>
        <v>R_VIDAS_BAIRRO</v>
      </c>
      <c r="G6630" s="2" t="str">
        <f t="shared" si="552"/>
        <v xml:space="preserve"> ()</v>
      </c>
    </row>
    <row r="6631" spans="1:7" x14ac:dyDescent="0.3">
      <c r="A6631" s="1" t="s">
        <v>4</v>
      </c>
      <c r="B6631" s="2" t="str">
        <f t="shared" si="550"/>
        <v>BIBLIOTECAS GERAIS DO MV2000 E DO SGPS</v>
      </c>
      <c r="C6631" s="2" t="str">
        <f>""</f>
        <v/>
      </c>
      <c r="D6631" s="2" t="str">
        <f t="shared" si="551"/>
        <v>MV</v>
      </c>
      <c r="E6631" s="2" t="str">
        <f>"PROCEDIMENTOS SEM DIREITO PAGOS"</f>
        <v>PROCEDIMENTOS SEM DIREITO PAGOS</v>
      </c>
      <c r="F6631" s="2" t="str">
        <f>"R_PROCED_S_DIREITO_PAGAS_SAME"</f>
        <v>R_PROCED_S_DIREITO_PAGAS_SAME</v>
      </c>
      <c r="G6631" s="2" t="str">
        <f t="shared" si="552"/>
        <v xml:space="preserve"> ()</v>
      </c>
    </row>
    <row r="6632" spans="1:7" x14ac:dyDescent="0.3">
      <c r="A6632" s="1" t="s">
        <v>4</v>
      </c>
      <c r="B6632" s="2" t="str">
        <f t="shared" si="550"/>
        <v>BIBLIOTECAS GERAIS DO MV2000 E DO SGPS</v>
      </c>
      <c r="C6632" s="2" t="str">
        <f>""</f>
        <v/>
      </c>
      <c r="D6632" s="2" t="str">
        <f t="shared" si="551"/>
        <v>MV</v>
      </c>
      <c r="E6632" s="2" t="str">
        <f>"PROCEDIMENTOS SEM DIREITO NÃO PAGOS"</f>
        <v>PROCEDIMENTOS SEM DIREITO NÃO PAGOS</v>
      </c>
      <c r="F6632" s="2" t="str">
        <f>"R_PROCED_S_DIREITO_N_PAGO_SAME"</f>
        <v>R_PROCED_S_DIREITO_N_PAGO_SAME</v>
      </c>
      <c r="G6632" s="2" t="str">
        <f t="shared" si="552"/>
        <v xml:space="preserve"> ()</v>
      </c>
    </row>
    <row r="6633" spans="1:7" x14ac:dyDescent="0.3">
      <c r="A6633" s="1" t="s">
        <v>4</v>
      </c>
      <c r="B6633" s="2" t="str">
        <f t="shared" si="550"/>
        <v>BIBLIOTECAS GERAIS DO MV2000 E DO SGPS</v>
      </c>
      <c r="C6633" s="2" t="str">
        <f>""</f>
        <v/>
      </c>
      <c r="D6633" s="2" t="str">
        <f t="shared" si="551"/>
        <v>MV</v>
      </c>
      <c r="E6633" s="2" t="str">
        <f>"R_MODELO_AGENDA_SEM"</f>
        <v>R_MODELO_AGENDA_SEM</v>
      </c>
      <c r="F6633" s="2" t="str">
        <f>"R_MODELO_AGENDA_SEM"</f>
        <v>R_MODELO_AGENDA_SEM</v>
      </c>
      <c r="G6633" s="2" t="str">
        <f t="shared" si="552"/>
        <v xml:space="preserve"> ()</v>
      </c>
    </row>
    <row r="6634" spans="1:7" x14ac:dyDescent="0.3">
      <c r="A6634" s="1" t="s">
        <v>4</v>
      </c>
      <c r="B6634" s="2" t="str">
        <f t="shared" si="550"/>
        <v>BIBLIOTECAS GERAIS DO MV2000 E DO SGPS</v>
      </c>
      <c r="C6634" s="2" t="str">
        <f>""</f>
        <v/>
      </c>
      <c r="D6634" s="2" t="str">
        <f t="shared" si="551"/>
        <v>MV</v>
      </c>
      <c r="E6634" s="2" t="str">
        <f>"RELATÓRIO DE SOLICITACAO POR CLIENTE"</f>
        <v>RELATÓRIO DE SOLICITACAO POR CLIENTE</v>
      </c>
      <c r="F6634" s="2" t="str">
        <f>"R_CLIENT_SOLIC"</f>
        <v>R_CLIENT_SOLIC</v>
      </c>
      <c r="G6634" s="2" t="str">
        <f t="shared" si="552"/>
        <v xml:space="preserve"> ()</v>
      </c>
    </row>
    <row r="6635" spans="1:7" x14ac:dyDescent="0.3">
      <c r="A6635" s="1" t="s">
        <v>4</v>
      </c>
      <c r="B6635" s="2" t="str">
        <f t="shared" si="550"/>
        <v>BIBLIOTECAS GERAIS DO MV2000 E DO SGPS</v>
      </c>
      <c r="C6635" s="2" t="str">
        <f>""</f>
        <v/>
      </c>
      <c r="D6635" s="2" t="str">
        <f t="shared" si="551"/>
        <v>MV</v>
      </c>
      <c r="E6635" s="2" t="str">
        <f>"R_PROC_NORMAL_PREST_SERV_SAMEL"</f>
        <v>R_PROC_NORMAL_PREST_SERV_SAMEL</v>
      </c>
      <c r="F6635" s="2" t="str">
        <f>"R_PROC_NORMAL_PREST_SERV_SAMEL"</f>
        <v>R_PROC_NORMAL_PREST_SERV_SAMEL</v>
      </c>
      <c r="G6635" s="2" t="str">
        <f t="shared" si="552"/>
        <v xml:space="preserve"> ()</v>
      </c>
    </row>
    <row r="6636" spans="1:7" x14ac:dyDescent="0.3">
      <c r="A6636" s="1" t="s">
        <v>4</v>
      </c>
      <c r="B6636" s="2" t="str">
        <f t="shared" si="550"/>
        <v>BIBLIOTECAS GERAIS DO MV2000 E DO SGPS</v>
      </c>
      <c r="C6636" s="2" t="str">
        <f>""</f>
        <v/>
      </c>
      <c r="D6636" s="2" t="str">
        <f t="shared" si="551"/>
        <v>MV</v>
      </c>
      <c r="E6636" s="2" t="str">
        <f>"RELATÓRIO DE REPASSE DE PRESTADORES"</f>
        <v>RELATÓRIO DE REPASSE DE PRESTADORES</v>
      </c>
      <c r="F6636" s="2" t="str">
        <f>"TESTE_MARCOS4"</f>
        <v>TESTE_MARCOS4</v>
      </c>
      <c r="G6636" s="2" t="str">
        <f t="shared" si="552"/>
        <v xml:space="preserve"> ()</v>
      </c>
    </row>
    <row r="6637" spans="1:7" x14ac:dyDescent="0.3">
      <c r="A6637" s="1" t="s">
        <v>4</v>
      </c>
      <c r="B6637" s="2" t="str">
        <f t="shared" si="550"/>
        <v>BIBLIOTECAS GERAIS DO MV2000 E DO SGPS</v>
      </c>
      <c r="C6637" s="2" t="str">
        <f>""</f>
        <v/>
      </c>
      <c r="D6637" s="2" t="str">
        <f t="shared" si="551"/>
        <v>MV</v>
      </c>
      <c r="E6637" s="2" t="str">
        <f>"RELATÓRIO DE REPASSE DE PRESTADORES"</f>
        <v>RELATÓRIO DE REPASSE DE PRESTADORES</v>
      </c>
      <c r="F6637" s="2" t="str">
        <f>"TESTE_MARCOS3"</f>
        <v>TESTE_MARCOS3</v>
      </c>
      <c r="G6637" s="2" t="str">
        <f t="shared" si="552"/>
        <v xml:space="preserve"> ()</v>
      </c>
    </row>
    <row r="6638" spans="1:7" x14ac:dyDescent="0.3">
      <c r="A6638" s="1" t="s">
        <v>4</v>
      </c>
      <c r="B6638" s="2" t="str">
        <f t="shared" si="550"/>
        <v>BIBLIOTECAS GERAIS DO MV2000 E DO SGPS</v>
      </c>
      <c r="C6638" s="2" t="str">
        <f>""</f>
        <v/>
      </c>
      <c r="D6638" s="2" t="str">
        <f t="shared" si="551"/>
        <v>MV</v>
      </c>
      <c r="E6638" s="2" t="str">
        <f>"RELATÓRIO DE REPASSE DE PRESTADORES"</f>
        <v>RELATÓRIO DE REPASSE DE PRESTADORES</v>
      </c>
      <c r="F6638" s="2" t="str">
        <f>"TESTE_MARCOS2"</f>
        <v>TESTE_MARCOS2</v>
      </c>
      <c r="G6638" s="2" t="str">
        <f t="shared" si="552"/>
        <v xml:space="preserve"> ()</v>
      </c>
    </row>
    <row r="6639" spans="1:7" x14ac:dyDescent="0.3">
      <c r="A6639" s="1" t="s">
        <v>4</v>
      </c>
      <c r="B6639" s="2" t="str">
        <f t="shared" si="550"/>
        <v>BIBLIOTECAS GERAIS DO MV2000 E DO SGPS</v>
      </c>
      <c r="C6639" s="2" t="str">
        <f>""</f>
        <v/>
      </c>
      <c r="D6639" s="2" t="str">
        <f t="shared" si="551"/>
        <v>MV</v>
      </c>
      <c r="E6639" s="2" t="str">
        <f>"RELATÓRIO DE REPASSE DE PRESTADORES"</f>
        <v>RELATÓRIO DE REPASSE DE PRESTADORES</v>
      </c>
      <c r="F6639" s="2" t="str">
        <f>"TESTE_MARCOS"</f>
        <v>TESTE_MARCOS</v>
      </c>
      <c r="G6639" s="2" t="str">
        <f t="shared" si="552"/>
        <v xml:space="preserve"> ()</v>
      </c>
    </row>
    <row r="6640" spans="1:7" x14ac:dyDescent="0.3">
      <c r="A6640" s="1" t="s">
        <v>4</v>
      </c>
      <c r="B6640" s="2" t="str">
        <f t="shared" si="550"/>
        <v>BIBLIOTECAS GERAIS DO MV2000 E DO SGPS</v>
      </c>
      <c r="C6640" s="2" t="str">
        <f>""</f>
        <v/>
      </c>
      <c r="D6640" s="2" t="str">
        <f t="shared" si="551"/>
        <v>MV</v>
      </c>
      <c r="E6640" s="2" t="str">
        <f>"R_CONTA_REC_CONV_301"</f>
        <v>R_CONTA_REC_CONV_301</v>
      </c>
      <c r="F6640" s="2" t="str">
        <f>"R_CONTA_REC_CONV_301"</f>
        <v>R_CONTA_REC_CONV_301</v>
      </c>
      <c r="G6640" s="2" t="str">
        <f t="shared" si="552"/>
        <v xml:space="preserve"> ()</v>
      </c>
    </row>
    <row r="6641" spans="1:7" x14ac:dyDescent="0.3">
      <c r="A6641" s="1" t="s">
        <v>4</v>
      </c>
      <c r="B6641" s="2" t="str">
        <f t="shared" si="550"/>
        <v>BIBLIOTECAS GERAIS DO MV2000 E DO SGPS</v>
      </c>
      <c r="C6641" s="2" t="str">
        <f>""</f>
        <v/>
      </c>
      <c r="D6641" s="2" t="str">
        <f t="shared" si="551"/>
        <v>MV</v>
      </c>
      <c r="E6641" s="2" t="str">
        <f>"R_CARTA"</f>
        <v>R_CARTA</v>
      </c>
      <c r="F6641" s="2" t="str">
        <f>"R_CARTA"</f>
        <v>R_CARTA</v>
      </c>
      <c r="G6641" s="2" t="str">
        <f>"MVSaude / Relatórios / Operacionais / Cartas para Mala Direta / Inadimplentes (R_CARTA)"</f>
        <v>MVSaude / Relatórios / Operacionais / Cartas para Mala Direta / Inadimplentes (R_CARTA)</v>
      </c>
    </row>
    <row r="6642" spans="1:7" x14ac:dyDescent="0.3">
      <c r="A6642" s="1" t="s">
        <v>4</v>
      </c>
      <c r="B6642" s="2" t="str">
        <f t="shared" si="550"/>
        <v>BIBLIOTECAS GERAIS DO MV2000 E DO SGPS</v>
      </c>
      <c r="C6642" s="2" t="str">
        <f>""</f>
        <v/>
      </c>
      <c r="D6642" s="2" t="str">
        <f t="shared" si="551"/>
        <v>MV</v>
      </c>
      <c r="E6642" s="2" t="str">
        <f>"ORACLE FORMS RUNTIME"</f>
        <v>ORACLE FORMS RUNTIME</v>
      </c>
      <c r="F6642" s="2" t="str">
        <f>"R_ANS"</f>
        <v>R_ANS</v>
      </c>
      <c r="G6642" s="2" t="str">
        <f t="shared" ref="G6642:G6653" si="553">" ()"</f>
        <v xml:space="preserve"> ()</v>
      </c>
    </row>
    <row r="6643" spans="1:7" x14ac:dyDescent="0.3">
      <c r="A6643" s="1" t="s">
        <v>4</v>
      </c>
      <c r="B6643" s="2" t="str">
        <f t="shared" si="550"/>
        <v>BIBLIOTECAS GERAIS DO MV2000 E DO SGPS</v>
      </c>
      <c r="C6643" s="2" t="str">
        <f>""</f>
        <v/>
      </c>
      <c r="D6643" s="2" t="str">
        <f t="shared" si="551"/>
        <v>MV</v>
      </c>
      <c r="E6643" s="2" t="str">
        <f>"RELATÓRIO DE REPASSE DE PRESTADORES"</f>
        <v>RELATÓRIO DE REPASSE DE PRESTADORES</v>
      </c>
      <c r="F6643" s="2" t="str">
        <f>"TESTE_MARCOS8"</f>
        <v>TESTE_MARCOS8</v>
      </c>
      <c r="G6643" s="2" t="str">
        <f t="shared" si="553"/>
        <v xml:space="preserve"> ()</v>
      </c>
    </row>
    <row r="6644" spans="1:7" x14ac:dyDescent="0.3">
      <c r="A6644" s="1" t="s">
        <v>4</v>
      </c>
      <c r="B6644" s="2" t="str">
        <f t="shared" si="550"/>
        <v>BIBLIOTECAS GERAIS DO MV2000 E DO SGPS</v>
      </c>
      <c r="C6644" s="2" t="str">
        <f>""</f>
        <v/>
      </c>
      <c r="D6644" s="2" t="str">
        <f t="shared" si="551"/>
        <v>MV</v>
      </c>
      <c r="E6644" s="2" t="str">
        <f>"IMPRESSÃO DE LISTA DE CÓPIA DE CHEQUES"</f>
        <v>IMPRESSÃO DE LISTA DE CÓPIA DE CHEQUES</v>
      </c>
      <c r="F6644" s="2" t="str">
        <f>"R_LST_COPIA_CHEQUE_755"</f>
        <v>R_LST_COPIA_CHEQUE_755</v>
      </c>
      <c r="G6644" s="2" t="str">
        <f t="shared" si="553"/>
        <v xml:space="preserve"> ()</v>
      </c>
    </row>
    <row r="6645" spans="1:7" x14ac:dyDescent="0.3">
      <c r="A6645" s="1" t="s">
        <v>4</v>
      </c>
      <c r="B6645" s="2" t="str">
        <f t="shared" si="550"/>
        <v>BIBLIOTECAS GERAIS DO MV2000 E DO SGPS</v>
      </c>
      <c r="C6645" s="2" t="str">
        <f>""</f>
        <v/>
      </c>
      <c r="D6645" s="2" t="str">
        <f t="shared" si="551"/>
        <v>MV</v>
      </c>
      <c r="E6645" s="2" t="str">
        <f>"R_RECEITAS_DESPESAS_301"</f>
        <v>R_RECEITAS_DESPESAS_301</v>
      </c>
      <c r="F6645" s="2" t="str">
        <f>"R_RECEITAS_DESPESAS_301"</f>
        <v>R_RECEITAS_DESPESAS_301</v>
      </c>
      <c r="G6645" s="2" t="str">
        <f t="shared" si="553"/>
        <v xml:space="preserve"> ()</v>
      </c>
    </row>
    <row r="6646" spans="1:7" x14ac:dyDescent="0.3">
      <c r="A6646" s="1" t="s">
        <v>4</v>
      </c>
      <c r="B6646" s="2" t="str">
        <f t="shared" si="550"/>
        <v>BIBLIOTECAS GERAIS DO MV2000 E DO SGPS</v>
      </c>
      <c r="C6646" s="2" t="str">
        <f>""</f>
        <v/>
      </c>
      <c r="D6646" s="2" t="str">
        <f t="shared" si="551"/>
        <v>MV</v>
      </c>
      <c r="E6646" s="2" t="str">
        <f>"ORACLE FORMS RUNTIME"</f>
        <v>ORACLE FORMS RUNTIME</v>
      </c>
      <c r="F6646" s="2" t="str">
        <f>"ESTUDOPACIENTEE"</f>
        <v>ESTUDOPACIENTEE</v>
      </c>
      <c r="G6646" s="2" t="str">
        <f t="shared" si="553"/>
        <v xml:space="preserve"> ()</v>
      </c>
    </row>
    <row r="6647" spans="1:7" x14ac:dyDescent="0.3">
      <c r="A6647" s="1" t="s">
        <v>4</v>
      </c>
      <c r="B6647" s="2" t="str">
        <f t="shared" si="550"/>
        <v>BIBLIOTECAS GERAIS DO MV2000 E DO SGPS</v>
      </c>
      <c r="C6647" s="2" t="str">
        <f>""</f>
        <v/>
      </c>
      <c r="D6647" s="2" t="str">
        <f t="shared" si="551"/>
        <v>MV</v>
      </c>
      <c r="E6647" s="2" t="str">
        <f>"RELATÓRIO DE APLICAÇÕES ABERTAS"</f>
        <v>RELATÓRIO DE APLICAÇÕES ABERTAS</v>
      </c>
      <c r="F6647" s="2" t="str">
        <f>"R_CON_REC_340"</f>
        <v>R_CON_REC_340</v>
      </c>
      <c r="G6647" s="2" t="str">
        <f t="shared" si="553"/>
        <v xml:space="preserve"> ()</v>
      </c>
    </row>
    <row r="6648" spans="1:7" x14ac:dyDescent="0.3">
      <c r="A6648" s="1" t="s">
        <v>4</v>
      </c>
      <c r="B6648" s="2" t="str">
        <f t="shared" si="550"/>
        <v>BIBLIOTECAS GERAIS DO MV2000 E DO SGPS</v>
      </c>
      <c r="C6648" s="2" t="str">
        <f>""</f>
        <v/>
      </c>
      <c r="D6648" s="2" t="str">
        <f t="shared" si="551"/>
        <v>MV</v>
      </c>
      <c r="E6648" s="2" t="str">
        <f>"RELATÓRIO DE FATURAMENTO GLOBAL"</f>
        <v>RELATÓRIO DE FATURAMENTO GLOBAL</v>
      </c>
      <c r="F6648" s="2" t="str">
        <f>"R_FATSIA2"</f>
        <v>R_FATSIA2</v>
      </c>
      <c r="G6648" s="2" t="str">
        <f t="shared" si="553"/>
        <v xml:space="preserve"> ()</v>
      </c>
    </row>
    <row r="6649" spans="1:7" x14ac:dyDescent="0.3">
      <c r="A6649" s="1" t="s">
        <v>4</v>
      </c>
      <c r="B6649" s="2" t="str">
        <f t="shared" si="550"/>
        <v>BIBLIOTECAS GERAIS DO MV2000 E DO SGPS</v>
      </c>
      <c r="C6649" s="2" t="str">
        <f>""</f>
        <v/>
      </c>
      <c r="D6649" s="2" t="str">
        <f t="shared" si="551"/>
        <v>MV</v>
      </c>
      <c r="E6649" s="2" t="str">
        <f>"MV2000_R"</f>
        <v>MV2000_R</v>
      </c>
      <c r="F6649" s="2" t="str">
        <f>"MV2000_R"</f>
        <v>MV2000_R</v>
      </c>
      <c r="G6649" s="2" t="str">
        <f t="shared" si="553"/>
        <v xml:space="preserve"> ()</v>
      </c>
    </row>
    <row r="6650" spans="1:7" x14ac:dyDescent="0.3">
      <c r="A6650" s="1" t="s">
        <v>4</v>
      </c>
      <c r="B6650" s="2" t="str">
        <f t="shared" si="550"/>
        <v>BIBLIOTECAS GERAIS DO MV2000 E DO SGPS</v>
      </c>
      <c r="C6650" s="2" t="str">
        <f>""</f>
        <v/>
      </c>
      <c r="D6650" s="2" t="str">
        <f t="shared" si="551"/>
        <v>MV</v>
      </c>
      <c r="E6650" s="2" t="str">
        <f>"RELATÓRIO DE FASES X TIPO ATENDIMENTO"</f>
        <v>RELATÓRIO DE FASES X TIPO ATENDIMENTO</v>
      </c>
      <c r="F6650" s="2" t="str">
        <f>"R_FASES_TIPO_ATEND"</f>
        <v>R_FASES_TIPO_ATEND</v>
      </c>
      <c r="G6650" s="2" t="str">
        <f t="shared" si="553"/>
        <v xml:space="preserve"> ()</v>
      </c>
    </row>
    <row r="6651" spans="1:7" x14ac:dyDescent="0.3">
      <c r="A6651" s="1" t="s">
        <v>4</v>
      </c>
      <c r="B6651" s="2" t="str">
        <f t="shared" si="550"/>
        <v>BIBLIOTECAS GERAIS DO MV2000 E DO SGPS</v>
      </c>
      <c r="C6651" s="2" t="str">
        <f>""</f>
        <v/>
      </c>
      <c r="D6651" s="2" t="str">
        <f t="shared" si="551"/>
        <v>MV</v>
      </c>
      <c r="E6651" s="2" t="str">
        <f>"R_DEMONSTRATIVO_CONTRIBUICOES"</f>
        <v>R_DEMONSTRATIVO_CONTRIBUICOES</v>
      </c>
      <c r="F6651" s="2" t="str">
        <f>"R_DEMONSTRATIVO_CONTRIBUICOES"</f>
        <v>R_DEMONSTRATIVO_CONTRIBUICOES</v>
      </c>
      <c r="G6651" s="2" t="str">
        <f t="shared" si="553"/>
        <v xml:space="preserve"> ()</v>
      </c>
    </row>
    <row r="6652" spans="1:7" x14ac:dyDescent="0.3">
      <c r="A6652" s="1" t="s">
        <v>4</v>
      </c>
      <c r="B6652" s="2" t="str">
        <f t="shared" si="550"/>
        <v>BIBLIOTECAS GERAIS DO MV2000 E DO SGPS</v>
      </c>
      <c r="C6652" s="2" t="str">
        <f>""</f>
        <v/>
      </c>
      <c r="D6652" s="2" t="str">
        <f t="shared" si="551"/>
        <v>MV</v>
      </c>
      <c r="E6652" s="2" t="str">
        <f>"CADASTRO: MENSALIDADE DO CONTRATO"</f>
        <v>CADASTRO: MENSALIDADE DO CONTRATO</v>
      </c>
      <c r="F6652" s="2" t="str">
        <f>"M_COMPOSICAO_MENSALIDADE"</f>
        <v>M_COMPOSICAO_MENSALIDADE</v>
      </c>
      <c r="G6652" s="2" t="str">
        <f t="shared" si="553"/>
        <v xml:space="preserve"> ()</v>
      </c>
    </row>
    <row r="6653" spans="1:7" x14ac:dyDescent="0.3">
      <c r="A6653" s="1" t="s">
        <v>4</v>
      </c>
      <c r="B6653" s="2" t="str">
        <f t="shared" si="550"/>
        <v>BIBLIOTECAS GERAIS DO MV2000 E DO SGPS</v>
      </c>
      <c r="C6653" s="2" t="str">
        <f>""</f>
        <v/>
      </c>
      <c r="D6653" s="2" t="str">
        <f t="shared" si="551"/>
        <v>MV</v>
      </c>
      <c r="E6653" s="2" t="str">
        <f>"EMISSÃO DE 2ª VIA DE BOLETOS"</f>
        <v>EMISSÃO DE 2ª VIA DE BOLETOS</v>
      </c>
      <c r="F6653" s="2" t="str">
        <f>"R_2_VIA_BOLETO"</f>
        <v>R_2_VIA_BOLETO</v>
      </c>
      <c r="G6653" s="2" t="str">
        <f t="shared" si="553"/>
        <v xml:space="preserve"> ()</v>
      </c>
    </row>
    <row r="6654" spans="1:7" x14ac:dyDescent="0.3">
      <c r="A6654" s="1" t="s">
        <v>4</v>
      </c>
      <c r="B6654" s="2" t="str">
        <f t="shared" si="550"/>
        <v>BIBLIOTECAS GERAIS DO MV2000 E DO SGPS</v>
      </c>
      <c r="C6654" s="2" t="str">
        <f>""</f>
        <v/>
      </c>
      <c r="D6654" s="2" t="str">
        <f t="shared" si="551"/>
        <v>MV</v>
      </c>
      <c r="E6654" s="2" t="str">
        <f>"ETIQUETAS DE CARTEIRINHAS EMITIDAS"</f>
        <v>ETIQUETAS DE CARTEIRINHAS EMITIDAS</v>
      </c>
      <c r="F6654" s="2" t="str">
        <f>"R_ETQ_CART_EMITIDAS"</f>
        <v>R_ETQ_CART_EMITIDAS</v>
      </c>
      <c r="G6654" s="2" t="str">
        <f>"MVSaude / Relatórios / Cadastros / Etiquetas de Beneficiarios por Lotes de Carteiras (R_ETQ_CART_EMITIDAS)"</f>
        <v>MVSaude / Relatórios / Cadastros / Etiquetas de Beneficiarios por Lotes de Carteiras (R_ETQ_CART_EMITIDAS)</v>
      </c>
    </row>
    <row r="6655" spans="1:7" x14ac:dyDescent="0.3">
      <c r="A6655" s="1" t="s">
        <v>4</v>
      </c>
      <c r="B6655" s="2" t="str">
        <f t="shared" si="550"/>
        <v>BIBLIOTECAS GERAIS DO MV2000 E DO SGPS</v>
      </c>
      <c r="C6655" s="2" t="str">
        <f>""</f>
        <v/>
      </c>
      <c r="D6655" s="2" t="str">
        <f t="shared" si="551"/>
        <v>MV</v>
      </c>
      <c r="E6655" s="2" t="str">
        <f>"ANÁLISE DOS CUSTOS DAS DIÁRIAS"</f>
        <v>ANÁLISE DOS CUSTOS DAS DIÁRIAS</v>
      </c>
      <c r="F6655" s="2" t="str">
        <f>"R_ANALISE_CUSTO_DIARIAS"</f>
        <v>R_ANALISE_CUSTO_DIARIAS</v>
      </c>
      <c r="G6655" s="2" t="str">
        <f>" ()"</f>
        <v xml:space="preserve"> ()</v>
      </c>
    </row>
    <row r="6656" spans="1:7" x14ac:dyDescent="0.3">
      <c r="A6656" s="1" t="s">
        <v>4</v>
      </c>
      <c r="B6656" s="2" t="str">
        <f t="shared" si="550"/>
        <v>BIBLIOTECAS GERAIS DO MV2000 E DO SGPS</v>
      </c>
      <c r="C6656" s="2" t="str">
        <f>""</f>
        <v/>
      </c>
      <c r="D6656" s="2" t="str">
        <f t="shared" si="551"/>
        <v>MV</v>
      </c>
      <c r="E6656" s="2" t="str">
        <f>"CONTRIBUIÇÃO POR MÉDICO"</f>
        <v>CONTRIBUIÇÃO POR MÉDICO</v>
      </c>
      <c r="F6656" s="2" t="str">
        <f>"R_CONTRIBUICAO_MEDICO"</f>
        <v>R_CONTRIBUICAO_MEDICO</v>
      </c>
      <c r="G6656" s="2" t="str">
        <f>" ()"</f>
        <v xml:space="preserve"> ()</v>
      </c>
    </row>
    <row r="6657" spans="1:7" x14ac:dyDescent="0.3">
      <c r="A6657" s="1" t="s">
        <v>4</v>
      </c>
      <c r="B6657" s="2" t="str">
        <f t="shared" si="550"/>
        <v>BIBLIOTECAS GERAIS DO MV2000 E DO SGPS</v>
      </c>
      <c r="C6657" s="2" t="str">
        <f>""</f>
        <v/>
      </c>
      <c r="D6657" s="2" t="str">
        <f t="shared" si="551"/>
        <v>MV</v>
      </c>
      <c r="E6657" s="2" t="str">
        <f>"R_REP_PREST_SINTETICO_TPPREST"</f>
        <v>R_REP_PREST_SINTETICO_TPPREST</v>
      </c>
      <c r="F6657" s="2" t="str">
        <f>"R_REP_PREST_SINTETICO_TPPREST"</f>
        <v>R_REP_PREST_SINTETICO_TPPREST</v>
      </c>
      <c r="G6657" s="2" t="str">
        <f>" ()"</f>
        <v xml:space="preserve"> ()</v>
      </c>
    </row>
    <row r="6658" spans="1:7" x14ac:dyDescent="0.3">
      <c r="A6658" s="1" t="s">
        <v>4</v>
      </c>
      <c r="B6658" s="2" t="str">
        <f t="shared" si="550"/>
        <v>BIBLIOTECAS GERAIS DO MV2000 E DO SGPS</v>
      </c>
      <c r="C6658" s="2" t="str">
        <f>""</f>
        <v/>
      </c>
      <c r="D6658" s="2" t="str">
        <f t="shared" si="551"/>
        <v>MV</v>
      </c>
      <c r="E6658" s="2" t="str">
        <f>"EXTRATO DE GLOSAS"</f>
        <v>EXTRATO DE GLOSAS</v>
      </c>
      <c r="F6658" s="2" t="str">
        <f>"R_GLOSA_PREST"</f>
        <v>R_GLOSA_PREST</v>
      </c>
      <c r="G6658" s="2" t="str">
        <f>"MVSaude / Relatórios / Contas Médicas / Extrato de Glosas (R_GLOSA_PREST)"</f>
        <v>MVSaude / Relatórios / Contas Médicas / Extrato de Glosas (R_GLOSA_PREST)</v>
      </c>
    </row>
    <row r="6659" spans="1:7" x14ac:dyDescent="0.3">
      <c r="A6659" s="1" t="s">
        <v>4</v>
      </c>
      <c r="B6659" s="2" t="str">
        <f t="shared" si="550"/>
        <v>BIBLIOTECAS GERAIS DO MV2000 E DO SGPS</v>
      </c>
      <c r="C6659" s="2" t="str">
        <f>""</f>
        <v/>
      </c>
      <c r="D6659" s="2" t="str">
        <f t="shared" si="551"/>
        <v>MV</v>
      </c>
      <c r="E6659" s="2" t="str">
        <f>"R_EXA_SOL_PREST"</f>
        <v>R_EXA_SOL_PREST</v>
      </c>
      <c r="F6659" s="2" t="str">
        <f>"R_EXA_SOL_PREST"</f>
        <v>R_EXA_SOL_PREST</v>
      </c>
      <c r="G6659" s="2" t="str">
        <f>" ()"</f>
        <v xml:space="preserve"> ()</v>
      </c>
    </row>
    <row r="6660" spans="1:7" x14ac:dyDescent="0.3">
      <c r="A6660" s="1" t="s">
        <v>4</v>
      </c>
      <c r="B6660" s="2" t="str">
        <f t="shared" si="550"/>
        <v>BIBLIOTECAS GERAIS DO MV2000 E DO SGPS</v>
      </c>
      <c r="C6660" s="2" t="str">
        <f>""</f>
        <v/>
      </c>
      <c r="D6660" s="2" t="str">
        <f t="shared" si="551"/>
        <v>MV</v>
      </c>
      <c r="E6660" s="2" t="str">
        <f>"RELATÓRIO CONTA CORRENTE DO FORNECEDOR"</f>
        <v>RELATÓRIO CONTA CORRENTE DO FORNECEDOR</v>
      </c>
      <c r="F6660" s="2" t="str">
        <f>"R_CONFOR_PERS"</f>
        <v>R_CONFOR_PERS</v>
      </c>
      <c r="G6660" s="2" t="str">
        <f>" ()"</f>
        <v xml:space="preserve"> ()</v>
      </c>
    </row>
    <row r="6661" spans="1:7" x14ac:dyDescent="0.3">
      <c r="A6661" s="1" t="s">
        <v>4</v>
      </c>
      <c r="B6661" s="2" t="str">
        <f t="shared" si="550"/>
        <v>BIBLIOTECAS GERAIS DO MV2000 E DO SGPS</v>
      </c>
      <c r="C6661" s="2" t="str">
        <f>""</f>
        <v/>
      </c>
      <c r="D6661" s="2" t="str">
        <f t="shared" si="551"/>
        <v>MV</v>
      </c>
      <c r="E6661" s="2" t="str">
        <f>"PROPOSTA E PRODUÇÃO E ORÇAMENTO"</f>
        <v>PROPOSTA E PRODUÇÃO E ORÇAMENTO</v>
      </c>
      <c r="F6661" s="2" t="str">
        <f>"R_STATUS_SOLIC"</f>
        <v>R_STATUS_SOLIC</v>
      </c>
      <c r="G6661" s="2" t="str">
        <f>" ()"</f>
        <v xml:space="preserve"> ()</v>
      </c>
    </row>
    <row r="6662" spans="1:7" x14ac:dyDescent="0.3">
      <c r="A6662" s="1" t="s">
        <v>4</v>
      </c>
      <c r="B6662" s="2" t="str">
        <f t="shared" si="550"/>
        <v>BIBLIOTECAS GERAIS DO MV2000 E DO SGPS</v>
      </c>
      <c r="C6662" s="2" t="str">
        <f>""</f>
        <v/>
      </c>
      <c r="D6662" s="2" t="str">
        <f t="shared" si="551"/>
        <v>MV</v>
      </c>
      <c r="E6662" s="2" t="str">
        <f>"CURVA ABC DE FARMÁCIA"</f>
        <v>CURVA ABC DE FARMÁCIA</v>
      </c>
      <c r="F6662" s="2" t="str">
        <f>"R_CURVA_ABC_FARM"</f>
        <v>R_CURVA_ABC_FARM</v>
      </c>
      <c r="G6662" s="2" t="str">
        <f>" ()"</f>
        <v xml:space="preserve"> ()</v>
      </c>
    </row>
    <row r="6663" spans="1:7" x14ac:dyDescent="0.3">
      <c r="A6663" s="1" t="s">
        <v>4</v>
      </c>
      <c r="B6663" s="2" t="str">
        <f t="shared" si="550"/>
        <v>BIBLIOTECAS GERAIS DO MV2000 E DO SGPS</v>
      </c>
      <c r="C6663" s="2" t="str">
        <f>""</f>
        <v/>
      </c>
      <c r="D6663" s="2" t="str">
        <f t="shared" si="551"/>
        <v>MV</v>
      </c>
      <c r="E6663" s="2" t="str">
        <f>"TEMPLATE_WEB_APPLICATION_SERVER_DESIGNER"</f>
        <v>TEMPLATE_WEB_APPLICATION_SERVER_DESIGNER</v>
      </c>
      <c r="F6663" s="2" t="str">
        <f>"OASTEMPLATE"</f>
        <v>OASTEMPLATE</v>
      </c>
      <c r="G6663" s="2" t="str">
        <f>" ()"</f>
        <v xml:space="preserve"> ()</v>
      </c>
    </row>
    <row r="6664" spans="1:7" x14ac:dyDescent="0.3">
      <c r="A6664" s="1" t="s">
        <v>4</v>
      </c>
      <c r="B6664" s="2" t="str">
        <f t="shared" si="550"/>
        <v>BIBLIOTECAS GERAIS DO MV2000 E DO SGPS</v>
      </c>
      <c r="C6664" s="2" t="str">
        <f>""</f>
        <v/>
      </c>
      <c r="D6664" s="2" t="str">
        <f t="shared" si="551"/>
        <v>MV</v>
      </c>
      <c r="E6664" s="2" t="str">
        <f>"RELATÓRIO DE USUÁRIOS"</f>
        <v>RELATÓRIO DE USUÁRIOS</v>
      </c>
      <c r="F6664" s="2" t="str">
        <f>"R_USUARIO"</f>
        <v>R_USUARIO</v>
      </c>
      <c r="G6664" s="2" t="str">
        <f>"MVSaude / Relatórios / Cadastros / Beneficiarios (R_USUARIO)"</f>
        <v>MVSaude / Relatórios / Cadastros / Beneficiarios (R_USUARIO)</v>
      </c>
    </row>
    <row r="6665" spans="1:7" x14ac:dyDescent="0.3">
      <c r="A6665" s="1" t="s">
        <v>4</v>
      </c>
      <c r="B6665" s="2" t="str">
        <f t="shared" si="550"/>
        <v>BIBLIOTECAS GERAIS DO MV2000 E DO SGPS</v>
      </c>
      <c r="C6665" s="2" t="str">
        <f>""</f>
        <v/>
      </c>
      <c r="D6665" s="2" t="str">
        <f t="shared" si="551"/>
        <v>MV</v>
      </c>
      <c r="E6665" s="2" t="str">
        <f>"RELATÓRIO DE AGENDA MÉDICA"</f>
        <v>RELATÓRIO DE AGENDA MÉDICA</v>
      </c>
      <c r="F6665" s="2" t="str">
        <f>"R_AGE_CARTEIRA"</f>
        <v>R_AGE_CARTEIRA</v>
      </c>
      <c r="G6665" s="2" t="str">
        <f>" ()"</f>
        <v xml:space="preserve"> ()</v>
      </c>
    </row>
    <row r="6666" spans="1:7" x14ac:dyDescent="0.3">
      <c r="A6666" s="1" t="s">
        <v>4</v>
      </c>
      <c r="B6666" s="2" t="str">
        <f t="shared" si="550"/>
        <v>BIBLIOTECAS GERAIS DO MV2000 E DO SGPS</v>
      </c>
      <c r="C6666" s="2" t="str">
        <f>""</f>
        <v/>
      </c>
      <c r="D6666" s="2" t="str">
        <f t="shared" si="551"/>
        <v>MV</v>
      </c>
      <c r="E6666" s="2" t="str">
        <f>"RELATÓRIO DE INTERNAÇÕES"</f>
        <v>RELATÓRIO DE INTERNAÇÕES</v>
      </c>
      <c r="F6666" s="2" t="str">
        <f>"R_INT_CTA_HOSP"</f>
        <v>R_INT_CTA_HOSP</v>
      </c>
      <c r="G6666" s="2" t="str">
        <f>" ()"</f>
        <v xml:space="preserve"> ()</v>
      </c>
    </row>
    <row r="6667" spans="1:7" x14ac:dyDescent="0.3">
      <c r="A6667" s="1" t="s">
        <v>4</v>
      </c>
      <c r="B6667" s="2" t="str">
        <f t="shared" si="550"/>
        <v>BIBLIOTECAS GERAIS DO MV2000 E DO SGPS</v>
      </c>
      <c r="C6667" s="2" t="str">
        <f>""</f>
        <v/>
      </c>
      <c r="D6667" s="2" t="str">
        <f t="shared" si="551"/>
        <v>MV</v>
      </c>
      <c r="E6667" s="2" t="str">
        <f>"RELATÓRIO DE DEMONSTRATIVO DE PAGAMENTO"</f>
        <v>RELATÓRIO DE DEMONSTRATIVO DE PAGAMENTO</v>
      </c>
      <c r="F6667" s="2" t="str">
        <f>"R_RAZAO_PRESTADOR"</f>
        <v>R_RAZAO_PRESTADOR</v>
      </c>
      <c r="G6667" s="2" t="str">
        <f>" ()"</f>
        <v xml:space="preserve"> ()</v>
      </c>
    </row>
    <row r="6668" spans="1:7" x14ac:dyDescent="0.3">
      <c r="A6668" s="1" t="s">
        <v>4</v>
      </c>
      <c r="B6668" s="2" t="str">
        <f t="shared" si="550"/>
        <v>BIBLIOTECAS GERAIS DO MV2000 E DO SGPS</v>
      </c>
      <c r="C6668" s="2" t="str">
        <f>""</f>
        <v/>
      </c>
      <c r="D6668" s="2" t="str">
        <f t="shared" si="551"/>
        <v>MV</v>
      </c>
      <c r="E6668" s="2" t="str">
        <f>"FATURA DO CONTRATO EMPRESARIAL"</f>
        <v>FATURA DO CONTRATO EMPRESARIAL</v>
      </c>
      <c r="F6668" s="2" t="str">
        <f>"R_COBRANCA_EMPRESA"</f>
        <v>R_COBRANCA_EMPRESA</v>
      </c>
      <c r="G6668" s="2" t="str">
        <f>"MVSaude / Relatórios / Faturamento / Fatura do Contrato Empresarial (R_COBRANCA_EMPRESA)"</f>
        <v>MVSaude / Relatórios / Faturamento / Fatura do Contrato Empresarial (R_COBRANCA_EMPRESA)</v>
      </c>
    </row>
    <row r="6669" spans="1:7" x14ac:dyDescent="0.3">
      <c r="A6669" s="1" t="s">
        <v>4</v>
      </c>
      <c r="B6669" s="2" t="str">
        <f t="shared" si="550"/>
        <v>BIBLIOTECAS GERAIS DO MV2000 E DO SGPS</v>
      </c>
      <c r="C6669" s="2" t="str">
        <f>""</f>
        <v/>
      </c>
      <c r="D6669" s="2" t="str">
        <f t="shared" si="551"/>
        <v>MV</v>
      </c>
      <c r="E6669" s="2" t="str">
        <f>"RELATÓRIO CONTAS A RECEBER"</f>
        <v>RELATÓRIO CONTAS A RECEBER</v>
      </c>
      <c r="F6669" s="2" t="str">
        <f>"R_CON_AREC_959"</f>
        <v>R_CON_AREC_959</v>
      </c>
      <c r="G6669" s="2" t="str">
        <f t="shared" ref="G6669:G6674" si="554">" ()"</f>
        <v xml:space="preserve"> ()</v>
      </c>
    </row>
    <row r="6670" spans="1:7" x14ac:dyDescent="0.3">
      <c r="A6670" s="1" t="s">
        <v>4</v>
      </c>
      <c r="B6670" s="2" t="str">
        <f t="shared" si="550"/>
        <v>BIBLIOTECAS GERAIS DO MV2000 E DO SGPS</v>
      </c>
      <c r="C6670" s="2" t="str">
        <f>""</f>
        <v/>
      </c>
      <c r="D6670" s="2" t="str">
        <f t="shared" si="551"/>
        <v>MV</v>
      </c>
      <c r="E6670" s="2" t="str">
        <f>"DEMOSTRATIVO DE EVENTOS"</f>
        <v>DEMOSTRATIVO DE EVENTOS</v>
      </c>
      <c r="F6670" s="2" t="str">
        <f>"R_RAZAO_COMPET_CONMEDH_R3"</f>
        <v>R_RAZAO_COMPET_CONMEDH_R3</v>
      </c>
      <c r="G6670" s="2" t="str">
        <f t="shared" si="554"/>
        <v xml:space="preserve"> ()</v>
      </c>
    </row>
    <row r="6671" spans="1:7" x14ac:dyDescent="0.3">
      <c r="A6671" s="1" t="s">
        <v>4</v>
      </c>
      <c r="B6671" s="2" t="str">
        <f t="shared" si="550"/>
        <v>BIBLIOTECAS GERAIS DO MV2000 E DO SGPS</v>
      </c>
      <c r="C6671" s="2" t="str">
        <f>""</f>
        <v/>
      </c>
      <c r="D6671" s="2" t="str">
        <f t="shared" si="551"/>
        <v>MV</v>
      </c>
      <c r="E6671" s="2" t="str">
        <f>"CALENDÁRIO"</f>
        <v>CALENDÁRIO</v>
      </c>
      <c r="F6671" s="2" t="str">
        <f>"R_VIDAS_CONT_CATEG_SOROC"</f>
        <v>R_VIDAS_CONT_CATEG_SOROC</v>
      </c>
      <c r="G6671" s="2" t="str">
        <f t="shared" si="554"/>
        <v xml:space="preserve"> ()</v>
      </c>
    </row>
    <row r="6672" spans="1:7" x14ac:dyDescent="0.3">
      <c r="A6672" s="1" t="s">
        <v>4</v>
      </c>
      <c r="B6672" s="2" t="str">
        <f t="shared" ref="B6672:B6735" si="555">"BIBLIOTECAS GERAIS DO MV2000 E DO SGPS"</f>
        <v>BIBLIOTECAS GERAIS DO MV2000 E DO SGPS</v>
      </c>
      <c r="C6672" s="2" t="str">
        <f>""</f>
        <v/>
      </c>
      <c r="D6672" s="2" t="str">
        <f t="shared" ref="D6672:D6735" si="556">"MV"</f>
        <v>MV</v>
      </c>
      <c r="E6672" s="2" t="str">
        <f>"ORACLE FORMS RUNTIME"</f>
        <v>ORACLE FORMS RUNTIME</v>
      </c>
      <c r="F6672" s="2" t="str">
        <f>"MV2000PF_DEVELOPER_TEMPLATE_CO"</f>
        <v>MV2000PF_DEVELOPER_TEMPLATE_CO</v>
      </c>
      <c r="G6672" s="2" t="str">
        <f t="shared" si="554"/>
        <v xml:space="preserve"> ()</v>
      </c>
    </row>
    <row r="6673" spans="1:7" x14ac:dyDescent="0.3">
      <c r="A6673" s="1" t="s">
        <v>4</v>
      </c>
      <c r="B6673" s="2" t="str">
        <f t="shared" si="555"/>
        <v>BIBLIOTECAS GERAIS DO MV2000 E DO SGPS</v>
      </c>
      <c r="C6673" s="2" t="str">
        <f>""</f>
        <v/>
      </c>
      <c r="D6673" s="2" t="str">
        <f t="shared" si="556"/>
        <v>MV</v>
      </c>
      <c r="E6673" s="2" t="str">
        <f>"R_RECEB_CONV"</f>
        <v>R_RECEB_CONV</v>
      </c>
      <c r="F6673" s="2" t="str">
        <f>"R_RECEB_CONV"</f>
        <v>R_RECEB_CONV</v>
      </c>
      <c r="G6673" s="2" t="str">
        <f t="shared" si="554"/>
        <v xml:space="preserve"> ()</v>
      </c>
    </row>
    <row r="6674" spans="1:7" x14ac:dyDescent="0.3">
      <c r="A6674" s="1" t="s">
        <v>4</v>
      </c>
      <c r="B6674" s="2" t="str">
        <f t="shared" si="555"/>
        <v>BIBLIOTECAS GERAIS DO MV2000 E DO SGPS</v>
      </c>
      <c r="C6674" s="2" t="str">
        <f>""</f>
        <v/>
      </c>
      <c r="D6674" s="2" t="str">
        <f t="shared" si="556"/>
        <v>MV</v>
      </c>
      <c r="E6674" s="2" t="str">
        <f>"WIN_PRINCIPAL - 01-HOSPITAL MV SISTE"</f>
        <v>WIN_PRINCIPAL - 01-HOSPITAL MV SISTE</v>
      </c>
      <c r="F6674" s="2" t="str">
        <f>"M_PROCEDIMENTO_EXCESSAO"</f>
        <v>M_PROCEDIMENTO_EXCESSAO</v>
      </c>
      <c r="G6674" s="2" t="str">
        <f t="shared" si="554"/>
        <v xml:space="preserve"> ()</v>
      </c>
    </row>
    <row r="6675" spans="1:7" x14ac:dyDescent="0.3">
      <c r="A6675" s="1" t="s">
        <v>4</v>
      </c>
      <c r="B6675" s="2" t="str">
        <f t="shared" si="555"/>
        <v>BIBLIOTECAS GERAIS DO MV2000 E DO SGPS</v>
      </c>
      <c r="C6675" s="2" t="str">
        <f>""</f>
        <v/>
      </c>
      <c r="D6675" s="2" t="str">
        <f t="shared" si="556"/>
        <v>MV</v>
      </c>
      <c r="E6675" s="2" t="str">
        <f>"TIPO DE ATENDIMENTO TISS"</f>
        <v>TIPO DE ATENDIMENTO TISS</v>
      </c>
      <c r="F6675" s="2" t="str">
        <f>"M_TIPO_ATENDIMENTO_TISS"</f>
        <v>M_TIPO_ATENDIMENTO_TISS</v>
      </c>
      <c r="G6675" s="2" t="str">
        <f>"MVSaude / ANS / TISS / Tabelas de Domínio / Tipos de Atendimentos (M_TIPO_ATENDIMENTO_TISS)"</f>
        <v>MVSaude / ANS / TISS / Tabelas de Domínio / Tipos de Atendimentos (M_TIPO_ATENDIMENTO_TISS)</v>
      </c>
    </row>
    <row r="6676" spans="1:7" x14ac:dyDescent="0.3">
      <c r="A6676" s="1" t="s">
        <v>4</v>
      </c>
      <c r="B6676" s="2" t="str">
        <f t="shared" si="555"/>
        <v>BIBLIOTECAS GERAIS DO MV2000 E DO SGPS</v>
      </c>
      <c r="C6676" s="2" t="str">
        <f>""</f>
        <v/>
      </c>
      <c r="D6676" s="2" t="str">
        <f t="shared" si="556"/>
        <v>MV</v>
      </c>
      <c r="E6676" s="2" t="str">
        <f>"MANUTENÇÃO DE PLANOS DE SAÚDE"</f>
        <v>MANUTENÇÃO DE PLANOS DE SAÚDE</v>
      </c>
      <c r="F6676" s="2" t="str">
        <f>"M_PLANOS"</f>
        <v>M_PLANOS</v>
      </c>
      <c r="G6676" s="2" t="str">
        <f t="shared" ref="G6676:G6690" si="557">" ()"</f>
        <v xml:space="preserve"> ()</v>
      </c>
    </row>
    <row r="6677" spans="1:7" x14ac:dyDescent="0.3">
      <c r="A6677" s="1" t="s">
        <v>4</v>
      </c>
      <c r="B6677" s="2" t="str">
        <f t="shared" si="555"/>
        <v>BIBLIOTECAS GERAIS DO MV2000 E DO SGPS</v>
      </c>
      <c r="C6677" s="2" t="str">
        <f>""</f>
        <v/>
      </c>
      <c r="D6677" s="2" t="str">
        <f t="shared" si="556"/>
        <v>MV</v>
      </c>
      <c r="E6677" s="2" t="str">
        <f>"WIN_PRINCIPAL - HOSPITAL MV SISTEMAS"</f>
        <v>WIN_PRINCIPAL - HOSPITAL MV SISTEMAS</v>
      </c>
      <c r="F6677" s="2" t="str">
        <f>"M_PRODUTO_MOTIVO_BLOQUEIO"</f>
        <v>M_PRODUTO_MOTIVO_BLOQUEIO</v>
      </c>
      <c r="G6677" s="2" t="str">
        <f t="shared" si="557"/>
        <v xml:space="preserve"> ()</v>
      </c>
    </row>
    <row r="6678" spans="1:7" x14ac:dyDescent="0.3">
      <c r="A6678" s="1" t="s">
        <v>4</v>
      </c>
      <c r="B6678" s="2" t="str">
        <f t="shared" si="555"/>
        <v>BIBLIOTECAS GERAIS DO MV2000 E DO SGPS</v>
      </c>
      <c r="C6678" s="2" t="str">
        <f>""</f>
        <v/>
      </c>
      <c r="D6678" s="2" t="str">
        <f t="shared" si="556"/>
        <v>MV</v>
      </c>
      <c r="E6678" s="2" t="str">
        <f>"WIN_PRINCIPAL - HOSPITAL MV SISTEMAS"</f>
        <v>WIN_PRINCIPAL - HOSPITAL MV SISTEMAS</v>
      </c>
      <c r="F6678" s="2" t="str">
        <f>"TESTEOCX"</f>
        <v>TESTEOCX</v>
      </c>
      <c r="G6678" s="2" t="str">
        <f t="shared" si="557"/>
        <v xml:space="preserve"> ()</v>
      </c>
    </row>
    <row r="6679" spans="1:7" x14ac:dyDescent="0.3">
      <c r="A6679" s="1" t="s">
        <v>4</v>
      </c>
      <c r="B6679" s="2" t="str">
        <f t="shared" si="555"/>
        <v>BIBLIOTECAS GERAIS DO MV2000 E DO SGPS</v>
      </c>
      <c r="C6679" s="2" t="str">
        <f>""</f>
        <v/>
      </c>
      <c r="D6679" s="2" t="str">
        <f t="shared" si="556"/>
        <v>MV</v>
      </c>
      <c r="E6679" s="2" t="str">
        <f>"M_REGRA_AUDITORIA"</f>
        <v>M_REGRA_AUDITORIA</v>
      </c>
      <c r="F6679" s="2" t="str">
        <f>"M_REGRA_AUDITORIA"</f>
        <v>M_REGRA_AUDITORIA</v>
      </c>
      <c r="G6679" s="2" t="str">
        <f t="shared" si="557"/>
        <v xml:space="preserve"> ()</v>
      </c>
    </row>
    <row r="6680" spans="1:7" x14ac:dyDescent="0.3">
      <c r="A6680" s="1" t="s">
        <v>4</v>
      </c>
      <c r="B6680" s="2" t="str">
        <f t="shared" si="555"/>
        <v>BIBLIOTECAS GERAIS DO MV2000 E DO SGPS</v>
      </c>
      <c r="C6680" s="2" t="str">
        <f>""</f>
        <v/>
      </c>
      <c r="D6680" s="2" t="str">
        <f t="shared" si="556"/>
        <v>MV</v>
      </c>
      <c r="E6680" s="2" t="str">
        <f>"WIN_PRINCIPAL - HOSPITAL MV SISTEMAS"</f>
        <v>WIN_PRINCIPAL - HOSPITAL MV SISTEMAS</v>
      </c>
      <c r="F6680" s="2" t="str">
        <f>"M_ACOMPANHA_AGENDAMENTO"</f>
        <v>M_ACOMPANHA_AGENDAMENTO</v>
      </c>
      <c r="G6680" s="2" t="str">
        <f t="shared" si="557"/>
        <v xml:space="preserve"> ()</v>
      </c>
    </row>
    <row r="6681" spans="1:7" x14ac:dyDescent="0.3">
      <c r="A6681" s="1" t="s">
        <v>4</v>
      </c>
      <c r="B6681" s="2" t="str">
        <f t="shared" si="555"/>
        <v>BIBLIOTECAS GERAIS DO MV2000 E DO SGPS</v>
      </c>
      <c r="C6681" s="2" t="str">
        <f>""</f>
        <v/>
      </c>
      <c r="D6681" s="2" t="str">
        <f t="shared" si="556"/>
        <v>MV</v>
      </c>
      <c r="E6681" s="2" t="str">
        <f>"PROCESSOS - HOSPITAL MV SISTEMAS"</f>
        <v>PROCESSOS - HOSPITAL MV SISTEMAS</v>
      </c>
      <c r="F6681" s="2" t="str">
        <f>"M_PROCESSOS_NAT_OPERACAO"</f>
        <v>M_PROCESSOS_NAT_OPERACAO</v>
      </c>
      <c r="G6681" s="2" t="str">
        <f t="shared" si="557"/>
        <v xml:space="preserve"> ()</v>
      </c>
    </row>
    <row r="6682" spans="1:7" x14ac:dyDescent="0.3">
      <c r="A6682" s="1" t="s">
        <v>4</v>
      </c>
      <c r="B6682" s="2" t="str">
        <f t="shared" si="555"/>
        <v>BIBLIOTECAS GERAIS DO MV2000 E DO SGPS</v>
      </c>
      <c r="C6682" s="2" t="str">
        <f>""</f>
        <v/>
      </c>
      <c r="D6682" s="2" t="str">
        <f t="shared" si="556"/>
        <v>MV</v>
      </c>
      <c r="E6682" s="2" t="str">
        <f>"M_CADASTRO_REGRA_COTA"</f>
        <v>M_CADASTRO_REGRA_COTA</v>
      </c>
      <c r="F6682" s="2" t="str">
        <f>"M_CADASTRO_REGRA_COTA"</f>
        <v>M_CADASTRO_REGRA_COTA</v>
      </c>
      <c r="G6682" s="2" t="str">
        <f t="shared" si="557"/>
        <v xml:space="preserve"> ()</v>
      </c>
    </row>
    <row r="6683" spans="1:7" x14ac:dyDescent="0.3">
      <c r="A6683" s="1" t="s">
        <v>4</v>
      </c>
      <c r="B6683" s="2" t="str">
        <f t="shared" si="555"/>
        <v>BIBLIOTECAS GERAIS DO MV2000 E DO SGPS</v>
      </c>
      <c r="C6683" s="2" t="str">
        <f>""</f>
        <v/>
      </c>
      <c r="D6683" s="2" t="str">
        <f t="shared" si="556"/>
        <v>MV</v>
      </c>
      <c r="E6683" s="2" t="str">
        <f>"WIN_PRINCIPAL - HOSPITAL MV SISTEMAS"</f>
        <v>WIN_PRINCIPAL - HOSPITAL MV SISTEMAS</v>
      </c>
      <c r="F6683" s="2" t="str">
        <f>"TESTE_LOV"</f>
        <v>TESTE_LOV</v>
      </c>
      <c r="G6683" s="2" t="str">
        <f t="shared" si="557"/>
        <v xml:space="preserve"> ()</v>
      </c>
    </row>
    <row r="6684" spans="1:7" x14ac:dyDescent="0.3">
      <c r="A6684" s="1" t="s">
        <v>4</v>
      </c>
      <c r="B6684" s="2" t="str">
        <f t="shared" si="555"/>
        <v>BIBLIOTECAS GERAIS DO MV2000 E DO SGPS</v>
      </c>
      <c r="C6684" s="2" t="str">
        <f>""</f>
        <v/>
      </c>
      <c r="D6684" s="2" t="str">
        <f t="shared" si="556"/>
        <v>MV</v>
      </c>
      <c r="E6684" s="2" t="str">
        <f>"M_RAISE_APPLICATION_ERRO"</f>
        <v>M_RAISE_APPLICATION_ERRO</v>
      </c>
      <c r="F6684" s="2" t="str">
        <f>"M_RAISE_APPLICATION_ERRO"</f>
        <v>M_RAISE_APPLICATION_ERRO</v>
      </c>
      <c r="G6684" s="2" t="str">
        <f t="shared" si="557"/>
        <v xml:space="preserve"> ()</v>
      </c>
    </row>
    <row r="6685" spans="1:7" x14ac:dyDescent="0.3">
      <c r="A6685" s="1" t="s">
        <v>4</v>
      </c>
      <c r="B6685" s="2" t="str">
        <f t="shared" si="555"/>
        <v>BIBLIOTECAS GERAIS DO MV2000 E DO SGPS</v>
      </c>
      <c r="C6685" s="2" t="str">
        <f>""</f>
        <v/>
      </c>
      <c r="D6685" s="2" t="str">
        <f t="shared" si="556"/>
        <v>MV</v>
      </c>
      <c r="E6685" s="2" t="str">
        <f>"WIN_PRINCIPAL - HOSPITAL MV SISTEMAS"</f>
        <v>WIN_PRINCIPAL - HOSPITAL MV SISTEMAS</v>
      </c>
      <c r="F6685" s="2" t="str">
        <f>"TESTES_ICONES"</f>
        <v>TESTES_ICONES</v>
      </c>
      <c r="G6685" s="2" t="str">
        <f t="shared" si="557"/>
        <v xml:space="preserve"> ()</v>
      </c>
    </row>
    <row r="6686" spans="1:7" x14ac:dyDescent="0.3">
      <c r="A6686" s="1" t="s">
        <v>4</v>
      </c>
      <c r="B6686" s="2" t="str">
        <f t="shared" si="555"/>
        <v>BIBLIOTECAS GERAIS DO MV2000 E DO SGPS</v>
      </c>
      <c r="C6686" s="2" t="str">
        <f>""</f>
        <v/>
      </c>
      <c r="D6686" s="2" t="str">
        <f t="shared" si="556"/>
        <v>MV</v>
      </c>
      <c r="E6686" s="2" t="str">
        <f>"AUDITORIA_DE_CONTAS_SINTETICO"</f>
        <v>AUDITORIA_DE_CONTAS_SINTETICO</v>
      </c>
      <c r="F6686" s="2" t="str">
        <f>"AUDITORIA_DE_CONTAS_SINTETICO"</f>
        <v>AUDITORIA_DE_CONTAS_SINTETICO</v>
      </c>
      <c r="G6686" s="2" t="str">
        <f t="shared" si="557"/>
        <v xml:space="preserve"> ()</v>
      </c>
    </row>
    <row r="6687" spans="1:7" x14ac:dyDescent="0.3">
      <c r="A6687" s="1" t="s">
        <v>4</v>
      </c>
      <c r="B6687" s="2" t="str">
        <f t="shared" si="555"/>
        <v>BIBLIOTECAS GERAIS DO MV2000 E DO SGPS</v>
      </c>
      <c r="C6687" s="2" t="str">
        <f>""</f>
        <v/>
      </c>
      <c r="D6687" s="2" t="str">
        <f t="shared" si="556"/>
        <v>MV</v>
      </c>
      <c r="E6687" s="2" t="str">
        <f>"R_ANA_CUS_SETOR_NIVEL"</f>
        <v>R_ANA_CUS_SETOR_NIVEL</v>
      </c>
      <c r="F6687" s="2" t="str">
        <f>"R_ANA_CUS_SETOR_NIVEL"</f>
        <v>R_ANA_CUS_SETOR_NIVEL</v>
      </c>
      <c r="G6687" s="2" t="str">
        <f t="shared" si="557"/>
        <v xml:space="preserve"> ()</v>
      </c>
    </row>
    <row r="6688" spans="1:7" x14ac:dyDescent="0.3">
      <c r="A6688" s="1" t="s">
        <v>4</v>
      </c>
      <c r="B6688" s="2" t="str">
        <f t="shared" si="555"/>
        <v>BIBLIOTECAS GERAIS DO MV2000 E DO SGPS</v>
      </c>
      <c r="C6688" s="2" t="str">
        <f>""</f>
        <v/>
      </c>
      <c r="D6688" s="2" t="str">
        <f t="shared" si="556"/>
        <v>MV</v>
      </c>
      <c r="E6688" s="2" t="str">
        <f>"R_CONSUMO_BASE_FATUR"</f>
        <v>R_CONSUMO_BASE_FATUR</v>
      </c>
      <c r="F6688" s="2" t="str">
        <f>"R_CONSUMO_BASE_FATUR"</f>
        <v>R_CONSUMO_BASE_FATUR</v>
      </c>
      <c r="G6688" s="2" t="str">
        <f t="shared" si="557"/>
        <v xml:space="preserve"> ()</v>
      </c>
    </row>
    <row r="6689" spans="1:7" x14ac:dyDescent="0.3">
      <c r="A6689" s="1" t="s">
        <v>4</v>
      </c>
      <c r="B6689" s="2" t="str">
        <f t="shared" si="555"/>
        <v>BIBLIOTECAS GERAIS DO MV2000 E DO SGPS</v>
      </c>
      <c r="C6689" s="2" t="str">
        <f>""</f>
        <v/>
      </c>
      <c r="D6689" s="2" t="str">
        <f t="shared" si="556"/>
        <v>MV</v>
      </c>
      <c r="E6689" s="2" t="str">
        <f>"M_PRESTHOS_SIASUS"</f>
        <v>M_PRESTHOS_SIASUS</v>
      </c>
      <c r="F6689" s="2" t="str">
        <f>"M_PRESTHOS_SIASUS"</f>
        <v>M_PRESTHOS_SIASUS</v>
      </c>
      <c r="G6689" s="2" t="str">
        <f t="shared" si="557"/>
        <v xml:space="preserve"> ()</v>
      </c>
    </row>
    <row r="6690" spans="1:7" x14ac:dyDescent="0.3">
      <c r="A6690" s="1" t="s">
        <v>4</v>
      </c>
      <c r="B6690" s="2" t="str">
        <f t="shared" si="555"/>
        <v>BIBLIOTECAS GERAIS DO MV2000 E DO SGPS</v>
      </c>
      <c r="C6690" s="2" t="str">
        <f>""</f>
        <v/>
      </c>
      <c r="D6690" s="2" t="str">
        <f t="shared" si="556"/>
        <v>MV</v>
      </c>
      <c r="E6690" s="2" t="str">
        <f>"M_TIPPRE_PAGU"</f>
        <v>M_TIPPRE_PAGU</v>
      </c>
      <c r="F6690" s="2" t="str">
        <f>"M_TIPPRE_PAGU"</f>
        <v>M_TIPPRE_PAGU</v>
      </c>
      <c r="G6690" s="2" t="str">
        <f t="shared" si="557"/>
        <v xml:space="preserve"> ()</v>
      </c>
    </row>
    <row r="6691" spans="1:7" x14ac:dyDescent="0.3">
      <c r="A6691" s="1" t="s">
        <v>4</v>
      </c>
      <c r="B6691" s="2" t="str">
        <f t="shared" si="555"/>
        <v>BIBLIOTECAS GERAIS DO MV2000 E DO SGPS</v>
      </c>
      <c r="C6691" s="2" t="str">
        <f>""</f>
        <v/>
      </c>
      <c r="D6691" s="2" t="str">
        <f t="shared" si="556"/>
        <v>MV</v>
      </c>
      <c r="E6691" s="2" t="str">
        <f>"CONSULTA PARAMETRIZADA DE NOTAS FISCAIS"</f>
        <v>CONSULTA PARAMETRIZADA DE NOTAS FISCAIS</v>
      </c>
      <c r="F6691" s="2" t="str">
        <f>"C_CONS_NF_ATEND_971"</f>
        <v>C_CONS_NF_ATEND_971</v>
      </c>
      <c r="G6691" s="2" t="s">
        <v>10</v>
      </c>
    </row>
    <row r="6692" spans="1:7" x14ac:dyDescent="0.3">
      <c r="A6692" s="1" t="s">
        <v>4</v>
      </c>
      <c r="B6692" s="2" t="str">
        <f t="shared" si="555"/>
        <v>BIBLIOTECAS GERAIS DO MV2000 E DO SGPS</v>
      </c>
      <c r="C6692" s="2" t="str">
        <f>""</f>
        <v/>
      </c>
      <c r="D6692" s="2" t="str">
        <f t="shared" si="556"/>
        <v>MV</v>
      </c>
      <c r="E6692" s="2" t="str">
        <f>"C_MENSAGEM"</f>
        <v>C_MENSAGEM</v>
      </c>
      <c r="F6692" s="2" t="str">
        <f>"C_MENSAGEM"</f>
        <v>C_MENSAGEM</v>
      </c>
      <c r="G6692" s="2" t="str">
        <f>" ()"</f>
        <v xml:space="preserve"> ()</v>
      </c>
    </row>
    <row r="6693" spans="1:7" x14ac:dyDescent="0.3">
      <c r="A6693" s="1" t="s">
        <v>4</v>
      </c>
      <c r="B6693" s="2" t="str">
        <f t="shared" si="555"/>
        <v>BIBLIOTECAS GERAIS DO MV2000 E DO SGPS</v>
      </c>
      <c r="C6693" s="2" t="str">
        <f>""</f>
        <v/>
      </c>
      <c r="D6693" s="2" t="str">
        <f t="shared" si="556"/>
        <v>MV</v>
      </c>
      <c r="E6693" s="2" t="str">
        <f>"ALERTA - HOSPITAL MV SISTEMAS"</f>
        <v>ALERTA - HOSPITAL MV SISTEMAS</v>
      </c>
      <c r="F6693" s="2" t="str">
        <f>"C_PARMED_FEEDBACK"</f>
        <v>C_PARMED_FEEDBACK</v>
      </c>
      <c r="G6693" s="2" t="str">
        <f>" ()"</f>
        <v xml:space="preserve"> ()</v>
      </c>
    </row>
    <row r="6694" spans="1:7" x14ac:dyDescent="0.3">
      <c r="A6694" s="1" t="s">
        <v>4</v>
      </c>
      <c r="B6694" s="2" t="str">
        <f t="shared" si="555"/>
        <v>BIBLIOTECAS GERAIS DO MV2000 E DO SGPS</v>
      </c>
      <c r="C6694" s="2" t="str">
        <f>""</f>
        <v/>
      </c>
      <c r="D6694" s="2" t="str">
        <f t="shared" si="556"/>
        <v>MV</v>
      </c>
      <c r="E6694" s="2" t="str">
        <f>"WIN_PRINCIPAL - HOSPITAL MV SISTEMAS"</f>
        <v>WIN_PRINCIPAL - HOSPITAL MV SISTEMAS</v>
      </c>
      <c r="F6694" s="2" t="str">
        <f>"O_IMPORTA_TISS"</f>
        <v>O_IMPORTA_TISS</v>
      </c>
      <c r="G6694" s="2" t="str">
        <f>" ()"</f>
        <v xml:space="preserve"> ()</v>
      </c>
    </row>
    <row r="6695" spans="1:7" x14ac:dyDescent="0.3">
      <c r="A6695" s="1" t="s">
        <v>4</v>
      </c>
      <c r="B6695" s="2" t="str">
        <f t="shared" si="555"/>
        <v>BIBLIOTECAS GERAIS DO MV2000 E DO SGPS</v>
      </c>
      <c r="C6695" s="2" t="str">
        <f>""</f>
        <v/>
      </c>
      <c r="D6695" s="2" t="str">
        <f t="shared" si="556"/>
        <v>MV</v>
      </c>
      <c r="E6695" s="2" t="str">
        <f>"WIN_PRINCIPAL - HOSPITAL MV SISTEMAS"</f>
        <v>WIN_PRINCIPAL - HOSPITAL MV SISTEMAS</v>
      </c>
      <c r="F6695" s="2" t="str">
        <f>"O_IMP_REPASSE"</f>
        <v>O_IMP_REPASSE</v>
      </c>
      <c r="G6695" s="2" t="str">
        <f>" ()"</f>
        <v xml:space="preserve"> ()</v>
      </c>
    </row>
    <row r="6696" spans="1:7" x14ac:dyDescent="0.3">
      <c r="A6696" s="1" t="s">
        <v>4</v>
      </c>
      <c r="B6696" s="2" t="str">
        <f t="shared" si="555"/>
        <v>BIBLIOTECAS GERAIS DO MV2000 E DO SGPS</v>
      </c>
      <c r="C6696" s="2" t="str">
        <f>""</f>
        <v/>
      </c>
      <c r="D6696" s="2" t="str">
        <f t="shared" si="556"/>
        <v>MV</v>
      </c>
      <c r="E6696" s="2" t="str">
        <f>"M_INCON_CIH2"</f>
        <v>M_INCON_CIH2</v>
      </c>
      <c r="F6696" s="2" t="str">
        <f>"M_INCON_CIH2"</f>
        <v>M_INCON_CIH2</v>
      </c>
      <c r="G6696" s="2" t="str">
        <f>" ()"</f>
        <v xml:space="preserve"> ()</v>
      </c>
    </row>
    <row r="6697" spans="1:7" x14ac:dyDescent="0.3">
      <c r="A6697" s="1" t="s">
        <v>4</v>
      </c>
      <c r="B6697" s="2" t="str">
        <f t="shared" si="555"/>
        <v>BIBLIOTECAS GERAIS DO MV2000 E DO SGPS</v>
      </c>
      <c r="C6697" s="2" t="str">
        <f>""</f>
        <v/>
      </c>
      <c r="D6697" s="2" t="str">
        <f t="shared" si="556"/>
        <v>MV</v>
      </c>
      <c r="E6697" s="2" t="str">
        <f>"CADASTRO: ESPECIALIDADES"</f>
        <v>CADASTRO: ESPECIALIDADES</v>
      </c>
      <c r="F6697" s="2" t="str">
        <f>"M_ESPE_FFCH"</f>
        <v>M_ESPE_FFCH</v>
      </c>
      <c r="G6697" s="2" t="str">
        <f>"Controladoria / Custos / Configurações / Custos Variáveis / Especialidade (M_ESPE_FFCH)"</f>
        <v>Controladoria / Custos / Configurações / Custos Variáveis / Especialidade (M_ESPE_FFCH)</v>
      </c>
    </row>
    <row r="6698" spans="1:7" x14ac:dyDescent="0.3">
      <c r="A6698" s="1" t="s">
        <v>4</v>
      </c>
      <c r="B6698" s="2" t="str">
        <f t="shared" si="555"/>
        <v>BIBLIOTECAS GERAIS DO MV2000 E DO SGPS</v>
      </c>
      <c r="C6698" s="2" t="str">
        <f>""</f>
        <v/>
      </c>
      <c r="D6698" s="2" t="str">
        <f t="shared" si="556"/>
        <v>MV</v>
      </c>
      <c r="E6698" s="2" t="str">
        <f>"CADASTRO: ESPECIALIDADES"</f>
        <v>CADASTRO: ESPECIALIDADES</v>
      </c>
      <c r="F6698" s="2" t="str">
        <f>"M_UNID_INT_FFCH"</f>
        <v>M_UNID_INT_FFCH</v>
      </c>
      <c r="G6698" s="2" t="str">
        <f>"Controladoria / Custos / Configurações / Custos Variáveis / Unidade Internação (M_UNID_INT_FFCH)"</f>
        <v>Controladoria / Custos / Configurações / Custos Variáveis / Unidade Internação (M_UNID_INT_FFCH)</v>
      </c>
    </row>
    <row r="6699" spans="1:7" x14ac:dyDescent="0.3">
      <c r="A6699" s="1" t="s">
        <v>4</v>
      </c>
      <c r="B6699" s="2" t="str">
        <f t="shared" si="555"/>
        <v>BIBLIOTECAS GERAIS DO MV2000 E DO SGPS</v>
      </c>
      <c r="C6699" s="2" t="str">
        <f>""</f>
        <v/>
      </c>
      <c r="D6699" s="2" t="str">
        <f t="shared" si="556"/>
        <v>MV</v>
      </c>
      <c r="E6699" s="2" t="str">
        <f>"M_ITEM_ORCAMENTO"</f>
        <v>M_ITEM_ORCAMENTO</v>
      </c>
      <c r="F6699" s="2" t="str">
        <f>"M_ITEM_ORCAMENTO"</f>
        <v>M_ITEM_ORCAMENTO</v>
      </c>
      <c r="G6699" s="2" t="str">
        <f t="shared" ref="G6699:G6705" si="558">" ()"</f>
        <v xml:space="preserve"> ()</v>
      </c>
    </row>
    <row r="6700" spans="1:7" x14ac:dyDescent="0.3">
      <c r="A6700" s="1" t="s">
        <v>4</v>
      </c>
      <c r="B6700" s="2" t="str">
        <f t="shared" si="555"/>
        <v>BIBLIOTECAS GERAIS DO MV2000 E DO SGPS</v>
      </c>
      <c r="C6700" s="2" t="str">
        <f>""</f>
        <v/>
      </c>
      <c r="D6700" s="2" t="str">
        <f t="shared" si="556"/>
        <v>MV</v>
      </c>
      <c r="E6700" s="2" t="str">
        <f>"CADASTRO : FORMAS FARMACÊUTICAS"</f>
        <v>CADASTRO : FORMAS FARMACÊUTICAS</v>
      </c>
      <c r="F6700" s="2" t="str">
        <f>"FORMA_FARMACEUTICA"</f>
        <v>FORMA_FARMACEUTICA</v>
      </c>
      <c r="G6700" s="2" t="str">
        <f t="shared" si="558"/>
        <v xml:space="preserve"> ()</v>
      </c>
    </row>
    <row r="6701" spans="1:7" x14ac:dyDescent="0.3">
      <c r="A6701" s="1" t="s">
        <v>4</v>
      </c>
      <c r="B6701" s="2" t="str">
        <f t="shared" si="555"/>
        <v>BIBLIOTECAS GERAIS DO MV2000 E DO SGPS</v>
      </c>
      <c r="C6701" s="2" t="str">
        <f>""</f>
        <v/>
      </c>
      <c r="D6701" s="2" t="str">
        <f t="shared" si="556"/>
        <v>MV</v>
      </c>
      <c r="E6701" s="2" t="str">
        <f>"CONSULTA DE PACIENTES"</f>
        <v>CONSULTA DE PACIENTES</v>
      </c>
      <c r="F6701" s="2" t="str">
        <f>"C_PACIENTE_PROCED"</f>
        <v>C_PACIENTE_PROCED</v>
      </c>
      <c r="G6701" s="2" t="str">
        <f t="shared" si="558"/>
        <v xml:space="preserve"> ()</v>
      </c>
    </row>
    <row r="6702" spans="1:7" x14ac:dyDescent="0.3">
      <c r="A6702" s="1" t="s">
        <v>4</v>
      </c>
      <c r="B6702" s="2" t="str">
        <f t="shared" si="555"/>
        <v>BIBLIOTECAS GERAIS DO MV2000 E DO SGPS</v>
      </c>
      <c r="C6702" s="2" t="str">
        <f>""</f>
        <v/>
      </c>
      <c r="D6702" s="2" t="str">
        <f t="shared" si="556"/>
        <v>MV</v>
      </c>
      <c r="E6702" s="2" t="str">
        <f>"WIN_PRINCIPAL - HOSPITAL MV SISTEMAS"</f>
        <v>WIN_PRINCIPAL - HOSPITAL MV SISTEMAS</v>
      </c>
      <c r="F6702" s="2" t="str">
        <f>"MODULE17"</f>
        <v>MODULE17</v>
      </c>
      <c r="G6702" s="2" t="str">
        <f t="shared" si="558"/>
        <v xml:space="preserve"> ()</v>
      </c>
    </row>
    <row r="6703" spans="1:7" x14ac:dyDescent="0.3">
      <c r="A6703" s="1" t="s">
        <v>4</v>
      </c>
      <c r="B6703" s="2" t="str">
        <f t="shared" si="555"/>
        <v>BIBLIOTECAS GERAIS DO MV2000 E DO SGPS</v>
      </c>
      <c r="C6703" s="2" t="str">
        <f>""</f>
        <v/>
      </c>
      <c r="D6703" s="2" t="str">
        <f t="shared" si="556"/>
        <v>MV</v>
      </c>
      <c r="E6703" s="2" t="str">
        <f>"ALTERAR NÍVEL - HOSPITAL MV SISTEMAS"</f>
        <v>ALTERAR NÍVEL - HOSPITAL MV SISTEMAS</v>
      </c>
      <c r="F6703" s="2" t="str">
        <f>"M_LOTE_COBRANCA"</f>
        <v>M_LOTE_COBRANCA</v>
      </c>
      <c r="G6703" s="2" t="str">
        <f t="shared" si="558"/>
        <v xml:space="preserve"> ()</v>
      </c>
    </row>
    <row r="6704" spans="1:7" x14ac:dyDescent="0.3">
      <c r="A6704" s="1" t="s">
        <v>4</v>
      </c>
      <c r="B6704" s="2" t="str">
        <f t="shared" si="555"/>
        <v>BIBLIOTECAS GERAIS DO MV2000 E DO SGPS</v>
      </c>
      <c r="C6704" s="2" t="str">
        <f>""</f>
        <v/>
      </c>
      <c r="D6704" s="2" t="str">
        <f t="shared" si="556"/>
        <v>MV</v>
      </c>
      <c r="E6704" s="2" t="str">
        <f>"CADASTRO DE UNIDADES DE ATENDIMENTO"</f>
        <v>CADASTRO DE UNIDADES DE ATENDIMENTO</v>
      </c>
      <c r="F6704" s="2" t="str">
        <f>"M_RESPOSTA"</f>
        <v>M_RESPOSTA</v>
      </c>
      <c r="G6704" s="2" t="str">
        <f t="shared" si="558"/>
        <v xml:space="preserve"> ()</v>
      </c>
    </row>
    <row r="6705" spans="1:7" x14ac:dyDescent="0.3">
      <c r="A6705" s="1" t="s">
        <v>4</v>
      </c>
      <c r="B6705" s="2" t="str">
        <f t="shared" si="555"/>
        <v>BIBLIOTECAS GERAIS DO MV2000 E DO SGPS</v>
      </c>
      <c r="C6705" s="2" t="str">
        <f>""</f>
        <v/>
      </c>
      <c r="D6705" s="2" t="str">
        <f t="shared" si="556"/>
        <v>MV</v>
      </c>
      <c r="E6705" s="2" t="str">
        <f>"DOCSAIDA_PASTA_PARCIAL"</f>
        <v>DOCSAIDA_PASTA_PARCIAL</v>
      </c>
      <c r="F6705" s="2" t="str">
        <f>"DOCSAIDA_PASTA_PARCIAL"</f>
        <v>DOCSAIDA_PASTA_PARCIAL</v>
      </c>
      <c r="G6705" s="2" t="str">
        <f t="shared" si="558"/>
        <v xml:space="preserve"> ()</v>
      </c>
    </row>
    <row r="6706" spans="1:7" x14ac:dyDescent="0.3">
      <c r="A6706" s="1" t="s">
        <v>4</v>
      </c>
      <c r="B6706" s="2" t="str">
        <f t="shared" si="555"/>
        <v>BIBLIOTECAS GERAIS DO MV2000 E DO SGPS</v>
      </c>
      <c r="C6706" s="2" t="str">
        <f>""</f>
        <v/>
      </c>
      <c r="D6706" s="2" t="str">
        <f t="shared" si="556"/>
        <v>MV</v>
      </c>
      <c r="E6706" s="2" t="str">
        <f>"WIN_PRINCIPAL - HOSPITAL MV SISTEMAS"</f>
        <v>WIN_PRINCIPAL - HOSPITAL MV SISTEMAS</v>
      </c>
      <c r="F6706" s="2" t="str">
        <f>"M_CADASTRO_IMPRESSORA"</f>
        <v>M_CADASTRO_IMPRESSORA</v>
      </c>
      <c r="G6706" s="2" t="str">
        <f>"Materiais e Logística / Almoxarifado / Tabelas / Gerais / Impressoras (M_CADASTRO_IMPRESSORA)"</f>
        <v>Materiais e Logística / Almoxarifado / Tabelas / Gerais / Impressoras (M_CADASTRO_IMPRESSORA)</v>
      </c>
    </row>
    <row r="6707" spans="1:7" x14ac:dyDescent="0.3">
      <c r="A6707" s="1" t="s">
        <v>4</v>
      </c>
      <c r="B6707" s="2" t="str">
        <f t="shared" si="555"/>
        <v>BIBLIOTECAS GERAIS DO MV2000 E DO SGPS</v>
      </c>
      <c r="C6707" s="2" t="str">
        <f>""</f>
        <v/>
      </c>
      <c r="D6707" s="2" t="str">
        <f t="shared" si="556"/>
        <v>MV</v>
      </c>
      <c r="E6707" s="2" t="str">
        <f>"DUMMY - HOSPITAL MV SISTEMAS"</f>
        <v>DUMMY - HOSPITAL MV SISTEMAS</v>
      </c>
      <c r="F6707" s="2" t="str">
        <f>"M_FUNCIONAL_CME_NEW"</f>
        <v>M_FUNCIONAL_CME_NEW</v>
      </c>
      <c r="G6707" s="2" t="str">
        <f>" ()"</f>
        <v xml:space="preserve"> ()</v>
      </c>
    </row>
    <row r="6708" spans="1:7" x14ac:dyDescent="0.3">
      <c r="A6708" s="1" t="s">
        <v>4</v>
      </c>
      <c r="B6708" s="2" t="str">
        <f t="shared" si="555"/>
        <v>BIBLIOTECAS GERAIS DO MV2000 E DO SGPS</v>
      </c>
      <c r="C6708" s="2" t="str">
        <f>""</f>
        <v/>
      </c>
      <c r="D6708" s="2" t="str">
        <f t="shared" si="556"/>
        <v>MV</v>
      </c>
      <c r="E6708" s="2" t="str">
        <f>"WIN_PRINCIPAL"</f>
        <v>WIN_PRINCIPAL</v>
      </c>
      <c r="F6708" s="2" t="str">
        <f>"M_EXPORTA_ORDEM_COMPRA"</f>
        <v>M_EXPORTA_ORDEM_COMPRA</v>
      </c>
      <c r="G6708" s="2" t="str">
        <f>"Materiais e Logística / Compras / Integração / Exportação / Ordem de compra (M_EXPORTA_ORDEM_COMPRA)"</f>
        <v>Materiais e Logística / Compras / Integração / Exportação / Ordem de compra (M_EXPORTA_ORDEM_COMPRA)</v>
      </c>
    </row>
    <row r="6709" spans="1:7" x14ac:dyDescent="0.3">
      <c r="A6709" s="1" t="s">
        <v>4</v>
      </c>
      <c r="B6709" s="2" t="str">
        <f t="shared" si="555"/>
        <v>BIBLIOTECAS GERAIS DO MV2000 E DO SGPS</v>
      </c>
      <c r="C6709" s="2" t="str">
        <f>""</f>
        <v/>
      </c>
      <c r="D6709" s="2" t="str">
        <f t="shared" si="556"/>
        <v>MV</v>
      </c>
      <c r="E6709" s="2" t="str">
        <f>"WIN_PRINCIPAL"</f>
        <v>WIN_PRINCIPAL</v>
      </c>
      <c r="F6709" s="2" t="str">
        <f>"M_EXPORTA_SOLICITACAO"</f>
        <v>M_EXPORTA_SOLICITACAO</v>
      </c>
      <c r="G6709" s="2" t="str">
        <f>"Materiais e Logística / Compras / Integração / Exportação / Solicitação de Compras (M_EXPORTA_SOLICITACAO)"</f>
        <v>Materiais e Logística / Compras / Integração / Exportação / Solicitação de Compras (M_EXPORTA_SOLICITACAO)</v>
      </c>
    </row>
    <row r="6710" spans="1:7" x14ac:dyDescent="0.3">
      <c r="A6710" s="1" t="s">
        <v>4</v>
      </c>
      <c r="B6710" s="2" t="str">
        <f t="shared" si="555"/>
        <v>BIBLIOTECAS GERAIS DO MV2000 E DO SGPS</v>
      </c>
      <c r="C6710" s="2" t="str">
        <f>""</f>
        <v/>
      </c>
      <c r="D6710" s="2" t="str">
        <f t="shared" si="556"/>
        <v>MV</v>
      </c>
      <c r="E6710" s="2" t="str">
        <f>"WIN_PRINCIPAL"</f>
        <v>WIN_PRINCIPAL</v>
      </c>
      <c r="F6710" s="2" t="str">
        <f>"M_EXPORTA_COLETA"</f>
        <v>M_EXPORTA_COLETA</v>
      </c>
      <c r="G6710" s="2" t="str">
        <f>"Materiais e Logística / Compras / Integração / Exportação / Coleta de Preços (M_EXPORTA_COLETA)"</f>
        <v>Materiais e Logística / Compras / Integração / Exportação / Coleta de Preços (M_EXPORTA_COLETA)</v>
      </c>
    </row>
    <row r="6711" spans="1:7" x14ac:dyDescent="0.3">
      <c r="A6711" s="1" t="s">
        <v>4</v>
      </c>
      <c r="B6711" s="2" t="str">
        <f t="shared" si="555"/>
        <v>BIBLIOTECAS GERAIS DO MV2000 E DO SGPS</v>
      </c>
      <c r="C6711" s="2" t="str">
        <f>""</f>
        <v/>
      </c>
      <c r="D6711" s="2" t="str">
        <f t="shared" si="556"/>
        <v>MV</v>
      </c>
      <c r="E6711" s="2" t="str">
        <f>"WIN_PRINCIPAL"</f>
        <v>WIN_PRINCIPAL</v>
      </c>
      <c r="F6711" s="2" t="str">
        <f>"IMP_ORCAMENTO"</f>
        <v>IMP_ORCAMENTO</v>
      </c>
      <c r="G6711" s="2" t="str">
        <f t="shared" ref="G6711:G6774" si="559">" ()"</f>
        <v xml:space="preserve"> ()</v>
      </c>
    </row>
    <row r="6712" spans="1:7" x14ac:dyDescent="0.3">
      <c r="A6712" s="1" t="s">
        <v>4</v>
      </c>
      <c r="B6712" s="2" t="str">
        <f t="shared" si="555"/>
        <v>BIBLIOTECAS GERAIS DO MV2000 E DO SGPS</v>
      </c>
      <c r="C6712" s="2" t="str">
        <f>""</f>
        <v/>
      </c>
      <c r="D6712" s="2" t="str">
        <f t="shared" si="556"/>
        <v>MV</v>
      </c>
      <c r="E6712" s="2" t="str">
        <f>"WIN_PRINCIPAL - HOSPITAL MV SISTEMAS 1"</f>
        <v>WIN_PRINCIPAL - HOSPITAL MV SISTEMAS 1</v>
      </c>
      <c r="F6712" s="2" t="str">
        <f>"M_INF_RECEM_NASPM"</f>
        <v>M_INF_RECEM_NASPM</v>
      </c>
      <c r="G6712" s="2" t="str">
        <f t="shared" si="559"/>
        <v xml:space="preserve"> ()</v>
      </c>
    </row>
    <row r="6713" spans="1:7" x14ac:dyDescent="0.3">
      <c r="A6713" s="1" t="s">
        <v>4</v>
      </c>
      <c r="B6713" s="2" t="str">
        <f t="shared" si="555"/>
        <v>BIBLIOTECAS GERAIS DO MV2000 E DO SGPS</v>
      </c>
      <c r="C6713" s="2" t="str">
        <f>""</f>
        <v/>
      </c>
      <c r="D6713" s="2" t="str">
        <f t="shared" si="556"/>
        <v>MV</v>
      </c>
      <c r="E6713" s="2" t="str">
        <f>"WIN_PRINCIPAL - HOSPITAL MV SISTEMAS 1"</f>
        <v>WIN_PRINCIPAL - HOSPITAL MV SISTEMAS 1</v>
      </c>
      <c r="F6713" s="2" t="str">
        <f>"ALTERADO"</f>
        <v>ALTERADO</v>
      </c>
      <c r="G6713" s="2" t="str">
        <f t="shared" si="559"/>
        <v xml:space="preserve"> ()</v>
      </c>
    </row>
    <row r="6714" spans="1:7" x14ac:dyDescent="0.3">
      <c r="A6714" s="1" t="s">
        <v>4</v>
      </c>
      <c r="B6714" s="2" t="str">
        <f t="shared" si="555"/>
        <v>BIBLIOTECAS GERAIS DO MV2000 E DO SGPS</v>
      </c>
      <c r="C6714" s="2" t="str">
        <f>""</f>
        <v/>
      </c>
      <c r="D6714" s="2" t="str">
        <f t="shared" si="556"/>
        <v>MV</v>
      </c>
      <c r="E6714" s="2" t="str">
        <f>"WIN_PRINCIPAL - HOSPITAL MV SISTEMAS 1"</f>
        <v>WIN_PRINCIPAL - HOSPITAL MV SISTEMAS 1</v>
      </c>
      <c r="F6714" s="2" t="str">
        <f>"M_CADASTRO_PROJETOS"</f>
        <v>M_CADASTRO_PROJETOS</v>
      </c>
      <c r="G6714" s="2" t="str">
        <f t="shared" si="559"/>
        <v xml:space="preserve"> ()</v>
      </c>
    </row>
    <row r="6715" spans="1:7" x14ac:dyDescent="0.3">
      <c r="A6715" s="1" t="s">
        <v>4</v>
      </c>
      <c r="B6715" s="2" t="str">
        <f t="shared" si="555"/>
        <v>BIBLIOTECAS GERAIS DO MV2000 E DO SGPS</v>
      </c>
      <c r="C6715" s="2" t="str">
        <f>""</f>
        <v/>
      </c>
      <c r="D6715" s="2" t="str">
        <f t="shared" si="556"/>
        <v>MV</v>
      </c>
      <c r="E6715" s="2" t="str">
        <f>"M_SETOR_PRESCRICAO"</f>
        <v>M_SETOR_PRESCRICAO</v>
      </c>
      <c r="F6715" s="2" t="str">
        <f>"M_SETOR_PRESCRICAO"</f>
        <v>M_SETOR_PRESCRICAO</v>
      </c>
      <c r="G6715" s="2" t="str">
        <f t="shared" si="559"/>
        <v xml:space="preserve"> ()</v>
      </c>
    </row>
    <row r="6716" spans="1:7" x14ac:dyDescent="0.3">
      <c r="A6716" s="1" t="s">
        <v>4</v>
      </c>
      <c r="B6716" s="2" t="str">
        <f t="shared" si="555"/>
        <v>BIBLIOTECAS GERAIS DO MV2000 E DO SGPS</v>
      </c>
      <c r="C6716" s="2" t="str">
        <f>""</f>
        <v/>
      </c>
      <c r="D6716" s="2" t="str">
        <f t="shared" si="556"/>
        <v>MV</v>
      </c>
      <c r="E6716" s="2" t="str">
        <f>"CONSULTA CIRURGIAS DE OPME - CRED PARTO"</f>
        <v>CONSULTA CIRURGIAS DE OPME - CRED PARTO</v>
      </c>
      <c r="F6716" s="2" t="str">
        <f>"M_TAXA_SALA_POR_CONV"</f>
        <v>M_TAXA_SALA_POR_CONV</v>
      </c>
      <c r="G6716" s="2" t="str">
        <f t="shared" si="559"/>
        <v xml:space="preserve"> ()</v>
      </c>
    </row>
    <row r="6717" spans="1:7" x14ac:dyDescent="0.3">
      <c r="A6717" s="1" t="s">
        <v>4</v>
      </c>
      <c r="B6717" s="2" t="str">
        <f t="shared" si="555"/>
        <v>BIBLIOTECAS GERAIS DO MV2000 E DO SGPS</v>
      </c>
      <c r="C6717" s="2" t="str">
        <f>""</f>
        <v/>
      </c>
      <c r="D6717" s="2" t="str">
        <f t="shared" si="556"/>
        <v>MV</v>
      </c>
      <c r="E6717" s="2" t="str">
        <f>"M_PORTE_POR_TAXA"</f>
        <v>M_PORTE_POR_TAXA</v>
      </c>
      <c r="F6717" s="2" t="str">
        <f>"M_PORTE_POR_TAXA"</f>
        <v>M_PORTE_POR_TAXA</v>
      </c>
      <c r="G6717" s="2" t="str">
        <f t="shared" si="559"/>
        <v xml:space="preserve"> ()</v>
      </c>
    </row>
    <row r="6718" spans="1:7" x14ac:dyDescent="0.3">
      <c r="A6718" s="1" t="s">
        <v>4</v>
      </c>
      <c r="B6718" s="2" t="str">
        <f t="shared" si="555"/>
        <v>BIBLIOTECAS GERAIS DO MV2000 E DO SGPS</v>
      </c>
      <c r="C6718" s="2" t="str">
        <f>""</f>
        <v/>
      </c>
      <c r="D6718" s="2" t="str">
        <f t="shared" si="556"/>
        <v>MV</v>
      </c>
      <c r="E6718" s="2" t="str">
        <f>"WIN_PRINCIPAL - CRED PARTOF"</f>
        <v>WIN_PRINCIPAL - CRED PARTOF</v>
      </c>
      <c r="F6718" s="2" t="str">
        <f>"TESTE_SEQMAX_PREINSERT"</f>
        <v>TESTE_SEQMAX_PREINSERT</v>
      </c>
      <c r="G6718" s="2" t="str">
        <f t="shared" si="559"/>
        <v xml:space="preserve"> ()</v>
      </c>
    </row>
    <row r="6719" spans="1:7" x14ac:dyDescent="0.3">
      <c r="A6719" s="1" t="s">
        <v>4</v>
      </c>
      <c r="B6719" s="2" t="str">
        <f t="shared" si="555"/>
        <v>BIBLIOTECAS GERAIS DO MV2000 E DO SGPS</v>
      </c>
      <c r="C6719" s="2" t="str">
        <f>""</f>
        <v/>
      </c>
      <c r="D6719" s="2" t="str">
        <f t="shared" si="556"/>
        <v>MV</v>
      </c>
      <c r="E6719" s="2" t="str">
        <f>"WIN_PRINCIPAL - CRED PARTOF"</f>
        <v>WIN_PRINCIPAL - CRED PARTOF</v>
      </c>
      <c r="F6719" s="2" t="str">
        <f>"M_LOFI"</f>
        <v>M_LOFI</v>
      </c>
      <c r="G6719" s="2" t="str">
        <f t="shared" si="559"/>
        <v xml:space="preserve"> ()</v>
      </c>
    </row>
    <row r="6720" spans="1:7" x14ac:dyDescent="0.3">
      <c r="A6720" s="1" t="s">
        <v>4</v>
      </c>
      <c r="B6720" s="2" t="str">
        <f t="shared" si="555"/>
        <v>BIBLIOTECAS GERAIS DO MV2000 E DO SGPS</v>
      </c>
      <c r="C6720" s="2" t="str">
        <f>""</f>
        <v/>
      </c>
      <c r="D6720" s="2" t="str">
        <f t="shared" si="556"/>
        <v>MV</v>
      </c>
      <c r="E6720" s="2" t="str">
        <f>"M_GUIAS_TESTE"</f>
        <v>M_GUIAS_TESTE</v>
      </c>
      <c r="F6720" s="2" t="str">
        <f>"M_GUIAS_TESTE"</f>
        <v>M_GUIAS_TESTE</v>
      </c>
      <c r="G6720" s="2" t="str">
        <f t="shared" si="559"/>
        <v xml:space="preserve"> ()</v>
      </c>
    </row>
    <row r="6721" spans="1:7" x14ac:dyDescent="0.3">
      <c r="A6721" s="1" t="s">
        <v>4</v>
      </c>
      <c r="B6721" s="2" t="str">
        <f t="shared" si="555"/>
        <v>BIBLIOTECAS GERAIS DO MV2000 E DO SGPS</v>
      </c>
      <c r="C6721" s="2" t="str">
        <f>""</f>
        <v/>
      </c>
      <c r="D6721" s="2" t="str">
        <f t="shared" si="556"/>
        <v>MV</v>
      </c>
      <c r="E6721" s="2" t="str">
        <f>"WIN_PRINCIPAL - CRED PARTOF"</f>
        <v>WIN_PRINCIPAL - CRED PARTOF</v>
      </c>
      <c r="F6721" s="2" t="str">
        <f>"M_CLIENTE_LOCADORA"</f>
        <v>M_CLIENTE_LOCADORA</v>
      </c>
      <c r="G6721" s="2" t="str">
        <f t="shared" si="559"/>
        <v xml:space="preserve"> ()</v>
      </c>
    </row>
    <row r="6722" spans="1:7" x14ac:dyDescent="0.3">
      <c r="A6722" s="1" t="s">
        <v>4</v>
      </c>
      <c r="B6722" s="2" t="str">
        <f t="shared" si="555"/>
        <v>BIBLIOTECAS GERAIS DO MV2000 E DO SGPS</v>
      </c>
      <c r="C6722" s="2" t="str">
        <f>""</f>
        <v/>
      </c>
      <c r="D6722" s="2" t="str">
        <f t="shared" si="556"/>
        <v>MV</v>
      </c>
      <c r="E6722" s="2" t="str">
        <f>"WIN_PRINCIPAL - CRED PARTOF"</f>
        <v>WIN_PRINCIPAL - CRED PARTOF</v>
      </c>
      <c r="F6722" s="2" t="str">
        <f>"FILME"</f>
        <v>FILME</v>
      </c>
      <c r="G6722" s="2" t="str">
        <f t="shared" si="559"/>
        <v xml:space="preserve"> ()</v>
      </c>
    </row>
    <row r="6723" spans="1:7" x14ac:dyDescent="0.3">
      <c r="A6723" s="1" t="s">
        <v>4</v>
      </c>
      <c r="B6723" s="2" t="str">
        <f t="shared" si="555"/>
        <v>BIBLIOTECAS GERAIS DO MV2000 E DO SGPS</v>
      </c>
      <c r="C6723" s="2" t="str">
        <f>""</f>
        <v/>
      </c>
      <c r="D6723" s="2" t="str">
        <f t="shared" si="556"/>
        <v>MV</v>
      </c>
      <c r="E6723" s="2" t="str">
        <f>"WIN_PRINCIPAL - CRED PARTOF"</f>
        <v>WIN_PRINCIPAL - CRED PARTOF</v>
      </c>
      <c r="F6723" s="2" t="str">
        <f>"CADASTRO_BARRA"</f>
        <v>CADASTRO_BARRA</v>
      </c>
      <c r="G6723" s="2" t="str">
        <f t="shared" si="559"/>
        <v xml:space="preserve"> ()</v>
      </c>
    </row>
    <row r="6724" spans="1:7" x14ac:dyDescent="0.3">
      <c r="A6724" s="1" t="s">
        <v>4</v>
      </c>
      <c r="B6724" s="2" t="str">
        <f t="shared" si="555"/>
        <v>BIBLIOTECAS GERAIS DO MV2000 E DO SGPS</v>
      </c>
      <c r="C6724" s="2" t="str">
        <f>""</f>
        <v/>
      </c>
      <c r="D6724" s="2" t="str">
        <f t="shared" si="556"/>
        <v>MV</v>
      </c>
      <c r="E6724" s="2" t="str">
        <f>"M_PREST_CONV_CREDENC"</f>
        <v>M_PREST_CONV_CREDENC</v>
      </c>
      <c r="F6724" s="2" t="str">
        <f>"M_PREST_CONV_CREDENC"</f>
        <v>M_PREST_CONV_CREDENC</v>
      </c>
      <c r="G6724" s="2" t="str">
        <f t="shared" si="559"/>
        <v xml:space="preserve"> ()</v>
      </c>
    </row>
    <row r="6725" spans="1:7" x14ac:dyDescent="0.3">
      <c r="A6725" s="1" t="s">
        <v>4</v>
      </c>
      <c r="B6725" s="2" t="str">
        <f t="shared" si="555"/>
        <v>BIBLIOTECAS GERAIS DO MV2000 E DO SGPS</v>
      </c>
      <c r="C6725" s="2" t="str">
        <f>""</f>
        <v/>
      </c>
      <c r="D6725" s="2" t="str">
        <f t="shared" si="556"/>
        <v>MV</v>
      </c>
      <c r="E6725" s="2" t="str">
        <f>"M_LAUDO_SIA_APAC_1"</f>
        <v>M_LAUDO_SIA_APAC_1</v>
      </c>
      <c r="F6725" s="2" t="str">
        <f>"M_LAUDO_SIA_APAC_1"</f>
        <v>M_LAUDO_SIA_APAC_1</v>
      </c>
      <c r="G6725" s="2" t="str">
        <f t="shared" si="559"/>
        <v xml:space="preserve"> ()</v>
      </c>
    </row>
    <row r="6726" spans="1:7" x14ac:dyDescent="0.3">
      <c r="A6726" s="1" t="s">
        <v>4</v>
      </c>
      <c r="B6726" s="2" t="str">
        <f t="shared" si="555"/>
        <v>BIBLIOTECAS GERAIS DO MV2000 E DO SGPS</v>
      </c>
      <c r="C6726" s="2" t="str">
        <f>""</f>
        <v/>
      </c>
      <c r="D6726" s="2" t="str">
        <f t="shared" si="556"/>
        <v>MV</v>
      </c>
      <c r="E6726" s="2" t="str">
        <f>"WIN_PRINCIPAL - CRED PARTOF"</f>
        <v>WIN_PRINCIPAL - CRED PARTOF</v>
      </c>
      <c r="F6726" s="2" t="str">
        <f>"M_INF_RECEM_NASCIDO"</f>
        <v>M_INF_RECEM_NASCIDO</v>
      </c>
      <c r="G6726" s="2" t="str">
        <f t="shared" si="559"/>
        <v xml:space="preserve"> ()</v>
      </c>
    </row>
    <row r="6727" spans="1:7" x14ac:dyDescent="0.3">
      <c r="A6727" s="1" t="s">
        <v>4</v>
      </c>
      <c r="B6727" s="2" t="str">
        <f t="shared" si="555"/>
        <v>BIBLIOTECAS GERAIS DO MV2000 E DO SGPS</v>
      </c>
      <c r="C6727" s="2" t="str">
        <f>""</f>
        <v/>
      </c>
      <c r="D6727" s="2" t="str">
        <f t="shared" si="556"/>
        <v>MV</v>
      </c>
      <c r="E6727" s="2" t="str">
        <f>"SITUAÇÃO DO CONTRATO - CRED PARTOF"</f>
        <v>SITUAÇÃO DO CONTRATO - CRED PARTOF</v>
      </c>
      <c r="F6727" s="2" t="str">
        <f>"M_CONTRATO_ADIANTAMENTO"</f>
        <v>M_CONTRATO_ADIANTAMENTO</v>
      </c>
      <c r="G6727" s="2" t="str">
        <f t="shared" si="559"/>
        <v xml:space="preserve"> ()</v>
      </c>
    </row>
    <row r="6728" spans="1:7" x14ac:dyDescent="0.3">
      <c r="A6728" s="1" t="s">
        <v>4</v>
      </c>
      <c r="B6728" s="2" t="str">
        <f t="shared" si="555"/>
        <v>BIBLIOTECAS GERAIS DO MV2000 E DO SGPS</v>
      </c>
      <c r="C6728" s="2" t="str">
        <f>""</f>
        <v/>
      </c>
      <c r="D6728" s="2" t="str">
        <f t="shared" si="556"/>
        <v>MV</v>
      </c>
      <c r="E6728" s="2" t="str">
        <f>"M_MOD_CONTRATADO"</f>
        <v>M_MOD_CONTRATADO</v>
      </c>
      <c r="F6728" s="2" t="str">
        <f>"M_MOD_CONTRATADO"</f>
        <v>M_MOD_CONTRATADO</v>
      </c>
      <c r="G6728" s="2" t="str">
        <f t="shared" si="559"/>
        <v xml:space="preserve"> ()</v>
      </c>
    </row>
    <row r="6729" spans="1:7" x14ac:dyDescent="0.3">
      <c r="A6729" s="1" t="s">
        <v>4</v>
      </c>
      <c r="B6729" s="2" t="str">
        <f t="shared" si="555"/>
        <v>BIBLIOTECAS GERAIS DO MV2000 E DO SGPS</v>
      </c>
      <c r="C6729" s="2" t="str">
        <f>""</f>
        <v/>
      </c>
      <c r="D6729" s="2" t="str">
        <f t="shared" si="556"/>
        <v>MV</v>
      </c>
      <c r="E6729" s="2" t="str">
        <f>"M_GRUPO_ITEM_CHECAGEM_AVI_CIR"</f>
        <v>M_GRUPO_ITEM_CHECAGEM_AVI_CIR</v>
      </c>
      <c r="F6729" s="2" t="str">
        <f>"M_GRUPO_ITEM_CHECAGEM_AVI_CIR"</f>
        <v>M_GRUPO_ITEM_CHECAGEM_AVI_CIR</v>
      </c>
      <c r="G6729" s="2" t="str">
        <f t="shared" si="559"/>
        <v xml:space="preserve"> ()</v>
      </c>
    </row>
    <row r="6730" spans="1:7" x14ac:dyDescent="0.3">
      <c r="A6730" s="1" t="s">
        <v>4</v>
      </c>
      <c r="B6730" s="2" t="str">
        <f t="shared" si="555"/>
        <v>BIBLIOTECAS GERAIS DO MV2000 E DO SGPS</v>
      </c>
      <c r="C6730" s="2" t="str">
        <f>""</f>
        <v/>
      </c>
      <c r="D6730" s="2" t="str">
        <f t="shared" si="556"/>
        <v>MV</v>
      </c>
      <c r="E6730" s="2" t="str">
        <f>"M_GERENC_HIGIENIZACAO"</f>
        <v>M_GERENC_HIGIENIZACAO</v>
      </c>
      <c r="F6730" s="2" t="str">
        <f>"M_GERENC_HIGIENIZACAO"</f>
        <v>M_GERENC_HIGIENIZACAO</v>
      </c>
      <c r="G6730" s="2" t="str">
        <f t="shared" si="559"/>
        <v xml:space="preserve"> ()</v>
      </c>
    </row>
    <row r="6731" spans="1:7" x14ac:dyDescent="0.3">
      <c r="A6731" s="1" t="s">
        <v>4</v>
      </c>
      <c r="B6731" s="2" t="str">
        <f t="shared" si="555"/>
        <v>BIBLIOTECAS GERAIS DO MV2000 E DO SGPS</v>
      </c>
      <c r="C6731" s="2" t="str">
        <f>""</f>
        <v/>
      </c>
      <c r="D6731" s="2" t="str">
        <f t="shared" si="556"/>
        <v>MV</v>
      </c>
      <c r="E6731" s="2" t="str">
        <f>"PODE_APAGAR"</f>
        <v>PODE_APAGAR</v>
      </c>
      <c r="F6731" s="2" t="str">
        <f>"PODE_APAGAR"</f>
        <v>PODE_APAGAR</v>
      </c>
      <c r="G6731" s="2" t="str">
        <f t="shared" si="559"/>
        <v xml:space="preserve"> ()</v>
      </c>
    </row>
    <row r="6732" spans="1:7" x14ac:dyDescent="0.3">
      <c r="A6732" s="1" t="s">
        <v>4</v>
      </c>
      <c r="B6732" s="2" t="str">
        <f t="shared" si="555"/>
        <v>BIBLIOTECAS GERAIS DO MV2000 E DO SGPS</v>
      </c>
      <c r="C6732" s="2" t="str">
        <f>""</f>
        <v/>
      </c>
      <c r="D6732" s="2" t="str">
        <f t="shared" si="556"/>
        <v>MV</v>
      </c>
      <c r="E6732" s="2" t="str">
        <f>"ESP_EST"</f>
        <v>ESP_EST</v>
      </c>
      <c r="F6732" s="2" t="str">
        <f>"ESP_EST"</f>
        <v>ESP_EST</v>
      </c>
      <c r="G6732" s="2" t="str">
        <f t="shared" si="559"/>
        <v xml:space="preserve"> ()</v>
      </c>
    </row>
    <row r="6733" spans="1:7" x14ac:dyDescent="0.3">
      <c r="A6733" s="1" t="s">
        <v>4</v>
      </c>
      <c r="B6733" s="2" t="str">
        <f t="shared" si="555"/>
        <v>BIBLIOTECAS GERAIS DO MV2000 E DO SGPS</v>
      </c>
      <c r="C6733" s="2" t="str">
        <f>""</f>
        <v/>
      </c>
      <c r="D6733" s="2" t="str">
        <f t="shared" si="556"/>
        <v>MV</v>
      </c>
      <c r="E6733" s="2" t="str">
        <f>"WIN_PRINCIPAL"</f>
        <v>WIN_PRINCIPAL</v>
      </c>
      <c r="F6733" s="2" t="str">
        <f>"M_CONTROLE_AUTORIZACAO_AIH"</f>
        <v>M_CONTROLE_AUTORIZACAO_AIH</v>
      </c>
      <c r="G6733" s="2" t="str">
        <f t="shared" si="559"/>
        <v xml:space="preserve"> ()</v>
      </c>
    </row>
    <row r="6734" spans="1:7" x14ac:dyDescent="0.3">
      <c r="A6734" s="1" t="s">
        <v>4</v>
      </c>
      <c r="B6734" s="2" t="str">
        <f t="shared" si="555"/>
        <v>BIBLIOTECAS GERAIS DO MV2000 E DO SGPS</v>
      </c>
      <c r="C6734" s="2" t="str">
        <f>""</f>
        <v/>
      </c>
      <c r="D6734" s="2" t="str">
        <f t="shared" si="556"/>
        <v>MV</v>
      </c>
      <c r="E6734" s="2" t="str">
        <f>"WIN_PRINCIPAL"</f>
        <v>WIN_PRINCIPAL</v>
      </c>
      <c r="F6734" s="2" t="str">
        <f>"M_ADVOGADO"</f>
        <v>M_ADVOGADO</v>
      </c>
      <c r="G6734" s="2" t="str">
        <f t="shared" si="559"/>
        <v xml:space="preserve"> ()</v>
      </c>
    </row>
    <row r="6735" spans="1:7" x14ac:dyDescent="0.3">
      <c r="A6735" s="1" t="s">
        <v>4</v>
      </c>
      <c r="B6735" s="2" t="str">
        <f t="shared" si="555"/>
        <v>BIBLIOTECAS GERAIS DO MV2000 E DO SGPS</v>
      </c>
      <c r="C6735" s="2" t="str">
        <f>""</f>
        <v/>
      </c>
      <c r="D6735" s="2" t="str">
        <f t="shared" si="556"/>
        <v>MV</v>
      </c>
      <c r="E6735" s="2" t="str">
        <f>"C_PAGAMENTO_REALIZADO"</f>
        <v>C_PAGAMENTO_REALIZADO</v>
      </c>
      <c r="F6735" s="2" t="str">
        <f>"C_PAGAMENTO_REALIZADO"</f>
        <v>C_PAGAMENTO_REALIZADO</v>
      </c>
      <c r="G6735" s="2" t="str">
        <f t="shared" si="559"/>
        <v xml:space="preserve"> ()</v>
      </c>
    </row>
    <row r="6736" spans="1:7" x14ac:dyDescent="0.3">
      <c r="A6736" s="1" t="s">
        <v>4</v>
      </c>
      <c r="B6736" s="2" t="str">
        <f t="shared" ref="B6736:B6799" si="560">"BIBLIOTECAS GERAIS DO MV2000 E DO SGPS"</f>
        <v>BIBLIOTECAS GERAIS DO MV2000 E DO SGPS</v>
      </c>
      <c r="C6736" s="2" t="str">
        <f>""</f>
        <v/>
      </c>
      <c r="D6736" s="2" t="str">
        <f t="shared" ref="D6736:D6799" si="561">"MV"</f>
        <v>MV</v>
      </c>
      <c r="E6736" s="2" t="str">
        <f>"M_MOTIVO_CANCEL_OB"</f>
        <v>M_MOTIVO_CANCEL_OB</v>
      </c>
      <c r="F6736" s="2" t="str">
        <f>"M_MOTIVO_CANCEL_OB"</f>
        <v>M_MOTIVO_CANCEL_OB</v>
      </c>
      <c r="G6736" s="2" t="str">
        <f t="shared" si="559"/>
        <v xml:space="preserve"> ()</v>
      </c>
    </row>
    <row r="6737" spans="1:7" x14ac:dyDescent="0.3">
      <c r="A6737" s="1" t="s">
        <v>4</v>
      </c>
      <c r="B6737" s="2" t="str">
        <f t="shared" si="560"/>
        <v>BIBLIOTECAS GERAIS DO MV2000 E DO SGPS</v>
      </c>
      <c r="C6737" s="2" t="str">
        <f>""</f>
        <v/>
      </c>
      <c r="D6737" s="2" t="str">
        <f t="shared" si="561"/>
        <v>MV</v>
      </c>
      <c r="E6737" s="2" t="str">
        <f>"M_NOTA_SISTEMA_EMPENHO"</f>
        <v>M_NOTA_SISTEMA_EMPENHO</v>
      </c>
      <c r="F6737" s="2" t="str">
        <f>"M_NOTA_SISTEMA_EMPENHO"</f>
        <v>M_NOTA_SISTEMA_EMPENHO</v>
      </c>
      <c r="G6737" s="2" t="str">
        <f t="shared" si="559"/>
        <v xml:space="preserve"> ()</v>
      </c>
    </row>
    <row r="6738" spans="1:7" x14ac:dyDescent="0.3">
      <c r="A6738" s="1" t="s">
        <v>4</v>
      </c>
      <c r="B6738" s="2" t="str">
        <f t="shared" si="560"/>
        <v>BIBLIOTECAS GERAIS DO MV2000 E DO SGPS</v>
      </c>
      <c r="C6738" s="2" t="str">
        <f>""</f>
        <v/>
      </c>
      <c r="D6738" s="2" t="str">
        <f t="shared" si="561"/>
        <v>MV</v>
      </c>
      <c r="E6738" s="2" t="str">
        <f>"M_NOTA_EMPENHO_ES"</f>
        <v>M_NOTA_EMPENHO_ES</v>
      </c>
      <c r="F6738" s="2" t="str">
        <f>"M_NOTA_EMPENHO_ES"</f>
        <v>M_NOTA_EMPENHO_ES</v>
      </c>
      <c r="G6738" s="2" t="str">
        <f t="shared" si="559"/>
        <v xml:space="preserve"> ()</v>
      </c>
    </row>
    <row r="6739" spans="1:7" x14ac:dyDescent="0.3">
      <c r="A6739" s="1" t="s">
        <v>4</v>
      </c>
      <c r="B6739" s="2" t="str">
        <f t="shared" si="560"/>
        <v>BIBLIOTECAS GERAIS DO MV2000 E DO SGPS</v>
      </c>
      <c r="C6739" s="2" t="str">
        <f>""</f>
        <v/>
      </c>
      <c r="D6739" s="2" t="str">
        <f t="shared" si="561"/>
        <v>MV</v>
      </c>
      <c r="E6739" s="2" t="str">
        <f>"M_FINANCEIRO_RECEBIDO_ES"</f>
        <v>M_FINANCEIRO_RECEBIDO_ES</v>
      </c>
      <c r="F6739" s="2" t="str">
        <f>"M_FINANCEIRO_RECEBIDO_ES"</f>
        <v>M_FINANCEIRO_RECEBIDO_ES</v>
      </c>
      <c r="G6739" s="2" t="str">
        <f t="shared" si="559"/>
        <v xml:space="preserve"> ()</v>
      </c>
    </row>
    <row r="6740" spans="1:7" x14ac:dyDescent="0.3">
      <c r="A6740" s="1" t="s">
        <v>4</v>
      </c>
      <c r="B6740" s="2" t="str">
        <f t="shared" si="560"/>
        <v>BIBLIOTECAS GERAIS DO MV2000 E DO SGPS</v>
      </c>
      <c r="C6740" s="2" t="str">
        <f>""</f>
        <v/>
      </c>
      <c r="D6740" s="2" t="str">
        <f t="shared" si="561"/>
        <v>MV</v>
      </c>
      <c r="E6740" s="2" t="str">
        <f>"M_ORCAMENTO_RECEBIDO_ES"</f>
        <v>M_ORCAMENTO_RECEBIDO_ES</v>
      </c>
      <c r="F6740" s="2" t="str">
        <f>"M_ORCAMENTO_RECEBIDO_ES"</f>
        <v>M_ORCAMENTO_RECEBIDO_ES</v>
      </c>
      <c r="G6740" s="2" t="str">
        <f t="shared" si="559"/>
        <v xml:space="preserve"> ()</v>
      </c>
    </row>
    <row r="6741" spans="1:7" x14ac:dyDescent="0.3">
      <c r="A6741" s="1" t="s">
        <v>4</v>
      </c>
      <c r="B6741" s="2" t="str">
        <f t="shared" si="560"/>
        <v>BIBLIOTECAS GERAIS DO MV2000 E DO SGPS</v>
      </c>
      <c r="C6741" s="2" t="str">
        <f>""</f>
        <v/>
      </c>
      <c r="D6741" s="2" t="str">
        <f t="shared" si="561"/>
        <v>MV</v>
      </c>
      <c r="E6741" s="2" t="str">
        <f>"WIN_PRINCIPAL"</f>
        <v>WIN_PRINCIPAL</v>
      </c>
      <c r="F6741" s="2" t="str">
        <f>"M_MONTA_XML"</f>
        <v>M_MONTA_XML</v>
      </c>
      <c r="G6741" s="2" t="str">
        <f t="shared" si="559"/>
        <v xml:space="preserve"> ()</v>
      </c>
    </row>
    <row r="6742" spans="1:7" x14ac:dyDescent="0.3">
      <c r="A6742" s="1" t="s">
        <v>4</v>
      </c>
      <c r="B6742" s="2" t="str">
        <f t="shared" si="560"/>
        <v>BIBLIOTECAS GERAIS DO MV2000 E DO SGPS</v>
      </c>
      <c r="C6742" s="2" t="str">
        <f>""</f>
        <v/>
      </c>
      <c r="D6742" s="2" t="str">
        <f t="shared" si="561"/>
        <v>MV</v>
      </c>
      <c r="E6742" s="2" t="str">
        <f>"M_TP_ORCAMENTO"</f>
        <v>M_TP_ORCAMENTO</v>
      </c>
      <c r="F6742" s="2" t="str">
        <f>"M_TP_ORCAMENTO"</f>
        <v>M_TP_ORCAMENTO</v>
      </c>
      <c r="G6742" s="2" t="str">
        <f t="shared" si="559"/>
        <v xml:space="preserve"> ()</v>
      </c>
    </row>
    <row r="6743" spans="1:7" x14ac:dyDescent="0.3">
      <c r="A6743" s="1" t="s">
        <v>4</v>
      </c>
      <c r="B6743" s="2" t="str">
        <f t="shared" si="560"/>
        <v>BIBLIOTECAS GERAIS DO MV2000 E DO SGPS</v>
      </c>
      <c r="C6743" s="2" t="str">
        <f>""</f>
        <v/>
      </c>
      <c r="D6743" s="2" t="str">
        <f t="shared" si="561"/>
        <v>MV</v>
      </c>
      <c r="E6743" s="2" t="str">
        <f>"PALM"</f>
        <v>PALM</v>
      </c>
      <c r="F6743" s="2" t="str">
        <f>"PALM"</f>
        <v>PALM</v>
      </c>
      <c r="G6743" s="2" t="str">
        <f t="shared" si="559"/>
        <v xml:space="preserve"> ()</v>
      </c>
    </row>
    <row r="6744" spans="1:7" x14ac:dyDescent="0.3">
      <c r="A6744" s="1" t="s">
        <v>4</v>
      </c>
      <c r="B6744" s="2" t="str">
        <f t="shared" si="560"/>
        <v>BIBLIOTECAS GERAIS DO MV2000 E DO SGPS</v>
      </c>
      <c r="C6744" s="2" t="str">
        <f>""</f>
        <v/>
      </c>
      <c r="D6744" s="2" t="str">
        <f t="shared" si="561"/>
        <v>MV</v>
      </c>
      <c r="E6744" s="2" t="str">
        <f>"M_MTP_CLASSIFICACAO"</f>
        <v>M_MTP_CLASSIFICACAO</v>
      </c>
      <c r="F6744" s="2" t="str">
        <f>"M_MTP_CLASSIFICACAO"</f>
        <v>M_MTP_CLASSIFICACAO</v>
      </c>
      <c r="G6744" s="2" t="str">
        <f t="shared" si="559"/>
        <v xml:space="preserve"> ()</v>
      </c>
    </row>
    <row r="6745" spans="1:7" x14ac:dyDescent="0.3">
      <c r="A6745" s="1" t="s">
        <v>4</v>
      </c>
      <c r="B6745" s="2" t="str">
        <f t="shared" si="560"/>
        <v>BIBLIOTECAS GERAIS DO MV2000 E DO SGPS</v>
      </c>
      <c r="C6745" s="2" t="str">
        <f>""</f>
        <v/>
      </c>
      <c r="D6745" s="2" t="str">
        <f t="shared" si="561"/>
        <v>MV</v>
      </c>
      <c r="E6745" s="2" t="str">
        <f>"WINDOW8 - HOSPITAL MV SISTEMAS TO AQUI"</f>
        <v>WINDOW8 - HOSPITAL MV SISTEMAS TO AQUI</v>
      </c>
      <c r="F6745" s="2" t="str">
        <f>"CICERO"</f>
        <v>CICERO</v>
      </c>
      <c r="G6745" s="2" t="str">
        <f t="shared" si="559"/>
        <v xml:space="preserve"> ()</v>
      </c>
    </row>
    <row r="6746" spans="1:7" x14ac:dyDescent="0.3">
      <c r="A6746" s="1" t="s">
        <v>4</v>
      </c>
      <c r="B6746" s="2" t="str">
        <f t="shared" si="560"/>
        <v>BIBLIOTECAS GERAIS DO MV2000 E DO SGPS</v>
      </c>
      <c r="C6746" s="2" t="str">
        <f>""</f>
        <v/>
      </c>
      <c r="D6746" s="2" t="str">
        <f t="shared" si="561"/>
        <v>MV</v>
      </c>
      <c r="E6746" s="2" t="str">
        <f t="shared" ref="E6746:E6752" si="562">"WIN_PRINCIPAL"</f>
        <v>WIN_PRINCIPAL</v>
      </c>
      <c r="F6746" s="2" t="str">
        <f>"M_RECIBO_RECEBIMENTO"</f>
        <v>M_RECIBO_RECEBIMENTO</v>
      </c>
      <c r="G6746" s="2" t="str">
        <f t="shared" si="559"/>
        <v xml:space="preserve"> ()</v>
      </c>
    </row>
    <row r="6747" spans="1:7" x14ac:dyDescent="0.3">
      <c r="A6747" s="1" t="s">
        <v>4</v>
      </c>
      <c r="B6747" s="2" t="str">
        <f t="shared" si="560"/>
        <v>BIBLIOTECAS GERAIS DO MV2000 E DO SGPS</v>
      </c>
      <c r="C6747" s="2" t="str">
        <f>""</f>
        <v/>
      </c>
      <c r="D6747" s="2" t="str">
        <f t="shared" si="561"/>
        <v>MV</v>
      </c>
      <c r="E6747" s="2" t="str">
        <f t="shared" si="562"/>
        <v>WIN_PRINCIPAL</v>
      </c>
      <c r="F6747" s="2" t="str">
        <f>"O_ACSER_SINISTROS_SIB"</f>
        <v>O_ACSER_SINISTROS_SIB</v>
      </c>
      <c r="G6747" s="2" t="str">
        <f t="shared" si="559"/>
        <v xml:space="preserve"> ()</v>
      </c>
    </row>
    <row r="6748" spans="1:7" x14ac:dyDescent="0.3">
      <c r="A6748" s="1" t="s">
        <v>4</v>
      </c>
      <c r="B6748" s="2" t="str">
        <f t="shared" si="560"/>
        <v>BIBLIOTECAS GERAIS DO MV2000 E DO SGPS</v>
      </c>
      <c r="C6748" s="2" t="str">
        <f>""</f>
        <v/>
      </c>
      <c r="D6748" s="2" t="str">
        <f t="shared" si="561"/>
        <v>MV</v>
      </c>
      <c r="E6748" s="2" t="str">
        <f t="shared" si="562"/>
        <v>WIN_PRINCIPAL</v>
      </c>
      <c r="F6748" s="2" t="str">
        <f>"M_ESPECIALIDADE_ACSER"</f>
        <v>M_ESPECIALIDADE_ACSER</v>
      </c>
      <c r="G6748" s="2" t="str">
        <f t="shared" si="559"/>
        <v xml:space="preserve"> ()</v>
      </c>
    </row>
    <row r="6749" spans="1:7" x14ac:dyDescent="0.3">
      <c r="A6749" s="1" t="s">
        <v>4</v>
      </c>
      <c r="B6749" s="2" t="str">
        <f t="shared" si="560"/>
        <v>BIBLIOTECAS GERAIS DO MV2000 E DO SGPS</v>
      </c>
      <c r="C6749" s="2" t="str">
        <f>""</f>
        <v/>
      </c>
      <c r="D6749" s="2" t="str">
        <f t="shared" si="561"/>
        <v>MV</v>
      </c>
      <c r="E6749" s="2" t="str">
        <f t="shared" si="562"/>
        <v>WIN_PRINCIPAL</v>
      </c>
      <c r="F6749" s="2" t="str">
        <f>"M_EVENTOS_ACSER"</f>
        <v>M_EVENTOS_ACSER</v>
      </c>
      <c r="G6749" s="2" t="str">
        <f t="shared" si="559"/>
        <v xml:space="preserve"> ()</v>
      </c>
    </row>
    <row r="6750" spans="1:7" x14ac:dyDescent="0.3">
      <c r="A6750" s="1" t="s">
        <v>4</v>
      </c>
      <c r="B6750" s="2" t="str">
        <f t="shared" si="560"/>
        <v>BIBLIOTECAS GERAIS DO MV2000 E DO SGPS</v>
      </c>
      <c r="C6750" s="2" t="str">
        <f>""</f>
        <v/>
      </c>
      <c r="D6750" s="2" t="str">
        <f t="shared" si="561"/>
        <v>MV</v>
      </c>
      <c r="E6750" s="2" t="str">
        <f t="shared" si="562"/>
        <v>WIN_PRINCIPAL</v>
      </c>
      <c r="F6750" s="2" t="str">
        <f>"O_ACSER_ASSOC_ANS_SIB"</f>
        <v>O_ACSER_ASSOC_ANS_SIB</v>
      </c>
      <c r="G6750" s="2" t="str">
        <f t="shared" si="559"/>
        <v xml:space="preserve"> ()</v>
      </c>
    </row>
    <row r="6751" spans="1:7" x14ac:dyDescent="0.3">
      <c r="A6751" s="1" t="s">
        <v>4</v>
      </c>
      <c r="B6751" s="2" t="str">
        <f t="shared" si="560"/>
        <v>BIBLIOTECAS GERAIS DO MV2000 E DO SGPS</v>
      </c>
      <c r="C6751" s="2" t="str">
        <f>""</f>
        <v/>
      </c>
      <c r="D6751" s="2" t="str">
        <f t="shared" si="561"/>
        <v>MV</v>
      </c>
      <c r="E6751" s="2" t="str">
        <f t="shared" si="562"/>
        <v>WIN_PRINCIPAL</v>
      </c>
      <c r="F6751" s="2" t="str">
        <f>"M_VOTO"</f>
        <v>M_VOTO</v>
      </c>
      <c r="G6751" s="2" t="str">
        <f t="shared" si="559"/>
        <v xml:space="preserve"> ()</v>
      </c>
    </row>
    <row r="6752" spans="1:7" x14ac:dyDescent="0.3">
      <c r="A6752" s="1" t="s">
        <v>4</v>
      </c>
      <c r="B6752" s="2" t="str">
        <f t="shared" si="560"/>
        <v>BIBLIOTECAS GERAIS DO MV2000 E DO SGPS</v>
      </c>
      <c r="C6752" s="2" t="str">
        <f>""</f>
        <v/>
      </c>
      <c r="D6752" s="2" t="str">
        <f t="shared" si="561"/>
        <v>MV</v>
      </c>
      <c r="E6752" s="2" t="str">
        <f t="shared" si="562"/>
        <v>WIN_PRINCIPAL</v>
      </c>
      <c r="F6752" s="2" t="str">
        <f>"MV2000PF_TESTE"</f>
        <v>MV2000PF_TESTE</v>
      </c>
      <c r="G6752" s="2" t="str">
        <f t="shared" si="559"/>
        <v xml:space="preserve"> ()</v>
      </c>
    </row>
    <row r="6753" spans="1:7" x14ac:dyDescent="0.3">
      <c r="A6753" s="1" t="s">
        <v>4</v>
      </c>
      <c r="B6753" s="2" t="str">
        <f t="shared" si="560"/>
        <v>BIBLIOTECAS GERAIS DO MV2000 E DO SGPS</v>
      </c>
      <c r="C6753" s="2" t="str">
        <f>""</f>
        <v/>
      </c>
      <c r="D6753" s="2" t="str">
        <f t="shared" si="561"/>
        <v>MV</v>
      </c>
      <c r="E6753" s="2" t="str">
        <f>"CANCELAMENTO DE PROTOCOLO"</f>
        <v>CANCELAMENTO DE PROTOCOLO</v>
      </c>
      <c r="F6753" s="2" t="str">
        <f>"O_CANC_PROTOCOLO_SAPIENS"</f>
        <v>O_CANC_PROTOCOLO_SAPIENS</v>
      </c>
      <c r="G6753" s="2" t="str">
        <f t="shared" si="559"/>
        <v xml:space="preserve"> ()</v>
      </c>
    </row>
    <row r="6754" spans="1:7" x14ac:dyDescent="0.3">
      <c r="A6754" s="1" t="s">
        <v>4</v>
      </c>
      <c r="B6754" s="2" t="str">
        <f t="shared" si="560"/>
        <v>BIBLIOTECAS GERAIS DO MV2000 E DO SGPS</v>
      </c>
      <c r="C6754" s="2" t="str">
        <f>""</f>
        <v/>
      </c>
      <c r="D6754" s="2" t="str">
        <f t="shared" si="561"/>
        <v>MV</v>
      </c>
      <c r="E6754" s="2" t="str">
        <f>"RELATÓRIO DE PREVISÃO DE PAGAMENTO"</f>
        <v>RELATÓRIO DE PREVISÃO DE PAGAMENTO</v>
      </c>
      <c r="F6754" s="2" t="str">
        <f>"R_PREVISAO_PAGAMENTO"</f>
        <v>R_PREVISAO_PAGAMENTO</v>
      </c>
      <c r="G6754" s="2" t="str">
        <f t="shared" si="559"/>
        <v xml:space="preserve"> ()</v>
      </c>
    </row>
    <row r="6755" spans="1:7" x14ac:dyDescent="0.3">
      <c r="A6755" s="1" t="s">
        <v>4</v>
      </c>
      <c r="B6755" s="2" t="str">
        <f t="shared" si="560"/>
        <v>BIBLIOTECAS GERAIS DO MV2000 E DO SGPS</v>
      </c>
      <c r="C6755" s="2" t="str">
        <f>""</f>
        <v/>
      </c>
      <c r="D6755" s="2" t="str">
        <f t="shared" si="561"/>
        <v>MV</v>
      </c>
      <c r="E6755" s="2" t="str">
        <f>"M_BRASINDICE"</f>
        <v>M_BRASINDICE</v>
      </c>
      <c r="F6755" s="2" t="str">
        <f>"M_BRASINDICE"</f>
        <v>M_BRASINDICE</v>
      </c>
      <c r="G6755" s="2" t="str">
        <f t="shared" si="559"/>
        <v xml:space="preserve"> ()</v>
      </c>
    </row>
    <row r="6756" spans="1:7" x14ac:dyDescent="0.3">
      <c r="A6756" s="1" t="s">
        <v>4</v>
      </c>
      <c r="B6756" s="2" t="str">
        <f t="shared" si="560"/>
        <v>BIBLIOTECAS GERAIS DO MV2000 E DO SGPS</v>
      </c>
      <c r="C6756" s="2" t="str">
        <f>""</f>
        <v/>
      </c>
      <c r="D6756" s="2" t="str">
        <f t="shared" si="561"/>
        <v>MV</v>
      </c>
      <c r="E6756" s="2" t="str">
        <f>"ENTRADA DOS PRODUTOS"</f>
        <v>ENTRADA DOS PRODUTOS</v>
      </c>
      <c r="F6756" s="2" t="str">
        <f>"M_ENTRADA_IN86"</f>
        <v>M_ENTRADA_IN86</v>
      </c>
      <c r="G6756" s="2" t="str">
        <f t="shared" si="559"/>
        <v xml:space="preserve"> ()</v>
      </c>
    </row>
    <row r="6757" spans="1:7" x14ac:dyDescent="0.3">
      <c r="A6757" s="1" t="s">
        <v>4</v>
      </c>
      <c r="B6757" s="2" t="str">
        <f t="shared" si="560"/>
        <v>BIBLIOTECAS GERAIS DO MV2000 E DO SGPS</v>
      </c>
      <c r="C6757" s="2" t="str">
        <f>""</f>
        <v/>
      </c>
      <c r="D6757" s="2" t="str">
        <f t="shared" si="561"/>
        <v>MV</v>
      </c>
      <c r="E6757" s="2" t="str">
        <f>"PROTOCOLO DE NOTA FISCAL"</f>
        <v>PROTOCOLO DE NOTA FISCAL</v>
      </c>
      <c r="F6757" s="2" t="str">
        <f>"O_EXPORTA_NOTA_FISCAL"</f>
        <v>O_EXPORTA_NOTA_FISCAL</v>
      </c>
      <c r="G6757" s="2" t="str">
        <f t="shared" si="559"/>
        <v xml:space="preserve"> ()</v>
      </c>
    </row>
    <row r="6758" spans="1:7" x14ac:dyDescent="0.3">
      <c r="A6758" s="1" t="s">
        <v>4</v>
      </c>
      <c r="B6758" s="2" t="str">
        <f t="shared" si="560"/>
        <v>BIBLIOTECAS GERAIS DO MV2000 E DO SGPS</v>
      </c>
      <c r="C6758" s="2" t="str">
        <f>""</f>
        <v/>
      </c>
      <c r="D6758" s="2" t="str">
        <f t="shared" si="561"/>
        <v>MV</v>
      </c>
      <c r="E6758" s="2" t="str">
        <f>"R_FLUXO_CAIXA_ANALITICO_GLOBAL"</f>
        <v>R_FLUXO_CAIXA_ANALITICO_GLOBAL</v>
      </c>
      <c r="F6758" s="2" t="str">
        <f>"R_FLUXO_CAIXA_ANALITICO_GLOBAL"</f>
        <v>R_FLUXO_CAIXA_ANALITICO_GLOBAL</v>
      </c>
      <c r="G6758" s="2" t="str">
        <f t="shared" si="559"/>
        <v xml:space="preserve"> ()</v>
      </c>
    </row>
    <row r="6759" spans="1:7" x14ac:dyDescent="0.3">
      <c r="A6759" s="1" t="s">
        <v>4</v>
      </c>
      <c r="B6759" s="2" t="str">
        <f t="shared" si="560"/>
        <v>BIBLIOTECAS GERAIS DO MV2000 E DO SGPS</v>
      </c>
      <c r="C6759" s="2" t="str">
        <f>""</f>
        <v/>
      </c>
      <c r="D6759" s="2" t="str">
        <f t="shared" si="561"/>
        <v>MV</v>
      </c>
      <c r="E6759" s="2" t="str">
        <f>"CONTRATOS - 01-HOSPITAL MV SISTEMAS"</f>
        <v>CONTRATOS - 01-HOSPITAL MV SISTEMAS</v>
      </c>
      <c r="F6759" s="2" t="str">
        <f>"M_EXPORTA_ECOM"</f>
        <v>M_EXPORTA_ECOM</v>
      </c>
      <c r="G6759" s="2" t="str">
        <f t="shared" si="559"/>
        <v xml:space="preserve"> ()</v>
      </c>
    </row>
    <row r="6760" spans="1:7" x14ac:dyDescent="0.3">
      <c r="A6760" s="1" t="s">
        <v>4</v>
      </c>
      <c r="B6760" s="2" t="str">
        <f t="shared" si="560"/>
        <v>BIBLIOTECAS GERAIS DO MV2000 E DO SGPS</v>
      </c>
      <c r="C6760" s="2" t="str">
        <f>""</f>
        <v/>
      </c>
      <c r="D6760" s="2" t="str">
        <f t="shared" si="561"/>
        <v>MV</v>
      </c>
      <c r="E6760" s="2" t="str">
        <f>"DMED - HOSPITAL MV SISTEMAS"</f>
        <v>DMED - HOSPITAL MV SISTEMAS</v>
      </c>
      <c r="F6760" s="2" t="str">
        <f>"O_GERARQDMED"</f>
        <v>O_GERARQDMED</v>
      </c>
      <c r="G6760" s="2" t="str">
        <f t="shared" si="559"/>
        <v xml:space="preserve"> ()</v>
      </c>
    </row>
    <row r="6761" spans="1:7" x14ac:dyDescent="0.3">
      <c r="A6761" s="1" t="s">
        <v>4</v>
      </c>
      <c r="B6761" s="2" t="str">
        <f t="shared" si="560"/>
        <v>BIBLIOTECAS GERAIS DO MV2000 E DO SGPS</v>
      </c>
      <c r="C6761" s="2" t="str">
        <f>""</f>
        <v/>
      </c>
      <c r="D6761" s="2" t="str">
        <f t="shared" si="561"/>
        <v>MV</v>
      </c>
      <c r="E6761" s="2" t="str">
        <f>"WIN_PRINCIPAL - 01-HOSPITAL MV SISTE"</f>
        <v>WIN_PRINCIPAL - 01-HOSPITAL MV SISTE</v>
      </c>
      <c r="F6761" s="2" t="str">
        <f>"M_PEND_EXCECOES_BPA"</f>
        <v>M_PEND_EXCECOES_BPA</v>
      </c>
      <c r="G6761" s="2" t="str">
        <f t="shared" si="559"/>
        <v xml:space="preserve"> ()</v>
      </c>
    </row>
    <row r="6762" spans="1:7" x14ac:dyDescent="0.3">
      <c r="A6762" s="1" t="s">
        <v>4</v>
      </c>
      <c r="B6762" s="2" t="str">
        <f t="shared" si="560"/>
        <v>BIBLIOTECAS GERAIS DO MV2000 E DO SGPS</v>
      </c>
      <c r="C6762" s="2" t="str">
        <f>""</f>
        <v/>
      </c>
      <c r="D6762" s="2" t="str">
        <f t="shared" si="561"/>
        <v>MV</v>
      </c>
      <c r="E6762" s="2" t="str">
        <f t="shared" ref="E6762:E6771" si="563">"WIN_PRINCIPAL - HOSPITAL MV SISTEMAS"</f>
        <v>WIN_PRINCIPAL - HOSPITAL MV SISTEMAS</v>
      </c>
      <c r="F6762" s="2" t="str">
        <f>"O_IMP"</f>
        <v>O_IMP</v>
      </c>
      <c r="G6762" s="2" t="str">
        <f t="shared" si="559"/>
        <v xml:space="preserve"> ()</v>
      </c>
    </row>
    <row r="6763" spans="1:7" x14ac:dyDescent="0.3">
      <c r="A6763" s="1" t="s">
        <v>4</v>
      </c>
      <c r="B6763" s="2" t="str">
        <f t="shared" si="560"/>
        <v>BIBLIOTECAS GERAIS DO MV2000 E DO SGPS</v>
      </c>
      <c r="C6763" s="2" t="str">
        <f>""</f>
        <v/>
      </c>
      <c r="D6763" s="2" t="str">
        <f t="shared" si="561"/>
        <v>MV</v>
      </c>
      <c r="E6763" s="2" t="str">
        <f t="shared" si="563"/>
        <v>WIN_PRINCIPAL - HOSPITAL MV SISTEMAS</v>
      </c>
      <c r="F6763" s="2" t="str">
        <f>"EXPORTAR_IDIOMA"</f>
        <v>EXPORTAR_IDIOMA</v>
      </c>
      <c r="G6763" s="2" t="str">
        <f t="shared" si="559"/>
        <v xml:space="preserve"> ()</v>
      </c>
    </row>
    <row r="6764" spans="1:7" x14ac:dyDescent="0.3">
      <c r="A6764" s="1" t="s">
        <v>4</v>
      </c>
      <c r="B6764" s="2" t="str">
        <f t="shared" si="560"/>
        <v>BIBLIOTECAS GERAIS DO MV2000 E DO SGPS</v>
      </c>
      <c r="C6764" s="2" t="str">
        <f>""</f>
        <v/>
      </c>
      <c r="D6764" s="2" t="str">
        <f t="shared" si="561"/>
        <v>MV</v>
      </c>
      <c r="E6764" s="2" t="str">
        <f t="shared" si="563"/>
        <v>WIN_PRINCIPAL - HOSPITAL MV SISTEMAS</v>
      </c>
      <c r="F6764" s="2" t="str">
        <f>"EXPORTACAO_DADOS_RMI"</f>
        <v>EXPORTACAO_DADOS_RMI</v>
      </c>
      <c r="G6764" s="2" t="str">
        <f t="shared" si="559"/>
        <v xml:space="preserve"> ()</v>
      </c>
    </row>
    <row r="6765" spans="1:7" x14ac:dyDescent="0.3">
      <c r="A6765" s="1" t="s">
        <v>4</v>
      </c>
      <c r="B6765" s="2" t="str">
        <f t="shared" si="560"/>
        <v>BIBLIOTECAS GERAIS DO MV2000 E DO SGPS</v>
      </c>
      <c r="C6765" s="2" t="str">
        <f>""</f>
        <v/>
      </c>
      <c r="D6765" s="2" t="str">
        <f t="shared" si="561"/>
        <v>MV</v>
      </c>
      <c r="E6765" s="2" t="str">
        <f t="shared" si="563"/>
        <v>WIN_PRINCIPAL - HOSPITAL MV SISTEMAS</v>
      </c>
      <c r="F6765" s="2" t="str">
        <f>"EXPORTA"</f>
        <v>EXPORTA</v>
      </c>
      <c r="G6765" s="2" t="str">
        <f t="shared" si="559"/>
        <v xml:space="preserve"> ()</v>
      </c>
    </row>
    <row r="6766" spans="1:7" x14ac:dyDescent="0.3">
      <c r="A6766" s="1" t="s">
        <v>4</v>
      </c>
      <c r="B6766" s="2" t="str">
        <f t="shared" si="560"/>
        <v>BIBLIOTECAS GERAIS DO MV2000 E DO SGPS</v>
      </c>
      <c r="C6766" s="2" t="str">
        <f>""</f>
        <v/>
      </c>
      <c r="D6766" s="2" t="str">
        <f t="shared" si="561"/>
        <v>MV</v>
      </c>
      <c r="E6766" s="2" t="str">
        <f t="shared" si="563"/>
        <v>WIN_PRINCIPAL - HOSPITAL MV SISTEMAS</v>
      </c>
      <c r="F6766" s="2" t="str">
        <f>"IMPORTE"</f>
        <v>IMPORTE</v>
      </c>
      <c r="G6766" s="2" t="str">
        <f t="shared" si="559"/>
        <v xml:space="preserve"> ()</v>
      </c>
    </row>
    <row r="6767" spans="1:7" x14ac:dyDescent="0.3">
      <c r="A6767" s="1" t="s">
        <v>4</v>
      </c>
      <c r="B6767" s="2" t="str">
        <f t="shared" si="560"/>
        <v>BIBLIOTECAS GERAIS DO MV2000 E DO SGPS</v>
      </c>
      <c r="C6767" s="2" t="str">
        <f>""</f>
        <v/>
      </c>
      <c r="D6767" s="2" t="str">
        <f t="shared" si="561"/>
        <v>MV</v>
      </c>
      <c r="E6767" s="2" t="str">
        <f t="shared" si="563"/>
        <v>WIN_PRINCIPAL - HOSPITAL MV SISTEMAS</v>
      </c>
      <c r="F6767" s="2" t="str">
        <f>"RMI_OBJETO"</f>
        <v>RMI_OBJETO</v>
      </c>
      <c r="G6767" s="2" t="str">
        <f t="shared" si="559"/>
        <v xml:space="preserve"> ()</v>
      </c>
    </row>
    <row r="6768" spans="1:7" x14ac:dyDescent="0.3">
      <c r="A6768" s="1" t="s">
        <v>4</v>
      </c>
      <c r="B6768" s="2" t="str">
        <f t="shared" si="560"/>
        <v>BIBLIOTECAS GERAIS DO MV2000 E DO SGPS</v>
      </c>
      <c r="C6768" s="2" t="str">
        <f>""</f>
        <v/>
      </c>
      <c r="D6768" s="2" t="str">
        <f t="shared" si="561"/>
        <v>MV</v>
      </c>
      <c r="E6768" s="2" t="str">
        <f t="shared" si="563"/>
        <v>WIN_PRINCIPAL - HOSPITAL MV SISTEMAS</v>
      </c>
      <c r="F6768" s="2" t="str">
        <f>"RMI_PROPRIEDADE"</f>
        <v>RMI_PROPRIEDADE</v>
      </c>
      <c r="G6768" s="2" t="str">
        <f t="shared" si="559"/>
        <v xml:space="preserve"> ()</v>
      </c>
    </row>
    <row r="6769" spans="1:7" x14ac:dyDescent="0.3">
      <c r="A6769" s="1" t="s">
        <v>4</v>
      </c>
      <c r="B6769" s="2" t="str">
        <f t="shared" si="560"/>
        <v>BIBLIOTECAS GERAIS DO MV2000 E DO SGPS</v>
      </c>
      <c r="C6769" s="2" t="str">
        <f>""</f>
        <v/>
      </c>
      <c r="D6769" s="2" t="str">
        <f t="shared" si="561"/>
        <v>MV</v>
      </c>
      <c r="E6769" s="2" t="str">
        <f t="shared" si="563"/>
        <v>WIN_PRINCIPAL - HOSPITAL MV SISTEMAS</v>
      </c>
      <c r="F6769" s="2" t="str">
        <f>"RMI_TEXTO"</f>
        <v>RMI_TEXTO</v>
      </c>
      <c r="G6769" s="2" t="str">
        <f t="shared" si="559"/>
        <v xml:space="preserve"> ()</v>
      </c>
    </row>
    <row r="6770" spans="1:7" x14ac:dyDescent="0.3">
      <c r="A6770" s="1" t="s">
        <v>4</v>
      </c>
      <c r="B6770" s="2" t="str">
        <f t="shared" si="560"/>
        <v>BIBLIOTECAS GERAIS DO MV2000 E DO SGPS</v>
      </c>
      <c r="C6770" s="2" t="str">
        <f>""</f>
        <v/>
      </c>
      <c r="D6770" s="2" t="str">
        <f t="shared" si="561"/>
        <v>MV</v>
      </c>
      <c r="E6770" s="2" t="str">
        <f t="shared" si="563"/>
        <v>WIN_PRINCIPAL - HOSPITAL MV SISTEMAS</v>
      </c>
      <c r="F6770" s="2" t="str">
        <f>"RMI_IDIOMA"</f>
        <v>RMI_IDIOMA</v>
      </c>
      <c r="G6770" s="2" t="str">
        <f t="shared" si="559"/>
        <v xml:space="preserve"> ()</v>
      </c>
    </row>
    <row r="6771" spans="1:7" x14ac:dyDescent="0.3">
      <c r="A6771" s="1" t="s">
        <v>4</v>
      </c>
      <c r="B6771" s="2" t="str">
        <f t="shared" si="560"/>
        <v>BIBLIOTECAS GERAIS DO MV2000 E DO SGPS</v>
      </c>
      <c r="C6771" s="2" t="str">
        <f>""</f>
        <v/>
      </c>
      <c r="D6771" s="2" t="str">
        <f t="shared" si="561"/>
        <v>MV</v>
      </c>
      <c r="E6771" s="2" t="str">
        <f t="shared" si="563"/>
        <v>WIN_PRINCIPAL - HOSPITAL MV SISTEMAS</v>
      </c>
      <c r="F6771" s="2" t="str">
        <f>"MULTI_IDIOMA"</f>
        <v>MULTI_IDIOMA</v>
      </c>
      <c r="G6771" s="2" t="str">
        <f t="shared" si="559"/>
        <v xml:space="preserve"> ()</v>
      </c>
    </row>
    <row r="6772" spans="1:7" x14ac:dyDescent="0.3">
      <c r="A6772" s="1" t="s">
        <v>4</v>
      </c>
      <c r="B6772" s="2" t="str">
        <f t="shared" si="560"/>
        <v>BIBLIOTECAS GERAIS DO MV2000 E DO SGPS</v>
      </c>
      <c r="C6772" s="2" t="str">
        <f>""</f>
        <v/>
      </c>
      <c r="D6772" s="2" t="str">
        <f t="shared" si="561"/>
        <v>MV</v>
      </c>
      <c r="E6772" s="2" t="str">
        <f>"CADASTRO: MOTIVOS DE BAIXA - CRED PARTO"</f>
        <v>CADASTRO: MOTIVOS DE BAIXA - CRED PARTO</v>
      </c>
      <c r="F6772" s="2" t="str">
        <f>"M_MANUTENCAO_MSG_RMI"</f>
        <v>M_MANUTENCAO_MSG_RMI</v>
      </c>
      <c r="G6772" s="2" t="str">
        <f t="shared" si="559"/>
        <v xml:space="preserve"> ()</v>
      </c>
    </row>
    <row r="6773" spans="1:7" x14ac:dyDescent="0.3">
      <c r="A6773" s="1" t="s">
        <v>4</v>
      </c>
      <c r="B6773" s="2" t="str">
        <f t="shared" si="560"/>
        <v>BIBLIOTECAS GERAIS DO MV2000 E DO SGPS</v>
      </c>
      <c r="C6773" s="2" t="str">
        <f>""</f>
        <v/>
      </c>
      <c r="D6773" s="2" t="str">
        <f t="shared" si="561"/>
        <v>MV</v>
      </c>
      <c r="E6773" s="2" t="str">
        <f>"M_CONFIG_RMI"</f>
        <v>M_CONFIG_RMI</v>
      </c>
      <c r="F6773" s="2" t="str">
        <f>"M_CONFIG_RMI"</f>
        <v>M_CONFIG_RMI</v>
      </c>
      <c r="G6773" s="2" t="str">
        <f t="shared" si="559"/>
        <v xml:space="preserve"> ()</v>
      </c>
    </row>
    <row r="6774" spans="1:7" x14ac:dyDescent="0.3">
      <c r="A6774" s="1" t="s">
        <v>4</v>
      </c>
      <c r="B6774" s="2" t="str">
        <f t="shared" si="560"/>
        <v>BIBLIOTECAS GERAIS DO MV2000 E DO SGPS</v>
      </c>
      <c r="C6774" s="2" t="str">
        <f>""</f>
        <v/>
      </c>
      <c r="D6774" s="2" t="str">
        <f t="shared" si="561"/>
        <v>MV</v>
      </c>
      <c r="E6774" s="2" t="str">
        <f>"R_CONTAS_PAG"</f>
        <v>R_CONTAS_PAG</v>
      </c>
      <c r="F6774" s="2" t="str">
        <f>"R_CONTAS_PAG"</f>
        <v>R_CONTAS_PAG</v>
      </c>
      <c r="G6774" s="2" t="str">
        <f t="shared" si="559"/>
        <v xml:space="preserve"> ()</v>
      </c>
    </row>
    <row r="6775" spans="1:7" x14ac:dyDescent="0.3">
      <c r="A6775" s="1" t="s">
        <v>4</v>
      </c>
      <c r="B6775" s="2" t="str">
        <f t="shared" si="560"/>
        <v>BIBLIOTECAS GERAIS DO MV2000 E DO SGPS</v>
      </c>
      <c r="C6775" s="2" t="str">
        <f>""</f>
        <v/>
      </c>
      <c r="D6775" s="2" t="str">
        <f t="shared" si="561"/>
        <v>MV</v>
      </c>
      <c r="E6775" s="2" t="str">
        <f>"M_ATIVA_PT321"</f>
        <v>M_ATIVA_PT321</v>
      </c>
      <c r="F6775" s="2" t="str">
        <f>"M_ATIVA_PT321"</f>
        <v>M_ATIVA_PT321</v>
      </c>
      <c r="G6775" s="2" t="str">
        <f t="shared" ref="G6775:G6810" si="564">" ()"</f>
        <v xml:space="preserve"> ()</v>
      </c>
    </row>
    <row r="6776" spans="1:7" x14ac:dyDescent="0.3">
      <c r="A6776" s="1" t="s">
        <v>4</v>
      </c>
      <c r="B6776" s="2" t="str">
        <f t="shared" si="560"/>
        <v>BIBLIOTECAS GERAIS DO MV2000 E DO SGPS</v>
      </c>
      <c r="C6776" s="2" t="str">
        <f>""</f>
        <v/>
      </c>
      <c r="D6776" s="2" t="str">
        <f t="shared" si="561"/>
        <v>MV</v>
      </c>
      <c r="E6776" s="2" t="str">
        <f>"WIN_PRINCIPAL - HOSPITAL MV SISTEMAS"</f>
        <v>WIN_PRINCIPAL - HOSPITAL MV SISTEMAS</v>
      </c>
      <c r="F6776" s="2" t="str">
        <f>"M_AJUSTA_CHECAGEM"</f>
        <v>M_AJUSTA_CHECAGEM</v>
      </c>
      <c r="G6776" s="2" t="str">
        <f t="shared" si="564"/>
        <v xml:space="preserve"> ()</v>
      </c>
    </row>
    <row r="6777" spans="1:7" x14ac:dyDescent="0.3">
      <c r="A6777" s="1" t="s">
        <v>4</v>
      </c>
      <c r="B6777" s="2" t="str">
        <f t="shared" si="560"/>
        <v>BIBLIOTECAS GERAIS DO MV2000 E DO SGPS</v>
      </c>
      <c r="C6777" s="2" t="str">
        <f>""</f>
        <v/>
      </c>
      <c r="D6777" s="2" t="str">
        <f t="shared" si="561"/>
        <v>MV</v>
      </c>
      <c r="E6777" s="2" t="str">
        <f>"MANUTENÇÃO DE ATUALIZAÇÕES - CRED PARTO"</f>
        <v>MANUTENÇÃO DE ATUALIZAÇÕES - CRED PARTO</v>
      </c>
      <c r="F6777" s="2" t="str">
        <f>"IMPORTA"</f>
        <v>IMPORTA</v>
      </c>
      <c r="G6777" s="2" t="str">
        <f t="shared" si="564"/>
        <v xml:space="preserve"> ()</v>
      </c>
    </row>
    <row r="6778" spans="1:7" x14ac:dyDescent="0.3">
      <c r="A6778" s="1" t="s">
        <v>4</v>
      </c>
      <c r="B6778" s="2" t="str">
        <f t="shared" si="560"/>
        <v>BIBLIOTECAS GERAIS DO MV2000 E DO SGPS</v>
      </c>
      <c r="C6778" s="2" t="str">
        <f>""</f>
        <v/>
      </c>
      <c r="D6778" s="2" t="str">
        <f t="shared" si="561"/>
        <v>MV</v>
      </c>
      <c r="E6778" s="2" t="str">
        <f>"WIN_PRINCIPAL - HOSPITAL MV SISTEMAS"</f>
        <v>WIN_PRINCIPAL - HOSPITAL MV SISTEMAS</v>
      </c>
      <c r="F6778" s="2" t="str">
        <f>"M_INF_RECEM_NASHH"</f>
        <v>M_INF_RECEM_NASHH</v>
      </c>
      <c r="G6778" s="2" t="str">
        <f t="shared" si="564"/>
        <v xml:space="preserve"> ()</v>
      </c>
    </row>
    <row r="6779" spans="1:7" x14ac:dyDescent="0.3">
      <c r="A6779" s="1" t="s">
        <v>4</v>
      </c>
      <c r="B6779" s="2" t="str">
        <f t="shared" si="560"/>
        <v>BIBLIOTECAS GERAIS DO MV2000 E DO SGPS</v>
      </c>
      <c r="C6779" s="2" t="str">
        <f>""</f>
        <v/>
      </c>
      <c r="D6779" s="2" t="str">
        <f t="shared" si="561"/>
        <v>MV</v>
      </c>
      <c r="E6779" s="2" t="str">
        <f>"MANUTENÇÃO DE ATUALIZAÇÕES - CRED PARTO"</f>
        <v>MANUTENÇÃO DE ATUALIZAÇÕES - CRED PARTO</v>
      </c>
      <c r="F6779" s="2" t="str">
        <f>"IMPORTA_PROCEDIMENTO"</f>
        <v>IMPORTA_PROCEDIMENTO</v>
      </c>
      <c r="G6779" s="2" t="str">
        <f t="shared" si="564"/>
        <v xml:space="preserve"> ()</v>
      </c>
    </row>
    <row r="6780" spans="1:7" x14ac:dyDescent="0.3">
      <c r="A6780" s="1" t="s">
        <v>4</v>
      </c>
      <c r="B6780" s="2" t="str">
        <f t="shared" si="560"/>
        <v>BIBLIOTECAS GERAIS DO MV2000 E DO SGPS</v>
      </c>
      <c r="C6780" s="2" t="str">
        <f>""</f>
        <v/>
      </c>
      <c r="D6780" s="2" t="str">
        <f t="shared" si="561"/>
        <v>MV</v>
      </c>
      <c r="E6780" s="2" t="str">
        <f>"WIN_PRINCIPAL - HOSPITAL MV SISTEMAS 1"</f>
        <v>WIN_PRINCIPAL - HOSPITAL MV SISTEMAS 1</v>
      </c>
      <c r="F6780" s="2" t="str">
        <f>"M_CAD_PROCESSO_FORN"</f>
        <v>M_CAD_PROCESSO_FORN</v>
      </c>
      <c r="G6780" s="2" t="str">
        <f t="shared" si="564"/>
        <v xml:space="preserve"> ()</v>
      </c>
    </row>
    <row r="6781" spans="1:7" x14ac:dyDescent="0.3">
      <c r="A6781" s="1" t="s">
        <v>4</v>
      </c>
      <c r="B6781" s="2" t="str">
        <f t="shared" si="560"/>
        <v>BIBLIOTECAS GERAIS DO MV2000 E DO SGPS</v>
      </c>
      <c r="C6781" s="2" t="str">
        <f>""</f>
        <v/>
      </c>
      <c r="D6781" s="2" t="str">
        <f t="shared" si="561"/>
        <v>MV</v>
      </c>
      <c r="E6781" s="2" t="str">
        <f>"M_ENVIO_SOLICITACAO"</f>
        <v>M_ENVIO_SOLICITACAO</v>
      </c>
      <c r="F6781" s="2" t="str">
        <f>"M_ENVIO_SOLICITACAO"</f>
        <v>M_ENVIO_SOLICITACAO</v>
      </c>
      <c r="G6781" s="2" t="str">
        <f t="shared" si="564"/>
        <v xml:space="preserve"> ()</v>
      </c>
    </row>
    <row r="6782" spans="1:7" x14ac:dyDescent="0.3">
      <c r="A6782" s="1" t="s">
        <v>4</v>
      </c>
      <c r="B6782" s="2" t="str">
        <f t="shared" si="560"/>
        <v>BIBLIOTECAS GERAIS DO MV2000 E DO SGPS</v>
      </c>
      <c r="C6782" s="2" t="str">
        <f>""</f>
        <v/>
      </c>
      <c r="D6782" s="2" t="str">
        <f t="shared" si="561"/>
        <v>MV</v>
      </c>
      <c r="E6782" s="2" t="str">
        <f>"M_LOG_MGCE"</f>
        <v>M_LOG_MGCE</v>
      </c>
      <c r="F6782" s="2" t="str">
        <f>"M_LOG_MGCE"</f>
        <v>M_LOG_MGCE</v>
      </c>
      <c r="G6782" s="2" t="str">
        <f t="shared" si="564"/>
        <v xml:space="preserve"> ()</v>
      </c>
    </row>
    <row r="6783" spans="1:7" x14ac:dyDescent="0.3">
      <c r="A6783" s="1" t="s">
        <v>4</v>
      </c>
      <c r="B6783" s="2" t="str">
        <f t="shared" si="560"/>
        <v>BIBLIOTECAS GERAIS DO MV2000 E DO SGPS</v>
      </c>
      <c r="C6783" s="2" t="str">
        <f>""</f>
        <v/>
      </c>
      <c r="D6783" s="2" t="str">
        <f t="shared" si="561"/>
        <v>MV</v>
      </c>
      <c r="E6783" s="2" t="str">
        <f>"M_LOG_ESTERILIZA"</f>
        <v>M_LOG_ESTERILIZA</v>
      </c>
      <c r="F6783" s="2" t="str">
        <f>"M_LOG_ESTERILIZA"</f>
        <v>M_LOG_ESTERILIZA</v>
      </c>
      <c r="G6783" s="2" t="str">
        <f t="shared" si="564"/>
        <v xml:space="preserve"> ()</v>
      </c>
    </row>
    <row r="6784" spans="1:7" x14ac:dyDescent="0.3">
      <c r="A6784" s="1" t="s">
        <v>4</v>
      </c>
      <c r="B6784" s="2" t="str">
        <f t="shared" si="560"/>
        <v>BIBLIOTECAS GERAIS DO MV2000 E DO SGPS</v>
      </c>
      <c r="C6784" s="2" t="str">
        <f>""</f>
        <v/>
      </c>
      <c r="D6784" s="2" t="str">
        <f t="shared" si="561"/>
        <v>MV</v>
      </c>
      <c r="E6784" s="2" t="str">
        <f>"CADASTRO  DAS MÁQUINAS ESTERILIZADORAS"</f>
        <v>CADASTRO  DAS MÁQUINAS ESTERILIZADORAS</v>
      </c>
      <c r="F6784" s="2" t="str">
        <f>"M_FUNCIONALIDADE"</f>
        <v>M_FUNCIONALIDADE</v>
      </c>
      <c r="G6784" s="2" t="str">
        <f t="shared" si="564"/>
        <v xml:space="preserve"> ()</v>
      </c>
    </row>
    <row r="6785" spans="1:7" x14ac:dyDescent="0.3">
      <c r="A6785" s="1" t="s">
        <v>4</v>
      </c>
      <c r="B6785" s="2" t="str">
        <f t="shared" si="560"/>
        <v>BIBLIOTECAS GERAIS DO MV2000 E DO SGPS</v>
      </c>
      <c r="C6785" s="2" t="str">
        <f>""</f>
        <v/>
      </c>
      <c r="D6785" s="2" t="str">
        <f t="shared" si="561"/>
        <v>MV</v>
      </c>
      <c r="E6785" s="2" t="str">
        <f>"WIN_PRINCIPAL - HOSPITAL MV SISTEMAS"</f>
        <v>WIN_PRINCIPAL - HOSPITAL MV SISTEMAS</v>
      </c>
      <c r="F6785" s="2" t="str">
        <f>"CALC"</f>
        <v>CALC</v>
      </c>
      <c r="G6785" s="2" t="str">
        <f t="shared" si="564"/>
        <v xml:space="preserve"> ()</v>
      </c>
    </row>
    <row r="6786" spans="1:7" x14ac:dyDescent="0.3">
      <c r="A6786" s="1" t="s">
        <v>4</v>
      </c>
      <c r="B6786" s="2" t="str">
        <f t="shared" si="560"/>
        <v>BIBLIOTECAS GERAIS DO MV2000 E DO SGPS</v>
      </c>
      <c r="C6786" s="2" t="str">
        <f>""</f>
        <v/>
      </c>
      <c r="D6786" s="2" t="str">
        <f t="shared" si="561"/>
        <v>MV</v>
      </c>
      <c r="E6786" s="2" t="str">
        <f>"M_SOLCOM_NOVO"</f>
        <v>M_SOLCOM_NOVO</v>
      </c>
      <c r="F6786" s="2" t="str">
        <f>"M_SOLCOM_NOVO"</f>
        <v>M_SOLCOM_NOVO</v>
      </c>
      <c r="G6786" s="2" t="str">
        <f t="shared" si="564"/>
        <v xml:space="preserve"> ()</v>
      </c>
    </row>
    <row r="6787" spans="1:7" x14ac:dyDescent="0.3">
      <c r="A6787" s="1" t="s">
        <v>4</v>
      </c>
      <c r="B6787" s="2" t="str">
        <f t="shared" si="560"/>
        <v>BIBLIOTECAS GERAIS DO MV2000 E DO SGPS</v>
      </c>
      <c r="C6787" s="2" t="str">
        <f>""</f>
        <v/>
      </c>
      <c r="D6787" s="2" t="str">
        <f t="shared" si="561"/>
        <v>MV</v>
      </c>
      <c r="E6787" s="2" t="str">
        <f>"MANUTENÇÃO DE ATUALIZAÇÕES"</f>
        <v>MANUTENÇÃO DE ATUALIZAÇÕES</v>
      </c>
      <c r="F6787" s="2" t="str">
        <f>"IMPORTA_TABELAS_2"</f>
        <v>IMPORTA_TABELAS_2</v>
      </c>
      <c r="G6787" s="2" t="str">
        <f t="shared" si="564"/>
        <v xml:space="preserve"> ()</v>
      </c>
    </row>
    <row r="6788" spans="1:7" x14ac:dyDescent="0.3">
      <c r="A6788" s="1" t="s">
        <v>4</v>
      </c>
      <c r="B6788" s="2" t="str">
        <f t="shared" si="560"/>
        <v>BIBLIOTECAS GERAIS DO MV2000 E DO SGPS</v>
      </c>
      <c r="C6788" s="2" t="str">
        <f>""</f>
        <v/>
      </c>
      <c r="D6788" s="2" t="str">
        <f t="shared" si="561"/>
        <v>MV</v>
      </c>
      <c r="E6788" s="2" t="str">
        <f>"PARÂMETROS DE SADT"</f>
        <v>PARÂMETROS DE SADT</v>
      </c>
      <c r="F6788" s="2" t="str">
        <f>"M_SADT_PARAMENTROS"</f>
        <v>M_SADT_PARAMENTROS</v>
      </c>
      <c r="G6788" s="2" t="str">
        <f t="shared" si="564"/>
        <v xml:space="preserve"> ()</v>
      </c>
    </row>
    <row r="6789" spans="1:7" x14ac:dyDescent="0.3">
      <c r="A6789" s="1" t="s">
        <v>4</v>
      </c>
      <c r="B6789" s="2" t="str">
        <f t="shared" si="560"/>
        <v>BIBLIOTECAS GERAIS DO MV2000 E DO SGPS</v>
      </c>
      <c r="C6789" s="2" t="str">
        <f>""</f>
        <v/>
      </c>
      <c r="D6789" s="2" t="str">
        <f t="shared" si="561"/>
        <v>MV</v>
      </c>
      <c r="E6789" s="2" t="str">
        <f>"IMPORTAÇÃO PROCEDIMENTOS"</f>
        <v>IMPORTAÇÃO PROCEDIMENTOS</v>
      </c>
      <c r="F6789" s="2" t="str">
        <f>"CHK_ESTRUTURA"</f>
        <v>CHK_ESTRUTURA</v>
      </c>
      <c r="G6789" s="2" t="str">
        <f t="shared" si="564"/>
        <v xml:space="preserve"> ()</v>
      </c>
    </row>
    <row r="6790" spans="1:7" x14ac:dyDescent="0.3">
      <c r="A6790" s="1" t="s">
        <v>4</v>
      </c>
      <c r="B6790" s="2" t="str">
        <f t="shared" si="560"/>
        <v>BIBLIOTECAS GERAIS DO MV2000 E DO SGPS</v>
      </c>
      <c r="C6790" s="2" t="str">
        <f>""</f>
        <v/>
      </c>
      <c r="D6790" s="2" t="str">
        <f t="shared" si="561"/>
        <v>MV</v>
      </c>
      <c r="E6790" s="2" t="str">
        <f>"WIN_PRINCIPAL"</f>
        <v>WIN_PRINCIPAL</v>
      </c>
      <c r="F6790" s="2" t="str">
        <f>"M_IMPORTA_CONSIGANDOS"</f>
        <v>M_IMPORTA_CONSIGANDOS</v>
      </c>
      <c r="G6790" s="2" t="str">
        <f t="shared" si="564"/>
        <v xml:space="preserve"> ()</v>
      </c>
    </row>
    <row r="6791" spans="1:7" x14ac:dyDescent="0.3">
      <c r="A6791" s="1" t="s">
        <v>4</v>
      </c>
      <c r="B6791" s="2" t="str">
        <f t="shared" si="560"/>
        <v>BIBLIOTECAS GERAIS DO MV2000 E DO SGPS</v>
      </c>
      <c r="C6791" s="2" t="str">
        <f>""</f>
        <v/>
      </c>
      <c r="D6791" s="2" t="str">
        <f t="shared" si="561"/>
        <v>MV</v>
      </c>
      <c r="E6791" s="2" t="str">
        <f>"Declaração de Acompanhante"</f>
        <v>Declaração de Acompanhante</v>
      </c>
      <c r="F6791" s="2" t="str">
        <f>"USR_DECLARAÇAO_DE_ACOMPANHANTE"</f>
        <v>USR_DECLARAÇAO_DE_ACOMPANHANTE</v>
      </c>
      <c r="G6791" s="2" t="str">
        <f t="shared" si="564"/>
        <v xml:space="preserve"> ()</v>
      </c>
    </row>
    <row r="6792" spans="1:7" x14ac:dyDescent="0.3">
      <c r="A6792" s="1" t="s">
        <v>4</v>
      </c>
      <c r="B6792" s="2" t="str">
        <f t="shared" si="560"/>
        <v>BIBLIOTECAS GERAIS DO MV2000 E DO SGPS</v>
      </c>
      <c r="C6792" s="2" t="str">
        <f>""</f>
        <v/>
      </c>
      <c r="D6792" s="2" t="str">
        <f t="shared" si="561"/>
        <v>MV</v>
      </c>
      <c r="E6792" s="2" t="str">
        <f>"Termo Particular"</f>
        <v>Termo Particular</v>
      </c>
      <c r="F6792" s="2" t="str">
        <f>"USR_TERMO_PARTICULAR"</f>
        <v>USR_TERMO_PARTICULAR</v>
      </c>
      <c r="G6792" s="2" t="str">
        <f t="shared" si="564"/>
        <v xml:space="preserve"> ()</v>
      </c>
    </row>
    <row r="6793" spans="1:7" x14ac:dyDescent="0.3">
      <c r="A6793" s="1" t="s">
        <v>4</v>
      </c>
      <c r="B6793" s="2" t="str">
        <f t="shared" si="560"/>
        <v>BIBLIOTECAS GERAIS DO MV2000 E DO SGPS</v>
      </c>
      <c r="C6793" s="2" t="str">
        <f>""</f>
        <v/>
      </c>
      <c r="D6793" s="2" t="str">
        <f t="shared" si="561"/>
        <v>MV</v>
      </c>
      <c r="E6793" s="2" t="str">
        <f>"Serviço de Diagnose"</f>
        <v>Serviço de Diagnose</v>
      </c>
      <c r="F6793" s="2" t="str">
        <f>"USR_SERVIÇO_DE_DIAGNOSE"</f>
        <v>USR_SERVIÇO_DE_DIAGNOSE</v>
      </c>
      <c r="G6793" s="2" t="str">
        <f t="shared" si="564"/>
        <v xml:space="preserve"> ()</v>
      </c>
    </row>
    <row r="6794" spans="1:7" x14ac:dyDescent="0.3">
      <c r="A6794" s="1" t="s">
        <v>4</v>
      </c>
      <c r="B6794" s="2" t="str">
        <f t="shared" si="560"/>
        <v>BIBLIOTECAS GERAIS DO MV2000 E DO SGPS</v>
      </c>
      <c r="C6794" s="2" t="str">
        <f>""</f>
        <v/>
      </c>
      <c r="D6794" s="2" t="str">
        <f t="shared" si="561"/>
        <v>MV</v>
      </c>
      <c r="E6794" s="2" t="str">
        <f>"Autorização de Internação"</f>
        <v>Autorização de Internação</v>
      </c>
      <c r="F6794" s="2" t="str">
        <f>"USR_AUTORIZAÇAO_DE_INTERNAÇAO"</f>
        <v>USR_AUTORIZAÇAO_DE_INTERNAÇAO</v>
      </c>
      <c r="G6794" s="2" t="str">
        <f t="shared" si="564"/>
        <v xml:space="preserve"> ()</v>
      </c>
    </row>
    <row r="6795" spans="1:7" x14ac:dyDescent="0.3">
      <c r="A6795" s="1" t="s">
        <v>4</v>
      </c>
      <c r="B6795" s="2" t="str">
        <f t="shared" si="560"/>
        <v>BIBLIOTECAS GERAIS DO MV2000 E DO SGPS</v>
      </c>
      <c r="C6795" s="2" t="str">
        <f>""</f>
        <v/>
      </c>
      <c r="D6795" s="2" t="str">
        <f t="shared" si="561"/>
        <v>MV</v>
      </c>
      <c r="E6795" s="2" t="str">
        <f>"Ficha Atendimento - FAA"</f>
        <v>Ficha Atendimento - FAA</v>
      </c>
      <c r="F6795" s="2" t="str">
        <f>"USR_FICHA_ATENDIMENTO_-_FAA"</f>
        <v>USR_FICHA_ATENDIMENTO_-_FAA</v>
      </c>
      <c r="G6795" s="2" t="str">
        <f t="shared" si="564"/>
        <v xml:space="preserve"> ()</v>
      </c>
    </row>
    <row r="6796" spans="1:7" x14ac:dyDescent="0.3">
      <c r="A6796" s="1" t="s">
        <v>4</v>
      </c>
      <c r="B6796" s="2" t="str">
        <f t="shared" si="560"/>
        <v>BIBLIOTECAS GERAIS DO MV2000 E DO SGPS</v>
      </c>
      <c r="C6796" s="2" t="str">
        <f>""</f>
        <v/>
      </c>
      <c r="D6796" s="2" t="str">
        <f t="shared" si="561"/>
        <v>MV</v>
      </c>
      <c r="E6796" s="2" t="str">
        <f>"Frequencia Hiperbarica"</f>
        <v>Frequencia Hiperbarica</v>
      </c>
      <c r="F6796" s="2" t="str">
        <f>"USR_FREQUENCIA_HIPERBARICA"</f>
        <v>USR_FREQUENCIA_HIPERBARICA</v>
      </c>
      <c r="G6796" s="2" t="str">
        <f t="shared" si="564"/>
        <v xml:space="preserve"> ()</v>
      </c>
    </row>
    <row r="6797" spans="1:7" x14ac:dyDescent="0.3">
      <c r="A6797" s="1" t="s">
        <v>4</v>
      </c>
      <c r="B6797" s="2" t="str">
        <f t="shared" si="560"/>
        <v>BIBLIOTECAS GERAIS DO MV2000 E DO SGPS</v>
      </c>
      <c r="C6797" s="2" t="str">
        <f>""</f>
        <v/>
      </c>
      <c r="D6797" s="2" t="str">
        <f t="shared" si="561"/>
        <v>MV</v>
      </c>
      <c r="E6797" s="2" t="str">
        <f>"Solicitação guia - Internação"</f>
        <v>Solicitação guia - Internação</v>
      </c>
      <c r="F6797" s="2" t="str">
        <f>"USR_SOLICITAÇAO_GUIA_-_INTERNAÇAO"</f>
        <v>USR_SOLICITAÇAO_GUIA_-_INTERNAÇAO</v>
      </c>
      <c r="G6797" s="2" t="str">
        <f t="shared" si="564"/>
        <v xml:space="preserve"> ()</v>
      </c>
    </row>
    <row r="6798" spans="1:7" x14ac:dyDescent="0.3">
      <c r="A6798" s="1" t="s">
        <v>4</v>
      </c>
      <c r="B6798" s="2" t="str">
        <f t="shared" si="560"/>
        <v>BIBLIOTECAS GERAIS DO MV2000 E DO SGPS</v>
      </c>
      <c r="C6798" s="2" t="str">
        <f>""</f>
        <v/>
      </c>
      <c r="D6798" s="2" t="str">
        <f t="shared" si="561"/>
        <v>MV</v>
      </c>
      <c r="E6798" s="2" t="str">
        <f>"Ficha Atendimento - Oftalmo"</f>
        <v>Ficha Atendimento - Oftalmo</v>
      </c>
      <c r="F6798" s="2" t="str">
        <f>"USR_FICHA_ATENDIMENTO_-_OFTALMO"</f>
        <v>USR_FICHA_ATENDIMENTO_-_OFTALMO</v>
      </c>
      <c r="G6798" s="2" t="str">
        <f t="shared" si="564"/>
        <v xml:space="preserve"> ()</v>
      </c>
    </row>
    <row r="6799" spans="1:7" x14ac:dyDescent="0.3">
      <c r="A6799" s="1" t="s">
        <v>4</v>
      </c>
      <c r="B6799" s="2" t="str">
        <f t="shared" si="560"/>
        <v>BIBLIOTECAS GERAIS DO MV2000 E DO SGPS</v>
      </c>
      <c r="C6799" s="2" t="str">
        <f>""</f>
        <v/>
      </c>
      <c r="D6799" s="2" t="str">
        <f t="shared" si="561"/>
        <v>MV</v>
      </c>
      <c r="E6799" s="2" t="str">
        <f>"Controle de Retorno"</f>
        <v>Controle de Retorno</v>
      </c>
      <c r="F6799" s="2" t="str">
        <f>"USR_CONTROLE_DE_RETORNO"</f>
        <v>USR_CONTROLE_DE_RETORNO</v>
      </c>
      <c r="G6799" s="2" t="str">
        <f t="shared" si="564"/>
        <v xml:space="preserve"> ()</v>
      </c>
    </row>
    <row r="6800" spans="1:7" x14ac:dyDescent="0.3">
      <c r="A6800" s="1" t="s">
        <v>4</v>
      </c>
      <c r="B6800" s="2" t="str">
        <f t="shared" ref="B6800:B6863" si="565">"BIBLIOTECAS GERAIS DO MV2000 E DO SGPS"</f>
        <v>BIBLIOTECAS GERAIS DO MV2000 E DO SGPS</v>
      </c>
      <c r="C6800" s="2" t="str">
        <f>""</f>
        <v/>
      </c>
      <c r="D6800" s="2" t="str">
        <f t="shared" ref="D6800:D6863" si="566">"MV"</f>
        <v>MV</v>
      </c>
      <c r="E6800" s="2" t="str">
        <f>"Comprovante de Frequencia"</f>
        <v>Comprovante de Frequencia</v>
      </c>
      <c r="F6800" s="2" t="str">
        <f>"USR_COMPROVANTE_DE_FREQUENCIA"</f>
        <v>USR_COMPROVANTE_DE_FREQUENCIA</v>
      </c>
      <c r="G6800" s="2" t="str">
        <f t="shared" si="564"/>
        <v xml:space="preserve"> ()</v>
      </c>
    </row>
    <row r="6801" spans="1:7" x14ac:dyDescent="0.3">
      <c r="A6801" s="1" t="s">
        <v>4</v>
      </c>
      <c r="B6801" s="2" t="str">
        <f t="shared" si="565"/>
        <v>BIBLIOTECAS GERAIS DO MV2000 E DO SGPS</v>
      </c>
      <c r="C6801" s="2" t="str">
        <f>""</f>
        <v/>
      </c>
      <c r="D6801" s="2" t="str">
        <f t="shared" si="566"/>
        <v>MV</v>
      </c>
      <c r="E6801" s="2" t="str">
        <f>"Disposição da Polícia"</f>
        <v>Disposição da Polícia</v>
      </c>
      <c r="F6801" s="2" t="str">
        <f>"USR_DISPOSIÇAO_DA_POLICIA"</f>
        <v>USR_DISPOSIÇAO_DA_POLICIA</v>
      </c>
      <c r="G6801" s="2" t="str">
        <f t="shared" si="564"/>
        <v xml:space="preserve"> ()</v>
      </c>
    </row>
    <row r="6802" spans="1:7" x14ac:dyDescent="0.3">
      <c r="A6802" s="1" t="s">
        <v>4</v>
      </c>
      <c r="B6802" s="2" t="str">
        <f t="shared" si="565"/>
        <v>BIBLIOTECAS GERAIS DO MV2000 E DO SGPS</v>
      </c>
      <c r="C6802" s="2" t="str">
        <f>""</f>
        <v/>
      </c>
      <c r="D6802" s="2" t="str">
        <f t="shared" si="566"/>
        <v>MV</v>
      </c>
      <c r="E6802" s="2" t="str">
        <f>"Ficha de Internação"</f>
        <v>Ficha de Internação</v>
      </c>
      <c r="F6802" s="2" t="str">
        <f>"USR_FICHA_DE_INTERNAÇAO"</f>
        <v>USR_FICHA_DE_INTERNAÇAO</v>
      </c>
      <c r="G6802" s="2" t="str">
        <f t="shared" si="564"/>
        <v xml:space="preserve"> ()</v>
      </c>
    </row>
    <row r="6803" spans="1:7" x14ac:dyDescent="0.3">
      <c r="A6803" s="1" t="s">
        <v>4</v>
      </c>
      <c r="B6803" s="2" t="str">
        <f t="shared" si="565"/>
        <v>BIBLIOTECAS GERAIS DO MV2000 E DO SGPS</v>
      </c>
      <c r="C6803" s="2" t="str">
        <f>""</f>
        <v/>
      </c>
      <c r="D6803" s="2" t="str">
        <f t="shared" si="566"/>
        <v>MV</v>
      </c>
      <c r="E6803" s="2" t="str">
        <f>"etiqueta exame"</f>
        <v>etiqueta exame</v>
      </c>
      <c r="F6803" s="2" t="str">
        <f>"USR_ETIQUETA_EXAME"</f>
        <v>USR_ETIQUETA_EXAME</v>
      </c>
      <c r="G6803" s="2" t="str">
        <f t="shared" si="564"/>
        <v xml:space="preserve"> ()</v>
      </c>
    </row>
    <row r="6804" spans="1:7" x14ac:dyDescent="0.3">
      <c r="A6804" s="1" t="s">
        <v>4</v>
      </c>
      <c r="B6804" s="2" t="str">
        <f t="shared" si="565"/>
        <v>BIBLIOTECAS GERAIS DO MV2000 E DO SGPS</v>
      </c>
      <c r="C6804" s="2" t="str">
        <f>""</f>
        <v/>
      </c>
      <c r="D6804" s="2" t="str">
        <f t="shared" si="566"/>
        <v>MV</v>
      </c>
      <c r="E6804" s="2" t="str">
        <f>"WIN_PRINCIPAL"</f>
        <v>WIN_PRINCIPAL</v>
      </c>
      <c r="F6804" s="2" t="str">
        <f>"M_AJUSTA_LOTE_ENTRADA"</f>
        <v>M_AJUSTA_LOTE_ENTRADA</v>
      </c>
      <c r="G6804" s="2" t="str">
        <f t="shared" si="564"/>
        <v xml:space="preserve"> ()</v>
      </c>
    </row>
    <row r="6805" spans="1:7" x14ac:dyDescent="0.3">
      <c r="A6805" s="1" t="s">
        <v>4</v>
      </c>
      <c r="B6805" s="2" t="str">
        <f t="shared" si="565"/>
        <v>BIBLIOTECAS GERAIS DO MV2000 E DO SGPS</v>
      </c>
      <c r="C6805" s="2" t="str">
        <f>""</f>
        <v/>
      </c>
      <c r="D6805" s="2" t="str">
        <f t="shared" si="566"/>
        <v>MV</v>
      </c>
      <c r="E6805" s="2" t="str">
        <f>"WIN_PRINCIPAL"</f>
        <v>WIN_PRINCIPAL</v>
      </c>
      <c r="F6805" s="2" t="str">
        <f>"PRINCIPAL"</f>
        <v>PRINCIPAL</v>
      </c>
      <c r="G6805" s="2" t="str">
        <f t="shared" si="564"/>
        <v xml:space="preserve"> ()</v>
      </c>
    </row>
    <row r="6806" spans="1:7" x14ac:dyDescent="0.3">
      <c r="A6806" s="1" t="s">
        <v>4</v>
      </c>
      <c r="B6806" s="2" t="str">
        <f t="shared" si="565"/>
        <v>BIBLIOTECAS GERAIS DO MV2000 E DO SGPS</v>
      </c>
      <c r="C6806" s="2" t="str">
        <f>""</f>
        <v/>
      </c>
      <c r="D6806" s="2" t="str">
        <f t="shared" si="566"/>
        <v>MV</v>
      </c>
      <c r="E6806" s="2" t="str">
        <f>"WIN_PRINCIPAL - HOSPITAL MV SISTEMAS"</f>
        <v>WIN_PRINCIPAL - HOSPITAL MV SISTEMAS</v>
      </c>
      <c r="F6806" s="2" t="str">
        <f>"TESTE_LISTA_IMPRESSORAS"</f>
        <v>TESTE_LISTA_IMPRESSORAS</v>
      </c>
      <c r="G6806" s="2" t="str">
        <f t="shared" si="564"/>
        <v xml:space="preserve"> ()</v>
      </c>
    </row>
    <row r="6807" spans="1:7" x14ac:dyDescent="0.3">
      <c r="A6807" s="1" t="s">
        <v>4</v>
      </c>
      <c r="B6807" s="2" t="str">
        <f t="shared" si="565"/>
        <v>BIBLIOTECAS GERAIS DO MV2000 E DO SGPS</v>
      </c>
      <c r="C6807" s="2" t="str">
        <f>""</f>
        <v/>
      </c>
      <c r="D6807" s="2" t="str">
        <f t="shared" si="566"/>
        <v>MV</v>
      </c>
      <c r="E6807" s="2" t="str">
        <f>"ORACLE FORMS RUNTIME"</f>
        <v>ORACLE FORMS RUNTIME</v>
      </c>
      <c r="F6807" s="2" t="str">
        <f>"R_CIRURGIAS_POR_PROCEDIMENTO"</f>
        <v>R_CIRURGIAS_POR_PROCEDIMENTO</v>
      </c>
      <c r="G6807" s="2" t="str">
        <f t="shared" si="564"/>
        <v xml:space="preserve"> ()</v>
      </c>
    </row>
    <row r="6808" spans="1:7" x14ac:dyDescent="0.3">
      <c r="A6808" s="1" t="s">
        <v>4</v>
      </c>
      <c r="B6808" s="2" t="str">
        <f t="shared" si="565"/>
        <v>BIBLIOTECAS GERAIS DO MV2000 E DO SGPS</v>
      </c>
      <c r="C6808" s="2" t="str">
        <f>""</f>
        <v/>
      </c>
      <c r="D6808" s="2" t="str">
        <f t="shared" si="566"/>
        <v>MV</v>
      </c>
      <c r="E6808" s="2" t="str">
        <f>"ORACLE FORMS RUNTIME"</f>
        <v>ORACLE FORMS RUNTIME</v>
      </c>
      <c r="F6808" s="2" t="str">
        <f>"PACIENTE"</f>
        <v>PACIENTE</v>
      </c>
      <c r="G6808" s="2" t="str">
        <f t="shared" si="564"/>
        <v xml:space="preserve"> ()</v>
      </c>
    </row>
    <row r="6809" spans="1:7" x14ac:dyDescent="0.3">
      <c r="A6809" s="1" t="s">
        <v>4</v>
      </c>
      <c r="B6809" s="2" t="str">
        <f t="shared" si="565"/>
        <v>BIBLIOTECAS GERAIS DO MV2000 E DO SGPS</v>
      </c>
      <c r="C6809" s="2" t="str">
        <f>""</f>
        <v/>
      </c>
      <c r="D6809" s="2" t="str">
        <f t="shared" si="566"/>
        <v>MV</v>
      </c>
      <c r="E6809" s="2" t="str">
        <f>"RELATÓRIO CONSUMO POR ESPÉCIE"</f>
        <v>RELATÓRIO CONSUMO POR ESPÉCIE</v>
      </c>
      <c r="F6809" s="2" t="str">
        <f>"R_CONSUMO_ESPECIE"</f>
        <v>R_CONSUMO_ESPECIE</v>
      </c>
      <c r="G6809" s="2" t="str">
        <f t="shared" si="564"/>
        <v xml:space="preserve"> ()</v>
      </c>
    </row>
    <row r="6810" spans="1:7" x14ac:dyDescent="0.3">
      <c r="A6810" s="1" t="s">
        <v>4</v>
      </c>
      <c r="B6810" s="2" t="str">
        <f t="shared" si="565"/>
        <v>BIBLIOTECAS GERAIS DO MV2000 E DO SGPS</v>
      </c>
      <c r="C6810" s="2" t="str">
        <f>""</f>
        <v/>
      </c>
      <c r="D6810" s="2" t="str">
        <f t="shared" si="566"/>
        <v>MV</v>
      </c>
      <c r="E6810" s="2" t="str">
        <f>"ORACLE FORMS RUNTIME"</f>
        <v>ORACLE FORMS RUNTIME</v>
      </c>
      <c r="F6810" s="2" t="str">
        <f>"R_DS_MEDICOS3"</f>
        <v>R_DS_MEDICOS3</v>
      </c>
      <c r="G6810" s="2" t="str">
        <f t="shared" si="564"/>
        <v xml:space="preserve"> ()</v>
      </c>
    </row>
    <row r="6811" spans="1:7" x14ac:dyDescent="0.3">
      <c r="A6811" s="1" t="s">
        <v>4</v>
      </c>
      <c r="B6811" s="2" t="str">
        <f t="shared" si="565"/>
        <v>BIBLIOTECAS GERAIS DO MV2000 E DO SGPS</v>
      </c>
      <c r="C6811" s="2" t="str">
        <f>""</f>
        <v/>
      </c>
      <c r="D6811" s="2" t="str">
        <f t="shared" si="566"/>
        <v>MV</v>
      </c>
      <c r="E6811" s="2" t="str">
        <f>"RELATÓRIO DE MENSALIDADES"</f>
        <v>RELATÓRIO DE MENSALIDADES</v>
      </c>
      <c r="F6811" s="2" t="str">
        <f>"R_MENSALIDADES"</f>
        <v>R_MENSALIDADES</v>
      </c>
      <c r="G6811" s="2" t="str">
        <f>"MVSaude / Relatórios / Faturamento / Mensalidades (R_MENSALIDADES)"</f>
        <v>MVSaude / Relatórios / Faturamento / Mensalidades (R_MENSALIDADES)</v>
      </c>
    </row>
    <row r="6812" spans="1:7" x14ac:dyDescent="0.3">
      <c r="A6812" s="1" t="s">
        <v>4</v>
      </c>
      <c r="B6812" s="2" t="str">
        <f t="shared" si="565"/>
        <v>BIBLIOTECAS GERAIS DO MV2000 E DO SGPS</v>
      </c>
      <c r="C6812" s="2" t="str">
        <f>""</f>
        <v/>
      </c>
      <c r="D6812" s="2" t="str">
        <f t="shared" si="566"/>
        <v>MV</v>
      </c>
      <c r="E6812" s="2" t="str">
        <f>"VISÃO FINANCEIRO X CONTÁBIL"</f>
        <v>VISÃO FINANCEIRO X CONTÁBIL</v>
      </c>
      <c r="F6812" s="2" t="str">
        <f>"R_VISAO_SEM_CONTA_959"</f>
        <v>R_VISAO_SEM_CONTA_959</v>
      </c>
      <c r="G6812" s="2" t="str">
        <f t="shared" ref="G6812:G6865" si="567">" ()"</f>
        <v xml:space="preserve"> ()</v>
      </c>
    </row>
    <row r="6813" spans="1:7" x14ac:dyDescent="0.3">
      <c r="A6813" s="1" t="s">
        <v>4</v>
      </c>
      <c r="B6813" s="2" t="str">
        <f t="shared" si="565"/>
        <v>BIBLIOTECAS GERAIS DO MV2000 E DO SGPS</v>
      </c>
      <c r="C6813" s="2" t="str">
        <f>""</f>
        <v/>
      </c>
      <c r="D6813" s="2" t="str">
        <f t="shared" si="566"/>
        <v>MV</v>
      </c>
      <c r="E6813" s="2" t="str">
        <f>"RELATÓRIO DE PRESTADORES"</f>
        <v>RELATÓRIO DE PRESTADORES</v>
      </c>
      <c r="F6813" s="2" t="str">
        <f>"R_EST_ATEN_PREST_ULBRA"</f>
        <v>R_EST_ATEN_PREST_ULBRA</v>
      </c>
      <c r="G6813" s="2" t="str">
        <f t="shared" si="567"/>
        <v xml:space="preserve"> ()</v>
      </c>
    </row>
    <row r="6814" spans="1:7" x14ac:dyDescent="0.3">
      <c r="A6814" s="1" t="s">
        <v>4</v>
      </c>
      <c r="B6814" s="2" t="str">
        <f t="shared" si="565"/>
        <v>BIBLIOTECAS GERAIS DO MV2000 E DO SGPS</v>
      </c>
      <c r="C6814" s="2" t="str">
        <f>""</f>
        <v/>
      </c>
      <c r="D6814" s="2" t="str">
        <f t="shared" si="566"/>
        <v>MV</v>
      </c>
      <c r="E6814" s="2" t="str">
        <f>"ESTIMATIVA DE FATURAMENTO"</f>
        <v>ESTIMATIVA DE FATURAMENTO</v>
      </c>
      <c r="F6814" s="2" t="str">
        <f>"R_EST_FAT_SOROCABA"</f>
        <v>R_EST_FAT_SOROCABA</v>
      </c>
      <c r="G6814" s="2" t="str">
        <f t="shared" si="567"/>
        <v xml:space="preserve"> ()</v>
      </c>
    </row>
    <row r="6815" spans="1:7" x14ac:dyDescent="0.3">
      <c r="A6815" s="1" t="s">
        <v>4</v>
      </c>
      <c r="B6815" s="2" t="str">
        <f t="shared" si="565"/>
        <v>BIBLIOTECAS GERAIS DO MV2000 E DO SGPS</v>
      </c>
      <c r="C6815" s="2" t="str">
        <f>""</f>
        <v/>
      </c>
      <c r="D6815" s="2" t="str">
        <f t="shared" si="566"/>
        <v>MV</v>
      </c>
      <c r="E6815" s="2" t="str">
        <f>"ESTIMATIVA DE FATURAMENTO"</f>
        <v>ESTIMATIVA DE FATURAMENTO</v>
      </c>
      <c r="F6815" s="2" t="str">
        <f>"R_ESTA_FAT_SOROCABA"</f>
        <v>R_ESTA_FAT_SOROCABA</v>
      </c>
      <c r="G6815" s="2" t="str">
        <f t="shared" si="567"/>
        <v xml:space="preserve"> ()</v>
      </c>
    </row>
    <row r="6816" spans="1:7" x14ac:dyDescent="0.3">
      <c r="A6816" s="1" t="s">
        <v>4</v>
      </c>
      <c r="B6816" s="2" t="str">
        <f t="shared" si="565"/>
        <v>BIBLIOTECAS GERAIS DO MV2000 E DO SGPS</v>
      </c>
      <c r="C6816" s="2" t="str">
        <f>""</f>
        <v/>
      </c>
      <c r="D6816" s="2" t="str">
        <f t="shared" si="566"/>
        <v>MV</v>
      </c>
      <c r="E6816" s="2" t="str">
        <f>"WIN_PRINCIPAL - HOSPITAL MV SISTEMAS"</f>
        <v>WIN_PRINCIPAL - HOSPITAL MV SISTEMAS</v>
      </c>
      <c r="F6816" s="2" t="str">
        <f>"MODULE3"</f>
        <v>MODULE3</v>
      </c>
      <c r="G6816" s="2" t="str">
        <f t="shared" si="567"/>
        <v xml:space="preserve"> ()</v>
      </c>
    </row>
    <row r="6817" spans="1:7" x14ac:dyDescent="0.3">
      <c r="A6817" s="1" t="s">
        <v>4</v>
      </c>
      <c r="B6817" s="2" t="str">
        <f t="shared" si="565"/>
        <v>BIBLIOTECAS GERAIS DO MV2000 E DO SGPS</v>
      </c>
      <c r="C6817" s="2" t="str">
        <f>""</f>
        <v/>
      </c>
      <c r="D6817" s="2" t="str">
        <f t="shared" si="566"/>
        <v>MV</v>
      </c>
      <c r="E6817" s="2" t="str">
        <f>"DEDE"</f>
        <v>DEDE</v>
      </c>
      <c r="F6817" s="2" t="str">
        <f>"DEDE"</f>
        <v>DEDE</v>
      </c>
      <c r="G6817" s="2" t="str">
        <f t="shared" si="567"/>
        <v xml:space="preserve"> ()</v>
      </c>
    </row>
    <row r="6818" spans="1:7" x14ac:dyDescent="0.3">
      <c r="A6818" s="1" t="s">
        <v>4</v>
      </c>
      <c r="B6818" s="2" t="str">
        <f t="shared" si="565"/>
        <v>BIBLIOTECAS GERAIS DO MV2000 E DO SGPS</v>
      </c>
      <c r="C6818" s="2" t="str">
        <f>""</f>
        <v/>
      </c>
      <c r="D6818" s="2" t="str">
        <f t="shared" si="566"/>
        <v>MV</v>
      </c>
      <c r="E6818" s="2" t="str">
        <f>"R_DEDE"</f>
        <v>R_DEDE</v>
      </c>
      <c r="F6818" s="2" t="str">
        <f>"R_DEDE"</f>
        <v>R_DEDE</v>
      </c>
      <c r="G6818" s="2" t="str">
        <f t="shared" si="567"/>
        <v xml:space="preserve"> ()</v>
      </c>
    </row>
    <row r="6819" spans="1:7" x14ac:dyDescent="0.3">
      <c r="A6819" s="1" t="s">
        <v>4</v>
      </c>
      <c r="B6819" s="2" t="str">
        <f t="shared" si="565"/>
        <v>BIBLIOTECAS GERAIS DO MV2000 E DO SGPS</v>
      </c>
      <c r="C6819" s="2" t="str">
        <f>""</f>
        <v/>
      </c>
      <c r="D6819" s="2" t="str">
        <f t="shared" si="566"/>
        <v>MV</v>
      </c>
      <c r="E6819" s="2" t="str">
        <f>"CADASTRO DE CLASSIFICACAO DE BENS"</f>
        <v>CADASTRO DE CLASSIFICACAO DE BENS</v>
      </c>
      <c r="F6819" s="2" t="str">
        <f>"M_CLAS_BENS_MINHA_MAQUINA"</f>
        <v>M_CLAS_BENS_MINHA_MAQUINA</v>
      </c>
      <c r="G6819" s="2" t="str">
        <f t="shared" si="567"/>
        <v xml:space="preserve"> ()</v>
      </c>
    </row>
    <row r="6820" spans="1:7" x14ac:dyDescent="0.3">
      <c r="A6820" s="1" t="s">
        <v>4</v>
      </c>
      <c r="B6820" s="2" t="str">
        <f t="shared" si="565"/>
        <v>BIBLIOTECAS GERAIS DO MV2000 E DO SGPS</v>
      </c>
      <c r="C6820" s="2" t="str">
        <f>""</f>
        <v/>
      </c>
      <c r="D6820" s="2" t="str">
        <f t="shared" si="566"/>
        <v>MV</v>
      </c>
      <c r="E6820" s="2" t="str">
        <f>"WIN_PRINCIPAL - HOSPITAL MV SISTEMAS"</f>
        <v>WIN_PRINCIPAL - HOSPITAL MV SISTEMAS</v>
      </c>
      <c r="F6820" s="2" t="str">
        <f>"M_VINCULACAO"</f>
        <v>M_VINCULACAO</v>
      </c>
      <c r="G6820" s="2" t="str">
        <f t="shared" si="567"/>
        <v xml:space="preserve"> ()</v>
      </c>
    </row>
    <row r="6821" spans="1:7" x14ac:dyDescent="0.3">
      <c r="A6821" s="1" t="s">
        <v>4</v>
      </c>
      <c r="B6821" s="2" t="str">
        <f t="shared" si="565"/>
        <v>BIBLIOTECAS GERAIS DO MV2000 E DO SGPS</v>
      </c>
      <c r="C6821" s="2" t="str">
        <f>""</f>
        <v/>
      </c>
      <c r="D6821" s="2" t="str">
        <f t="shared" si="566"/>
        <v>MV</v>
      </c>
      <c r="E6821" s="2" t="str">
        <f>"WIN_PRINCIPAL - HOSPITAL MV SISTEMAS"</f>
        <v>WIN_PRINCIPAL - HOSPITAL MV SISTEMAS</v>
      </c>
      <c r="F6821" s="2" t="str">
        <f>"FLAVIO"</f>
        <v>FLAVIO</v>
      </c>
      <c r="G6821" s="2" t="str">
        <f t="shared" si="567"/>
        <v xml:space="preserve"> ()</v>
      </c>
    </row>
    <row r="6822" spans="1:7" x14ac:dyDescent="0.3">
      <c r="A6822" s="1" t="s">
        <v>4</v>
      </c>
      <c r="B6822" s="2" t="str">
        <f t="shared" si="565"/>
        <v>BIBLIOTECAS GERAIS DO MV2000 E DO SGPS</v>
      </c>
      <c r="C6822" s="2" t="str">
        <f>""</f>
        <v/>
      </c>
      <c r="D6822" s="2" t="str">
        <f t="shared" si="566"/>
        <v>MV</v>
      </c>
      <c r="E6822" s="2" t="str">
        <f>"M_TIPO_DE_ESPRESA"</f>
        <v>M_TIPO_DE_ESPRESA</v>
      </c>
      <c r="F6822" s="2" t="str">
        <f>"M_TIPO_DE_ESPRESA"</f>
        <v>M_TIPO_DE_ESPRESA</v>
      </c>
      <c r="G6822" s="2" t="str">
        <f t="shared" si="567"/>
        <v xml:space="preserve"> ()</v>
      </c>
    </row>
    <row r="6823" spans="1:7" x14ac:dyDescent="0.3">
      <c r="A6823" s="1" t="s">
        <v>4</v>
      </c>
      <c r="B6823" s="2" t="str">
        <f t="shared" si="565"/>
        <v>BIBLIOTECAS GERAIS DO MV2000 E DO SGPS</v>
      </c>
      <c r="C6823" s="2" t="str">
        <f>""</f>
        <v/>
      </c>
      <c r="D6823" s="2" t="str">
        <f t="shared" si="566"/>
        <v>MV</v>
      </c>
      <c r="E6823" s="2" t="str">
        <f>"WIN_PRINCIPAL - HOSPITAL MV SISTEMAS"</f>
        <v>WIN_PRINCIPAL - HOSPITAL MV SISTEMAS</v>
      </c>
      <c r="F6823" s="2" t="str">
        <f>"O_CRIA_PKT"</f>
        <v>O_CRIA_PKT</v>
      </c>
      <c r="G6823" s="2" t="str">
        <f t="shared" si="567"/>
        <v xml:space="preserve"> ()</v>
      </c>
    </row>
    <row r="6824" spans="1:7" x14ac:dyDescent="0.3">
      <c r="A6824" s="1" t="s">
        <v>4</v>
      </c>
      <c r="B6824" s="2" t="str">
        <f t="shared" si="565"/>
        <v>BIBLIOTECAS GERAIS DO MV2000 E DO SGPS</v>
      </c>
      <c r="C6824" s="2" t="str">
        <f>""</f>
        <v/>
      </c>
      <c r="D6824" s="2" t="str">
        <f t="shared" si="566"/>
        <v>MV</v>
      </c>
      <c r="E6824" s="2" t="str">
        <f>"WIN_PRINCIPAL - HOSPITAL MV SISTEMAS"</f>
        <v>WIN_PRINCIPAL - HOSPITAL MV SISTEMAS</v>
      </c>
      <c r="F6824" s="2" t="str">
        <f>"GUIA_REPOSITORIO"</f>
        <v>GUIA_REPOSITORIO</v>
      </c>
      <c r="G6824" s="2" t="str">
        <f t="shared" si="567"/>
        <v xml:space="preserve"> ()</v>
      </c>
    </row>
    <row r="6825" spans="1:7" x14ac:dyDescent="0.3">
      <c r="A6825" s="1" t="s">
        <v>4</v>
      </c>
      <c r="B6825" s="2" t="str">
        <f t="shared" si="565"/>
        <v>BIBLIOTECAS GERAIS DO MV2000 E DO SGPS</v>
      </c>
      <c r="C6825" s="2" t="str">
        <f>""</f>
        <v/>
      </c>
      <c r="D6825" s="2" t="str">
        <f t="shared" si="566"/>
        <v>MV</v>
      </c>
      <c r="E6825" s="2" t="str">
        <f>"O_ANALISE_IMPACTO"</f>
        <v>O_ANALISE_IMPACTO</v>
      </c>
      <c r="F6825" s="2" t="str">
        <f>"O_ANALISE_IMPACTO"</f>
        <v>O_ANALISE_IMPACTO</v>
      </c>
      <c r="G6825" s="2" t="str">
        <f t="shared" si="567"/>
        <v xml:space="preserve"> ()</v>
      </c>
    </row>
    <row r="6826" spans="1:7" x14ac:dyDescent="0.3">
      <c r="A6826" s="1" t="s">
        <v>4</v>
      </c>
      <c r="B6826" s="2" t="str">
        <f t="shared" si="565"/>
        <v>BIBLIOTECAS GERAIS DO MV2000 E DO SGPS</v>
      </c>
      <c r="C6826" s="2" t="str">
        <f>""</f>
        <v/>
      </c>
      <c r="D6826" s="2" t="str">
        <f t="shared" si="566"/>
        <v>MV</v>
      </c>
      <c r="E6826" s="2" t="str">
        <f>"WIN_PRINCIPAL - HOSPITAL MV SISTEMAS"</f>
        <v>WIN_PRINCIPAL - HOSPITAL MV SISTEMAS</v>
      </c>
      <c r="F6826" s="2" t="str">
        <f>"MV2000PF_DEV_CAL"</f>
        <v>MV2000PF_DEV_CAL</v>
      </c>
      <c r="G6826" s="2" t="str">
        <f t="shared" si="567"/>
        <v xml:space="preserve"> ()</v>
      </c>
    </row>
    <row r="6827" spans="1:7" x14ac:dyDescent="0.3">
      <c r="A6827" s="1" t="s">
        <v>4</v>
      </c>
      <c r="B6827" s="2" t="str">
        <f t="shared" si="565"/>
        <v>BIBLIOTECAS GERAIS DO MV2000 E DO SGPS</v>
      </c>
      <c r="C6827" s="2" t="str">
        <f>""</f>
        <v/>
      </c>
      <c r="D6827" s="2" t="str">
        <f t="shared" si="566"/>
        <v>MV</v>
      </c>
      <c r="E6827" s="2" t="str">
        <f>"RELATÓRIO DE CONSUMO POR ESPÉCIE"</f>
        <v>RELATÓRIO DE CONSUMO POR ESPÉCIE</v>
      </c>
      <c r="F6827" s="2" t="str">
        <f>"R_CONSUMO_ESPECIE_IMV263"</f>
        <v>R_CONSUMO_ESPECIE_IMV263</v>
      </c>
      <c r="G6827" s="2" t="str">
        <f t="shared" si="567"/>
        <v xml:space="preserve"> ()</v>
      </c>
    </row>
    <row r="6828" spans="1:7" x14ac:dyDescent="0.3">
      <c r="A6828" s="1" t="s">
        <v>4</v>
      </c>
      <c r="B6828" s="2" t="str">
        <f t="shared" si="565"/>
        <v>BIBLIOTECAS GERAIS DO MV2000 E DO SGPS</v>
      </c>
      <c r="C6828" s="2" t="str">
        <f>""</f>
        <v/>
      </c>
      <c r="D6828" s="2" t="str">
        <f t="shared" si="566"/>
        <v>MV</v>
      </c>
      <c r="E6828" s="2" t="str">
        <f>"WIN_PRINCIPAL - HOSPITAL MV SISTEMAS"</f>
        <v>WIN_PRINCIPAL - HOSPITAL MV SISTEMAS</v>
      </c>
      <c r="F6828" s="2" t="str">
        <f>"C_PRODUTOS_INVENTARIO"</f>
        <v>C_PRODUTOS_INVENTARIO</v>
      </c>
      <c r="G6828" s="2" t="str">
        <f t="shared" si="567"/>
        <v xml:space="preserve"> ()</v>
      </c>
    </row>
    <row r="6829" spans="1:7" x14ac:dyDescent="0.3">
      <c r="A6829" s="1" t="s">
        <v>4</v>
      </c>
      <c r="B6829" s="2" t="str">
        <f t="shared" si="565"/>
        <v>BIBLIOTECAS GERAIS DO MV2000 E DO SGPS</v>
      </c>
      <c r="C6829" s="2" t="str">
        <f>""</f>
        <v/>
      </c>
      <c r="D6829" s="2" t="str">
        <f t="shared" si="566"/>
        <v>MV</v>
      </c>
      <c r="E6829" s="2" t="str">
        <f>"R_HISTORICO_REABERTURA"</f>
        <v>R_HISTORICO_REABERTURA</v>
      </c>
      <c r="F6829" s="2" t="str">
        <f>"R_HISTORICO_REABERTURA"</f>
        <v>R_HISTORICO_REABERTURA</v>
      </c>
      <c r="G6829" s="2" t="str">
        <f t="shared" si="567"/>
        <v xml:space="preserve"> ()</v>
      </c>
    </row>
    <row r="6830" spans="1:7" x14ac:dyDescent="0.3">
      <c r="A6830" s="1" t="s">
        <v>4</v>
      </c>
      <c r="B6830" s="2" t="str">
        <f t="shared" si="565"/>
        <v>BIBLIOTECAS GERAIS DO MV2000 E DO SGPS</v>
      </c>
      <c r="C6830" s="2" t="str">
        <f>""</f>
        <v/>
      </c>
      <c r="D6830" s="2" t="str">
        <f t="shared" si="566"/>
        <v>MV</v>
      </c>
      <c r="E6830" s="2" t="str">
        <f>"WIN_PRINCIPAL - TESTE"</f>
        <v>WIN_PRINCIPAL - TESTE</v>
      </c>
      <c r="F6830" s="2" t="str">
        <f>"M_PROIBICAO"</f>
        <v>M_PROIBICAO</v>
      </c>
      <c r="G6830" s="2" t="str">
        <f t="shared" si="567"/>
        <v xml:space="preserve"> ()</v>
      </c>
    </row>
    <row r="6831" spans="1:7" x14ac:dyDescent="0.3">
      <c r="A6831" s="1" t="s">
        <v>4</v>
      </c>
      <c r="B6831" s="2" t="str">
        <f t="shared" si="565"/>
        <v>BIBLIOTECAS GERAIS DO MV2000 E DO SGPS</v>
      </c>
      <c r="C6831" s="2" t="str">
        <f>""</f>
        <v/>
      </c>
      <c r="D6831" s="2" t="str">
        <f t="shared" si="566"/>
        <v>MV</v>
      </c>
      <c r="E6831" s="2" t="str">
        <f>"IMPORTA ARQUIVO HSCG X MV"</f>
        <v>IMPORTA ARQUIVO HSCG X MV</v>
      </c>
      <c r="F6831" s="2" t="str">
        <f>"M_IMPORTA"</f>
        <v>M_IMPORTA</v>
      </c>
      <c r="G6831" s="2" t="str">
        <f t="shared" si="567"/>
        <v xml:space="preserve"> ()</v>
      </c>
    </row>
    <row r="6832" spans="1:7" x14ac:dyDescent="0.3">
      <c r="A6832" s="1" t="s">
        <v>4</v>
      </c>
      <c r="B6832" s="2" t="str">
        <f t="shared" si="565"/>
        <v>BIBLIOTECAS GERAIS DO MV2000 E DO SGPS</v>
      </c>
      <c r="C6832" s="2" t="str">
        <f>""</f>
        <v/>
      </c>
      <c r="D6832" s="2" t="str">
        <f t="shared" si="566"/>
        <v>MV</v>
      </c>
      <c r="E6832" s="2" t="str">
        <f>"WIN_PRINCIPAL"</f>
        <v>WIN_PRINCIPAL</v>
      </c>
      <c r="F6832" s="2" t="str">
        <f>"TESTE_PALM"</f>
        <v>TESTE_PALM</v>
      </c>
      <c r="G6832" s="2" t="str">
        <f t="shared" si="567"/>
        <v xml:space="preserve"> ()</v>
      </c>
    </row>
    <row r="6833" spans="1:7" x14ac:dyDescent="0.3">
      <c r="A6833" s="1" t="s">
        <v>4</v>
      </c>
      <c r="B6833" s="2" t="str">
        <f t="shared" si="565"/>
        <v>BIBLIOTECAS GERAIS DO MV2000 E DO SGPS</v>
      </c>
      <c r="C6833" s="2" t="str">
        <f>""</f>
        <v/>
      </c>
      <c r="D6833" s="2" t="str">
        <f t="shared" si="566"/>
        <v>MV</v>
      </c>
      <c r="E6833" s="2" t="str">
        <f>"M_CONVERSAO"</f>
        <v>M_CONVERSAO</v>
      </c>
      <c r="F6833" s="2" t="str">
        <f>"M_CONVERSAO"</f>
        <v>M_CONVERSAO</v>
      </c>
      <c r="G6833" s="2" t="str">
        <f t="shared" si="567"/>
        <v xml:space="preserve"> ()</v>
      </c>
    </row>
    <row r="6834" spans="1:7" x14ac:dyDescent="0.3">
      <c r="A6834" s="1" t="s">
        <v>4</v>
      </c>
      <c r="B6834" s="2" t="str">
        <f t="shared" si="565"/>
        <v>BIBLIOTECAS GERAIS DO MV2000 E DO SGPS</v>
      </c>
      <c r="C6834" s="2" t="str">
        <f>""</f>
        <v/>
      </c>
      <c r="D6834" s="2" t="str">
        <f t="shared" si="566"/>
        <v>MV</v>
      </c>
      <c r="E6834" s="2" t="str">
        <f>"CONCILIAÇÃO AUTOMÁTICA"</f>
        <v>CONCILIAÇÃO AUTOMÁTICA</v>
      </c>
      <c r="F6834" s="2" t="str">
        <f>"M_CONCILIACAO_AUTOMATICA"</f>
        <v>M_CONCILIACAO_AUTOMATICA</v>
      </c>
      <c r="G6834" s="2" t="str">
        <f t="shared" si="567"/>
        <v xml:space="preserve"> ()</v>
      </c>
    </row>
    <row r="6835" spans="1:7" x14ac:dyDescent="0.3">
      <c r="A6835" s="1" t="s">
        <v>4</v>
      </c>
      <c r="B6835" s="2" t="str">
        <f t="shared" si="565"/>
        <v>BIBLIOTECAS GERAIS DO MV2000 E DO SGPS</v>
      </c>
      <c r="C6835" s="2" t="str">
        <f>""</f>
        <v/>
      </c>
      <c r="D6835" s="2" t="str">
        <f t="shared" si="566"/>
        <v>MV</v>
      </c>
      <c r="E6835" s="2" t="str">
        <f>"WIN_PRINCIPAL"</f>
        <v>WIN_PRINCIPAL</v>
      </c>
      <c r="F6835" s="2" t="str">
        <f>"MODULE1"</f>
        <v>MODULE1</v>
      </c>
      <c r="G6835" s="2" t="str">
        <f t="shared" si="567"/>
        <v xml:space="preserve"> ()</v>
      </c>
    </row>
    <row r="6836" spans="1:7" x14ac:dyDescent="0.3">
      <c r="A6836" s="1" t="s">
        <v>4</v>
      </c>
      <c r="B6836" s="2" t="str">
        <f t="shared" si="565"/>
        <v>BIBLIOTECAS GERAIS DO MV2000 E DO SGPS</v>
      </c>
      <c r="C6836" s="2" t="str">
        <f>""</f>
        <v/>
      </c>
      <c r="D6836" s="2" t="str">
        <f t="shared" si="566"/>
        <v>MV</v>
      </c>
      <c r="E6836" s="2" t="str">
        <f>"C_CONC_GLOSA"</f>
        <v>C_CONC_GLOSA</v>
      </c>
      <c r="F6836" s="2" t="str">
        <f>"C_CONC_GLOSA"</f>
        <v>C_CONC_GLOSA</v>
      </c>
      <c r="G6836" s="2" t="str">
        <f t="shared" si="567"/>
        <v xml:space="preserve"> ()</v>
      </c>
    </row>
    <row r="6837" spans="1:7" x14ac:dyDescent="0.3">
      <c r="A6837" s="1" t="s">
        <v>4</v>
      </c>
      <c r="B6837" s="2" t="str">
        <f t="shared" si="565"/>
        <v>BIBLIOTECAS GERAIS DO MV2000 E DO SGPS</v>
      </c>
      <c r="C6837" s="2" t="str">
        <f>""</f>
        <v/>
      </c>
      <c r="D6837" s="2" t="str">
        <f t="shared" si="566"/>
        <v>MV</v>
      </c>
      <c r="E6837" s="2" t="str">
        <f>"WIN_PRINCIPAL"</f>
        <v>WIN_PRINCIPAL</v>
      </c>
      <c r="F6837" s="2" t="str">
        <f>"TABELAS2"</f>
        <v>TABELAS2</v>
      </c>
      <c r="G6837" s="2" t="str">
        <f t="shared" si="567"/>
        <v xml:space="preserve"> ()</v>
      </c>
    </row>
    <row r="6838" spans="1:7" x14ac:dyDescent="0.3">
      <c r="A6838" s="1" t="s">
        <v>4</v>
      </c>
      <c r="B6838" s="2" t="str">
        <f t="shared" si="565"/>
        <v>BIBLIOTECAS GERAIS DO MV2000 E DO SGPS</v>
      </c>
      <c r="C6838" s="2" t="str">
        <f>""</f>
        <v/>
      </c>
      <c r="D6838" s="2" t="str">
        <f t="shared" si="566"/>
        <v>MV</v>
      </c>
      <c r="E6838" s="2" t="str">
        <f>"WIN_PRINCIPAL"</f>
        <v>WIN_PRINCIPAL</v>
      </c>
      <c r="F6838" s="2" t="str">
        <f>"TABELAS"</f>
        <v>TABELAS</v>
      </c>
      <c r="G6838" s="2" t="str">
        <f t="shared" si="567"/>
        <v xml:space="preserve"> ()</v>
      </c>
    </row>
    <row r="6839" spans="1:7" x14ac:dyDescent="0.3">
      <c r="A6839" s="1" t="s">
        <v>4</v>
      </c>
      <c r="B6839" s="2" t="str">
        <f t="shared" si="565"/>
        <v>BIBLIOTECAS GERAIS DO MV2000 E DO SGPS</v>
      </c>
      <c r="C6839" s="2" t="str">
        <f>""</f>
        <v/>
      </c>
      <c r="D6839" s="2" t="str">
        <f t="shared" si="566"/>
        <v>MV</v>
      </c>
      <c r="E6839" s="2" t="str">
        <f>"WIN_PRINCIPAL"</f>
        <v>WIN_PRINCIPAL</v>
      </c>
      <c r="F6839" s="2" t="str">
        <f>"PADRAO"</f>
        <v>PADRAO</v>
      </c>
      <c r="G6839" s="2" t="str">
        <f t="shared" si="567"/>
        <v xml:space="preserve"> ()</v>
      </c>
    </row>
    <row r="6840" spans="1:7" x14ac:dyDescent="0.3">
      <c r="A6840" s="1" t="s">
        <v>4</v>
      </c>
      <c r="B6840" s="2" t="str">
        <f t="shared" si="565"/>
        <v>BIBLIOTECAS GERAIS DO MV2000 E DO SGPS</v>
      </c>
      <c r="C6840" s="2" t="str">
        <f>""</f>
        <v/>
      </c>
      <c r="D6840" s="2" t="str">
        <f t="shared" si="566"/>
        <v>MV</v>
      </c>
      <c r="E6840" s="2" t="str">
        <f>"SETOR EXAME PADRÃO"</f>
        <v>SETOR EXAME PADRÃO</v>
      </c>
      <c r="F6840" s="2" t="str">
        <f>"SET_EXA_PAD"</f>
        <v>SET_EXA_PAD</v>
      </c>
      <c r="G6840" s="2" t="str">
        <f t="shared" si="567"/>
        <v xml:space="preserve"> ()</v>
      </c>
    </row>
    <row r="6841" spans="1:7" x14ac:dyDescent="0.3">
      <c r="A6841" s="1" t="s">
        <v>4</v>
      </c>
      <c r="B6841" s="2" t="str">
        <f t="shared" si="565"/>
        <v>BIBLIOTECAS GERAIS DO MV2000 E DO SGPS</v>
      </c>
      <c r="C6841" s="2" t="str">
        <f>""</f>
        <v/>
      </c>
      <c r="D6841" s="2" t="str">
        <f t="shared" si="566"/>
        <v>MV</v>
      </c>
      <c r="E6841" s="2" t="str">
        <f>"RELATÓRIO CONTAS A PAGAR"</f>
        <v>RELATÓRIO CONTAS A PAGAR</v>
      </c>
      <c r="F6841" s="2" t="str">
        <f>"R_COP_CHEQ"</f>
        <v>R_COP_CHEQ</v>
      </c>
      <c r="G6841" s="2" t="str">
        <f t="shared" si="567"/>
        <v xml:space="preserve"> ()</v>
      </c>
    </row>
    <row r="6842" spans="1:7" x14ac:dyDescent="0.3">
      <c r="A6842" s="1" t="s">
        <v>4</v>
      </c>
      <c r="B6842" s="2" t="str">
        <f t="shared" si="565"/>
        <v>BIBLIOTECAS GERAIS DO MV2000 E DO SGPS</v>
      </c>
      <c r="C6842" s="2" t="str">
        <f>""</f>
        <v/>
      </c>
      <c r="D6842" s="2" t="str">
        <f t="shared" si="566"/>
        <v>MV</v>
      </c>
      <c r="E6842" s="2" t="str">
        <f>"RELATÓRIO CONTAS A PAGAR"</f>
        <v>RELATÓRIO CONTAS A PAGAR</v>
      </c>
      <c r="F6842" s="2" t="str">
        <f>"R_BOR_UNIB"</f>
        <v>R_BOR_UNIB</v>
      </c>
      <c r="G6842" s="2" t="str">
        <f t="shared" si="567"/>
        <v xml:space="preserve"> ()</v>
      </c>
    </row>
    <row r="6843" spans="1:7" x14ac:dyDescent="0.3">
      <c r="A6843" s="1" t="s">
        <v>4</v>
      </c>
      <c r="B6843" s="2" t="str">
        <f t="shared" si="565"/>
        <v>BIBLIOTECAS GERAIS DO MV2000 E DO SGPS</v>
      </c>
      <c r="C6843" s="2" t="str">
        <f>""</f>
        <v/>
      </c>
      <c r="D6843" s="2" t="str">
        <f t="shared" si="566"/>
        <v>MV</v>
      </c>
      <c r="E6843" s="2" t="str">
        <f>"WIN_PRINCIPAL - HOSPITAL MV SISTEMAS"</f>
        <v>WIN_PRINCIPAL - HOSPITAL MV SISTEMAS</v>
      </c>
      <c r="F6843" s="2" t="str">
        <f>"M_PROC_FATURA_DIRETA9"</f>
        <v>M_PROC_FATURA_DIRETA9</v>
      </c>
      <c r="G6843" s="2" t="str">
        <f t="shared" si="567"/>
        <v xml:space="preserve"> ()</v>
      </c>
    </row>
    <row r="6844" spans="1:7" x14ac:dyDescent="0.3">
      <c r="A6844" s="1" t="s">
        <v>4</v>
      </c>
      <c r="B6844" s="2" t="str">
        <f t="shared" si="565"/>
        <v>BIBLIOTECAS GERAIS DO MV2000 E DO SGPS</v>
      </c>
      <c r="C6844" s="2" t="str">
        <f>""</f>
        <v/>
      </c>
      <c r="D6844" s="2" t="str">
        <f t="shared" si="566"/>
        <v>MV</v>
      </c>
      <c r="E6844" s="2" t="str">
        <f>"WIN_PRINCIPAL - HOSPITAL MV SISTEMAS"</f>
        <v>WIN_PRINCIPAL - HOSPITAL MV SISTEMAS</v>
      </c>
      <c r="F6844" s="2" t="str">
        <f>"M_PROC_FATURA_DIRETA4"</f>
        <v>M_PROC_FATURA_DIRETA4</v>
      </c>
      <c r="G6844" s="2" t="str">
        <f t="shared" si="567"/>
        <v xml:space="preserve"> ()</v>
      </c>
    </row>
    <row r="6845" spans="1:7" x14ac:dyDescent="0.3">
      <c r="A6845" s="1" t="s">
        <v>4</v>
      </c>
      <c r="B6845" s="2" t="str">
        <f t="shared" si="565"/>
        <v>BIBLIOTECAS GERAIS DO MV2000 E DO SGPS</v>
      </c>
      <c r="C6845" s="2" t="str">
        <f>""</f>
        <v/>
      </c>
      <c r="D6845" s="2" t="str">
        <f t="shared" si="566"/>
        <v>MV</v>
      </c>
      <c r="E6845" s="2" t="str">
        <f>"WIN_PRINCIPAL - HOSPITAL MV SISTEMAS"</f>
        <v>WIN_PRINCIPAL - HOSPITAL MV SISTEMAS</v>
      </c>
      <c r="F6845" s="2" t="str">
        <f>"M_PROC_FATURA_DIRETA3"</f>
        <v>M_PROC_FATURA_DIRETA3</v>
      </c>
      <c r="G6845" s="2" t="str">
        <f t="shared" si="567"/>
        <v xml:space="preserve"> ()</v>
      </c>
    </row>
    <row r="6846" spans="1:7" x14ac:dyDescent="0.3">
      <c r="A6846" s="1" t="s">
        <v>4</v>
      </c>
      <c r="B6846" s="2" t="str">
        <f t="shared" si="565"/>
        <v>BIBLIOTECAS GERAIS DO MV2000 E DO SGPS</v>
      </c>
      <c r="C6846" s="2" t="str">
        <f>""</f>
        <v/>
      </c>
      <c r="D6846" s="2" t="str">
        <f t="shared" si="566"/>
        <v>MV</v>
      </c>
      <c r="E6846" s="2" t="str">
        <f>"WIN_PRINCIPAL - HOSPITAL MV SISTEMAS"</f>
        <v>WIN_PRINCIPAL - HOSPITAL MV SISTEMAS</v>
      </c>
      <c r="F6846" s="2" t="str">
        <f>"M_PROC_FATURA_DIRETA2"</f>
        <v>M_PROC_FATURA_DIRETA2</v>
      </c>
      <c r="G6846" s="2" t="str">
        <f t="shared" si="567"/>
        <v xml:space="preserve"> ()</v>
      </c>
    </row>
    <row r="6847" spans="1:7" x14ac:dyDescent="0.3">
      <c r="A6847" s="1" t="s">
        <v>4</v>
      </c>
      <c r="B6847" s="2" t="str">
        <f t="shared" si="565"/>
        <v>BIBLIOTECAS GERAIS DO MV2000 E DO SGPS</v>
      </c>
      <c r="C6847" s="2" t="str">
        <f>""</f>
        <v/>
      </c>
      <c r="D6847" s="2" t="str">
        <f t="shared" si="566"/>
        <v>MV</v>
      </c>
      <c r="E6847" s="2" t="str">
        <f>"M_TIPO_ESTERILIZACAO"</f>
        <v>M_TIPO_ESTERILIZACAO</v>
      </c>
      <c r="F6847" s="2" t="str">
        <f>"M_TIPO_ESTERILIZACAO"</f>
        <v>M_TIPO_ESTERILIZACAO</v>
      </c>
      <c r="G6847" s="2" t="str">
        <f t="shared" si="567"/>
        <v xml:space="preserve"> ()</v>
      </c>
    </row>
    <row r="6848" spans="1:7" x14ac:dyDescent="0.3">
      <c r="A6848" s="1" t="s">
        <v>4</v>
      </c>
      <c r="B6848" s="2" t="str">
        <f t="shared" si="565"/>
        <v>BIBLIOTECAS GERAIS DO MV2000 E DO SGPS</v>
      </c>
      <c r="C6848" s="2" t="str">
        <f>""</f>
        <v/>
      </c>
      <c r="D6848" s="2" t="str">
        <f t="shared" si="566"/>
        <v>MV</v>
      </c>
      <c r="E6848" s="2" t="str">
        <f>"WIN_PRINCIPAL - HOSPITAL MV SISTEMAS"</f>
        <v>WIN_PRINCIPAL - HOSPITAL MV SISTEMAS</v>
      </c>
      <c r="F6848" s="2" t="str">
        <f>"M_CONSULTA_TRANSFERENCIA"</f>
        <v>M_CONSULTA_TRANSFERENCIA</v>
      </c>
      <c r="G6848" s="2" t="str">
        <f t="shared" si="567"/>
        <v xml:space="preserve"> ()</v>
      </c>
    </row>
    <row r="6849" spans="1:7" x14ac:dyDescent="0.3">
      <c r="A6849" s="1" t="s">
        <v>4</v>
      </c>
      <c r="B6849" s="2" t="str">
        <f t="shared" si="565"/>
        <v>BIBLIOTECAS GERAIS DO MV2000 E DO SGPS</v>
      </c>
      <c r="C6849" s="2" t="str">
        <f>""</f>
        <v/>
      </c>
      <c r="D6849" s="2" t="str">
        <f t="shared" si="566"/>
        <v>MV</v>
      </c>
      <c r="E6849" s="2" t="str">
        <f>"WIN_PRINCIPAL - HOSPITAL MV SISTEMAS"</f>
        <v>WIN_PRINCIPAL - HOSPITAL MV SISTEMAS</v>
      </c>
      <c r="F6849" s="2" t="str">
        <f>"TESTE_RESULTADOS_EXAME"</f>
        <v>TESTE_RESULTADOS_EXAME</v>
      </c>
      <c r="G6849" s="2" t="str">
        <f t="shared" si="567"/>
        <v xml:space="preserve"> ()</v>
      </c>
    </row>
    <row r="6850" spans="1:7" x14ac:dyDescent="0.3">
      <c r="A6850" s="1" t="s">
        <v>4</v>
      </c>
      <c r="B6850" s="2" t="str">
        <f t="shared" si="565"/>
        <v>BIBLIOTECAS GERAIS DO MV2000 E DO SGPS</v>
      </c>
      <c r="C6850" s="2" t="str">
        <f>""</f>
        <v/>
      </c>
      <c r="D6850" s="2" t="str">
        <f t="shared" si="566"/>
        <v>MV</v>
      </c>
      <c r="E6850" s="2" t="str">
        <f>"M_CONSULTA_PRESTADOR_EXT"</f>
        <v>M_CONSULTA_PRESTADOR_EXT</v>
      </c>
      <c r="F6850" s="2" t="str">
        <f>"M_CONSULTA_PRESTADOR_EXT"</f>
        <v>M_CONSULTA_PRESTADOR_EXT</v>
      </c>
      <c r="G6850" s="2" t="str">
        <f t="shared" si="567"/>
        <v xml:space="preserve"> ()</v>
      </c>
    </row>
    <row r="6851" spans="1:7" x14ac:dyDescent="0.3">
      <c r="A6851" s="1" t="s">
        <v>4</v>
      </c>
      <c r="B6851" s="2" t="str">
        <f t="shared" si="565"/>
        <v>BIBLIOTECAS GERAIS DO MV2000 E DO SGPS</v>
      </c>
      <c r="C6851" s="2" t="str">
        <f>""</f>
        <v/>
      </c>
      <c r="D6851" s="2" t="str">
        <f t="shared" si="566"/>
        <v>MV</v>
      </c>
      <c r="E6851" s="2" t="str">
        <f t="shared" ref="E6851:E6856" si="568">"WIN_PRINCIPAL - HOSPITAL MV SISTEMAS"</f>
        <v>WIN_PRINCIPAL - HOSPITAL MV SISTEMAS</v>
      </c>
      <c r="F6851" s="2" t="str">
        <f>"M_RECEBE_SOL_NOVO"</f>
        <v>M_RECEBE_SOL_NOVO</v>
      </c>
      <c r="G6851" s="2" t="str">
        <f t="shared" si="567"/>
        <v xml:space="preserve"> ()</v>
      </c>
    </row>
    <row r="6852" spans="1:7" x14ac:dyDescent="0.3">
      <c r="A6852" s="1" t="s">
        <v>4</v>
      </c>
      <c r="B6852" s="2" t="str">
        <f t="shared" si="565"/>
        <v>BIBLIOTECAS GERAIS DO MV2000 E DO SGPS</v>
      </c>
      <c r="C6852" s="2" t="str">
        <f>""</f>
        <v/>
      </c>
      <c r="D6852" s="2" t="str">
        <f t="shared" si="566"/>
        <v>MV</v>
      </c>
      <c r="E6852" s="2" t="str">
        <f t="shared" si="568"/>
        <v>WIN_PRINCIPAL - HOSPITAL MV SISTEMAS</v>
      </c>
      <c r="F6852" s="2" t="str">
        <f>"MODULE4"</f>
        <v>MODULE4</v>
      </c>
      <c r="G6852" s="2" t="str">
        <f t="shared" si="567"/>
        <v xml:space="preserve"> ()</v>
      </c>
    </row>
    <row r="6853" spans="1:7" x14ac:dyDescent="0.3">
      <c r="A6853" s="1" t="s">
        <v>4</v>
      </c>
      <c r="B6853" s="2" t="str">
        <f t="shared" si="565"/>
        <v>BIBLIOTECAS GERAIS DO MV2000 E DO SGPS</v>
      </c>
      <c r="C6853" s="2" t="str">
        <f>""</f>
        <v/>
      </c>
      <c r="D6853" s="2" t="str">
        <f t="shared" si="566"/>
        <v>MV</v>
      </c>
      <c r="E6853" s="2" t="str">
        <f t="shared" si="568"/>
        <v>WIN_PRINCIPAL - HOSPITAL MV SISTEMAS</v>
      </c>
      <c r="F6853" s="2" t="str">
        <f>"M_CONFIG_FORNECEDOR_COND_PAGAMENTO"</f>
        <v>M_CONFIG_FORNECEDOR_COND_PAGAMENTO</v>
      </c>
      <c r="G6853" s="2" t="str">
        <f t="shared" si="567"/>
        <v xml:space="preserve"> ()</v>
      </c>
    </row>
    <row r="6854" spans="1:7" x14ac:dyDescent="0.3">
      <c r="A6854" s="1" t="s">
        <v>4</v>
      </c>
      <c r="B6854" s="2" t="str">
        <f t="shared" si="565"/>
        <v>BIBLIOTECAS GERAIS DO MV2000 E DO SGPS</v>
      </c>
      <c r="C6854" s="2" t="str">
        <f>""</f>
        <v/>
      </c>
      <c r="D6854" s="2" t="str">
        <f t="shared" si="566"/>
        <v>MV</v>
      </c>
      <c r="E6854" s="2" t="str">
        <f t="shared" si="568"/>
        <v>WIN_PRINCIPAL - HOSPITAL MV SISTEMAS</v>
      </c>
      <c r="F6854" s="2" t="str">
        <f>"TRATAMENTO"</f>
        <v>TRATAMENTO</v>
      </c>
      <c r="G6854" s="2" t="str">
        <f t="shared" si="567"/>
        <v xml:space="preserve"> ()</v>
      </c>
    </row>
    <row r="6855" spans="1:7" x14ac:dyDescent="0.3">
      <c r="A6855" s="1" t="s">
        <v>4</v>
      </c>
      <c r="B6855" s="2" t="str">
        <f t="shared" si="565"/>
        <v>BIBLIOTECAS GERAIS DO MV2000 E DO SGPS</v>
      </c>
      <c r="C6855" s="2" t="str">
        <f>""</f>
        <v/>
      </c>
      <c r="D6855" s="2" t="str">
        <f t="shared" si="566"/>
        <v>MV</v>
      </c>
      <c r="E6855" s="2" t="str">
        <f t="shared" si="568"/>
        <v>WIN_PRINCIPAL - HOSPITAL MV SISTEMAS</v>
      </c>
      <c r="F6855" s="2" t="str">
        <f>"M_CONFIG_FATURA_DIRETA"</f>
        <v>M_CONFIG_FATURA_DIRETA</v>
      </c>
      <c r="G6855" s="2" t="str">
        <f t="shared" si="567"/>
        <v xml:space="preserve"> ()</v>
      </c>
    </row>
    <row r="6856" spans="1:7" x14ac:dyDescent="0.3">
      <c r="A6856" s="1" t="s">
        <v>4</v>
      </c>
      <c r="B6856" s="2" t="str">
        <f t="shared" si="565"/>
        <v>BIBLIOTECAS GERAIS DO MV2000 E DO SGPS</v>
      </c>
      <c r="C6856" s="2" t="str">
        <f>""</f>
        <v/>
      </c>
      <c r="D6856" s="2" t="str">
        <f t="shared" si="566"/>
        <v>MV</v>
      </c>
      <c r="E6856" s="2" t="str">
        <f t="shared" si="568"/>
        <v>WIN_PRINCIPAL - HOSPITAL MV SISTEMAS</v>
      </c>
      <c r="F6856" s="2" t="str">
        <f>"C_ITPREMED"</f>
        <v>C_ITPREMED</v>
      </c>
      <c r="G6856" s="2" t="str">
        <f t="shared" si="567"/>
        <v xml:space="preserve"> ()</v>
      </c>
    </row>
    <row r="6857" spans="1:7" x14ac:dyDescent="0.3">
      <c r="A6857" s="1" t="s">
        <v>4</v>
      </c>
      <c r="B6857" s="2" t="str">
        <f t="shared" si="565"/>
        <v>BIBLIOTECAS GERAIS DO MV2000 E DO SGPS</v>
      </c>
      <c r="C6857" s="2" t="str">
        <f>""</f>
        <v/>
      </c>
      <c r="D6857" s="2" t="str">
        <f t="shared" si="566"/>
        <v>MV</v>
      </c>
      <c r="E6857" s="2" t="str">
        <f>"M_SOLCOM_ANTIGO"</f>
        <v>M_SOLCOM_ANTIGO</v>
      </c>
      <c r="F6857" s="2" t="str">
        <f>"M_SOLCOM_ANTIGO"</f>
        <v>M_SOLCOM_ANTIGO</v>
      </c>
      <c r="G6857" s="2" t="str">
        <f t="shared" si="567"/>
        <v xml:space="preserve"> ()</v>
      </c>
    </row>
    <row r="6858" spans="1:7" x14ac:dyDescent="0.3">
      <c r="A6858" s="1" t="s">
        <v>4</v>
      </c>
      <c r="B6858" s="2" t="str">
        <f t="shared" si="565"/>
        <v>BIBLIOTECAS GERAIS DO MV2000 E DO SGPS</v>
      </c>
      <c r="C6858" s="2" t="str">
        <f>""</f>
        <v/>
      </c>
      <c r="D6858" s="2" t="str">
        <f t="shared" si="566"/>
        <v>MV</v>
      </c>
      <c r="E6858" s="2" t="str">
        <f>"RELATÓRIO DE MOTIVOS DE LANÇAMENTO"</f>
        <v>RELATÓRIO DE MOTIVOS DE LANÇAMENTO</v>
      </c>
      <c r="F6858" s="2" t="str">
        <f>"R_MOTIVO_LANCAMENTO"</f>
        <v>R_MOTIVO_LANCAMENTO</v>
      </c>
      <c r="G6858" s="2" t="str">
        <f t="shared" si="567"/>
        <v xml:space="preserve"> ()</v>
      </c>
    </row>
    <row r="6859" spans="1:7" x14ac:dyDescent="0.3">
      <c r="A6859" s="1" t="s">
        <v>4</v>
      </c>
      <c r="B6859" s="2" t="str">
        <f t="shared" si="565"/>
        <v>BIBLIOTECAS GERAIS DO MV2000 E DO SGPS</v>
      </c>
      <c r="C6859" s="2" t="str">
        <f>""</f>
        <v/>
      </c>
      <c r="D6859" s="2" t="str">
        <f t="shared" si="566"/>
        <v>MV</v>
      </c>
      <c r="E6859" s="2" t="str">
        <f>"MOTIVOS DE LANÇAMENTO"</f>
        <v>MOTIVOS DE LANÇAMENTO</v>
      </c>
      <c r="F6859" s="2" t="str">
        <f>"M_MOTIVO_LANCAMENTO"</f>
        <v>M_MOTIVO_LANCAMENTO</v>
      </c>
      <c r="G6859" s="2" t="str">
        <f t="shared" si="567"/>
        <v xml:space="preserve"> ()</v>
      </c>
    </row>
    <row r="6860" spans="1:7" x14ac:dyDescent="0.3">
      <c r="A6860" s="1" t="s">
        <v>4</v>
      </c>
      <c r="B6860" s="2" t="str">
        <f t="shared" si="565"/>
        <v>BIBLIOTECAS GERAIS DO MV2000 E DO SGPS</v>
      </c>
      <c r="C6860" s="2" t="str">
        <f>""</f>
        <v/>
      </c>
      <c r="D6860" s="2" t="str">
        <f t="shared" si="566"/>
        <v>MV</v>
      </c>
      <c r="E6860" s="2" t="str">
        <f>"WIN_PRINCIPAL"</f>
        <v>WIN_PRINCIPAL</v>
      </c>
      <c r="F6860" s="2" t="str">
        <f>"LIRA"</f>
        <v>LIRA</v>
      </c>
      <c r="G6860" s="2" t="str">
        <f t="shared" si="567"/>
        <v xml:space="preserve"> ()</v>
      </c>
    </row>
    <row r="6861" spans="1:7" x14ac:dyDescent="0.3">
      <c r="A6861" s="1" t="s">
        <v>4</v>
      </c>
      <c r="B6861" s="2" t="str">
        <f t="shared" si="565"/>
        <v>BIBLIOTECAS GERAIS DO MV2000 E DO SGPS</v>
      </c>
      <c r="C6861" s="2" t="str">
        <f>""</f>
        <v/>
      </c>
      <c r="D6861" s="2" t="str">
        <f t="shared" si="566"/>
        <v>MV</v>
      </c>
      <c r="E6861" s="2" t="str">
        <f>"WIN_PRINCIPAL"</f>
        <v>WIN_PRINCIPAL</v>
      </c>
      <c r="F6861" s="2" t="str">
        <f>"R_BOLETO_PREIMPRESSO_BB"</f>
        <v>R_BOLETO_PREIMPRESSO_BB</v>
      </c>
      <c r="G6861" s="2" t="str">
        <f t="shared" si="567"/>
        <v xml:space="preserve"> ()</v>
      </c>
    </row>
    <row r="6862" spans="1:7" x14ac:dyDescent="0.3">
      <c r="A6862" s="1" t="s">
        <v>4</v>
      </c>
      <c r="B6862" s="2" t="str">
        <f t="shared" si="565"/>
        <v>BIBLIOTECAS GERAIS DO MV2000 E DO SGPS</v>
      </c>
      <c r="C6862" s="2" t="str">
        <f>""</f>
        <v/>
      </c>
      <c r="D6862" s="2" t="str">
        <f t="shared" si="566"/>
        <v>MV</v>
      </c>
      <c r="E6862" s="2" t="str">
        <f>"WIN_PRINCIPAL"</f>
        <v>WIN_PRINCIPAL</v>
      </c>
      <c r="F6862" s="2" t="str">
        <f>"R_LCTO_PATRIMONIO_CTA_CONTABIL"</f>
        <v>R_LCTO_PATRIMONIO_CTA_CONTABIL</v>
      </c>
      <c r="G6862" s="2" t="str">
        <f t="shared" si="567"/>
        <v xml:space="preserve"> ()</v>
      </c>
    </row>
    <row r="6863" spans="1:7" x14ac:dyDescent="0.3">
      <c r="A6863" s="1" t="s">
        <v>4</v>
      </c>
      <c r="B6863" s="2" t="str">
        <f t="shared" si="565"/>
        <v>BIBLIOTECAS GERAIS DO MV2000 E DO SGPS</v>
      </c>
      <c r="C6863" s="2" t="str">
        <f>""</f>
        <v/>
      </c>
      <c r="D6863" s="2" t="str">
        <f t="shared" si="566"/>
        <v>MV</v>
      </c>
      <c r="E6863" s="2" t="str">
        <f>"ALTERAÇÃO DE SUBCLASSIFICAÇÕES DOS BENS"</f>
        <v>ALTERAÇÃO DE SUBCLASSIFICAÇÕES DOS BENS</v>
      </c>
      <c r="F6863" s="2" t="str">
        <f>"M_ALTERACAO_SUBCLA"</f>
        <v>M_ALTERACAO_SUBCLA</v>
      </c>
      <c r="G6863" s="2" t="str">
        <f t="shared" si="567"/>
        <v xml:space="preserve"> ()</v>
      </c>
    </row>
    <row r="6864" spans="1:7" x14ac:dyDescent="0.3">
      <c r="A6864" s="1" t="s">
        <v>4</v>
      </c>
      <c r="B6864" s="2" t="str">
        <f t="shared" ref="B6864:B6932" si="569">"BIBLIOTECAS GERAIS DO MV2000 E DO SGPS"</f>
        <v>BIBLIOTECAS GERAIS DO MV2000 E DO SGPS</v>
      </c>
      <c r="C6864" s="2" t="str">
        <f>""</f>
        <v/>
      </c>
      <c r="D6864" s="2" t="str">
        <f t="shared" ref="D6864:D6932" si="570">"MV"</f>
        <v>MV</v>
      </c>
      <c r="E6864" s="2" t="str">
        <f>"CONFIGURAÇÃO DE PROCESSOS"</f>
        <v>CONFIGURAÇÃO DE PROCESSOS</v>
      </c>
      <c r="F6864" s="2" t="str">
        <f>"M_CONFIG_207"</f>
        <v>M_CONFIG_207</v>
      </c>
      <c r="G6864" s="2" t="str">
        <f t="shared" si="567"/>
        <v xml:space="preserve"> ()</v>
      </c>
    </row>
    <row r="6865" spans="1:7" x14ac:dyDescent="0.3">
      <c r="A6865" s="1" t="s">
        <v>4</v>
      </c>
      <c r="B6865" s="2" t="str">
        <f t="shared" si="569"/>
        <v>BIBLIOTECAS GERAIS DO MV2000 E DO SGPS</v>
      </c>
      <c r="C6865" s="2" t="str">
        <f>""</f>
        <v/>
      </c>
      <c r="D6865" s="2" t="str">
        <f t="shared" si="570"/>
        <v>MV</v>
      </c>
      <c r="E6865" s="2" t="str">
        <f>"M_USUARIO_TP_FORNECEDOR"</f>
        <v>M_USUARIO_TP_FORNECEDOR</v>
      </c>
      <c r="F6865" s="2" t="str">
        <f>"M_USUARIO_TP_FORNECEDOR"</f>
        <v>M_USUARIO_TP_FORNECEDOR</v>
      </c>
      <c r="G6865" s="2" t="str">
        <f t="shared" si="567"/>
        <v xml:space="preserve"> ()</v>
      </c>
    </row>
    <row r="6866" spans="1:7" x14ac:dyDescent="0.3">
      <c r="A6866" s="1" t="s">
        <v>4</v>
      </c>
      <c r="B6866" s="2" t="str">
        <f t="shared" si="569"/>
        <v>BIBLIOTECAS GERAIS DO MV2000 E DO SGPS</v>
      </c>
      <c r="C6866" s="2" t="str">
        <f>""</f>
        <v/>
      </c>
      <c r="D6866" s="2" t="str">
        <f t="shared" si="570"/>
        <v>MV</v>
      </c>
      <c r="E6866" s="2" t="str">
        <f>"ETIQUETAS DE PRESTADORES"</f>
        <v>ETIQUETAS DE PRESTADORES</v>
      </c>
      <c r="F6866" s="2" t="str">
        <f>"R_ETQ_PRESTADORES"</f>
        <v>R_ETQ_PRESTADORES</v>
      </c>
      <c r="G6866" s="2" t="str">
        <f>"MVSaude / Relatórios / Operacionais / Etiquetas para Mala Direta / Prestadores (R_ETQ_PRESTADORES)"</f>
        <v>MVSaude / Relatórios / Operacionais / Etiquetas para Mala Direta / Prestadores (R_ETQ_PRESTADORES)</v>
      </c>
    </row>
    <row r="6867" spans="1:7" x14ac:dyDescent="0.3">
      <c r="A6867" s="1" t="s">
        <v>4</v>
      </c>
      <c r="B6867" s="2" t="str">
        <f t="shared" si="569"/>
        <v>BIBLIOTECAS GERAIS DO MV2000 E DO SGPS</v>
      </c>
      <c r="C6867" s="2" t="str">
        <f>""</f>
        <v/>
      </c>
      <c r="D6867" s="2" t="str">
        <f t="shared" si="570"/>
        <v>MV</v>
      </c>
      <c r="E6867" s="2" t="str">
        <f>"ORACLE FORMS RUNTIME"</f>
        <v>ORACLE FORMS RUNTIME</v>
      </c>
      <c r="F6867" s="2" t="str">
        <f>"R_DES_MEDICO"</f>
        <v>R_DES_MEDICO</v>
      </c>
      <c r="G6867" s="2" t="str">
        <f t="shared" ref="G6867:G6874" si="571">" ()"</f>
        <v xml:space="preserve"> ()</v>
      </c>
    </row>
    <row r="6868" spans="1:7" x14ac:dyDescent="0.3">
      <c r="A6868" s="1" t="s">
        <v>4</v>
      </c>
      <c r="B6868" s="2" t="str">
        <f t="shared" si="569"/>
        <v>BIBLIOTECAS GERAIS DO MV2000 E DO SGPS</v>
      </c>
      <c r="C6868" s="2" t="str">
        <f>""</f>
        <v/>
      </c>
      <c r="D6868" s="2" t="str">
        <f t="shared" si="570"/>
        <v>MV</v>
      </c>
      <c r="E6868" s="2" t="str">
        <f>"ORACLE FORMS RUNTIME"</f>
        <v>ORACLE FORMS RUNTIME</v>
      </c>
      <c r="F6868" s="2" t="str">
        <f>"F_PROCEDIMENTO_ORIGEM"</f>
        <v>F_PROCEDIMENTO_ORIGEM</v>
      </c>
      <c r="G6868" s="2" t="str">
        <f t="shared" si="571"/>
        <v xml:space="preserve"> ()</v>
      </c>
    </row>
    <row r="6869" spans="1:7" x14ac:dyDescent="0.3">
      <c r="A6869" s="1" t="s">
        <v>4</v>
      </c>
      <c r="B6869" s="2" t="str">
        <f t="shared" si="569"/>
        <v>BIBLIOTECAS GERAIS DO MV2000 E DO SGPS</v>
      </c>
      <c r="C6869" s="2" t="str">
        <f>""</f>
        <v/>
      </c>
      <c r="D6869" s="2" t="str">
        <f t="shared" si="570"/>
        <v>MV</v>
      </c>
      <c r="E6869" s="2" t="str">
        <f>"ORACLE FORMS RUNTIME"</f>
        <v>ORACLE FORMS RUNTIME</v>
      </c>
      <c r="F6869" s="2" t="str">
        <f>"R_CIRURGIAS_POR_ESPECIALIDADE"</f>
        <v>R_CIRURGIAS_POR_ESPECIALIDADE</v>
      </c>
      <c r="G6869" s="2" t="str">
        <f t="shared" si="571"/>
        <v xml:space="preserve"> ()</v>
      </c>
    </row>
    <row r="6870" spans="1:7" x14ac:dyDescent="0.3">
      <c r="A6870" s="1" t="s">
        <v>4</v>
      </c>
      <c r="B6870" s="2" t="str">
        <f t="shared" si="569"/>
        <v>BIBLIOTECAS GERAIS DO MV2000 E DO SGPS</v>
      </c>
      <c r="C6870" s="2" t="str">
        <f>""</f>
        <v/>
      </c>
      <c r="D6870" s="2" t="str">
        <f t="shared" si="570"/>
        <v>MV</v>
      </c>
      <c r="E6870" s="2" t="str">
        <f>"ORACLE FORMS RUNTIME"</f>
        <v>ORACLE FORMS RUNTIME</v>
      </c>
      <c r="F6870" s="2" t="str">
        <f>"R_CIRURGIA_POR_ESPECIALIDADE"</f>
        <v>R_CIRURGIA_POR_ESPECIALIDADE</v>
      </c>
      <c r="G6870" s="2" t="str">
        <f t="shared" si="571"/>
        <v xml:space="preserve"> ()</v>
      </c>
    </row>
    <row r="6871" spans="1:7" x14ac:dyDescent="0.3">
      <c r="A6871" s="1" t="s">
        <v>4</v>
      </c>
      <c r="B6871" s="2" t="str">
        <f t="shared" si="569"/>
        <v>BIBLIOTECAS GERAIS DO MV2000 E DO SGPS</v>
      </c>
      <c r="C6871" s="2" t="str">
        <f>""</f>
        <v/>
      </c>
      <c r="D6871" s="2" t="str">
        <f t="shared" si="570"/>
        <v>MV</v>
      </c>
      <c r="E6871" s="2" t="str">
        <f>"DEMONSTRATIVOS DE DESPESAS"</f>
        <v>DEMONSTRATIVOS DE DESPESAS</v>
      </c>
      <c r="F6871" s="2" t="str">
        <f>"R_DEMONSTRATIVO_DESPESAS"</f>
        <v>R_DEMONSTRATIVO_DESPESAS</v>
      </c>
      <c r="G6871" s="2" t="str">
        <f t="shared" si="571"/>
        <v xml:space="preserve"> ()</v>
      </c>
    </row>
    <row r="6872" spans="1:7" x14ac:dyDescent="0.3">
      <c r="A6872" s="1" t="s">
        <v>4</v>
      </c>
      <c r="B6872" s="2" t="str">
        <f t="shared" si="569"/>
        <v>BIBLIOTECAS GERAIS DO MV2000 E DO SGPS</v>
      </c>
      <c r="C6872" s="2" t="str">
        <f>""</f>
        <v/>
      </c>
      <c r="D6872" s="2" t="str">
        <f t="shared" si="570"/>
        <v>MV</v>
      </c>
      <c r="E6872" s="2" t="str">
        <f>"ARQUIVOS DE LOG'S IMPORTADOS"</f>
        <v>ARQUIVOS DE LOG'S IMPORTADOS</v>
      </c>
      <c r="F6872" s="2" t="str">
        <f>"M_ARQ_LOG_IMP_POLIMED"</f>
        <v>M_ARQ_LOG_IMP_POLIMED</v>
      </c>
      <c r="G6872" s="2" t="str">
        <f t="shared" si="571"/>
        <v xml:space="preserve"> ()</v>
      </c>
    </row>
    <row r="6873" spans="1:7" x14ac:dyDescent="0.3">
      <c r="A6873" s="1" t="s">
        <v>4</v>
      </c>
      <c r="B6873" s="2" t="str">
        <f t="shared" si="569"/>
        <v>BIBLIOTECAS GERAIS DO MV2000 E DO SGPS</v>
      </c>
      <c r="C6873" s="2" t="str">
        <f>""</f>
        <v/>
      </c>
      <c r="D6873" s="2" t="str">
        <f t="shared" si="570"/>
        <v>MV</v>
      </c>
      <c r="E6873" s="2" t="str">
        <f>"WIN_PRINCIPAL"</f>
        <v>WIN_PRINCIPAL</v>
      </c>
      <c r="F6873" s="2" t="str">
        <f>"M_SUBGRU_PROC"</f>
        <v>M_SUBGRU_PROC</v>
      </c>
      <c r="G6873" s="2" t="str">
        <f t="shared" si="571"/>
        <v xml:space="preserve"> ()</v>
      </c>
    </row>
    <row r="6874" spans="1:7" x14ac:dyDescent="0.3">
      <c r="A6874" s="1" t="s">
        <v>4</v>
      </c>
      <c r="B6874" s="2" t="str">
        <f t="shared" si="569"/>
        <v>BIBLIOTECAS GERAIS DO MV2000 E DO SGPS</v>
      </c>
      <c r="C6874" s="2" t="str">
        <f>""</f>
        <v/>
      </c>
      <c r="D6874" s="2" t="str">
        <f t="shared" si="570"/>
        <v>MV</v>
      </c>
      <c r="E6874" s="2" t="str">
        <f>"CADASTRO: PRESTADOR POLIMED"</f>
        <v>CADASTRO: PRESTADOR POLIMED</v>
      </c>
      <c r="F6874" s="2" t="str">
        <f>"M_PRESTADOR_POLIMED"</f>
        <v>M_PRESTADOR_POLIMED</v>
      </c>
      <c r="G6874" s="2" t="str">
        <f t="shared" si="571"/>
        <v xml:space="preserve"> ()</v>
      </c>
    </row>
    <row r="6875" spans="1:7" x14ac:dyDescent="0.3">
      <c r="A6875" s="1" t="s">
        <v>4</v>
      </c>
      <c r="B6875" s="2" t="str">
        <f t="shared" si="569"/>
        <v>BIBLIOTECAS GERAIS DO MV2000 E DO SGPS</v>
      </c>
      <c r="C6875" s="2" t="str">
        <f>""</f>
        <v/>
      </c>
      <c r="D6875" s="2" t="str">
        <f t="shared" si="570"/>
        <v>MV</v>
      </c>
      <c r="E6875" s="2" t="str">
        <f>"R_USU_COBERTURA_TEMP"</f>
        <v>R_USU_COBERTURA_TEMP</v>
      </c>
      <c r="F6875" s="2" t="str">
        <f>"R_USU_COBERTURA_TEMP"</f>
        <v>R_USU_COBERTURA_TEMP</v>
      </c>
      <c r="G6875" s="2" t="str">
        <f>"MVSaude / Relatórios / Cadastros / Beneficiarios com Cobertura Parcial Temporaria (R_USU_COBERTURA_TEMP)"</f>
        <v>MVSaude / Relatórios / Cadastros / Beneficiarios com Cobertura Parcial Temporaria (R_USU_COBERTURA_TEMP)</v>
      </c>
    </row>
    <row r="6876" spans="1:7" x14ac:dyDescent="0.3">
      <c r="A6876" s="1" t="s">
        <v>4</v>
      </c>
      <c r="B6876" s="2" t="str">
        <f t="shared" si="569"/>
        <v>BIBLIOTECAS GERAIS DO MV2000 E DO SGPS</v>
      </c>
      <c r="C6876" s="2" t="str">
        <f>""</f>
        <v/>
      </c>
      <c r="D6876" s="2" t="str">
        <f t="shared" si="570"/>
        <v>MV</v>
      </c>
      <c r="E6876" s="2" t="str">
        <f>"CALENDÁRIO"</f>
        <v>CALENDÁRIO</v>
      </c>
      <c r="F6876" s="2" t="str">
        <f>"R_IMVDATASUL_ESPECIE_CONTABIL"</f>
        <v>R_IMVDATASUL_ESPECIE_CONTABIL</v>
      </c>
      <c r="G6876" s="2" t="str">
        <f t="shared" ref="G6876:G6894" si="572">" ()"</f>
        <v xml:space="preserve"> ()</v>
      </c>
    </row>
    <row r="6877" spans="1:7" x14ac:dyDescent="0.3">
      <c r="A6877" s="1" t="s">
        <v>4</v>
      </c>
      <c r="B6877" s="2" t="str">
        <f t="shared" si="569"/>
        <v>BIBLIOTECAS GERAIS DO MV2000 E DO SGPS</v>
      </c>
      <c r="C6877" s="2" t="str">
        <f>""</f>
        <v/>
      </c>
      <c r="D6877" s="2" t="str">
        <f t="shared" si="570"/>
        <v>MV</v>
      </c>
      <c r="E6877" s="2" t="str">
        <f>"RELATÓRIO CLASSE MV2000 X DATASUL"</f>
        <v>RELATÓRIO CLASSE MV2000 X DATASUL</v>
      </c>
      <c r="F6877" s="2" t="str">
        <f>"R_IMVDATASUL_CLASSE"</f>
        <v>R_IMVDATASUL_CLASSE</v>
      </c>
      <c r="G6877" s="2" t="str">
        <f t="shared" si="572"/>
        <v xml:space="preserve"> ()</v>
      </c>
    </row>
    <row r="6878" spans="1:7" x14ac:dyDescent="0.3">
      <c r="A6878" s="1" t="s">
        <v>4</v>
      </c>
      <c r="B6878" s="2" t="str">
        <f t="shared" si="569"/>
        <v>BIBLIOTECAS GERAIS DO MV2000 E DO SGPS</v>
      </c>
      <c r="C6878" s="2" t="str">
        <f>""</f>
        <v/>
      </c>
      <c r="D6878" s="2" t="str">
        <f t="shared" si="570"/>
        <v>MV</v>
      </c>
      <c r="E6878" s="2" t="str">
        <f>"R_IMVDATASUL_UNIDADE"</f>
        <v>R_IMVDATASUL_UNIDADE</v>
      </c>
      <c r="F6878" s="2" t="str">
        <f>"R_IMVDATASUL_UNIDADE"</f>
        <v>R_IMVDATASUL_UNIDADE</v>
      </c>
      <c r="G6878" s="2" t="str">
        <f t="shared" si="572"/>
        <v xml:space="preserve"> ()</v>
      </c>
    </row>
    <row r="6879" spans="1:7" x14ac:dyDescent="0.3">
      <c r="A6879" s="1" t="s">
        <v>4</v>
      </c>
      <c r="B6879" s="2" t="str">
        <f t="shared" si="569"/>
        <v>BIBLIOTECAS GERAIS DO MV2000 E DO SGPS</v>
      </c>
      <c r="C6879" s="2" t="str">
        <f>""</f>
        <v/>
      </c>
      <c r="D6879" s="2" t="str">
        <f t="shared" si="570"/>
        <v>MV</v>
      </c>
      <c r="E6879" s="2" t="str">
        <f>"RELATÓRIO ESPÉCIE MV2000 X DATASUL"</f>
        <v>RELATÓRIO ESPÉCIE MV2000 X DATASUL</v>
      </c>
      <c r="F6879" s="2" t="str">
        <f>"R_IMVDATASUL_ESPECIE"</f>
        <v>R_IMVDATASUL_ESPECIE</v>
      </c>
      <c r="G6879" s="2" t="str">
        <f t="shared" si="572"/>
        <v xml:space="preserve"> ()</v>
      </c>
    </row>
    <row r="6880" spans="1:7" x14ac:dyDescent="0.3">
      <c r="A6880" s="1" t="s">
        <v>4</v>
      </c>
      <c r="B6880" s="2" t="str">
        <f t="shared" si="569"/>
        <v>BIBLIOTECAS GERAIS DO MV2000 E DO SGPS</v>
      </c>
      <c r="C6880" s="2" t="str">
        <f>""</f>
        <v/>
      </c>
      <c r="D6880" s="2" t="str">
        <f t="shared" si="570"/>
        <v>MV</v>
      </c>
      <c r="E6880" s="2" t="str">
        <f>"RELATÓRIO ESTATÍSTICO POR CIDADE"</f>
        <v>RELATÓRIO ESTATÍSTICO POR CIDADE</v>
      </c>
      <c r="F6880" s="2" t="str">
        <f>"R_REG_REJEITADO"</f>
        <v>R_REG_REJEITADO</v>
      </c>
      <c r="G6880" s="2" t="str">
        <f t="shared" si="572"/>
        <v xml:space="preserve"> ()</v>
      </c>
    </row>
    <row r="6881" spans="1:7" x14ac:dyDescent="0.3">
      <c r="A6881" s="1" t="s">
        <v>4</v>
      </c>
      <c r="B6881" s="2" t="str">
        <f t="shared" si="569"/>
        <v>BIBLIOTECAS GERAIS DO MV2000 E DO SGPS</v>
      </c>
      <c r="C6881" s="2" t="str">
        <f>""</f>
        <v/>
      </c>
      <c r="D6881" s="2" t="str">
        <f t="shared" si="570"/>
        <v>MV</v>
      </c>
      <c r="E6881" s="2" t="str">
        <f>"R_ESTATISTICO_TIPO_ATENDIMENTO"</f>
        <v>R_ESTATISTICO_TIPO_ATENDIMENTO</v>
      </c>
      <c r="F6881" s="2" t="str">
        <f>"R_ESTATISTICO_TIPO_ATENDIMENTO"</f>
        <v>R_ESTATISTICO_TIPO_ATENDIMENTO</v>
      </c>
      <c r="G6881" s="2" t="str">
        <f t="shared" si="572"/>
        <v xml:space="preserve"> ()</v>
      </c>
    </row>
    <row r="6882" spans="1:7" x14ac:dyDescent="0.3">
      <c r="A6882" s="1" t="s">
        <v>4</v>
      </c>
      <c r="B6882" s="2" t="str">
        <f t="shared" si="569"/>
        <v>BIBLIOTECAS GERAIS DO MV2000 E DO SGPS</v>
      </c>
      <c r="C6882" s="2" t="str">
        <f>""</f>
        <v/>
      </c>
      <c r="D6882" s="2" t="str">
        <f t="shared" si="570"/>
        <v>MV</v>
      </c>
      <c r="E6882" s="2" t="str">
        <f>"EXTRATO DE EMPRESAS"</f>
        <v>EXTRATO DE EMPRESAS</v>
      </c>
      <c r="F6882" s="2" t="str">
        <f>"R_EXTRATO_EMPRESA_301"</f>
        <v>R_EXTRATO_EMPRESA_301</v>
      </c>
      <c r="G6882" s="2" t="str">
        <f t="shared" si="572"/>
        <v xml:space="preserve"> ()</v>
      </c>
    </row>
    <row r="6883" spans="1:7" x14ac:dyDescent="0.3">
      <c r="A6883" s="1" t="s">
        <v>4</v>
      </c>
      <c r="B6883" s="2" t="str">
        <f t="shared" si="569"/>
        <v>BIBLIOTECAS GERAIS DO MV2000 E DO SGPS</v>
      </c>
      <c r="C6883" s="2" t="str">
        <f>""</f>
        <v/>
      </c>
      <c r="D6883" s="2" t="str">
        <f t="shared" si="570"/>
        <v>MV</v>
      </c>
      <c r="E6883" s="2" t="str">
        <f>"RELATÓRIO CONTAS A PAGAR - PREVISÃO"</f>
        <v>RELATÓRIO CONTAS A PAGAR - PREVISÃO</v>
      </c>
      <c r="F6883" s="2" t="str">
        <f>"R_CONSUMOS_FUNC"</f>
        <v>R_CONSUMOS_FUNC</v>
      </c>
      <c r="G6883" s="2" t="str">
        <f t="shared" si="572"/>
        <v xml:space="preserve"> ()</v>
      </c>
    </row>
    <row r="6884" spans="1:7" x14ac:dyDescent="0.3">
      <c r="A6884" s="1" t="s">
        <v>4</v>
      </c>
      <c r="B6884" s="2" t="str">
        <f t="shared" si="569"/>
        <v>BIBLIOTECAS GERAIS DO MV2000 E DO SGPS</v>
      </c>
      <c r="C6884" s="2" t="str">
        <f>""</f>
        <v/>
      </c>
      <c r="D6884" s="2" t="str">
        <f t="shared" si="570"/>
        <v>MV</v>
      </c>
      <c r="E6884" s="2" t="str">
        <f>"ETIQUETA DE MALA DIRETA"</f>
        <v>ETIQUETA DE MALA DIRETA</v>
      </c>
      <c r="F6884" s="2" t="str">
        <f>"R_BOLETIM_INFORMATIVO"</f>
        <v>R_BOLETIM_INFORMATIVO</v>
      </c>
      <c r="G6884" s="2" t="str">
        <f t="shared" si="572"/>
        <v xml:space="preserve"> ()</v>
      </c>
    </row>
    <row r="6885" spans="1:7" x14ac:dyDescent="0.3">
      <c r="A6885" s="1" t="s">
        <v>4</v>
      </c>
      <c r="B6885" s="2" t="str">
        <f t="shared" si="569"/>
        <v>BIBLIOTECAS GERAIS DO MV2000 E DO SGPS</v>
      </c>
      <c r="C6885" s="2" t="str">
        <f>""</f>
        <v/>
      </c>
      <c r="D6885" s="2" t="str">
        <f t="shared" si="570"/>
        <v>MV</v>
      </c>
      <c r="E6885" s="2" t="str">
        <f>"ALTERAÇÃO DE SENHA DO PRÓXIMO LOGIN"</f>
        <v>ALTERAÇÃO DE SENHA DO PRÓXIMO LOGIN</v>
      </c>
      <c r="F6885" s="2" t="str">
        <f>"MUDA_SENHA"</f>
        <v>MUDA_SENHA</v>
      </c>
      <c r="G6885" s="2" t="str">
        <f t="shared" si="572"/>
        <v xml:space="preserve"> ()</v>
      </c>
    </row>
    <row r="6886" spans="1:7" x14ac:dyDescent="0.3">
      <c r="A6886" s="1" t="s">
        <v>4</v>
      </c>
      <c r="B6886" s="2" t="str">
        <f t="shared" si="569"/>
        <v>BIBLIOTECAS GERAIS DO MV2000 E DO SGPS</v>
      </c>
      <c r="C6886" s="2" t="str">
        <f>""</f>
        <v/>
      </c>
      <c r="D6886" s="2" t="str">
        <f t="shared" si="570"/>
        <v>MV</v>
      </c>
      <c r="E6886" s="2" t="str">
        <f>"WIN_PRINCIPAL"</f>
        <v>WIN_PRINCIPAL</v>
      </c>
      <c r="F6886" s="2" t="str">
        <f>"MODULE2"</f>
        <v>MODULE2</v>
      </c>
      <c r="G6886" s="2" t="str">
        <f t="shared" si="572"/>
        <v xml:space="preserve"> ()</v>
      </c>
    </row>
    <row r="6887" spans="1:7" x14ac:dyDescent="0.3">
      <c r="A6887" s="1" t="s">
        <v>4</v>
      </c>
      <c r="B6887" s="2" t="str">
        <f t="shared" si="569"/>
        <v>BIBLIOTECAS GERAIS DO MV2000 E DO SGPS</v>
      </c>
      <c r="C6887" s="2" t="str">
        <f>""</f>
        <v/>
      </c>
      <c r="D6887" s="2" t="str">
        <f t="shared" si="570"/>
        <v>MV</v>
      </c>
      <c r="E6887" s="2" t="str">
        <f>"CONSULTAS E RETORNOS NAS EMPRESAS"</f>
        <v>CONSULTAS E RETORNOS NAS EMPRESAS</v>
      </c>
      <c r="F6887" s="2" t="str">
        <f>"R_PROCED_REAL_EMPRESA"</f>
        <v>R_PROCED_REAL_EMPRESA</v>
      </c>
      <c r="G6887" s="2" t="str">
        <f t="shared" si="572"/>
        <v xml:space="preserve"> ()</v>
      </c>
    </row>
    <row r="6888" spans="1:7" x14ac:dyDescent="0.3">
      <c r="A6888" s="1" t="s">
        <v>4</v>
      </c>
      <c r="B6888" s="2" t="str">
        <f t="shared" si="569"/>
        <v>BIBLIOTECAS GERAIS DO MV2000 E DO SGPS</v>
      </c>
      <c r="C6888" s="2" t="str">
        <f>""</f>
        <v/>
      </c>
      <c r="D6888" s="2" t="str">
        <f t="shared" si="570"/>
        <v>MV</v>
      </c>
      <c r="E6888" s="2" t="str">
        <f>"RELATÓRIO ESTATÍSTICO DE CIRURGIAS"</f>
        <v>RELATÓRIO ESTATÍSTICO DE CIRURGIAS</v>
      </c>
      <c r="F6888" s="2" t="str">
        <f>"R_INTER_SIN"</f>
        <v>R_INTER_SIN</v>
      </c>
      <c r="G6888" s="2" t="str">
        <f t="shared" si="572"/>
        <v xml:space="preserve"> ()</v>
      </c>
    </row>
    <row r="6889" spans="1:7" x14ac:dyDescent="0.3">
      <c r="A6889" s="1" t="s">
        <v>4</v>
      </c>
      <c r="B6889" s="2" t="str">
        <f t="shared" si="569"/>
        <v>BIBLIOTECAS GERAIS DO MV2000 E DO SGPS</v>
      </c>
      <c r="C6889" s="2" t="str">
        <f>""</f>
        <v/>
      </c>
      <c r="D6889" s="2" t="str">
        <f t="shared" si="570"/>
        <v>MV</v>
      </c>
      <c r="E6889" s="2" t="str">
        <f>"R_USUARIOS_EMPRESA_301"</f>
        <v>R_USUARIOS_EMPRESA_301</v>
      </c>
      <c r="F6889" s="2" t="str">
        <f>"R_USUARIOS_EMPRESA_301"</f>
        <v>R_USUARIOS_EMPRESA_301</v>
      </c>
      <c r="G6889" s="2" t="str">
        <f t="shared" si="572"/>
        <v xml:space="preserve"> ()</v>
      </c>
    </row>
    <row r="6890" spans="1:7" x14ac:dyDescent="0.3">
      <c r="A6890" s="1" t="s">
        <v>4</v>
      </c>
      <c r="B6890" s="2" t="str">
        <f t="shared" si="569"/>
        <v>BIBLIOTECAS GERAIS DO MV2000 E DO SGPS</v>
      </c>
      <c r="C6890" s="2" t="str">
        <f>""</f>
        <v/>
      </c>
      <c r="D6890" s="2" t="str">
        <f t="shared" si="570"/>
        <v>MV</v>
      </c>
      <c r="E6890" s="2" t="str">
        <f>"RELATÓRIO DA SITUAÇÃO DAS SOLICITAÇÕES"</f>
        <v>RELATÓRIO DA SITUAÇÃO DAS SOLICITAÇÕES</v>
      </c>
      <c r="F6890" s="2" t="str">
        <f>"R_PDA_NOVO"</f>
        <v>R_PDA_NOVO</v>
      </c>
      <c r="G6890" s="2" t="str">
        <f t="shared" si="572"/>
        <v xml:space="preserve"> ()</v>
      </c>
    </row>
    <row r="6891" spans="1:7" x14ac:dyDescent="0.3">
      <c r="A6891" s="1" t="s">
        <v>4</v>
      </c>
      <c r="B6891" s="2" t="str">
        <f t="shared" si="569"/>
        <v>BIBLIOTECAS GERAIS DO MV2000 E DO SGPS</v>
      </c>
      <c r="C6891" s="2" t="str">
        <f>""</f>
        <v/>
      </c>
      <c r="D6891" s="2" t="str">
        <f t="shared" si="570"/>
        <v>MV</v>
      </c>
      <c r="E6891" s="2" t="str">
        <f>"M_PROCESSO_BPM"</f>
        <v>M_PROCESSO_BPM</v>
      </c>
      <c r="F6891" s="2" t="str">
        <f>"M_PROCESSO_BPM"</f>
        <v>M_PROCESSO_BPM</v>
      </c>
      <c r="G6891" s="2" t="str">
        <f t="shared" si="572"/>
        <v xml:space="preserve"> ()</v>
      </c>
    </row>
    <row r="6892" spans="1:7" x14ac:dyDescent="0.3">
      <c r="A6892" s="1" t="s">
        <v>4</v>
      </c>
      <c r="B6892" s="2" t="str">
        <f t="shared" si="569"/>
        <v>BIBLIOTECAS GERAIS DO MV2000 E DO SGPS</v>
      </c>
      <c r="C6892" s="2" t="str">
        <f>""</f>
        <v/>
      </c>
      <c r="D6892" s="2" t="str">
        <f t="shared" si="570"/>
        <v>MV</v>
      </c>
      <c r="E6892" s="2" t="str">
        <f>"LANÇAMENTO INDIVIDUAL DOS PROCEDIMENTOS"</f>
        <v>LANÇAMENTO INDIVIDUAL DOS PROCEDIMENTOS</v>
      </c>
      <c r="F6892" s="2" t="str">
        <f>"C_INDIVIDU"</f>
        <v>C_INDIVIDU</v>
      </c>
      <c r="G6892" s="2" t="str">
        <f t="shared" si="572"/>
        <v xml:space="preserve"> ()</v>
      </c>
    </row>
    <row r="6893" spans="1:7" x14ac:dyDescent="0.3">
      <c r="A6893" s="1" t="s">
        <v>4</v>
      </c>
      <c r="B6893" s="2" t="str">
        <f t="shared" si="569"/>
        <v>BIBLIOTECAS GERAIS DO MV2000 E DO SGPS</v>
      </c>
      <c r="C6893" s="2" t="str">
        <f>""</f>
        <v/>
      </c>
      <c r="D6893" s="2" t="str">
        <f t="shared" si="570"/>
        <v>MV</v>
      </c>
      <c r="E6893" s="2" t="str">
        <f>"WIN_PRINCIPAL - CRED PARTO"</f>
        <v>WIN_PRINCIPAL - CRED PARTO</v>
      </c>
      <c r="F6893" s="2" t="str">
        <f>"MOTIVO_BLOQUEIO"</f>
        <v>MOTIVO_BLOQUEIO</v>
      </c>
      <c r="G6893" s="2" t="str">
        <f t="shared" si="572"/>
        <v xml:space="preserve"> ()</v>
      </c>
    </row>
    <row r="6894" spans="1:7" x14ac:dyDescent="0.3">
      <c r="A6894" s="1" t="s">
        <v>4</v>
      </c>
      <c r="B6894" s="2" t="str">
        <f t="shared" si="569"/>
        <v>BIBLIOTECAS GERAIS DO MV2000 E DO SGPS</v>
      </c>
      <c r="C6894" s="2" t="str">
        <f>""</f>
        <v/>
      </c>
      <c r="D6894" s="2" t="str">
        <f t="shared" si="570"/>
        <v>MV</v>
      </c>
      <c r="E6894" s="2" t="str">
        <f>"WIN_PRINCIPAL - HOSPITAL MV SISTEMAS"</f>
        <v>WIN_PRINCIPAL - HOSPITAL MV SISTEMAS</v>
      </c>
      <c r="F6894" s="2" t="str">
        <f>"M_TP_ESTERELIZACAO"</f>
        <v>M_TP_ESTERELIZACAO</v>
      </c>
      <c r="G6894" s="2" t="str">
        <f t="shared" si="572"/>
        <v xml:space="preserve"> ()</v>
      </c>
    </row>
    <row r="6895" spans="1:7" x14ac:dyDescent="0.3">
      <c r="A6895" s="1" t="s">
        <v>4</v>
      </c>
      <c r="B6895" s="2" t="str">
        <f t="shared" si="569"/>
        <v>BIBLIOTECAS GERAIS DO MV2000 E DO SGPS</v>
      </c>
      <c r="C6895" s="2" t="str">
        <f>""</f>
        <v/>
      </c>
      <c r="D6895" s="2" t="str">
        <f t="shared" si="570"/>
        <v>MV</v>
      </c>
      <c r="E6895" s="2" t="str">
        <f>"GRUPO DE MOTIVO DE ALTA"</f>
        <v>GRUPO DE MOTIVO DE ALTA</v>
      </c>
      <c r="F6895" s="2" t="str">
        <f>"M_GRUPO_MOTIVO_ALTA"</f>
        <v>M_GRUPO_MOTIVO_ALTA</v>
      </c>
      <c r="G6895" s="2" t="str">
        <f>"MVSaude / ANS / TISS / Tabelas de Domínio / Grupos de Motivo de Alta (M_GRUPO_MOTIVO_ALTA)"</f>
        <v>MVSaude / ANS / TISS / Tabelas de Domínio / Grupos de Motivo de Alta (M_GRUPO_MOTIVO_ALTA)</v>
      </c>
    </row>
    <row r="6896" spans="1:7" x14ac:dyDescent="0.3">
      <c r="A6896" s="1" t="s">
        <v>4</v>
      </c>
      <c r="B6896" s="2" t="str">
        <f t="shared" si="569"/>
        <v>BIBLIOTECAS GERAIS DO MV2000 E DO SGPS</v>
      </c>
      <c r="C6896" s="2" t="str">
        <f>""</f>
        <v/>
      </c>
      <c r="D6896" s="2" t="str">
        <f t="shared" si="570"/>
        <v>MV</v>
      </c>
      <c r="E6896" s="2" t="str">
        <f>"WIN_PRINCIPAL - HOSPITAL MV SISTEMAS"</f>
        <v>WIN_PRINCIPAL - HOSPITAL MV SISTEMAS</v>
      </c>
      <c r="F6896" s="2" t="str">
        <f>"M_INTERNA_REGULACAO"</f>
        <v>M_INTERNA_REGULACAO</v>
      </c>
      <c r="G6896" s="2" t="str">
        <f>" ()"</f>
        <v xml:space="preserve"> ()</v>
      </c>
    </row>
    <row r="6897" spans="1:7" x14ac:dyDescent="0.3">
      <c r="A6897" s="1" t="s">
        <v>4</v>
      </c>
      <c r="B6897" s="2" t="str">
        <f t="shared" si="569"/>
        <v>BIBLIOTECAS GERAIS DO MV2000 E DO SGPS</v>
      </c>
      <c r="C6897" s="2" t="str">
        <f>""</f>
        <v/>
      </c>
      <c r="D6897" s="2" t="str">
        <f t="shared" si="570"/>
        <v>MV</v>
      </c>
      <c r="E6897" s="2" t="str">
        <f>"M_SETEXA_LAPROD"</f>
        <v>M_SETEXA_LAPROD</v>
      </c>
      <c r="F6897" s="2" t="str">
        <f>"M_SETEXA_LAPROD"</f>
        <v>M_SETEXA_LAPROD</v>
      </c>
      <c r="G6897" s="2" t="str">
        <f>" ()"</f>
        <v xml:space="preserve"> ()</v>
      </c>
    </row>
    <row r="6898" spans="1:7" x14ac:dyDescent="0.3">
      <c r="A6898" s="1" t="s">
        <v>4</v>
      </c>
      <c r="B6898" s="2" t="str">
        <f t="shared" si="569"/>
        <v>BIBLIOTECAS GERAIS DO MV2000 E DO SGPS</v>
      </c>
      <c r="C6898" s="2" t="str">
        <f>""</f>
        <v/>
      </c>
      <c r="D6898" s="2" t="str">
        <f t="shared" si="570"/>
        <v>MV</v>
      </c>
      <c r="E6898" s="2" t="str">
        <f>"WIN_PRINCIPAL - 01-HOSPITAL MV SISTEMAS"</f>
        <v>WIN_PRINCIPAL - 01-HOSPITAL MV SISTEMAS</v>
      </c>
      <c r="F6898" s="2" t="str">
        <f>"M_DIOPS_INFORMACAO"</f>
        <v>M_DIOPS_INFORMACAO</v>
      </c>
      <c r="G6898" s="2" t="str">
        <f>" ()"</f>
        <v xml:space="preserve"> ()</v>
      </c>
    </row>
    <row r="6899" spans="1:7" x14ac:dyDescent="0.3">
      <c r="A6899" s="1" t="s">
        <v>4</v>
      </c>
      <c r="B6899" s="2" t="str">
        <f t="shared" si="569"/>
        <v>BIBLIOTECAS GERAIS DO MV2000 E DO SGPS</v>
      </c>
      <c r="C6899" s="2" t="str">
        <f>""</f>
        <v/>
      </c>
      <c r="D6899" s="2" t="str">
        <f t="shared" si="570"/>
        <v>MV</v>
      </c>
      <c r="E6899" s="2" t="str">
        <f>"CADASTRO DE AUTORIZAÇÕES ANS - 99-TESTE"</f>
        <v>CADASTRO DE AUTORIZAÇÕES ANS - 99-TESTE</v>
      </c>
      <c r="F6899" s="2" t="str">
        <f>"M_AUTORIZACAO_ANS"</f>
        <v>M_AUTORIZACAO_ANS</v>
      </c>
      <c r="G6899" s="2" t="str">
        <f>"MVSaude / Faturamento / Autorizações ANS (M_AUTORIZACAO_ANS)"</f>
        <v>MVSaude / Faturamento / Autorizações ANS (M_AUTORIZACAO_ANS)</v>
      </c>
    </row>
    <row r="6900" spans="1:7" x14ac:dyDescent="0.3">
      <c r="A6900" s="1" t="s">
        <v>4</v>
      </c>
      <c r="B6900" s="2" t="str">
        <f t="shared" si="569"/>
        <v>BIBLIOTECAS GERAIS DO MV2000 E DO SGPS</v>
      </c>
      <c r="C6900" s="2" t="str">
        <f>""</f>
        <v/>
      </c>
      <c r="D6900" s="2" t="str">
        <f t="shared" si="570"/>
        <v>MV</v>
      </c>
      <c r="E6900" s="2" t="str">
        <f>"M_CONFI_CME"</f>
        <v>M_CONFI_CME</v>
      </c>
      <c r="F6900" s="2" t="str">
        <f>"M_CONFI_CME"</f>
        <v>M_CONFI_CME</v>
      </c>
      <c r="G6900" s="2" t="str">
        <f>" ()"</f>
        <v xml:space="preserve"> ()</v>
      </c>
    </row>
    <row r="6901" spans="1:7" x14ac:dyDescent="0.3">
      <c r="A6901" s="1" t="s">
        <v>4</v>
      </c>
      <c r="B6901" s="2" t="str">
        <f t="shared" si="569"/>
        <v>BIBLIOTECAS GERAIS DO MV2000 E DO SGPS</v>
      </c>
      <c r="C6901" s="2" t="str">
        <f>""</f>
        <v/>
      </c>
      <c r="D6901" s="2" t="str">
        <f t="shared" si="570"/>
        <v>MV</v>
      </c>
      <c r="E6901" s="2" t="str">
        <f>"CONFIGURAÇÃO DO SISTEMA - 99-TESTE"</f>
        <v>CONFIGURAÇÃO DO SISTEMA - 99-TESTE</v>
      </c>
      <c r="F6901" s="2" t="str">
        <f>"M_PAINEL_ME"</f>
        <v>M_PAINEL_ME</v>
      </c>
      <c r="G6901" s="2" t="str">
        <f>"MVSaude / Configurações / Painél Multioperadoras (M_PAINEL_ME)"</f>
        <v>MVSaude / Configurações / Painél Multioperadoras (M_PAINEL_ME)</v>
      </c>
    </row>
    <row r="6902" spans="1:7" x14ac:dyDescent="0.3">
      <c r="A6902" s="1" t="s">
        <v>4</v>
      </c>
      <c r="B6902" s="2" t="str">
        <f t="shared" si="569"/>
        <v>BIBLIOTECAS GERAIS DO MV2000 E DO SGPS</v>
      </c>
      <c r="C6902" s="2" t="str">
        <f>""</f>
        <v/>
      </c>
      <c r="D6902" s="2" t="str">
        <f t="shared" si="570"/>
        <v>MV</v>
      </c>
      <c r="E6902" s="2" t="str">
        <f>"WIN_PRINCIPAL - 99-TESTE"</f>
        <v>WIN_PRINCIPAL - 99-TESTE</v>
      </c>
      <c r="F6902" s="2" t="str">
        <f>"M_APROPRIACAO_CONTABIL"</f>
        <v>M_APROPRIACAO_CONTABIL</v>
      </c>
      <c r="G6902" s="2" t="str">
        <f>"MVSaude / Configurações / Apropriação Financeira / Contábil (M_APROPRIACAO_CONTABIL)"</f>
        <v>MVSaude / Configurações / Apropriação Financeira / Contábil (M_APROPRIACAO_CONTABIL)</v>
      </c>
    </row>
    <row r="6903" spans="1:7" x14ac:dyDescent="0.3">
      <c r="A6903" s="1" t="s">
        <v>4</v>
      </c>
      <c r="B6903" s="2" t="str">
        <f t="shared" si="569"/>
        <v>BIBLIOTECAS GERAIS DO MV2000 E DO SGPS</v>
      </c>
      <c r="C6903" s="2" t="str">
        <f>""</f>
        <v/>
      </c>
      <c r="D6903" s="2" t="str">
        <f t="shared" si="570"/>
        <v>MV</v>
      </c>
      <c r="E6903" s="2" t="str">
        <f>"O_EXP_ARQ_NORTON_720"</f>
        <v>O_EXP_ARQ_NORTON_720</v>
      </c>
      <c r="F6903" s="2" t="str">
        <f>"O_EXP_ARQ_NORTON_720"</f>
        <v>O_EXP_ARQ_NORTON_720</v>
      </c>
      <c r="G6903" s="2" t="str">
        <f>" ()"</f>
        <v xml:space="preserve"> ()</v>
      </c>
    </row>
    <row r="6904" spans="1:7" x14ac:dyDescent="0.3">
      <c r="A6904" s="1" t="s">
        <v>4</v>
      </c>
      <c r="B6904" s="2" t="str">
        <f t="shared" si="569"/>
        <v>BIBLIOTECAS GERAIS DO MV2000 E DO SGPS</v>
      </c>
      <c r="C6904" s="2" t="str">
        <f>""</f>
        <v/>
      </c>
      <c r="D6904" s="2" t="str">
        <f t="shared" si="570"/>
        <v>MV</v>
      </c>
      <c r="E6904" s="2" t="str">
        <f>"WIN_PRINCIPAL - 01-HOSPITAL MV SISTEMAS"</f>
        <v>WIN_PRINCIPAL - 01-HOSPITAL MV SISTEMAS</v>
      </c>
      <c r="F6904" s="2" t="str">
        <f>"O_INTERFACE_GUIAS_CTAMED"</f>
        <v>O_INTERFACE_GUIAS_CTAMED</v>
      </c>
      <c r="G6904" s="2" t="str">
        <f>"MVSaude / Contas Médicas / Importar Autorizações (O_INTERFACE_GUIAS_CTAMED)"</f>
        <v>MVSaude / Contas Médicas / Importar Autorizações (O_INTERFACE_GUIAS_CTAMED)</v>
      </c>
    </row>
    <row r="6905" spans="1:7" x14ac:dyDescent="0.3">
      <c r="A6905" s="1" t="s">
        <v>4</v>
      </c>
      <c r="B6905" s="2" t="str">
        <f t="shared" si="569"/>
        <v>BIBLIOTECAS GERAIS DO MV2000 E DO SGPS</v>
      </c>
      <c r="C6905" s="2" t="str">
        <f>""</f>
        <v/>
      </c>
      <c r="D6905" s="2" t="str">
        <f t="shared" si="570"/>
        <v>MV</v>
      </c>
      <c r="E6905" s="2" t="str">
        <f>"IMPORTAÇÃO ELETRÔNICA DE USUÁRIOS"</f>
        <v>IMPORTAÇÃO ELETRÔNICA DE USUÁRIOS</v>
      </c>
      <c r="F6905" s="2" t="str">
        <f>"O_IMPORTAR_USUARIO"</f>
        <v>O_IMPORTAR_USUARIO</v>
      </c>
      <c r="G6905" s="2" t="str">
        <f>"MVSaude / Cadastros / Cadastramento Eletrônico de Beneficiários (O_IMPORTAR_USUARIO)"</f>
        <v>MVSaude / Cadastros / Cadastramento Eletrônico de Beneficiários (O_IMPORTAR_USUARIO)</v>
      </c>
    </row>
    <row r="6906" spans="1:7" x14ac:dyDescent="0.3">
      <c r="A6906" s="1" t="s">
        <v>4</v>
      </c>
      <c r="B6906" s="2" t="str">
        <f t="shared" si="569"/>
        <v>BIBLIOTECAS GERAIS DO MV2000 E DO SGPS</v>
      </c>
      <c r="C6906" s="2" t="str">
        <f>""</f>
        <v/>
      </c>
      <c r="D6906" s="2" t="str">
        <f t="shared" si="570"/>
        <v>MV</v>
      </c>
      <c r="E6906" s="2" t="str">
        <f>"WIN_PRINCIPAL - 01-HOSPITAL MV SISTEMAS"</f>
        <v>WIN_PRINCIPAL - 01-HOSPITAL MV SISTEMAS</v>
      </c>
      <c r="F6906" s="2" t="str">
        <f>"M_REGIME_INTERNACAO"</f>
        <v>M_REGIME_INTERNACAO</v>
      </c>
      <c r="G6906" s="2" t="str">
        <f>"MVSaude / ANS / TISS / Tabelas de Domínio / Regime de Internação (M_REGIME_INTERNACAO)"</f>
        <v>MVSaude / ANS / TISS / Tabelas de Domínio / Regime de Internação (M_REGIME_INTERNACAO)</v>
      </c>
    </row>
    <row r="6907" spans="1:7" x14ac:dyDescent="0.3">
      <c r="A6907" s="1" t="s">
        <v>4</v>
      </c>
      <c r="B6907" s="2" t="str">
        <f t="shared" si="569"/>
        <v>BIBLIOTECAS GERAIS DO MV2000 E DO SGPS</v>
      </c>
      <c r="C6907" s="2" t="str">
        <f>""</f>
        <v/>
      </c>
      <c r="D6907" s="2" t="str">
        <f t="shared" si="570"/>
        <v>MV</v>
      </c>
      <c r="E6907" s="2" t="str">
        <f>"STATUS DO PROTOCOLO"</f>
        <v>STATUS DO PROTOCOLO</v>
      </c>
      <c r="F6907" s="2" t="str">
        <f>"M_STATUS_PROTOCOLO"</f>
        <v>M_STATUS_PROTOCOLO</v>
      </c>
      <c r="G6907" s="2" t="str">
        <f>"MVSaude / ANS / TISS / Tabelas de Domínio / Status do Protocolo (M_STATUS_PROTOCOLO)"</f>
        <v>MVSaude / ANS / TISS / Tabelas de Domínio / Status do Protocolo (M_STATUS_PROTOCOLO)</v>
      </c>
    </row>
    <row r="6908" spans="1:7" x14ac:dyDescent="0.3">
      <c r="A6908" s="1" t="s">
        <v>4</v>
      </c>
      <c r="B6908" s="2" t="str">
        <f t="shared" si="569"/>
        <v>BIBLIOTECAS GERAIS DO MV2000 E DO SGPS</v>
      </c>
      <c r="C6908" s="2" t="str">
        <f>""</f>
        <v/>
      </c>
      <c r="D6908" s="2" t="str">
        <f t="shared" si="570"/>
        <v>MV</v>
      </c>
      <c r="E6908" s="2" t="str">
        <f>"GUIAS - 01-HOSPITAL MV SISTEMAS"</f>
        <v>GUIAS - 01-HOSPITAL MV SISTEMAS</v>
      </c>
      <c r="F6908" s="2" t="str">
        <f>"C_AUTORIZACOES"</f>
        <v>C_AUTORIZACOES</v>
      </c>
      <c r="G6908" s="2" t="str">
        <f>"MVSaude / Atendimento / Autorizações de Guias (C_AUTORIZACOES)"</f>
        <v>MVSaude / Atendimento / Autorizações de Guias (C_AUTORIZACOES)</v>
      </c>
    </row>
    <row r="6909" spans="1:7" x14ac:dyDescent="0.3">
      <c r="A6909" s="1" t="s">
        <v>4</v>
      </c>
      <c r="B6909" s="2" t="str">
        <f t="shared" si="569"/>
        <v>BIBLIOTECAS GERAIS DO MV2000 E DO SGPS</v>
      </c>
      <c r="C6909" s="2" t="str">
        <f>""</f>
        <v/>
      </c>
      <c r="D6909" s="2" t="str">
        <f t="shared" si="570"/>
        <v>MV</v>
      </c>
      <c r="E6909" s="2" t="str">
        <f>"DADOS COMPLEMENTARES DO BENEFICIÁRIO"</f>
        <v>DADOS COMPLEMENTARES DO BENEFICIÁRIO</v>
      </c>
      <c r="F6909" s="2" t="str">
        <f>"C_DADOS_COMPL_BENEF"</f>
        <v>C_DADOS_COMPL_BENEF</v>
      </c>
      <c r="G6909" s="2" t="str">
        <f>" ()"</f>
        <v xml:space="preserve"> ()</v>
      </c>
    </row>
    <row r="6910" spans="1:7" x14ac:dyDescent="0.3">
      <c r="A6910" s="1" t="s">
        <v>4</v>
      </c>
      <c r="B6910" s="2" t="str">
        <f t="shared" si="569"/>
        <v>BIBLIOTECAS GERAIS DO MV2000 E DO SGPS</v>
      </c>
      <c r="C6910" s="2" t="str">
        <f>""</f>
        <v/>
      </c>
      <c r="D6910" s="2" t="str">
        <f t="shared" si="570"/>
        <v>MV</v>
      </c>
      <c r="E6910" s="2" t="str">
        <f>"WIN_PRINCIPAL"</f>
        <v>WIN_PRINCIPAL</v>
      </c>
      <c r="F6910" s="2" t="str">
        <f>"M_ASSISTENTE_PLACTA_DESPESA"</f>
        <v>M_ASSISTENTE_PLACTA_DESPESA</v>
      </c>
      <c r="G6910" s="2" t="str">
        <f>" ()"</f>
        <v xml:space="preserve"> ()</v>
      </c>
    </row>
    <row r="6911" spans="1:7" x14ac:dyDescent="0.3">
      <c r="A6911" s="1" t="s">
        <v>4</v>
      </c>
      <c r="B6911" s="2" t="str">
        <f t="shared" si="569"/>
        <v>BIBLIOTECAS GERAIS DO MV2000 E DO SGPS</v>
      </c>
      <c r="C6911" s="2" t="str">
        <f>""</f>
        <v/>
      </c>
      <c r="D6911" s="2" t="str">
        <f t="shared" si="570"/>
        <v>MV</v>
      </c>
      <c r="E6911" s="2" t="str">
        <f>"WIN_PRINCIPAL - 99-TESTE"</f>
        <v>WIN_PRINCIPAL - 99-TESTE</v>
      </c>
      <c r="F6911" s="2" t="str">
        <f>"O_GERACAO_MENSALIDADE"</f>
        <v>O_GERACAO_MENSALIDADE</v>
      </c>
      <c r="G6911" s="2" t="str">
        <f>"MVSaude / Faturamento / Geração de Mensalidades (O_GERACAO_MENSALIDADE)"</f>
        <v>MVSaude / Faturamento / Geração de Mensalidades (O_GERACAO_MENSALIDADE)</v>
      </c>
    </row>
    <row r="6912" spans="1:7" x14ac:dyDescent="0.3">
      <c r="A6912" s="1" t="s">
        <v>4</v>
      </c>
      <c r="B6912" s="2" t="str">
        <f t="shared" si="569"/>
        <v>BIBLIOTECAS GERAIS DO MV2000 E DO SGPS</v>
      </c>
      <c r="C6912" s="2" t="str">
        <f>""</f>
        <v/>
      </c>
      <c r="D6912" s="2" t="str">
        <f t="shared" si="570"/>
        <v>MV</v>
      </c>
      <c r="E6912" s="2" t="str">
        <f>"CANCELAR/EXCLUIR GUIA"</f>
        <v>CANCELAR/EXCLUIR GUIA</v>
      </c>
      <c r="F6912" s="2" t="str">
        <f>"M_CANCELA_EXC_GUIA"</f>
        <v>M_CANCELA_EXC_GUIA</v>
      </c>
      <c r="G6912" s="2" t="str">
        <f>"MVSaude / Atendimento / Cancelar / Excluir Guias (M_CANCELA_EXC_GUIA)"</f>
        <v>MVSaude / Atendimento / Cancelar / Excluir Guias (M_CANCELA_EXC_GUIA)</v>
      </c>
    </row>
    <row r="6913" spans="1:7" x14ac:dyDescent="0.3">
      <c r="A6913" s="1" t="s">
        <v>4</v>
      </c>
      <c r="B6913" s="2" t="str">
        <f t="shared" si="569"/>
        <v>BIBLIOTECAS GERAIS DO MV2000 E DO SGPS</v>
      </c>
      <c r="C6913" s="2" t="str">
        <f>""</f>
        <v/>
      </c>
      <c r="D6913" s="2" t="str">
        <f t="shared" si="570"/>
        <v>MV</v>
      </c>
      <c r="E6913" s="2" t="str">
        <f>"WIN_PRINCIPAL - 01-HOSPITAL MV SISTEMAS"</f>
        <v>WIN_PRINCIPAL - 01-HOSPITAL MV SISTEMAS</v>
      </c>
      <c r="F6913" s="2" t="str">
        <f>"MV_ATX_EXEMPLO_001"</f>
        <v>MV_ATX_EXEMPLO_001</v>
      </c>
      <c r="G6913" s="2" t="str">
        <f t="shared" ref="G6913:G6929" si="573">" ()"</f>
        <v xml:space="preserve"> ()</v>
      </c>
    </row>
    <row r="6914" spans="1:7" x14ac:dyDescent="0.3">
      <c r="A6914" s="1" t="s">
        <v>4</v>
      </c>
      <c r="B6914" s="2" t="str">
        <f t="shared" si="569"/>
        <v>BIBLIOTECAS GERAIS DO MV2000 E DO SGPS</v>
      </c>
      <c r="C6914" s="2" t="str">
        <f>""</f>
        <v/>
      </c>
      <c r="D6914" s="2" t="str">
        <f t="shared" si="570"/>
        <v>MV</v>
      </c>
      <c r="E6914" s="2" t="str">
        <f>"R_R_PENDECIA_PROD_FORNEC"</f>
        <v>R_R_PENDECIA_PROD_FORNEC</v>
      </c>
      <c r="F6914" s="2" t="str">
        <f>"R_R_PENDECIA_PROD_FORNEC"</f>
        <v>R_R_PENDECIA_PROD_FORNEC</v>
      </c>
      <c r="G6914" s="2" t="str">
        <f t="shared" si="573"/>
        <v xml:space="preserve"> ()</v>
      </c>
    </row>
    <row r="6915" spans="1:7" x14ac:dyDescent="0.3">
      <c r="A6915" s="1" t="s">
        <v>4</v>
      </c>
      <c r="B6915" s="2" t="str">
        <f t="shared" si="569"/>
        <v>BIBLIOTECAS GERAIS DO MV2000 E DO SGPS</v>
      </c>
      <c r="C6915" s="2" t="str">
        <f>""</f>
        <v/>
      </c>
      <c r="D6915" s="2" t="str">
        <f t="shared" si="570"/>
        <v>MV</v>
      </c>
      <c r="E6915" s="2" t="str">
        <f>"R_BALANCO_CONTABIL_755"</f>
        <v>R_BALANCO_CONTABIL_755</v>
      </c>
      <c r="F6915" s="2" t="str">
        <f>"R_BALANCO_CONTABIL_755"</f>
        <v>R_BALANCO_CONTABIL_755</v>
      </c>
      <c r="G6915" s="2" t="str">
        <f t="shared" si="573"/>
        <v xml:space="preserve"> ()</v>
      </c>
    </row>
    <row r="6916" spans="1:7" x14ac:dyDescent="0.3">
      <c r="A6916" s="1" t="s">
        <v>4</v>
      </c>
      <c r="B6916" s="2" t="str">
        <f t="shared" si="569"/>
        <v>BIBLIOTECAS GERAIS DO MV2000 E DO SGPS</v>
      </c>
      <c r="C6916" s="2" t="str">
        <f>""</f>
        <v/>
      </c>
      <c r="D6916" s="2" t="str">
        <f t="shared" si="570"/>
        <v>MV</v>
      </c>
      <c r="E6916" s="2" t="str">
        <f>"R_EXAME_CONVENIO_860"</f>
        <v>R_EXAME_CONVENIO_860</v>
      </c>
      <c r="F6916" s="2" t="str">
        <f>"R_EXAME_CONVENIO_860"</f>
        <v>R_EXAME_CONVENIO_860</v>
      </c>
      <c r="G6916" s="2" t="str">
        <f t="shared" si="573"/>
        <v xml:space="preserve"> ()</v>
      </c>
    </row>
    <row r="6917" spans="1:7" x14ac:dyDescent="0.3">
      <c r="A6917" s="1" t="s">
        <v>4</v>
      </c>
      <c r="B6917" s="2" t="str">
        <f t="shared" si="569"/>
        <v>BIBLIOTECAS GERAIS DO MV2000 E DO SGPS</v>
      </c>
      <c r="C6917" s="2" t="str">
        <f>""</f>
        <v/>
      </c>
      <c r="D6917" s="2" t="str">
        <f t="shared" si="570"/>
        <v>MV</v>
      </c>
      <c r="E6917" s="2" t="str">
        <f>"R_EXAME_POR_CONVENIO_860"</f>
        <v>R_EXAME_POR_CONVENIO_860</v>
      </c>
      <c r="F6917" s="2" t="str">
        <f>"R_EXAME_POR_CONVENIO_860"</f>
        <v>R_EXAME_POR_CONVENIO_860</v>
      </c>
      <c r="G6917" s="2" t="str">
        <f t="shared" si="573"/>
        <v xml:space="preserve"> ()</v>
      </c>
    </row>
    <row r="6918" spans="1:7" x14ac:dyDescent="0.3">
      <c r="A6918" s="1" t="s">
        <v>4</v>
      </c>
      <c r="B6918" s="2" t="str">
        <f t="shared" si="569"/>
        <v>BIBLIOTECAS GERAIS DO MV2000 E DO SGPS</v>
      </c>
      <c r="C6918" s="2" t="str">
        <f>""</f>
        <v/>
      </c>
      <c r="D6918" s="2" t="str">
        <f t="shared" si="570"/>
        <v>MV</v>
      </c>
      <c r="E6918" s="2" t="str">
        <f>"R_PROC_USUARIO_SOROC"</f>
        <v>R_PROC_USUARIO_SOROC</v>
      </c>
      <c r="F6918" s="2" t="str">
        <f>"R_PROC_USUARIO_SOROC"</f>
        <v>R_PROC_USUARIO_SOROC</v>
      </c>
      <c r="G6918" s="2" t="str">
        <f t="shared" si="573"/>
        <v xml:space="preserve"> ()</v>
      </c>
    </row>
    <row r="6919" spans="1:7" x14ac:dyDescent="0.3">
      <c r="A6919" s="1" t="s">
        <v>4</v>
      </c>
      <c r="B6919" s="2" t="str">
        <f t="shared" si="569"/>
        <v>BIBLIOTECAS GERAIS DO MV2000 E DO SGPS</v>
      </c>
      <c r="C6919" s="2" t="str">
        <f>""</f>
        <v/>
      </c>
      <c r="D6919" s="2" t="str">
        <f t="shared" si="570"/>
        <v>MV</v>
      </c>
      <c r="E6919" s="2" t="str">
        <f>"RELATÓRIO DE GRUPOS DO ATENDIMENTO"</f>
        <v>RELATÓRIO DE GRUPOS DO ATENDIMENTO</v>
      </c>
      <c r="F6919" s="2" t="str">
        <f>"R_INTERNADOS"</f>
        <v>R_INTERNADOS</v>
      </c>
      <c r="G6919" s="2" t="str">
        <f t="shared" si="573"/>
        <v xml:space="preserve"> ()</v>
      </c>
    </row>
    <row r="6920" spans="1:7" x14ac:dyDescent="0.3">
      <c r="A6920" s="1" t="s">
        <v>4</v>
      </c>
      <c r="B6920" s="2" t="str">
        <f t="shared" si="569"/>
        <v>BIBLIOTECAS GERAIS DO MV2000 E DO SGPS</v>
      </c>
      <c r="C6920" s="2" t="str">
        <f>""</f>
        <v/>
      </c>
      <c r="D6920" s="2" t="str">
        <f t="shared" si="570"/>
        <v>MV</v>
      </c>
      <c r="E6920" s="2" t="str">
        <f>"R_CONTA_CUSTO_200"</f>
        <v>R_CONTA_CUSTO_200</v>
      </c>
      <c r="F6920" s="2" t="str">
        <f>"R_CONTA_CUSTO_200"</f>
        <v>R_CONTA_CUSTO_200</v>
      </c>
      <c r="G6920" s="2" t="str">
        <f t="shared" si="573"/>
        <v xml:space="preserve"> ()</v>
      </c>
    </row>
    <row r="6921" spans="1:7" x14ac:dyDescent="0.3">
      <c r="A6921" s="1" t="s">
        <v>4</v>
      </c>
      <c r="B6921" s="2" t="str">
        <f t="shared" si="569"/>
        <v>BIBLIOTECAS GERAIS DO MV2000 E DO SGPS</v>
      </c>
      <c r="C6921" s="2" t="str">
        <f>""</f>
        <v/>
      </c>
      <c r="D6921" s="2" t="str">
        <f t="shared" si="570"/>
        <v>MV</v>
      </c>
      <c r="E6921" s="2" t="str">
        <f>"R_CONTA_CUSTO_201"</f>
        <v>R_CONTA_CUSTO_201</v>
      </c>
      <c r="F6921" s="2" t="str">
        <f>"R_CONTA_CUSTO_201"</f>
        <v>R_CONTA_CUSTO_201</v>
      </c>
      <c r="G6921" s="2" t="str">
        <f t="shared" si="573"/>
        <v xml:space="preserve"> ()</v>
      </c>
    </row>
    <row r="6922" spans="1:7" x14ac:dyDescent="0.3">
      <c r="A6922" s="1" t="s">
        <v>4</v>
      </c>
      <c r="B6922" s="2" t="str">
        <f t="shared" si="569"/>
        <v>BIBLIOTECAS GERAIS DO MV2000 E DO SGPS</v>
      </c>
      <c r="C6922" s="2" t="str">
        <f>""</f>
        <v/>
      </c>
      <c r="D6922" s="2" t="str">
        <f t="shared" si="570"/>
        <v>MV</v>
      </c>
      <c r="E6922" s="2" t="str">
        <f>"USUÁRIOS QUE MUDARÃO DE FAIXA"</f>
        <v>USUÁRIOS QUE MUDARÃO DE FAIXA</v>
      </c>
      <c r="F6922" s="2" t="str">
        <f>"R_USU_MUDA_FAIXA_UNI"</f>
        <v>R_USU_MUDA_FAIXA_UNI</v>
      </c>
      <c r="G6922" s="2" t="str">
        <f t="shared" si="573"/>
        <v xml:space="preserve"> ()</v>
      </c>
    </row>
    <row r="6923" spans="1:7" x14ac:dyDescent="0.3">
      <c r="A6923" s="1" t="s">
        <v>4</v>
      </c>
      <c r="B6923" s="2" t="str">
        <f t="shared" si="569"/>
        <v>BIBLIOTECAS GERAIS DO MV2000 E DO SGPS</v>
      </c>
      <c r="C6923" s="2" t="str">
        <f>""</f>
        <v/>
      </c>
      <c r="D6923" s="2" t="str">
        <f t="shared" si="570"/>
        <v>MV</v>
      </c>
      <c r="E6923" s="2" t="str">
        <f>"C_LANCAM_P321"</f>
        <v>C_LANCAM_P321</v>
      </c>
      <c r="F6923" s="2" t="str">
        <f>"C_LANCAM_P321"</f>
        <v>C_LANCAM_P321</v>
      </c>
      <c r="G6923" s="2" t="str">
        <f t="shared" si="573"/>
        <v xml:space="preserve"> ()</v>
      </c>
    </row>
    <row r="6924" spans="1:7" x14ac:dyDescent="0.3">
      <c r="A6924" s="1" t="s">
        <v>4</v>
      </c>
      <c r="B6924" s="2" t="str">
        <f t="shared" si="569"/>
        <v>BIBLIOTECAS GERAIS DO MV2000 E DO SGPS</v>
      </c>
      <c r="C6924" s="2" t="str">
        <f>""</f>
        <v/>
      </c>
      <c r="D6924" s="2" t="str">
        <f t="shared" si="570"/>
        <v>MV</v>
      </c>
      <c r="E6924" s="2" t="str">
        <f>"RELAÇÃO DE USUÁRIOS ( CONTA CORRENTE )"</f>
        <v>RELAÇÃO DE USUÁRIOS ( CONTA CORRENTE )</v>
      </c>
      <c r="F6924" s="2" t="str">
        <f>"R_ORIGINAL_BOA"</f>
        <v>R_ORIGINAL_BOA</v>
      </c>
      <c r="G6924" s="2" t="str">
        <f t="shared" si="573"/>
        <v xml:space="preserve"> ()</v>
      </c>
    </row>
    <row r="6925" spans="1:7" x14ac:dyDescent="0.3">
      <c r="A6925" s="1" t="s">
        <v>4</v>
      </c>
      <c r="B6925" s="2" t="str">
        <f t="shared" si="569"/>
        <v>BIBLIOTECAS GERAIS DO MV2000 E DO SGPS</v>
      </c>
      <c r="C6925" s="2" t="str">
        <f>""</f>
        <v/>
      </c>
      <c r="D6925" s="2" t="str">
        <f t="shared" si="570"/>
        <v>MV</v>
      </c>
      <c r="E6925" s="2" t="str">
        <f>"ETIQUETAS DE IDENTIFICAÇÃO DE PRODUTOS"</f>
        <v>ETIQUETAS DE IDENTIFICAÇÃO DE PRODUTOS</v>
      </c>
      <c r="F6925" s="2" t="str">
        <f>"R_ETIQ_ID_PROD"</f>
        <v>R_ETIQ_ID_PROD</v>
      </c>
      <c r="G6925" s="2" t="str">
        <f t="shared" si="573"/>
        <v xml:space="preserve"> ()</v>
      </c>
    </row>
    <row r="6926" spans="1:7" x14ac:dyDescent="0.3">
      <c r="A6926" s="1" t="s">
        <v>4</v>
      </c>
      <c r="B6926" s="2" t="str">
        <f t="shared" si="569"/>
        <v>BIBLIOTECAS GERAIS DO MV2000 E DO SGPS</v>
      </c>
      <c r="C6926" s="2" t="str">
        <f>""</f>
        <v/>
      </c>
      <c r="D6926" s="2" t="str">
        <f t="shared" si="570"/>
        <v>MV</v>
      </c>
      <c r="E6926" s="2" t="str">
        <f>"RELATÓRIO DE HORAS ESTIMADAS POR PPO"</f>
        <v>RELATÓRIO DE HORAS ESTIMADAS POR PPO</v>
      </c>
      <c r="F6926" s="2" t="str">
        <f>"R_HR_EST_PPO"</f>
        <v>R_HR_EST_PPO</v>
      </c>
      <c r="G6926" s="2" t="str">
        <f t="shared" si="573"/>
        <v xml:space="preserve"> ()</v>
      </c>
    </row>
    <row r="6927" spans="1:7" x14ac:dyDescent="0.3">
      <c r="A6927" s="1" t="s">
        <v>4</v>
      </c>
      <c r="B6927" s="2" t="str">
        <f t="shared" si="569"/>
        <v>BIBLIOTECAS GERAIS DO MV2000 E DO SGPS</v>
      </c>
      <c r="C6927" s="2" t="str">
        <f>""</f>
        <v/>
      </c>
      <c r="D6927" s="2" t="str">
        <f t="shared" si="570"/>
        <v>MV</v>
      </c>
      <c r="E6927" s="2" t="str">
        <f>"R_HORAS_PRODUZIDAS_X_CLIENTE"</f>
        <v>R_HORAS_PRODUZIDAS_X_CLIENTE</v>
      </c>
      <c r="F6927" s="2" t="str">
        <f>"R_HORAS_PRODUZIDAS_X_CLIENTE"</f>
        <v>R_HORAS_PRODUZIDAS_X_CLIENTE</v>
      </c>
      <c r="G6927" s="2" t="str">
        <f t="shared" si="573"/>
        <v xml:space="preserve"> ()</v>
      </c>
    </row>
    <row r="6928" spans="1:7" x14ac:dyDescent="0.3">
      <c r="A6928" s="1" t="s">
        <v>4</v>
      </c>
      <c r="B6928" s="2" t="str">
        <f t="shared" si="569"/>
        <v>BIBLIOTECAS GERAIS DO MV2000 E DO SGPS</v>
      </c>
      <c r="C6928" s="2" t="str">
        <f>""</f>
        <v/>
      </c>
      <c r="D6928" s="2" t="str">
        <f t="shared" si="570"/>
        <v>MV</v>
      </c>
      <c r="E6928" s="2" t="str">
        <f>"R_EST_INTER_PROCED_CONV_2"</f>
        <v>R_EST_INTER_PROCED_CONV_2</v>
      </c>
      <c r="F6928" s="2" t="str">
        <f>"R_EST_INTER_PROCED_CONV_2"</f>
        <v>R_EST_INTER_PROCED_CONV_2</v>
      </c>
      <c r="G6928" s="2" t="str">
        <f t="shared" si="573"/>
        <v xml:space="preserve"> ()</v>
      </c>
    </row>
    <row r="6929" spans="1:7" x14ac:dyDescent="0.3">
      <c r="A6929" s="1" t="s">
        <v>4</v>
      </c>
      <c r="B6929" s="2" t="str">
        <f t="shared" si="569"/>
        <v>BIBLIOTECAS GERAIS DO MV2000 E DO SGPS</v>
      </c>
      <c r="C6929" s="2" t="str">
        <f>""</f>
        <v/>
      </c>
      <c r="D6929" s="2" t="str">
        <f t="shared" si="570"/>
        <v>MV</v>
      </c>
      <c r="E6929" s="2" t="str">
        <f>"RELATÓRIO DE COTAS DE PRODUTOS POR SETOR"</f>
        <v>RELATÓRIO DE COTAS DE PRODUTOS POR SETOR</v>
      </c>
      <c r="F6929" s="2" t="str">
        <f>"R_COTSLEANDROET"</f>
        <v>R_COTSLEANDROET</v>
      </c>
      <c r="G6929" s="2" t="str">
        <f t="shared" si="573"/>
        <v xml:space="preserve"> ()</v>
      </c>
    </row>
    <row r="6930" spans="1:7" x14ac:dyDescent="0.3">
      <c r="A6930" s="1" t="s">
        <v>4</v>
      </c>
      <c r="B6930" s="2" t="str">
        <f t="shared" si="569"/>
        <v>BIBLIOTECAS GERAIS DO MV2000 E DO SGPS</v>
      </c>
      <c r="C6930" s="2" t="str">
        <f>""</f>
        <v/>
      </c>
      <c r="D6930" s="2" t="str">
        <f t="shared" si="570"/>
        <v>MV</v>
      </c>
      <c r="E6930" s="2" t="str">
        <f>"WIN_PRINCIPAL - 01-HOSPITAL MV SISTEMAS"</f>
        <v>WIN_PRINCIPAL - 01-HOSPITAL MV SISTEMAS</v>
      </c>
      <c r="F6930" s="2" t="str">
        <f>"M_GLOSA_REFERENCIA"</f>
        <v>M_GLOSA_REFERENCIA</v>
      </c>
      <c r="G6930" s="2" t="str">
        <f>"MVSaude / Contas Médicas / Prestadores / Glosas por Referencias (M_GLOSA_REFERENCIA)"</f>
        <v>MVSaude / Contas Médicas / Prestadores / Glosas por Referencias (M_GLOSA_REFERENCIA)</v>
      </c>
    </row>
    <row r="6931" spans="1:7" x14ac:dyDescent="0.3">
      <c r="A6931" s="1" t="s">
        <v>4</v>
      </c>
      <c r="B6931" s="2" t="str">
        <f t="shared" si="569"/>
        <v>BIBLIOTECAS GERAIS DO MV2000 E DO SGPS</v>
      </c>
      <c r="C6931" s="2" t="str">
        <f>""</f>
        <v/>
      </c>
      <c r="D6931" s="2" t="str">
        <f t="shared" si="570"/>
        <v>MV</v>
      </c>
      <c r="E6931" s="2" t="str">
        <f>"M_MEDICAM"</f>
        <v>M_MEDICAM</v>
      </c>
      <c r="F6931" s="2" t="str">
        <f>"M_MEDICAM"</f>
        <v>M_MEDICAM</v>
      </c>
      <c r="G6931" s="2" t="str">
        <f>" ()"</f>
        <v xml:space="preserve"> ()</v>
      </c>
    </row>
    <row r="6932" spans="1:7" x14ac:dyDescent="0.3">
      <c r="A6932" s="1" t="s">
        <v>4</v>
      </c>
      <c r="B6932" s="2" t="str">
        <f t="shared" si="569"/>
        <v>BIBLIOTECAS GERAIS DO MV2000 E DO SGPS</v>
      </c>
      <c r="C6932" s="2" t="str">
        <f>""</f>
        <v/>
      </c>
      <c r="D6932" s="2" t="str">
        <f t="shared" si="570"/>
        <v>MV</v>
      </c>
      <c r="E6932" s="2" t="str">
        <f>"WIN_PRINCIPAL - 01-HOSPITAL MV SISTEMAS"</f>
        <v>WIN_PRINCIPAL - 01-HOSPITAL MV SISTEMAS</v>
      </c>
      <c r="F6932" s="2" t="str">
        <f>"M_MOTIVO_OBITO_MULHER"</f>
        <v>M_MOTIVO_OBITO_MULHER</v>
      </c>
      <c r="G6932" s="2" t="str">
        <f>"MVSaude / ANS / TISS / Tabelas de Domínio / Motivos de Obito em Mulheres (M_MOTIVO_OBITO_MULHER)"</f>
        <v>MVSaude / ANS / TISS / Tabelas de Domínio / Motivos de Obito em Mulheres (M_MOTIVO_OBITO_MULHER)</v>
      </c>
    </row>
    <row r="6933" spans="1:7" x14ac:dyDescent="0.3">
      <c r="A6933" s="1" t="s">
        <v>4</v>
      </c>
      <c r="B6933" s="2" t="str">
        <f t="shared" ref="B6933:B6944" si="574">"CADASTRO DE INTEGRAÇÕES MV"</f>
        <v>CADASTRO DE INTEGRAÇÕES MV</v>
      </c>
      <c r="C6933" s="2" t="str">
        <f>""</f>
        <v/>
      </c>
      <c r="D6933" s="2" t="str">
        <f t="shared" ref="D6933:D6944" si="575">"MVEDI"</f>
        <v>MVEDI</v>
      </c>
      <c r="E6933" s="2" t="str">
        <f>"PROTOCOLO DE NOTA FISCAL"</f>
        <v>PROTOCOLO DE NOTA FISCAL</v>
      </c>
      <c r="F6933" s="2" t="str">
        <f>"O_EXPORTA_CONSUMO"</f>
        <v>O_EXPORTA_CONSUMO</v>
      </c>
      <c r="G6933" s="2" t="str">
        <f>" ()"</f>
        <v xml:space="preserve"> ()</v>
      </c>
    </row>
    <row r="6934" spans="1:7" x14ac:dyDescent="0.3">
      <c r="A6934" s="1" t="s">
        <v>4</v>
      </c>
      <c r="B6934" s="2" t="str">
        <f t="shared" si="574"/>
        <v>CADASTRO DE INTEGRAÇÕES MV</v>
      </c>
      <c r="C6934" s="2" t="str">
        <f>""</f>
        <v/>
      </c>
      <c r="D6934" s="2" t="str">
        <f t="shared" si="575"/>
        <v>MVEDI</v>
      </c>
      <c r="E6934" s="2" t="str">
        <f>"HISTÓRICO PADRÃO (DE-PARA)"</f>
        <v>HISTÓRICO PADRÃO (DE-PARA)</v>
      </c>
      <c r="F6934" s="2" t="str">
        <f>"M_HIST_PADRAO_DE_PARA"</f>
        <v>M_HIST_PADRAO_DE_PARA</v>
      </c>
      <c r="G6934" s="2" t="str">
        <f>" ()"</f>
        <v xml:space="preserve"> ()</v>
      </c>
    </row>
    <row r="6935" spans="1:7" x14ac:dyDescent="0.3">
      <c r="A6935" s="1" t="s">
        <v>4</v>
      </c>
      <c r="B6935" s="2" t="str">
        <f t="shared" si="574"/>
        <v>CADASTRO DE INTEGRAÇÕES MV</v>
      </c>
      <c r="C6935" s="2" t="str">
        <f>""</f>
        <v/>
      </c>
      <c r="D6935" s="2" t="str">
        <f t="shared" si="575"/>
        <v>MVEDI</v>
      </c>
      <c r="E6935" s="2" t="str">
        <f>"PLANO DE CONTAS (DE-PARA)"</f>
        <v>PLANO DE CONTAS (DE-PARA)</v>
      </c>
      <c r="F6935" s="2" t="str">
        <f>"M_PLANO_CONTAS_DE_PARA"</f>
        <v>M_PLANO_CONTAS_DE_PARA</v>
      </c>
      <c r="G6935" s="2" t="str">
        <f>" ()"</f>
        <v xml:space="preserve"> ()</v>
      </c>
    </row>
    <row r="6936" spans="1:7" x14ac:dyDescent="0.3">
      <c r="A6936" s="1" t="s">
        <v>4</v>
      </c>
      <c r="B6936" s="2" t="str">
        <f t="shared" si="574"/>
        <v>CADASTRO DE INTEGRAÇÕES MV</v>
      </c>
      <c r="C6936" s="2" t="str">
        <f>""</f>
        <v/>
      </c>
      <c r="D6936" s="2" t="str">
        <f t="shared" si="575"/>
        <v>MVEDI</v>
      </c>
      <c r="E6936" s="2" t="str">
        <f>"CENTRO DE CUSTOS ( DE-PARA)"</f>
        <v>CENTRO DE CUSTOS ( DE-PARA)</v>
      </c>
      <c r="F6936" s="2" t="str">
        <f>"M_CENTRO_CUSTO_DE_PARA"</f>
        <v>M_CENTRO_CUSTO_DE_PARA</v>
      </c>
      <c r="G6936" s="2" t="str">
        <f>" ()"</f>
        <v xml:space="preserve"> ()</v>
      </c>
    </row>
    <row r="6937" spans="1:7" x14ac:dyDescent="0.3">
      <c r="A6937" s="1" t="s">
        <v>4</v>
      </c>
      <c r="B6937" s="2" t="str">
        <f t="shared" si="574"/>
        <v>CADASTRO DE INTEGRAÇÕES MV</v>
      </c>
      <c r="C6937" s="2" t="str">
        <f>""</f>
        <v/>
      </c>
      <c r="D6937" s="2" t="str">
        <f t="shared" si="575"/>
        <v>MVEDI</v>
      </c>
      <c r="E6937" s="2" t="str">
        <f>"WIN_PRINCIPAL"</f>
        <v>WIN_PRINCIPAL</v>
      </c>
      <c r="F6937" s="2" t="str">
        <f>"M_SOLICITACAO_ATENDIMENTO"</f>
        <v>M_SOLICITACAO_ATENDIMENTO</v>
      </c>
      <c r="G6937" s="2" t="str">
        <f>"MVSaude / Atendimento / Autorizações de Guias / Internação / Atendimento / Solicitação de Atendimento (Central de Regulação) (M_SOLICITACAO_ATENDIMENTO)"</f>
        <v>MVSaude / Atendimento / Autorizações de Guias / Internação / Atendimento / Solicitação de Atendimento (Central de Regulação) (M_SOLICITACAO_ATENDIMENTO)</v>
      </c>
    </row>
    <row r="6938" spans="1:7" x14ac:dyDescent="0.3">
      <c r="A6938" s="1" t="s">
        <v>4</v>
      </c>
      <c r="B6938" s="2" t="str">
        <f t="shared" si="574"/>
        <v>CADASTRO DE INTEGRAÇÕES MV</v>
      </c>
      <c r="C6938" s="2" t="str">
        <f>""</f>
        <v/>
      </c>
      <c r="D6938" s="2" t="str">
        <f t="shared" si="575"/>
        <v>MVEDI</v>
      </c>
      <c r="E6938" s="2" t="str">
        <f>"WIN_PRINCIPAL"</f>
        <v>WIN_PRINCIPAL</v>
      </c>
      <c r="F6938" s="2" t="str">
        <f>"M_SOLICITACAO_ATENDIMENTO"</f>
        <v>M_SOLICITACAO_ATENDIMENTO</v>
      </c>
      <c r="G6938" s="2" t="str">
        <f>"MVSaude / Vendas / Internação / Atendimento / Solicitação de Atendimento (Central de Regulação) (M_SOLICITACAO_ATENDIMENTO)"</f>
        <v>MVSaude / Vendas / Internação / Atendimento / Solicitação de Atendimento (Central de Regulação) (M_SOLICITACAO_ATENDIMENTO)</v>
      </c>
    </row>
    <row r="6939" spans="1:7" x14ac:dyDescent="0.3">
      <c r="A6939" s="1" t="s">
        <v>4</v>
      </c>
      <c r="B6939" s="2" t="str">
        <f t="shared" si="574"/>
        <v>CADASTRO DE INTEGRAÇÕES MV</v>
      </c>
      <c r="C6939" s="2" t="str">
        <f>""</f>
        <v/>
      </c>
      <c r="D6939" s="2" t="str">
        <f t="shared" si="575"/>
        <v>MVEDI</v>
      </c>
      <c r="E6939" s="2" t="str">
        <f>"WIN_PRINCIPAL"</f>
        <v>WIN_PRINCIPAL</v>
      </c>
      <c r="F6939" s="2" t="str">
        <f>"M_SOLICITACAO_ATENDIMENTO"</f>
        <v>M_SOLICITACAO_ATENDIMENTO</v>
      </c>
      <c r="G6939" s="2" t="str">
        <f>"Atendimento / Internação / Atendimento / Solicitação de Atendimento (Central de Regulação) (M_SOLICITACAO_ATENDIMENTO)"</f>
        <v>Atendimento / Internação / Atendimento / Solicitação de Atendimento (Central de Regulação) (M_SOLICITACAO_ATENDIMENTO)</v>
      </c>
    </row>
    <row r="6940" spans="1:7" x14ac:dyDescent="0.3">
      <c r="A6940" s="1" t="s">
        <v>4</v>
      </c>
      <c r="B6940" s="2" t="str">
        <f t="shared" si="574"/>
        <v>CADASTRO DE INTEGRAÇÕES MV</v>
      </c>
      <c r="C6940" s="2" t="str">
        <f>""</f>
        <v/>
      </c>
      <c r="D6940" s="2" t="str">
        <f t="shared" si="575"/>
        <v>MVEDI</v>
      </c>
      <c r="E6940" s="2" t="str">
        <f>"WIN_PRINCIPAL - HOSPITAL MV SISTEMAS"</f>
        <v>WIN_PRINCIPAL - HOSPITAL MV SISTEMAS</v>
      </c>
      <c r="F6940" s="2" t="str">
        <f>"M_TIPO_LIGACAO_TARIFADOR"</f>
        <v>M_TIPO_LIGACAO_TARIFADOR</v>
      </c>
      <c r="G6940" s="2" t="str">
        <f t="shared" ref="G6940:G7003" si="576">" ()"</f>
        <v xml:space="preserve"> ()</v>
      </c>
    </row>
    <row r="6941" spans="1:7" x14ac:dyDescent="0.3">
      <c r="A6941" s="1" t="s">
        <v>4</v>
      </c>
      <c r="B6941" s="2" t="str">
        <f t="shared" si="574"/>
        <v>CADASTRO DE INTEGRAÇÕES MV</v>
      </c>
      <c r="C6941" s="2" t="str">
        <f>""</f>
        <v/>
      </c>
      <c r="D6941" s="2" t="str">
        <f t="shared" si="575"/>
        <v>MVEDI</v>
      </c>
      <c r="E6941" s="2" t="str">
        <f>"TARIFADOR - HOSPITAL MV SISTEMAS"</f>
        <v>TARIFADOR - HOSPITAL MV SISTEMAS</v>
      </c>
      <c r="F6941" s="2" t="str">
        <f>"M_CONFIG_TARIFADOR"</f>
        <v>M_CONFIG_TARIFADOR</v>
      </c>
      <c r="G6941" s="2" t="str">
        <f t="shared" si="576"/>
        <v xml:space="preserve"> ()</v>
      </c>
    </row>
    <row r="6942" spans="1:7" x14ac:dyDescent="0.3">
      <c r="A6942" s="1" t="s">
        <v>4</v>
      </c>
      <c r="B6942" s="2" t="str">
        <f t="shared" si="574"/>
        <v>CADASTRO DE INTEGRAÇÕES MV</v>
      </c>
      <c r="C6942" s="2" t="str">
        <f>""</f>
        <v/>
      </c>
      <c r="D6942" s="2" t="str">
        <f t="shared" si="575"/>
        <v>MVEDI</v>
      </c>
      <c r="E6942" s="2" t="str">
        <f>"PROTOCOLO DE NOTA FISCAL"</f>
        <v>PROTOCOLO DE NOTA FISCAL</v>
      </c>
      <c r="F6942" s="2" t="str">
        <f>"O_EXPORTA_FAT_CONV_PART"</f>
        <v>O_EXPORTA_FAT_CONV_PART</v>
      </c>
      <c r="G6942" s="2" t="str">
        <f t="shared" si="576"/>
        <v xml:space="preserve"> ()</v>
      </c>
    </row>
    <row r="6943" spans="1:7" x14ac:dyDescent="0.3">
      <c r="A6943" s="1" t="s">
        <v>4</v>
      </c>
      <c r="B6943" s="2" t="str">
        <f t="shared" si="574"/>
        <v>CADASTRO DE INTEGRAÇÕES MV</v>
      </c>
      <c r="C6943" s="2" t="str">
        <f>""</f>
        <v/>
      </c>
      <c r="D6943" s="2" t="str">
        <f t="shared" si="575"/>
        <v>MVEDI</v>
      </c>
      <c r="E6943" s="2" t="str">
        <f>"PROTOCOLO DE NOTA FISCAL"</f>
        <v>PROTOCOLO DE NOTA FISCAL</v>
      </c>
      <c r="F6943" s="2" t="str">
        <f>"O_EXPORTA_BAIXA_ESTOQUE"</f>
        <v>O_EXPORTA_BAIXA_ESTOQUE</v>
      </c>
      <c r="G6943" s="2" t="str">
        <f t="shared" si="576"/>
        <v xml:space="preserve"> ()</v>
      </c>
    </row>
    <row r="6944" spans="1:7" x14ac:dyDescent="0.3">
      <c r="A6944" s="1" t="s">
        <v>4</v>
      </c>
      <c r="B6944" s="2" t="str">
        <f t="shared" si="574"/>
        <v>CADASTRO DE INTEGRAÇÕES MV</v>
      </c>
      <c r="C6944" s="2" t="str">
        <f>""</f>
        <v/>
      </c>
      <c r="D6944" s="2" t="str">
        <f t="shared" si="575"/>
        <v>MVEDI</v>
      </c>
      <c r="E6944" s="2" t="str">
        <f>"PROTOCOLO DE NOTA FISCAL"</f>
        <v>PROTOCOLO DE NOTA FISCAL</v>
      </c>
      <c r="F6944" s="2" t="str">
        <f>"O_EXPORTA_INVENTARIO"</f>
        <v>O_EXPORTA_INVENTARIO</v>
      </c>
      <c r="G6944" s="2" t="str">
        <f t="shared" si="576"/>
        <v xml:space="preserve"> ()</v>
      </c>
    </row>
    <row r="6945" spans="1:7" x14ac:dyDescent="0.3">
      <c r="A6945" s="1" t="s">
        <v>4</v>
      </c>
      <c r="B6945" s="2" t="str">
        <f t="shared" ref="B6945:B7008" si="577">"PRONTUARIO ELETRONICO DO PACIENTE"</f>
        <v>PRONTUARIO ELETRONICO DO PACIENTE</v>
      </c>
      <c r="C6945" s="2" t="str">
        <f t="shared" ref="C6945:C7008" si="578">"PEP"</f>
        <v>PEP</v>
      </c>
      <c r="D6945" s="2" t="str">
        <f t="shared" ref="D6945:D7008" si="579">"MVPEP"</f>
        <v>MVPEP</v>
      </c>
      <c r="E6945" s="2" t="str">
        <f>"CHECAGEM DE ENFERMAGEM"</f>
        <v>CHECAGEM DE ENFERMAGEM</v>
      </c>
      <c r="F6945" s="2" t="str">
        <f>"MVPEP_CHECAGEM"</f>
        <v>MVPEP_CHECAGEM</v>
      </c>
      <c r="G6945" s="2" t="str">
        <f t="shared" si="576"/>
        <v xml:space="preserve"> ()</v>
      </c>
    </row>
    <row r="6946" spans="1:7" x14ac:dyDescent="0.3">
      <c r="A6946" s="1" t="s">
        <v>4</v>
      </c>
      <c r="B6946" s="2" t="str">
        <f t="shared" si="577"/>
        <v>PRONTUARIO ELETRONICO DO PACIENTE</v>
      </c>
      <c r="C6946" s="2" t="str">
        <f t="shared" si="578"/>
        <v>PEP</v>
      </c>
      <c r="D6946" s="2" t="str">
        <f t="shared" si="579"/>
        <v>MVPEP</v>
      </c>
      <c r="E6946" s="2" t="str">
        <f>"REGISTRO DE DISPOSITIVOS INVASIVOS"</f>
        <v>REGISTRO DE DISPOSITIVOS INVASIVOS</v>
      </c>
      <c r="F6946" s="2" t="str">
        <f>"MVPEP_CONTROLE_DISPOSITIVOS"</f>
        <v>MVPEP_CONTROLE_DISPOSITIVOS</v>
      </c>
      <c r="G6946" s="2" t="str">
        <f t="shared" si="576"/>
        <v xml:space="preserve"> ()</v>
      </c>
    </row>
    <row r="6947" spans="1:7" x14ac:dyDescent="0.3">
      <c r="A6947" s="1" t="s">
        <v>4</v>
      </c>
      <c r="B6947" s="2" t="str">
        <f t="shared" si="577"/>
        <v>PRONTUARIO ELETRONICO DO PACIENTE</v>
      </c>
      <c r="C6947" s="2" t="str">
        <f t="shared" si="578"/>
        <v>PEP</v>
      </c>
      <c r="D6947" s="2" t="str">
        <f t="shared" si="579"/>
        <v>MVPEP</v>
      </c>
      <c r="E6947" s="2" t="str">
        <f>"INTEGRACAO MVFOR"</f>
        <v>INTEGRACAO MVFOR</v>
      </c>
      <c r="F6947" s="2" t="str">
        <f>"MVPEP_FOR"</f>
        <v>MVPEP_FOR</v>
      </c>
      <c r="G6947" s="2" t="str">
        <f t="shared" si="576"/>
        <v xml:space="preserve"> ()</v>
      </c>
    </row>
    <row r="6948" spans="1:7" x14ac:dyDescent="0.3">
      <c r="A6948" s="1" t="s">
        <v>36</v>
      </c>
      <c r="B6948" s="2" t="str">
        <f t="shared" si="577"/>
        <v>PRONTUARIO ELETRONICO DO PACIENTE</v>
      </c>
      <c r="C6948" s="2" t="str">
        <f t="shared" si="578"/>
        <v>PEP</v>
      </c>
      <c r="D6948" s="2" t="str">
        <f t="shared" si="579"/>
        <v>MVPEP</v>
      </c>
      <c r="E6948" s="2" t="str">
        <f>"PASSAGEM PLANTAO"</f>
        <v>PASSAGEM PLANTAO</v>
      </c>
      <c r="F6948" s="2" t="str">
        <f>"MVPEP_PASSAGEM_PLANTAO"</f>
        <v>MVPEP_PASSAGEM_PLANTAO</v>
      </c>
      <c r="G6948" s="2" t="str">
        <f t="shared" si="576"/>
        <v xml:space="preserve"> ()</v>
      </c>
    </row>
    <row r="6949" spans="1:7" x14ac:dyDescent="0.3">
      <c r="A6949" s="1" t="s">
        <v>4</v>
      </c>
      <c r="B6949" s="2" t="str">
        <f t="shared" si="577"/>
        <v>PRONTUARIO ELETRONICO DO PACIENTE</v>
      </c>
      <c r="C6949" s="2" t="str">
        <f t="shared" si="578"/>
        <v>PEP</v>
      </c>
      <c r="D6949" s="2" t="str">
        <f t="shared" si="579"/>
        <v>MVPEP</v>
      </c>
      <c r="E6949" s="2" t="str">
        <f>"VISUALIZACAO PRONTUARIO"</f>
        <v>VISUALIZACAO PRONTUARIO</v>
      </c>
      <c r="F6949" s="2" t="str">
        <f>"MVPEP_VISUALIZACAO_PRONTUARIO"</f>
        <v>MVPEP_VISUALIZACAO_PRONTUARIO</v>
      </c>
      <c r="G6949" s="2" t="str">
        <f t="shared" si="576"/>
        <v xml:space="preserve"> ()</v>
      </c>
    </row>
    <row r="6950" spans="1:7" x14ac:dyDescent="0.3">
      <c r="A6950" s="1" t="s">
        <v>4</v>
      </c>
      <c r="B6950" s="2" t="str">
        <f t="shared" si="577"/>
        <v>PRONTUARIO ELETRONICO DO PACIENTE</v>
      </c>
      <c r="C6950" s="2" t="str">
        <f t="shared" si="578"/>
        <v>PEP</v>
      </c>
      <c r="D6950" s="2" t="str">
        <f t="shared" si="579"/>
        <v>MVPEP</v>
      </c>
      <c r="E6950" s="2" t="str">
        <f>"PLANO DE CUIDADO ELSEVIER"</f>
        <v>PLANO DE CUIDADO ELSEVIER</v>
      </c>
      <c r="F6950" s="2" t="str">
        <f>"MVPEP_PL_CUIDADO"</f>
        <v>MVPEP_PL_CUIDADO</v>
      </c>
      <c r="G6950" s="2" t="str">
        <f t="shared" si="576"/>
        <v xml:space="preserve"> ()</v>
      </c>
    </row>
    <row r="6951" spans="1:7" x14ac:dyDescent="0.3">
      <c r="A6951" s="1" t="s">
        <v>4</v>
      </c>
      <c r="B6951" s="2" t="str">
        <f t="shared" si="577"/>
        <v>PRONTUARIO ELETRONICO DO PACIENTE</v>
      </c>
      <c r="C6951" s="2" t="str">
        <f t="shared" si="578"/>
        <v>PEP</v>
      </c>
      <c r="D6951" s="2" t="str">
        <f t="shared" si="579"/>
        <v>MVPEP</v>
      </c>
      <c r="E6951" s="2" t="str">
        <f>"RELATORIO DE RESULTADO DE ENFERMAGEM"</f>
        <v>RELATORIO DE RESULTADO DE ENFERMAGEM</v>
      </c>
      <c r="F6951" s="2" t="str">
        <f>"R_RESENF"</f>
        <v>R_RESENF</v>
      </c>
      <c r="G6951" s="2" t="str">
        <f t="shared" si="576"/>
        <v xml:space="preserve"> ()</v>
      </c>
    </row>
    <row r="6952" spans="1:7" x14ac:dyDescent="0.3">
      <c r="A6952" s="1" t="s">
        <v>4</v>
      </c>
      <c r="B6952" s="2" t="str">
        <f t="shared" si="577"/>
        <v>PRONTUARIO ELETRONICO DO PACIENTE</v>
      </c>
      <c r="C6952" s="2" t="str">
        <f t="shared" si="578"/>
        <v>PEP</v>
      </c>
      <c r="D6952" s="2" t="str">
        <f t="shared" si="579"/>
        <v>MVPEP</v>
      </c>
      <c r="E6952" s="2" t="str">
        <f>"RELATORIO DE DIAGNOSTICO DE ENFERMAGEM"</f>
        <v>RELATORIO DE DIAGNOSTICO DE ENFERMAGEM</v>
      </c>
      <c r="F6952" s="2" t="str">
        <f>"R_DIAENF"</f>
        <v>R_DIAENF</v>
      </c>
      <c r="G6952" s="2" t="str">
        <f t="shared" si="576"/>
        <v xml:space="preserve"> ()</v>
      </c>
    </row>
    <row r="6953" spans="1:7" x14ac:dyDescent="0.3">
      <c r="A6953" s="1" t="s">
        <v>4</v>
      </c>
      <c r="B6953" s="2" t="str">
        <f t="shared" si="577"/>
        <v>PRONTUARIO ELETRONICO DO PACIENTE</v>
      </c>
      <c r="C6953" s="2" t="str">
        <f t="shared" si="578"/>
        <v>PEP</v>
      </c>
      <c r="D6953" s="2" t="str">
        <f t="shared" si="579"/>
        <v>MVPEP</v>
      </c>
      <c r="E6953" s="2" t="str">
        <f>"RELATORIO DE HISTORICO DE ENFERMAGEM"</f>
        <v>RELATORIO DE HISTORICO DE ENFERMAGEM</v>
      </c>
      <c r="F6953" s="2" t="str">
        <f>"R_HISENF"</f>
        <v>R_HISENF</v>
      </c>
      <c r="G6953" s="2" t="str">
        <f t="shared" si="576"/>
        <v xml:space="preserve"> ()</v>
      </c>
    </row>
    <row r="6954" spans="1:7" x14ac:dyDescent="0.3">
      <c r="A6954" s="1" t="s">
        <v>17</v>
      </c>
      <c r="B6954" s="2" t="str">
        <f t="shared" si="577"/>
        <v>PRONTUARIO ELETRONICO DO PACIENTE</v>
      </c>
      <c r="C6954" s="2" t="str">
        <f t="shared" si="578"/>
        <v>PEP</v>
      </c>
      <c r="D6954" s="2" t="str">
        <f t="shared" si="579"/>
        <v>MVPEP</v>
      </c>
      <c r="E6954" s="2" t="str">
        <f>"CHAMADAS A LINKS DENTRO DO MVPEP"</f>
        <v>CHAMADAS A LINKS DENTRO DO MVPEP</v>
      </c>
      <c r="F6954" s="2" t="str">
        <f>"MVPEP_LINK_SEGURO"</f>
        <v>MVPEP_LINK_SEGURO</v>
      </c>
      <c r="G6954" s="2" t="str">
        <f t="shared" si="576"/>
        <v xml:space="preserve"> ()</v>
      </c>
    </row>
    <row r="6955" spans="1:7" x14ac:dyDescent="0.3">
      <c r="A6955" s="1" t="s">
        <v>17</v>
      </c>
      <c r="B6955" s="2" t="str">
        <f t="shared" si="577"/>
        <v>PRONTUARIO ELETRONICO DO PACIENTE</v>
      </c>
      <c r="C6955" s="2" t="str">
        <f t="shared" si="578"/>
        <v>PEP</v>
      </c>
      <c r="D6955" s="2" t="str">
        <f t="shared" si="579"/>
        <v>MVPEP</v>
      </c>
      <c r="E6955" s="2" t="str">
        <f>"CHAMADAS A CHECAGEM MOBILE NO MVPEP"</f>
        <v>CHAMADAS A CHECAGEM MOBILE NO MVPEP</v>
      </c>
      <c r="F6955" s="2" t="str">
        <f>"MVPEP_CHECAGEM_MOBILE"</f>
        <v>MVPEP_CHECAGEM_MOBILE</v>
      </c>
      <c r="G6955" s="2" t="str">
        <f t="shared" si="576"/>
        <v xml:space="preserve"> ()</v>
      </c>
    </row>
    <row r="6956" spans="1:7" x14ac:dyDescent="0.3">
      <c r="A6956" s="1" t="s">
        <v>36</v>
      </c>
      <c r="B6956" s="2" t="str">
        <f t="shared" si="577"/>
        <v>PRONTUARIO ELETRONICO DO PACIENTE</v>
      </c>
      <c r="C6956" s="2" t="str">
        <f t="shared" si="578"/>
        <v>PEP</v>
      </c>
      <c r="D6956" s="2" t="str">
        <f t="shared" si="579"/>
        <v>MVPEP</v>
      </c>
      <c r="E6956" s="2" t="str">
        <f>"COCKPIT"</f>
        <v>COCKPIT</v>
      </c>
      <c r="F6956" s="2" t="str">
        <f>"MVPEP_COCKPIT"</f>
        <v>MVPEP_COCKPIT</v>
      </c>
      <c r="G6956" s="2" t="str">
        <f t="shared" si="576"/>
        <v xml:space="preserve"> ()</v>
      </c>
    </row>
    <row r="6957" spans="1:7" x14ac:dyDescent="0.3">
      <c r="A6957" s="1" t="s">
        <v>4</v>
      </c>
      <c r="B6957" s="2" t="str">
        <f t="shared" si="577"/>
        <v>PRONTUARIO ELETRONICO DO PACIENTE</v>
      </c>
      <c r="C6957" s="2" t="str">
        <f t="shared" si="578"/>
        <v>PEP</v>
      </c>
      <c r="D6957" s="2" t="str">
        <f t="shared" si="579"/>
        <v>MVPEP</v>
      </c>
      <c r="E6957" s="2" t="str">
        <f>"ALERGIAS E EVENTOS ADVERSOS DO PACIENTE"</f>
        <v>ALERGIAS E EVENTOS ADVERSOS DO PACIENTE</v>
      </c>
      <c r="F6957" s="2" t="str">
        <f>"MVPEP_ALERGIAS_EVENTOS"</f>
        <v>MVPEP_ALERGIAS_EVENTOS</v>
      </c>
      <c r="G6957" s="2" t="str">
        <f t="shared" si="576"/>
        <v xml:space="preserve"> ()</v>
      </c>
    </row>
    <row r="6958" spans="1:7" x14ac:dyDescent="0.3">
      <c r="A6958" s="1" t="s">
        <v>36</v>
      </c>
      <c r="B6958" s="2" t="str">
        <f t="shared" si="577"/>
        <v>PRONTUARIO ELETRONICO DO PACIENTE</v>
      </c>
      <c r="C6958" s="2" t="str">
        <f t="shared" si="578"/>
        <v>PEP</v>
      </c>
      <c r="D6958" s="2" t="str">
        <f t="shared" si="579"/>
        <v>MVPEP</v>
      </c>
      <c r="E6958" s="2" t="str">
        <f>"AUT. DE VISUALIZACAO PRONTUARIO"</f>
        <v>AUT. DE VISUALIZACAO PRONTUARIO</v>
      </c>
      <c r="F6958" s="2" t="str">
        <f>"MVPEP_AUTOR_ACESSO_PRONTUARIO"</f>
        <v>MVPEP_AUTOR_ACESSO_PRONTUARIO</v>
      </c>
      <c r="G6958" s="2" t="str">
        <f t="shared" si="576"/>
        <v xml:space="preserve"> ()</v>
      </c>
    </row>
    <row r="6959" spans="1:7" x14ac:dyDescent="0.3">
      <c r="A6959" s="1" t="s">
        <v>4</v>
      </c>
      <c r="B6959" s="2" t="str">
        <f t="shared" si="577"/>
        <v>PRONTUARIO ELETRONICO DO PACIENTE</v>
      </c>
      <c r="C6959" s="2" t="str">
        <f t="shared" si="578"/>
        <v>PEP</v>
      </c>
      <c r="D6959" s="2" t="str">
        <f t="shared" si="579"/>
        <v>MVPEP</v>
      </c>
      <c r="E6959" s="2" t="str">
        <f>"PLANO CUIDADO"</f>
        <v>PLANO CUIDADO</v>
      </c>
      <c r="F6959" s="2" t="str">
        <f>"MVPEP_PLANO_CUIDADO"</f>
        <v>MVPEP_PLANO_CUIDADO</v>
      </c>
      <c r="G6959" s="2" t="str">
        <f t="shared" si="576"/>
        <v xml:space="preserve"> ()</v>
      </c>
    </row>
    <row r="6960" spans="1:7" x14ac:dyDescent="0.3">
      <c r="A6960" s="1" t="s">
        <v>36</v>
      </c>
      <c r="B6960" s="2" t="str">
        <f t="shared" si="577"/>
        <v>PRONTUARIO ELETRONICO DO PACIENTE</v>
      </c>
      <c r="C6960" s="2" t="str">
        <f t="shared" si="578"/>
        <v>PEP</v>
      </c>
      <c r="D6960" s="2" t="str">
        <f t="shared" si="579"/>
        <v>MVPEP</v>
      </c>
      <c r="E6960" s="2" t="str">
        <f>"LISTA PARA AVALIA??O FARMAC?UTICA"</f>
        <v>LISTA PARA AVALIA??O FARMAC?UTICA</v>
      </c>
      <c r="F6960" s="2" t="str">
        <f>"MVPEP_LISTA_PACIENTE_AVAL_FARM"</f>
        <v>MVPEP_LISTA_PACIENTE_AVAL_FARM</v>
      </c>
      <c r="G6960" s="2" t="str">
        <f t="shared" si="576"/>
        <v xml:space="preserve"> ()</v>
      </c>
    </row>
    <row r="6961" spans="1:7" x14ac:dyDescent="0.3">
      <c r="A6961" s="1" t="s">
        <v>36</v>
      </c>
      <c r="B6961" s="2" t="str">
        <f t="shared" si="577"/>
        <v>PRONTUARIO ELETRONICO DO PACIENTE</v>
      </c>
      <c r="C6961" s="2" t="str">
        <f t="shared" si="578"/>
        <v>PEP</v>
      </c>
      <c r="D6961" s="2" t="str">
        <f t="shared" si="579"/>
        <v>MVPEP</v>
      </c>
      <c r="E6961" s="2" t="str">
        <f>"AGENDA DE PACIENTES PARA TRATAMENTO"</f>
        <v>AGENDA DE PACIENTES PARA TRATAMENTO</v>
      </c>
      <c r="F6961" s="2" t="str">
        <f>"MVPEP_AGENDA_PACIENTE_TRATAMENTO"</f>
        <v>MVPEP_AGENDA_PACIENTE_TRATAMENTO</v>
      </c>
      <c r="G6961" s="2" t="str">
        <f t="shared" si="576"/>
        <v xml:space="preserve"> ()</v>
      </c>
    </row>
    <row r="6962" spans="1:7" x14ac:dyDescent="0.3">
      <c r="A6962" s="1" t="s">
        <v>4</v>
      </c>
      <c r="B6962" s="2" t="str">
        <f t="shared" si="577"/>
        <v>PRONTUARIO ELETRONICO DO PACIENTE</v>
      </c>
      <c r="C6962" s="2" t="str">
        <f t="shared" si="578"/>
        <v>PEP</v>
      </c>
      <c r="D6962" s="2" t="str">
        <f t="shared" si="579"/>
        <v>MVPEP</v>
      </c>
      <c r="E6962" s="2" t="str">
        <f>"FECHAMENTO DO ATENDIMENTO"</f>
        <v>FECHAMENTO DO ATENDIMENTO</v>
      </c>
      <c r="F6962" s="2" t="str">
        <f>"MVPEP_TEMA_FECHAMENTO"</f>
        <v>MVPEP_TEMA_FECHAMENTO</v>
      </c>
      <c r="G6962" s="2" t="str">
        <f t="shared" si="576"/>
        <v xml:space="preserve"> ()</v>
      </c>
    </row>
    <row r="6963" spans="1:7" x14ac:dyDescent="0.3">
      <c r="A6963" s="1" t="s">
        <v>4</v>
      </c>
      <c r="B6963" s="2" t="str">
        <f t="shared" si="577"/>
        <v>PRONTUARIO ELETRONICO DO PACIENTE</v>
      </c>
      <c r="C6963" s="2" t="str">
        <f t="shared" si="578"/>
        <v>PEP</v>
      </c>
      <c r="D6963" s="2" t="str">
        <f t="shared" si="579"/>
        <v>MVPEP</v>
      </c>
      <c r="E6963" s="2" t="str">
        <f>"REGISTRO DO PAINEL CLINICO"</f>
        <v>REGISTRO DO PAINEL CLINICO</v>
      </c>
      <c r="F6963" s="2" t="str">
        <f>"MVPEP_PAINEL_CLINICO"</f>
        <v>MVPEP_PAINEL_CLINICO</v>
      </c>
      <c r="G6963" s="2" t="str">
        <f t="shared" si="576"/>
        <v xml:space="preserve"> ()</v>
      </c>
    </row>
    <row r="6964" spans="1:7" x14ac:dyDescent="0.3">
      <c r="A6964" s="1" t="s">
        <v>17</v>
      </c>
      <c r="B6964" s="2" t="str">
        <f t="shared" si="577"/>
        <v>PRONTUARIO ELETRONICO DO PACIENTE</v>
      </c>
      <c r="C6964" s="2" t="str">
        <f t="shared" si="578"/>
        <v>PEP</v>
      </c>
      <c r="D6964" s="2" t="str">
        <f t="shared" si="579"/>
        <v>MVPEP</v>
      </c>
      <c r="E6964" s="2" t="str">
        <f>"IMPRESSAO DE ETIQUETA DE ITENS EXTERNO"</f>
        <v>IMPRESSAO DE ETIQUETA DE ITENS EXTERNO</v>
      </c>
      <c r="F6964" s="2" t="str">
        <f>"MVPEP_ETIQUETA_ITEM_EXTERNO"</f>
        <v>MVPEP_ETIQUETA_ITEM_EXTERNO</v>
      </c>
      <c r="G6964" s="2" t="str">
        <f t="shared" si="576"/>
        <v xml:space="preserve"> ()</v>
      </c>
    </row>
    <row r="6965" spans="1:7" x14ac:dyDescent="0.3">
      <c r="A6965" s="1" t="s">
        <v>4</v>
      </c>
      <c r="B6965" s="2" t="str">
        <f t="shared" si="577"/>
        <v>PRONTUARIO ELETRONICO DO PACIENTE</v>
      </c>
      <c r="C6965" s="2" t="str">
        <f t="shared" si="578"/>
        <v>PEP</v>
      </c>
      <c r="D6965" s="2" t="str">
        <f t="shared" si="579"/>
        <v>MVPEP</v>
      </c>
      <c r="E6965" s="2" t="str">
        <f>"RESUMO DE ACOLHIMENTO"</f>
        <v>RESUMO DE ACOLHIMENTO</v>
      </c>
      <c r="F6965" s="2" t="str">
        <f>"MVPEP_SACR_RESUMO_ACOLHIMENTO"</f>
        <v>MVPEP_SACR_RESUMO_ACOLHIMENTO</v>
      </c>
      <c r="G6965" s="2" t="str">
        <f t="shared" si="576"/>
        <v xml:space="preserve"> ()</v>
      </c>
    </row>
    <row r="6966" spans="1:7" x14ac:dyDescent="0.3">
      <c r="A6966" s="1" t="s">
        <v>4</v>
      </c>
      <c r="B6966" s="2" t="str">
        <f t="shared" si="577"/>
        <v>PRONTUARIO ELETRONICO DO PACIENTE</v>
      </c>
      <c r="C6966" s="2" t="str">
        <f t="shared" si="578"/>
        <v>PEP</v>
      </c>
      <c r="D6966" s="2" t="str">
        <f t="shared" si="579"/>
        <v>MVPEP</v>
      </c>
      <c r="E6966" s="2" t="str">
        <f>"AVALIACAO FARMACEUTICA TEMA"</f>
        <v>AVALIACAO FARMACEUTICA TEMA</v>
      </c>
      <c r="F6966" s="2" t="str">
        <f>"MVPEP_TEMA_AVAL_FARMACIA"</f>
        <v>MVPEP_TEMA_AVAL_FARMACIA</v>
      </c>
      <c r="G6966" s="2" t="str">
        <f t="shared" si="576"/>
        <v xml:space="preserve"> ()</v>
      </c>
    </row>
    <row r="6967" spans="1:7" x14ac:dyDescent="0.3">
      <c r="A6967" s="1" t="s">
        <v>36</v>
      </c>
      <c r="B6967" s="2" t="str">
        <f t="shared" si="577"/>
        <v>PRONTUARIO ELETRONICO DO PACIENTE</v>
      </c>
      <c r="C6967" s="2" t="str">
        <f t="shared" si="578"/>
        <v>PEP</v>
      </c>
      <c r="D6967" s="2" t="str">
        <f t="shared" si="579"/>
        <v>MVPEP</v>
      </c>
      <c r="E6967" s="2" t="str">
        <f>"LISTA DE PACIENTES GENERICA"</f>
        <v>LISTA DE PACIENTES GENERICA</v>
      </c>
      <c r="F6967" s="2" t="str">
        <f>"MVPEP_LISTA_PACIENTE_GENERICA"</f>
        <v>MVPEP_LISTA_PACIENTE_GENERICA</v>
      </c>
      <c r="G6967" s="2" t="str">
        <f t="shared" si="576"/>
        <v xml:space="preserve"> ()</v>
      </c>
    </row>
    <row r="6968" spans="1:7" x14ac:dyDescent="0.3">
      <c r="A6968" s="1" t="s">
        <v>36</v>
      </c>
      <c r="B6968" s="2" t="str">
        <f t="shared" si="577"/>
        <v>PRONTUARIO ELETRONICO DO PACIENTE</v>
      </c>
      <c r="C6968" s="2" t="str">
        <f t="shared" si="578"/>
        <v>PEP</v>
      </c>
      <c r="D6968" s="2" t="str">
        <f t="shared" si="579"/>
        <v>MVPEP</v>
      </c>
      <c r="E6968" s="2" t="str">
        <f>"AGENDA DE PACIENTES GENERICA"</f>
        <v>AGENDA DE PACIENTES GENERICA</v>
      </c>
      <c r="F6968" s="2" t="str">
        <f>"MVPEP_AGENDA_PACIENTE_GENERICA"</f>
        <v>MVPEP_AGENDA_PACIENTE_GENERICA</v>
      </c>
      <c r="G6968" s="2" t="str">
        <f t="shared" si="576"/>
        <v xml:space="preserve"> ()</v>
      </c>
    </row>
    <row r="6969" spans="1:7" x14ac:dyDescent="0.3">
      <c r="A6969" s="1" t="s">
        <v>4</v>
      </c>
      <c r="B6969" s="2" t="str">
        <f t="shared" si="577"/>
        <v>PRONTUARIO ELETRONICO DO PACIENTE</v>
      </c>
      <c r="C6969" s="2" t="str">
        <f t="shared" si="578"/>
        <v>PEP</v>
      </c>
      <c r="D6969" s="2" t="str">
        <f t="shared" si="579"/>
        <v>MVPEP</v>
      </c>
      <c r="E6969" s="2" t="str">
        <f>"PROBLEMAS DO PACIENTE"</f>
        <v>PROBLEMAS DO PACIENTE</v>
      </c>
      <c r="F6969" s="2" t="str">
        <f>"MVPEP_PROBLEMAS_PACIENTE"</f>
        <v>MVPEP_PROBLEMAS_PACIENTE</v>
      </c>
      <c r="G6969" s="2" t="str">
        <f t="shared" si="576"/>
        <v xml:space="preserve"> ()</v>
      </c>
    </row>
    <row r="6970" spans="1:7" x14ac:dyDescent="0.3">
      <c r="A6970" s="1" t="s">
        <v>4</v>
      </c>
      <c r="B6970" s="2" t="str">
        <f t="shared" si="577"/>
        <v>PRONTUARIO ELETRONICO DO PACIENTE</v>
      </c>
      <c r="C6970" s="2" t="str">
        <f t="shared" si="578"/>
        <v>PEP</v>
      </c>
      <c r="D6970" s="2" t="str">
        <f t="shared" si="579"/>
        <v>MVPEP</v>
      </c>
      <c r="E6970" s="2" t="str">
        <f>"PESQUISA NO PRONTUARIO"</f>
        <v>PESQUISA NO PRONTUARIO</v>
      </c>
      <c r="F6970" s="2" t="str">
        <f>"MVPEP_PRONTUARIO_PESQNO"</f>
        <v>MVPEP_PRONTUARIO_PESQNO</v>
      </c>
      <c r="G6970" s="2" t="str">
        <f t="shared" si="576"/>
        <v xml:space="preserve"> ()</v>
      </c>
    </row>
    <row r="6971" spans="1:7" x14ac:dyDescent="0.3">
      <c r="A6971" s="1" t="s">
        <v>17</v>
      </c>
      <c r="B6971" s="2" t="str">
        <f t="shared" si="577"/>
        <v>PRONTUARIO ELETRONICO DO PACIENTE</v>
      </c>
      <c r="C6971" s="2" t="str">
        <f t="shared" si="578"/>
        <v>PEP</v>
      </c>
      <c r="D6971" s="2" t="str">
        <f t="shared" si="579"/>
        <v>MVPEP</v>
      </c>
      <c r="E6971" s="2" t="str">
        <f>"ALERTAS"</f>
        <v>ALERTAS</v>
      </c>
      <c r="F6971" s="2" t="str">
        <f>"MVPEP_NOTIFICACOES_AREAPESSOAL"</f>
        <v>MVPEP_NOTIFICACOES_AREAPESSOAL</v>
      </c>
      <c r="G6971" s="2" t="str">
        <f t="shared" si="576"/>
        <v xml:space="preserve"> ()</v>
      </c>
    </row>
    <row r="6972" spans="1:7" x14ac:dyDescent="0.3">
      <c r="A6972" s="1" t="s">
        <v>4</v>
      </c>
      <c r="B6972" s="2" t="str">
        <f t="shared" si="577"/>
        <v>PRONTUARIO ELETRONICO DO PACIENTE</v>
      </c>
      <c r="C6972" s="2" t="str">
        <f t="shared" si="578"/>
        <v>PEP</v>
      </c>
      <c r="D6972" s="2" t="str">
        <f t="shared" si="579"/>
        <v>MVPEP</v>
      </c>
      <c r="E6972" s="2" t="str">
        <f>"BALANCO HIDRICO AGRUPADO"</f>
        <v>BALANCO HIDRICO AGRUPADO</v>
      </c>
      <c r="F6972" s="2" t="str">
        <f>"MVPEP_BALANCO_HIDRICO_AGRUPADO"</f>
        <v>MVPEP_BALANCO_HIDRICO_AGRUPADO</v>
      </c>
      <c r="G6972" s="2" t="str">
        <f t="shared" si="576"/>
        <v xml:space="preserve"> ()</v>
      </c>
    </row>
    <row r="6973" spans="1:7" x14ac:dyDescent="0.3">
      <c r="A6973" s="1" t="s">
        <v>4</v>
      </c>
      <c r="B6973" s="2" t="str">
        <f t="shared" si="577"/>
        <v>PRONTUARIO ELETRONICO DO PACIENTE</v>
      </c>
      <c r="C6973" s="2" t="str">
        <f t="shared" si="578"/>
        <v>PEP</v>
      </c>
      <c r="D6973" s="2" t="str">
        <f t="shared" si="579"/>
        <v>MVPEP</v>
      </c>
      <c r="E6973" s="2" t="str">
        <f>"solicitacao PRORROGACAO INTERNACAO TEMA"</f>
        <v>solicitacao PRORROGACAO INTERNACAO TEMA</v>
      </c>
      <c r="F6973" s="2" t="str">
        <f>"MVPEP_TEMA_SOLICIT_PRORROG_INTERN"</f>
        <v>MVPEP_TEMA_SOLICIT_PRORROG_INTERN</v>
      </c>
      <c r="G6973" s="2" t="str">
        <f t="shared" si="576"/>
        <v xml:space="preserve"> ()</v>
      </c>
    </row>
    <row r="6974" spans="1:7" x14ac:dyDescent="0.3">
      <c r="A6974" s="1" t="s">
        <v>4</v>
      </c>
      <c r="B6974" s="2" t="str">
        <f t="shared" si="577"/>
        <v>PRONTUARIO ELETRONICO DO PACIENTE</v>
      </c>
      <c r="C6974" s="2" t="str">
        <f t="shared" si="578"/>
        <v>PEP</v>
      </c>
      <c r="D6974" s="2" t="str">
        <f t="shared" si="579"/>
        <v>MVPEP</v>
      </c>
      <c r="E6974" s="2" t="str">
        <f>"RESULTADO CONSULTA EXAME LABORATORIO"</f>
        <v>RESULTADO CONSULTA EXAME LABORATORIO</v>
      </c>
      <c r="F6974" s="2" t="str">
        <f>"MVPEP_CONSULTA_EXAME_LABORATORIAL"</f>
        <v>MVPEP_CONSULTA_EXAME_LABORATORIAL</v>
      </c>
      <c r="G6974" s="2" t="str">
        <f t="shared" si="576"/>
        <v xml:space="preserve"> ()</v>
      </c>
    </row>
    <row r="6975" spans="1:7" x14ac:dyDescent="0.3">
      <c r="A6975" s="1" t="s">
        <v>17</v>
      </c>
      <c r="B6975" s="2" t="str">
        <f t="shared" si="577"/>
        <v>PRONTUARIO ELETRONICO DO PACIENTE</v>
      </c>
      <c r="C6975" s="2" t="str">
        <f t="shared" si="578"/>
        <v>PEP</v>
      </c>
      <c r="D6975" s="2" t="str">
        <f t="shared" si="579"/>
        <v>MVPEP</v>
      </c>
      <c r="E6975" s="2" t="str">
        <f>"CHAMADAS AO SISTEMA PORTAL NO MVPEP"</f>
        <v>CHAMADAS AO SISTEMA PORTAL NO MVPEP</v>
      </c>
      <c r="F6975" s="2" t="str">
        <f>"MVPEP_PORTAL"</f>
        <v>MVPEP_PORTAL</v>
      </c>
      <c r="G6975" s="2" t="str">
        <f t="shared" si="576"/>
        <v xml:space="preserve"> ()</v>
      </c>
    </row>
    <row r="6976" spans="1:7" x14ac:dyDescent="0.3">
      <c r="A6976" s="1" t="s">
        <v>4</v>
      </c>
      <c r="B6976" s="2" t="str">
        <f t="shared" si="577"/>
        <v>PRONTUARIO ELETRONICO DO PACIENTE</v>
      </c>
      <c r="C6976" s="2" t="str">
        <f t="shared" si="578"/>
        <v>PEP</v>
      </c>
      <c r="D6976" s="2" t="str">
        <f t="shared" si="579"/>
        <v>MVPEP</v>
      </c>
      <c r="E6976" s="2" t="str">
        <f>"LEGADO CLINICO"</f>
        <v>LEGADO CLINICO</v>
      </c>
      <c r="F6976" s="2" t="str">
        <f>"MVPEP_TEMA_LEGADO"</f>
        <v>MVPEP_TEMA_LEGADO</v>
      </c>
      <c r="G6976" s="2" t="str">
        <f t="shared" si="576"/>
        <v xml:space="preserve"> ()</v>
      </c>
    </row>
    <row r="6977" spans="1:7" x14ac:dyDescent="0.3">
      <c r="A6977" s="1" t="s">
        <v>4</v>
      </c>
      <c r="B6977" s="2" t="str">
        <f t="shared" si="577"/>
        <v>PRONTUARIO ELETRONICO DO PACIENTE</v>
      </c>
      <c r="C6977" s="2" t="str">
        <f t="shared" si="578"/>
        <v>PEP</v>
      </c>
      <c r="D6977" s="2" t="str">
        <f t="shared" si="579"/>
        <v>MVPEP</v>
      </c>
      <c r="E6977" s="2" t="str">
        <f>"GRUPO DE DOCUMENTO"</f>
        <v>GRUPO DE DOCUMENTO</v>
      </c>
      <c r="F6977" s="2" t="str">
        <f>"MVPEP_TEMA_GRUPO_DOCUMENTO"</f>
        <v>MVPEP_TEMA_GRUPO_DOCUMENTO</v>
      </c>
      <c r="G6977" s="2" t="str">
        <f t="shared" si="576"/>
        <v xml:space="preserve"> ()</v>
      </c>
    </row>
    <row r="6978" spans="1:7" x14ac:dyDescent="0.3">
      <c r="A6978" s="1" t="s">
        <v>4</v>
      </c>
      <c r="B6978" s="2" t="str">
        <f t="shared" si="577"/>
        <v>PRONTUARIO ELETRONICO DO PACIENTE</v>
      </c>
      <c r="C6978" s="2" t="str">
        <f t="shared" si="578"/>
        <v>PEP</v>
      </c>
      <c r="D6978" s="2" t="str">
        <f t="shared" si="579"/>
        <v>MVPEP</v>
      </c>
      <c r="E6978" s="2" t="str">
        <f>"DOCUMENTOS ELETRONICOS ASSIST. - NOVO"</f>
        <v>DOCUMENTOS ELETRONICOS ASSIST. - NOVO</v>
      </c>
      <c r="F6978" s="2" t="str">
        <f>"MVPEP_TEMA_DOC_ELETRONICO"</f>
        <v>MVPEP_TEMA_DOC_ELETRONICO</v>
      </c>
      <c r="G6978" s="2" t="str">
        <f t="shared" si="576"/>
        <v xml:space="preserve"> ()</v>
      </c>
    </row>
    <row r="6979" spans="1:7" x14ac:dyDescent="0.3">
      <c r="A6979" s="1" t="s">
        <v>4</v>
      </c>
      <c r="B6979" s="2" t="str">
        <f t="shared" si="577"/>
        <v>PRONTUARIO ELETRONICO DO PACIENTE</v>
      </c>
      <c r="C6979" s="2" t="str">
        <f t="shared" si="578"/>
        <v>PEP</v>
      </c>
      <c r="D6979" s="2" t="str">
        <f t="shared" si="579"/>
        <v>MVPEP</v>
      </c>
      <c r="E6979" s="2" t="str">
        <f>"RESULTADO DE ENFERMAGEM TEMA"</f>
        <v>RESULTADO DE ENFERMAGEM TEMA</v>
      </c>
      <c r="F6979" s="2" t="str">
        <f>"MVPEP_TEMA_RESULTADO_ENFERMAGEM"</f>
        <v>MVPEP_TEMA_RESULTADO_ENFERMAGEM</v>
      </c>
      <c r="G6979" s="2" t="str">
        <f t="shared" si="576"/>
        <v xml:space="preserve"> ()</v>
      </c>
    </row>
    <row r="6980" spans="1:7" x14ac:dyDescent="0.3">
      <c r="A6980" s="1" t="s">
        <v>4</v>
      </c>
      <c r="B6980" s="2" t="str">
        <f t="shared" si="577"/>
        <v>PRONTUARIO ELETRONICO DO PACIENTE</v>
      </c>
      <c r="C6980" s="2" t="str">
        <f t="shared" si="578"/>
        <v>PEP</v>
      </c>
      <c r="D6980" s="2" t="str">
        <f t="shared" si="579"/>
        <v>MVPEP</v>
      </c>
      <c r="E6980" s="2" t="str">
        <f>"MENU AGRUPADOR - SUBMENU"</f>
        <v>MENU AGRUPADOR - SUBMENU</v>
      </c>
      <c r="F6980" s="2" t="str">
        <f>"MVPEP_SEG_AGRUPADOR"</f>
        <v>MVPEP_SEG_AGRUPADOR</v>
      </c>
      <c r="G6980" s="2" t="str">
        <f t="shared" si="576"/>
        <v xml:space="preserve"> ()</v>
      </c>
    </row>
    <row r="6981" spans="1:7" x14ac:dyDescent="0.3">
      <c r="A6981" s="1" t="s">
        <v>4</v>
      </c>
      <c r="B6981" s="2" t="str">
        <f t="shared" si="577"/>
        <v>PRONTUARIO ELETRONICO DO PACIENTE</v>
      </c>
      <c r="C6981" s="2" t="str">
        <f t="shared" si="578"/>
        <v>PEP</v>
      </c>
      <c r="D6981" s="2" t="str">
        <f t="shared" si="579"/>
        <v>MVPEP</v>
      </c>
      <c r="E6981" s="2" t="str">
        <f>"RESULTADO DE ENFERMAGEM"</f>
        <v>RESULTADO DE ENFERMAGEM</v>
      </c>
      <c r="F6981" s="2" t="str">
        <f>"MVPEP_RESULTADO_ENFERMAGEM"</f>
        <v>MVPEP_RESULTADO_ENFERMAGEM</v>
      </c>
      <c r="G6981" s="2" t="str">
        <f t="shared" si="576"/>
        <v xml:space="preserve"> ()</v>
      </c>
    </row>
    <row r="6982" spans="1:7" x14ac:dyDescent="0.3">
      <c r="A6982" s="1" t="s">
        <v>4</v>
      </c>
      <c r="B6982" s="2" t="str">
        <f t="shared" si="577"/>
        <v>PRONTUARIO ELETRONICO DO PACIENTE</v>
      </c>
      <c r="C6982" s="2" t="str">
        <f t="shared" si="578"/>
        <v>PEP</v>
      </c>
      <c r="D6982" s="2" t="str">
        <f t="shared" si="579"/>
        <v>MVPEP</v>
      </c>
      <c r="E6982" s="2" t="str">
        <f>"RESUMO FAM?LIA"</f>
        <v>RESUMO FAM?LIA</v>
      </c>
      <c r="F6982" s="2" t="str">
        <f>"MVPEP_RESUMO_FAMILIA"</f>
        <v>MVPEP_RESUMO_FAMILIA</v>
      </c>
      <c r="G6982" s="2" t="str">
        <f t="shared" si="576"/>
        <v xml:space="preserve"> ()</v>
      </c>
    </row>
    <row r="6983" spans="1:7" x14ac:dyDescent="0.3">
      <c r="A6983" s="1" t="s">
        <v>4</v>
      </c>
      <c r="B6983" s="2" t="str">
        <f t="shared" si="577"/>
        <v>PRONTUARIO ELETRONICO DO PACIENTE</v>
      </c>
      <c r="C6983" s="2" t="str">
        <f t="shared" si="578"/>
        <v>PEP</v>
      </c>
      <c r="D6983" s="2" t="str">
        <f t="shared" si="579"/>
        <v>MVPEP</v>
      </c>
      <c r="E6983" s="2" t="str">
        <f>"QUESTIONARIO"</f>
        <v>QUESTIONARIO</v>
      </c>
      <c r="F6983" s="2" t="str">
        <f>"MVPEP_QUESTIONARIO"</f>
        <v>MVPEP_QUESTIONARIO</v>
      </c>
      <c r="G6983" s="2" t="str">
        <f t="shared" si="576"/>
        <v xml:space="preserve"> ()</v>
      </c>
    </row>
    <row r="6984" spans="1:7" x14ac:dyDescent="0.3">
      <c r="A6984" s="1" t="s">
        <v>4</v>
      </c>
      <c r="B6984" s="2" t="str">
        <f t="shared" si="577"/>
        <v>PRONTUARIO ELETRONICO DO PACIENTE</v>
      </c>
      <c r="C6984" s="2" t="str">
        <f t="shared" si="578"/>
        <v>PEP</v>
      </c>
      <c r="D6984" s="2" t="str">
        <f t="shared" si="579"/>
        <v>MVPEP</v>
      </c>
      <c r="E6984" s="2" t="str">
        <f>"SOAP"</f>
        <v>SOAP</v>
      </c>
      <c r="F6984" s="2" t="str">
        <f>"MVPEP_SOAP"</f>
        <v>MVPEP_SOAP</v>
      </c>
      <c r="G6984" s="2" t="str">
        <f t="shared" si="576"/>
        <v xml:space="preserve"> ()</v>
      </c>
    </row>
    <row r="6985" spans="1:7" x14ac:dyDescent="0.3">
      <c r="A6985" s="1" t="s">
        <v>4</v>
      </c>
      <c r="B6985" s="2" t="str">
        <f t="shared" si="577"/>
        <v>PRONTUARIO ELETRONICO DO PACIENTE</v>
      </c>
      <c r="C6985" s="2" t="str">
        <f t="shared" si="578"/>
        <v>PEP</v>
      </c>
      <c r="D6985" s="2" t="str">
        <f t="shared" si="579"/>
        <v>MVPEP</v>
      </c>
      <c r="E6985" s="2" t="str">
        <f>"LINHA DO TEMPO ONCOLOGIA"</f>
        <v>LINHA DO TEMPO ONCOLOGIA</v>
      </c>
      <c r="F6985" s="2" t="str">
        <f>"MVPEP_LINHA_TEMPO_ONCOLOGIA"</f>
        <v>MVPEP_LINHA_TEMPO_ONCOLOGIA</v>
      </c>
      <c r="G6985" s="2" t="str">
        <f t="shared" si="576"/>
        <v xml:space="preserve"> ()</v>
      </c>
    </row>
    <row r="6986" spans="1:7" x14ac:dyDescent="0.3">
      <c r="A6986" s="1" t="s">
        <v>4</v>
      </c>
      <c r="B6986" s="2" t="str">
        <f t="shared" si="577"/>
        <v>PRONTUARIO ELETRONICO DO PACIENTE</v>
      </c>
      <c r="C6986" s="2" t="str">
        <f t="shared" si="578"/>
        <v>PEP</v>
      </c>
      <c r="D6986" s="2" t="str">
        <f t="shared" si="579"/>
        <v>MVPEP</v>
      </c>
      <c r="E6986" s="2" t="str">
        <f>"ACOMPANHAMENTO ONCOLOGICO"</f>
        <v>ACOMPANHAMENTO ONCOLOGICO</v>
      </c>
      <c r="F6986" s="2" t="str">
        <f>"MVPEP_ACOMPANHAR_TRATAMENTO_ONCO"</f>
        <v>MVPEP_ACOMPANHAR_TRATAMENTO_ONCO</v>
      </c>
      <c r="G6986" s="2" t="str">
        <f t="shared" si="576"/>
        <v xml:space="preserve"> ()</v>
      </c>
    </row>
    <row r="6987" spans="1:7" x14ac:dyDescent="0.3">
      <c r="A6987" s="1" t="s">
        <v>4</v>
      </c>
      <c r="B6987" s="2" t="str">
        <f t="shared" si="577"/>
        <v>PRONTUARIO ELETRONICO DO PACIENTE</v>
      </c>
      <c r="C6987" s="2" t="str">
        <f t="shared" si="578"/>
        <v>PEP</v>
      </c>
      <c r="D6987" s="2" t="str">
        <f t="shared" si="579"/>
        <v>MVPEP</v>
      </c>
      <c r="E6987" s="2" t="str">
        <f>"REGISTRA TRANSFERNCIAS DE PRESTADORES"</f>
        <v>REGISTRA TRANSFERNCIAS DE PRESTADORES</v>
      </c>
      <c r="F6987" s="2" t="str">
        <f>"MVPEP_TRANSFERIR_PACIENTE"</f>
        <v>MVPEP_TRANSFERIR_PACIENTE</v>
      </c>
      <c r="G6987" s="2" t="str">
        <f t="shared" si="576"/>
        <v xml:space="preserve"> ()</v>
      </c>
    </row>
    <row r="6988" spans="1:7" x14ac:dyDescent="0.3">
      <c r="A6988" s="1" t="s">
        <v>4</v>
      </c>
      <c r="B6988" s="2" t="str">
        <f t="shared" si="577"/>
        <v>PRONTUARIO ELETRONICO DO PACIENTE</v>
      </c>
      <c r="C6988" s="2" t="str">
        <f t="shared" si="578"/>
        <v>PEP</v>
      </c>
      <c r="D6988" s="2" t="str">
        <f t="shared" si="579"/>
        <v>MVPEP</v>
      </c>
      <c r="E6988" s="2" t="str">
        <f>"AFERICAO"</f>
        <v>AFERICAO</v>
      </c>
      <c r="F6988" s="2" t="str">
        <f>"MVPEP_TEMA_GRAFICO_AFERICAO"</f>
        <v>MVPEP_TEMA_GRAFICO_AFERICAO</v>
      </c>
      <c r="G6988" s="2" t="str">
        <f t="shared" si="576"/>
        <v xml:space="preserve"> ()</v>
      </c>
    </row>
    <row r="6989" spans="1:7" x14ac:dyDescent="0.3">
      <c r="A6989" s="1" t="s">
        <v>4</v>
      </c>
      <c r="B6989" s="2" t="str">
        <f t="shared" si="577"/>
        <v>PRONTUARIO ELETRONICO DO PACIENTE</v>
      </c>
      <c r="C6989" s="2" t="str">
        <f t="shared" si="578"/>
        <v>PEP</v>
      </c>
      <c r="D6989" s="2" t="str">
        <f t="shared" si="579"/>
        <v>MVPEP</v>
      </c>
      <c r="E6989" s="2" t="str">
        <f>"PESQUISA NO PRONTUARIO"</f>
        <v>PESQUISA NO PRONTUARIO</v>
      </c>
      <c r="F6989" s="2" t="str">
        <f>"MVPEP_PESQUISA_PRONTUARIO"</f>
        <v>MVPEP_PESQUISA_PRONTUARIO</v>
      </c>
      <c r="G6989" s="2" t="str">
        <f t="shared" si="576"/>
        <v xml:space="preserve"> ()</v>
      </c>
    </row>
    <row r="6990" spans="1:7" x14ac:dyDescent="0.3">
      <c r="A6990" s="1" t="s">
        <v>4</v>
      </c>
      <c r="B6990" s="2" t="str">
        <f t="shared" si="577"/>
        <v>PRONTUARIO ELETRONICO DO PACIENTE</v>
      </c>
      <c r="C6990" s="2" t="str">
        <f t="shared" si="578"/>
        <v>PEP</v>
      </c>
      <c r="D6990" s="2" t="str">
        <f t="shared" si="579"/>
        <v>MVPEP</v>
      </c>
      <c r="E6990" s="2" t="str">
        <f>"AFERICAO TEMA"</f>
        <v>AFERICAO TEMA</v>
      </c>
      <c r="F6990" s="2" t="str">
        <f>"MVPEP_TEMA_AFERICAO_AGRUPADA"</f>
        <v>MVPEP_TEMA_AFERICAO_AGRUPADA</v>
      </c>
      <c r="G6990" s="2" t="str">
        <f t="shared" si="576"/>
        <v xml:space="preserve"> ()</v>
      </c>
    </row>
    <row r="6991" spans="1:7" x14ac:dyDescent="0.3">
      <c r="A6991" s="1" t="s">
        <v>4</v>
      </c>
      <c r="B6991" s="2" t="str">
        <f t="shared" si="577"/>
        <v>PRONTUARIO ELETRONICO DO PACIENTE</v>
      </c>
      <c r="C6991" s="2" t="str">
        <f t="shared" si="578"/>
        <v>PEP</v>
      </c>
      <c r="D6991" s="2" t="str">
        <f t="shared" si="579"/>
        <v>MVPEP</v>
      </c>
      <c r="E6991" s="2" t="str">
        <f>"AFERICAO"</f>
        <v>AFERICAO</v>
      </c>
      <c r="F6991" s="2" t="str">
        <f>"MVPEP_TEMA_AFERICAO"</f>
        <v>MVPEP_TEMA_AFERICAO</v>
      </c>
      <c r="G6991" s="2" t="str">
        <f t="shared" si="576"/>
        <v xml:space="preserve"> ()</v>
      </c>
    </row>
    <row r="6992" spans="1:7" x14ac:dyDescent="0.3">
      <c r="A6992" s="1" t="s">
        <v>4</v>
      </c>
      <c r="B6992" s="2" t="str">
        <f t="shared" si="577"/>
        <v>PRONTUARIO ELETRONICO DO PACIENTE</v>
      </c>
      <c r="C6992" s="2" t="str">
        <f t="shared" si="578"/>
        <v>PEP</v>
      </c>
      <c r="D6992" s="2" t="str">
        <f t="shared" si="579"/>
        <v>MVPEP</v>
      </c>
      <c r="E6992" s="2" t="str">
        <f>"SOLICITACAO INTERNACAO TEMA"</f>
        <v>SOLICITACAO INTERNACAO TEMA</v>
      </c>
      <c r="F6992" s="2" t="str">
        <f>"MVPEP_TEMA_SOLICITACAO_INTERNACAO"</f>
        <v>MVPEP_TEMA_SOLICITACAO_INTERNACAO</v>
      </c>
      <c r="G6992" s="2" t="str">
        <f t="shared" si="576"/>
        <v xml:space="preserve"> ()</v>
      </c>
    </row>
    <row r="6993" spans="1:7" x14ac:dyDescent="0.3">
      <c r="A6993" s="1" t="s">
        <v>4</v>
      </c>
      <c r="B6993" s="2" t="str">
        <f t="shared" si="577"/>
        <v>PRONTUARIO ELETRONICO DO PACIENTE</v>
      </c>
      <c r="C6993" s="2" t="str">
        <f t="shared" si="578"/>
        <v>PEP</v>
      </c>
      <c r="D6993" s="2" t="str">
        <f t="shared" si="579"/>
        <v>MVPEP</v>
      </c>
      <c r="E6993" s="2" t="str">
        <f>"EVOLUCAO TEMA"</f>
        <v>EVOLUCAO TEMA</v>
      </c>
      <c r="F6993" s="2" t="str">
        <f>"MVPEP_TEMA_EVOLUCAO"</f>
        <v>MVPEP_TEMA_EVOLUCAO</v>
      </c>
      <c r="G6993" s="2" t="str">
        <f t="shared" si="576"/>
        <v xml:space="preserve"> ()</v>
      </c>
    </row>
    <row r="6994" spans="1:7" x14ac:dyDescent="0.3">
      <c r="A6994" s="1" t="s">
        <v>4</v>
      </c>
      <c r="B6994" s="2" t="str">
        <f t="shared" si="577"/>
        <v>PRONTUARIO ELETRONICO DO PACIENTE</v>
      </c>
      <c r="C6994" s="2" t="str">
        <f t="shared" si="578"/>
        <v>PEP</v>
      </c>
      <c r="D6994" s="2" t="str">
        <f t="shared" si="579"/>
        <v>MVPEP</v>
      </c>
      <c r="E6994" s="2" t="str">
        <f>"REL. Prescricao TRATAMENTO"</f>
        <v>REL. Prescricao TRATAMENTO</v>
      </c>
      <c r="F6994" s="2" t="str">
        <f>"R_PREMED_TRATMT"</f>
        <v>R_PREMED_TRATMT</v>
      </c>
      <c r="G6994" s="2" t="str">
        <f t="shared" si="576"/>
        <v xml:space="preserve"> ()</v>
      </c>
    </row>
    <row r="6995" spans="1:7" x14ac:dyDescent="0.3">
      <c r="A6995" s="1" t="s">
        <v>4</v>
      </c>
      <c r="B6995" s="2" t="str">
        <f t="shared" si="577"/>
        <v>PRONTUARIO ELETRONICO DO PACIENTE</v>
      </c>
      <c r="C6995" s="2" t="str">
        <f t="shared" si="578"/>
        <v>PEP</v>
      </c>
      <c r="D6995" s="2" t="str">
        <f t="shared" si="579"/>
        <v>MVPEP</v>
      </c>
      <c r="E6995" s="2" t="str">
        <f>"IMPRESSAO PRONTUARIO"</f>
        <v>IMPRESSAO PRONTUARIO</v>
      </c>
      <c r="F6995" s="2" t="str">
        <f>"MVPEP_IMPRESSAO_PRONTUARIO"</f>
        <v>MVPEP_IMPRESSAO_PRONTUARIO</v>
      </c>
      <c r="G6995" s="2" t="str">
        <f t="shared" si="576"/>
        <v xml:space="preserve"> ()</v>
      </c>
    </row>
    <row r="6996" spans="1:7" x14ac:dyDescent="0.3">
      <c r="A6996" s="1" t="s">
        <v>4</v>
      </c>
      <c r="B6996" s="2" t="str">
        <f t="shared" si="577"/>
        <v>PRONTUARIO ELETRONICO DO PACIENTE</v>
      </c>
      <c r="C6996" s="2" t="str">
        <f t="shared" si="578"/>
        <v>PEP</v>
      </c>
      <c r="D6996" s="2" t="str">
        <f t="shared" si="579"/>
        <v>MVPEP</v>
      </c>
      <c r="E6996" s="2" t="str">
        <f>"ANOTACAO DE ENFERMAGEM TEMA"</f>
        <v>ANOTACAO DE ENFERMAGEM TEMA</v>
      </c>
      <c r="F6996" s="2" t="str">
        <f>"MVPEP_TEMA_ANOTACAO_ENFERMAGEM"</f>
        <v>MVPEP_TEMA_ANOTACAO_ENFERMAGEM</v>
      </c>
      <c r="G6996" s="2" t="str">
        <f t="shared" si="576"/>
        <v xml:space="preserve"> ()</v>
      </c>
    </row>
    <row r="6997" spans="1:7" x14ac:dyDescent="0.3">
      <c r="A6997" s="1" t="s">
        <v>4</v>
      </c>
      <c r="B6997" s="2" t="str">
        <f t="shared" si="577"/>
        <v>PRONTUARIO ELETRONICO DO PACIENTE</v>
      </c>
      <c r="C6997" s="2" t="str">
        <f t="shared" si="578"/>
        <v>PEP</v>
      </c>
      <c r="D6997" s="2" t="str">
        <f t="shared" si="579"/>
        <v>MVPEP</v>
      </c>
      <c r="E6997" s="2" t="str">
        <f>"REGISTRO DE MEDICAMENTO EM USO"</f>
        <v>REGISTRO DE MEDICAMENTO EM USO</v>
      </c>
      <c r="F6997" s="2" t="str">
        <f>"MVPEP_MEDICAMENTO_USO"</f>
        <v>MVPEP_MEDICAMENTO_USO</v>
      </c>
      <c r="G6997" s="2" t="str">
        <f t="shared" si="576"/>
        <v xml:space="preserve"> ()</v>
      </c>
    </row>
    <row r="6998" spans="1:7" x14ac:dyDescent="0.3">
      <c r="A6998" s="1" t="s">
        <v>4</v>
      </c>
      <c r="B6998" s="2" t="str">
        <f t="shared" si="577"/>
        <v>PRONTUARIO ELETRONICO DO PACIENTE</v>
      </c>
      <c r="C6998" s="2" t="str">
        <f t="shared" si="578"/>
        <v>PEP</v>
      </c>
      <c r="D6998" s="2" t="str">
        <f t="shared" si="579"/>
        <v>MVPEP</v>
      </c>
      <c r="E6998" s="2" t="str">
        <f>"INTEGRACAO MV200"</f>
        <v>INTEGRACAO MV200</v>
      </c>
      <c r="F6998" s="2" t="str">
        <f>"MVPEP_INTEGRA_PEP_FORMS"</f>
        <v>MVPEP_INTEGRA_PEP_FORMS</v>
      </c>
      <c r="G6998" s="2" t="str">
        <f t="shared" si="576"/>
        <v xml:space="preserve"> ()</v>
      </c>
    </row>
    <row r="6999" spans="1:7" x14ac:dyDescent="0.3">
      <c r="A6999" s="1" t="s">
        <v>4</v>
      </c>
      <c r="B6999" s="2" t="str">
        <f t="shared" si="577"/>
        <v>PRONTUARIO ELETRONICO DO PACIENTE</v>
      </c>
      <c r="C6999" s="2" t="str">
        <f t="shared" si="578"/>
        <v>PEP</v>
      </c>
      <c r="D6999" s="2" t="str">
        <f t="shared" si="579"/>
        <v>MVPEP</v>
      </c>
      <c r="E6999" s="2" t="str">
        <f>"EDITOR DO PAGU "</f>
        <v xml:space="preserve">EDITOR DO PAGU </v>
      </c>
      <c r="F6999" s="2" t="str">
        <f>"MVPEP_EDITOR_OCX"</f>
        <v>MVPEP_EDITOR_OCX</v>
      </c>
      <c r="G6999" s="2" t="str">
        <f t="shared" si="576"/>
        <v xml:space="preserve"> ()</v>
      </c>
    </row>
    <row r="7000" spans="1:7" x14ac:dyDescent="0.3">
      <c r="A7000" s="1" t="s">
        <v>4</v>
      </c>
      <c r="B7000" s="2" t="str">
        <f t="shared" si="577"/>
        <v>PRONTUARIO ELETRONICO DO PACIENTE</v>
      </c>
      <c r="C7000" s="2" t="str">
        <f t="shared" si="578"/>
        <v>PEP</v>
      </c>
      <c r="D7000" s="2" t="str">
        <f t="shared" si="579"/>
        <v>MVPEP</v>
      </c>
      <c r="E7000" s="2" t="str">
        <f>"ATENDIMENTOS"</f>
        <v>ATENDIMENTOS</v>
      </c>
      <c r="F7000" s="2" t="str">
        <f>"MVPEP_ATENDIMENTOS"</f>
        <v>MVPEP_ATENDIMENTOS</v>
      </c>
      <c r="G7000" s="2" t="str">
        <f t="shared" si="576"/>
        <v xml:space="preserve"> ()</v>
      </c>
    </row>
    <row r="7001" spans="1:7" x14ac:dyDescent="0.3">
      <c r="A7001" s="1" t="s">
        <v>4</v>
      </c>
      <c r="B7001" s="2" t="str">
        <f t="shared" si="577"/>
        <v>PRONTUARIO ELETRONICO DO PACIENTE</v>
      </c>
      <c r="C7001" s="2" t="str">
        <f t="shared" si="578"/>
        <v>PEP</v>
      </c>
      <c r="D7001" s="2" t="str">
        <f t="shared" si="579"/>
        <v>MVPEP</v>
      </c>
      <c r="E7001" s="2" t="str">
        <f>"CONSULTORIO"</f>
        <v>CONSULTORIO</v>
      </c>
      <c r="F7001" s="2" t="str">
        <f>"MVPEP_CONSULTORIO"</f>
        <v>MVPEP_CONSULTORIO</v>
      </c>
      <c r="G7001" s="2" t="str">
        <f t="shared" si="576"/>
        <v xml:space="preserve"> ()</v>
      </c>
    </row>
    <row r="7002" spans="1:7" x14ac:dyDescent="0.3">
      <c r="A7002" s="1" t="s">
        <v>4</v>
      </c>
      <c r="B7002" s="2" t="str">
        <f t="shared" si="577"/>
        <v>PRONTUARIO ELETRONICO DO PACIENTE</v>
      </c>
      <c r="C7002" s="2" t="str">
        <f t="shared" si="578"/>
        <v>PEP</v>
      </c>
      <c r="D7002" s="2" t="str">
        <f t="shared" si="579"/>
        <v>MVPEP</v>
      </c>
      <c r="E7002" s="2" t="str">
        <f>"RESULTADO EXAME IMAGEM"</f>
        <v>RESULTADO EXAME IMAGEM</v>
      </c>
      <c r="F7002" s="2" t="str">
        <f>"MVPEP_RESULTADO_EXAME_IMAGEM"</f>
        <v>MVPEP_RESULTADO_EXAME_IMAGEM</v>
      </c>
      <c r="G7002" s="2" t="str">
        <f t="shared" si="576"/>
        <v xml:space="preserve"> ()</v>
      </c>
    </row>
    <row r="7003" spans="1:7" x14ac:dyDescent="0.3">
      <c r="A7003" s="1" t="s">
        <v>4</v>
      </c>
      <c r="B7003" s="2" t="str">
        <f t="shared" si="577"/>
        <v>PRONTUARIO ELETRONICO DO PACIENTE</v>
      </c>
      <c r="C7003" s="2" t="str">
        <f t="shared" si="578"/>
        <v>PEP</v>
      </c>
      <c r="D7003" s="2" t="str">
        <f t="shared" si="579"/>
        <v>MVPEP</v>
      </c>
      <c r="E7003" s="2" t="str">
        <f>"RESULTADO EXAME LABORATORIO"</f>
        <v>RESULTADO EXAME LABORATORIO</v>
      </c>
      <c r="F7003" s="2" t="str">
        <f>"MVPEP_RESULTADO_EXAME_LABORATORIAL"</f>
        <v>MVPEP_RESULTADO_EXAME_LABORATORIAL</v>
      </c>
      <c r="G7003" s="2" t="str">
        <f t="shared" si="576"/>
        <v xml:space="preserve"> ()</v>
      </c>
    </row>
    <row r="7004" spans="1:7" x14ac:dyDescent="0.3">
      <c r="A7004" s="1" t="s">
        <v>4</v>
      </c>
      <c r="B7004" s="2" t="str">
        <f t="shared" si="577"/>
        <v>PRONTUARIO ELETRONICO DO PACIENTE</v>
      </c>
      <c r="C7004" s="2" t="str">
        <f t="shared" si="578"/>
        <v>PEP</v>
      </c>
      <c r="D7004" s="2" t="str">
        <f t="shared" si="579"/>
        <v>MVPEP</v>
      </c>
      <c r="E7004" s="2" t="str">
        <f>"SUBSEGMENTO"</f>
        <v>SUBSEGMENTO</v>
      </c>
      <c r="F7004" s="2" t="str">
        <f>"MVPEP_SUBSEGMENTO"</f>
        <v>MVPEP_SUBSEGMENTO</v>
      </c>
      <c r="G7004" s="2" t="str">
        <f t="shared" ref="G7004:G7030" si="580">" ()"</f>
        <v xml:space="preserve"> ()</v>
      </c>
    </row>
    <row r="7005" spans="1:7" x14ac:dyDescent="0.3">
      <c r="A7005" s="1" t="s">
        <v>4</v>
      </c>
      <c r="B7005" s="2" t="str">
        <f t="shared" si="577"/>
        <v>PRONTUARIO ELETRONICO DO PACIENTE</v>
      </c>
      <c r="C7005" s="2" t="str">
        <f t="shared" si="578"/>
        <v>PEP</v>
      </c>
      <c r="D7005" s="2" t="str">
        <f t="shared" si="579"/>
        <v>MVPEP</v>
      </c>
      <c r="E7005" s="2" t="str">
        <f>"PRESCRICAO Medica"</f>
        <v>PRESCRICAO Medica</v>
      </c>
      <c r="F7005" s="2" t="str">
        <f>"MVPEP_PRESCRICAO"</f>
        <v>MVPEP_PRESCRICAO</v>
      </c>
      <c r="G7005" s="2" t="str">
        <f t="shared" si="580"/>
        <v xml:space="preserve"> ()</v>
      </c>
    </row>
    <row r="7006" spans="1:7" x14ac:dyDescent="0.3">
      <c r="A7006" s="1" t="s">
        <v>4</v>
      </c>
      <c r="B7006" s="2" t="str">
        <f t="shared" si="577"/>
        <v>PRONTUARIO ELETRONICO DO PACIENTE</v>
      </c>
      <c r="C7006" s="2" t="str">
        <f t="shared" si="578"/>
        <v>PEP</v>
      </c>
      <c r="D7006" s="2" t="str">
        <f t="shared" si="579"/>
        <v>MVPEP</v>
      </c>
      <c r="E7006" s="2" t="str">
        <f>"IMPRESSAO PRONTUARIO"</f>
        <v>IMPRESSAO PRONTUARIO</v>
      </c>
      <c r="F7006" s="2" t="str">
        <f>"MVPEP_TEMA_IMPRESSAO_PRONTUARIO"</f>
        <v>MVPEP_TEMA_IMPRESSAO_PRONTUARIO</v>
      </c>
      <c r="G7006" s="2" t="str">
        <f t="shared" si="580"/>
        <v xml:space="preserve"> ()</v>
      </c>
    </row>
    <row r="7007" spans="1:7" x14ac:dyDescent="0.3">
      <c r="A7007" s="1" t="s">
        <v>4</v>
      </c>
      <c r="B7007" s="2" t="str">
        <f t="shared" si="577"/>
        <v>PRONTUARIO ELETRONICO DO PACIENTE</v>
      </c>
      <c r="C7007" s="2" t="str">
        <f t="shared" si="578"/>
        <v>PEP</v>
      </c>
      <c r="D7007" s="2" t="str">
        <f t="shared" si="579"/>
        <v>MVPEP</v>
      </c>
      <c r="E7007" s="2" t="str">
        <f>"REGISTRO DE CIRURGIA"</f>
        <v>REGISTRO DE CIRURGIA</v>
      </c>
      <c r="F7007" s="2" t="str">
        <f>"MVPEP_CIRURGIA"</f>
        <v>MVPEP_CIRURGIA</v>
      </c>
      <c r="G7007" s="2" t="str">
        <f t="shared" si="580"/>
        <v xml:space="preserve"> ()</v>
      </c>
    </row>
    <row r="7008" spans="1:7" x14ac:dyDescent="0.3">
      <c r="A7008" s="1" t="s">
        <v>4</v>
      </c>
      <c r="B7008" s="2" t="str">
        <f t="shared" si="577"/>
        <v>PRONTUARIO ELETRONICO DO PACIENTE</v>
      </c>
      <c r="C7008" s="2" t="str">
        <f t="shared" si="578"/>
        <v>PEP</v>
      </c>
      <c r="D7008" s="2" t="str">
        <f t="shared" si="579"/>
        <v>MVPEP</v>
      </c>
      <c r="E7008" s="2" t="str">
        <f>"INFORMACOES DEMOGRAFICAS"</f>
        <v>INFORMACOES DEMOGRAFICAS</v>
      </c>
      <c r="F7008" s="2" t="str">
        <f>"MVPEP_INFO_DEMOGRAFICA"</f>
        <v>MVPEP_INFO_DEMOGRAFICA</v>
      </c>
      <c r="G7008" s="2" t="str">
        <f t="shared" si="580"/>
        <v xml:space="preserve"> ()</v>
      </c>
    </row>
    <row r="7009" spans="1:7" x14ac:dyDescent="0.3">
      <c r="A7009" s="1" t="s">
        <v>4</v>
      </c>
      <c r="B7009" s="2" t="str">
        <f t="shared" ref="B7009:B7036" si="581">"PRONTUARIO ELETRONICO DO PACIENTE"</f>
        <v>PRONTUARIO ELETRONICO DO PACIENTE</v>
      </c>
      <c r="C7009" s="2" t="str">
        <f t="shared" ref="C7009:C7036" si="582">"PEP"</f>
        <v>PEP</v>
      </c>
      <c r="D7009" s="2" t="str">
        <f t="shared" ref="D7009:D7036" si="583">"MVPEP"</f>
        <v>MVPEP</v>
      </c>
      <c r="E7009" s="2" t="str">
        <f>"CURVA DE CRESCIMENTO"</f>
        <v>CURVA DE CRESCIMENTO</v>
      </c>
      <c r="F7009" s="2" t="str">
        <f>"MVPEP_CURVA_CRESCIMENTO"</f>
        <v>MVPEP_CURVA_CRESCIMENTO</v>
      </c>
      <c r="G7009" s="2" t="str">
        <f t="shared" si="580"/>
        <v xml:space="preserve"> ()</v>
      </c>
    </row>
    <row r="7010" spans="1:7" x14ac:dyDescent="0.3">
      <c r="A7010" s="1" t="s">
        <v>4</v>
      </c>
      <c r="B7010" s="2" t="str">
        <f t="shared" si="581"/>
        <v>PRONTUARIO ELETRONICO DO PACIENTE</v>
      </c>
      <c r="C7010" s="2" t="str">
        <f t="shared" si="582"/>
        <v>PEP</v>
      </c>
      <c r="D7010" s="2" t="str">
        <f t="shared" si="583"/>
        <v>MVPEP</v>
      </c>
      <c r="E7010" s="2" t="str">
        <f>"LEGADO CLINICO"</f>
        <v>LEGADO CLINICO</v>
      </c>
      <c r="F7010" s="2" t="str">
        <f>"MVPEP_LEGADO"</f>
        <v>MVPEP_LEGADO</v>
      </c>
      <c r="G7010" s="2" t="str">
        <f t="shared" si="580"/>
        <v xml:space="preserve"> ()</v>
      </c>
    </row>
    <row r="7011" spans="1:7" x14ac:dyDescent="0.3">
      <c r="A7011" s="1" t="s">
        <v>4</v>
      </c>
      <c r="B7011" s="2" t="str">
        <f t="shared" si="581"/>
        <v>PRONTUARIO ELETRONICO DO PACIENTE</v>
      </c>
      <c r="C7011" s="2" t="str">
        <f t="shared" si="582"/>
        <v>PEP</v>
      </c>
      <c r="D7011" s="2" t="str">
        <f t="shared" si="583"/>
        <v>MVPEP</v>
      </c>
      <c r="E7011" s="2" t="str">
        <f>"EVOLUCAO MEDICA"</f>
        <v>EVOLUCAO MEDICA</v>
      </c>
      <c r="F7011" s="2" t="str">
        <f>"MVPEP_EVOLUCAO_MEDICA"</f>
        <v>MVPEP_EVOLUCAO_MEDICA</v>
      </c>
      <c r="G7011" s="2" t="str">
        <f t="shared" si="580"/>
        <v xml:space="preserve"> ()</v>
      </c>
    </row>
    <row r="7012" spans="1:7" x14ac:dyDescent="0.3">
      <c r="A7012" s="1" t="s">
        <v>4</v>
      </c>
      <c r="B7012" s="2" t="str">
        <f t="shared" si="581"/>
        <v>PRONTUARIO ELETRONICO DO PACIENTE</v>
      </c>
      <c r="C7012" s="2" t="str">
        <f t="shared" si="582"/>
        <v>PEP</v>
      </c>
      <c r="D7012" s="2" t="str">
        <f t="shared" si="583"/>
        <v>MVPEP</v>
      </c>
      <c r="E7012" s="2" t="str">
        <f>"ESTADIAMENTO"</f>
        <v>ESTADIAMENTO</v>
      </c>
      <c r="F7012" s="2" t="str">
        <f>"MVPEP_ESTADIAMENTO"</f>
        <v>MVPEP_ESTADIAMENTO</v>
      </c>
      <c r="G7012" s="2" t="str">
        <f t="shared" si="580"/>
        <v xml:space="preserve"> ()</v>
      </c>
    </row>
    <row r="7013" spans="1:7" x14ac:dyDescent="0.3">
      <c r="A7013" s="1" t="s">
        <v>36</v>
      </c>
      <c r="B7013" s="2" t="str">
        <f t="shared" si="581"/>
        <v>PRONTUARIO ELETRONICO DO PACIENTE</v>
      </c>
      <c r="C7013" s="2" t="str">
        <f t="shared" si="582"/>
        <v>PEP</v>
      </c>
      <c r="D7013" s="2" t="str">
        <f t="shared" si="583"/>
        <v>MVPEP</v>
      </c>
      <c r="E7013" s="2" t="str">
        <f>"LISTA DE PACIENTES"</f>
        <v>LISTA DE PACIENTES</v>
      </c>
      <c r="F7013" s="2" t="str">
        <f>"MVPEP_LISTA_PACIENTE"</f>
        <v>MVPEP_LISTA_PACIENTE</v>
      </c>
      <c r="G7013" s="2" t="str">
        <f t="shared" si="580"/>
        <v xml:space="preserve"> ()</v>
      </c>
    </row>
    <row r="7014" spans="1:7" x14ac:dyDescent="0.3">
      <c r="A7014" s="1" t="s">
        <v>4</v>
      </c>
      <c r="B7014" s="2" t="str">
        <f t="shared" si="581"/>
        <v>PRONTUARIO ELETRONICO DO PACIENTE</v>
      </c>
      <c r="C7014" s="2" t="str">
        <f t="shared" si="582"/>
        <v>PEP</v>
      </c>
      <c r="D7014" s="2" t="str">
        <f t="shared" si="583"/>
        <v>MVPEP</v>
      </c>
      <c r="E7014" s="2" t="str">
        <f>"FECHAMENTO DO ATENDIMENTO"</f>
        <v>FECHAMENTO DO ATENDIMENTO</v>
      </c>
      <c r="F7014" s="2" t="str">
        <f>"MVPEP_FECHAMENTO"</f>
        <v>MVPEP_FECHAMENTO</v>
      </c>
      <c r="G7014" s="2" t="str">
        <f t="shared" si="580"/>
        <v xml:space="preserve"> ()</v>
      </c>
    </row>
    <row r="7015" spans="1:7" x14ac:dyDescent="0.3">
      <c r="A7015" s="1" t="s">
        <v>4</v>
      </c>
      <c r="B7015" s="2" t="str">
        <f t="shared" si="581"/>
        <v>PRONTUARIO ELETRONICO DO PACIENTE</v>
      </c>
      <c r="C7015" s="2" t="str">
        <f t="shared" si="582"/>
        <v>PEP</v>
      </c>
      <c r="D7015" s="2" t="str">
        <f t="shared" si="583"/>
        <v>MVPEP</v>
      </c>
      <c r="E7015" s="2" t="str">
        <f>"PRESCRICAO DE TRATAMENTO"</f>
        <v>PRESCRICAO DE TRATAMENTO</v>
      </c>
      <c r="F7015" s="2" t="str">
        <f>"MVPEP_PRESCRICAO_TRATAMENTO"</f>
        <v>MVPEP_PRESCRICAO_TRATAMENTO</v>
      </c>
      <c r="G7015" s="2" t="str">
        <f t="shared" si="580"/>
        <v xml:space="preserve"> ()</v>
      </c>
    </row>
    <row r="7016" spans="1:7" x14ac:dyDescent="0.3">
      <c r="A7016" s="1" t="s">
        <v>4</v>
      </c>
      <c r="B7016" s="2" t="str">
        <f t="shared" si="581"/>
        <v>PRONTUARIO ELETRONICO DO PACIENTE</v>
      </c>
      <c r="C7016" s="2" t="str">
        <f t="shared" si="582"/>
        <v>PEP</v>
      </c>
      <c r="D7016" s="2" t="str">
        <f t="shared" si="583"/>
        <v>MVPEP</v>
      </c>
      <c r="E7016" s="2" t="str">
        <f>"GRUPO DE DOCUMENTO"</f>
        <v>GRUPO DE DOCUMENTO</v>
      </c>
      <c r="F7016" s="2" t="str">
        <f>"MVPEP_GRUPO_DOCUMENTO"</f>
        <v>MVPEP_GRUPO_DOCUMENTO</v>
      </c>
      <c r="G7016" s="2" t="str">
        <f t="shared" si="580"/>
        <v xml:space="preserve"> ()</v>
      </c>
    </row>
    <row r="7017" spans="1:7" x14ac:dyDescent="0.3">
      <c r="A7017" s="1" t="s">
        <v>4</v>
      </c>
      <c r="B7017" s="2" t="str">
        <f t="shared" si="581"/>
        <v>PRONTUARIO ELETRONICO DO PACIENTE</v>
      </c>
      <c r="C7017" s="2" t="str">
        <f t="shared" si="582"/>
        <v>PEP</v>
      </c>
      <c r="D7017" s="2" t="str">
        <f t="shared" si="583"/>
        <v>MVPEP</v>
      </c>
      <c r="E7017" s="2" t="str">
        <f>"HISTORICO DE ENFERMAGEM"</f>
        <v>HISTORICO DE ENFERMAGEM</v>
      </c>
      <c r="F7017" s="2" t="str">
        <f>"MVPEP_HISTORICO_ENFERMAGEM"</f>
        <v>MVPEP_HISTORICO_ENFERMAGEM</v>
      </c>
      <c r="G7017" s="2" t="str">
        <f t="shared" si="580"/>
        <v xml:space="preserve"> ()</v>
      </c>
    </row>
    <row r="7018" spans="1:7" x14ac:dyDescent="0.3">
      <c r="A7018" s="1" t="s">
        <v>4</v>
      </c>
      <c r="B7018" s="2" t="str">
        <f t="shared" si="581"/>
        <v>PRONTUARIO ELETRONICO DO PACIENTE</v>
      </c>
      <c r="C7018" s="2" t="str">
        <f t="shared" si="582"/>
        <v>PEP</v>
      </c>
      <c r="D7018" s="2" t="str">
        <f t="shared" si="583"/>
        <v>MVPEP</v>
      </c>
      <c r="E7018" s="2" t="str">
        <f>"DIAGNOSTICO DE ENFERMAGEM"</f>
        <v>DIAGNOSTICO DE ENFERMAGEM</v>
      </c>
      <c r="F7018" s="2" t="str">
        <f>"MVPEP_DIAGNOSTICO_ENFERMAGEM"</f>
        <v>MVPEP_DIAGNOSTICO_ENFERMAGEM</v>
      </c>
      <c r="G7018" s="2" t="str">
        <f t="shared" si="580"/>
        <v xml:space="preserve"> ()</v>
      </c>
    </row>
    <row r="7019" spans="1:7" x14ac:dyDescent="0.3">
      <c r="A7019" s="1" t="s">
        <v>17</v>
      </c>
      <c r="B7019" s="2" t="str">
        <f t="shared" si="581"/>
        <v>PRONTUARIO ELETRONICO DO PACIENTE</v>
      </c>
      <c r="C7019" s="2" t="str">
        <f t="shared" si="582"/>
        <v>PEP</v>
      </c>
      <c r="D7019" s="2" t="str">
        <f t="shared" si="583"/>
        <v>MVPEP</v>
      </c>
      <c r="E7019" s="2" t="str">
        <f>"NOTIFICACAO DE AGRAVO"</f>
        <v>NOTIFICACAO DE AGRAVO</v>
      </c>
      <c r="F7019" s="2" t="str">
        <f>"MVPEP_NOTIFICACAO_AGRAVO"</f>
        <v>MVPEP_NOTIFICACAO_AGRAVO</v>
      </c>
      <c r="G7019" s="2" t="str">
        <f t="shared" si="580"/>
        <v xml:space="preserve"> ()</v>
      </c>
    </row>
    <row r="7020" spans="1:7" x14ac:dyDescent="0.3">
      <c r="A7020" s="1" t="s">
        <v>4</v>
      </c>
      <c r="B7020" s="2" t="str">
        <f t="shared" si="581"/>
        <v>PRONTUARIO ELETRONICO DO PACIENTE</v>
      </c>
      <c r="C7020" s="2" t="str">
        <f t="shared" si="582"/>
        <v>PEP</v>
      </c>
      <c r="D7020" s="2" t="str">
        <f t="shared" si="583"/>
        <v>MVPEP</v>
      </c>
      <c r="E7020" s="2" t="str">
        <f>"ADMISSAO MEDICA"</f>
        <v>ADMISSAO MEDICA</v>
      </c>
      <c r="F7020" s="2" t="str">
        <f>"MVPEP_ADMISSAO_MEDICA"</f>
        <v>MVPEP_ADMISSAO_MEDICA</v>
      </c>
      <c r="G7020" s="2" t="str">
        <f t="shared" si="580"/>
        <v xml:space="preserve"> ()</v>
      </c>
    </row>
    <row r="7021" spans="1:7" x14ac:dyDescent="0.3">
      <c r="A7021" s="1" t="s">
        <v>36</v>
      </c>
      <c r="B7021" s="2" t="str">
        <f t="shared" si="581"/>
        <v>PRONTUARIO ELETRONICO DO PACIENTE</v>
      </c>
      <c r="C7021" s="2" t="str">
        <f t="shared" si="582"/>
        <v>PEP</v>
      </c>
      <c r="D7021" s="2" t="str">
        <f t="shared" si="583"/>
        <v>MVPEP</v>
      </c>
      <c r="E7021" s="2" t="str">
        <f>"PENDENCIAS E ALERTAS DO MEDICO"</f>
        <v>PENDENCIAS E ALERTAS DO MEDICO</v>
      </c>
      <c r="F7021" s="2" t="str">
        <f>"MVPEP_PENDENCIAS_ALERTAS"</f>
        <v>MVPEP_PENDENCIAS_ALERTAS</v>
      </c>
      <c r="G7021" s="2" t="str">
        <f t="shared" si="580"/>
        <v xml:space="preserve"> ()</v>
      </c>
    </row>
    <row r="7022" spans="1:7" x14ac:dyDescent="0.3">
      <c r="A7022" s="1" t="s">
        <v>4</v>
      </c>
      <c r="B7022" s="2" t="str">
        <f t="shared" si="581"/>
        <v>PRONTUARIO ELETRONICO DO PACIENTE</v>
      </c>
      <c r="C7022" s="2" t="str">
        <f t="shared" si="582"/>
        <v>PEP</v>
      </c>
      <c r="D7022" s="2" t="str">
        <f t="shared" si="583"/>
        <v>MVPEP</v>
      </c>
      <c r="E7022" s="2" t="str">
        <f>"RESPOSTA AO  PARECER MEDICO"</f>
        <v>RESPOSTA AO  PARECER MEDICO</v>
      </c>
      <c r="F7022" s="2" t="str">
        <f>"MVPEP_PARECER_MEDICO_RESP"</f>
        <v>MVPEP_PARECER_MEDICO_RESP</v>
      </c>
      <c r="G7022" s="2" t="str">
        <f t="shared" si="580"/>
        <v xml:space="preserve"> ()</v>
      </c>
    </row>
    <row r="7023" spans="1:7" x14ac:dyDescent="0.3">
      <c r="A7023" s="1" t="s">
        <v>4</v>
      </c>
      <c r="B7023" s="2" t="str">
        <f t="shared" si="581"/>
        <v>PRONTUARIO ELETRONICO DO PACIENTE</v>
      </c>
      <c r="C7023" s="2" t="str">
        <f t="shared" si="582"/>
        <v>PEP</v>
      </c>
      <c r="D7023" s="2" t="str">
        <f t="shared" si="583"/>
        <v>MVPEP</v>
      </c>
      <c r="E7023" s="2" t="str">
        <f>"solicitacao DE PARECER MEDICO"</f>
        <v>solicitacao DE PARECER MEDICO</v>
      </c>
      <c r="F7023" s="2" t="str">
        <f>"MVPEP_PARECER_MEDICO_SOLIC"</f>
        <v>MVPEP_PARECER_MEDICO_SOLIC</v>
      </c>
      <c r="G7023" s="2" t="str">
        <f t="shared" si="580"/>
        <v xml:space="preserve"> ()</v>
      </c>
    </row>
    <row r="7024" spans="1:7" x14ac:dyDescent="0.3">
      <c r="A7024" s="1" t="s">
        <v>4</v>
      </c>
      <c r="B7024" s="2" t="str">
        <f t="shared" si="581"/>
        <v>PRONTUARIO ELETRONICO DO PACIENTE</v>
      </c>
      <c r="C7024" s="2" t="str">
        <f t="shared" si="582"/>
        <v>PEP</v>
      </c>
      <c r="D7024" s="2" t="str">
        <f t="shared" si="583"/>
        <v>MVPEP</v>
      </c>
      <c r="E7024" s="2" t="str">
        <f>"SOLICITACAO INTERNACAO"</f>
        <v>SOLICITACAO INTERNACAO</v>
      </c>
      <c r="F7024" s="2" t="str">
        <f>"MVPEP_SOLICITACAO_INTERNACAO"</f>
        <v>MVPEP_SOLICITACAO_INTERNACAO</v>
      </c>
      <c r="G7024" s="2" t="str">
        <f t="shared" si="580"/>
        <v xml:space="preserve"> ()</v>
      </c>
    </row>
    <row r="7025" spans="1:7" x14ac:dyDescent="0.3">
      <c r="A7025" s="1" t="s">
        <v>4</v>
      </c>
      <c r="B7025" s="2" t="str">
        <f t="shared" si="581"/>
        <v>PRONTUARIO ELETRONICO DO PACIENTE</v>
      </c>
      <c r="C7025" s="2" t="str">
        <f t="shared" si="582"/>
        <v>PEP</v>
      </c>
      <c r="D7025" s="2" t="str">
        <f t="shared" si="583"/>
        <v>MVPEP</v>
      </c>
      <c r="E7025" s="2" t="str">
        <f>"REGISTRA ENCAMINHAMENTOS DE PACIENTES"</f>
        <v>REGISTRA ENCAMINHAMENTOS DE PACIENTES</v>
      </c>
      <c r="F7025" s="2" t="str">
        <f>"MVPEP_ENCAMINHAR_PACIENTE"</f>
        <v>MVPEP_ENCAMINHAR_PACIENTE</v>
      </c>
      <c r="G7025" s="2" t="str">
        <f t="shared" si="580"/>
        <v xml:space="preserve"> ()</v>
      </c>
    </row>
    <row r="7026" spans="1:7" x14ac:dyDescent="0.3">
      <c r="A7026" s="1" t="s">
        <v>4</v>
      </c>
      <c r="B7026" s="2" t="str">
        <f t="shared" si="581"/>
        <v>PRONTUARIO ELETRONICO DO PACIENTE</v>
      </c>
      <c r="C7026" s="2" t="str">
        <f t="shared" si="582"/>
        <v>PEP</v>
      </c>
      <c r="D7026" s="2" t="str">
        <f t="shared" si="583"/>
        <v>MVPEP</v>
      </c>
      <c r="E7026" s="2" t="str">
        <f>"LEMBRETES E NOTAS"</f>
        <v>LEMBRETES E NOTAS</v>
      </c>
      <c r="F7026" s="2" t="str">
        <f>"MVPEP_INFORMACOES_RELEVANTES"</f>
        <v>MVPEP_INFORMACOES_RELEVANTES</v>
      </c>
      <c r="G7026" s="2" t="str">
        <f t="shared" si="580"/>
        <v xml:space="preserve"> ()</v>
      </c>
    </row>
    <row r="7027" spans="1:7" x14ac:dyDescent="0.3">
      <c r="A7027" s="1" t="s">
        <v>4</v>
      </c>
      <c r="B7027" s="2" t="str">
        <f t="shared" si="581"/>
        <v>PRONTUARIO ELETRONICO DO PACIENTE</v>
      </c>
      <c r="C7027" s="2" t="str">
        <f t="shared" si="582"/>
        <v>PEP</v>
      </c>
      <c r="D7027" s="2" t="str">
        <f t="shared" si="583"/>
        <v>MVPEP</v>
      </c>
      <c r="E7027" s="2" t="str">
        <f>"CRIACAO DO TERMO DE CONSENTIMENTO"</f>
        <v>CRIACAO DO TERMO DE CONSENTIMENTO</v>
      </c>
      <c r="F7027" s="2" t="str">
        <f>"MVPEP_TERMO_CONSENTIMENTO"</f>
        <v>MVPEP_TERMO_CONSENTIMENTO</v>
      </c>
      <c r="G7027" s="2" t="str">
        <f t="shared" si="580"/>
        <v xml:space="preserve"> ()</v>
      </c>
    </row>
    <row r="7028" spans="1:7" x14ac:dyDescent="0.3">
      <c r="A7028" s="1" t="s">
        <v>4</v>
      </c>
      <c r="B7028" s="2" t="str">
        <f t="shared" si="581"/>
        <v>PRONTUARIO ELETRONICO DO PACIENTE</v>
      </c>
      <c r="C7028" s="2" t="str">
        <f t="shared" si="582"/>
        <v>PEP</v>
      </c>
      <c r="D7028" s="2" t="str">
        <f t="shared" si="583"/>
        <v>MVPEP</v>
      </c>
      <c r="E7028" s="2" t="str">
        <f>"DOCUMENTOS ELETRONICOS ASSISTENCIAIS"</f>
        <v>DOCUMENTOS ELETRONICOS ASSISTENCIAIS</v>
      </c>
      <c r="F7028" s="2" t="str">
        <f>"MVPEP_DOC_ELETRONICO"</f>
        <v>MVPEP_DOC_ELETRONICO</v>
      </c>
      <c r="G7028" s="2" t="str">
        <f t="shared" si="580"/>
        <v xml:space="preserve"> ()</v>
      </c>
    </row>
    <row r="7029" spans="1:7" x14ac:dyDescent="0.3">
      <c r="A7029" s="1" t="s">
        <v>17</v>
      </c>
      <c r="B7029" s="2" t="str">
        <f t="shared" si="581"/>
        <v>PRONTUARIO ELETRONICO DO PACIENTE</v>
      </c>
      <c r="C7029" s="2" t="str">
        <f t="shared" si="582"/>
        <v>PEP</v>
      </c>
      <c r="D7029" s="2" t="str">
        <f t="shared" si="583"/>
        <v>MVPEP</v>
      </c>
      <c r="E7029" s="2" t="str">
        <f>"CHAMADAS A LINKS NO MVPEP"</f>
        <v>CHAMADAS A LINKS NO MVPEP</v>
      </c>
      <c r="F7029" s="2" t="str">
        <f>"MVPEP_LINK_URL"</f>
        <v>MVPEP_LINK_URL</v>
      </c>
      <c r="G7029" s="2" t="str">
        <f t="shared" si="580"/>
        <v xml:space="preserve"> ()</v>
      </c>
    </row>
    <row r="7030" spans="1:7" x14ac:dyDescent="0.3">
      <c r="A7030" s="1" t="s">
        <v>4</v>
      </c>
      <c r="B7030" s="2" t="str">
        <f t="shared" si="581"/>
        <v>PRONTUARIO ELETRONICO DO PACIENTE</v>
      </c>
      <c r="C7030" s="2" t="str">
        <f t="shared" si="582"/>
        <v>PEP</v>
      </c>
      <c r="D7030" s="2" t="str">
        <f t="shared" si="583"/>
        <v>MVPEP</v>
      </c>
      <c r="E7030" s="2" t="str">
        <f>"REGISTRO DE IMUNIZACAO"</f>
        <v>REGISTRO DE IMUNIZACAO</v>
      </c>
      <c r="F7030" s="2" t="str">
        <f>"MVPEP_IMUNIZACAO"</f>
        <v>MVPEP_IMUNIZACAO</v>
      </c>
      <c r="G7030" s="2" t="str">
        <f t="shared" si="580"/>
        <v xml:space="preserve"> ()</v>
      </c>
    </row>
    <row r="7031" spans="1:7" x14ac:dyDescent="0.3">
      <c r="A7031" s="1" t="s">
        <v>4</v>
      </c>
      <c r="B7031" s="2" t="str">
        <f t="shared" si="581"/>
        <v>PRONTUARIO ELETRONICO DO PACIENTE</v>
      </c>
      <c r="C7031" s="2" t="str">
        <f t="shared" si="582"/>
        <v>PEP</v>
      </c>
      <c r="D7031" s="2" t="str">
        <f t="shared" si="583"/>
        <v>MVPEP</v>
      </c>
      <c r="E7031" s="2" t="s">
        <v>39</v>
      </c>
      <c r="F7031" s="2"/>
      <c r="G7031" s="2"/>
    </row>
    <row r="7032" spans="1:7" x14ac:dyDescent="0.3">
      <c r="A7032" s="1" t="s">
        <v>4</v>
      </c>
      <c r="B7032" s="2" t="str">
        <f t="shared" si="581"/>
        <v>PRONTUARIO ELETRONICO DO PACIENTE</v>
      </c>
      <c r="C7032" s="2" t="str">
        <f t="shared" si="582"/>
        <v>PEP</v>
      </c>
      <c r="D7032" s="2" t="str">
        <f t="shared" si="583"/>
        <v>MVPEP</v>
      </c>
      <c r="E7032" s="2" t="str">
        <f>"REGISTRO DE DIAGNOSTICO MEDICO"</f>
        <v>REGISTRO DE DIAGNOSTICO MEDICO</v>
      </c>
      <c r="F7032" s="2" t="str">
        <f>"MVPEP_DIAGNOSTICO"</f>
        <v>MVPEP_DIAGNOSTICO</v>
      </c>
      <c r="G7032" s="2" t="str">
        <f t="shared" ref="G7032:G7095" si="584">" ()"</f>
        <v xml:space="preserve"> ()</v>
      </c>
    </row>
    <row r="7033" spans="1:7" x14ac:dyDescent="0.3">
      <c r="A7033" s="1" t="s">
        <v>4</v>
      </c>
      <c r="B7033" s="2" t="str">
        <f t="shared" si="581"/>
        <v>PRONTUARIO ELETRONICO DO PACIENTE</v>
      </c>
      <c r="C7033" s="2" t="str">
        <f t="shared" si="582"/>
        <v>PEP</v>
      </c>
      <c r="D7033" s="2" t="str">
        <f t="shared" si="583"/>
        <v>MVPEP</v>
      </c>
      <c r="E7033" s="2" t="str">
        <f>"REGISTRO DE ALERGIAS DO PACIENTE"</f>
        <v>REGISTRO DE ALERGIAS DO PACIENTE</v>
      </c>
      <c r="F7033" s="2" t="str">
        <f>"MVPEP_ALERGIA_PACIENTE"</f>
        <v>MVPEP_ALERGIA_PACIENTE</v>
      </c>
      <c r="G7033" s="2" t="str">
        <f t="shared" si="584"/>
        <v xml:space="preserve"> ()</v>
      </c>
    </row>
    <row r="7034" spans="1:7" x14ac:dyDescent="0.3">
      <c r="A7034" s="1" t="s">
        <v>4</v>
      </c>
      <c r="B7034" s="2" t="str">
        <f t="shared" si="581"/>
        <v>PRONTUARIO ELETRONICO DO PACIENTE</v>
      </c>
      <c r="C7034" s="2" t="str">
        <f t="shared" si="582"/>
        <v>PEP</v>
      </c>
      <c r="D7034" s="2" t="str">
        <f t="shared" si="583"/>
        <v>MVPEP</v>
      </c>
      <c r="E7034" s="2" t="str">
        <f>"ANOTACAO DE  ENFERMAGEM"</f>
        <v>ANOTACAO DE  ENFERMAGEM</v>
      </c>
      <c r="F7034" s="2" t="str">
        <f>"MVPEP_ANOTACAO_ENFERMAGEM"</f>
        <v>MVPEP_ANOTACAO_ENFERMAGEM</v>
      </c>
      <c r="G7034" s="2" t="str">
        <f t="shared" si="584"/>
        <v xml:space="preserve"> ()</v>
      </c>
    </row>
    <row r="7035" spans="1:7" x14ac:dyDescent="0.3">
      <c r="A7035" s="1" t="s">
        <v>4</v>
      </c>
      <c r="B7035" s="2" t="str">
        <f t="shared" si="581"/>
        <v>PRONTUARIO ELETRONICO DO PACIENTE</v>
      </c>
      <c r="C7035" s="2" t="str">
        <f t="shared" si="582"/>
        <v>PEP</v>
      </c>
      <c r="D7035" s="2" t="str">
        <f t="shared" si="583"/>
        <v>MVPEP</v>
      </c>
      <c r="E7035" s="2" t="str">
        <f>"BALANCO HIDRICO"</f>
        <v>BALANCO HIDRICO</v>
      </c>
      <c r="F7035" s="2" t="str">
        <f>"MVPEP_BALANCO_HIDRICO"</f>
        <v>MVPEP_BALANCO_HIDRICO</v>
      </c>
      <c r="G7035" s="2" t="str">
        <f t="shared" si="584"/>
        <v xml:space="preserve"> ()</v>
      </c>
    </row>
    <row r="7036" spans="1:7" x14ac:dyDescent="0.3">
      <c r="A7036" s="1" t="s">
        <v>4</v>
      </c>
      <c r="B7036" s="2" t="str">
        <f t="shared" si="581"/>
        <v>PRONTUARIO ELETRONICO DO PACIENTE</v>
      </c>
      <c r="C7036" s="2" t="str">
        <f t="shared" si="582"/>
        <v>PEP</v>
      </c>
      <c r="D7036" s="2" t="str">
        <f t="shared" si="583"/>
        <v>MVPEP</v>
      </c>
      <c r="E7036" s="2" t="str">
        <f>"AFERICAO"</f>
        <v>AFERICAO</v>
      </c>
      <c r="F7036" s="2" t="str">
        <f>"MVPEP_AFERICAO"</f>
        <v>MVPEP_AFERICAO</v>
      </c>
      <c r="G7036" s="2" t="str">
        <f t="shared" si="584"/>
        <v xml:space="preserve"> ()</v>
      </c>
    </row>
    <row r="7037" spans="1:7" x14ac:dyDescent="0.3">
      <c r="A7037" s="1" t="s">
        <v>4</v>
      </c>
      <c r="B7037" s="2" t="str">
        <f t="shared" ref="B7037:B7100" si="585">"SISTEMA GERADOR DE RELATÓRIOS"</f>
        <v>SISTEMA GERADOR DE RELATÓRIOS</v>
      </c>
      <c r="C7037" s="2" t="str">
        <f t="shared" ref="C7037:C7100" si="586">"SMA-REP"</f>
        <v>SMA-REP</v>
      </c>
      <c r="D7037" s="2" t="str">
        <f t="shared" ref="D7037:D7100" si="587">"MVREP"</f>
        <v>MVREP</v>
      </c>
      <c r="E7037" s="2" t="str">
        <f>"PrimeiroTeste"</f>
        <v>PrimeiroTeste</v>
      </c>
      <c r="F7037" s="2" t="str">
        <f>"USR_PRIMEIROTESTE"</f>
        <v>USR_PRIMEIROTESTE</v>
      </c>
      <c r="G7037" s="2" t="str">
        <f t="shared" si="584"/>
        <v xml:space="preserve"> ()</v>
      </c>
    </row>
    <row r="7038" spans="1:7" x14ac:dyDescent="0.3">
      <c r="A7038" s="1" t="s">
        <v>4</v>
      </c>
      <c r="B7038" s="2" t="str">
        <f t="shared" si="585"/>
        <v>SISTEMA GERADOR DE RELATÓRIOS</v>
      </c>
      <c r="C7038" s="2" t="str">
        <f t="shared" si="586"/>
        <v>SMA-REP</v>
      </c>
      <c r="D7038" s="2" t="str">
        <f t="shared" si="587"/>
        <v>MVREP</v>
      </c>
      <c r="E7038" s="2" t="str">
        <f>"REL PRESC  EVOL"</f>
        <v>REL PRESC  EVOL</v>
      </c>
      <c r="F7038" s="2" t="str">
        <f>"USR_REL_PRESC__EVOL"</f>
        <v>USR_REL_PRESC__EVOL</v>
      </c>
      <c r="G7038" s="2" t="str">
        <f t="shared" si="584"/>
        <v xml:space="preserve"> ()</v>
      </c>
    </row>
    <row r="7039" spans="1:7" x14ac:dyDescent="0.3">
      <c r="A7039" s="1" t="s">
        <v>4</v>
      </c>
      <c r="B7039" s="2" t="str">
        <f t="shared" si="585"/>
        <v>SISTEMA GERADOR DE RELATÓRIOS</v>
      </c>
      <c r="C7039" s="2" t="str">
        <f t="shared" si="586"/>
        <v>SMA-REP</v>
      </c>
      <c r="D7039" s="2" t="str">
        <f t="shared" si="587"/>
        <v>MVREP</v>
      </c>
      <c r="E7039" s="2" t="str">
        <f>"MÉDICOS SEM PRESCRIÇÃO + 365 T"</f>
        <v>MÉDICOS SEM PRESCRIÇÃO + 365 T</v>
      </c>
      <c r="F7039" s="2" t="str">
        <f>"USR_MEDICOS_SEM_PRESCRICAO_TESTE"</f>
        <v>USR_MEDICOS_SEM_PRESCRICAO_TESTE</v>
      </c>
      <c r="G7039" s="2" t="str">
        <f t="shared" si="584"/>
        <v xml:space="preserve"> ()</v>
      </c>
    </row>
    <row r="7040" spans="1:7" x14ac:dyDescent="0.3">
      <c r="A7040" s="1" t="s">
        <v>4</v>
      </c>
      <c r="B7040" s="2" t="str">
        <f t="shared" si="585"/>
        <v>SISTEMA GERADOR DE RELATÓRIOS</v>
      </c>
      <c r="C7040" s="2" t="str">
        <f t="shared" si="586"/>
        <v>SMA-REP</v>
      </c>
      <c r="D7040" s="2" t="str">
        <f t="shared" si="587"/>
        <v>MVREP</v>
      </c>
      <c r="E7040" s="2" t="str">
        <f>"Protocolo Resultado Exames_v2"</f>
        <v>Protocolo Resultado Exames_v2</v>
      </c>
      <c r="F7040" s="2" t="str">
        <f>"USR_PROTOCOLO_RESULTADO_EXAMES_V2"</f>
        <v>USR_PROTOCOLO_RESULTADO_EXAMES_V2</v>
      </c>
      <c r="G7040" s="2" t="str">
        <f t="shared" si="584"/>
        <v xml:space="preserve"> ()</v>
      </c>
    </row>
    <row r="7041" spans="1:7" x14ac:dyDescent="0.3">
      <c r="A7041" s="1" t="s">
        <v>4</v>
      </c>
      <c r="B7041" s="2" t="str">
        <f t="shared" si="585"/>
        <v>SISTEMA GERADOR DE RELATÓRIOS</v>
      </c>
      <c r="C7041" s="2" t="str">
        <f t="shared" si="586"/>
        <v>SMA-REP</v>
      </c>
      <c r="D7041" s="2" t="str">
        <f t="shared" si="587"/>
        <v>MVREP</v>
      </c>
      <c r="E7041" s="2" t="str">
        <f>"Consumo de Produtos"</f>
        <v>Consumo de Produtos</v>
      </c>
      <c r="F7041" s="2" t="str">
        <f>"USR_CONSUMO_DE_PRODUTOS"</f>
        <v>USR_CONSUMO_DE_PRODUTOS</v>
      </c>
      <c r="G7041" s="2" t="str">
        <f t="shared" si="584"/>
        <v xml:space="preserve"> ()</v>
      </c>
    </row>
    <row r="7042" spans="1:7" x14ac:dyDescent="0.3">
      <c r="A7042" s="1" t="s">
        <v>4</v>
      </c>
      <c r="B7042" s="2" t="str">
        <f t="shared" si="585"/>
        <v>SISTEMA GERADOR DE RELATÓRIOS</v>
      </c>
      <c r="C7042" s="2" t="str">
        <f t="shared" si="586"/>
        <v>SMA-REP</v>
      </c>
      <c r="D7042" s="2" t="str">
        <f t="shared" si="587"/>
        <v>MVREP</v>
      </c>
      <c r="E7042" s="2" t="str">
        <f>"MAPA CIRURGICO NOVO"</f>
        <v>MAPA CIRURGICO NOVO</v>
      </c>
      <c r="F7042" s="2" t="str">
        <f>"USR_MAPA_CIRURGICO_NOVO"</f>
        <v>USR_MAPA_CIRURGICO_NOVO</v>
      </c>
      <c r="G7042" s="2" t="str">
        <f t="shared" si="584"/>
        <v xml:space="preserve"> ()</v>
      </c>
    </row>
    <row r="7043" spans="1:7" x14ac:dyDescent="0.3">
      <c r="A7043" s="1" t="s">
        <v>4</v>
      </c>
      <c r="B7043" s="2" t="str">
        <f t="shared" si="585"/>
        <v>SISTEMA GERADOR DE RELATÓRIOS</v>
      </c>
      <c r="C7043" s="2" t="str">
        <f t="shared" si="586"/>
        <v>SMA-REP</v>
      </c>
      <c r="D7043" s="2" t="str">
        <f t="shared" si="587"/>
        <v>MVREP</v>
      </c>
      <c r="E7043" s="2" t="str">
        <f>"RELATÓRIO DE PULSEIRAS INTERNAMENTO"</f>
        <v>RELATÓRIO DE PULSEIRAS INTERNAMENTO</v>
      </c>
      <c r="F7043" s="2" t="str">
        <f>"USR_RELATORIO_DE_PULSEIRAS_INTERNA"</f>
        <v>USR_RELATORIO_DE_PULSEIRAS_INTERNA</v>
      </c>
      <c r="G7043" s="2" t="str">
        <f t="shared" si="584"/>
        <v xml:space="preserve"> ()</v>
      </c>
    </row>
    <row r="7044" spans="1:7" x14ac:dyDescent="0.3">
      <c r="A7044" s="1" t="s">
        <v>4</v>
      </c>
      <c r="B7044" s="2" t="str">
        <f t="shared" si="585"/>
        <v>SISTEMA GERADOR DE RELATÓRIOS</v>
      </c>
      <c r="C7044" s="2" t="str">
        <f t="shared" si="586"/>
        <v>SMA-REP</v>
      </c>
      <c r="D7044" s="2" t="str">
        <f t="shared" si="587"/>
        <v>MVREP</v>
      </c>
      <c r="E7044" s="2" t="str">
        <f>"EXTRATO_LANAC"</f>
        <v>EXTRATO_LANAC</v>
      </c>
      <c r="F7044" s="2" t="str">
        <f>"USR_EXTRATO_LANAC_MR"</f>
        <v>USR_EXTRATO_LANAC_MR</v>
      </c>
      <c r="G7044" s="2" t="str">
        <f t="shared" si="584"/>
        <v xml:space="preserve"> ()</v>
      </c>
    </row>
    <row r="7045" spans="1:7" x14ac:dyDescent="0.3">
      <c r="A7045" s="1" t="s">
        <v>4</v>
      </c>
      <c r="B7045" s="2" t="str">
        <f t="shared" si="585"/>
        <v>SISTEMA GERADOR DE RELATÓRIOS</v>
      </c>
      <c r="C7045" s="2" t="str">
        <f t="shared" si="586"/>
        <v>SMA-REP</v>
      </c>
      <c r="D7045" s="2" t="str">
        <f t="shared" si="587"/>
        <v>MVREP</v>
      </c>
      <c r="E7045" s="2" t="str">
        <f>"RELATÓRIO DE PACIENTES AGENDADOS POR DIA"</f>
        <v>RELATÓRIO DE PACIENTES AGENDADOS POR DIA</v>
      </c>
      <c r="F7045" s="2" t="str">
        <f>"USR_RELATORIO_DE_PACIENTES_AGENDAD"</f>
        <v>USR_RELATORIO_DE_PACIENTES_AGENDAD</v>
      </c>
      <c r="G7045" s="2" t="str">
        <f t="shared" si="584"/>
        <v xml:space="preserve"> ()</v>
      </c>
    </row>
    <row r="7046" spans="1:7" x14ac:dyDescent="0.3">
      <c r="A7046" s="1" t="s">
        <v>4</v>
      </c>
      <c r="B7046" s="2" t="str">
        <f t="shared" si="585"/>
        <v>SISTEMA GERADOR DE RELATÓRIOS</v>
      </c>
      <c r="C7046" s="2" t="str">
        <f t="shared" si="586"/>
        <v>SMA-REP</v>
      </c>
      <c r="D7046" s="2" t="str">
        <f t="shared" si="587"/>
        <v>MVREP</v>
      </c>
      <c r="E7046" s="2" t="str">
        <f>"DIETAS POR PERIODO"</f>
        <v>DIETAS POR PERIODO</v>
      </c>
      <c r="F7046" s="2" t="str">
        <f>"USR_DIETAS_POR_PERIODO"</f>
        <v>USR_DIETAS_POR_PERIODO</v>
      </c>
      <c r="G7046" s="2" t="str">
        <f t="shared" si="584"/>
        <v xml:space="preserve"> ()</v>
      </c>
    </row>
    <row r="7047" spans="1:7" x14ac:dyDescent="0.3">
      <c r="A7047" s="1" t="s">
        <v>4</v>
      </c>
      <c r="B7047" s="2" t="str">
        <f t="shared" si="585"/>
        <v>SISTEMA GERADOR DE RELATÓRIOS</v>
      </c>
      <c r="C7047" s="2" t="str">
        <f t="shared" si="586"/>
        <v>SMA-REP</v>
      </c>
      <c r="D7047" s="2" t="str">
        <f t="shared" si="587"/>
        <v>MVREP</v>
      </c>
      <c r="E7047" s="2" t="str">
        <f>"LANÇAMENTO DE REFEIÇÕES COPIA"</f>
        <v>LANÇAMENTO DE REFEIÇÕES COPIA</v>
      </c>
      <c r="F7047" s="2" t="str">
        <f>"USR_LANCAMENTO_DE_REFEICOES_COPIA"</f>
        <v>USR_LANCAMENTO_DE_REFEICOES_COPIA</v>
      </c>
      <c r="G7047" s="2" t="str">
        <f t="shared" si="584"/>
        <v xml:space="preserve"> ()</v>
      </c>
    </row>
    <row r="7048" spans="1:7" x14ac:dyDescent="0.3">
      <c r="A7048" s="1" t="s">
        <v>4</v>
      </c>
      <c r="B7048" s="2" t="str">
        <f t="shared" si="585"/>
        <v>SISTEMA GERADOR DE RELATÓRIOS</v>
      </c>
      <c r="C7048" s="2" t="str">
        <f t="shared" si="586"/>
        <v>SMA-REP</v>
      </c>
      <c r="D7048" s="2" t="str">
        <f t="shared" si="587"/>
        <v>MVREP</v>
      </c>
      <c r="E7048" s="2" t="str">
        <f>"Etiqueta Paciente TESTE"</f>
        <v>Etiqueta Paciente TESTE</v>
      </c>
      <c r="F7048" s="2" t="str">
        <f>"USR_ETIQUETA_PACIENTE_TESTE"</f>
        <v>USR_ETIQUETA_PACIENTE_TESTE</v>
      </c>
      <c r="G7048" s="2" t="str">
        <f t="shared" si="584"/>
        <v xml:space="preserve"> ()</v>
      </c>
    </row>
    <row r="7049" spans="1:7" x14ac:dyDescent="0.3">
      <c r="A7049" s="1" t="s">
        <v>4</v>
      </c>
      <c r="B7049" s="2" t="str">
        <f t="shared" si="585"/>
        <v>SISTEMA GERADOR DE RELATÓRIOS</v>
      </c>
      <c r="C7049" s="2" t="str">
        <f t="shared" si="586"/>
        <v>SMA-REP</v>
      </c>
      <c r="D7049" s="2" t="str">
        <f t="shared" si="587"/>
        <v>MVREP</v>
      </c>
      <c r="E7049" s="2" t="str">
        <f>"TERMO CONSENTIMENTO LGPD"</f>
        <v>TERMO CONSENTIMENTO LGPD</v>
      </c>
      <c r="F7049" s="2" t="str">
        <f>"USR_TERMO_CONSENTIMENTO_LGPD"</f>
        <v>USR_TERMO_CONSENTIMENTO_LGPD</v>
      </c>
      <c r="G7049" s="2" t="str">
        <f t="shared" si="584"/>
        <v xml:space="preserve"> ()</v>
      </c>
    </row>
    <row r="7050" spans="1:7" x14ac:dyDescent="0.3">
      <c r="A7050" s="1" t="s">
        <v>4</v>
      </c>
      <c r="B7050" s="2" t="str">
        <f t="shared" si="585"/>
        <v>SISTEMA GERADOR DE RELATÓRIOS</v>
      </c>
      <c r="C7050" s="2" t="str">
        <f t="shared" si="586"/>
        <v>SMA-REP</v>
      </c>
      <c r="D7050" s="2" t="str">
        <f t="shared" si="587"/>
        <v>MVREP</v>
      </c>
      <c r="E7050" s="2" t="str">
        <f>"PEDIDOS ENTREGUES INC IMAGEM"</f>
        <v>PEDIDOS ENTREGUES INC IMAGEM</v>
      </c>
      <c r="F7050" s="2" t="str">
        <f>"USR_PEDIDOS_ENTREGUES_INC_IMAGEM"</f>
        <v>USR_PEDIDOS_ENTREGUES_INC_IMAGEM</v>
      </c>
      <c r="G7050" s="2" t="str">
        <f t="shared" si="584"/>
        <v xml:space="preserve"> ()</v>
      </c>
    </row>
    <row r="7051" spans="1:7" x14ac:dyDescent="0.3">
      <c r="A7051" s="1" t="s">
        <v>4</v>
      </c>
      <c r="B7051" s="2" t="str">
        <f t="shared" si="585"/>
        <v>SISTEMA GERADOR DE RELATÓRIOS</v>
      </c>
      <c r="C7051" s="2" t="str">
        <f t="shared" si="586"/>
        <v>SMA-REP</v>
      </c>
      <c r="D7051" s="2" t="str">
        <f t="shared" si="587"/>
        <v>MVREP</v>
      </c>
      <c r="E7051" s="2" t="str">
        <f>"INC - CONSUMO DE PRODUTOS POR AVISO"</f>
        <v>INC - CONSUMO DE PRODUTOS POR AVISO</v>
      </c>
      <c r="F7051" s="2" t="str">
        <f>"USR_INC_-_CONSUMO_DE_PRODUTOS_AVIS"</f>
        <v>USR_INC_-_CONSUMO_DE_PRODUTOS_AVIS</v>
      </c>
      <c r="G7051" s="2" t="str">
        <f t="shared" si="584"/>
        <v xml:space="preserve"> ()</v>
      </c>
    </row>
    <row r="7052" spans="1:7" x14ac:dyDescent="0.3">
      <c r="A7052" s="1" t="s">
        <v>4</v>
      </c>
      <c r="B7052" s="2" t="str">
        <f t="shared" si="585"/>
        <v>SISTEMA GERADOR DE RELATÓRIOS</v>
      </c>
      <c r="C7052" s="2" t="str">
        <f t="shared" si="586"/>
        <v>SMA-REP</v>
      </c>
      <c r="D7052" s="2" t="str">
        <f t="shared" si="587"/>
        <v>MVREP</v>
      </c>
      <c r="E7052" s="2" t="str">
        <f>"teste"</f>
        <v>teste</v>
      </c>
      <c r="F7052" s="2" t="str">
        <f>"USR_TESTE"</f>
        <v>USR_TESTE</v>
      </c>
      <c r="G7052" s="2" t="str">
        <f t="shared" si="584"/>
        <v xml:space="preserve"> ()</v>
      </c>
    </row>
    <row r="7053" spans="1:7" x14ac:dyDescent="0.3">
      <c r="A7053" s="1" t="s">
        <v>4</v>
      </c>
      <c r="B7053" s="2" t="str">
        <f t="shared" si="585"/>
        <v>SISTEMA GERADOR DE RELATÓRIOS</v>
      </c>
      <c r="C7053" s="2" t="str">
        <f t="shared" si="586"/>
        <v>SMA-REP</v>
      </c>
      <c r="D7053" s="2" t="str">
        <f t="shared" si="587"/>
        <v>MVREP</v>
      </c>
      <c r="E7053" s="2" t="str">
        <f>"Mapa Cirurgico 2"</f>
        <v>Mapa Cirurgico 2</v>
      </c>
      <c r="F7053" s="2" t="str">
        <f>"USR_MAPA_CIRURGICO_2"</f>
        <v>USR_MAPA_CIRURGICO_2</v>
      </c>
      <c r="G7053" s="2" t="str">
        <f t="shared" si="584"/>
        <v xml:space="preserve"> ()</v>
      </c>
    </row>
    <row r="7054" spans="1:7" x14ac:dyDescent="0.3">
      <c r="A7054" s="1" t="s">
        <v>4</v>
      </c>
      <c r="B7054" s="2" t="str">
        <f t="shared" si="585"/>
        <v>SISTEMA GERADOR DE RELATÓRIOS</v>
      </c>
      <c r="C7054" s="2" t="str">
        <f t="shared" si="586"/>
        <v>SMA-REP</v>
      </c>
      <c r="D7054" s="2" t="str">
        <f t="shared" si="587"/>
        <v>MVREP</v>
      </c>
      <c r="E7054" s="2" t="str">
        <f>"INC Consumo por Ranking"</f>
        <v>INC Consumo por Ranking</v>
      </c>
      <c r="F7054" s="2" t="str">
        <f>"USR_INC_CONSUMO_POR_RANKING"</f>
        <v>USR_INC_CONSUMO_POR_RANKING</v>
      </c>
      <c r="G7054" s="2" t="str">
        <f t="shared" si="584"/>
        <v xml:space="preserve"> ()</v>
      </c>
    </row>
    <row r="7055" spans="1:7" x14ac:dyDescent="0.3">
      <c r="A7055" s="1" t="s">
        <v>4</v>
      </c>
      <c r="B7055" s="2" t="str">
        <f t="shared" si="585"/>
        <v>SISTEMA GERADOR DE RELATÓRIOS</v>
      </c>
      <c r="C7055" s="2" t="str">
        <f t="shared" si="586"/>
        <v>SMA-REP</v>
      </c>
      <c r="D7055" s="2" t="str">
        <f t="shared" si="587"/>
        <v>MVREP</v>
      </c>
      <c r="E7055" s="2" t="str">
        <f>"EXTRATO HEMO - TESTE"</f>
        <v>EXTRATO HEMO - TESTE</v>
      </c>
      <c r="F7055" s="2" t="str">
        <f>"USR_EXTRATO_HEMO_-_TESTE"</f>
        <v>USR_EXTRATO_HEMO_-_TESTE</v>
      </c>
      <c r="G7055" s="2" t="str">
        <f t="shared" si="584"/>
        <v xml:space="preserve"> ()</v>
      </c>
    </row>
    <row r="7056" spans="1:7" x14ac:dyDescent="0.3">
      <c r="A7056" s="1" t="s">
        <v>4</v>
      </c>
      <c r="B7056" s="2" t="str">
        <f t="shared" si="585"/>
        <v>SISTEMA GERADOR DE RELATÓRIOS</v>
      </c>
      <c r="C7056" s="2" t="str">
        <f t="shared" si="586"/>
        <v>SMA-REP</v>
      </c>
      <c r="D7056" s="2" t="str">
        <f t="shared" si="587"/>
        <v>MVREP</v>
      </c>
      <c r="E7056" s="2" t="str">
        <f>"Repasse INC Sintetico"</f>
        <v>Repasse INC Sintetico</v>
      </c>
      <c r="F7056" s="2" t="str">
        <f>"USR_REPASSE_INC_AGRUPADO"</f>
        <v>USR_REPASSE_INC_AGRUPADO</v>
      </c>
      <c r="G7056" s="2" t="str">
        <f t="shared" si="584"/>
        <v xml:space="preserve"> ()</v>
      </c>
    </row>
    <row r="7057" spans="1:7" x14ac:dyDescent="0.3">
      <c r="A7057" s="1" t="s">
        <v>4</v>
      </c>
      <c r="B7057" s="2" t="str">
        <f t="shared" si="585"/>
        <v>SISTEMA GERADOR DE RELATÓRIOS</v>
      </c>
      <c r="C7057" s="2" t="str">
        <f t="shared" si="586"/>
        <v>SMA-REP</v>
      </c>
      <c r="D7057" s="2" t="str">
        <f t="shared" si="587"/>
        <v>MVREP</v>
      </c>
      <c r="E7057" s="2" t="str">
        <f>"FICHA NEUROFISIOLOGIA"</f>
        <v>FICHA NEUROFISIOLOGIA</v>
      </c>
      <c r="F7057" s="2" t="str">
        <f>"USR_FICHA_NEUROFISIOLOGIA"</f>
        <v>USR_FICHA_NEUROFISIOLOGIA</v>
      </c>
      <c r="G7057" s="2" t="str">
        <f t="shared" si="584"/>
        <v xml:space="preserve"> ()</v>
      </c>
    </row>
    <row r="7058" spans="1:7" x14ac:dyDescent="0.3">
      <c r="A7058" s="1" t="s">
        <v>4</v>
      </c>
      <c r="B7058" s="2" t="str">
        <f t="shared" si="585"/>
        <v>SISTEMA GERADOR DE RELATÓRIOS</v>
      </c>
      <c r="C7058" s="2" t="str">
        <f t="shared" si="586"/>
        <v>SMA-REP</v>
      </c>
      <c r="D7058" s="2" t="str">
        <f t="shared" si="587"/>
        <v>MVREP</v>
      </c>
      <c r="E7058" s="2" t="str">
        <f>"MAPACIRURGICO"</f>
        <v>MAPACIRURGICO</v>
      </c>
      <c r="F7058" s="2" t="str">
        <f>"USR_MAPACIRURGICO"</f>
        <v>USR_MAPACIRURGICO</v>
      </c>
      <c r="G7058" s="2" t="str">
        <f t="shared" si="584"/>
        <v xml:space="preserve"> ()</v>
      </c>
    </row>
    <row r="7059" spans="1:7" x14ac:dyDescent="0.3">
      <c r="A7059" s="1" t="s">
        <v>4</v>
      </c>
      <c r="B7059" s="2" t="str">
        <f t="shared" si="585"/>
        <v>SISTEMA GERADOR DE RELATÓRIOS</v>
      </c>
      <c r="C7059" s="2" t="str">
        <f t="shared" si="586"/>
        <v>SMA-REP</v>
      </c>
      <c r="D7059" s="2" t="str">
        <f t="shared" si="587"/>
        <v>MVREP</v>
      </c>
      <c r="E7059" s="2" t="str">
        <f>"BUSCA ATIVA - SCIH V2"</f>
        <v>BUSCA ATIVA - SCIH V2</v>
      </c>
      <c r="F7059" s="2" t="str">
        <f>"USR_BUSCA_ATIVA_-_SCIH_V2"</f>
        <v>USR_BUSCA_ATIVA_-_SCIH_V2</v>
      </c>
      <c r="G7059" s="2" t="str">
        <f t="shared" si="584"/>
        <v xml:space="preserve"> ()</v>
      </c>
    </row>
    <row r="7060" spans="1:7" x14ac:dyDescent="0.3">
      <c r="A7060" s="1" t="s">
        <v>4</v>
      </c>
      <c r="B7060" s="2" t="str">
        <f t="shared" si="585"/>
        <v>SISTEMA GERADOR DE RELATÓRIOS</v>
      </c>
      <c r="C7060" s="2" t="str">
        <f t="shared" si="586"/>
        <v>SMA-REP</v>
      </c>
      <c r="D7060" s="2" t="str">
        <f t="shared" si="587"/>
        <v>MVREP</v>
      </c>
      <c r="E7060" s="2" t="str">
        <f>"CONTRATO INTERNAMENTO"</f>
        <v>CONTRATO INTERNAMENTO</v>
      </c>
      <c r="F7060" s="2" t="str">
        <f>"USR_CONTRATO_INTERNAMENTO"</f>
        <v>USR_CONTRATO_INTERNAMENTO</v>
      </c>
      <c r="G7060" s="2" t="str">
        <f t="shared" si="584"/>
        <v xml:space="preserve"> ()</v>
      </c>
    </row>
    <row r="7061" spans="1:7" x14ac:dyDescent="0.3">
      <c r="A7061" s="1" t="s">
        <v>4</v>
      </c>
      <c r="B7061" s="2" t="str">
        <f t="shared" si="585"/>
        <v>SISTEMA GERADOR DE RELATÓRIOS</v>
      </c>
      <c r="C7061" s="2" t="str">
        <f t="shared" si="586"/>
        <v>SMA-REP</v>
      </c>
      <c r="D7061" s="2" t="str">
        <f t="shared" si="587"/>
        <v>MVREP</v>
      </c>
      <c r="E7061" s="2" t="str">
        <f>"TESTE_WILLIAN"</f>
        <v>TESTE_WILLIAN</v>
      </c>
      <c r="F7061" s="2" t="str">
        <f>"USR_TESTE_WILLIAN"</f>
        <v>USR_TESTE_WILLIAN</v>
      </c>
      <c r="G7061" s="2" t="str">
        <f t="shared" si="584"/>
        <v xml:space="preserve"> ()</v>
      </c>
    </row>
    <row r="7062" spans="1:7" x14ac:dyDescent="0.3">
      <c r="A7062" s="1" t="s">
        <v>4</v>
      </c>
      <c r="B7062" s="2" t="str">
        <f t="shared" si="585"/>
        <v>SISTEMA GERADOR DE RELATÓRIOS</v>
      </c>
      <c r="C7062" s="2" t="str">
        <f t="shared" si="586"/>
        <v>SMA-REP</v>
      </c>
      <c r="D7062" s="2" t="str">
        <f t="shared" si="587"/>
        <v>MVREP</v>
      </c>
      <c r="E7062" s="2" t="str">
        <f>"EXTRATO HEMO"</f>
        <v>EXTRATO HEMO</v>
      </c>
      <c r="F7062" s="2" t="str">
        <f>"USR_EXTRATO_HEMO"</f>
        <v>USR_EXTRATO_HEMO</v>
      </c>
      <c r="G7062" s="2" t="str">
        <f t="shared" si="584"/>
        <v xml:space="preserve"> ()</v>
      </c>
    </row>
    <row r="7063" spans="1:7" x14ac:dyDescent="0.3">
      <c r="A7063" s="1" t="s">
        <v>4</v>
      </c>
      <c r="B7063" s="2" t="str">
        <f t="shared" si="585"/>
        <v>SISTEMA GERADOR DE RELATÓRIOS</v>
      </c>
      <c r="C7063" s="2" t="str">
        <f t="shared" si="586"/>
        <v>SMA-REP</v>
      </c>
      <c r="D7063" s="2" t="str">
        <f t="shared" si="587"/>
        <v>MVREP</v>
      </c>
      <c r="E7063" s="2" t="str">
        <f>"RELATORIO RECEBIMENTO PARTICULAR BKP"</f>
        <v>RELATORIO RECEBIMENTO PARTICULAR BKP</v>
      </c>
      <c r="F7063" s="2" t="str">
        <f>"USR_RELATORIO_RECEBIMENTO_PARTICUL"</f>
        <v>USR_RELATORIO_RECEBIMENTO_PARTICUL</v>
      </c>
      <c r="G7063" s="2" t="str">
        <f t="shared" si="584"/>
        <v xml:space="preserve"> ()</v>
      </c>
    </row>
    <row r="7064" spans="1:7" x14ac:dyDescent="0.3">
      <c r="A7064" s="1" t="s">
        <v>4</v>
      </c>
      <c r="B7064" s="2" t="str">
        <f t="shared" si="585"/>
        <v>SISTEMA GERADOR DE RELATÓRIOS</v>
      </c>
      <c r="C7064" s="2" t="str">
        <f t="shared" si="586"/>
        <v>SMA-REP</v>
      </c>
      <c r="D7064" s="2" t="str">
        <f t="shared" si="587"/>
        <v>MVREP</v>
      </c>
      <c r="E7064" s="2" t="str">
        <f>"Relatório triagem de refeicao"</f>
        <v>Relatório triagem de refeicao</v>
      </c>
      <c r="F7064" s="2" t="str">
        <f>"USR_RELATORIO_TRIAGEM"</f>
        <v>USR_RELATORIO_TRIAGEM</v>
      </c>
      <c r="G7064" s="2" t="str">
        <f t="shared" si="584"/>
        <v xml:space="preserve"> ()</v>
      </c>
    </row>
    <row r="7065" spans="1:7" x14ac:dyDescent="0.3">
      <c r="A7065" s="1" t="s">
        <v>4</v>
      </c>
      <c r="B7065" s="2" t="str">
        <f t="shared" si="585"/>
        <v>SISTEMA GERADOR DE RELATÓRIOS</v>
      </c>
      <c r="C7065" s="2" t="str">
        <f t="shared" si="586"/>
        <v>SMA-REP</v>
      </c>
      <c r="D7065" s="2" t="str">
        <f t="shared" si="587"/>
        <v>MVREP</v>
      </c>
      <c r="E7065" s="2" t="str">
        <f>"Relatório RAM"</f>
        <v>Relatório RAM</v>
      </c>
      <c r="F7065" s="2" t="str">
        <f>"USR_RELATORIO_RAM"</f>
        <v>USR_RELATORIO_RAM</v>
      </c>
      <c r="G7065" s="2" t="str">
        <f t="shared" si="584"/>
        <v xml:space="preserve"> ()</v>
      </c>
    </row>
    <row r="7066" spans="1:7" x14ac:dyDescent="0.3">
      <c r="A7066" s="1" t="s">
        <v>4</v>
      </c>
      <c r="B7066" s="2" t="str">
        <f t="shared" si="585"/>
        <v>SISTEMA GERADOR DE RELATÓRIOS</v>
      </c>
      <c r="C7066" s="2" t="str">
        <f t="shared" si="586"/>
        <v>SMA-REP</v>
      </c>
      <c r="D7066" s="2" t="str">
        <f t="shared" si="587"/>
        <v>MVREP</v>
      </c>
      <c r="E7066" s="2" t="str">
        <f>"SCIH - PACIENTE ALERGIA"</f>
        <v>SCIH - PACIENTE ALERGIA</v>
      </c>
      <c r="F7066" s="2" t="str">
        <f>"USR_SCIH_-_PACIENTE_ALERGIA"</f>
        <v>USR_SCIH_-_PACIENTE_ALERGIA</v>
      </c>
      <c r="G7066" s="2" t="str">
        <f t="shared" si="584"/>
        <v xml:space="preserve"> ()</v>
      </c>
    </row>
    <row r="7067" spans="1:7" x14ac:dyDescent="0.3">
      <c r="A7067" s="1" t="s">
        <v>4</v>
      </c>
      <c r="B7067" s="2" t="str">
        <f t="shared" si="585"/>
        <v>SISTEMA GERADOR DE RELATÓRIOS</v>
      </c>
      <c r="C7067" s="2" t="str">
        <f t="shared" si="586"/>
        <v>SMA-REP</v>
      </c>
      <c r="D7067" s="2" t="str">
        <f t="shared" si="587"/>
        <v>MVREP</v>
      </c>
      <c r="E7067" s="2" t="str">
        <f>"PROTOCOLO DE RESULTADO HEMODINAMICA"</f>
        <v>PROTOCOLO DE RESULTADO HEMODINAMICA</v>
      </c>
      <c r="F7067" s="2" t="str">
        <f>"USR_PROTOCOLO_DE_RESULTADO_HEMODIN"</f>
        <v>USR_PROTOCOLO_DE_RESULTADO_HEMODIN</v>
      </c>
      <c r="G7067" s="2" t="str">
        <f t="shared" si="584"/>
        <v xml:space="preserve"> ()</v>
      </c>
    </row>
    <row r="7068" spans="1:7" x14ac:dyDescent="0.3">
      <c r="A7068" s="1" t="s">
        <v>4</v>
      </c>
      <c r="B7068" s="2" t="str">
        <f t="shared" si="585"/>
        <v>SISTEMA GERADOR DE RELATÓRIOS</v>
      </c>
      <c r="C7068" s="2" t="str">
        <f t="shared" si="586"/>
        <v>SMA-REP</v>
      </c>
      <c r="D7068" s="2" t="str">
        <f t="shared" si="587"/>
        <v>MVREP</v>
      </c>
      <c r="E7068" s="2" t="str">
        <f>"Busca Ativa SCIH - TESTE"</f>
        <v>Busca Ativa SCIH - TESTE</v>
      </c>
      <c r="F7068" s="2" t="str">
        <f>"USR_BUSCA_ATIVA_SCIH_-BACKUP"</f>
        <v>USR_BUSCA_ATIVA_SCIH_-BACKUP</v>
      </c>
      <c r="G7068" s="2" t="str">
        <f t="shared" si="584"/>
        <v xml:space="preserve"> ()</v>
      </c>
    </row>
    <row r="7069" spans="1:7" x14ac:dyDescent="0.3">
      <c r="A7069" s="1" t="s">
        <v>4</v>
      </c>
      <c r="B7069" s="2" t="str">
        <f t="shared" si="585"/>
        <v>SISTEMA GERADOR DE RELATÓRIOS</v>
      </c>
      <c r="C7069" s="2" t="str">
        <f t="shared" si="586"/>
        <v>SMA-REP</v>
      </c>
      <c r="D7069" s="2" t="str">
        <f t="shared" si="587"/>
        <v>MVREP</v>
      </c>
      <c r="E7069" s="2" t="str">
        <f>"Busca Ativa SCIH"</f>
        <v>Busca Ativa SCIH</v>
      </c>
      <c r="F7069" s="2" t="str">
        <f>"USR_RELATORIO_CCIH"</f>
        <v>USR_RELATORIO_CCIH</v>
      </c>
      <c r="G7069" s="2" t="str">
        <f t="shared" si="584"/>
        <v xml:space="preserve"> ()</v>
      </c>
    </row>
    <row r="7070" spans="1:7" x14ac:dyDescent="0.3">
      <c r="A7070" s="1" t="s">
        <v>4</v>
      </c>
      <c r="B7070" s="2" t="str">
        <f t="shared" si="585"/>
        <v>SISTEMA GERADOR DE RELATÓRIOS</v>
      </c>
      <c r="C7070" s="2" t="str">
        <f t="shared" si="586"/>
        <v>SMA-REP</v>
      </c>
      <c r="D7070" s="2" t="str">
        <f t="shared" si="587"/>
        <v>MVREP</v>
      </c>
      <c r="E7070" s="2" t="str">
        <f>"Termo de Reconhecimento Divida"</f>
        <v>Termo de Reconhecimento Divida</v>
      </c>
      <c r="F7070" s="2" t="str">
        <f>"USR_TERMO_DE_RECONHECIMENTO_DIVIDA"</f>
        <v>USR_TERMO_DE_RECONHECIMENTO_DIVIDA</v>
      </c>
      <c r="G7070" s="2" t="str">
        <f t="shared" si="584"/>
        <v xml:space="preserve"> ()</v>
      </c>
    </row>
    <row r="7071" spans="1:7" x14ac:dyDescent="0.3">
      <c r="A7071" s="1" t="s">
        <v>4</v>
      </c>
      <c r="B7071" s="2" t="str">
        <f t="shared" si="585"/>
        <v>SISTEMA GERADOR DE RELATÓRIOS</v>
      </c>
      <c r="C7071" s="2" t="str">
        <f t="shared" si="586"/>
        <v>SMA-REP</v>
      </c>
      <c r="D7071" s="2" t="str">
        <f t="shared" si="587"/>
        <v>MVREP</v>
      </c>
      <c r="E7071" s="2" t="str">
        <f>"PROTOCOLO DE RESULTADO TESTE ERGO"</f>
        <v>PROTOCOLO DE RESULTADO TESTE ERGO</v>
      </c>
      <c r="F7071" s="2" t="str">
        <f>"USR_PROTOCOLO_DE_RESULTADO_TESTE_E"</f>
        <v>USR_PROTOCOLO_DE_RESULTADO_TESTE_E</v>
      </c>
      <c r="G7071" s="2" t="str">
        <f t="shared" si="584"/>
        <v xml:space="preserve"> ()</v>
      </c>
    </row>
    <row r="7072" spans="1:7" x14ac:dyDescent="0.3">
      <c r="A7072" s="1" t="s">
        <v>4</v>
      </c>
      <c r="B7072" s="2" t="str">
        <f t="shared" si="585"/>
        <v>SISTEMA GERADOR DE RELATÓRIOS</v>
      </c>
      <c r="C7072" s="2" t="str">
        <f t="shared" si="586"/>
        <v>SMA-REP</v>
      </c>
      <c r="D7072" s="2" t="str">
        <f t="shared" si="587"/>
        <v>MVREP</v>
      </c>
      <c r="E7072" s="2" t="str">
        <f>"PROTOCOLO DE RESULTADO MAPA/ELETRO"</f>
        <v>PROTOCOLO DE RESULTADO MAPA/ELETRO</v>
      </c>
      <c r="F7072" s="2" t="str">
        <f>"USR_PROTOCOLO_DE_RESULTADO_MAPA/EL"</f>
        <v>USR_PROTOCOLO_DE_RESULTADO_MAPA/EL</v>
      </c>
      <c r="G7072" s="2" t="str">
        <f t="shared" si="584"/>
        <v xml:space="preserve"> ()</v>
      </c>
    </row>
    <row r="7073" spans="1:7" x14ac:dyDescent="0.3">
      <c r="A7073" s="1" t="s">
        <v>4</v>
      </c>
      <c r="B7073" s="2" t="str">
        <f t="shared" si="585"/>
        <v>SISTEMA GERADOR DE RELATÓRIOS</v>
      </c>
      <c r="C7073" s="2" t="str">
        <f t="shared" si="586"/>
        <v>SMA-REP</v>
      </c>
      <c r="D7073" s="2" t="str">
        <f t="shared" si="587"/>
        <v>MVREP</v>
      </c>
      <c r="E7073" s="2" t="str">
        <f>"Auditoria Competencia"</f>
        <v>Auditoria Competencia</v>
      </c>
      <c r="F7073" s="2" t="str">
        <f>"USR_AUDITORIA_COMPETENCIA"</f>
        <v>USR_AUDITORIA_COMPETENCIA</v>
      </c>
      <c r="G7073" s="2" t="str">
        <f t="shared" si="584"/>
        <v xml:space="preserve"> ()</v>
      </c>
    </row>
    <row r="7074" spans="1:7" x14ac:dyDescent="0.3">
      <c r="A7074" s="1" t="s">
        <v>4</v>
      </c>
      <c r="B7074" s="2" t="str">
        <f t="shared" si="585"/>
        <v>SISTEMA GERADOR DE RELATÓRIOS</v>
      </c>
      <c r="C7074" s="2" t="str">
        <f t="shared" si="586"/>
        <v>SMA-REP</v>
      </c>
      <c r="D7074" s="2" t="str">
        <f t="shared" si="587"/>
        <v>MVREP</v>
      </c>
      <c r="E7074" s="2" t="str">
        <f>"PROTOCOLO DE RESULTADO ECO"</f>
        <v>PROTOCOLO DE RESULTADO ECO</v>
      </c>
      <c r="F7074" s="2" t="str">
        <f>"USR_PROTOCOLO_DE_RESULTADO_ECO"</f>
        <v>USR_PROTOCOLO_DE_RESULTADO_ECO</v>
      </c>
      <c r="G7074" s="2" t="str">
        <f t="shared" si="584"/>
        <v xml:space="preserve"> ()</v>
      </c>
    </row>
    <row r="7075" spans="1:7" x14ac:dyDescent="0.3">
      <c r="A7075" s="1" t="s">
        <v>4</v>
      </c>
      <c r="B7075" s="2" t="str">
        <f t="shared" si="585"/>
        <v>SISTEMA GERADOR DE RELATÓRIOS</v>
      </c>
      <c r="C7075" s="2" t="str">
        <f t="shared" si="586"/>
        <v>SMA-REP</v>
      </c>
      <c r="D7075" s="2" t="str">
        <f t="shared" si="587"/>
        <v>MVREP</v>
      </c>
      <c r="E7075" s="2" t="str">
        <f>"RELATÓRIO PULSEIRAS TESTE"</f>
        <v>RELATÓRIO PULSEIRAS TESTE</v>
      </c>
      <c r="F7075" s="2" t="str">
        <f>"USR_RELATORIO_PULSEIRAS_TESTE"</f>
        <v>USR_RELATORIO_PULSEIRAS_TESTE</v>
      </c>
      <c r="G7075" s="2" t="str">
        <f t="shared" si="584"/>
        <v xml:space="preserve"> ()</v>
      </c>
    </row>
    <row r="7076" spans="1:7" x14ac:dyDescent="0.3">
      <c r="A7076" s="1" t="s">
        <v>4</v>
      </c>
      <c r="B7076" s="2" t="str">
        <f t="shared" si="585"/>
        <v>SISTEMA GERADOR DE RELATÓRIOS</v>
      </c>
      <c r="C7076" s="2" t="str">
        <f t="shared" si="586"/>
        <v>SMA-REP</v>
      </c>
      <c r="D7076" s="2" t="str">
        <f t="shared" si="587"/>
        <v>MVREP</v>
      </c>
      <c r="E7076" s="2" t="str">
        <f>"Relatorio passagem plantao"</f>
        <v>Relatorio passagem plantao</v>
      </c>
      <c r="F7076" s="2" t="str">
        <f>"USR_RELATORIO_PLANTAO"</f>
        <v>USR_RELATORIO_PLANTAO</v>
      </c>
      <c r="G7076" s="2" t="str">
        <f t="shared" si="584"/>
        <v xml:space="preserve"> ()</v>
      </c>
    </row>
    <row r="7077" spans="1:7" x14ac:dyDescent="0.3">
      <c r="A7077" s="1" t="s">
        <v>4</v>
      </c>
      <c r="B7077" s="2" t="str">
        <f t="shared" si="585"/>
        <v>SISTEMA GERADOR DE RELATÓRIOS</v>
      </c>
      <c r="C7077" s="2" t="str">
        <f t="shared" si="586"/>
        <v>SMA-REP</v>
      </c>
      <c r="D7077" s="2" t="str">
        <f t="shared" si="587"/>
        <v>MVREP</v>
      </c>
      <c r="E7077" s="2" t="str">
        <f>"Termo Admissao"</f>
        <v>Termo Admissao</v>
      </c>
      <c r="F7077" s="2" t="str">
        <f>"USR_TERMO_ADMISSAO"</f>
        <v>USR_TERMO_ADMISSAO</v>
      </c>
      <c r="G7077" s="2" t="str">
        <f t="shared" si="584"/>
        <v xml:space="preserve"> ()</v>
      </c>
    </row>
    <row r="7078" spans="1:7" x14ac:dyDescent="0.3">
      <c r="A7078" s="1" t="s">
        <v>4</v>
      </c>
      <c r="B7078" s="2" t="str">
        <f t="shared" si="585"/>
        <v>SISTEMA GERADOR DE RELATÓRIOS</v>
      </c>
      <c r="C7078" s="2" t="str">
        <f t="shared" si="586"/>
        <v>SMA-REP</v>
      </c>
      <c r="D7078" s="2" t="str">
        <f t="shared" si="587"/>
        <v>MVREP</v>
      </c>
      <c r="E7078" s="2" t="str">
        <f>"REGAMB SL"</f>
        <v>REGAMB SL</v>
      </c>
      <c r="F7078" s="2" t="str">
        <f>"USR_REGAMB_SL"</f>
        <v>USR_REGAMB_SL</v>
      </c>
      <c r="G7078" s="2" t="str">
        <f t="shared" si="584"/>
        <v xml:space="preserve"> ()</v>
      </c>
    </row>
    <row r="7079" spans="1:7" x14ac:dyDescent="0.3">
      <c r="A7079" s="1" t="s">
        <v>4</v>
      </c>
      <c r="B7079" s="2" t="str">
        <f t="shared" si="585"/>
        <v>SISTEMA GERADOR DE RELATÓRIOS</v>
      </c>
      <c r="C7079" s="2" t="str">
        <f t="shared" si="586"/>
        <v>SMA-REP</v>
      </c>
      <c r="D7079" s="2" t="str">
        <f t="shared" si="587"/>
        <v>MVREP</v>
      </c>
      <c r="E7079" s="2" t="str">
        <f>"CUSTO ATUALIZADO"</f>
        <v>CUSTO ATUALIZADO</v>
      </c>
      <c r="F7079" s="2" t="str">
        <f>"USR_CUSTO_ATUALIZADO"</f>
        <v>USR_CUSTO_ATUALIZADO</v>
      </c>
      <c r="G7079" s="2" t="str">
        <f t="shared" si="584"/>
        <v xml:space="preserve"> ()</v>
      </c>
    </row>
    <row r="7080" spans="1:7" x14ac:dyDescent="0.3">
      <c r="A7080" s="1" t="s">
        <v>4</v>
      </c>
      <c r="B7080" s="2" t="str">
        <f t="shared" si="585"/>
        <v>SISTEMA GERADOR DE RELATÓRIOS</v>
      </c>
      <c r="C7080" s="2" t="str">
        <f t="shared" si="586"/>
        <v>SMA-REP</v>
      </c>
      <c r="D7080" s="2" t="str">
        <f t="shared" si="587"/>
        <v>MVREP</v>
      </c>
      <c r="E7080" s="2" t="str">
        <f>"RECEBIMENTO POR NOTA FISCAL"</f>
        <v>RECEBIMENTO POR NOTA FISCAL</v>
      </c>
      <c r="F7080" s="2" t="str">
        <f>"USR_RECEBIMENTO_POR_NOTA_FISCAL_SW"</f>
        <v>USR_RECEBIMENTO_POR_NOTA_FISCAL_SW</v>
      </c>
      <c r="G7080" s="2" t="str">
        <f t="shared" si="584"/>
        <v xml:space="preserve"> ()</v>
      </c>
    </row>
    <row r="7081" spans="1:7" x14ac:dyDescent="0.3">
      <c r="A7081" s="1" t="s">
        <v>4</v>
      </c>
      <c r="B7081" s="2" t="str">
        <f t="shared" si="585"/>
        <v>SISTEMA GERADOR DE RELATÓRIOS</v>
      </c>
      <c r="C7081" s="2" t="str">
        <f t="shared" si="586"/>
        <v>SMA-REP</v>
      </c>
      <c r="D7081" s="2" t="str">
        <f t="shared" si="587"/>
        <v>MVREP</v>
      </c>
      <c r="E7081" s="2" t="str">
        <f>"XML UNIMED"</f>
        <v>XML UNIMED</v>
      </c>
      <c r="F7081" s="2" t="str">
        <f>"USR_XML_UNIMED"</f>
        <v>USR_XML_UNIMED</v>
      </c>
      <c r="G7081" s="2" t="str">
        <f t="shared" si="584"/>
        <v xml:space="preserve"> ()</v>
      </c>
    </row>
    <row r="7082" spans="1:7" x14ac:dyDescent="0.3">
      <c r="A7082" s="1" t="s">
        <v>4</v>
      </c>
      <c r="B7082" s="2" t="str">
        <f t="shared" si="585"/>
        <v>SISTEMA GERADOR DE RELATÓRIOS</v>
      </c>
      <c r="C7082" s="2" t="str">
        <f t="shared" si="586"/>
        <v>SMA-REP</v>
      </c>
      <c r="D7082" s="2" t="str">
        <f t="shared" si="587"/>
        <v>MVREP</v>
      </c>
      <c r="E7082" s="2" t="str">
        <f>"MAPA COPEIRAS"</f>
        <v>MAPA COPEIRAS</v>
      </c>
      <c r="F7082" s="2" t="str">
        <f>"USR_MAPA_COPEIRAS"</f>
        <v>USR_MAPA_COPEIRAS</v>
      </c>
      <c r="G7082" s="2" t="str">
        <f t="shared" si="584"/>
        <v xml:space="preserve"> ()</v>
      </c>
    </row>
    <row r="7083" spans="1:7" x14ac:dyDescent="0.3">
      <c r="A7083" s="1" t="s">
        <v>4</v>
      </c>
      <c r="B7083" s="2" t="str">
        <f t="shared" si="585"/>
        <v>SISTEMA GERADOR DE RELATÓRIOS</v>
      </c>
      <c r="C7083" s="2" t="str">
        <f t="shared" si="586"/>
        <v>SMA-REP</v>
      </c>
      <c r="D7083" s="2" t="str">
        <f t="shared" si="587"/>
        <v>MVREP</v>
      </c>
      <c r="E7083" s="2" t="str">
        <f>"Informacoes_SUS"</f>
        <v>Informacoes_SUS</v>
      </c>
      <c r="F7083" s="2" t="str">
        <f>"USR_INFORMACOES_SUS"</f>
        <v>USR_INFORMACOES_SUS</v>
      </c>
      <c r="G7083" s="2" t="str">
        <f t="shared" si="584"/>
        <v xml:space="preserve"> ()</v>
      </c>
    </row>
    <row r="7084" spans="1:7" x14ac:dyDescent="0.3">
      <c r="A7084" s="1" t="s">
        <v>4</v>
      </c>
      <c r="B7084" s="2" t="str">
        <f t="shared" si="585"/>
        <v>SISTEMA GERADOR DE RELATÓRIOS</v>
      </c>
      <c r="C7084" s="2" t="str">
        <f t="shared" si="586"/>
        <v>SMA-REP</v>
      </c>
      <c r="D7084" s="2" t="str">
        <f t="shared" si="587"/>
        <v>MVREP</v>
      </c>
      <c r="E7084" s="2" t="str">
        <f>"Exames x Bancada"</f>
        <v>Exames x Bancada</v>
      </c>
      <c r="F7084" s="2" t="str">
        <f>"USR_EXAMES_X_BANCADA"</f>
        <v>USR_EXAMES_X_BANCADA</v>
      </c>
      <c r="G7084" s="2" t="str">
        <f t="shared" si="584"/>
        <v xml:space="preserve"> ()</v>
      </c>
    </row>
    <row r="7085" spans="1:7" x14ac:dyDescent="0.3">
      <c r="A7085" s="1" t="s">
        <v>4</v>
      </c>
      <c r="B7085" s="2" t="str">
        <f t="shared" si="585"/>
        <v>SISTEMA GERADOR DE RELATÓRIOS</v>
      </c>
      <c r="C7085" s="2" t="str">
        <f t="shared" si="586"/>
        <v>SMA-REP</v>
      </c>
      <c r="D7085" s="2" t="str">
        <f t="shared" si="587"/>
        <v>MVREP</v>
      </c>
      <c r="E7085" s="2" t="str">
        <f>"FICHA HEMODINAMICA"</f>
        <v>FICHA HEMODINAMICA</v>
      </c>
      <c r="F7085" s="2" t="str">
        <f>"USR_FICHA_HEMODINAMICA"</f>
        <v>USR_FICHA_HEMODINAMICA</v>
      </c>
      <c r="G7085" s="2" t="str">
        <f t="shared" si="584"/>
        <v xml:space="preserve"> ()</v>
      </c>
    </row>
    <row r="7086" spans="1:7" x14ac:dyDescent="0.3">
      <c r="A7086" s="1" t="s">
        <v>4</v>
      </c>
      <c r="B7086" s="2" t="str">
        <f t="shared" si="585"/>
        <v>SISTEMA GERADOR DE RELATÓRIOS</v>
      </c>
      <c r="C7086" s="2" t="str">
        <f t="shared" si="586"/>
        <v>SMA-REP</v>
      </c>
      <c r="D7086" s="2" t="str">
        <f t="shared" si="587"/>
        <v>MVREP</v>
      </c>
      <c r="E7086" s="2" t="str">
        <f>"ETIQUETA NUTRIÇÃO NOVO"</f>
        <v>ETIQUETA NUTRIÇÃO NOVO</v>
      </c>
      <c r="F7086" s="2" t="str">
        <f>"USR_ETIQUETA_NUTRICAO_NOVO"</f>
        <v>USR_ETIQUETA_NUTRICAO_NOVO</v>
      </c>
      <c r="G7086" s="2" t="str">
        <f t="shared" si="584"/>
        <v xml:space="preserve"> ()</v>
      </c>
    </row>
    <row r="7087" spans="1:7" x14ac:dyDescent="0.3">
      <c r="A7087" s="1" t="s">
        <v>4</v>
      </c>
      <c r="B7087" s="2" t="str">
        <f t="shared" si="585"/>
        <v>SISTEMA GERADOR DE RELATÓRIOS</v>
      </c>
      <c r="C7087" s="2" t="str">
        <f t="shared" si="586"/>
        <v>SMA-REP</v>
      </c>
      <c r="D7087" s="2" t="str">
        <f t="shared" si="587"/>
        <v>MVREP</v>
      </c>
      <c r="E7087" s="2" t="str">
        <f>"AGENDAMENTO SINTÉTICO"</f>
        <v>AGENDAMENTO SINTÉTICO</v>
      </c>
      <c r="F7087" s="2" t="str">
        <f>"USR_AGENDAMENTO_SINTETICO"</f>
        <v>USR_AGENDAMENTO_SINTETICO</v>
      </c>
      <c r="G7087" s="2" t="str">
        <f t="shared" si="584"/>
        <v xml:space="preserve"> ()</v>
      </c>
    </row>
    <row r="7088" spans="1:7" x14ac:dyDescent="0.3">
      <c r="A7088" s="1" t="s">
        <v>4</v>
      </c>
      <c r="B7088" s="2" t="str">
        <f t="shared" si="585"/>
        <v>SISTEMA GERADOR DE RELATÓRIOS</v>
      </c>
      <c r="C7088" s="2" t="str">
        <f t="shared" si="586"/>
        <v>SMA-REP</v>
      </c>
      <c r="D7088" s="2" t="str">
        <f t="shared" si="587"/>
        <v>MVREP</v>
      </c>
      <c r="E7088" s="2" t="str">
        <f>"INC - CONSUMO DE PRODUTOS POR RANKING "</f>
        <v xml:space="preserve">INC - CONSUMO DE PRODUTOS POR RANKING </v>
      </c>
      <c r="F7088" s="2" t="str">
        <f>"USR_INC_-_CONSUMO_DE_PRODUTOS_POR_"</f>
        <v>USR_INC_-_CONSUMO_DE_PRODUTOS_POR_</v>
      </c>
      <c r="G7088" s="2" t="str">
        <f t="shared" si="584"/>
        <v xml:space="preserve"> ()</v>
      </c>
    </row>
    <row r="7089" spans="1:7" x14ac:dyDescent="0.3">
      <c r="A7089" s="1" t="s">
        <v>4</v>
      </c>
      <c r="B7089" s="2" t="str">
        <f t="shared" si="585"/>
        <v>SISTEMA GERADOR DE RELATÓRIOS</v>
      </c>
      <c r="C7089" s="2" t="str">
        <f t="shared" si="586"/>
        <v>SMA-REP</v>
      </c>
      <c r="D7089" s="2" t="str">
        <f t="shared" si="587"/>
        <v>MVREP</v>
      </c>
      <c r="E7089" s="2" t="str">
        <f>"FICHA TESTE"</f>
        <v>FICHA TESTE</v>
      </c>
      <c r="F7089" s="2" t="str">
        <f>"USR_FICHA_TESTE"</f>
        <v>USR_FICHA_TESTE</v>
      </c>
      <c r="G7089" s="2" t="str">
        <f t="shared" si="584"/>
        <v xml:space="preserve"> ()</v>
      </c>
    </row>
    <row r="7090" spans="1:7" x14ac:dyDescent="0.3">
      <c r="A7090" s="1" t="s">
        <v>4</v>
      </c>
      <c r="B7090" s="2" t="str">
        <f t="shared" si="585"/>
        <v>SISTEMA GERADOR DE RELATÓRIOS</v>
      </c>
      <c r="C7090" s="2" t="str">
        <f t="shared" si="586"/>
        <v>SMA-REP</v>
      </c>
      <c r="D7090" s="2" t="str">
        <f t="shared" si="587"/>
        <v>MVREP</v>
      </c>
      <c r="E7090" s="2" t="str">
        <f>"Repasse INC Imagens"</f>
        <v>Repasse INC Imagens</v>
      </c>
      <c r="F7090" s="2" t="str">
        <f>"USR_REPASSE_INC_IMAGENS"</f>
        <v>USR_REPASSE_INC_IMAGENS</v>
      </c>
      <c r="G7090" s="2" t="str">
        <f t="shared" si="584"/>
        <v xml:space="preserve"> ()</v>
      </c>
    </row>
    <row r="7091" spans="1:7" x14ac:dyDescent="0.3">
      <c r="A7091" s="1" t="s">
        <v>4</v>
      </c>
      <c r="B7091" s="2" t="str">
        <f t="shared" si="585"/>
        <v>SISTEMA GERADOR DE RELATÓRIOS</v>
      </c>
      <c r="C7091" s="2" t="str">
        <f t="shared" si="586"/>
        <v>SMA-REP</v>
      </c>
      <c r="D7091" s="2" t="str">
        <f t="shared" si="587"/>
        <v>MVREP</v>
      </c>
      <c r="E7091" s="2" t="str">
        <f>"XML UNIMED TESTE"</f>
        <v>XML UNIMED TESTE</v>
      </c>
      <c r="F7091" s="2" t="str">
        <f>"USR_XML_UNIMED_TESTE"</f>
        <v>USR_XML_UNIMED_TESTE</v>
      </c>
      <c r="G7091" s="2" t="str">
        <f t="shared" si="584"/>
        <v xml:space="preserve"> ()</v>
      </c>
    </row>
    <row r="7092" spans="1:7" x14ac:dyDescent="0.3">
      <c r="A7092" s="1" t="s">
        <v>4</v>
      </c>
      <c r="B7092" s="2" t="str">
        <f t="shared" si="585"/>
        <v>SISTEMA GERADOR DE RELATÓRIOS</v>
      </c>
      <c r="C7092" s="2" t="str">
        <f t="shared" si="586"/>
        <v>SMA-REP</v>
      </c>
      <c r="D7092" s="2" t="str">
        <f t="shared" si="587"/>
        <v>MVREP</v>
      </c>
      <c r="E7092" s="2" t="str">
        <f>"ETIQUETA EXAME IMAGEM"</f>
        <v>ETIQUETA EXAME IMAGEM</v>
      </c>
      <c r="F7092" s="2" t="str">
        <f>"USR_ETIQUETA_EXAME_IMAGEM"</f>
        <v>USR_ETIQUETA_EXAME_IMAGEM</v>
      </c>
      <c r="G7092" s="2" t="str">
        <f t="shared" si="584"/>
        <v xml:space="preserve"> ()</v>
      </c>
    </row>
    <row r="7093" spans="1:7" x14ac:dyDescent="0.3">
      <c r="A7093" s="1" t="s">
        <v>4</v>
      </c>
      <c r="B7093" s="2" t="str">
        <f t="shared" si="585"/>
        <v>SISTEMA GERADOR DE RELATÓRIOS</v>
      </c>
      <c r="C7093" s="2" t="str">
        <f t="shared" si="586"/>
        <v>SMA-REP</v>
      </c>
      <c r="D7093" s="2" t="str">
        <f t="shared" si="587"/>
        <v>MVREP</v>
      </c>
      <c r="E7093" s="2" t="str">
        <f>"Relatorio Contas a Receber"</f>
        <v>Relatorio Contas a Receber</v>
      </c>
      <c r="F7093" s="2" t="str">
        <f>"USR_RELATORIO_CONTAS_A_RECEBER"</f>
        <v>USR_RELATORIO_CONTAS_A_RECEBER</v>
      </c>
      <c r="G7093" s="2" t="str">
        <f t="shared" si="584"/>
        <v xml:space="preserve"> ()</v>
      </c>
    </row>
    <row r="7094" spans="1:7" x14ac:dyDescent="0.3">
      <c r="A7094" s="1" t="s">
        <v>4</v>
      </c>
      <c r="B7094" s="2" t="str">
        <f t="shared" si="585"/>
        <v>SISTEMA GERADOR DE RELATÓRIOS</v>
      </c>
      <c r="C7094" s="2" t="str">
        <f t="shared" si="586"/>
        <v>SMA-REP</v>
      </c>
      <c r="D7094" s="2" t="str">
        <f t="shared" si="587"/>
        <v>MVREP</v>
      </c>
      <c r="E7094" s="2" t="str">
        <f>"INC - CONSUMO DE PRODUTOS POR CIRURGIA"</f>
        <v>INC - CONSUMO DE PRODUTOS POR CIRURGIA</v>
      </c>
      <c r="F7094" s="2" t="str">
        <f>"USR_INC_-_CONSUMO_DE_PRODUTOS"</f>
        <v>USR_INC_-_CONSUMO_DE_PRODUTOS</v>
      </c>
      <c r="G7094" s="2" t="str">
        <f t="shared" si="584"/>
        <v xml:space="preserve"> ()</v>
      </c>
    </row>
    <row r="7095" spans="1:7" x14ac:dyDescent="0.3">
      <c r="A7095" s="1" t="s">
        <v>4</v>
      </c>
      <c r="B7095" s="2" t="str">
        <f t="shared" si="585"/>
        <v>SISTEMA GERADOR DE RELATÓRIOS</v>
      </c>
      <c r="C7095" s="2" t="str">
        <f t="shared" si="586"/>
        <v>SMA-REP</v>
      </c>
      <c r="D7095" s="2" t="str">
        <f t="shared" si="587"/>
        <v>MVREP</v>
      </c>
      <c r="E7095" s="2" t="str">
        <f>"PACIENTES AGENDADOS POR DIA (TESTE)"</f>
        <v>PACIENTES AGENDADOS POR DIA (TESTE)</v>
      </c>
      <c r="F7095" s="2" t="str">
        <f>"USR_PACIENTES_AGENDADOS_POR_DIA_(T"</f>
        <v>USR_PACIENTES_AGENDADOS_POR_DIA_(T</v>
      </c>
      <c r="G7095" s="2" t="str">
        <f t="shared" si="584"/>
        <v xml:space="preserve"> ()</v>
      </c>
    </row>
    <row r="7096" spans="1:7" x14ac:dyDescent="0.3">
      <c r="A7096" s="1" t="s">
        <v>4</v>
      </c>
      <c r="B7096" s="2" t="str">
        <f t="shared" si="585"/>
        <v>SISTEMA GERADOR DE RELATÓRIOS</v>
      </c>
      <c r="C7096" s="2" t="str">
        <f t="shared" si="586"/>
        <v>SMA-REP</v>
      </c>
      <c r="D7096" s="2" t="str">
        <f t="shared" si="587"/>
        <v>MVREP</v>
      </c>
      <c r="E7096" s="2" t="str">
        <f>"PROTOCOLO DE RESULTADO"</f>
        <v>PROTOCOLO DE RESULTADO</v>
      </c>
      <c r="F7096" s="2" t="str">
        <f>"USR_PROTOCOLO_DE_RESULTADO"</f>
        <v>USR_PROTOCOLO_DE_RESULTADO</v>
      </c>
      <c r="G7096" s="2" t="str">
        <f t="shared" ref="G7096:G7159" si="588">" ()"</f>
        <v xml:space="preserve"> ()</v>
      </c>
    </row>
    <row r="7097" spans="1:7" x14ac:dyDescent="0.3">
      <c r="A7097" s="1" t="s">
        <v>4</v>
      </c>
      <c r="B7097" s="2" t="str">
        <f t="shared" si="585"/>
        <v>SISTEMA GERADOR DE RELATÓRIOS</v>
      </c>
      <c r="C7097" s="2" t="str">
        <f t="shared" si="586"/>
        <v>SMA-REP</v>
      </c>
      <c r="D7097" s="2" t="str">
        <f t="shared" si="587"/>
        <v>MVREP</v>
      </c>
      <c r="E7097" s="2" t="str">
        <f>"TESTE PARAMETRO"</f>
        <v>TESTE PARAMETRO</v>
      </c>
      <c r="F7097" s="2" t="str">
        <f>"USR_TESTE_PARAMETRO"</f>
        <v>USR_TESTE_PARAMETRO</v>
      </c>
      <c r="G7097" s="2" t="str">
        <f t="shared" si="588"/>
        <v xml:space="preserve"> ()</v>
      </c>
    </row>
    <row r="7098" spans="1:7" x14ac:dyDescent="0.3">
      <c r="A7098" s="1" t="s">
        <v>4</v>
      </c>
      <c r="B7098" s="2" t="str">
        <f t="shared" si="585"/>
        <v>SISTEMA GERADOR DE RELATÓRIOS</v>
      </c>
      <c r="C7098" s="2" t="str">
        <f t="shared" si="586"/>
        <v>SMA-REP</v>
      </c>
      <c r="D7098" s="2" t="str">
        <f t="shared" si="587"/>
        <v>MVREP</v>
      </c>
      <c r="E7098" s="2" t="str">
        <f>"TESTE_QUERY_EXTRATO_HEMO"</f>
        <v>TESTE_QUERY_EXTRATO_HEMO</v>
      </c>
      <c r="F7098" s="2" t="str">
        <f>"USR_TESTE_QUERY_EXTRATO_HEMO"</f>
        <v>USR_TESTE_QUERY_EXTRATO_HEMO</v>
      </c>
      <c r="G7098" s="2" t="str">
        <f t="shared" si="588"/>
        <v xml:space="preserve"> ()</v>
      </c>
    </row>
    <row r="7099" spans="1:7" x14ac:dyDescent="0.3">
      <c r="A7099" s="1" t="s">
        <v>4</v>
      </c>
      <c r="B7099" s="2" t="str">
        <f t="shared" si="585"/>
        <v>SISTEMA GERADOR DE RELATÓRIOS</v>
      </c>
      <c r="C7099" s="2" t="str">
        <f t="shared" si="586"/>
        <v>SMA-REP</v>
      </c>
      <c r="D7099" s="2" t="str">
        <f t="shared" si="587"/>
        <v>MVREP</v>
      </c>
      <c r="E7099" s="2" t="str">
        <f>"PROTOCOLO DE RESULTADO EEG"</f>
        <v>PROTOCOLO DE RESULTADO EEG</v>
      </c>
      <c r="F7099" s="2" t="str">
        <f>"USR_PROTOCOLO_DE_RESULTADO_EEG"</f>
        <v>USR_PROTOCOLO_DE_RESULTADO_EEG</v>
      </c>
      <c r="G7099" s="2" t="str">
        <f t="shared" si="588"/>
        <v xml:space="preserve"> ()</v>
      </c>
    </row>
    <row r="7100" spans="1:7" x14ac:dyDescent="0.3">
      <c r="A7100" s="1" t="s">
        <v>4</v>
      </c>
      <c r="B7100" s="2" t="str">
        <f t="shared" si="585"/>
        <v>SISTEMA GERADOR DE RELATÓRIOS</v>
      </c>
      <c r="C7100" s="2" t="str">
        <f t="shared" si="586"/>
        <v>SMA-REP</v>
      </c>
      <c r="D7100" s="2" t="str">
        <f t="shared" si="587"/>
        <v>MVREP</v>
      </c>
      <c r="E7100" s="2" t="str">
        <f>"MÉDICOS SEM PRESCRIÇÃO + 365DIAS"</f>
        <v>MÉDICOS SEM PRESCRIÇÃO + 365DIAS</v>
      </c>
      <c r="F7100" s="2" t="str">
        <f>"USR_MEDICOS_SEM_PRESCRICAO_SW"</f>
        <v>USR_MEDICOS_SEM_PRESCRICAO_SW</v>
      </c>
      <c r="G7100" s="2" t="str">
        <f t="shared" si="588"/>
        <v xml:space="preserve"> ()</v>
      </c>
    </row>
    <row r="7101" spans="1:7" x14ac:dyDescent="0.3">
      <c r="A7101" s="1" t="s">
        <v>4</v>
      </c>
      <c r="B7101" s="2" t="str">
        <f t="shared" ref="B7101:B7164" si="589">"SISTEMA GERADOR DE RELATÓRIOS"</f>
        <v>SISTEMA GERADOR DE RELATÓRIOS</v>
      </c>
      <c r="C7101" s="2" t="str">
        <f t="shared" ref="C7101:C7164" si="590">"SMA-REP"</f>
        <v>SMA-REP</v>
      </c>
      <c r="D7101" s="2" t="str">
        <f t="shared" ref="D7101:D7164" si="591">"MVREP"</f>
        <v>MVREP</v>
      </c>
      <c r="E7101" s="2" t="str">
        <f>"Ficha Atendimento Ambulatorial"</f>
        <v>Ficha Atendimento Ambulatorial</v>
      </c>
      <c r="F7101" s="2" t="str">
        <f>"USR_FICHA_ATENDIMENTO_AMBULATORIAL"</f>
        <v>USR_FICHA_ATENDIMENTO_AMBULATORIAL</v>
      </c>
      <c r="G7101" s="2" t="str">
        <f t="shared" si="588"/>
        <v xml:space="preserve"> ()</v>
      </c>
    </row>
    <row r="7102" spans="1:7" x14ac:dyDescent="0.3">
      <c r="A7102" s="1" t="s">
        <v>4</v>
      </c>
      <c r="B7102" s="2" t="str">
        <f t="shared" si="589"/>
        <v>SISTEMA GERADOR DE RELATÓRIOS</v>
      </c>
      <c r="C7102" s="2" t="str">
        <f t="shared" si="590"/>
        <v>SMA-REP</v>
      </c>
      <c r="D7102" s="2" t="str">
        <f t="shared" si="591"/>
        <v>MVREP</v>
      </c>
      <c r="E7102" s="2" t="str">
        <f>"EVOLUCAO_MEDICA_NOVO"</f>
        <v>EVOLUCAO_MEDICA_NOVO</v>
      </c>
      <c r="F7102" s="2" t="str">
        <f>"USR_EVOLUCAO_MEDICA_NOVO"</f>
        <v>USR_EVOLUCAO_MEDICA_NOVO</v>
      </c>
      <c r="G7102" s="2" t="str">
        <f t="shared" si="588"/>
        <v xml:space="preserve"> ()</v>
      </c>
    </row>
    <row r="7103" spans="1:7" x14ac:dyDescent="0.3">
      <c r="A7103" s="1" t="s">
        <v>4</v>
      </c>
      <c r="B7103" s="2" t="str">
        <f t="shared" si="589"/>
        <v>SISTEMA GERADOR DE RELATÓRIOS</v>
      </c>
      <c r="C7103" s="2" t="str">
        <f t="shared" si="590"/>
        <v>SMA-REP</v>
      </c>
      <c r="D7103" s="2" t="str">
        <f t="shared" si="591"/>
        <v>MVREP</v>
      </c>
      <c r="E7103" s="2" t="str">
        <f>"Ficha Atendimento Exame"</f>
        <v>Ficha Atendimento Exame</v>
      </c>
      <c r="F7103" s="2" t="str">
        <f>"USR_FICHA_ATENDIMENTO_EXAME"</f>
        <v>USR_FICHA_ATENDIMENTO_EXAME</v>
      </c>
      <c r="G7103" s="2" t="str">
        <f t="shared" si="588"/>
        <v xml:space="preserve"> ()</v>
      </c>
    </row>
    <row r="7104" spans="1:7" x14ac:dyDescent="0.3">
      <c r="A7104" s="1" t="s">
        <v>4</v>
      </c>
      <c r="B7104" s="2" t="str">
        <f t="shared" si="589"/>
        <v>SISTEMA GERADOR DE RELATÓRIOS</v>
      </c>
      <c r="C7104" s="2" t="str">
        <f t="shared" si="590"/>
        <v>SMA-REP</v>
      </c>
      <c r="D7104" s="2" t="str">
        <f t="shared" si="591"/>
        <v>MVREP</v>
      </c>
      <c r="E7104" s="2" t="str">
        <f>"Relatório de dietas enterais"</f>
        <v>Relatório de dietas enterais</v>
      </c>
      <c r="F7104" s="2" t="str">
        <f>"USR_RELATORIO_DE_DIETAS_ENTERAIS"</f>
        <v>USR_RELATORIO_DE_DIETAS_ENTERAIS</v>
      </c>
      <c r="G7104" s="2" t="str">
        <f t="shared" si="588"/>
        <v xml:space="preserve"> ()</v>
      </c>
    </row>
    <row r="7105" spans="1:7" x14ac:dyDescent="0.3">
      <c r="A7105" s="1" t="s">
        <v>4</v>
      </c>
      <c r="B7105" s="2" t="str">
        <f t="shared" si="589"/>
        <v>SISTEMA GERADOR DE RELATÓRIOS</v>
      </c>
      <c r="C7105" s="2" t="str">
        <f t="shared" si="590"/>
        <v>SMA-REP</v>
      </c>
      <c r="D7105" s="2" t="str">
        <f t="shared" si="591"/>
        <v>MVREP</v>
      </c>
      <c r="E7105" s="2" t="str">
        <f>"RELATÓRIO QVT"</f>
        <v>RELATÓRIO QVT</v>
      </c>
      <c r="F7105" s="2" t="str">
        <f>"USR_RELATORIO_QVT"</f>
        <v>USR_RELATORIO_QVT</v>
      </c>
      <c r="G7105" s="2" t="str">
        <f t="shared" si="588"/>
        <v xml:space="preserve"> ()</v>
      </c>
    </row>
    <row r="7106" spans="1:7" x14ac:dyDescent="0.3">
      <c r="A7106" s="1" t="s">
        <v>4</v>
      </c>
      <c r="B7106" s="2" t="str">
        <f t="shared" si="589"/>
        <v>SISTEMA GERADOR DE RELATÓRIOS</v>
      </c>
      <c r="C7106" s="2" t="str">
        <f t="shared" si="590"/>
        <v>SMA-REP</v>
      </c>
      <c r="D7106" s="2" t="str">
        <f t="shared" si="591"/>
        <v>MVREP</v>
      </c>
      <c r="E7106" s="2" t="str">
        <f>"PASSAGEM PLANTAO"</f>
        <v>PASSAGEM PLANTAO</v>
      </c>
      <c r="F7106" s="2" t="str">
        <f>"USR_PASSAGEM_PLANTAO"</f>
        <v>USR_PASSAGEM_PLANTAO</v>
      </c>
      <c r="G7106" s="2" t="str">
        <f t="shared" si="588"/>
        <v xml:space="preserve"> ()</v>
      </c>
    </row>
    <row r="7107" spans="1:7" x14ac:dyDescent="0.3">
      <c r="A7107" s="1" t="s">
        <v>4</v>
      </c>
      <c r="B7107" s="2" t="str">
        <f t="shared" si="589"/>
        <v>SISTEMA GERADOR DE RELATÓRIOS</v>
      </c>
      <c r="C7107" s="2" t="str">
        <f t="shared" si="590"/>
        <v>SMA-REP</v>
      </c>
      <c r="D7107" s="2" t="str">
        <f t="shared" si="591"/>
        <v>MVREP</v>
      </c>
      <c r="E7107" s="2" t="str">
        <f>"RELATORIO_PATRIMONIO"</f>
        <v>RELATORIO_PATRIMONIO</v>
      </c>
      <c r="F7107" s="2" t="str">
        <f>"USR_RELATORIO_PATRIMONIO"</f>
        <v>USR_RELATORIO_PATRIMONIO</v>
      </c>
      <c r="G7107" s="2" t="str">
        <f t="shared" si="588"/>
        <v xml:space="preserve"> ()</v>
      </c>
    </row>
    <row r="7108" spans="1:7" x14ac:dyDescent="0.3">
      <c r="A7108" s="1" t="s">
        <v>4</v>
      </c>
      <c r="B7108" s="2" t="str">
        <f t="shared" si="589"/>
        <v>SISTEMA GERADOR DE RELATÓRIOS</v>
      </c>
      <c r="C7108" s="2" t="str">
        <f t="shared" si="590"/>
        <v>SMA-REP</v>
      </c>
      <c r="D7108" s="2" t="str">
        <f t="shared" si="591"/>
        <v>MVREP</v>
      </c>
      <c r="E7108" s="2" t="str">
        <f>"TERMO RESPONSABILIDADE HEMODINÂMICA"</f>
        <v>TERMO RESPONSABILIDADE HEMODINÂMICA</v>
      </c>
      <c r="F7108" s="2" t="str">
        <f>"USR_TERMO_RESPONSABILIDADE_HEMODIN"</f>
        <v>USR_TERMO_RESPONSABILIDADE_HEMODIN</v>
      </c>
      <c r="G7108" s="2" t="str">
        <f t="shared" si="588"/>
        <v xml:space="preserve"> ()</v>
      </c>
    </row>
    <row r="7109" spans="1:7" x14ac:dyDescent="0.3">
      <c r="A7109" s="1" t="s">
        <v>4</v>
      </c>
      <c r="B7109" s="2" t="str">
        <f t="shared" si="589"/>
        <v>SISTEMA GERADOR DE RELATÓRIOS</v>
      </c>
      <c r="C7109" s="2" t="str">
        <f t="shared" si="590"/>
        <v>SMA-REP</v>
      </c>
      <c r="D7109" s="2" t="str">
        <f t="shared" si="591"/>
        <v>MVREP</v>
      </c>
      <c r="E7109" s="2" t="str">
        <f>"AGENDA MÉDICA NOVO"</f>
        <v>AGENDA MÉDICA NOVO</v>
      </c>
      <c r="F7109" s="2" t="str">
        <f>"USR_AGENDA_MEDICA_NOVO"</f>
        <v>USR_AGENDA_MEDICA_NOVO</v>
      </c>
      <c r="G7109" s="2" t="str">
        <f t="shared" si="588"/>
        <v xml:space="preserve"> ()</v>
      </c>
    </row>
    <row r="7110" spans="1:7" x14ac:dyDescent="0.3">
      <c r="A7110" s="1" t="s">
        <v>4</v>
      </c>
      <c r="B7110" s="2" t="str">
        <f t="shared" si="589"/>
        <v>SISTEMA GERADOR DE RELATÓRIOS</v>
      </c>
      <c r="C7110" s="2" t="str">
        <f t="shared" si="590"/>
        <v>SMA-REP</v>
      </c>
      <c r="D7110" s="2" t="str">
        <f t="shared" si="591"/>
        <v>MVREP</v>
      </c>
      <c r="E7110" s="2" t="str">
        <f>"RELATORIO RECEBIMENTO PARTICULAR SCI"</f>
        <v>RELATORIO RECEBIMENTO PARTICULAR SCI</v>
      </c>
      <c r="F7110" s="2" t="str">
        <f>"USR_RELAT_IMP_RECEB_PART_SCI"</f>
        <v>USR_RELAT_IMP_RECEB_PART_SCI</v>
      </c>
      <c r="G7110" s="2" t="str">
        <f t="shared" si="588"/>
        <v xml:space="preserve"> ()</v>
      </c>
    </row>
    <row r="7111" spans="1:7" x14ac:dyDescent="0.3">
      <c r="A7111" s="1" t="s">
        <v>4</v>
      </c>
      <c r="B7111" s="2" t="str">
        <f t="shared" si="589"/>
        <v>SISTEMA GERADOR DE RELATÓRIOS</v>
      </c>
      <c r="C7111" s="2" t="str">
        <f t="shared" si="590"/>
        <v>SMA-REP</v>
      </c>
      <c r="D7111" s="2" t="str">
        <f t="shared" si="591"/>
        <v>MVREP</v>
      </c>
      <c r="E7111" s="2" t="str">
        <f>"EVOL MEDICA"</f>
        <v>EVOL MEDICA</v>
      </c>
      <c r="F7111" s="2" t="str">
        <f>"USR_EVOL_MEDICA"</f>
        <v>USR_EVOL_MEDICA</v>
      </c>
      <c r="G7111" s="2" t="str">
        <f t="shared" si="588"/>
        <v xml:space="preserve"> ()</v>
      </c>
    </row>
    <row r="7112" spans="1:7" x14ac:dyDescent="0.3">
      <c r="A7112" s="1" t="s">
        <v>4</v>
      </c>
      <c r="B7112" s="2" t="str">
        <f t="shared" si="589"/>
        <v>SISTEMA GERADOR DE RELATÓRIOS</v>
      </c>
      <c r="C7112" s="2" t="str">
        <f t="shared" si="590"/>
        <v>SMA-REP</v>
      </c>
      <c r="D7112" s="2" t="str">
        <f t="shared" si="591"/>
        <v>MVREP</v>
      </c>
      <c r="E7112" s="2" t="str">
        <f>"Itens Recebidos"</f>
        <v>Itens Recebidos</v>
      </c>
      <c r="F7112" s="2" t="str">
        <f>"USR_ITENS_RECEBIDOS"</f>
        <v>USR_ITENS_RECEBIDOS</v>
      </c>
      <c r="G7112" s="2" t="str">
        <f t="shared" si="588"/>
        <v xml:space="preserve"> ()</v>
      </c>
    </row>
    <row r="7113" spans="1:7" x14ac:dyDescent="0.3">
      <c r="A7113" s="1" t="s">
        <v>4</v>
      </c>
      <c r="B7113" s="2" t="str">
        <f t="shared" si="589"/>
        <v>SISTEMA GERADOR DE RELATÓRIOS</v>
      </c>
      <c r="C7113" s="2" t="str">
        <f t="shared" si="590"/>
        <v>SMA-REP</v>
      </c>
      <c r="D7113" s="2" t="str">
        <f t="shared" si="591"/>
        <v>MVREP</v>
      </c>
      <c r="E7113" s="2" t="str">
        <f>"Relatorio Global Contas"</f>
        <v>Relatorio Global Contas</v>
      </c>
      <c r="F7113" s="2" t="str">
        <f>"USR_RELATORIO_GLOBAL_CONTAS"</f>
        <v>USR_RELATORIO_GLOBAL_CONTAS</v>
      </c>
      <c r="G7113" s="2" t="str">
        <f t="shared" si="588"/>
        <v xml:space="preserve"> ()</v>
      </c>
    </row>
    <row r="7114" spans="1:7" x14ac:dyDescent="0.3">
      <c r="A7114" s="1" t="s">
        <v>4</v>
      </c>
      <c r="B7114" s="2" t="str">
        <f t="shared" si="589"/>
        <v>SISTEMA GERADOR DE RELATÓRIOS</v>
      </c>
      <c r="C7114" s="2" t="str">
        <f t="shared" si="590"/>
        <v>SMA-REP</v>
      </c>
      <c r="D7114" s="2" t="str">
        <f t="shared" si="591"/>
        <v>MVREP</v>
      </c>
      <c r="E7114" s="2" t="str">
        <f>"PROTOCOLO DE RESULTADO NEUROFISIOLOGIA"</f>
        <v>PROTOCOLO DE RESULTADO NEUROFISIOLOGIA</v>
      </c>
      <c r="F7114" s="2" t="str">
        <f>"USR_PROTOCOLO_DE_RESULTADO_NEUROFI"</f>
        <v>USR_PROTOCOLO_DE_RESULTADO_NEUROFI</v>
      </c>
      <c r="G7114" s="2" t="str">
        <f t="shared" si="588"/>
        <v xml:space="preserve"> ()</v>
      </c>
    </row>
    <row r="7115" spans="1:7" x14ac:dyDescent="0.3">
      <c r="A7115" s="1" t="s">
        <v>4</v>
      </c>
      <c r="B7115" s="2" t="str">
        <f t="shared" si="589"/>
        <v>SISTEMA GERADOR DE RELATÓRIOS</v>
      </c>
      <c r="C7115" s="2" t="str">
        <f t="shared" si="590"/>
        <v>SMA-REP</v>
      </c>
      <c r="D7115" s="2" t="str">
        <f t="shared" si="591"/>
        <v>MVREP</v>
      </c>
      <c r="E7115" s="2" t="str">
        <f>"Mapa Cirurgico Copia"</f>
        <v>Mapa Cirurgico Copia</v>
      </c>
      <c r="F7115" s="2" t="str">
        <f>"USR_MAPA_CIRURGICO_COPIA"</f>
        <v>USR_MAPA_CIRURGICO_COPIA</v>
      </c>
      <c r="G7115" s="2" t="str">
        <f t="shared" si="588"/>
        <v xml:space="preserve"> ()</v>
      </c>
    </row>
    <row r="7116" spans="1:7" x14ac:dyDescent="0.3">
      <c r="A7116" s="1" t="s">
        <v>4</v>
      </c>
      <c r="B7116" s="2" t="str">
        <f t="shared" si="589"/>
        <v>SISTEMA GERADOR DE RELATÓRIOS</v>
      </c>
      <c r="C7116" s="2" t="str">
        <f t="shared" si="590"/>
        <v>SMA-REP</v>
      </c>
      <c r="D7116" s="2" t="str">
        <f t="shared" si="591"/>
        <v>MVREP</v>
      </c>
      <c r="E7116" s="2" t="str">
        <f>"Prescrições / Evoluções"</f>
        <v>Prescrições / Evoluções</v>
      </c>
      <c r="F7116" s="2" t="str">
        <f>"USR_PRESCRIÇOES/EVOLUÇOES_ABERTO"</f>
        <v>USR_PRESCRIÇOES/EVOLUÇOES_ABERTO</v>
      </c>
      <c r="G7116" s="2" t="str">
        <f t="shared" si="588"/>
        <v xml:space="preserve"> ()</v>
      </c>
    </row>
    <row r="7117" spans="1:7" x14ac:dyDescent="0.3">
      <c r="A7117" s="1" t="s">
        <v>4</v>
      </c>
      <c r="B7117" s="2" t="str">
        <f t="shared" si="589"/>
        <v>SISTEMA GERADOR DE RELATÓRIOS</v>
      </c>
      <c r="C7117" s="2" t="str">
        <f t="shared" si="590"/>
        <v>SMA-REP</v>
      </c>
      <c r="D7117" s="2" t="str">
        <f t="shared" si="591"/>
        <v>MVREP</v>
      </c>
      <c r="E7117" s="2" t="str">
        <f>"ETIQUETA NUTRIÇÃO HTML5"</f>
        <v>ETIQUETA NUTRIÇÃO HTML5</v>
      </c>
      <c r="F7117" s="2" t="str">
        <f>"USR_ETIQUETA_NUTRICAO_HTML5"</f>
        <v>USR_ETIQUETA_NUTRICAO_HTML5</v>
      </c>
      <c r="G7117" s="2" t="str">
        <f t="shared" si="588"/>
        <v xml:space="preserve"> ()</v>
      </c>
    </row>
    <row r="7118" spans="1:7" x14ac:dyDescent="0.3">
      <c r="A7118" s="1" t="s">
        <v>4</v>
      </c>
      <c r="B7118" s="2" t="str">
        <f t="shared" si="589"/>
        <v>SISTEMA GERADOR DE RELATÓRIOS</v>
      </c>
      <c r="C7118" s="2" t="str">
        <f t="shared" si="590"/>
        <v>SMA-REP</v>
      </c>
      <c r="D7118" s="2" t="str">
        <f t="shared" si="591"/>
        <v>MVREP</v>
      </c>
      <c r="E7118" s="2" t="str">
        <f>"ETIQUETA PACIENTE NEW"</f>
        <v>ETIQUETA PACIENTE NEW</v>
      </c>
      <c r="F7118" s="2" t="str">
        <f>"USR_ETIQUETA_PACIENTE_NEW"</f>
        <v>USR_ETIQUETA_PACIENTE_NEW</v>
      </c>
      <c r="G7118" s="2" t="str">
        <f t="shared" si="588"/>
        <v xml:space="preserve"> ()</v>
      </c>
    </row>
    <row r="7119" spans="1:7" x14ac:dyDescent="0.3">
      <c r="A7119" s="1" t="s">
        <v>4</v>
      </c>
      <c r="B7119" s="2" t="str">
        <f t="shared" si="589"/>
        <v>SISTEMA GERADOR DE RELATÓRIOS</v>
      </c>
      <c r="C7119" s="2" t="str">
        <f t="shared" si="590"/>
        <v>SMA-REP</v>
      </c>
      <c r="D7119" s="2" t="str">
        <f t="shared" si="591"/>
        <v>MVREP</v>
      </c>
      <c r="E7119" s="2" t="str">
        <f>"MAPA CIRURGICO V3"</f>
        <v>MAPA CIRURGICO V3</v>
      </c>
      <c r="F7119" s="2" t="str">
        <f>"USR_MAPA_CIRURGICO_V3"</f>
        <v>USR_MAPA_CIRURGICO_V3</v>
      </c>
      <c r="G7119" s="2" t="str">
        <f t="shared" si="588"/>
        <v xml:space="preserve"> ()</v>
      </c>
    </row>
    <row r="7120" spans="1:7" x14ac:dyDescent="0.3">
      <c r="A7120" s="1" t="s">
        <v>4</v>
      </c>
      <c r="B7120" s="2" t="str">
        <f t="shared" si="589"/>
        <v>SISTEMA GERADOR DE RELATÓRIOS</v>
      </c>
      <c r="C7120" s="2" t="str">
        <f t="shared" si="590"/>
        <v>SMA-REP</v>
      </c>
      <c r="D7120" s="2" t="str">
        <f t="shared" si="591"/>
        <v>MVREP</v>
      </c>
      <c r="E7120" s="2" t="str">
        <f>"Consumo por ranking"</f>
        <v>Consumo por ranking</v>
      </c>
      <c r="F7120" s="2" t="str">
        <f>"USR_CONSUMO_POR_RANKING"</f>
        <v>USR_CONSUMO_POR_RANKING</v>
      </c>
      <c r="G7120" s="2" t="str">
        <f t="shared" si="588"/>
        <v xml:space="preserve"> ()</v>
      </c>
    </row>
    <row r="7121" spans="1:7" x14ac:dyDescent="0.3">
      <c r="A7121" s="1" t="s">
        <v>4</v>
      </c>
      <c r="B7121" s="2" t="str">
        <f t="shared" si="589"/>
        <v>SISTEMA GERADOR DE RELATÓRIOS</v>
      </c>
      <c r="C7121" s="2" t="str">
        <f t="shared" si="590"/>
        <v>SMA-REP</v>
      </c>
      <c r="D7121" s="2" t="str">
        <f t="shared" si="591"/>
        <v>MVREP</v>
      </c>
      <c r="E7121" s="2" t="str">
        <f>"BUSCA ATIVA NEW"</f>
        <v>BUSCA ATIVA NEW</v>
      </c>
      <c r="F7121" s="2" t="str">
        <f>"USR_BUSCA_ATIVA_NEW"</f>
        <v>USR_BUSCA_ATIVA_NEW</v>
      </c>
      <c r="G7121" s="2" t="str">
        <f t="shared" si="588"/>
        <v xml:space="preserve"> ()</v>
      </c>
    </row>
    <row r="7122" spans="1:7" x14ac:dyDescent="0.3">
      <c r="A7122" s="1" t="s">
        <v>4</v>
      </c>
      <c r="B7122" s="2" t="str">
        <f t="shared" si="589"/>
        <v>SISTEMA GERADOR DE RELATÓRIOS</v>
      </c>
      <c r="C7122" s="2" t="str">
        <f t="shared" si="590"/>
        <v>SMA-REP</v>
      </c>
      <c r="D7122" s="2" t="str">
        <f t="shared" si="591"/>
        <v>MVREP</v>
      </c>
      <c r="E7122" s="2" t="str">
        <f>"ETIQUETA NUTRICA0 2"</f>
        <v>ETIQUETA NUTRICA0 2</v>
      </c>
      <c r="F7122" s="2" t="str">
        <f>"USR_ETIQUETA_NUTRICA0_2"</f>
        <v>USR_ETIQUETA_NUTRICA0_2</v>
      </c>
      <c r="G7122" s="2" t="str">
        <f t="shared" si="588"/>
        <v xml:space="preserve"> ()</v>
      </c>
    </row>
    <row r="7123" spans="1:7" x14ac:dyDescent="0.3">
      <c r="A7123" s="1" t="s">
        <v>4</v>
      </c>
      <c r="B7123" s="2" t="str">
        <f t="shared" si="589"/>
        <v>SISTEMA GERADOR DE RELATÓRIOS</v>
      </c>
      <c r="C7123" s="2" t="str">
        <f t="shared" si="590"/>
        <v>SMA-REP</v>
      </c>
      <c r="D7123" s="2" t="str">
        <f t="shared" si="591"/>
        <v>MVREP</v>
      </c>
      <c r="E7123" s="2" t="str">
        <f>"LANÇAMENTO DE REFEIÇÕES "</f>
        <v xml:space="preserve">LANÇAMENTO DE REFEIÇÕES </v>
      </c>
      <c r="F7123" s="2" t="str">
        <f>"USR_LANCAMENTO_DE_REFEICOES_"</f>
        <v>USR_LANCAMENTO_DE_REFEICOES_</v>
      </c>
      <c r="G7123" s="2" t="str">
        <f t="shared" si="588"/>
        <v xml:space="preserve"> ()</v>
      </c>
    </row>
    <row r="7124" spans="1:7" x14ac:dyDescent="0.3">
      <c r="A7124" s="1" t="s">
        <v>4</v>
      </c>
      <c r="B7124" s="2" t="str">
        <f t="shared" si="589"/>
        <v>SISTEMA GERADOR DE RELATÓRIOS</v>
      </c>
      <c r="C7124" s="2" t="str">
        <f t="shared" si="590"/>
        <v>SMA-REP</v>
      </c>
      <c r="D7124" s="2" t="str">
        <f t="shared" si="591"/>
        <v>MVREP</v>
      </c>
      <c r="E7124" s="2" t="str">
        <f>"Consumo de Produtos Cirurgia"</f>
        <v>Consumo de Produtos Cirurgia</v>
      </c>
      <c r="F7124" s="2" t="str">
        <f>"USR_CONSUMO_DE_PRODUTOS_CIRURGIA"</f>
        <v>USR_CONSUMO_DE_PRODUTOS_CIRURGIA</v>
      </c>
      <c r="G7124" s="2" t="str">
        <f t="shared" si="588"/>
        <v xml:space="preserve"> ()</v>
      </c>
    </row>
    <row r="7125" spans="1:7" x14ac:dyDescent="0.3">
      <c r="A7125" s="1" t="s">
        <v>4</v>
      </c>
      <c r="B7125" s="2" t="str">
        <f t="shared" si="589"/>
        <v>SISTEMA GERADOR DE RELATÓRIOS</v>
      </c>
      <c r="C7125" s="2" t="str">
        <f t="shared" si="590"/>
        <v>SMA-REP</v>
      </c>
      <c r="D7125" s="2" t="str">
        <f t="shared" si="591"/>
        <v>MVREP</v>
      </c>
      <c r="E7125" s="2" t="str">
        <f>"ETIQUETA E PULSEI EMER"</f>
        <v>ETIQUETA E PULSEI EMER</v>
      </c>
      <c r="F7125" s="2" t="str">
        <f>"USR_ETIQUETA_E_PULSEI_EMER"</f>
        <v>USR_ETIQUETA_E_PULSEI_EMER</v>
      </c>
      <c r="G7125" s="2" t="str">
        <f t="shared" si="588"/>
        <v xml:space="preserve"> ()</v>
      </c>
    </row>
    <row r="7126" spans="1:7" x14ac:dyDescent="0.3">
      <c r="A7126" s="1" t="s">
        <v>4</v>
      </c>
      <c r="B7126" s="2" t="str">
        <f t="shared" si="589"/>
        <v>SISTEMA GERADOR DE RELATÓRIOS</v>
      </c>
      <c r="C7126" s="2" t="str">
        <f t="shared" si="590"/>
        <v>SMA-REP</v>
      </c>
      <c r="D7126" s="2" t="str">
        <f t="shared" si="591"/>
        <v>MVREP</v>
      </c>
      <c r="E7126" s="2" t="str">
        <f>"SCIH - PACIENTE JEJUM"</f>
        <v>SCIH - PACIENTE JEJUM</v>
      </c>
      <c r="F7126" s="2" t="str">
        <f>"USR_SCIH_-_PACIENTE_JEJUM"</f>
        <v>USR_SCIH_-_PACIENTE_JEJUM</v>
      </c>
      <c r="G7126" s="2" t="str">
        <f t="shared" si="588"/>
        <v xml:space="preserve"> ()</v>
      </c>
    </row>
    <row r="7127" spans="1:7" x14ac:dyDescent="0.3">
      <c r="A7127" s="1" t="s">
        <v>4</v>
      </c>
      <c r="B7127" s="2" t="str">
        <f t="shared" si="589"/>
        <v>SISTEMA GERADOR DE RELATÓRIOS</v>
      </c>
      <c r="C7127" s="2" t="str">
        <f t="shared" si="590"/>
        <v>SMA-REP</v>
      </c>
      <c r="D7127" s="2" t="str">
        <f t="shared" si="591"/>
        <v>MVREP</v>
      </c>
      <c r="E7127" s="2" t="str">
        <f>"Caixa Banco"</f>
        <v>Caixa Banco</v>
      </c>
      <c r="F7127" s="2" t="str">
        <f>"USR_CAIXA_BANCO"</f>
        <v>USR_CAIXA_BANCO</v>
      </c>
      <c r="G7127" s="2" t="str">
        <f t="shared" si="588"/>
        <v xml:space="preserve"> ()</v>
      </c>
    </row>
    <row r="7128" spans="1:7" x14ac:dyDescent="0.3">
      <c r="A7128" s="1" t="s">
        <v>4</v>
      </c>
      <c r="B7128" s="2" t="str">
        <f t="shared" si="589"/>
        <v>SISTEMA GERADOR DE RELATÓRIOS</v>
      </c>
      <c r="C7128" s="2" t="str">
        <f t="shared" si="590"/>
        <v>SMA-REP</v>
      </c>
      <c r="D7128" s="2" t="str">
        <f t="shared" si="591"/>
        <v>MVREP</v>
      </c>
      <c r="E7128" s="2" t="str">
        <f>"ETIQUETA NUTRI"</f>
        <v>ETIQUETA NUTRI</v>
      </c>
      <c r="F7128" s="2" t="str">
        <f>"USR_ETIQUETA_NUTRI"</f>
        <v>USR_ETIQUETA_NUTRI</v>
      </c>
      <c r="G7128" s="2" t="str">
        <f t="shared" si="588"/>
        <v xml:space="preserve"> ()</v>
      </c>
    </row>
    <row r="7129" spans="1:7" x14ac:dyDescent="0.3">
      <c r="A7129" s="1" t="s">
        <v>4</v>
      </c>
      <c r="B7129" s="2" t="str">
        <f t="shared" si="589"/>
        <v>SISTEMA GERADOR DE RELATÓRIOS</v>
      </c>
      <c r="C7129" s="2" t="str">
        <f t="shared" si="590"/>
        <v>SMA-REP</v>
      </c>
      <c r="D7129" s="2" t="str">
        <f t="shared" si="591"/>
        <v>MVREP</v>
      </c>
      <c r="E7129" s="2" t="str">
        <f>"CIR - CIRURGIA PERIODO"</f>
        <v>CIR - CIRURGIA PERIODO</v>
      </c>
      <c r="F7129" s="2" t="str">
        <f>"USR_CIR_-_CIRURGIA_PERIODO"</f>
        <v>USR_CIR_-_CIRURGIA_PERIODO</v>
      </c>
      <c r="G7129" s="2" t="str">
        <f t="shared" si="588"/>
        <v xml:space="preserve"> ()</v>
      </c>
    </row>
    <row r="7130" spans="1:7" x14ac:dyDescent="0.3">
      <c r="A7130" s="1" t="s">
        <v>4</v>
      </c>
      <c r="B7130" s="2" t="str">
        <f t="shared" si="589"/>
        <v>SISTEMA GERADOR DE RELATÓRIOS</v>
      </c>
      <c r="C7130" s="2" t="str">
        <f t="shared" si="590"/>
        <v>SMA-REP</v>
      </c>
      <c r="D7130" s="2" t="str">
        <f t="shared" si="591"/>
        <v>MVREP</v>
      </c>
      <c r="E7130" s="2" t="str">
        <f>"PROTOCOLO DE RESULTADO DE EXAME E"</f>
        <v>PROTOCOLO DE RESULTADO DE EXAME E</v>
      </c>
      <c r="F7130" s="2" t="str">
        <f>"USR_PROTOCOLO_DE_RESULTADO_DE_EXAM"</f>
        <v>USR_PROTOCOLO_DE_RESULTADO_DE_EXAM</v>
      </c>
      <c r="G7130" s="2" t="str">
        <f t="shared" si="588"/>
        <v xml:space="preserve"> ()</v>
      </c>
    </row>
    <row r="7131" spans="1:7" x14ac:dyDescent="0.3">
      <c r="A7131" s="1" t="s">
        <v>4</v>
      </c>
      <c r="B7131" s="2" t="str">
        <f t="shared" si="589"/>
        <v>SISTEMA GERADOR DE RELATÓRIOS</v>
      </c>
      <c r="C7131" s="2" t="str">
        <f t="shared" si="590"/>
        <v>SMA-REP</v>
      </c>
      <c r="D7131" s="2" t="str">
        <f t="shared" si="591"/>
        <v>MVREP</v>
      </c>
      <c r="E7131" s="2" t="str">
        <f>"MAPA COPEIRAS INC"</f>
        <v>MAPA COPEIRAS INC</v>
      </c>
      <c r="F7131" s="2" t="str">
        <f>"USR_MAPA_COPEIRAS_INC"</f>
        <v>USR_MAPA_COPEIRAS_INC</v>
      </c>
      <c r="G7131" s="2" t="str">
        <f t="shared" si="588"/>
        <v xml:space="preserve"> ()</v>
      </c>
    </row>
    <row r="7132" spans="1:7" x14ac:dyDescent="0.3">
      <c r="A7132" s="1" t="s">
        <v>4</v>
      </c>
      <c r="B7132" s="2" t="str">
        <f t="shared" si="589"/>
        <v>SISTEMA GERADOR DE RELATÓRIOS</v>
      </c>
      <c r="C7132" s="2" t="str">
        <f t="shared" si="590"/>
        <v>SMA-REP</v>
      </c>
      <c r="D7132" s="2" t="str">
        <f t="shared" si="591"/>
        <v>MVREP</v>
      </c>
      <c r="E7132" s="2" t="str">
        <f>"CUSTO MÉDIO PRODUTO"</f>
        <v>CUSTO MÉDIO PRODUTO</v>
      </c>
      <c r="F7132" s="2" t="str">
        <f>"USR_CUSTO_MEDIO_PRODUTO"</f>
        <v>USR_CUSTO_MEDIO_PRODUTO</v>
      </c>
      <c r="G7132" s="2" t="str">
        <f t="shared" si="588"/>
        <v xml:space="preserve"> ()</v>
      </c>
    </row>
    <row r="7133" spans="1:7" x14ac:dyDescent="0.3">
      <c r="A7133" s="1" t="s">
        <v>4</v>
      </c>
      <c r="B7133" s="2" t="str">
        <f t="shared" si="589"/>
        <v>SISTEMA GERADOR DE RELATÓRIOS</v>
      </c>
      <c r="C7133" s="2" t="str">
        <f t="shared" si="590"/>
        <v>SMA-REP</v>
      </c>
      <c r="D7133" s="2" t="str">
        <f t="shared" si="591"/>
        <v>MVREP</v>
      </c>
      <c r="E7133" s="2" t="str">
        <f>"NUTRIÇÃO ATENDIMENTOS PA"</f>
        <v>NUTRIÇÃO ATENDIMENTOS PA</v>
      </c>
      <c r="F7133" s="2" t="str">
        <f>"USR_NUTRICAO_ATENDIMENTOS_PA"</f>
        <v>USR_NUTRICAO_ATENDIMENTOS_PA</v>
      </c>
      <c r="G7133" s="2" t="str">
        <f t="shared" si="588"/>
        <v xml:space="preserve"> ()</v>
      </c>
    </row>
    <row r="7134" spans="1:7" x14ac:dyDescent="0.3">
      <c r="A7134" s="1" t="s">
        <v>4</v>
      </c>
      <c r="B7134" s="2" t="str">
        <f t="shared" si="589"/>
        <v>SISTEMA GERADOR DE RELATÓRIOS</v>
      </c>
      <c r="C7134" s="2" t="str">
        <f t="shared" si="590"/>
        <v>SMA-REP</v>
      </c>
      <c r="D7134" s="2" t="str">
        <f t="shared" si="591"/>
        <v>MVREP</v>
      </c>
      <c r="E7134" s="2" t="str">
        <f>"IDENTIFICAÇÃO PACIENTE"</f>
        <v>IDENTIFICAÇÃO PACIENTE</v>
      </c>
      <c r="F7134" s="2" t="str">
        <f>"USR_IDENTIFICACAO_PACIENTE_NEW"</f>
        <v>USR_IDENTIFICACAO_PACIENTE_NEW</v>
      </c>
      <c r="G7134" s="2" t="str">
        <f t="shared" si="588"/>
        <v xml:space="preserve"> ()</v>
      </c>
    </row>
    <row r="7135" spans="1:7" x14ac:dyDescent="0.3">
      <c r="A7135" s="1" t="s">
        <v>4</v>
      </c>
      <c r="B7135" s="2" t="str">
        <f t="shared" si="589"/>
        <v>SISTEMA GERADOR DE RELATÓRIOS</v>
      </c>
      <c r="C7135" s="2" t="str">
        <f t="shared" si="590"/>
        <v>SMA-REP</v>
      </c>
      <c r="D7135" s="2" t="str">
        <f t="shared" si="591"/>
        <v>MVREP</v>
      </c>
      <c r="E7135" s="2" t="str">
        <f>"Tratamento de Antimicrob SW"</f>
        <v>Tratamento de Antimicrob SW</v>
      </c>
      <c r="F7135" s="2" t="str">
        <f>"USR_TRATAMENTO_DE_ANTIMICROB_SW"</f>
        <v>USR_TRATAMENTO_DE_ANTIMICROB_SW</v>
      </c>
      <c r="G7135" s="2" t="str">
        <f t="shared" si="588"/>
        <v xml:space="preserve"> ()</v>
      </c>
    </row>
    <row r="7136" spans="1:7" x14ac:dyDescent="0.3">
      <c r="A7136" s="1" t="s">
        <v>4</v>
      </c>
      <c r="B7136" s="2" t="str">
        <f t="shared" si="589"/>
        <v>SISTEMA GERADOR DE RELATÓRIOS</v>
      </c>
      <c r="C7136" s="2" t="str">
        <f t="shared" si="590"/>
        <v>SMA-REP</v>
      </c>
      <c r="D7136" s="2" t="str">
        <f t="shared" si="591"/>
        <v>MVREP</v>
      </c>
      <c r="E7136" s="2" t="str">
        <f>"EVOLUÇÃO NUTRIÇÃO"</f>
        <v>EVOLUÇÃO NUTRIÇÃO</v>
      </c>
      <c r="F7136" s="2" t="str">
        <f>"USR_EVOLUCAO_NUTRICAO"</f>
        <v>USR_EVOLUCAO_NUTRICAO</v>
      </c>
      <c r="G7136" s="2" t="str">
        <f t="shared" si="588"/>
        <v xml:space="preserve"> ()</v>
      </c>
    </row>
    <row r="7137" spans="1:7" x14ac:dyDescent="0.3">
      <c r="A7137" s="1" t="s">
        <v>4</v>
      </c>
      <c r="B7137" s="2" t="str">
        <f t="shared" si="589"/>
        <v>SISTEMA GERADOR DE RELATÓRIOS</v>
      </c>
      <c r="C7137" s="2" t="str">
        <f t="shared" si="590"/>
        <v>SMA-REP</v>
      </c>
      <c r="D7137" s="2" t="str">
        <f t="shared" si="591"/>
        <v>MVREP</v>
      </c>
      <c r="E7137" s="2" t="str">
        <f>"REL MAT CAMP"</f>
        <v>REL MAT CAMP</v>
      </c>
      <c r="F7137" s="2" t="str">
        <f>"USR_REL_MAT_CAMP"</f>
        <v>USR_REL_MAT_CAMP</v>
      </c>
      <c r="G7137" s="2" t="str">
        <f t="shared" si="588"/>
        <v xml:space="preserve"> ()</v>
      </c>
    </row>
    <row r="7138" spans="1:7" x14ac:dyDescent="0.3">
      <c r="A7138" s="1" t="s">
        <v>4</v>
      </c>
      <c r="B7138" s="2" t="str">
        <f t="shared" si="589"/>
        <v>SISTEMA GERADOR DE RELATÓRIOS</v>
      </c>
      <c r="C7138" s="2" t="str">
        <f t="shared" si="590"/>
        <v>SMA-REP</v>
      </c>
      <c r="D7138" s="2" t="str">
        <f t="shared" si="591"/>
        <v>MVREP</v>
      </c>
      <c r="E7138" s="2" t="str">
        <f>"SCIH - PACIENTE PRECAUÇÃO"</f>
        <v>SCIH - PACIENTE PRECAUÇÃO</v>
      </c>
      <c r="F7138" s="2" t="str">
        <f>"USR_SCIH_-_PACIENTE_PRECAUCAO"</f>
        <v>USR_SCIH_-_PACIENTE_PRECAUCAO</v>
      </c>
      <c r="G7138" s="2" t="str">
        <f t="shared" si="588"/>
        <v xml:space="preserve"> ()</v>
      </c>
    </row>
    <row r="7139" spans="1:7" x14ac:dyDescent="0.3">
      <c r="A7139" s="1" t="s">
        <v>4</v>
      </c>
      <c r="B7139" s="2" t="str">
        <f t="shared" si="589"/>
        <v>SISTEMA GERADOR DE RELATÓRIOS</v>
      </c>
      <c r="C7139" s="2" t="str">
        <f t="shared" si="590"/>
        <v>SMA-REP</v>
      </c>
      <c r="D7139" s="2" t="str">
        <f t="shared" si="591"/>
        <v>MVREP</v>
      </c>
      <c r="E7139" s="2" t="str">
        <f>"Etique Paciente Urgencia"</f>
        <v>Etique Paciente Urgencia</v>
      </c>
      <c r="F7139" s="2" t="str">
        <f>"USR_ETIQUE_PACIENTE_URGENCIA"</f>
        <v>USR_ETIQUE_PACIENTE_URGENCIA</v>
      </c>
      <c r="G7139" s="2" t="str">
        <f t="shared" si="588"/>
        <v xml:space="preserve"> ()</v>
      </c>
    </row>
    <row r="7140" spans="1:7" x14ac:dyDescent="0.3">
      <c r="A7140" s="1" t="s">
        <v>4</v>
      </c>
      <c r="B7140" s="2" t="str">
        <f t="shared" si="589"/>
        <v>SISTEMA GERADOR DE RELATÓRIOS</v>
      </c>
      <c r="C7140" s="2" t="str">
        <f t="shared" si="590"/>
        <v>SMA-REP</v>
      </c>
      <c r="D7140" s="2" t="str">
        <f t="shared" si="591"/>
        <v>MVREP</v>
      </c>
      <c r="E7140" s="2" t="str">
        <f>"PEDIDO DE EXAMES_V2"</f>
        <v>PEDIDO DE EXAMES_V2</v>
      </c>
      <c r="F7140" s="2" t="str">
        <f>"USR_PEDIDO_DE_EXAMES_V2"</f>
        <v>USR_PEDIDO_DE_EXAMES_V2</v>
      </c>
      <c r="G7140" s="2" t="str">
        <f t="shared" si="588"/>
        <v xml:space="preserve"> ()</v>
      </c>
    </row>
    <row r="7141" spans="1:7" x14ac:dyDescent="0.3">
      <c r="A7141" s="1" t="s">
        <v>4</v>
      </c>
      <c r="B7141" s="2" t="str">
        <f t="shared" si="589"/>
        <v>SISTEMA GERADOR DE RELATÓRIOS</v>
      </c>
      <c r="C7141" s="2" t="str">
        <f t="shared" si="590"/>
        <v>SMA-REP</v>
      </c>
      <c r="D7141" s="2" t="str">
        <f t="shared" si="591"/>
        <v>MVREP</v>
      </c>
      <c r="E7141" s="2" t="str">
        <f>"RELATÓRIO SOLICITAÇÃO PARECER MÉDICO"</f>
        <v>RELATÓRIO SOLICITAÇÃO PARECER MÉDICO</v>
      </c>
      <c r="F7141" s="2" t="str">
        <f>"USR_RELATORIO_SOLICITACAO_PARECER_"</f>
        <v>USR_RELATORIO_SOLICITACAO_PARECER_</v>
      </c>
      <c r="G7141" s="2" t="str">
        <f t="shared" si="588"/>
        <v xml:space="preserve"> ()</v>
      </c>
    </row>
    <row r="7142" spans="1:7" x14ac:dyDescent="0.3">
      <c r="A7142" s="1" t="s">
        <v>4</v>
      </c>
      <c r="B7142" s="2" t="str">
        <f t="shared" si="589"/>
        <v>SISTEMA GERADOR DE RELATÓRIOS</v>
      </c>
      <c r="C7142" s="2" t="str">
        <f t="shared" si="590"/>
        <v>SMA-REP</v>
      </c>
      <c r="D7142" s="2" t="str">
        <f t="shared" si="591"/>
        <v>MVREP</v>
      </c>
      <c r="E7142" s="2" t="str">
        <f>"FICHA ATENDIMENTO INC IMAGEM"</f>
        <v>FICHA ATENDIMENTO INC IMAGEM</v>
      </c>
      <c r="F7142" s="2" t="str">
        <f>"USR_FICHA_ATENDIMENTO_INC_IMAGEM"</f>
        <v>USR_FICHA_ATENDIMENTO_INC_IMAGEM</v>
      </c>
      <c r="G7142" s="2" t="str">
        <f t="shared" si="588"/>
        <v xml:space="preserve"> ()</v>
      </c>
    </row>
    <row r="7143" spans="1:7" x14ac:dyDescent="0.3">
      <c r="A7143" s="1" t="s">
        <v>4</v>
      </c>
      <c r="B7143" s="2" t="str">
        <f t="shared" si="589"/>
        <v>SISTEMA GERADOR DE RELATÓRIOS</v>
      </c>
      <c r="C7143" s="2" t="str">
        <f t="shared" si="590"/>
        <v>SMA-REP</v>
      </c>
      <c r="D7143" s="2" t="str">
        <f t="shared" si="591"/>
        <v>MVREP</v>
      </c>
      <c r="E7143" s="2" t="str">
        <f>"Repasse INC com Valores teste"</f>
        <v>Repasse INC com Valores teste</v>
      </c>
      <c r="F7143" s="2" t="str">
        <f>"USR_REPASSE_INC_COM_VALORES_TESTE"</f>
        <v>USR_REPASSE_INC_COM_VALORES_TESTE</v>
      </c>
      <c r="G7143" s="2" t="str">
        <f t="shared" si="588"/>
        <v xml:space="preserve"> ()</v>
      </c>
    </row>
    <row r="7144" spans="1:7" x14ac:dyDescent="0.3">
      <c r="A7144" s="1" t="s">
        <v>4</v>
      </c>
      <c r="B7144" s="2" t="str">
        <f t="shared" si="589"/>
        <v>SISTEMA GERADOR DE RELATÓRIOS</v>
      </c>
      <c r="C7144" s="2" t="str">
        <f t="shared" si="590"/>
        <v>SMA-REP</v>
      </c>
      <c r="D7144" s="2" t="str">
        <f t="shared" si="591"/>
        <v>MVREP</v>
      </c>
      <c r="E7144" s="2" t="str">
        <f>"CARTA DESLIGAMENTO MÉDICO"</f>
        <v>CARTA DESLIGAMENTO MÉDICO</v>
      </c>
      <c r="F7144" s="2" t="str">
        <f>"USR_CARTA_DESLIGAMENTO_MEDICO"</f>
        <v>USR_CARTA_DESLIGAMENTO_MEDICO</v>
      </c>
      <c r="G7144" s="2" t="str">
        <f t="shared" si="588"/>
        <v xml:space="preserve"> ()</v>
      </c>
    </row>
    <row r="7145" spans="1:7" x14ac:dyDescent="0.3">
      <c r="A7145" s="1" t="s">
        <v>4</v>
      </c>
      <c r="B7145" s="2" t="str">
        <f t="shared" si="589"/>
        <v>SISTEMA GERADOR DE RELATÓRIOS</v>
      </c>
      <c r="C7145" s="2" t="str">
        <f t="shared" si="590"/>
        <v>SMA-REP</v>
      </c>
      <c r="D7145" s="2" t="str">
        <f t="shared" si="591"/>
        <v>MVREP</v>
      </c>
      <c r="E7145" s="2" t="str">
        <f>"CONTRATO ATENDIMENTO PARTICULAR"</f>
        <v>CONTRATO ATENDIMENTO PARTICULAR</v>
      </c>
      <c r="F7145" s="2" t="str">
        <f>"USR_CONTRATO_ATENDIMENTO_PARTICULA"</f>
        <v>USR_CONTRATO_ATENDIMENTO_PARTICULA</v>
      </c>
      <c r="G7145" s="2" t="str">
        <f t="shared" si="588"/>
        <v xml:space="preserve"> ()</v>
      </c>
    </row>
    <row r="7146" spans="1:7" x14ac:dyDescent="0.3">
      <c r="A7146" s="1" t="s">
        <v>4</v>
      </c>
      <c r="B7146" s="2" t="str">
        <f t="shared" si="589"/>
        <v>SISTEMA GERADOR DE RELATÓRIOS</v>
      </c>
      <c r="C7146" s="2" t="str">
        <f t="shared" si="590"/>
        <v>SMA-REP</v>
      </c>
      <c r="D7146" s="2" t="str">
        <f t="shared" si="591"/>
        <v>MVREP</v>
      </c>
      <c r="E7146" s="2" t="str">
        <f>"PRODUTIVIDADE RECEPCIONISTAS PEDIDOS IMA"</f>
        <v>PRODUTIVIDADE RECEPCIONISTAS PEDIDOS IMA</v>
      </c>
      <c r="F7146" s="2" t="str">
        <f>"USR_PRODUTIVIDADE_RECEPCIONISTAS_P"</f>
        <v>USR_PRODUTIVIDADE_RECEPCIONISTAS_P</v>
      </c>
      <c r="G7146" s="2" t="str">
        <f t="shared" si="588"/>
        <v xml:space="preserve"> ()</v>
      </c>
    </row>
    <row r="7147" spans="1:7" x14ac:dyDescent="0.3">
      <c r="A7147" s="1" t="s">
        <v>4</v>
      </c>
      <c r="B7147" s="2" t="str">
        <f t="shared" si="589"/>
        <v>SISTEMA GERADOR DE RELATÓRIOS</v>
      </c>
      <c r="C7147" s="2" t="str">
        <f t="shared" si="590"/>
        <v>SMA-REP</v>
      </c>
      <c r="D7147" s="2" t="str">
        <f t="shared" si="591"/>
        <v>MVREP</v>
      </c>
      <c r="E7147" s="2" t="str">
        <f>"ETIQUETA NUTRI NOVO V2"</f>
        <v>ETIQUETA NUTRI NOVO V2</v>
      </c>
      <c r="F7147" s="2" t="str">
        <f>"USR_ETIQUETA_NUTRI_NOVO_V2"</f>
        <v>USR_ETIQUETA_NUTRI_NOVO_V2</v>
      </c>
      <c r="G7147" s="2" t="str">
        <f t="shared" si="588"/>
        <v xml:space="preserve"> ()</v>
      </c>
    </row>
    <row r="7148" spans="1:7" x14ac:dyDescent="0.3">
      <c r="A7148" s="1" t="s">
        <v>4</v>
      </c>
      <c r="B7148" s="2" t="str">
        <f t="shared" si="589"/>
        <v>SISTEMA GERADOR DE RELATÓRIOS</v>
      </c>
      <c r="C7148" s="2" t="str">
        <f t="shared" si="590"/>
        <v>SMA-REP</v>
      </c>
      <c r="D7148" s="2" t="str">
        <f t="shared" si="591"/>
        <v>MVREP</v>
      </c>
      <c r="E7148" s="2" t="str">
        <f>"RELATORIO DE CENSO POR COPA"</f>
        <v>RELATORIO DE CENSO POR COPA</v>
      </c>
      <c r="F7148" s="2" t="str">
        <f>"USR_RELATORIO_DE_CENSO_POR_COPA"</f>
        <v>USR_RELATORIO_DE_CENSO_POR_COPA</v>
      </c>
      <c r="G7148" s="2" t="str">
        <f t="shared" si="588"/>
        <v xml:space="preserve"> ()</v>
      </c>
    </row>
    <row r="7149" spans="1:7" x14ac:dyDescent="0.3">
      <c r="A7149" s="1" t="s">
        <v>4</v>
      </c>
      <c r="B7149" s="2" t="str">
        <f t="shared" si="589"/>
        <v>SISTEMA GERADOR DE RELATÓRIOS</v>
      </c>
      <c r="C7149" s="2" t="str">
        <f t="shared" si="590"/>
        <v>SMA-REP</v>
      </c>
      <c r="D7149" s="2" t="str">
        <f t="shared" si="591"/>
        <v>MVREP</v>
      </c>
      <c r="E7149" s="2" t="str">
        <f>"Repasse INC com Valores"</f>
        <v>Repasse INC com Valores</v>
      </c>
      <c r="F7149" s="2" t="str">
        <f>"USR_REPASSE_INC_COM_VALORES"</f>
        <v>USR_REPASSE_INC_COM_VALORES</v>
      </c>
      <c r="G7149" s="2" t="str">
        <f t="shared" si="588"/>
        <v xml:space="preserve"> ()</v>
      </c>
    </row>
    <row r="7150" spans="1:7" x14ac:dyDescent="0.3">
      <c r="A7150" s="1" t="s">
        <v>4</v>
      </c>
      <c r="B7150" s="2" t="str">
        <f t="shared" si="589"/>
        <v>SISTEMA GERADOR DE RELATÓRIOS</v>
      </c>
      <c r="C7150" s="2" t="str">
        <f t="shared" si="590"/>
        <v>SMA-REP</v>
      </c>
      <c r="D7150" s="2" t="str">
        <f t="shared" si="591"/>
        <v>MVREP</v>
      </c>
      <c r="E7150" s="2" t="str">
        <f>"PROTOCOLO DE RESULTADO PEDIDO"</f>
        <v>PROTOCOLO DE RESULTADO PEDIDO</v>
      </c>
      <c r="F7150" s="2" t="str">
        <f>"USR_PROTOCOLO_DE_RESULTADO_PEDIDO"</f>
        <v>USR_PROTOCOLO_DE_RESULTADO_PEDIDO</v>
      </c>
      <c r="G7150" s="2" t="str">
        <f t="shared" si="588"/>
        <v xml:space="preserve"> ()</v>
      </c>
    </row>
    <row r="7151" spans="1:7" x14ac:dyDescent="0.3">
      <c r="A7151" s="1" t="s">
        <v>4</v>
      </c>
      <c r="B7151" s="2" t="str">
        <f t="shared" si="589"/>
        <v>SISTEMA GERADOR DE RELATÓRIOS</v>
      </c>
      <c r="C7151" s="2" t="str">
        <f t="shared" si="590"/>
        <v>SMA-REP</v>
      </c>
      <c r="D7151" s="2" t="str">
        <f t="shared" si="591"/>
        <v>MVREP</v>
      </c>
      <c r="E7151" s="2" t="str">
        <f>"Etiqueta Laudo"</f>
        <v>Etiqueta Laudo</v>
      </c>
      <c r="F7151" s="2" t="str">
        <f>"USR_ETIQUETA_LAUDO_RX_SW2"</f>
        <v>USR_ETIQUETA_LAUDO_RX_SW2</v>
      </c>
      <c r="G7151" s="2" t="str">
        <f t="shared" si="588"/>
        <v xml:space="preserve"> ()</v>
      </c>
    </row>
    <row r="7152" spans="1:7" x14ac:dyDescent="0.3">
      <c r="A7152" s="1" t="s">
        <v>4</v>
      </c>
      <c r="B7152" s="2" t="str">
        <f t="shared" si="589"/>
        <v>SISTEMA GERADOR DE RELATÓRIOS</v>
      </c>
      <c r="C7152" s="2" t="str">
        <f t="shared" si="590"/>
        <v>SMA-REP</v>
      </c>
      <c r="D7152" s="2" t="str">
        <f t="shared" si="591"/>
        <v>MVREP</v>
      </c>
      <c r="E7152" s="2" t="str">
        <f>"Teste Treinamento"</f>
        <v>Teste Treinamento</v>
      </c>
      <c r="F7152" s="2" t="str">
        <f>"USR_TESTE_TREINAMENTO"</f>
        <v>USR_TESTE_TREINAMENTO</v>
      </c>
      <c r="G7152" s="2" t="str">
        <f t="shared" si="588"/>
        <v xml:space="preserve"> ()</v>
      </c>
    </row>
    <row r="7153" spans="1:7" x14ac:dyDescent="0.3">
      <c r="A7153" s="1" t="s">
        <v>4</v>
      </c>
      <c r="B7153" s="2" t="str">
        <f t="shared" si="589"/>
        <v>SISTEMA GERADOR DE RELATÓRIOS</v>
      </c>
      <c r="C7153" s="2" t="str">
        <f t="shared" si="590"/>
        <v>SMA-REP</v>
      </c>
      <c r="D7153" s="2" t="str">
        <f t="shared" si="591"/>
        <v>MVREP</v>
      </c>
      <c r="E7153" s="2" t="str">
        <f>"teste nova view"</f>
        <v>teste nova view</v>
      </c>
      <c r="F7153" s="2" t="str">
        <f>"USR_TESTE_NOVA_VIEW"</f>
        <v>USR_TESTE_NOVA_VIEW</v>
      </c>
      <c r="G7153" s="2" t="str">
        <f t="shared" si="588"/>
        <v xml:space="preserve"> ()</v>
      </c>
    </row>
    <row r="7154" spans="1:7" x14ac:dyDescent="0.3">
      <c r="A7154" s="1" t="s">
        <v>4</v>
      </c>
      <c r="B7154" s="2" t="str">
        <f t="shared" si="589"/>
        <v>SISTEMA GERADOR DE RELATÓRIOS</v>
      </c>
      <c r="C7154" s="2" t="str">
        <f t="shared" si="590"/>
        <v>SMA-REP</v>
      </c>
      <c r="D7154" s="2" t="str">
        <f t="shared" si="591"/>
        <v>MVREP</v>
      </c>
      <c r="E7154" s="2" t="str">
        <f>"Serviço de Urg/Emer x Proced"</f>
        <v>Serviço de Urg/Emer x Proced</v>
      </c>
      <c r="F7154" s="2" t="str">
        <f>"USR_SERVIÇO_DE_URG/EMER_X_PROCED"</f>
        <v>USR_SERVIÇO_DE_URG/EMER_X_PROCED</v>
      </c>
      <c r="G7154" s="2" t="str">
        <f t="shared" si="588"/>
        <v xml:space="preserve"> ()</v>
      </c>
    </row>
    <row r="7155" spans="1:7" x14ac:dyDescent="0.3">
      <c r="A7155" s="1" t="s">
        <v>4</v>
      </c>
      <c r="B7155" s="2" t="str">
        <f t="shared" si="589"/>
        <v>SISTEMA GERADOR DE RELATÓRIOS</v>
      </c>
      <c r="C7155" s="2" t="str">
        <f t="shared" si="590"/>
        <v>SMA-REP</v>
      </c>
      <c r="D7155" s="2" t="str">
        <f t="shared" si="591"/>
        <v>MVREP</v>
      </c>
      <c r="E7155" s="2" t="str">
        <f>"Rel_Cir_Grupo"</f>
        <v>Rel_Cir_Grupo</v>
      </c>
      <c r="F7155" s="2" t="str">
        <f>"USR_REL_CIR_GRUPO"</f>
        <v>USR_REL_CIR_GRUPO</v>
      </c>
      <c r="G7155" s="2" t="str">
        <f t="shared" si="588"/>
        <v xml:space="preserve"> ()</v>
      </c>
    </row>
    <row r="7156" spans="1:7" x14ac:dyDescent="0.3">
      <c r="A7156" s="1" t="s">
        <v>4</v>
      </c>
      <c r="B7156" s="2" t="str">
        <f t="shared" si="589"/>
        <v>SISTEMA GERADOR DE RELATÓRIOS</v>
      </c>
      <c r="C7156" s="2" t="str">
        <f t="shared" si="590"/>
        <v>SMA-REP</v>
      </c>
      <c r="D7156" s="2" t="str">
        <f t="shared" si="591"/>
        <v>MVREP</v>
      </c>
      <c r="E7156" s="2" t="str">
        <f>"Relatorio Solicitacoes Diárias"</f>
        <v>Relatorio Solicitacoes Diárias</v>
      </c>
      <c r="F7156" s="2" t="str">
        <f>"USR_RELATORIO_SOLICITACOES_DIARIAS"</f>
        <v>USR_RELATORIO_SOLICITACOES_DIARIAS</v>
      </c>
      <c r="G7156" s="2" t="str">
        <f t="shared" si="588"/>
        <v xml:space="preserve"> ()</v>
      </c>
    </row>
    <row r="7157" spans="1:7" x14ac:dyDescent="0.3">
      <c r="A7157" s="1" t="s">
        <v>4</v>
      </c>
      <c r="B7157" s="2" t="str">
        <f t="shared" si="589"/>
        <v>SISTEMA GERADOR DE RELATÓRIOS</v>
      </c>
      <c r="C7157" s="2" t="str">
        <f t="shared" si="590"/>
        <v>SMA-REP</v>
      </c>
      <c r="D7157" s="2" t="str">
        <f t="shared" si="591"/>
        <v>MVREP</v>
      </c>
      <c r="E7157" s="2" t="str">
        <f>"Frequencias"</f>
        <v>Frequencias</v>
      </c>
      <c r="F7157" s="2" t="str">
        <f>"USR_FREQUENCIAS"</f>
        <v>USR_FREQUENCIAS</v>
      </c>
      <c r="G7157" s="2" t="str">
        <f t="shared" si="588"/>
        <v xml:space="preserve"> ()</v>
      </c>
    </row>
    <row r="7158" spans="1:7" x14ac:dyDescent="0.3">
      <c r="A7158" s="1" t="s">
        <v>4</v>
      </c>
      <c r="B7158" s="2" t="str">
        <f t="shared" si="589"/>
        <v>SISTEMA GERADOR DE RELATÓRIOS</v>
      </c>
      <c r="C7158" s="2" t="str">
        <f t="shared" si="590"/>
        <v>SMA-REP</v>
      </c>
      <c r="D7158" s="2" t="str">
        <f t="shared" si="591"/>
        <v>MVREP</v>
      </c>
      <c r="E7158" s="2" t="str">
        <f>"Relatório de pacientes"</f>
        <v>Relatório de pacientes</v>
      </c>
      <c r="F7158" s="2" t="str">
        <f>"USR_ RELAOÓRI_ D_ PACIENTE"</f>
        <v>USR_ RELAOÓRI_ D_ PACIENTE</v>
      </c>
      <c r="G7158" s="2" t="str">
        <f t="shared" si="588"/>
        <v xml:space="preserve"> ()</v>
      </c>
    </row>
    <row r="7159" spans="1:7" x14ac:dyDescent="0.3">
      <c r="A7159" s="1" t="s">
        <v>4</v>
      </c>
      <c r="B7159" s="2" t="str">
        <f t="shared" si="589"/>
        <v>SISTEMA GERADOR DE RELATÓRIOS</v>
      </c>
      <c r="C7159" s="2" t="str">
        <f t="shared" si="590"/>
        <v>SMA-REP</v>
      </c>
      <c r="D7159" s="2" t="str">
        <f t="shared" si="591"/>
        <v>MVREP</v>
      </c>
      <c r="E7159" s="2" t="str">
        <f>"Solicitacao Compras Sinte Dia"</f>
        <v>Solicitacao Compras Sinte Dia</v>
      </c>
      <c r="F7159" s="2" t="str">
        <f>"USR_SOLICITACAO_COMPRAS_SINTE_DIAI"</f>
        <v>USR_SOLICITACAO_COMPRAS_SINTE_DIAI</v>
      </c>
      <c r="G7159" s="2" t="str">
        <f t="shared" si="588"/>
        <v xml:space="preserve"> ()</v>
      </c>
    </row>
    <row r="7160" spans="1:7" x14ac:dyDescent="0.3">
      <c r="A7160" s="1" t="s">
        <v>4</v>
      </c>
      <c r="B7160" s="2" t="str">
        <f t="shared" si="589"/>
        <v>SISTEMA GERADOR DE RELATÓRIOS</v>
      </c>
      <c r="C7160" s="2" t="str">
        <f t="shared" si="590"/>
        <v>SMA-REP</v>
      </c>
      <c r="D7160" s="2" t="str">
        <f t="shared" si="591"/>
        <v>MVREP</v>
      </c>
      <c r="E7160" s="2" t="str">
        <f>"Entrada Notas"</f>
        <v>Entrada Notas</v>
      </c>
      <c r="F7160" s="2" t="str">
        <f>"USR_ENTRADA_NOTAS1"</f>
        <v>USR_ENTRADA_NOTAS1</v>
      </c>
      <c r="G7160" s="2" t="str">
        <f t="shared" ref="G7160:G7223" si="592">" ()"</f>
        <v xml:space="preserve"> ()</v>
      </c>
    </row>
    <row r="7161" spans="1:7" x14ac:dyDescent="0.3">
      <c r="A7161" s="1" t="s">
        <v>4</v>
      </c>
      <c r="B7161" s="2" t="str">
        <f t="shared" si="589"/>
        <v>SISTEMA GERADOR DE RELATÓRIOS</v>
      </c>
      <c r="C7161" s="2" t="str">
        <f t="shared" si="590"/>
        <v>SMA-REP</v>
      </c>
      <c r="D7161" s="2" t="str">
        <f t="shared" si="591"/>
        <v>MVREP</v>
      </c>
      <c r="E7161" s="2" t="str">
        <f>"Solicitacao Compras Sinte"</f>
        <v>Solicitacao Compras Sinte</v>
      </c>
      <c r="F7161" s="2" t="str">
        <f>"USR_SOLICITAÇAO_COMPRAS_SINTE"</f>
        <v>USR_SOLICITAÇAO_COMPRAS_SINTE</v>
      </c>
      <c r="G7161" s="2" t="str">
        <f t="shared" si="592"/>
        <v xml:space="preserve"> ()</v>
      </c>
    </row>
    <row r="7162" spans="1:7" x14ac:dyDescent="0.3">
      <c r="A7162" s="1" t="s">
        <v>4</v>
      </c>
      <c r="B7162" s="2" t="str">
        <f t="shared" si="589"/>
        <v>SISTEMA GERADOR DE RELATÓRIOS</v>
      </c>
      <c r="C7162" s="2" t="str">
        <f t="shared" si="590"/>
        <v>SMA-REP</v>
      </c>
      <c r="D7162" s="2" t="str">
        <f t="shared" si="591"/>
        <v>MVREP</v>
      </c>
      <c r="E7162" s="2" t="str">
        <f>"Solicitacao Compras Sint Dia"</f>
        <v>Solicitacao Compras Sint Dia</v>
      </c>
      <c r="F7162" s="2" t="str">
        <f>"USR_SOLICITAÇAO_COMPRAS_SINT_DIA"</f>
        <v>USR_SOLICITAÇAO_COMPRAS_SINT_DIA</v>
      </c>
      <c r="G7162" s="2" t="str">
        <f t="shared" si="592"/>
        <v xml:space="preserve"> ()</v>
      </c>
    </row>
    <row r="7163" spans="1:7" x14ac:dyDescent="0.3">
      <c r="A7163" s="1" t="s">
        <v>4</v>
      </c>
      <c r="B7163" s="2" t="str">
        <f t="shared" si="589"/>
        <v>SISTEMA GERADOR DE RELATÓRIOS</v>
      </c>
      <c r="C7163" s="2" t="str">
        <f t="shared" si="590"/>
        <v>SMA-REP</v>
      </c>
      <c r="D7163" s="2" t="str">
        <f t="shared" si="591"/>
        <v>MVREP</v>
      </c>
      <c r="E7163" s="2" t="str">
        <f>"Solicitacao Compras"</f>
        <v>Solicitacao Compras</v>
      </c>
      <c r="F7163" s="2" t="str">
        <f>"USR_SOLICITAÇAO_COMPRAS"</f>
        <v>USR_SOLICITAÇAO_COMPRAS</v>
      </c>
      <c r="G7163" s="2" t="str">
        <f t="shared" si="592"/>
        <v xml:space="preserve"> ()</v>
      </c>
    </row>
    <row r="7164" spans="1:7" x14ac:dyDescent="0.3">
      <c r="A7164" s="1" t="s">
        <v>4</v>
      </c>
      <c r="B7164" s="2" t="str">
        <f t="shared" si="589"/>
        <v>SISTEMA GERADOR DE RELATÓRIOS</v>
      </c>
      <c r="C7164" s="2" t="str">
        <f t="shared" si="590"/>
        <v>SMA-REP</v>
      </c>
      <c r="D7164" s="2" t="str">
        <f t="shared" si="591"/>
        <v>MVREP</v>
      </c>
      <c r="E7164" s="2" t="str">
        <f>"Conf. Produto x  Estoque"</f>
        <v>Conf. Produto x  Estoque</v>
      </c>
      <c r="F7164" s="2" t="str">
        <f>"USR_CONF._PRODUTO_X__ESTOQUE"</f>
        <v>USR_CONF._PRODUTO_X__ESTOQUE</v>
      </c>
      <c r="G7164" s="2" t="str">
        <f t="shared" si="592"/>
        <v xml:space="preserve"> ()</v>
      </c>
    </row>
    <row r="7165" spans="1:7" x14ac:dyDescent="0.3">
      <c r="A7165" s="1" t="s">
        <v>4</v>
      </c>
      <c r="B7165" s="2" t="str">
        <f t="shared" ref="B7165:B7228" si="593">"SISTEMA GERADOR DE RELATÓRIOS"</f>
        <v>SISTEMA GERADOR DE RELATÓRIOS</v>
      </c>
      <c r="C7165" s="2" t="str">
        <f t="shared" ref="C7165:C7228" si="594">"SMA-REP"</f>
        <v>SMA-REP</v>
      </c>
      <c r="D7165" s="2" t="str">
        <f t="shared" ref="D7165:D7228" si="595">"MVREP"</f>
        <v>MVREP</v>
      </c>
      <c r="E7165" s="2" t="str">
        <f>"Solicitacao Compras Analit"</f>
        <v>Solicitacao Compras Analit</v>
      </c>
      <c r="F7165" s="2" t="str">
        <f>"USR_S0LICITACAO_COMPRAS"</f>
        <v>USR_S0LICITACAO_COMPRAS</v>
      </c>
      <c r="G7165" s="2" t="str">
        <f t="shared" si="592"/>
        <v xml:space="preserve"> ()</v>
      </c>
    </row>
    <row r="7166" spans="1:7" x14ac:dyDescent="0.3">
      <c r="A7166" s="1" t="s">
        <v>4</v>
      </c>
      <c r="B7166" s="2" t="str">
        <f t="shared" si="593"/>
        <v>SISTEMA GERADOR DE RELATÓRIOS</v>
      </c>
      <c r="C7166" s="2" t="str">
        <f t="shared" si="594"/>
        <v>SMA-REP</v>
      </c>
      <c r="D7166" s="2" t="str">
        <f t="shared" si="595"/>
        <v>MVREP</v>
      </c>
      <c r="E7166" s="2" t="str">
        <f>"Relatório pacientes faltantes"</f>
        <v>Relatório pacientes faltantes</v>
      </c>
      <c r="F7166" s="2" t="str">
        <f>"USR_RELATORIO_PACIENTES_FALTANTES"</f>
        <v>USR_RELATORIO_PACIENTES_FALTANTES</v>
      </c>
      <c r="G7166" s="2" t="str">
        <f t="shared" si="592"/>
        <v xml:space="preserve"> ()</v>
      </c>
    </row>
    <row r="7167" spans="1:7" x14ac:dyDescent="0.3">
      <c r="A7167" s="1" t="s">
        <v>4</v>
      </c>
      <c r="B7167" s="2" t="str">
        <f t="shared" si="593"/>
        <v>SISTEMA GERADOR DE RELATÓRIOS</v>
      </c>
      <c r="C7167" s="2" t="str">
        <f t="shared" si="594"/>
        <v>SMA-REP</v>
      </c>
      <c r="D7167" s="2" t="str">
        <f t="shared" si="595"/>
        <v>MVREP</v>
      </c>
      <c r="E7167" s="2" t="str">
        <f>"exclusao de agendamentos"</f>
        <v>exclusao de agendamentos</v>
      </c>
      <c r="F7167" s="2" t="str">
        <f>"USR_EXCLUSAO_DE_AGENDAMENTOS"</f>
        <v>USR_EXCLUSAO_DE_AGENDAMENTOS</v>
      </c>
      <c r="G7167" s="2" t="str">
        <f t="shared" si="592"/>
        <v xml:space="preserve"> ()</v>
      </c>
    </row>
    <row r="7168" spans="1:7" x14ac:dyDescent="0.3">
      <c r="A7168" s="1" t="s">
        <v>4</v>
      </c>
      <c r="B7168" s="2" t="str">
        <f t="shared" si="593"/>
        <v>SISTEMA GERADOR DE RELATÓRIOS</v>
      </c>
      <c r="C7168" s="2" t="str">
        <f t="shared" si="594"/>
        <v>SMA-REP</v>
      </c>
      <c r="D7168" s="2" t="str">
        <f t="shared" si="595"/>
        <v>MVREP</v>
      </c>
      <c r="E7168" s="2" t="str">
        <f>"Etiqueta do Produto"</f>
        <v>Etiqueta do Produto</v>
      </c>
      <c r="F7168" s="2" t="str">
        <f>"USR_ETIQUETA_DO_PRODUTO"</f>
        <v>USR_ETIQUETA_DO_PRODUTO</v>
      </c>
      <c r="G7168" s="2" t="str">
        <f t="shared" si="592"/>
        <v xml:space="preserve"> ()</v>
      </c>
    </row>
    <row r="7169" spans="1:7" x14ac:dyDescent="0.3">
      <c r="A7169" s="1" t="s">
        <v>4</v>
      </c>
      <c r="B7169" s="2" t="str">
        <f t="shared" si="593"/>
        <v>SISTEMA GERADOR DE RELATÓRIOS</v>
      </c>
      <c r="C7169" s="2" t="str">
        <f t="shared" si="594"/>
        <v>SMA-REP</v>
      </c>
      <c r="D7169" s="2" t="str">
        <f t="shared" si="595"/>
        <v>MVREP</v>
      </c>
      <c r="E7169" s="2" t="str">
        <f>"Relatorio de Devolucoes"</f>
        <v>Relatorio de Devolucoes</v>
      </c>
      <c r="F7169" s="2" t="str">
        <f>"USR_RELATORIO_DE_DEVOLUCOES"</f>
        <v>USR_RELATORIO_DE_DEVOLUCOES</v>
      </c>
      <c r="G7169" s="2" t="str">
        <f t="shared" si="592"/>
        <v xml:space="preserve"> ()</v>
      </c>
    </row>
    <row r="7170" spans="1:7" x14ac:dyDescent="0.3">
      <c r="A7170" s="1" t="s">
        <v>4</v>
      </c>
      <c r="B7170" s="2" t="str">
        <f t="shared" si="593"/>
        <v>SISTEMA GERADOR DE RELATÓRIOS</v>
      </c>
      <c r="C7170" s="2" t="str">
        <f t="shared" si="594"/>
        <v>SMA-REP</v>
      </c>
      <c r="D7170" s="2" t="str">
        <f t="shared" si="595"/>
        <v>MVREP</v>
      </c>
      <c r="E7170" s="2" t="str">
        <f>"Identificacao Paciente IMG"</f>
        <v>Identificacao Paciente IMG</v>
      </c>
      <c r="F7170" s="2" t="str">
        <f>"USR_IDENTIFICACAO_PACIENTE_IMG"</f>
        <v>USR_IDENTIFICACAO_PACIENTE_IMG</v>
      </c>
      <c r="G7170" s="2" t="str">
        <f t="shared" si="592"/>
        <v xml:space="preserve"> ()</v>
      </c>
    </row>
    <row r="7171" spans="1:7" x14ac:dyDescent="0.3">
      <c r="A7171" s="1" t="s">
        <v>4</v>
      </c>
      <c r="B7171" s="2" t="str">
        <f t="shared" si="593"/>
        <v>SISTEMA GERADOR DE RELATÓRIOS</v>
      </c>
      <c r="C7171" s="2" t="str">
        <f t="shared" si="594"/>
        <v>SMA-REP</v>
      </c>
      <c r="D7171" s="2" t="str">
        <f t="shared" si="595"/>
        <v>MVREP</v>
      </c>
      <c r="E7171" s="2" t="str">
        <f>"Etiqueta injetaveis"</f>
        <v>Etiqueta injetaveis</v>
      </c>
      <c r="F7171" s="2" t="str">
        <f>"USR_ETIQUETA_INJETAVEIS2"</f>
        <v>USR_ETIQUETA_INJETAVEIS2</v>
      </c>
      <c r="G7171" s="2" t="str">
        <f t="shared" si="592"/>
        <v xml:space="preserve"> ()</v>
      </c>
    </row>
    <row r="7172" spans="1:7" x14ac:dyDescent="0.3">
      <c r="A7172" s="1" t="s">
        <v>4</v>
      </c>
      <c r="B7172" s="2" t="str">
        <f t="shared" si="593"/>
        <v>SISTEMA GERADOR DE RELATÓRIOS</v>
      </c>
      <c r="C7172" s="2" t="str">
        <f t="shared" si="594"/>
        <v>SMA-REP</v>
      </c>
      <c r="D7172" s="2" t="str">
        <f t="shared" si="595"/>
        <v>MVREP</v>
      </c>
      <c r="E7172" s="2" t="str">
        <f>"Extrato Cepeti"</f>
        <v>Extrato Cepeti</v>
      </c>
      <c r="F7172" s="2" t="str">
        <f>"USR_EXTRATO_CEPETI"</f>
        <v>USR_EXTRATO_CEPETI</v>
      </c>
      <c r="G7172" s="2" t="str">
        <f t="shared" si="592"/>
        <v xml:space="preserve"> ()</v>
      </c>
    </row>
    <row r="7173" spans="1:7" x14ac:dyDescent="0.3">
      <c r="A7173" s="1" t="s">
        <v>4</v>
      </c>
      <c r="B7173" s="2" t="str">
        <f t="shared" si="593"/>
        <v>SISTEMA GERADOR DE RELATÓRIOS</v>
      </c>
      <c r="C7173" s="2" t="str">
        <f t="shared" si="594"/>
        <v>SMA-REP</v>
      </c>
      <c r="D7173" s="2" t="str">
        <f t="shared" si="595"/>
        <v>MVREP</v>
      </c>
      <c r="E7173" s="2" t="str">
        <f>"Complexidade Assistencial"</f>
        <v>Complexidade Assistencial</v>
      </c>
      <c r="F7173" s="2" t="str">
        <f>"USR_COMPLEXIDADE_ASSISTENCIAL"</f>
        <v>USR_COMPLEXIDADE_ASSISTENCIAL</v>
      </c>
      <c r="G7173" s="2" t="str">
        <f t="shared" si="592"/>
        <v xml:space="preserve"> ()</v>
      </c>
    </row>
    <row r="7174" spans="1:7" x14ac:dyDescent="0.3">
      <c r="A7174" s="1" t="s">
        <v>4</v>
      </c>
      <c r="B7174" s="2" t="str">
        <f t="shared" si="593"/>
        <v>SISTEMA GERADOR DE RELATÓRIOS</v>
      </c>
      <c r="C7174" s="2" t="str">
        <f t="shared" si="594"/>
        <v>SMA-REP</v>
      </c>
      <c r="D7174" s="2" t="str">
        <f t="shared" si="595"/>
        <v>MVREP</v>
      </c>
      <c r="E7174" s="2" t="str">
        <f>"Extrato Profisio"</f>
        <v>Extrato Profisio</v>
      </c>
      <c r="F7174" s="2" t="str">
        <f>"USR_EXTRATO_PROFISIO"</f>
        <v>USR_EXTRATO_PROFISIO</v>
      </c>
      <c r="G7174" s="2" t="str">
        <f t="shared" si="592"/>
        <v xml:space="preserve"> ()</v>
      </c>
    </row>
    <row r="7175" spans="1:7" x14ac:dyDescent="0.3">
      <c r="A7175" s="1" t="s">
        <v>4</v>
      </c>
      <c r="B7175" s="2" t="str">
        <f t="shared" si="593"/>
        <v>SISTEMA GERADOR DE RELATÓRIOS</v>
      </c>
      <c r="C7175" s="2" t="str">
        <f t="shared" si="594"/>
        <v>SMA-REP</v>
      </c>
      <c r="D7175" s="2" t="str">
        <f t="shared" si="595"/>
        <v>MVREP</v>
      </c>
      <c r="E7175" s="2" t="str">
        <f>"Extrato Cetac"</f>
        <v>Extrato Cetac</v>
      </c>
      <c r="F7175" s="2" t="str">
        <f>"USR_EXTRATO_CETAC"</f>
        <v>USR_EXTRATO_CETAC</v>
      </c>
      <c r="G7175" s="2" t="str">
        <f t="shared" si="592"/>
        <v xml:space="preserve"> ()</v>
      </c>
    </row>
    <row r="7176" spans="1:7" x14ac:dyDescent="0.3">
      <c r="A7176" s="1" t="s">
        <v>4</v>
      </c>
      <c r="B7176" s="2" t="str">
        <f t="shared" si="593"/>
        <v>SISTEMA GERADOR DE RELATÓRIOS</v>
      </c>
      <c r="C7176" s="2" t="str">
        <f t="shared" si="594"/>
        <v>SMA-REP</v>
      </c>
      <c r="D7176" s="2" t="str">
        <f t="shared" si="595"/>
        <v>MVREP</v>
      </c>
      <c r="E7176" s="2" t="str">
        <f>"Identificacao Paciente"</f>
        <v>Identificacao Paciente</v>
      </c>
      <c r="F7176" s="2" t="str">
        <f>"USR_IDENTIFICACAO_PACIENTE"</f>
        <v>USR_IDENTIFICACAO_PACIENTE</v>
      </c>
      <c r="G7176" s="2" t="str">
        <f t="shared" si="592"/>
        <v xml:space="preserve"> ()</v>
      </c>
    </row>
    <row r="7177" spans="1:7" x14ac:dyDescent="0.3">
      <c r="A7177" s="1" t="s">
        <v>4</v>
      </c>
      <c r="B7177" s="2" t="str">
        <f t="shared" si="593"/>
        <v>SISTEMA GERADOR DE RELATÓRIOS</v>
      </c>
      <c r="C7177" s="2" t="str">
        <f t="shared" si="594"/>
        <v>SMA-REP</v>
      </c>
      <c r="D7177" s="2" t="str">
        <f t="shared" si="595"/>
        <v>MVREP</v>
      </c>
      <c r="E7177" s="2" t="str">
        <f>"CONTAS_A_RECEBER_DIVERSOS"</f>
        <v>CONTAS_A_RECEBER_DIVERSOS</v>
      </c>
      <c r="F7177" s="2" t="str">
        <f>"USR_CONTAS_A_RECEBER_DIVERSOS"</f>
        <v>USR_CONTAS_A_RECEBER_DIVERSOS</v>
      </c>
      <c r="G7177" s="2" t="str">
        <f t="shared" si="592"/>
        <v xml:space="preserve"> ()</v>
      </c>
    </row>
    <row r="7178" spans="1:7" x14ac:dyDescent="0.3">
      <c r="A7178" s="1" t="s">
        <v>4</v>
      </c>
      <c r="B7178" s="2" t="str">
        <f t="shared" si="593"/>
        <v>SISTEMA GERADOR DE RELATÓRIOS</v>
      </c>
      <c r="C7178" s="2" t="str">
        <f t="shared" si="594"/>
        <v>SMA-REP</v>
      </c>
      <c r="D7178" s="2" t="str">
        <f t="shared" si="595"/>
        <v>MVREP</v>
      </c>
      <c r="E7178" s="2" t="str">
        <f>"RECUPERACAO_DE_GLOSA"</f>
        <v>RECUPERACAO_DE_GLOSA</v>
      </c>
      <c r="F7178" s="2" t="str">
        <f>"USR_RECUPERACAO_DE_GLOSA"</f>
        <v>USR_RECUPERACAO_DE_GLOSA</v>
      </c>
      <c r="G7178" s="2" t="str">
        <f t="shared" si="592"/>
        <v xml:space="preserve"> ()</v>
      </c>
    </row>
    <row r="7179" spans="1:7" x14ac:dyDescent="0.3">
      <c r="A7179" s="1" t="s">
        <v>4</v>
      </c>
      <c r="B7179" s="2" t="str">
        <f t="shared" si="593"/>
        <v>SISTEMA GERADOR DE RELATÓRIOS</v>
      </c>
      <c r="C7179" s="2" t="str">
        <f t="shared" si="594"/>
        <v>SMA-REP</v>
      </c>
      <c r="D7179" s="2" t="str">
        <f t="shared" si="595"/>
        <v>MVREP</v>
      </c>
      <c r="E7179" s="2" t="str">
        <f>"Altas por medico"</f>
        <v>Altas por medico</v>
      </c>
      <c r="F7179" s="2" t="str">
        <f>"USR_ALTAS_POR_MEDICO"</f>
        <v>USR_ALTAS_POR_MEDICO</v>
      </c>
      <c r="G7179" s="2" t="str">
        <f t="shared" si="592"/>
        <v xml:space="preserve"> ()</v>
      </c>
    </row>
    <row r="7180" spans="1:7" x14ac:dyDescent="0.3">
      <c r="A7180" s="1" t="s">
        <v>4</v>
      </c>
      <c r="B7180" s="2" t="str">
        <f t="shared" si="593"/>
        <v>SISTEMA GERADOR DE RELATÓRIOS</v>
      </c>
      <c r="C7180" s="2" t="str">
        <f t="shared" si="594"/>
        <v>SMA-REP</v>
      </c>
      <c r="D7180" s="2" t="str">
        <f t="shared" si="595"/>
        <v>MVREP</v>
      </c>
      <c r="E7180" s="2" t="str">
        <f>"CONTAS_RECEBER_PARTICULAR"</f>
        <v>CONTAS_RECEBER_PARTICULAR</v>
      </c>
      <c r="F7180" s="2" t="str">
        <f>"USR_CONTAS_RECEBER_PARTICULAR"</f>
        <v>USR_CONTAS_RECEBER_PARTICULAR</v>
      </c>
      <c r="G7180" s="2" t="str">
        <f t="shared" si="592"/>
        <v xml:space="preserve"> ()</v>
      </c>
    </row>
    <row r="7181" spans="1:7" x14ac:dyDescent="0.3">
      <c r="A7181" s="1" t="s">
        <v>4</v>
      </c>
      <c r="B7181" s="2" t="str">
        <f t="shared" si="593"/>
        <v>SISTEMA GERADOR DE RELATÓRIOS</v>
      </c>
      <c r="C7181" s="2" t="str">
        <f t="shared" si="594"/>
        <v>SMA-REP</v>
      </c>
      <c r="D7181" s="2" t="str">
        <f t="shared" si="595"/>
        <v>MVREP</v>
      </c>
      <c r="E7181" s="2" t="str">
        <f>"Relatório Pendências Doc."</f>
        <v>Relatório Pendências Doc.</v>
      </c>
      <c r="F7181" s="2" t="str">
        <f>"USR_RELATORIO_PENDENCIAS_DOC."</f>
        <v>USR_RELATORIO_PENDENCIAS_DOC.</v>
      </c>
      <c r="G7181" s="2" t="str">
        <f t="shared" si="592"/>
        <v xml:space="preserve"> ()</v>
      </c>
    </row>
    <row r="7182" spans="1:7" x14ac:dyDescent="0.3">
      <c r="A7182" s="1" t="s">
        <v>4</v>
      </c>
      <c r="B7182" s="2" t="str">
        <f t="shared" si="593"/>
        <v>SISTEMA GERADOR DE RELATÓRIOS</v>
      </c>
      <c r="C7182" s="2" t="str">
        <f t="shared" si="594"/>
        <v>SMA-REP</v>
      </c>
      <c r="D7182" s="2" t="str">
        <f t="shared" si="595"/>
        <v>MVREP</v>
      </c>
      <c r="E7182" s="2" t="str">
        <f>"prescricoes medicas farm dia"</f>
        <v>prescricoes medicas farm dia</v>
      </c>
      <c r="F7182" s="2" t="str">
        <f>"USR_PRESCRICOES_MEDICAS_FARM_DIA"</f>
        <v>USR_PRESCRICOES_MEDICAS_FARM_DIA</v>
      </c>
      <c r="G7182" s="2" t="str">
        <f t="shared" si="592"/>
        <v xml:space="preserve"> ()</v>
      </c>
    </row>
    <row r="7183" spans="1:7" x14ac:dyDescent="0.3">
      <c r="A7183" s="1" t="s">
        <v>4</v>
      </c>
      <c r="B7183" s="2" t="str">
        <f t="shared" si="593"/>
        <v>SISTEMA GERADOR DE RELATÓRIOS</v>
      </c>
      <c r="C7183" s="2" t="str">
        <f t="shared" si="594"/>
        <v>SMA-REP</v>
      </c>
      <c r="D7183" s="2" t="str">
        <f t="shared" si="595"/>
        <v>MVREP</v>
      </c>
      <c r="E7183" s="2" t="str">
        <f>"Etiqueta Paciente"</f>
        <v>Etiqueta Paciente</v>
      </c>
      <c r="F7183" s="2" t="str">
        <f>"USR_ETIQUETA_PACIENTE"</f>
        <v>USR_ETIQUETA_PACIENTE</v>
      </c>
      <c r="G7183" s="2" t="str">
        <f t="shared" si="592"/>
        <v xml:space="preserve"> ()</v>
      </c>
    </row>
    <row r="7184" spans="1:7" x14ac:dyDescent="0.3">
      <c r="A7184" s="1" t="s">
        <v>4</v>
      </c>
      <c r="B7184" s="2" t="str">
        <f t="shared" si="593"/>
        <v>SISTEMA GERADOR DE RELATÓRIOS</v>
      </c>
      <c r="C7184" s="2" t="str">
        <f t="shared" si="594"/>
        <v>SMA-REP</v>
      </c>
      <c r="D7184" s="2" t="str">
        <f t="shared" si="595"/>
        <v>MVREP</v>
      </c>
      <c r="E7184" s="2" t="str">
        <f>"Produtos sem PROFAT"</f>
        <v>Produtos sem PROFAT</v>
      </c>
      <c r="F7184" s="2" t="str">
        <f>"USR_PRODUTOS_SEM_PROFAT"</f>
        <v>USR_PRODUTOS_SEM_PROFAT</v>
      </c>
      <c r="G7184" s="2" t="str">
        <f t="shared" si="592"/>
        <v xml:space="preserve"> ()</v>
      </c>
    </row>
    <row r="7185" spans="1:7" x14ac:dyDescent="0.3">
      <c r="A7185" s="1" t="s">
        <v>4</v>
      </c>
      <c r="B7185" s="2" t="str">
        <f t="shared" si="593"/>
        <v>SISTEMA GERADOR DE RELATÓRIOS</v>
      </c>
      <c r="C7185" s="2" t="str">
        <f t="shared" si="594"/>
        <v>SMA-REP</v>
      </c>
      <c r="D7185" s="2" t="str">
        <f t="shared" si="595"/>
        <v>MVREP</v>
      </c>
      <c r="E7185" s="2" t="str">
        <f>"Guias Pendentes Medicamento"</f>
        <v>Guias Pendentes Medicamento</v>
      </c>
      <c r="F7185" s="2" t="str">
        <f>"USR_GUIAS_PENDENTES_MEDICAMENTO"</f>
        <v>USR_GUIAS_PENDENTES_MEDICAMENTO</v>
      </c>
      <c r="G7185" s="2" t="str">
        <f t="shared" si="592"/>
        <v xml:space="preserve"> ()</v>
      </c>
    </row>
    <row r="7186" spans="1:7" x14ac:dyDescent="0.3">
      <c r="A7186" s="1" t="s">
        <v>4</v>
      </c>
      <c r="B7186" s="2" t="str">
        <f t="shared" si="593"/>
        <v>SISTEMA GERADOR DE RELATÓRIOS</v>
      </c>
      <c r="C7186" s="2" t="str">
        <f t="shared" si="594"/>
        <v>SMA-REP</v>
      </c>
      <c r="D7186" s="2" t="str">
        <f t="shared" si="595"/>
        <v>MVREP</v>
      </c>
      <c r="E7186" s="2" t="str">
        <f>"Guias Pendentes Internacao"</f>
        <v>Guias Pendentes Internacao</v>
      </c>
      <c r="F7186" s="2" t="str">
        <f>"USR_GUIAS_PENDENTES_INTERNACAO_V01"</f>
        <v>USR_GUIAS_PENDENTES_INTERNACAO_V01</v>
      </c>
      <c r="G7186" s="2" t="str">
        <f t="shared" si="592"/>
        <v xml:space="preserve"> ()</v>
      </c>
    </row>
    <row r="7187" spans="1:7" x14ac:dyDescent="0.3">
      <c r="A7187" s="1" t="s">
        <v>4</v>
      </c>
      <c r="B7187" s="2" t="str">
        <f t="shared" si="593"/>
        <v>SISTEMA GERADOR DE RELATÓRIOS</v>
      </c>
      <c r="C7187" s="2" t="str">
        <f t="shared" si="594"/>
        <v>SMA-REP</v>
      </c>
      <c r="D7187" s="2" t="str">
        <f t="shared" si="595"/>
        <v>MVREP</v>
      </c>
      <c r="E7187" s="2" t="str">
        <f>"Evolucao Enfermagem Anotacao"</f>
        <v>Evolucao Enfermagem Anotacao</v>
      </c>
      <c r="F7187" s="2" t="str">
        <f>"USR_EVOL_ENFERM_ANOT_V2"</f>
        <v>USR_EVOL_ENFERM_ANOT_V2</v>
      </c>
      <c r="G7187" s="2" t="str">
        <f t="shared" si="592"/>
        <v xml:space="preserve"> ()</v>
      </c>
    </row>
    <row r="7188" spans="1:7" x14ac:dyDescent="0.3">
      <c r="A7188" s="1" t="s">
        <v>4</v>
      </c>
      <c r="B7188" s="2" t="str">
        <f t="shared" si="593"/>
        <v>SISTEMA GERADOR DE RELATÓRIOS</v>
      </c>
      <c r="C7188" s="2" t="str">
        <f t="shared" si="594"/>
        <v>SMA-REP</v>
      </c>
      <c r="D7188" s="2" t="str">
        <f t="shared" si="595"/>
        <v>MVREP</v>
      </c>
      <c r="E7188" s="2" t="str">
        <f>"Evolucao Medica Anotacao"</f>
        <v>Evolucao Medica Anotacao</v>
      </c>
      <c r="F7188" s="2" t="str">
        <f>"USR_EVOLUCAO_MEDICA_EVOLUCAO"</f>
        <v>USR_EVOLUCAO_MEDICA_EVOLUCAO</v>
      </c>
      <c r="G7188" s="2" t="str">
        <f t="shared" si="592"/>
        <v xml:space="preserve"> ()</v>
      </c>
    </row>
    <row r="7189" spans="1:7" x14ac:dyDescent="0.3">
      <c r="A7189" s="1" t="s">
        <v>4</v>
      </c>
      <c r="B7189" s="2" t="str">
        <f t="shared" si="593"/>
        <v>SISTEMA GERADOR DE RELATÓRIOS</v>
      </c>
      <c r="C7189" s="2" t="str">
        <f t="shared" si="594"/>
        <v>SMA-REP</v>
      </c>
      <c r="D7189" s="2" t="str">
        <f t="shared" si="595"/>
        <v>MVREP</v>
      </c>
      <c r="E7189" s="2" t="str">
        <f>"Extrato Lanac"</f>
        <v>Extrato Lanac</v>
      </c>
      <c r="F7189" s="2" t="str">
        <f>"USR_EXTRATO_LANAC"</f>
        <v>USR_EXTRATO_LANAC</v>
      </c>
      <c r="G7189" s="2" t="str">
        <f t="shared" si="592"/>
        <v xml:space="preserve"> ()</v>
      </c>
    </row>
    <row r="7190" spans="1:7" x14ac:dyDescent="0.3">
      <c r="A7190" s="1" t="s">
        <v>4</v>
      </c>
      <c r="B7190" s="2" t="str">
        <f t="shared" si="593"/>
        <v>SISTEMA GERADOR DE RELATÓRIOS</v>
      </c>
      <c r="C7190" s="2" t="str">
        <f t="shared" si="594"/>
        <v>SMA-REP</v>
      </c>
      <c r="D7190" s="2" t="str">
        <f t="shared" si="595"/>
        <v>MVREP</v>
      </c>
      <c r="E7190" s="2" t="str">
        <f>"Extrato Hemobanco"</f>
        <v>Extrato Hemobanco</v>
      </c>
      <c r="F7190" s="2" t="str">
        <f>"USR_EXTRATO_HEMOBANCO"</f>
        <v>USR_EXTRATO_HEMOBANCO</v>
      </c>
      <c r="G7190" s="2" t="str">
        <f t="shared" si="592"/>
        <v xml:space="preserve"> ()</v>
      </c>
    </row>
    <row r="7191" spans="1:7" x14ac:dyDescent="0.3">
      <c r="A7191" s="1" t="s">
        <v>4</v>
      </c>
      <c r="B7191" s="2" t="str">
        <f t="shared" si="593"/>
        <v>SISTEMA GERADOR DE RELATÓRIOS</v>
      </c>
      <c r="C7191" s="2" t="str">
        <f t="shared" si="594"/>
        <v>SMA-REP</v>
      </c>
      <c r="D7191" s="2" t="str">
        <f t="shared" si="595"/>
        <v>MVREP</v>
      </c>
      <c r="E7191" s="2" t="str">
        <f>"CIR - Cirurgias Periodo"</f>
        <v>CIR - Cirurgias Periodo</v>
      </c>
      <c r="F7191" s="2" t="str">
        <f>"USR_CIR_-_CIRURGIAS_PERIODO"</f>
        <v>USR_CIR_-_CIRURGIAS_PERIODO</v>
      </c>
      <c r="G7191" s="2" t="str">
        <f t="shared" si="592"/>
        <v xml:space="preserve"> ()</v>
      </c>
    </row>
    <row r="7192" spans="1:7" x14ac:dyDescent="0.3">
      <c r="A7192" s="1" t="s">
        <v>4</v>
      </c>
      <c r="B7192" s="2" t="str">
        <f t="shared" si="593"/>
        <v>SISTEMA GERADOR DE RELATÓRIOS</v>
      </c>
      <c r="C7192" s="2" t="str">
        <f t="shared" si="594"/>
        <v>SMA-REP</v>
      </c>
      <c r="D7192" s="2" t="str">
        <f t="shared" si="595"/>
        <v>MVREP</v>
      </c>
      <c r="E7192" s="2" t="str">
        <f>"Pulseira v2"</f>
        <v>Pulseira v2</v>
      </c>
      <c r="F7192" s="2" t="str">
        <f>"USR_PULSEIRA_V2"</f>
        <v>USR_PULSEIRA_V2</v>
      </c>
      <c r="G7192" s="2" t="str">
        <f t="shared" si="592"/>
        <v xml:space="preserve"> ()</v>
      </c>
    </row>
    <row r="7193" spans="1:7" x14ac:dyDescent="0.3">
      <c r="A7193" s="1" t="s">
        <v>4</v>
      </c>
      <c r="B7193" s="2" t="str">
        <f t="shared" si="593"/>
        <v>SISTEMA GERADOR DE RELATÓRIOS</v>
      </c>
      <c r="C7193" s="2" t="str">
        <f t="shared" si="594"/>
        <v>SMA-REP</v>
      </c>
      <c r="D7193" s="2" t="str">
        <f t="shared" si="595"/>
        <v>MVREP</v>
      </c>
      <c r="E7193" s="2" t="str">
        <f>"Contas Ambulatoriais Abertas"</f>
        <v>Contas Ambulatoriais Abertas</v>
      </c>
      <c r="F7193" s="2" t="str">
        <f>"USR_REL_CONTAS_AMB._ABERTAS"</f>
        <v>USR_REL_CONTAS_AMB._ABERTAS</v>
      </c>
      <c r="G7193" s="2" t="str">
        <f t="shared" si="592"/>
        <v xml:space="preserve"> ()</v>
      </c>
    </row>
    <row r="7194" spans="1:7" x14ac:dyDescent="0.3">
      <c r="A7194" s="1" t="s">
        <v>4</v>
      </c>
      <c r="B7194" s="2" t="str">
        <f t="shared" si="593"/>
        <v>SISTEMA GERADOR DE RELATÓRIOS</v>
      </c>
      <c r="C7194" s="2" t="str">
        <f t="shared" si="594"/>
        <v>SMA-REP</v>
      </c>
      <c r="D7194" s="2" t="str">
        <f t="shared" si="595"/>
        <v>MVREP</v>
      </c>
      <c r="E7194" s="2" t="str">
        <f>"Nao deletar teste de carga"</f>
        <v>Nao deletar teste de carga</v>
      </c>
      <c r="F7194" s="2" t="str">
        <f>"USR_NAO_DELETAR_TESTE_DE_CARGA"</f>
        <v>USR_NAO_DELETAR_TESTE_DE_CARGA</v>
      </c>
      <c r="G7194" s="2" t="str">
        <f t="shared" si="592"/>
        <v xml:space="preserve"> ()</v>
      </c>
    </row>
    <row r="7195" spans="1:7" x14ac:dyDescent="0.3">
      <c r="A7195" s="1" t="s">
        <v>4</v>
      </c>
      <c r="B7195" s="2" t="str">
        <f t="shared" si="593"/>
        <v>SISTEMA GERADOR DE RELATÓRIOS</v>
      </c>
      <c r="C7195" s="2" t="str">
        <f t="shared" si="594"/>
        <v>SMA-REP</v>
      </c>
      <c r="D7195" s="2" t="str">
        <f t="shared" si="595"/>
        <v>MVREP</v>
      </c>
      <c r="E7195" s="2" t="str">
        <f>"Evolucao Medica - por Data"</f>
        <v>Evolucao Medica - por Data</v>
      </c>
      <c r="F7195" s="2" t="str">
        <f>"USR_EVOLUCAO_MEDICA_DATA"</f>
        <v>USR_EVOLUCAO_MEDICA_DATA</v>
      </c>
      <c r="G7195" s="2" t="str">
        <f t="shared" si="592"/>
        <v xml:space="preserve"> ()</v>
      </c>
    </row>
    <row r="7196" spans="1:7" x14ac:dyDescent="0.3">
      <c r="A7196" s="1" t="s">
        <v>4</v>
      </c>
      <c r="B7196" s="2" t="str">
        <f t="shared" si="593"/>
        <v>SISTEMA GERADOR DE RELATÓRIOS</v>
      </c>
      <c r="C7196" s="2" t="str">
        <f t="shared" si="594"/>
        <v>SMA-REP</v>
      </c>
      <c r="D7196" s="2" t="str">
        <f t="shared" si="595"/>
        <v>MVREP</v>
      </c>
      <c r="E7196" s="2" t="str">
        <f>"Evolucao_Medica"</f>
        <v>Evolucao_Medica</v>
      </c>
      <c r="F7196" s="2" t="str">
        <f>"USR_EVOLUCAO_MEDICA"</f>
        <v>USR_EVOLUCAO_MEDICA</v>
      </c>
      <c r="G7196" s="2" t="str">
        <f t="shared" si="592"/>
        <v xml:space="preserve"> ()</v>
      </c>
    </row>
    <row r="7197" spans="1:7" x14ac:dyDescent="0.3">
      <c r="A7197" s="1" t="s">
        <v>4</v>
      </c>
      <c r="B7197" s="2" t="str">
        <f t="shared" si="593"/>
        <v>SISTEMA GERADOR DE RELATÓRIOS</v>
      </c>
      <c r="C7197" s="2" t="str">
        <f t="shared" si="594"/>
        <v>SMA-REP</v>
      </c>
      <c r="D7197" s="2" t="str">
        <f t="shared" si="595"/>
        <v>MVREP</v>
      </c>
      <c r="E7197" s="2" t="str">
        <f>"Geral Colaborador Prestador"</f>
        <v>Geral Colaborador Prestador</v>
      </c>
      <c r="F7197" s="2" t="str">
        <f>"USR_GERAL_COLABORADOR_PRESTADOR"</f>
        <v>USR_GERAL_COLABORADOR_PRESTADOR</v>
      </c>
      <c r="G7197" s="2" t="str">
        <f t="shared" si="592"/>
        <v xml:space="preserve"> ()</v>
      </c>
    </row>
    <row r="7198" spans="1:7" x14ac:dyDescent="0.3">
      <c r="A7198" s="1" t="s">
        <v>4</v>
      </c>
      <c r="B7198" s="2" t="str">
        <f t="shared" si="593"/>
        <v>SISTEMA GERADOR DE RELATÓRIOS</v>
      </c>
      <c r="C7198" s="2" t="str">
        <f t="shared" si="594"/>
        <v>SMA-REP</v>
      </c>
      <c r="D7198" s="2" t="str">
        <f t="shared" si="595"/>
        <v>MVREP</v>
      </c>
      <c r="E7198" s="2" t="str">
        <f>"Geral Paciente Agendado"</f>
        <v>Geral Paciente Agendado</v>
      </c>
      <c r="F7198" s="2" t="str">
        <f>"USR_GERAL_PACIENTE_AGENDADO"</f>
        <v>USR_GERAL_PACIENTE_AGENDADO</v>
      </c>
      <c r="G7198" s="2" t="str">
        <f t="shared" si="592"/>
        <v xml:space="preserve"> ()</v>
      </c>
    </row>
    <row r="7199" spans="1:7" x14ac:dyDescent="0.3">
      <c r="A7199" s="1" t="s">
        <v>4</v>
      </c>
      <c r="B7199" s="2" t="str">
        <f t="shared" si="593"/>
        <v>SISTEMA GERADOR DE RELATÓRIOS</v>
      </c>
      <c r="C7199" s="2" t="str">
        <f t="shared" si="594"/>
        <v>SMA-REP</v>
      </c>
      <c r="D7199" s="2" t="str">
        <f t="shared" si="595"/>
        <v>MVREP</v>
      </c>
      <c r="E7199" s="2" t="str">
        <f>"Geral Paciente nao Agendado"</f>
        <v>Geral Paciente nao Agendado</v>
      </c>
      <c r="F7199" s="2" t="str">
        <f>"USR_GERAL_PACIENTE_NAO_AGENDADO"</f>
        <v>USR_GERAL_PACIENTE_NAO_AGENDADO</v>
      </c>
      <c r="G7199" s="2" t="str">
        <f t="shared" si="592"/>
        <v xml:space="preserve"> ()</v>
      </c>
    </row>
    <row r="7200" spans="1:7" x14ac:dyDescent="0.3">
      <c r="A7200" s="1" t="s">
        <v>4</v>
      </c>
      <c r="B7200" s="2" t="str">
        <f t="shared" si="593"/>
        <v>SISTEMA GERADOR DE RELATÓRIOS</v>
      </c>
      <c r="C7200" s="2" t="str">
        <f t="shared" si="594"/>
        <v>SMA-REP</v>
      </c>
      <c r="D7200" s="2" t="str">
        <f t="shared" si="595"/>
        <v>MVREP</v>
      </c>
      <c r="E7200" s="2" t="str">
        <f>"Geral Visitante Acompanhante"</f>
        <v>Geral Visitante Acompanhante</v>
      </c>
      <c r="F7200" s="2" t="str">
        <f>"USR_GERAL_VISITANTE_ACOMPANHANTE"</f>
        <v>USR_GERAL_VISITANTE_ACOMPANHANTE</v>
      </c>
      <c r="G7200" s="2" t="str">
        <f t="shared" si="592"/>
        <v xml:space="preserve"> ()</v>
      </c>
    </row>
    <row r="7201" spans="1:7" x14ac:dyDescent="0.3">
      <c r="A7201" s="1" t="s">
        <v>4</v>
      </c>
      <c r="B7201" s="2" t="str">
        <f t="shared" si="593"/>
        <v>SISTEMA GERADOR DE RELATÓRIOS</v>
      </c>
      <c r="C7201" s="2" t="str">
        <f t="shared" si="594"/>
        <v>SMA-REP</v>
      </c>
      <c r="D7201" s="2" t="str">
        <f t="shared" si="595"/>
        <v>MVREP</v>
      </c>
      <c r="E7201" s="2" t="str">
        <f>"Tempo Medio por Periodo"</f>
        <v>Tempo Medio por Periodo</v>
      </c>
      <c r="F7201" s="2" t="str">
        <f>"USR_TEMPO_MEDIO_POR_PERIODO"</f>
        <v>USR_TEMPO_MEDIO_POR_PERIODO</v>
      </c>
      <c r="G7201" s="2" t="str">
        <f t="shared" si="592"/>
        <v xml:space="preserve"> ()</v>
      </c>
    </row>
    <row r="7202" spans="1:7" x14ac:dyDescent="0.3">
      <c r="A7202" s="1" t="s">
        <v>4</v>
      </c>
      <c r="B7202" s="2" t="str">
        <f t="shared" si="593"/>
        <v>SISTEMA GERADOR DE RELATÓRIOS</v>
      </c>
      <c r="C7202" s="2" t="str">
        <f t="shared" si="594"/>
        <v>SMA-REP</v>
      </c>
      <c r="D7202" s="2" t="str">
        <f t="shared" si="595"/>
        <v>MVREP</v>
      </c>
      <c r="E7202" s="2" t="str">
        <f>"Total Entradas Periodo Pac"</f>
        <v>Total Entradas Periodo Pac</v>
      </c>
      <c r="F7202" s="2" t="str">
        <f>"USR_TOTAL_ENTRADAS_PERIODO_PAC"</f>
        <v>USR_TOTAL_ENTRADAS_PERIODO_PAC</v>
      </c>
      <c r="G7202" s="2" t="str">
        <f t="shared" si="592"/>
        <v xml:space="preserve"> ()</v>
      </c>
    </row>
    <row r="7203" spans="1:7" x14ac:dyDescent="0.3">
      <c r="A7203" s="1" t="s">
        <v>4</v>
      </c>
      <c r="B7203" s="2" t="str">
        <f t="shared" si="593"/>
        <v>SISTEMA GERADOR DE RELATÓRIOS</v>
      </c>
      <c r="C7203" s="2" t="str">
        <f t="shared" si="594"/>
        <v>SMA-REP</v>
      </c>
      <c r="D7203" s="2" t="str">
        <f t="shared" si="595"/>
        <v>MVREP</v>
      </c>
      <c r="E7203" s="2" t="str">
        <f>"Total Entradas Periodo Vis"</f>
        <v>Total Entradas Periodo Vis</v>
      </c>
      <c r="F7203" s="2" t="str">
        <f>"USR_TOTAL_ENTRADAS_PERIODO_VIS"</f>
        <v>USR_TOTAL_ENTRADAS_PERIODO_VIS</v>
      </c>
      <c r="G7203" s="2" t="str">
        <f t="shared" si="592"/>
        <v xml:space="preserve"> ()</v>
      </c>
    </row>
    <row r="7204" spans="1:7" x14ac:dyDescent="0.3">
      <c r="A7204" s="1" t="s">
        <v>4</v>
      </c>
      <c r="B7204" s="2" t="str">
        <f t="shared" si="593"/>
        <v>SISTEMA GERADOR DE RELATÓRIOS</v>
      </c>
      <c r="C7204" s="2" t="str">
        <f t="shared" si="594"/>
        <v>SMA-REP</v>
      </c>
      <c r="D7204" s="2" t="str">
        <f t="shared" si="595"/>
        <v>MVREP</v>
      </c>
      <c r="E7204" s="2" t="str">
        <f>"Pulseira"</f>
        <v>Pulseira</v>
      </c>
      <c r="F7204" s="2" t="str">
        <f>"USR_PULSEIRA"</f>
        <v>USR_PULSEIRA</v>
      </c>
      <c r="G7204" s="2" t="str">
        <f t="shared" si="592"/>
        <v xml:space="preserve"> ()</v>
      </c>
    </row>
    <row r="7205" spans="1:7" x14ac:dyDescent="0.3">
      <c r="A7205" s="1" t="s">
        <v>4</v>
      </c>
      <c r="B7205" s="2" t="str">
        <f t="shared" si="593"/>
        <v>SISTEMA GERADOR DE RELATÓRIOS</v>
      </c>
      <c r="C7205" s="2" t="str">
        <f t="shared" si="594"/>
        <v>SMA-REP</v>
      </c>
      <c r="D7205" s="2" t="str">
        <f t="shared" si="595"/>
        <v>MVREP</v>
      </c>
      <c r="E7205" s="2" t="str">
        <f>"Cartao"</f>
        <v>Cartao</v>
      </c>
      <c r="F7205" s="2" t="str">
        <f>"USR_CARTAO"</f>
        <v>USR_CARTAO</v>
      </c>
      <c r="G7205" s="2" t="str">
        <f t="shared" si="592"/>
        <v xml:space="preserve"> ()</v>
      </c>
    </row>
    <row r="7206" spans="1:7" x14ac:dyDescent="0.3">
      <c r="A7206" s="1" t="s">
        <v>4</v>
      </c>
      <c r="B7206" s="2" t="str">
        <f t="shared" si="593"/>
        <v>SISTEMA GERADOR DE RELATÓRIOS</v>
      </c>
      <c r="C7206" s="2" t="str">
        <f t="shared" si="594"/>
        <v>SMA-REP</v>
      </c>
      <c r="D7206" s="2" t="str">
        <f t="shared" si="595"/>
        <v>MVREP</v>
      </c>
      <c r="E7206" s="2" t="str">
        <f>"Evolucao_Enfermagem"</f>
        <v>Evolucao_Enfermagem</v>
      </c>
      <c r="F7206" s="2" t="str">
        <f>"USR_EVOLUCAO_ENFERMAGEM"</f>
        <v>USR_EVOLUCAO_ENFERMAGEM</v>
      </c>
      <c r="G7206" s="2" t="str">
        <f t="shared" si="592"/>
        <v xml:space="preserve"> ()</v>
      </c>
    </row>
    <row r="7207" spans="1:7" x14ac:dyDescent="0.3">
      <c r="A7207" s="1" t="s">
        <v>4</v>
      </c>
      <c r="B7207" s="2" t="str">
        <f t="shared" si="593"/>
        <v>SISTEMA GERADOR DE RELATÓRIOS</v>
      </c>
      <c r="C7207" s="2" t="str">
        <f t="shared" si="594"/>
        <v>SMA-REP</v>
      </c>
      <c r="D7207" s="2" t="str">
        <f t="shared" si="595"/>
        <v>MVREP</v>
      </c>
      <c r="E7207" s="2" t="str">
        <f>"Extrato Cardiologia"</f>
        <v>Extrato Cardiologia</v>
      </c>
      <c r="F7207" s="2" t="str">
        <f>"USR_EXTRATO_CARDIOLOGIA"</f>
        <v>USR_EXTRATO_CARDIOLOGIA</v>
      </c>
      <c r="G7207" s="2" t="str">
        <f t="shared" si="592"/>
        <v xml:space="preserve"> ()</v>
      </c>
    </row>
    <row r="7208" spans="1:7" x14ac:dyDescent="0.3">
      <c r="A7208" s="1" t="s">
        <v>4</v>
      </c>
      <c r="B7208" s="2" t="str">
        <f t="shared" si="593"/>
        <v>SISTEMA GERADOR DE RELATÓRIOS</v>
      </c>
      <c r="C7208" s="2" t="str">
        <f t="shared" si="594"/>
        <v>SMA-REP</v>
      </c>
      <c r="D7208" s="2" t="str">
        <f t="shared" si="595"/>
        <v>MVREP</v>
      </c>
      <c r="E7208" s="2" t="str">
        <f>"Agenda Medica"</f>
        <v>Agenda Medica</v>
      </c>
      <c r="F7208" s="2" t="str">
        <f>"USR_AGENDA_MEDICA"</f>
        <v>USR_AGENDA_MEDICA</v>
      </c>
      <c r="G7208" s="2" t="str">
        <f t="shared" si="592"/>
        <v xml:space="preserve"> ()</v>
      </c>
    </row>
    <row r="7209" spans="1:7" x14ac:dyDescent="0.3">
      <c r="A7209" s="1" t="s">
        <v>4</v>
      </c>
      <c r="B7209" s="2" t="str">
        <f t="shared" si="593"/>
        <v>SISTEMA GERADOR DE RELATÓRIOS</v>
      </c>
      <c r="C7209" s="2" t="str">
        <f t="shared" si="594"/>
        <v>SMA-REP</v>
      </c>
      <c r="D7209" s="2" t="str">
        <f t="shared" si="595"/>
        <v>MVREP</v>
      </c>
      <c r="E7209" s="2" t="str">
        <f>"Lancamento de Terceiros"</f>
        <v>Lancamento de Terceiros</v>
      </c>
      <c r="F7209" s="2" t="str">
        <f>"USR_LANCAMENTO_TERCEIROS"</f>
        <v>USR_LANCAMENTO_TERCEIROS</v>
      </c>
      <c r="G7209" s="2" t="str">
        <f t="shared" si="592"/>
        <v xml:space="preserve"> ()</v>
      </c>
    </row>
    <row r="7210" spans="1:7" x14ac:dyDescent="0.3">
      <c r="A7210" s="1" t="s">
        <v>4</v>
      </c>
      <c r="B7210" s="2" t="str">
        <f t="shared" si="593"/>
        <v>SISTEMA GERADOR DE RELATÓRIOS</v>
      </c>
      <c r="C7210" s="2" t="str">
        <f t="shared" si="594"/>
        <v>SMA-REP</v>
      </c>
      <c r="D7210" s="2" t="str">
        <f t="shared" si="595"/>
        <v>MVREP</v>
      </c>
      <c r="E7210" s="2" t="str">
        <f>"Total Entradas Periodo Col"</f>
        <v>Total Entradas Periodo Col</v>
      </c>
      <c r="F7210" s="2" t="str">
        <f>"USR_TOTAL_ENTRADAS_PERIODO_COL"</f>
        <v>USR_TOTAL_ENTRADAS_PERIODO_COL</v>
      </c>
      <c r="G7210" s="2" t="str">
        <f t="shared" si="592"/>
        <v xml:space="preserve"> ()</v>
      </c>
    </row>
    <row r="7211" spans="1:7" x14ac:dyDescent="0.3">
      <c r="A7211" s="1" t="s">
        <v>4</v>
      </c>
      <c r="B7211" s="2" t="str">
        <f t="shared" si="593"/>
        <v>SISTEMA GERADOR DE RELATÓRIOS</v>
      </c>
      <c r="C7211" s="2" t="str">
        <f t="shared" si="594"/>
        <v>SMA-REP</v>
      </c>
      <c r="D7211" s="2" t="str">
        <f t="shared" si="595"/>
        <v>MVREP</v>
      </c>
      <c r="E7211" s="2" t="str">
        <f>"Controle_de_Glosa_por_Setor"</f>
        <v>Controle_de_Glosa_por_Setor</v>
      </c>
      <c r="F7211" s="2" t="str">
        <f>"USR_CONTROLE_DE_GLOSA_SETOR"</f>
        <v>USR_CONTROLE_DE_GLOSA_SETOR</v>
      </c>
      <c r="G7211" s="2" t="str">
        <f t="shared" si="592"/>
        <v xml:space="preserve"> ()</v>
      </c>
    </row>
    <row r="7212" spans="1:7" x14ac:dyDescent="0.3">
      <c r="A7212" s="1" t="s">
        <v>4</v>
      </c>
      <c r="B7212" s="2" t="str">
        <f t="shared" si="593"/>
        <v>SISTEMA GERADOR DE RELATÓRIOS</v>
      </c>
      <c r="C7212" s="2" t="str">
        <f t="shared" si="594"/>
        <v>SMA-REP</v>
      </c>
      <c r="D7212" s="2" t="str">
        <f t="shared" si="595"/>
        <v>MVREP</v>
      </c>
      <c r="E7212" s="2" t="str">
        <f>"Controle de Glosa por Setor"</f>
        <v>Controle de Glosa por Setor</v>
      </c>
      <c r="F7212" s="2" t="str">
        <f>"USR_CONTROLE_DE_GLOSA_POR_SETOR"</f>
        <v>USR_CONTROLE_DE_GLOSA_POR_SETOR</v>
      </c>
      <c r="G7212" s="2" t="str">
        <f t="shared" si="592"/>
        <v xml:space="preserve"> ()</v>
      </c>
    </row>
    <row r="7213" spans="1:7" x14ac:dyDescent="0.3">
      <c r="A7213" s="1" t="s">
        <v>4</v>
      </c>
      <c r="B7213" s="2" t="str">
        <f t="shared" si="593"/>
        <v>SISTEMA GERADOR DE RELATÓRIOS</v>
      </c>
      <c r="C7213" s="2" t="str">
        <f t="shared" si="594"/>
        <v>SMA-REP</v>
      </c>
      <c r="D7213" s="2" t="str">
        <f t="shared" si="595"/>
        <v>MVREP</v>
      </c>
      <c r="E7213" s="2" t="str">
        <f>"Controle de Glosa por Convenio"</f>
        <v>Controle de Glosa por Convenio</v>
      </c>
      <c r="F7213" s="2" t="str">
        <f>"USR_ESTATISTICA_POR_MES"</f>
        <v>USR_ESTATISTICA_POR_MES</v>
      </c>
      <c r="G7213" s="2" t="str">
        <f t="shared" si="592"/>
        <v xml:space="preserve"> ()</v>
      </c>
    </row>
    <row r="7214" spans="1:7" x14ac:dyDescent="0.3">
      <c r="A7214" s="1" t="s">
        <v>4</v>
      </c>
      <c r="B7214" s="2" t="str">
        <f t="shared" si="593"/>
        <v>SISTEMA GERADOR DE RELATÓRIOS</v>
      </c>
      <c r="C7214" s="2" t="str">
        <f t="shared" si="594"/>
        <v>SMA-REP</v>
      </c>
      <c r="D7214" s="2" t="str">
        <f t="shared" si="595"/>
        <v>MVREP</v>
      </c>
      <c r="E7214" s="2" t="str">
        <f>"Glosa_Sintetico"</f>
        <v>Glosa_Sintetico</v>
      </c>
      <c r="F7214" s="2" t="str">
        <f>"USR_GLOSA_SINTETICO"</f>
        <v>USR_GLOSA_SINTETICO</v>
      </c>
      <c r="G7214" s="2" t="str">
        <f t="shared" si="592"/>
        <v xml:space="preserve"> ()</v>
      </c>
    </row>
    <row r="7215" spans="1:7" x14ac:dyDescent="0.3">
      <c r="A7215" s="1" t="s">
        <v>4</v>
      </c>
      <c r="B7215" s="2" t="str">
        <f t="shared" si="593"/>
        <v>SISTEMA GERADOR DE RELATÓRIOS</v>
      </c>
      <c r="C7215" s="2" t="str">
        <f t="shared" si="594"/>
        <v>SMA-REP</v>
      </c>
      <c r="D7215" s="2" t="str">
        <f t="shared" si="595"/>
        <v>MVREP</v>
      </c>
      <c r="E7215" s="2" t="str">
        <f>"Relacao Entrada sem Saida"</f>
        <v>Relacao Entrada sem Saida</v>
      </c>
      <c r="F7215" s="2" t="str">
        <f>"USR_RELACAO_ENTRADA_SEM_SAIDA"</f>
        <v>USR_RELACAO_ENTRADA_SEM_SAIDA</v>
      </c>
      <c r="G7215" s="2" t="str">
        <f t="shared" si="592"/>
        <v xml:space="preserve"> ()</v>
      </c>
    </row>
    <row r="7216" spans="1:7" x14ac:dyDescent="0.3">
      <c r="A7216" s="1" t="s">
        <v>4</v>
      </c>
      <c r="B7216" s="2" t="str">
        <f t="shared" si="593"/>
        <v>SISTEMA GERADOR DE RELATÓRIOS</v>
      </c>
      <c r="C7216" s="2" t="str">
        <f t="shared" si="594"/>
        <v>SMA-REP</v>
      </c>
      <c r="D7216" s="2" t="str">
        <f t="shared" si="595"/>
        <v>MVREP</v>
      </c>
      <c r="E7216" s="2" t="str">
        <f>"RelatorioTeste"</f>
        <v>RelatorioTeste</v>
      </c>
      <c r="F7216" s="2" t="str">
        <f>"USR_RELATORIOTESTE"</f>
        <v>USR_RELATORIOTESTE</v>
      </c>
      <c r="G7216" s="2" t="str">
        <f t="shared" si="592"/>
        <v xml:space="preserve"> ()</v>
      </c>
    </row>
    <row r="7217" spans="1:7" x14ac:dyDescent="0.3">
      <c r="A7217" s="1" t="s">
        <v>4</v>
      </c>
      <c r="B7217" s="2" t="str">
        <f t="shared" si="593"/>
        <v>SISTEMA GERADOR DE RELATÓRIOS</v>
      </c>
      <c r="C7217" s="2" t="str">
        <f t="shared" si="594"/>
        <v>SMA-REP</v>
      </c>
      <c r="D7217" s="2" t="str">
        <f t="shared" si="595"/>
        <v>MVREP</v>
      </c>
      <c r="E7217" s="2" t="str">
        <f>"Etiqueta Aviso Cirurgia"</f>
        <v>Etiqueta Aviso Cirurgia</v>
      </c>
      <c r="F7217" s="2" t="str">
        <f>"USR_ETIQUETA_AVISO_CIRURGIA"</f>
        <v>USR_ETIQUETA_AVISO_CIRURGIA</v>
      </c>
      <c r="G7217" s="2" t="str">
        <f t="shared" si="592"/>
        <v xml:space="preserve"> ()</v>
      </c>
    </row>
    <row r="7218" spans="1:7" x14ac:dyDescent="0.3">
      <c r="A7218" s="1" t="s">
        <v>4</v>
      </c>
      <c r="B7218" s="2" t="str">
        <f t="shared" si="593"/>
        <v>SISTEMA GERADOR DE RELATÓRIOS</v>
      </c>
      <c r="C7218" s="2" t="str">
        <f t="shared" si="594"/>
        <v>SMA-REP</v>
      </c>
      <c r="D7218" s="2" t="str">
        <f t="shared" si="595"/>
        <v>MVREP</v>
      </c>
      <c r="E7218" s="2" t="str">
        <f>"Extrato Hemodinamica"</f>
        <v>Extrato Hemodinamica</v>
      </c>
      <c r="F7218" s="2" t="str">
        <f>"USR_EXTRATO_HEMODINAMICA"</f>
        <v>USR_EXTRATO_HEMODINAMICA</v>
      </c>
      <c r="G7218" s="2" t="str">
        <f t="shared" si="592"/>
        <v xml:space="preserve"> ()</v>
      </c>
    </row>
    <row r="7219" spans="1:7" x14ac:dyDescent="0.3">
      <c r="A7219" s="1" t="s">
        <v>4</v>
      </c>
      <c r="B7219" s="2" t="str">
        <f t="shared" si="593"/>
        <v>SISTEMA GERADOR DE RELATÓRIOS</v>
      </c>
      <c r="C7219" s="2" t="str">
        <f t="shared" si="594"/>
        <v>SMA-REP</v>
      </c>
      <c r="D7219" s="2" t="str">
        <f t="shared" si="595"/>
        <v>MVREP</v>
      </c>
      <c r="E7219" s="2" t="str">
        <f>"exemplo_paramentros"</f>
        <v>exemplo_paramentros</v>
      </c>
      <c r="F7219" s="2" t="str">
        <f>"USR_EXEMPLO_PARAMENTROS"</f>
        <v>USR_EXEMPLO_PARAMENTROS</v>
      </c>
      <c r="G7219" s="2" t="str">
        <f t="shared" si="592"/>
        <v xml:space="preserve"> ()</v>
      </c>
    </row>
    <row r="7220" spans="1:7" x14ac:dyDescent="0.3">
      <c r="A7220" s="1" t="s">
        <v>4</v>
      </c>
      <c r="B7220" s="2" t="str">
        <f t="shared" si="593"/>
        <v>SISTEMA GERADOR DE RELATÓRIOS</v>
      </c>
      <c r="C7220" s="2" t="str">
        <f t="shared" si="594"/>
        <v>SMA-REP</v>
      </c>
      <c r="D7220" s="2" t="str">
        <f t="shared" si="595"/>
        <v>MVREP</v>
      </c>
      <c r="E7220" s="2" t="str">
        <f>"Teste_bruno"</f>
        <v>Teste_bruno</v>
      </c>
      <c r="F7220" s="2" t="str">
        <f>"USR_TESTE_BRUNO"</f>
        <v>USR_TESTE_BRUNO</v>
      </c>
      <c r="G7220" s="2" t="str">
        <f t="shared" si="592"/>
        <v xml:space="preserve"> ()</v>
      </c>
    </row>
    <row r="7221" spans="1:7" x14ac:dyDescent="0.3">
      <c r="A7221" s="1" t="s">
        <v>4</v>
      </c>
      <c r="B7221" s="2" t="str">
        <f t="shared" si="593"/>
        <v>SISTEMA GERADOR DE RELATÓRIOS</v>
      </c>
      <c r="C7221" s="2" t="str">
        <f t="shared" si="594"/>
        <v>SMA-REP</v>
      </c>
      <c r="D7221" s="2" t="str">
        <f t="shared" si="595"/>
        <v>MVREP</v>
      </c>
      <c r="E7221" s="2" t="str">
        <f>"Rel_teste"</f>
        <v>Rel_teste</v>
      </c>
      <c r="F7221" s="2" t="str">
        <f>"USR_REL_TESTE"</f>
        <v>USR_REL_TESTE</v>
      </c>
      <c r="G7221" s="2" t="str">
        <f t="shared" si="592"/>
        <v xml:space="preserve"> ()</v>
      </c>
    </row>
    <row r="7222" spans="1:7" x14ac:dyDescent="0.3">
      <c r="A7222" s="1" t="s">
        <v>4</v>
      </c>
      <c r="B7222" s="2" t="str">
        <f t="shared" si="593"/>
        <v>SISTEMA GERADOR DE RELATÓRIOS</v>
      </c>
      <c r="C7222" s="2" t="str">
        <f t="shared" si="594"/>
        <v>SMA-REP</v>
      </c>
      <c r="D7222" s="2" t="str">
        <f t="shared" si="595"/>
        <v>MVREP</v>
      </c>
      <c r="E7222" s="2" t="str">
        <f>"controle de guias interne-4"</f>
        <v>controle de guias interne-4</v>
      </c>
      <c r="F7222" s="2" t="str">
        <f>"USR_CONTROLE_DE_GUIAS_INTERNE-4"</f>
        <v>USR_CONTROLE_DE_GUIAS_INTERNE-4</v>
      </c>
      <c r="G7222" s="2" t="str">
        <f t="shared" si="592"/>
        <v xml:space="preserve"> ()</v>
      </c>
    </row>
    <row r="7223" spans="1:7" x14ac:dyDescent="0.3">
      <c r="A7223" s="1" t="s">
        <v>4</v>
      </c>
      <c r="B7223" s="2" t="str">
        <f t="shared" si="593"/>
        <v>SISTEMA GERADOR DE RELATÓRIOS</v>
      </c>
      <c r="C7223" s="2" t="str">
        <f t="shared" si="594"/>
        <v>SMA-REP</v>
      </c>
      <c r="D7223" s="2" t="str">
        <f t="shared" si="595"/>
        <v>MVREP</v>
      </c>
      <c r="E7223" s="2" t="str">
        <f>"controle de guias interne-3"</f>
        <v>controle de guias interne-3</v>
      </c>
      <c r="F7223" s="2" t="str">
        <f>"USR_CONTROLE_DE_GUIAS_INTERNE-3"</f>
        <v>USR_CONTROLE_DE_GUIAS_INTERNE-3</v>
      </c>
      <c r="G7223" s="2" t="str">
        <f t="shared" si="592"/>
        <v xml:space="preserve"> ()</v>
      </c>
    </row>
    <row r="7224" spans="1:7" x14ac:dyDescent="0.3">
      <c r="A7224" s="1" t="s">
        <v>4</v>
      </c>
      <c r="B7224" s="2" t="str">
        <f t="shared" si="593"/>
        <v>SISTEMA GERADOR DE RELATÓRIOS</v>
      </c>
      <c r="C7224" s="2" t="str">
        <f t="shared" si="594"/>
        <v>SMA-REP</v>
      </c>
      <c r="D7224" s="2" t="str">
        <f t="shared" si="595"/>
        <v>MVREP</v>
      </c>
      <c r="E7224" s="2" t="str">
        <f>"controle de guias interne-2"</f>
        <v>controle de guias interne-2</v>
      </c>
      <c r="F7224" s="2" t="str">
        <f>"USR_CONTROLE_DE_GUIAS_INTERNE-2"</f>
        <v>USR_CONTROLE_DE_GUIAS_INTERNE-2</v>
      </c>
      <c r="G7224" s="2" t="str">
        <f t="shared" ref="G7224:G7287" si="596">" ()"</f>
        <v xml:space="preserve"> ()</v>
      </c>
    </row>
    <row r="7225" spans="1:7" x14ac:dyDescent="0.3">
      <c r="A7225" s="1" t="s">
        <v>4</v>
      </c>
      <c r="B7225" s="2" t="str">
        <f t="shared" si="593"/>
        <v>SISTEMA GERADOR DE RELATÓRIOS</v>
      </c>
      <c r="C7225" s="2" t="str">
        <f t="shared" si="594"/>
        <v>SMA-REP</v>
      </c>
      <c r="D7225" s="2" t="str">
        <f t="shared" si="595"/>
        <v>MVREP</v>
      </c>
      <c r="E7225" s="2" t="str">
        <f>"controle de guias interne"</f>
        <v>controle de guias interne</v>
      </c>
      <c r="F7225" s="2" t="str">
        <f>"USR_CONTROLE_DE_GUIAS_INTERNE"</f>
        <v>USR_CONTROLE_DE_GUIAS_INTERNE</v>
      </c>
      <c r="G7225" s="2" t="str">
        <f t="shared" si="596"/>
        <v xml:space="preserve"> ()</v>
      </c>
    </row>
    <row r="7226" spans="1:7" x14ac:dyDescent="0.3">
      <c r="A7226" s="1" t="s">
        <v>4</v>
      </c>
      <c r="B7226" s="2" t="str">
        <f t="shared" si="593"/>
        <v>SISTEMA GERADOR DE RELATÓRIOS</v>
      </c>
      <c r="C7226" s="2" t="str">
        <f t="shared" si="594"/>
        <v>SMA-REP</v>
      </c>
      <c r="D7226" s="2" t="str">
        <f t="shared" si="595"/>
        <v>MVREP</v>
      </c>
      <c r="E7226" s="2" t="str">
        <f>"interne home care2"</f>
        <v>interne home care2</v>
      </c>
      <c r="F7226" s="2" t="str">
        <f>"USR_INTERNE_HOME_CARE2"</f>
        <v>USR_INTERNE_HOME_CARE2</v>
      </c>
      <c r="G7226" s="2" t="str">
        <f t="shared" si="596"/>
        <v xml:space="preserve"> ()</v>
      </c>
    </row>
    <row r="7227" spans="1:7" x14ac:dyDescent="0.3">
      <c r="A7227" s="1" t="s">
        <v>4</v>
      </c>
      <c r="B7227" s="2" t="str">
        <f t="shared" si="593"/>
        <v>SISTEMA GERADOR DE RELATÓRIOS</v>
      </c>
      <c r="C7227" s="2" t="str">
        <f t="shared" si="594"/>
        <v>SMA-REP</v>
      </c>
      <c r="D7227" s="2" t="str">
        <f t="shared" si="595"/>
        <v>MVREP</v>
      </c>
      <c r="E7227" s="2" t="str">
        <f>"interne home care"</f>
        <v>interne home care</v>
      </c>
      <c r="F7227" s="2" t="str">
        <f>"USR_INTERNE_HOME_CARE"</f>
        <v>USR_INTERNE_HOME_CARE</v>
      </c>
      <c r="G7227" s="2" t="str">
        <f t="shared" si="596"/>
        <v xml:space="preserve"> ()</v>
      </c>
    </row>
    <row r="7228" spans="1:7" x14ac:dyDescent="0.3">
      <c r="A7228" s="1" t="s">
        <v>4</v>
      </c>
      <c r="B7228" s="2" t="str">
        <f t="shared" si="593"/>
        <v>SISTEMA GERADOR DE RELATÓRIOS</v>
      </c>
      <c r="C7228" s="2" t="str">
        <f t="shared" si="594"/>
        <v>SMA-REP</v>
      </c>
      <c r="D7228" s="2" t="str">
        <f t="shared" si="595"/>
        <v>MVREP</v>
      </c>
      <c r="E7228" s="2" t="str">
        <f>"Relatorio Matrix"</f>
        <v>Relatorio Matrix</v>
      </c>
      <c r="F7228" s="2" t="str">
        <f>"USR_RELATORIO_MATRIX"</f>
        <v>USR_RELATORIO_MATRIX</v>
      </c>
      <c r="G7228" s="2" t="str">
        <f t="shared" si="596"/>
        <v xml:space="preserve"> ()</v>
      </c>
    </row>
    <row r="7229" spans="1:7" x14ac:dyDescent="0.3">
      <c r="A7229" s="1" t="s">
        <v>4</v>
      </c>
      <c r="B7229" s="2" t="str">
        <f t="shared" ref="B7229:B7292" si="597">"SISTEMA GERADOR DE RELATÓRIOS"</f>
        <v>SISTEMA GERADOR DE RELATÓRIOS</v>
      </c>
      <c r="C7229" s="2" t="str">
        <f t="shared" ref="C7229:C7292" si="598">"SMA-REP"</f>
        <v>SMA-REP</v>
      </c>
      <c r="D7229" s="2" t="str">
        <f t="shared" ref="D7229:D7292" si="599">"MVREP"</f>
        <v>MVREP</v>
      </c>
      <c r="E7229" s="2" t="str">
        <f>"avaliação"</f>
        <v>avaliação</v>
      </c>
      <c r="F7229" s="2" t="str">
        <f>"USR_AVALIAÇAO"</f>
        <v>USR_AVALIAÇAO</v>
      </c>
      <c r="G7229" s="2" t="str">
        <f t="shared" si="596"/>
        <v xml:space="preserve"> ()</v>
      </c>
    </row>
    <row r="7230" spans="1:7" x14ac:dyDescent="0.3">
      <c r="A7230" s="1" t="s">
        <v>4</v>
      </c>
      <c r="B7230" s="2" t="str">
        <f t="shared" si="597"/>
        <v>SISTEMA GERADOR DE RELATÓRIOS</v>
      </c>
      <c r="C7230" s="2" t="str">
        <f t="shared" si="598"/>
        <v>SMA-REP</v>
      </c>
      <c r="D7230" s="2" t="str">
        <f t="shared" si="599"/>
        <v>MVREP</v>
      </c>
      <c r="E7230" s="2" t="str">
        <f>"teste_Eva"</f>
        <v>teste_Eva</v>
      </c>
      <c r="F7230" s="2" t="str">
        <f>"USR_TESTE_EVA"</f>
        <v>USR_TESTE_EVA</v>
      </c>
      <c r="G7230" s="2" t="str">
        <f t="shared" si="596"/>
        <v xml:space="preserve"> ()</v>
      </c>
    </row>
    <row r="7231" spans="1:7" x14ac:dyDescent="0.3">
      <c r="A7231" s="1" t="s">
        <v>4</v>
      </c>
      <c r="B7231" s="2" t="str">
        <f t="shared" si="597"/>
        <v>SISTEMA GERADOR DE RELATÓRIOS</v>
      </c>
      <c r="C7231" s="2" t="str">
        <f t="shared" si="598"/>
        <v>SMA-REP</v>
      </c>
      <c r="D7231" s="2" t="str">
        <f t="shared" si="599"/>
        <v>MVREP</v>
      </c>
      <c r="E7231" s="2" t="str">
        <f>"teste repasse recurso"</f>
        <v>teste repasse recurso</v>
      </c>
      <c r="F7231" s="2" t="str">
        <f>"USR_TESTE_REPASSE_RECURSO"</f>
        <v>USR_TESTE_REPASSE_RECURSO</v>
      </c>
      <c r="G7231" s="2" t="str">
        <f t="shared" si="596"/>
        <v xml:space="preserve"> ()</v>
      </c>
    </row>
    <row r="7232" spans="1:7" x14ac:dyDescent="0.3">
      <c r="A7232" s="1" t="s">
        <v>4</v>
      </c>
      <c r="B7232" s="2" t="str">
        <f t="shared" si="597"/>
        <v>SISTEMA GERADOR DE RELATÓRIOS</v>
      </c>
      <c r="C7232" s="2" t="str">
        <f t="shared" si="598"/>
        <v>SMA-REP</v>
      </c>
      <c r="D7232" s="2" t="str">
        <f t="shared" si="599"/>
        <v>MVREP</v>
      </c>
      <c r="E7232" s="2" t="str">
        <f>"teste_iguatemi3"</f>
        <v>teste_iguatemi3</v>
      </c>
      <c r="F7232" s="2" t="str">
        <f>"USR_TESTE_IGUATEMI3"</f>
        <v>USR_TESTE_IGUATEMI3</v>
      </c>
      <c r="G7232" s="2" t="str">
        <f t="shared" si="596"/>
        <v xml:space="preserve"> ()</v>
      </c>
    </row>
    <row r="7233" spans="1:7" x14ac:dyDescent="0.3">
      <c r="A7233" s="1" t="s">
        <v>4</v>
      </c>
      <c r="B7233" s="2" t="str">
        <f t="shared" si="597"/>
        <v>SISTEMA GERADOR DE RELATÓRIOS</v>
      </c>
      <c r="C7233" s="2" t="str">
        <f t="shared" si="598"/>
        <v>SMA-REP</v>
      </c>
      <c r="D7233" s="2" t="str">
        <f t="shared" si="599"/>
        <v>MVREP</v>
      </c>
      <c r="E7233" s="2" t="str">
        <f>"teste_iguatemi2"</f>
        <v>teste_iguatemi2</v>
      </c>
      <c r="F7233" s="2" t="str">
        <f>"USR_TESTE_IGUATEMI2"</f>
        <v>USR_TESTE_IGUATEMI2</v>
      </c>
      <c r="G7233" s="2" t="str">
        <f t="shared" si="596"/>
        <v xml:space="preserve"> ()</v>
      </c>
    </row>
    <row r="7234" spans="1:7" x14ac:dyDescent="0.3">
      <c r="A7234" s="1" t="s">
        <v>4</v>
      </c>
      <c r="B7234" s="2" t="str">
        <f t="shared" si="597"/>
        <v>SISTEMA GERADOR DE RELATÓRIOS</v>
      </c>
      <c r="C7234" s="2" t="str">
        <f t="shared" si="598"/>
        <v>SMA-REP</v>
      </c>
      <c r="D7234" s="2" t="str">
        <f t="shared" si="599"/>
        <v>MVREP</v>
      </c>
      <c r="E7234" s="2" t="str">
        <f>"teste_iguatemi"</f>
        <v>teste_iguatemi</v>
      </c>
      <c r="F7234" s="2" t="str">
        <f>"USR_TESTE_IGUATEMI"</f>
        <v>USR_TESTE_IGUATEMI</v>
      </c>
      <c r="G7234" s="2" t="str">
        <f t="shared" si="596"/>
        <v xml:space="preserve"> ()</v>
      </c>
    </row>
    <row r="7235" spans="1:7" x14ac:dyDescent="0.3">
      <c r="A7235" s="1" t="s">
        <v>4</v>
      </c>
      <c r="B7235" s="2" t="str">
        <f t="shared" si="597"/>
        <v>SISTEMA GERADOR DE RELATÓRIOS</v>
      </c>
      <c r="C7235" s="2" t="str">
        <f t="shared" si="598"/>
        <v>SMA-REP</v>
      </c>
      <c r="D7235" s="2" t="str">
        <f t="shared" si="599"/>
        <v>MVREP</v>
      </c>
      <c r="E7235" s="2" t="str">
        <f>"Fleury"</f>
        <v>Fleury</v>
      </c>
      <c r="F7235" s="2" t="str">
        <f>"USR_FLEURY"</f>
        <v>USR_FLEURY</v>
      </c>
      <c r="G7235" s="2" t="str">
        <f t="shared" si="596"/>
        <v xml:space="preserve"> ()</v>
      </c>
    </row>
    <row r="7236" spans="1:7" x14ac:dyDescent="0.3">
      <c r="A7236" s="1" t="s">
        <v>4</v>
      </c>
      <c r="B7236" s="2" t="str">
        <f t="shared" si="597"/>
        <v>SISTEMA GERADOR DE RELATÓRIOS</v>
      </c>
      <c r="C7236" s="2" t="str">
        <f t="shared" si="598"/>
        <v>SMA-REP</v>
      </c>
      <c r="D7236" s="2" t="str">
        <f t="shared" si="599"/>
        <v>MVREP</v>
      </c>
      <c r="E7236" s="2" t="str">
        <f>"oito_etiquetas_para_OC"</f>
        <v>oito_etiquetas_para_OC</v>
      </c>
      <c r="F7236" s="2" t="str">
        <f>"USR_OITO_ETIQUETAS_PARA_OC"</f>
        <v>USR_OITO_ETIQUETAS_PARA_OC</v>
      </c>
      <c r="G7236" s="2" t="str">
        <f t="shared" si="596"/>
        <v xml:space="preserve"> ()</v>
      </c>
    </row>
    <row r="7237" spans="1:7" x14ac:dyDescent="0.3">
      <c r="A7237" s="1" t="s">
        <v>4</v>
      </c>
      <c r="B7237" s="2" t="str">
        <f t="shared" si="597"/>
        <v>SISTEMA GERADOR DE RELATÓRIOS</v>
      </c>
      <c r="C7237" s="2" t="str">
        <f t="shared" si="598"/>
        <v>SMA-REP</v>
      </c>
      <c r="D7237" s="2" t="str">
        <f t="shared" si="599"/>
        <v>MVREP</v>
      </c>
      <c r="E7237" s="2" t="str">
        <f>"tst"</f>
        <v>tst</v>
      </c>
      <c r="F7237" s="2" t="str">
        <f>"USR_TST"</f>
        <v>USR_TST</v>
      </c>
      <c r="G7237" s="2" t="str">
        <f t="shared" si="596"/>
        <v xml:space="preserve"> ()</v>
      </c>
    </row>
    <row r="7238" spans="1:7" x14ac:dyDescent="0.3">
      <c r="A7238" s="1" t="s">
        <v>4</v>
      </c>
      <c r="B7238" s="2" t="str">
        <f t="shared" si="597"/>
        <v>SISTEMA GERADOR DE RELATÓRIOS</v>
      </c>
      <c r="C7238" s="2" t="str">
        <f t="shared" si="598"/>
        <v>SMA-REP</v>
      </c>
      <c r="D7238" s="2" t="str">
        <f t="shared" si="599"/>
        <v>MVREP</v>
      </c>
      <c r="E7238" s="2" t="str">
        <f>"data Relatorio"</f>
        <v>data Relatorio</v>
      </c>
      <c r="F7238" s="2" t="str">
        <f>"USR_DATA_RELATORIO"</f>
        <v>USR_DATA_RELATORIO</v>
      </c>
      <c r="G7238" s="2" t="str">
        <f t="shared" si="596"/>
        <v xml:space="preserve"> ()</v>
      </c>
    </row>
    <row r="7239" spans="1:7" x14ac:dyDescent="0.3">
      <c r="A7239" s="1" t="s">
        <v>4</v>
      </c>
      <c r="B7239" s="2" t="str">
        <f t="shared" si="597"/>
        <v>SISTEMA GERADOR DE RELATÓRIOS</v>
      </c>
      <c r="C7239" s="2" t="str">
        <f t="shared" si="598"/>
        <v>SMA-REP</v>
      </c>
      <c r="D7239" s="2" t="str">
        <f t="shared" si="599"/>
        <v>MVREP</v>
      </c>
      <c r="E7239" s="2" t="str">
        <f>"Teste_macae3"</f>
        <v>Teste_macae3</v>
      </c>
      <c r="F7239" s="2" t="str">
        <f>"USR_TESTE_MACAE3"</f>
        <v>USR_TESTE_MACAE3</v>
      </c>
      <c r="G7239" s="2" t="str">
        <f t="shared" si="596"/>
        <v xml:space="preserve"> ()</v>
      </c>
    </row>
    <row r="7240" spans="1:7" x14ac:dyDescent="0.3">
      <c r="A7240" s="1" t="s">
        <v>4</v>
      </c>
      <c r="B7240" s="2" t="str">
        <f t="shared" si="597"/>
        <v>SISTEMA GERADOR DE RELATÓRIOS</v>
      </c>
      <c r="C7240" s="2" t="str">
        <f t="shared" si="598"/>
        <v>SMA-REP</v>
      </c>
      <c r="D7240" s="2" t="str">
        <f t="shared" si="599"/>
        <v>MVREP</v>
      </c>
      <c r="E7240" s="2" t="str">
        <f>"Teste_macae2"</f>
        <v>Teste_macae2</v>
      </c>
      <c r="F7240" s="2" t="str">
        <f>"USR_TESTE_MACAE2"</f>
        <v>USR_TESTE_MACAE2</v>
      </c>
      <c r="G7240" s="2" t="str">
        <f t="shared" si="596"/>
        <v xml:space="preserve"> ()</v>
      </c>
    </row>
    <row r="7241" spans="1:7" x14ac:dyDescent="0.3">
      <c r="A7241" s="1" t="s">
        <v>4</v>
      </c>
      <c r="B7241" s="2" t="str">
        <f t="shared" si="597"/>
        <v>SISTEMA GERADOR DE RELATÓRIOS</v>
      </c>
      <c r="C7241" s="2" t="str">
        <f t="shared" si="598"/>
        <v>SMA-REP</v>
      </c>
      <c r="D7241" s="2" t="str">
        <f t="shared" si="599"/>
        <v>MVREP</v>
      </c>
      <c r="E7241" s="2" t="str">
        <f>"Teste_Atend"</f>
        <v>Teste_Atend</v>
      </c>
      <c r="F7241" s="2" t="str">
        <f>"USR_TESTE_ATEND"</f>
        <v>USR_TESTE_ATEND</v>
      </c>
      <c r="G7241" s="2" t="str">
        <f t="shared" si="596"/>
        <v xml:space="preserve"> ()</v>
      </c>
    </row>
    <row r="7242" spans="1:7" x14ac:dyDescent="0.3">
      <c r="A7242" s="1" t="s">
        <v>4</v>
      </c>
      <c r="B7242" s="2" t="str">
        <f t="shared" si="597"/>
        <v>SISTEMA GERADOR DE RELATÓRIOS</v>
      </c>
      <c r="C7242" s="2" t="str">
        <f t="shared" si="598"/>
        <v>SMA-REP</v>
      </c>
      <c r="D7242" s="2" t="str">
        <f t="shared" si="599"/>
        <v>MVREP</v>
      </c>
      <c r="E7242" s="2" t="str">
        <f>"Teste_macae"</f>
        <v>Teste_macae</v>
      </c>
      <c r="F7242" s="2" t="str">
        <f>"USR_TESTE_MACAE"</f>
        <v>USR_TESTE_MACAE</v>
      </c>
      <c r="G7242" s="2" t="str">
        <f t="shared" si="596"/>
        <v xml:space="preserve"> ()</v>
      </c>
    </row>
    <row r="7243" spans="1:7" x14ac:dyDescent="0.3">
      <c r="A7243" s="1" t="s">
        <v>4</v>
      </c>
      <c r="B7243" s="2" t="str">
        <f t="shared" si="597"/>
        <v>SISTEMA GERADOR DE RELATÓRIOS</v>
      </c>
      <c r="C7243" s="2" t="str">
        <f t="shared" si="598"/>
        <v>SMA-REP</v>
      </c>
      <c r="D7243" s="2" t="str">
        <f t="shared" si="599"/>
        <v>MVREP</v>
      </c>
      <c r="E7243" s="2" t="str">
        <f>"Etiqueta_fera_20060217"</f>
        <v>Etiqueta_fera_20060217</v>
      </c>
      <c r="F7243" s="2" t="str">
        <f>"USR_ETIQUETA_FERA_20060217"</f>
        <v>USR_ETIQUETA_FERA_20060217</v>
      </c>
      <c r="G7243" s="2" t="str">
        <f t="shared" si="596"/>
        <v xml:space="preserve"> ()</v>
      </c>
    </row>
    <row r="7244" spans="1:7" x14ac:dyDescent="0.3">
      <c r="A7244" s="1" t="s">
        <v>4</v>
      </c>
      <c r="B7244" s="2" t="str">
        <f t="shared" si="597"/>
        <v>SISTEMA GERADOR DE RELATÓRIOS</v>
      </c>
      <c r="C7244" s="2" t="str">
        <f t="shared" si="598"/>
        <v>SMA-REP</v>
      </c>
      <c r="D7244" s="2" t="str">
        <f t="shared" si="599"/>
        <v>MVREP</v>
      </c>
      <c r="E7244" s="2" t="str">
        <f>"TesteKaito"</f>
        <v>TesteKaito</v>
      </c>
      <c r="F7244" s="2" t="str">
        <f>"USR_TESTEKAITO"</f>
        <v>USR_TESTEKAITO</v>
      </c>
      <c r="G7244" s="2" t="str">
        <f t="shared" si="596"/>
        <v xml:space="preserve"> ()</v>
      </c>
    </row>
    <row r="7245" spans="1:7" x14ac:dyDescent="0.3">
      <c r="A7245" s="1" t="s">
        <v>4</v>
      </c>
      <c r="B7245" s="2" t="str">
        <f t="shared" si="597"/>
        <v>SISTEMA GERADOR DE RELATÓRIOS</v>
      </c>
      <c r="C7245" s="2" t="str">
        <f t="shared" si="598"/>
        <v>SMA-REP</v>
      </c>
      <c r="D7245" s="2" t="str">
        <f t="shared" si="599"/>
        <v>MVREP</v>
      </c>
      <c r="E7245" s="2" t="str">
        <f>"relatorio urgenc evangelico"</f>
        <v>relatorio urgenc evangelico</v>
      </c>
      <c r="F7245" s="2" t="str">
        <f>"USR_RELATORIO_URGENC_EVANGELICO"</f>
        <v>USR_RELATORIO_URGENC_EVANGELICO</v>
      </c>
      <c r="G7245" s="2" t="str">
        <f t="shared" si="596"/>
        <v xml:space="preserve"> ()</v>
      </c>
    </row>
    <row r="7246" spans="1:7" x14ac:dyDescent="0.3">
      <c r="A7246" s="1" t="s">
        <v>4</v>
      </c>
      <c r="B7246" s="2" t="str">
        <f t="shared" si="597"/>
        <v>SISTEMA GERADOR DE RELATÓRIOS</v>
      </c>
      <c r="C7246" s="2" t="str">
        <f t="shared" si="598"/>
        <v>SMA-REP</v>
      </c>
      <c r="D7246" s="2" t="str">
        <f t="shared" si="599"/>
        <v>MVREP</v>
      </c>
      <c r="E7246" s="2" t="str">
        <f>"relatorio evangelico"</f>
        <v>relatorio evangelico</v>
      </c>
      <c r="F7246" s="2" t="str">
        <f>"USR_RELATORIO_EVANGELICO"</f>
        <v>USR_RELATORIO_EVANGELICO</v>
      </c>
      <c r="G7246" s="2" t="str">
        <f t="shared" si="596"/>
        <v xml:space="preserve"> ()</v>
      </c>
    </row>
    <row r="7247" spans="1:7" x14ac:dyDescent="0.3">
      <c r="A7247" s="1" t="s">
        <v>4</v>
      </c>
      <c r="B7247" s="2" t="str">
        <f t="shared" si="597"/>
        <v>SISTEMA GERADOR DE RELATÓRIOS</v>
      </c>
      <c r="C7247" s="2" t="str">
        <f t="shared" si="598"/>
        <v>SMA-REP</v>
      </c>
      <c r="D7247" s="2" t="str">
        <f t="shared" si="599"/>
        <v>MVREP</v>
      </c>
      <c r="E7247" s="2" t="str">
        <f>"TesteLucy2"</f>
        <v>TesteLucy2</v>
      </c>
      <c r="F7247" s="2" t="str">
        <f>"USR_TESTELUCY2"</f>
        <v>USR_TESTELUCY2</v>
      </c>
      <c r="G7247" s="2" t="str">
        <f t="shared" si="596"/>
        <v xml:space="preserve"> ()</v>
      </c>
    </row>
    <row r="7248" spans="1:7" x14ac:dyDescent="0.3">
      <c r="A7248" s="1" t="s">
        <v>4</v>
      </c>
      <c r="B7248" s="2" t="str">
        <f t="shared" si="597"/>
        <v>SISTEMA GERADOR DE RELATÓRIOS</v>
      </c>
      <c r="C7248" s="2" t="str">
        <f t="shared" si="598"/>
        <v>SMA-REP</v>
      </c>
      <c r="D7248" s="2" t="str">
        <f t="shared" si="599"/>
        <v>MVREP</v>
      </c>
      <c r="E7248" s="2" t="str">
        <f>"movimentacao_bancaria"</f>
        <v>movimentacao_bancaria</v>
      </c>
      <c r="F7248" s="2" t="str">
        <f>"USR_MOVIMENTACAO_BANCARIA"</f>
        <v>USR_MOVIMENTACAO_BANCARIA</v>
      </c>
      <c r="G7248" s="2" t="str">
        <f t="shared" si="596"/>
        <v xml:space="preserve"> ()</v>
      </c>
    </row>
    <row r="7249" spans="1:7" x14ac:dyDescent="0.3">
      <c r="A7249" s="1" t="s">
        <v>4</v>
      </c>
      <c r="B7249" s="2" t="str">
        <f t="shared" si="597"/>
        <v>SISTEMA GERADOR DE RELATÓRIOS</v>
      </c>
      <c r="C7249" s="2" t="str">
        <f t="shared" si="598"/>
        <v>SMA-REP</v>
      </c>
      <c r="D7249" s="2" t="str">
        <f t="shared" si="599"/>
        <v>MVREP</v>
      </c>
      <c r="E7249" s="2" t="str">
        <f>"teste evangelico 13022006 III"</f>
        <v>teste evangelico 13022006 III</v>
      </c>
      <c r="F7249" s="2" t="str">
        <f>"USR_TESTE_EVANGELICO_13022006_III"</f>
        <v>USR_TESTE_EVANGELICO_13022006_III</v>
      </c>
      <c r="G7249" s="2" t="str">
        <f t="shared" si="596"/>
        <v xml:space="preserve"> ()</v>
      </c>
    </row>
    <row r="7250" spans="1:7" x14ac:dyDescent="0.3">
      <c r="A7250" s="1" t="s">
        <v>4</v>
      </c>
      <c r="B7250" s="2" t="str">
        <f t="shared" si="597"/>
        <v>SISTEMA GERADOR DE RELATÓRIOS</v>
      </c>
      <c r="C7250" s="2" t="str">
        <f t="shared" si="598"/>
        <v>SMA-REP</v>
      </c>
      <c r="D7250" s="2" t="str">
        <f t="shared" si="599"/>
        <v>MVREP</v>
      </c>
      <c r="E7250" s="2" t="str">
        <f>"teste evangelico 13022006 II"</f>
        <v>teste evangelico 13022006 II</v>
      </c>
      <c r="F7250" s="2" t="str">
        <f>"USR_TESTE_EVANGELICO_13022006_II"</f>
        <v>USR_TESTE_EVANGELICO_13022006_II</v>
      </c>
      <c r="G7250" s="2" t="str">
        <f t="shared" si="596"/>
        <v xml:space="preserve"> ()</v>
      </c>
    </row>
    <row r="7251" spans="1:7" x14ac:dyDescent="0.3">
      <c r="A7251" s="1" t="s">
        <v>4</v>
      </c>
      <c r="B7251" s="2" t="str">
        <f t="shared" si="597"/>
        <v>SISTEMA GERADOR DE RELATÓRIOS</v>
      </c>
      <c r="C7251" s="2" t="str">
        <f t="shared" si="598"/>
        <v>SMA-REP</v>
      </c>
      <c r="D7251" s="2" t="str">
        <f t="shared" si="599"/>
        <v>MVREP</v>
      </c>
      <c r="E7251" s="2" t="str">
        <f>"relatorio teste lucy"</f>
        <v>relatorio teste lucy</v>
      </c>
      <c r="F7251" s="2" t="str">
        <f>"USR_RELATORIO_TESTE_LUCY"</f>
        <v>USR_RELATORIO_TESTE_LUCY</v>
      </c>
      <c r="G7251" s="2" t="str">
        <f t="shared" si="596"/>
        <v xml:space="preserve"> ()</v>
      </c>
    </row>
    <row r="7252" spans="1:7" x14ac:dyDescent="0.3">
      <c r="A7252" s="1" t="s">
        <v>4</v>
      </c>
      <c r="B7252" s="2" t="str">
        <f t="shared" si="597"/>
        <v>SISTEMA GERADOR DE RELATÓRIOS</v>
      </c>
      <c r="C7252" s="2" t="str">
        <f t="shared" si="598"/>
        <v>SMA-REP</v>
      </c>
      <c r="D7252" s="2" t="str">
        <f t="shared" si="599"/>
        <v>MVREP</v>
      </c>
      <c r="E7252" s="2" t="str">
        <f>"teste luciano evangelico -es"</f>
        <v>teste luciano evangelico -es</v>
      </c>
      <c r="F7252" s="2" t="str">
        <f>"USR_TESTE_LUCIANO_EVANGELICO_-ES"</f>
        <v>USR_TESTE_LUCIANO_EVANGELICO_-ES</v>
      </c>
      <c r="G7252" s="2" t="str">
        <f t="shared" si="596"/>
        <v xml:space="preserve"> ()</v>
      </c>
    </row>
    <row r="7253" spans="1:7" x14ac:dyDescent="0.3">
      <c r="A7253" s="1" t="s">
        <v>4</v>
      </c>
      <c r="B7253" s="2" t="str">
        <f t="shared" si="597"/>
        <v>SISTEMA GERADOR DE RELATÓRIOS</v>
      </c>
      <c r="C7253" s="2" t="str">
        <f t="shared" si="598"/>
        <v>SMA-REP</v>
      </c>
      <c r="D7253" s="2" t="str">
        <f t="shared" si="599"/>
        <v>MVREP</v>
      </c>
      <c r="E7253" s="2" t="str">
        <f>"Relatório_Modo_Texto_20060209"</f>
        <v>Relatório_Modo_Texto_20060209</v>
      </c>
      <c r="F7253" s="2" t="str">
        <f>"USR_RELATORIO_MODO_TEXTO_20060209"</f>
        <v>USR_RELATORIO_MODO_TEXTO_20060209</v>
      </c>
      <c r="G7253" s="2" t="str">
        <f t="shared" si="596"/>
        <v xml:space="preserve"> ()</v>
      </c>
    </row>
    <row r="7254" spans="1:7" x14ac:dyDescent="0.3">
      <c r="A7254" s="1" t="s">
        <v>4</v>
      </c>
      <c r="B7254" s="2" t="str">
        <f t="shared" si="597"/>
        <v>SISTEMA GERADOR DE RELATÓRIOS</v>
      </c>
      <c r="C7254" s="2" t="str">
        <f t="shared" si="598"/>
        <v>SMA-REP</v>
      </c>
      <c r="D7254" s="2" t="str">
        <f t="shared" si="599"/>
        <v>MVREP</v>
      </c>
      <c r="E7254" s="2" t="str">
        <f>"TesteLucy"</f>
        <v>TesteLucy</v>
      </c>
      <c r="F7254" s="2" t="str">
        <f>"USR_TESTELUCY"</f>
        <v>USR_TESTELUCY</v>
      </c>
      <c r="G7254" s="2" t="str">
        <f t="shared" si="596"/>
        <v xml:space="preserve"> ()</v>
      </c>
    </row>
    <row r="7255" spans="1:7" x14ac:dyDescent="0.3">
      <c r="A7255" s="1" t="s">
        <v>4</v>
      </c>
      <c r="B7255" s="2" t="str">
        <f t="shared" si="597"/>
        <v>SISTEMA GERADOR DE RELATÓRIOS</v>
      </c>
      <c r="C7255" s="2" t="str">
        <f t="shared" si="598"/>
        <v>SMA-REP</v>
      </c>
      <c r="D7255" s="2" t="str">
        <f t="shared" si="599"/>
        <v>MVREP</v>
      </c>
      <c r="E7255" s="2" t="str">
        <f>"passagem-plantao"</f>
        <v>passagem-plantao</v>
      </c>
      <c r="F7255" s="2" t="str">
        <f>"USR_PASSAGEM-PLANTAO"</f>
        <v>USR_PASSAGEM-PLANTAO</v>
      </c>
      <c r="G7255" s="2" t="str">
        <f t="shared" si="596"/>
        <v xml:space="preserve"> ()</v>
      </c>
    </row>
    <row r="7256" spans="1:7" x14ac:dyDescent="0.3">
      <c r="A7256" s="1" t="s">
        <v>4</v>
      </c>
      <c r="B7256" s="2" t="str">
        <f t="shared" si="597"/>
        <v>SISTEMA GERADOR DE RELATÓRIOS</v>
      </c>
      <c r="C7256" s="2" t="str">
        <f t="shared" si="598"/>
        <v>SMA-REP</v>
      </c>
      <c r="D7256" s="2" t="str">
        <f t="shared" si="599"/>
        <v>MVREP</v>
      </c>
      <c r="E7256" s="2" t="str">
        <f>"Teste_1"</f>
        <v>Teste_1</v>
      </c>
      <c r="F7256" s="2" t="str">
        <f>"USR_TESTE_1"</f>
        <v>USR_TESTE_1</v>
      </c>
      <c r="G7256" s="2" t="str">
        <f t="shared" si="596"/>
        <v xml:space="preserve"> ()</v>
      </c>
    </row>
    <row r="7257" spans="1:7" x14ac:dyDescent="0.3">
      <c r="A7257" s="1" t="s">
        <v>4</v>
      </c>
      <c r="B7257" s="2" t="str">
        <f t="shared" si="597"/>
        <v>SISTEMA GERADOR DE RELATÓRIOS</v>
      </c>
      <c r="C7257" s="2" t="str">
        <f t="shared" si="598"/>
        <v>SMA-REP</v>
      </c>
      <c r="D7257" s="2" t="str">
        <f t="shared" si="599"/>
        <v>MVREP</v>
      </c>
      <c r="E7257" s="2" t="str">
        <f>"Rel_Monte"</f>
        <v>Rel_Monte</v>
      </c>
      <c r="F7257" s="2" t="str">
        <f>"USR_REL_MONTE"</f>
        <v>USR_REL_MONTE</v>
      </c>
      <c r="G7257" s="2" t="str">
        <f t="shared" si="596"/>
        <v xml:space="preserve"> ()</v>
      </c>
    </row>
    <row r="7258" spans="1:7" x14ac:dyDescent="0.3">
      <c r="A7258" s="1" t="s">
        <v>4</v>
      </c>
      <c r="B7258" s="2" t="str">
        <f t="shared" si="597"/>
        <v>SISTEMA GERADOR DE RELATÓRIOS</v>
      </c>
      <c r="C7258" s="2" t="str">
        <f t="shared" si="598"/>
        <v>SMA-REP</v>
      </c>
      <c r="D7258" s="2" t="str">
        <f t="shared" si="599"/>
        <v>MVREP</v>
      </c>
      <c r="E7258" s="2" t="str">
        <f>"SaldoAcumulado"</f>
        <v>SaldoAcumulado</v>
      </c>
      <c r="F7258" s="2" t="str">
        <f>"USR_SALDOACUMULADO"</f>
        <v>USR_SALDOACUMULADO</v>
      </c>
      <c r="G7258" s="2" t="str">
        <f t="shared" si="596"/>
        <v xml:space="preserve"> ()</v>
      </c>
    </row>
    <row r="7259" spans="1:7" x14ac:dyDescent="0.3">
      <c r="A7259" s="1" t="s">
        <v>4</v>
      </c>
      <c r="B7259" s="2" t="str">
        <f t="shared" si="597"/>
        <v>SISTEMA GERADOR DE RELATÓRIOS</v>
      </c>
      <c r="C7259" s="2" t="str">
        <f t="shared" si="598"/>
        <v>SMA-REP</v>
      </c>
      <c r="D7259" s="2" t="str">
        <f t="shared" si="599"/>
        <v>MVREP</v>
      </c>
      <c r="E7259" s="2" t="str">
        <f>"Saldo_Fin"</f>
        <v>Saldo_Fin</v>
      </c>
      <c r="F7259" s="2" t="str">
        <f>"USR_SALDO_FIN"</f>
        <v>USR_SALDO_FIN</v>
      </c>
      <c r="G7259" s="2" t="str">
        <f t="shared" si="596"/>
        <v xml:space="preserve"> ()</v>
      </c>
    </row>
    <row r="7260" spans="1:7" x14ac:dyDescent="0.3">
      <c r="A7260" s="1" t="s">
        <v>4</v>
      </c>
      <c r="B7260" s="2" t="str">
        <f t="shared" si="597"/>
        <v>SISTEMA GERADOR DE RELATÓRIOS</v>
      </c>
      <c r="C7260" s="2" t="str">
        <f t="shared" si="598"/>
        <v>SMA-REP</v>
      </c>
      <c r="D7260" s="2" t="str">
        <f t="shared" si="599"/>
        <v>MVREP</v>
      </c>
      <c r="E7260" s="2" t="str">
        <f>"Repasse de Prestadores"</f>
        <v>Repasse de Prestadores</v>
      </c>
      <c r="F7260" s="2" t="str">
        <f>"USR_REPASSE_DE_PRESTADORES"</f>
        <v>USR_REPASSE_DE_PRESTADORES</v>
      </c>
      <c r="G7260" s="2" t="str">
        <f t="shared" si="596"/>
        <v xml:space="preserve"> ()</v>
      </c>
    </row>
    <row r="7261" spans="1:7" x14ac:dyDescent="0.3">
      <c r="A7261" s="1" t="s">
        <v>4</v>
      </c>
      <c r="B7261" s="2" t="str">
        <f t="shared" si="597"/>
        <v>SISTEMA GERADOR DE RELATÓRIOS</v>
      </c>
      <c r="C7261" s="2" t="str">
        <f t="shared" si="598"/>
        <v>SMA-REP</v>
      </c>
      <c r="D7261" s="2" t="str">
        <f t="shared" si="599"/>
        <v>MVREP</v>
      </c>
      <c r="E7261" s="2" t="str">
        <f>"Eti_Exam"</f>
        <v>Eti_Exam</v>
      </c>
      <c r="F7261" s="2" t="str">
        <f>"USR_ETI_EXAM"</f>
        <v>USR_ETI_EXAM</v>
      </c>
      <c r="G7261" s="2" t="str">
        <f t="shared" si="596"/>
        <v xml:space="preserve"> ()</v>
      </c>
    </row>
    <row r="7262" spans="1:7" x14ac:dyDescent="0.3">
      <c r="A7262" s="1" t="s">
        <v>4</v>
      </c>
      <c r="B7262" s="2" t="str">
        <f t="shared" si="597"/>
        <v>SISTEMA GERADOR DE RELATÓRIOS</v>
      </c>
      <c r="C7262" s="2" t="str">
        <f t="shared" si="598"/>
        <v>SMA-REP</v>
      </c>
      <c r="D7262" s="2" t="str">
        <f t="shared" si="599"/>
        <v>MVREP</v>
      </c>
      <c r="E7262" s="2" t="str">
        <f>"Varios_exames"</f>
        <v>Varios_exames</v>
      </c>
      <c r="F7262" s="2" t="str">
        <f>"USR_VARIOS_EXAMES"</f>
        <v>USR_VARIOS_EXAMES</v>
      </c>
      <c r="G7262" s="2" t="str">
        <f t="shared" si="596"/>
        <v xml:space="preserve"> ()</v>
      </c>
    </row>
    <row r="7263" spans="1:7" x14ac:dyDescent="0.3">
      <c r="A7263" s="1" t="s">
        <v>4</v>
      </c>
      <c r="B7263" s="2" t="str">
        <f t="shared" si="597"/>
        <v>SISTEMA GERADOR DE RELATÓRIOS</v>
      </c>
      <c r="C7263" s="2" t="str">
        <f t="shared" si="598"/>
        <v>SMA-REP</v>
      </c>
      <c r="D7263" s="2" t="str">
        <f t="shared" si="599"/>
        <v>MVREP</v>
      </c>
      <c r="E7263" s="2" t="str">
        <f>"FinaceiroSaldoAnterior"</f>
        <v>FinaceiroSaldoAnterior</v>
      </c>
      <c r="F7263" s="2" t="str">
        <f>"USR_FINACEIROSALDOANTERIOR"</f>
        <v>USR_FINACEIROSALDOANTERIOR</v>
      </c>
      <c r="G7263" s="2" t="str">
        <f t="shared" si="596"/>
        <v xml:space="preserve"> ()</v>
      </c>
    </row>
    <row r="7264" spans="1:7" x14ac:dyDescent="0.3">
      <c r="A7264" s="1" t="s">
        <v>4</v>
      </c>
      <c r="B7264" s="2" t="str">
        <f t="shared" si="597"/>
        <v>SISTEMA GERADOR DE RELATÓRIOS</v>
      </c>
      <c r="C7264" s="2" t="str">
        <f t="shared" si="598"/>
        <v>SMA-REP</v>
      </c>
      <c r="D7264" s="2" t="str">
        <f t="shared" si="599"/>
        <v>MVREP</v>
      </c>
      <c r="E7264" s="2" t="str">
        <f>"REALTORIO TESTE"</f>
        <v>REALTORIO TESTE</v>
      </c>
      <c r="F7264" s="2" t="str">
        <f>"USR_REALTORIO_TESTE"</f>
        <v>USR_REALTORIO_TESTE</v>
      </c>
      <c r="G7264" s="2" t="str">
        <f t="shared" si="596"/>
        <v xml:space="preserve"> ()</v>
      </c>
    </row>
    <row r="7265" spans="1:7" x14ac:dyDescent="0.3">
      <c r="A7265" s="1" t="s">
        <v>4</v>
      </c>
      <c r="B7265" s="2" t="str">
        <f t="shared" si="597"/>
        <v>SISTEMA GERADOR DE RELATÓRIOS</v>
      </c>
      <c r="C7265" s="2" t="str">
        <f t="shared" si="598"/>
        <v>SMA-REP</v>
      </c>
      <c r="D7265" s="2" t="str">
        <f t="shared" si="599"/>
        <v>MVREP</v>
      </c>
      <c r="E7265" s="2" t="str">
        <f>"OC_20060127_nossa_base"</f>
        <v>OC_20060127_nossa_base</v>
      </c>
      <c r="F7265" s="2" t="str">
        <f>"USR_OC_20060127_NOSSA_BASE"</f>
        <v>USR_OC_20060127_NOSSA_BASE</v>
      </c>
      <c r="G7265" s="2" t="str">
        <f t="shared" si="596"/>
        <v xml:space="preserve"> ()</v>
      </c>
    </row>
    <row r="7266" spans="1:7" x14ac:dyDescent="0.3">
      <c r="A7266" s="1" t="s">
        <v>4</v>
      </c>
      <c r="B7266" s="2" t="str">
        <f t="shared" si="597"/>
        <v>SISTEMA GERADOR DE RELATÓRIOS</v>
      </c>
      <c r="C7266" s="2" t="str">
        <f t="shared" si="598"/>
        <v>SMA-REP</v>
      </c>
      <c r="D7266" s="2" t="str">
        <f t="shared" si="599"/>
        <v>MVREP</v>
      </c>
      <c r="E7266" s="2" t="str">
        <f>"relatorio mapa cirurgico"</f>
        <v>relatorio mapa cirurgico</v>
      </c>
      <c r="F7266" s="2" t="str">
        <f>"USR_RELATORIO_MAPA_CIRURGICO"</f>
        <v>USR_RELATORIO_MAPA_CIRURGICO</v>
      </c>
      <c r="G7266" s="2" t="str">
        <f t="shared" si="596"/>
        <v xml:space="preserve"> ()</v>
      </c>
    </row>
    <row r="7267" spans="1:7" x14ac:dyDescent="0.3">
      <c r="A7267" s="1" t="s">
        <v>4</v>
      </c>
      <c r="B7267" s="2" t="str">
        <f t="shared" si="597"/>
        <v>SISTEMA GERADOR DE RELATÓRIOS</v>
      </c>
      <c r="C7267" s="2" t="str">
        <f t="shared" si="598"/>
        <v>SMA-REP</v>
      </c>
      <c r="D7267" s="2" t="str">
        <f t="shared" si="599"/>
        <v>MVREP</v>
      </c>
      <c r="E7267" s="2" t="str">
        <f>"etiqueta pssd"</f>
        <v>etiqueta pssd</v>
      </c>
      <c r="F7267" s="2" t="str">
        <f>"USR_ETIQUETA_PSSD"</f>
        <v>USR_ETIQUETA_PSSD</v>
      </c>
      <c r="G7267" s="2" t="str">
        <f t="shared" si="596"/>
        <v xml:space="preserve"> ()</v>
      </c>
    </row>
    <row r="7268" spans="1:7" x14ac:dyDescent="0.3">
      <c r="A7268" s="1" t="s">
        <v>4</v>
      </c>
      <c r="B7268" s="2" t="str">
        <f t="shared" si="597"/>
        <v>SISTEMA GERADOR DE RELATÓRIOS</v>
      </c>
      <c r="C7268" s="2" t="str">
        <f t="shared" si="598"/>
        <v>SMA-REP</v>
      </c>
      <c r="D7268" s="2" t="str">
        <f t="shared" si="599"/>
        <v>MVREP</v>
      </c>
      <c r="E7268" s="2" t="str">
        <f>"etiqueta SAME"</f>
        <v>etiqueta SAME</v>
      </c>
      <c r="F7268" s="2" t="str">
        <f>"USR_ETIQUETA_SAME"</f>
        <v>USR_ETIQUETA_SAME</v>
      </c>
      <c r="G7268" s="2" t="str">
        <f t="shared" si="596"/>
        <v xml:space="preserve"> ()</v>
      </c>
    </row>
    <row r="7269" spans="1:7" x14ac:dyDescent="0.3">
      <c r="A7269" s="1" t="s">
        <v>4</v>
      </c>
      <c r="B7269" s="2" t="str">
        <f t="shared" si="597"/>
        <v>SISTEMA GERADOR DE RELATÓRIOS</v>
      </c>
      <c r="C7269" s="2" t="str">
        <f t="shared" si="598"/>
        <v>SMA-REP</v>
      </c>
      <c r="D7269" s="2" t="str">
        <f t="shared" si="599"/>
        <v>MVREP</v>
      </c>
      <c r="E7269" s="2" t="str">
        <f>"teste pda 138014"</f>
        <v>teste pda 138014</v>
      </c>
      <c r="F7269" s="2" t="str">
        <f>"USR_TESTE_PDA_138014"</f>
        <v>USR_TESTE_PDA_138014</v>
      </c>
      <c r="G7269" s="2" t="str">
        <f t="shared" si="596"/>
        <v xml:space="preserve"> ()</v>
      </c>
    </row>
    <row r="7270" spans="1:7" x14ac:dyDescent="0.3">
      <c r="A7270" s="1" t="s">
        <v>4</v>
      </c>
      <c r="B7270" s="2" t="str">
        <f t="shared" si="597"/>
        <v>SISTEMA GERADOR DE RELATÓRIOS</v>
      </c>
      <c r="C7270" s="2" t="str">
        <f t="shared" si="598"/>
        <v>SMA-REP</v>
      </c>
      <c r="D7270" s="2" t="str">
        <f t="shared" si="599"/>
        <v>MVREP</v>
      </c>
      <c r="E7270" s="2" t="str">
        <f>"teste 2401"</f>
        <v>teste 2401</v>
      </c>
      <c r="F7270" s="2" t="str">
        <f>"USR_TESTE_2401"</f>
        <v>USR_TESTE_2401</v>
      </c>
      <c r="G7270" s="2" t="str">
        <f t="shared" si="596"/>
        <v xml:space="preserve"> ()</v>
      </c>
    </row>
    <row r="7271" spans="1:7" x14ac:dyDescent="0.3">
      <c r="A7271" s="1" t="s">
        <v>4</v>
      </c>
      <c r="B7271" s="2" t="str">
        <f t="shared" si="597"/>
        <v>SISTEMA GERADOR DE RELATÓRIOS</v>
      </c>
      <c r="C7271" s="2" t="str">
        <f t="shared" si="598"/>
        <v>SMA-REP</v>
      </c>
      <c r="D7271" s="2" t="str">
        <f t="shared" si="599"/>
        <v>MVREP</v>
      </c>
      <c r="E7271" s="2" t="str">
        <f>"nome_maiornovof"</f>
        <v>nome_maiornovof</v>
      </c>
      <c r="F7271" s="2" t="str">
        <f>"USR_NOME"</f>
        <v>USR_NOME</v>
      </c>
      <c r="G7271" s="2" t="str">
        <f t="shared" si="596"/>
        <v xml:space="preserve"> ()</v>
      </c>
    </row>
    <row r="7272" spans="1:7" x14ac:dyDescent="0.3">
      <c r="A7272" s="1" t="s">
        <v>4</v>
      </c>
      <c r="B7272" s="2" t="str">
        <f t="shared" si="597"/>
        <v>SISTEMA GERADOR DE RELATÓRIOS</v>
      </c>
      <c r="C7272" s="2" t="str">
        <f t="shared" si="598"/>
        <v>SMA-REP</v>
      </c>
      <c r="D7272" s="2" t="str">
        <f t="shared" si="599"/>
        <v>MVREP</v>
      </c>
      <c r="E7272" s="2" t="str">
        <f>"teste botao cadastrar paciente"</f>
        <v>teste botao cadastrar paciente</v>
      </c>
      <c r="F7272" s="2" t="str">
        <f>"USR_TESTE_BOTAO_CADASTRAR_PACIENTE"</f>
        <v>USR_TESTE_BOTAO_CADASTRAR_PACIENTE</v>
      </c>
      <c r="G7272" s="2" t="str">
        <f t="shared" si="596"/>
        <v xml:space="preserve"> ()</v>
      </c>
    </row>
    <row r="7273" spans="1:7" x14ac:dyDescent="0.3">
      <c r="A7273" s="1" t="s">
        <v>4</v>
      </c>
      <c r="B7273" s="2" t="str">
        <f t="shared" si="597"/>
        <v>SISTEMA GERADOR DE RELATÓRIOS</v>
      </c>
      <c r="C7273" s="2" t="str">
        <f t="shared" si="598"/>
        <v>SMA-REP</v>
      </c>
      <c r="D7273" s="2" t="str">
        <f t="shared" si="599"/>
        <v>MVREP</v>
      </c>
      <c r="E7273" s="2" t="str">
        <f>"Cadastro Paciente"</f>
        <v>Cadastro Paciente</v>
      </c>
      <c r="F7273" s="2" t="str">
        <f>"USR_CADASTRO_PACIENTE"</f>
        <v>USR_CADASTRO_PACIENTE</v>
      </c>
      <c r="G7273" s="2" t="str">
        <f t="shared" si="596"/>
        <v xml:space="preserve"> ()</v>
      </c>
    </row>
    <row r="7274" spans="1:7" x14ac:dyDescent="0.3">
      <c r="A7274" s="1" t="s">
        <v>4</v>
      </c>
      <c r="B7274" s="2" t="str">
        <f t="shared" si="597"/>
        <v>SISTEMA GERADOR DE RELATÓRIOS</v>
      </c>
      <c r="C7274" s="2" t="str">
        <f t="shared" si="598"/>
        <v>SMA-REP</v>
      </c>
      <c r="D7274" s="2" t="str">
        <f t="shared" si="599"/>
        <v>MVREP</v>
      </c>
      <c r="E7274" s="2" t="str">
        <f>"Cracha Colaborador Sem Foto-BACKUP"</f>
        <v>Cracha Colaborador Sem Foto-BACKUP</v>
      </c>
      <c r="F7274" s="2" t="str">
        <f>"USR_CRACHA_COLABORADOR_SEM_FOTO-BAC"</f>
        <v>USR_CRACHA_COLABORADOR_SEM_FOTO-BAC</v>
      </c>
      <c r="G7274" s="2" t="str">
        <f t="shared" si="596"/>
        <v xml:space="preserve"> ()</v>
      </c>
    </row>
    <row r="7275" spans="1:7" x14ac:dyDescent="0.3">
      <c r="A7275" s="1" t="s">
        <v>4</v>
      </c>
      <c r="B7275" s="2" t="str">
        <f t="shared" si="597"/>
        <v>SISTEMA GERADOR DE RELATÓRIOS</v>
      </c>
      <c r="C7275" s="2" t="str">
        <f t="shared" si="598"/>
        <v>SMA-REP</v>
      </c>
      <c r="D7275" s="2" t="str">
        <f t="shared" si="599"/>
        <v>MVREP</v>
      </c>
      <c r="E7275" s="2" t="str">
        <f>"Cracha Colaborador Com Foto-BACKUP"</f>
        <v>Cracha Colaborador Com Foto-BACKUP</v>
      </c>
      <c r="F7275" s="2" t="str">
        <f>"USR_CRACHA_COLABORADOR_COM_FOTO-BAC"</f>
        <v>USR_CRACHA_COLABORADOR_COM_FOTO-BAC</v>
      </c>
      <c r="G7275" s="2" t="str">
        <f t="shared" si="596"/>
        <v xml:space="preserve"> ()</v>
      </c>
    </row>
    <row r="7276" spans="1:7" x14ac:dyDescent="0.3">
      <c r="A7276" s="1" t="s">
        <v>4</v>
      </c>
      <c r="B7276" s="2" t="str">
        <f t="shared" si="597"/>
        <v>SISTEMA GERADOR DE RELATÓRIOS</v>
      </c>
      <c r="C7276" s="2" t="str">
        <f t="shared" si="598"/>
        <v>SMA-REP</v>
      </c>
      <c r="D7276" s="2" t="str">
        <f t="shared" si="599"/>
        <v>MVREP</v>
      </c>
      <c r="E7276" s="2" t="str">
        <f>"Total Entradas Periodo Col-BACKUP"</f>
        <v>Total Entradas Periodo Col-BACKUP</v>
      </c>
      <c r="F7276" s="2" t="str">
        <f>"USR_TOTAL_ENTRADAS_PERIODO_COL-BACK"</f>
        <v>USR_TOTAL_ENTRADAS_PERIODO_COL-BACK</v>
      </c>
      <c r="G7276" s="2" t="str">
        <f t="shared" si="596"/>
        <v xml:space="preserve"> ()</v>
      </c>
    </row>
    <row r="7277" spans="1:7" x14ac:dyDescent="0.3">
      <c r="A7277" s="1" t="s">
        <v>4</v>
      </c>
      <c r="B7277" s="2" t="str">
        <f t="shared" si="597"/>
        <v>SISTEMA GERADOR DE RELATÓRIOS</v>
      </c>
      <c r="C7277" s="2" t="str">
        <f t="shared" si="598"/>
        <v>SMA-REP</v>
      </c>
      <c r="D7277" s="2" t="str">
        <f t="shared" si="599"/>
        <v>MVREP</v>
      </c>
      <c r="E7277" s="2" t="str">
        <f>"teste teste teste teste"</f>
        <v>teste teste teste teste</v>
      </c>
      <c r="F7277" s="2" t="str">
        <f>"USR_TESTE_IRMA_DULCE_2"</f>
        <v>USR_TESTE_IRMA_DULCE_2</v>
      </c>
      <c r="G7277" s="2" t="str">
        <f t="shared" si="596"/>
        <v xml:space="preserve"> ()</v>
      </c>
    </row>
    <row r="7278" spans="1:7" x14ac:dyDescent="0.3">
      <c r="A7278" s="1" t="s">
        <v>4</v>
      </c>
      <c r="B7278" s="2" t="str">
        <f t="shared" si="597"/>
        <v>SISTEMA GERADOR DE RELATÓRIOS</v>
      </c>
      <c r="C7278" s="2" t="str">
        <f t="shared" si="598"/>
        <v>SMA-REP</v>
      </c>
      <c r="D7278" s="2" t="str">
        <f t="shared" si="599"/>
        <v>MVREP</v>
      </c>
      <c r="E7278" s="2" t="str">
        <f>"teste irma dulce 18012006"</f>
        <v>teste irma dulce 18012006</v>
      </c>
      <c r="F7278" s="2" t="str">
        <f>"USR_TESTE_IRMA_DULCE_18012006"</f>
        <v>USR_TESTE_IRMA_DULCE_18012006</v>
      </c>
      <c r="G7278" s="2" t="str">
        <f t="shared" si="596"/>
        <v xml:space="preserve"> ()</v>
      </c>
    </row>
    <row r="7279" spans="1:7" x14ac:dyDescent="0.3">
      <c r="A7279" s="1" t="s">
        <v>4</v>
      </c>
      <c r="B7279" s="2" t="str">
        <f t="shared" si="597"/>
        <v>SISTEMA GERADOR DE RELATÓRIOS</v>
      </c>
      <c r="C7279" s="2" t="str">
        <f t="shared" si="598"/>
        <v>SMA-REP</v>
      </c>
      <c r="D7279" s="2" t="str">
        <f t="shared" si="599"/>
        <v>MVREP</v>
      </c>
      <c r="E7279" s="2" t="str">
        <f>"teste campo grande"</f>
        <v>teste campo grande</v>
      </c>
      <c r="F7279" s="2" t="str">
        <f>"USR_TESTE_CAMPO_GRANDE"</f>
        <v>USR_TESTE_CAMPO_GRANDE</v>
      </c>
      <c r="G7279" s="2" t="str">
        <f t="shared" si="596"/>
        <v xml:space="preserve"> ()</v>
      </c>
    </row>
    <row r="7280" spans="1:7" x14ac:dyDescent="0.3">
      <c r="A7280" s="1" t="s">
        <v>4</v>
      </c>
      <c r="B7280" s="2" t="str">
        <f t="shared" si="597"/>
        <v>SISTEMA GERADOR DE RELATÓRIOS</v>
      </c>
      <c r="C7280" s="2" t="str">
        <f t="shared" si="598"/>
        <v>SMA-REP</v>
      </c>
      <c r="D7280" s="2" t="str">
        <f t="shared" si="599"/>
        <v>MVREP</v>
      </c>
      <c r="E7280" s="2" t="str">
        <f>"teste jaragua 06012006"</f>
        <v>teste jaragua 06012006</v>
      </c>
      <c r="F7280" s="2" t="str">
        <f>"USR_TESTE_JARAGUA_06012006"</f>
        <v>USR_TESTE_JARAGUA_06012006</v>
      </c>
      <c r="G7280" s="2" t="str">
        <f t="shared" si="596"/>
        <v xml:space="preserve"> ()</v>
      </c>
    </row>
    <row r="7281" spans="1:7" x14ac:dyDescent="0.3">
      <c r="A7281" s="1" t="s">
        <v>4</v>
      </c>
      <c r="B7281" s="2" t="str">
        <f t="shared" si="597"/>
        <v>SISTEMA GERADOR DE RELATÓRIOS</v>
      </c>
      <c r="C7281" s="2" t="str">
        <f t="shared" si="598"/>
        <v>SMA-REP</v>
      </c>
      <c r="D7281" s="2" t="str">
        <f t="shared" si="599"/>
        <v>MVREP</v>
      </c>
      <c r="E7281" s="2" t="str">
        <f>"Treinamento_20060105"</f>
        <v>Treinamento_20060105</v>
      </c>
      <c r="F7281" s="2" t="str">
        <f>"USR_TREINAMENTO_20060105"</f>
        <v>USR_TREINAMENTO_20060105</v>
      </c>
      <c r="G7281" s="2" t="str">
        <f t="shared" si="596"/>
        <v xml:space="preserve"> ()</v>
      </c>
    </row>
    <row r="7282" spans="1:7" x14ac:dyDescent="0.3">
      <c r="A7282" s="1" t="s">
        <v>4</v>
      </c>
      <c r="B7282" s="2" t="str">
        <f t="shared" si="597"/>
        <v>SISTEMA GERADOR DE RELATÓRIOS</v>
      </c>
      <c r="C7282" s="2" t="str">
        <f t="shared" si="598"/>
        <v>SMA-REP</v>
      </c>
      <c r="D7282" s="2" t="str">
        <f t="shared" si="599"/>
        <v>MVREP</v>
      </c>
      <c r="E7282" s="2" t="str">
        <f>"Treinamento_20060104"</f>
        <v>Treinamento_20060104</v>
      </c>
      <c r="F7282" s="2" t="str">
        <f>"USR_TREINAMENTO_20060104"</f>
        <v>USR_TREINAMENTO_20060104</v>
      </c>
      <c r="G7282" s="2" t="str">
        <f t="shared" si="596"/>
        <v xml:space="preserve"> ()</v>
      </c>
    </row>
    <row r="7283" spans="1:7" x14ac:dyDescent="0.3">
      <c r="A7283" s="1" t="s">
        <v>4</v>
      </c>
      <c r="B7283" s="2" t="str">
        <f t="shared" si="597"/>
        <v>SISTEMA GERADOR DE RELATÓRIOS</v>
      </c>
      <c r="C7283" s="2" t="str">
        <f t="shared" si="598"/>
        <v>SMA-REP</v>
      </c>
      <c r="D7283" s="2" t="str">
        <f t="shared" si="599"/>
        <v>MVREP</v>
      </c>
      <c r="E7283" s="2" t="str">
        <f>"Relatorio Pacientes"</f>
        <v>Relatorio Pacientes</v>
      </c>
      <c r="F7283" s="2" t="str">
        <f>"USR_RELATORIO_PACIENTES"</f>
        <v>USR_RELATORIO_PACIENTES</v>
      </c>
      <c r="G7283" s="2" t="str">
        <f t="shared" si="596"/>
        <v xml:space="preserve"> ()</v>
      </c>
    </row>
    <row r="7284" spans="1:7" x14ac:dyDescent="0.3">
      <c r="A7284" s="1" t="s">
        <v>4</v>
      </c>
      <c r="B7284" s="2" t="str">
        <f t="shared" si="597"/>
        <v>SISTEMA GERADOR DE RELATÓRIOS</v>
      </c>
      <c r="C7284" s="2" t="str">
        <f t="shared" si="598"/>
        <v>SMA-REP</v>
      </c>
      <c r="D7284" s="2" t="str">
        <f t="shared" si="599"/>
        <v>MVREP</v>
      </c>
      <c r="E7284" s="2" t="str">
        <f>"Relatorio de Pacientes"</f>
        <v>Relatorio de Pacientes</v>
      </c>
      <c r="F7284" s="2" t="str">
        <f>"USR_RELATORIO_DE_PACIENTES"</f>
        <v>USR_RELATORIO_DE_PACIENTES</v>
      </c>
      <c r="G7284" s="2" t="str">
        <f t="shared" si="596"/>
        <v xml:space="preserve"> ()</v>
      </c>
    </row>
    <row r="7285" spans="1:7" x14ac:dyDescent="0.3">
      <c r="A7285" s="1" t="s">
        <v>4</v>
      </c>
      <c r="B7285" s="2" t="str">
        <f t="shared" si="597"/>
        <v>SISTEMA GERADOR DE RELATÓRIOS</v>
      </c>
      <c r="C7285" s="2" t="str">
        <f t="shared" si="598"/>
        <v>SMA-REP</v>
      </c>
      <c r="D7285" s="2" t="str">
        <f t="shared" si="599"/>
        <v>MVREP</v>
      </c>
      <c r="E7285" s="2" t="str">
        <f>"Rel_Caito"</f>
        <v>Rel_Caito</v>
      </c>
      <c r="F7285" s="2" t="str">
        <f>"USR_REL_CAITO"</f>
        <v>USR_REL_CAITO</v>
      </c>
      <c r="G7285" s="2" t="str">
        <f t="shared" si="596"/>
        <v xml:space="preserve"> ()</v>
      </c>
    </row>
    <row r="7286" spans="1:7" x14ac:dyDescent="0.3">
      <c r="A7286" s="1" t="s">
        <v>4</v>
      </c>
      <c r="B7286" s="2" t="str">
        <f t="shared" si="597"/>
        <v>SISTEMA GERADOR DE RELATÓRIOS</v>
      </c>
      <c r="C7286" s="2" t="str">
        <f t="shared" si="598"/>
        <v>SMA-REP</v>
      </c>
      <c r="D7286" s="2" t="str">
        <f t="shared" si="599"/>
        <v>MVREP</v>
      </c>
      <c r="E7286" s="2" t="str">
        <f>"Teste Receita por Tabela Fat 3"</f>
        <v>Teste Receita por Tabela Fat 3</v>
      </c>
      <c r="F7286" s="2" t="str">
        <f>"USR_TESTE_RECEITA_POR_TABELA_FAT_3"</f>
        <v>USR_TESTE_RECEITA_POR_TABELA_FAT_3</v>
      </c>
      <c r="G7286" s="2" t="str">
        <f t="shared" si="596"/>
        <v xml:space="preserve"> ()</v>
      </c>
    </row>
    <row r="7287" spans="1:7" x14ac:dyDescent="0.3">
      <c r="A7287" s="1" t="s">
        <v>4</v>
      </c>
      <c r="B7287" s="2" t="str">
        <f t="shared" si="597"/>
        <v>SISTEMA GERADOR DE RELATÓRIOS</v>
      </c>
      <c r="C7287" s="2" t="str">
        <f t="shared" si="598"/>
        <v>SMA-REP</v>
      </c>
      <c r="D7287" s="2" t="str">
        <f t="shared" si="599"/>
        <v>MVREP</v>
      </c>
      <c r="E7287" s="2" t="str">
        <f>"TESTE FLEURY 2"</f>
        <v>TESTE FLEURY 2</v>
      </c>
      <c r="F7287" s="2" t="str">
        <f>"USR_TESTE_FLEURY_2"</f>
        <v>USR_TESTE_FLEURY_2</v>
      </c>
      <c r="G7287" s="2" t="str">
        <f t="shared" si="596"/>
        <v xml:space="preserve"> ()</v>
      </c>
    </row>
    <row r="7288" spans="1:7" x14ac:dyDescent="0.3">
      <c r="A7288" s="1" t="s">
        <v>4</v>
      </c>
      <c r="B7288" s="2" t="str">
        <f t="shared" si="597"/>
        <v>SISTEMA GERADOR DE RELATÓRIOS</v>
      </c>
      <c r="C7288" s="2" t="str">
        <f t="shared" si="598"/>
        <v>SMA-REP</v>
      </c>
      <c r="D7288" s="2" t="str">
        <f t="shared" si="599"/>
        <v>MVREP</v>
      </c>
      <c r="E7288" s="2" t="str">
        <f>"Teste Receita por Tabela Fat2"</f>
        <v>Teste Receita por Tabela Fat2</v>
      </c>
      <c r="F7288" s="2" t="str">
        <f>"USR_TESTE_RECEITA_POR_TABELA_FAT2"</f>
        <v>USR_TESTE_RECEITA_POR_TABELA_FAT2</v>
      </c>
      <c r="G7288" s="2" t="str">
        <f t="shared" ref="G7288:G7351" si="600">" ()"</f>
        <v xml:space="preserve"> ()</v>
      </c>
    </row>
    <row r="7289" spans="1:7" x14ac:dyDescent="0.3">
      <c r="A7289" s="1" t="s">
        <v>4</v>
      </c>
      <c r="B7289" s="2" t="str">
        <f t="shared" si="597"/>
        <v>SISTEMA GERADOR DE RELATÓRIOS</v>
      </c>
      <c r="C7289" s="2" t="str">
        <f t="shared" si="598"/>
        <v>SMA-REP</v>
      </c>
      <c r="D7289" s="2" t="str">
        <f t="shared" si="599"/>
        <v>MVREP</v>
      </c>
      <c r="E7289" s="2" t="str">
        <f>"Teste Receita por Tabela Fat"</f>
        <v>Teste Receita por Tabela Fat</v>
      </c>
      <c r="F7289" s="2" t="str">
        <f>"USR_TESTE_RECEITA_POR_TABELA_FAT"</f>
        <v>USR_TESTE_RECEITA_POR_TABELA_FAT</v>
      </c>
      <c r="G7289" s="2" t="str">
        <f t="shared" si="600"/>
        <v xml:space="preserve"> ()</v>
      </c>
    </row>
    <row r="7290" spans="1:7" x14ac:dyDescent="0.3">
      <c r="A7290" s="1" t="s">
        <v>4</v>
      </c>
      <c r="B7290" s="2" t="str">
        <f t="shared" si="597"/>
        <v>SISTEMA GERADOR DE RELATÓRIOS</v>
      </c>
      <c r="C7290" s="2" t="str">
        <f t="shared" si="598"/>
        <v>SMA-REP</v>
      </c>
      <c r="D7290" s="2" t="str">
        <f t="shared" si="599"/>
        <v>MVREP</v>
      </c>
      <c r="E7290" s="2" t="str">
        <f>"teste de referencia cruzada"</f>
        <v>teste de referencia cruzada</v>
      </c>
      <c r="F7290" s="2" t="str">
        <f>"USR_TESTE_DE_REFERENCIA_CRUZADA"</f>
        <v>USR_TESTE_DE_REFERENCIA_CRUZADA</v>
      </c>
      <c r="G7290" s="2" t="str">
        <f t="shared" si="600"/>
        <v xml:space="preserve"> ()</v>
      </c>
    </row>
    <row r="7291" spans="1:7" x14ac:dyDescent="0.3">
      <c r="A7291" s="1" t="s">
        <v>4</v>
      </c>
      <c r="B7291" s="2" t="str">
        <f t="shared" si="597"/>
        <v>SISTEMA GERADOR DE RELATÓRIOS</v>
      </c>
      <c r="C7291" s="2" t="str">
        <f t="shared" si="598"/>
        <v>SMA-REP</v>
      </c>
      <c r="D7291" s="2" t="str">
        <f t="shared" si="599"/>
        <v>MVREP</v>
      </c>
      <c r="E7291" s="2" t="str">
        <f>"Teste Matriz(ref Cruzada)"</f>
        <v>Teste Matriz(ref Cruzada)</v>
      </c>
      <c r="F7291" s="2" t="str">
        <f>"USR_TESTE_MATRIZ(REF_CRUZADA)"</f>
        <v>USR_TESTE_MATRIZ(REF_CRUZADA)</v>
      </c>
      <c r="G7291" s="2" t="str">
        <f t="shared" si="600"/>
        <v xml:space="preserve"> ()</v>
      </c>
    </row>
    <row r="7292" spans="1:7" x14ac:dyDescent="0.3">
      <c r="A7292" s="1" t="s">
        <v>4</v>
      </c>
      <c r="B7292" s="2" t="str">
        <f t="shared" si="597"/>
        <v>SISTEMA GERADOR DE RELATÓRIOS</v>
      </c>
      <c r="C7292" s="2" t="str">
        <f t="shared" si="598"/>
        <v>SMA-REP</v>
      </c>
      <c r="D7292" s="2" t="str">
        <f t="shared" si="599"/>
        <v>MVREP</v>
      </c>
      <c r="E7292" s="2" t="str">
        <f>"Jaraguá_20051230"</f>
        <v>Jaraguá_20051230</v>
      </c>
      <c r="F7292" s="2" t="str">
        <f>"USR_JARAGUA_20051230"</f>
        <v>USR_JARAGUA_20051230</v>
      </c>
      <c r="G7292" s="2" t="str">
        <f t="shared" si="600"/>
        <v xml:space="preserve"> ()</v>
      </c>
    </row>
    <row r="7293" spans="1:7" x14ac:dyDescent="0.3">
      <c r="A7293" s="1" t="s">
        <v>4</v>
      </c>
      <c r="B7293" s="2" t="str">
        <f t="shared" ref="B7293:B7356" si="601">"SISTEMA GERADOR DE RELATÓRIOS"</f>
        <v>SISTEMA GERADOR DE RELATÓRIOS</v>
      </c>
      <c r="C7293" s="2" t="str">
        <f t="shared" ref="C7293:C7356" si="602">"SMA-REP"</f>
        <v>SMA-REP</v>
      </c>
      <c r="D7293" s="2" t="str">
        <f t="shared" ref="D7293:D7356" si="603">"MVREP"</f>
        <v>MVREP</v>
      </c>
      <c r="E7293" s="2" t="str">
        <f>"testeTipos"</f>
        <v>testeTipos</v>
      </c>
      <c r="F7293" s="2" t="str">
        <f>"USR_TESTETIPOS"</f>
        <v>USR_TESTETIPOS</v>
      </c>
      <c r="G7293" s="2" t="str">
        <f t="shared" si="600"/>
        <v xml:space="preserve"> ()</v>
      </c>
    </row>
    <row r="7294" spans="1:7" x14ac:dyDescent="0.3">
      <c r="A7294" s="1" t="s">
        <v>4</v>
      </c>
      <c r="B7294" s="2" t="str">
        <f t="shared" si="601"/>
        <v>SISTEMA GERADOR DE RELATÓRIOS</v>
      </c>
      <c r="C7294" s="2" t="str">
        <f t="shared" si="602"/>
        <v>SMA-REP</v>
      </c>
      <c r="D7294" s="2" t="str">
        <f t="shared" si="603"/>
        <v>MVREP</v>
      </c>
      <c r="E7294" s="2" t="str">
        <f>"teste evangelico_2"</f>
        <v>teste evangelico_2</v>
      </c>
      <c r="F7294" s="2" t="str">
        <f>"USR_TESTE_EVANGELICO_2"</f>
        <v>USR_TESTE_EVANGELICO_2</v>
      </c>
      <c r="G7294" s="2" t="str">
        <f t="shared" si="600"/>
        <v xml:space="preserve"> ()</v>
      </c>
    </row>
    <row r="7295" spans="1:7" x14ac:dyDescent="0.3">
      <c r="A7295" s="1" t="s">
        <v>4</v>
      </c>
      <c r="B7295" s="2" t="str">
        <f t="shared" si="601"/>
        <v>SISTEMA GERADOR DE RELATÓRIOS</v>
      </c>
      <c r="C7295" s="2" t="str">
        <f t="shared" si="602"/>
        <v>SMA-REP</v>
      </c>
      <c r="D7295" s="2" t="str">
        <f t="shared" si="603"/>
        <v>MVREP</v>
      </c>
      <c r="E7295" s="2" t="str">
        <f>"teste evangelico"</f>
        <v>teste evangelico</v>
      </c>
      <c r="F7295" s="2" t="str">
        <f>"USR_TESTE_EVANGELICO"</f>
        <v>USR_TESTE_EVANGELICO</v>
      </c>
      <c r="G7295" s="2" t="str">
        <f t="shared" si="600"/>
        <v xml:space="preserve"> ()</v>
      </c>
    </row>
    <row r="7296" spans="1:7" x14ac:dyDescent="0.3">
      <c r="A7296" s="1" t="s">
        <v>4</v>
      </c>
      <c r="B7296" s="2" t="str">
        <f t="shared" si="601"/>
        <v>SISTEMA GERADOR DE RELATÓRIOS</v>
      </c>
      <c r="C7296" s="2" t="str">
        <f t="shared" si="602"/>
        <v>SMA-REP</v>
      </c>
      <c r="D7296" s="2" t="str">
        <f t="shared" si="603"/>
        <v>MVREP</v>
      </c>
      <c r="E7296" s="2" t="str">
        <f>"teste Londrina"</f>
        <v>teste Londrina</v>
      </c>
      <c r="F7296" s="2" t="str">
        <f>"USR_TESTE_LONDRINA"</f>
        <v>USR_TESTE_LONDRINA</v>
      </c>
      <c r="G7296" s="2" t="str">
        <f t="shared" si="600"/>
        <v xml:space="preserve"> ()</v>
      </c>
    </row>
    <row r="7297" spans="1:7" x14ac:dyDescent="0.3">
      <c r="A7297" s="1" t="s">
        <v>4</v>
      </c>
      <c r="B7297" s="2" t="str">
        <f t="shared" si="601"/>
        <v>SISTEMA GERADOR DE RELATÓRIOS</v>
      </c>
      <c r="C7297" s="2" t="str">
        <f t="shared" si="602"/>
        <v>SMA-REP</v>
      </c>
      <c r="D7297" s="2" t="str">
        <f t="shared" si="603"/>
        <v>MVREP</v>
      </c>
      <c r="E7297" s="2" t="str">
        <f>"JOSEANE_5"</f>
        <v>JOSEANE_5</v>
      </c>
      <c r="F7297" s="2" t="str">
        <f>"USR_JOSEANE_5"</f>
        <v>USR_JOSEANE_5</v>
      </c>
      <c r="G7297" s="2" t="str">
        <f t="shared" si="600"/>
        <v xml:space="preserve"> ()</v>
      </c>
    </row>
    <row r="7298" spans="1:7" x14ac:dyDescent="0.3">
      <c r="A7298" s="1" t="s">
        <v>4</v>
      </c>
      <c r="B7298" s="2" t="str">
        <f t="shared" si="601"/>
        <v>SISTEMA GERADOR DE RELATÓRIOS</v>
      </c>
      <c r="C7298" s="2" t="str">
        <f t="shared" si="602"/>
        <v>SMA-REP</v>
      </c>
      <c r="D7298" s="2" t="str">
        <f t="shared" si="603"/>
        <v>MVREP</v>
      </c>
      <c r="E7298" s="2" t="str">
        <f>"Rinaldo   Exames"</f>
        <v>Rinaldo   Exames</v>
      </c>
      <c r="F7298" s="2" t="str">
        <f>"USR_RINALDO_""_EXAMES_"""</f>
        <v>USR_RINALDO_"_EXAMES_"</v>
      </c>
      <c r="G7298" s="2" t="str">
        <f t="shared" si="600"/>
        <v xml:space="preserve"> ()</v>
      </c>
    </row>
    <row r="7299" spans="1:7" x14ac:dyDescent="0.3">
      <c r="A7299" s="1" t="s">
        <v>4</v>
      </c>
      <c r="B7299" s="2" t="str">
        <f t="shared" si="601"/>
        <v>SISTEMA GERADOR DE RELATÓRIOS</v>
      </c>
      <c r="C7299" s="2" t="str">
        <f t="shared" si="602"/>
        <v>SMA-REP</v>
      </c>
      <c r="D7299" s="2" t="str">
        <f t="shared" si="603"/>
        <v>MVREP</v>
      </c>
      <c r="E7299" s="2" t="str">
        <f>"Carlos Nascimento"</f>
        <v>Carlos Nascimento</v>
      </c>
      <c r="F7299" s="2" t="str">
        <f>"USR_CARLOS_NASCIMENTO"</f>
        <v>USR_CARLOS_NASCIMENTO</v>
      </c>
      <c r="G7299" s="2" t="str">
        <f t="shared" si="600"/>
        <v xml:space="preserve"> ()</v>
      </c>
    </row>
    <row r="7300" spans="1:7" x14ac:dyDescent="0.3">
      <c r="A7300" s="1" t="s">
        <v>4</v>
      </c>
      <c r="B7300" s="2" t="str">
        <f t="shared" si="601"/>
        <v>SISTEMA GERADOR DE RELATÓRIOS</v>
      </c>
      <c r="C7300" s="2" t="str">
        <f t="shared" si="602"/>
        <v>SMA-REP</v>
      </c>
      <c r="D7300" s="2" t="str">
        <f t="shared" si="603"/>
        <v>MVREP</v>
      </c>
      <c r="E7300" s="2" t="str">
        <f>"sonia_prova"</f>
        <v>sonia_prova</v>
      </c>
      <c r="F7300" s="2" t="str">
        <f>"USR_SONIA_PROVA"</f>
        <v>USR_SONIA_PROVA</v>
      </c>
      <c r="G7300" s="2" t="str">
        <f t="shared" si="600"/>
        <v xml:space="preserve"> ()</v>
      </c>
    </row>
    <row r="7301" spans="1:7" x14ac:dyDescent="0.3">
      <c r="A7301" s="1" t="s">
        <v>4</v>
      </c>
      <c r="B7301" s="2" t="str">
        <f t="shared" si="601"/>
        <v>SISTEMA GERADOR DE RELATÓRIOS</v>
      </c>
      <c r="C7301" s="2" t="str">
        <f t="shared" si="602"/>
        <v>SMA-REP</v>
      </c>
      <c r="D7301" s="2" t="str">
        <f t="shared" si="603"/>
        <v>MVREP</v>
      </c>
      <c r="E7301" s="2" t="str">
        <f>"Luiz Henrique Queiroz"</f>
        <v>Luiz Henrique Queiroz</v>
      </c>
      <c r="F7301" s="2" t="str">
        <f>"USR_LUIZ_HENRIQUE_QUEIROZ"</f>
        <v>USR_LUIZ_HENRIQUE_QUEIROZ</v>
      </c>
      <c r="G7301" s="2" t="str">
        <f t="shared" si="600"/>
        <v xml:space="preserve"> ()</v>
      </c>
    </row>
    <row r="7302" spans="1:7" x14ac:dyDescent="0.3">
      <c r="A7302" s="1" t="s">
        <v>4</v>
      </c>
      <c r="B7302" s="2" t="str">
        <f t="shared" si="601"/>
        <v>SISTEMA GERADOR DE RELATÓRIOS</v>
      </c>
      <c r="C7302" s="2" t="str">
        <f t="shared" si="602"/>
        <v>SMA-REP</v>
      </c>
      <c r="D7302" s="2" t="str">
        <f t="shared" si="603"/>
        <v>MVREP</v>
      </c>
      <c r="E7302" s="2" t="str">
        <f>"Prova_luiz"</f>
        <v>Prova_luiz</v>
      </c>
      <c r="F7302" s="2" t="str">
        <f>"USR_PROVA_LUIZ"</f>
        <v>USR_PROVA_LUIZ</v>
      </c>
      <c r="G7302" s="2" t="str">
        <f t="shared" si="600"/>
        <v xml:space="preserve"> ()</v>
      </c>
    </row>
    <row r="7303" spans="1:7" x14ac:dyDescent="0.3">
      <c r="A7303" s="1" t="s">
        <v>4</v>
      </c>
      <c r="B7303" s="2" t="str">
        <f t="shared" si="601"/>
        <v>SISTEMA GERADOR DE RELATÓRIOS</v>
      </c>
      <c r="C7303" s="2" t="str">
        <f t="shared" si="602"/>
        <v>SMA-REP</v>
      </c>
      <c r="D7303" s="2" t="str">
        <f t="shared" si="603"/>
        <v>MVREP</v>
      </c>
      <c r="E7303" s="2" t="str">
        <f>"Gleisson Lira"</f>
        <v>Gleisson Lira</v>
      </c>
      <c r="F7303" s="2" t="str">
        <f>"USR_GLEISSON_LIRA"</f>
        <v>USR_GLEISSON_LIRA</v>
      </c>
      <c r="G7303" s="2" t="str">
        <f t="shared" si="600"/>
        <v xml:space="preserve"> ()</v>
      </c>
    </row>
    <row r="7304" spans="1:7" x14ac:dyDescent="0.3">
      <c r="A7304" s="1" t="s">
        <v>4</v>
      </c>
      <c r="B7304" s="2" t="str">
        <f t="shared" si="601"/>
        <v>SISTEMA GERADOR DE RELATÓRIOS</v>
      </c>
      <c r="C7304" s="2" t="str">
        <f t="shared" si="602"/>
        <v>SMA-REP</v>
      </c>
      <c r="D7304" s="2" t="str">
        <f t="shared" si="603"/>
        <v>MVREP</v>
      </c>
      <c r="E7304" s="2" t="str">
        <f>"Christiano"</f>
        <v>Christiano</v>
      </c>
      <c r="F7304" s="2" t="str">
        <f>"USR_CHRISTIANO"</f>
        <v>USR_CHRISTIANO</v>
      </c>
      <c r="G7304" s="2" t="str">
        <f t="shared" si="600"/>
        <v xml:space="preserve"> ()</v>
      </c>
    </row>
    <row r="7305" spans="1:7" x14ac:dyDescent="0.3">
      <c r="A7305" s="1" t="s">
        <v>4</v>
      </c>
      <c r="B7305" s="2" t="str">
        <f t="shared" si="601"/>
        <v>SISTEMA GERADOR DE RELATÓRIOS</v>
      </c>
      <c r="C7305" s="2" t="str">
        <f t="shared" si="602"/>
        <v>SMA-REP</v>
      </c>
      <c r="D7305" s="2" t="str">
        <f t="shared" si="603"/>
        <v>MVREP</v>
      </c>
      <c r="E7305" s="2" t="str">
        <f>"Relatorio estatístico"</f>
        <v>Relatorio estatístico</v>
      </c>
      <c r="F7305" s="2" t="str">
        <f>"USR_RELATORIO_ESTATISTICO"</f>
        <v>USR_RELATORIO_ESTATISTICO</v>
      </c>
      <c r="G7305" s="2" t="str">
        <f t="shared" si="600"/>
        <v xml:space="preserve"> ()</v>
      </c>
    </row>
    <row r="7306" spans="1:7" x14ac:dyDescent="0.3">
      <c r="A7306" s="1" t="s">
        <v>4</v>
      </c>
      <c r="B7306" s="2" t="str">
        <f t="shared" si="601"/>
        <v>SISTEMA GERADOR DE RELATÓRIOS</v>
      </c>
      <c r="C7306" s="2" t="str">
        <f t="shared" si="602"/>
        <v>SMA-REP</v>
      </c>
      <c r="D7306" s="2" t="str">
        <f t="shared" si="603"/>
        <v>MVREP</v>
      </c>
      <c r="E7306" s="2" t="str">
        <f>"Alcidezio"</f>
        <v>Alcidezio</v>
      </c>
      <c r="F7306" s="2" t="str">
        <f>"USR_ALCIDEZIO"</f>
        <v>USR_ALCIDEZIO</v>
      </c>
      <c r="G7306" s="2" t="str">
        <f t="shared" si="600"/>
        <v xml:space="preserve"> ()</v>
      </c>
    </row>
    <row r="7307" spans="1:7" x14ac:dyDescent="0.3">
      <c r="A7307" s="1" t="s">
        <v>4</v>
      </c>
      <c r="B7307" s="2" t="str">
        <f t="shared" si="601"/>
        <v>SISTEMA GERADOR DE RELATÓRIOS</v>
      </c>
      <c r="C7307" s="2" t="str">
        <f t="shared" si="602"/>
        <v>SMA-REP</v>
      </c>
      <c r="D7307" s="2" t="str">
        <f t="shared" si="603"/>
        <v>MVREP</v>
      </c>
      <c r="E7307" s="2" t="str">
        <f>"Prova Luciano"</f>
        <v>Prova Luciano</v>
      </c>
      <c r="F7307" s="2" t="str">
        <f>"USR_PROVA_LUCIANO"</f>
        <v>USR_PROVA_LUCIANO</v>
      </c>
      <c r="G7307" s="2" t="str">
        <f t="shared" si="600"/>
        <v xml:space="preserve"> ()</v>
      </c>
    </row>
    <row r="7308" spans="1:7" x14ac:dyDescent="0.3">
      <c r="A7308" s="1" t="s">
        <v>4</v>
      </c>
      <c r="B7308" s="2" t="str">
        <f t="shared" si="601"/>
        <v>SISTEMA GERADOR DE RELATÓRIOS</v>
      </c>
      <c r="C7308" s="2" t="str">
        <f t="shared" si="602"/>
        <v>SMA-REP</v>
      </c>
      <c r="D7308" s="2" t="str">
        <f t="shared" si="603"/>
        <v>MVREP</v>
      </c>
      <c r="E7308" s="2" t="str">
        <f>"prova sonia"</f>
        <v>prova sonia</v>
      </c>
      <c r="F7308" s="2" t="str">
        <f>"USR_PROVA"</f>
        <v>USR_PROVA</v>
      </c>
      <c r="G7308" s="2" t="str">
        <f t="shared" si="600"/>
        <v xml:space="preserve"> ()</v>
      </c>
    </row>
    <row r="7309" spans="1:7" x14ac:dyDescent="0.3">
      <c r="A7309" s="1" t="s">
        <v>4</v>
      </c>
      <c r="B7309" s="2" t="str">
        <f t="shared" si="601"/>
        <v>SISTEMA GERADOR DE RELATÓRIOS</v>
      </c>
      <c r="C7309" s="2" t="str">
        <f t="shared" si="602"/>
        <v>SMA-REP</v>
      </c>
      <c r="D7309" s="2" t="str">
        <f t="shared" si="603"/>
        <v>MVREP</v>
      </c>
      <c r="E7309" s="2" t="str">
        <f>"Gerluce Silva"</f>
        <v>Gerluce Silva</v>
      </c>
      <c r="F7309" s="2" t="str">
        <f>"USR_GERLUCE_SILVA"</f>
        <v>USR_GERLUCE_SILVA</v>
      </c>
      <c r="G7309" s="2" t="str">
        <f t="shared" si="600"/>
        <v xml:space="preserve"> ()</v>
      </c>
    </row>
    <row r="7310" spans="1:7" x14ac:dyDescent="0.3">
      <c r="A7310" s="1" t="s">
        <v>4</v>
      </c>
      <c r="B7310" s="2" t="str">
        <f t="shared" si="601"/>
        <v>SISTEMA GERADOR DE RELATÓRIOS</v>
      </c>
      <c r="C7310" s="2" t="str">
        <f t="shared" si="602"/>
        <v>SMA-REP</v>
      </c>
      <c r="D7310" s="2" t="str">
        <f t="shared" si="603"/>
        <v>MVREP</v>
      </c>
      <c r="E7310" s="2" t="str">
        <f>"Carlos"</f>
        <v>Carlos</v>
      </c>
      <c r="F7310" s="2" t="str">
        <f>"USR_AULA_2"</f>
        <v>USR_AULA_2</v>
      </c>
      <c r="G7310" s="2" t="str">
        <f t="shared" si="600"/>
        <v xml:space="preserve"> ()</v>
      </c>
    </row>
    <row r="7311" spans="1:7" x14ac:dyDescent="0.3">
      <c r="A7311" s="1" t="s">
        <v>4</v>
      </c>
      <c r="B7311" s="2" t="str">
        <f t="shared" si="601"/>
        <v>SISTEMA GERADOR DE RELATÓRIOS</v>
      </c>
      <c r="C7311" s="2" t="str">
        <f t="shared" si="602"/>
        <v>SMA-REP</v>
      </c>
      <c r="D7311" s="2" t="str">
        <f t="shared" si="603"/>
        <v>MVREP</v>
      </c>
      <c r="E7311" s="2" t="str">
        <f>"luciano araujo 2"</f>
        <v>luciano araujo 2</v>
      </c>
      <c r="F7311" s="2" t="str">
        <f>"USR_LUCIANO_ARAUJO_2"</f>
        <v>USR_LUCIANO_ARAUJO_2</v>
      </c>
      <c r="G7311" s="2" t="str">
        <f t="shared" si="600"/>
        <v xml:space="preserve"> ()</v>
      </c>
    </row>
    <row r="7312" spans="1:7" x14ac:dyDescent="0.3">
      <c r="A7312" s="1" t="s">
        <v>4</v>
      </c>
      <c r="B7312" s="2" t="str">
        <f t="shared" si="601"/>
        <v>SISTEMA GERADOR DE RELATÓRIOS</v>
      </c>
      <c r="C7312" s="2" t="str">
        <f t="shared" si="602"/>
        <v>SMA-REP</v>
      </c>
      <c r="D7312" s="2" t="str">
        <f t="shared" si="603"/>
        <v>MVREP</v>
      </c>
      <c r="E7312" s="2" t="str">
        <f>"Segundo Relatorio"</f>
        <v>Segundo Relatorio</v>
      </c>
      <c r="F7312" s="2" t="str">
        <f>"USR_SEGUNDO_RELATORIO"</f>
        <v>USR_SEGUNDO_RELATORIO</v>
      </c>
      <c r="G7312" s="2" t="str">
        <f t="shared" si="600"/>
        <v xml:space="preserve"> ()</v>
      </c>
    </row>
    <row r="7313" spans="1:7" x14ac:dyDescent="0.3">
      <c r="A7313" s="1" t="s">
        <v>4</v>
      </c>
      <c r="B7313" s="2" t="str">
        <f t="shared" si="601"/>
        <v>SISTEMA GERADOR DE RELATÓRIOS</v>
      </c>
      <c r="C7313" s="2" t="str">
        <f t="shared" si="602"/>
        <v>SMA-REP</v>
      </c>
      <c r="D7313" s="2" t="str">
        <f t="shared" si="603"/>
        <v>MVREP</v>
      </c>
      <c r="E7313" s="2" t="str">
        <f>"rinaldo2"</f>
        <v>rinaldo2</v>
      </c>
      <c r="F7313" s="2" t="str">
        <f>"USR_RINALDO2"</f>
        <v>USR_RINALDO2</v>
      </c>
      <c r="G7313" s="2" t="str">
        <f t="shared" si="600"/>
        <v xml:space="preserve"> ()</v>
      </c>
    </row>
    <row r="7314" spans="1:7" x14ac:dyDescent="0.3">
      <c r="A7314" s="1" t="s">
        <v>4</v>
      </c>
      <c r="B7314" s="2" t="str">
        <f t="shared" si="601"/>
        <v>SISTEMA GERADOR DE RELATÓRIOS</v>
      </c>
      <c r="C7314" s="2" t="str">
        <f t="shared" si="602"/>
        <v>SMA-REP</v>
      </c>
      <c r="D7314" s="2" t="str">
        <f t="shared" si="603"/>
        <v>MVREP</v>
      </c>
      <c r="E7314" s="2" t="str">
        <f>"Gerluce 2"</f>
        <v>Gerluce 2</v>
      </c>
      <c r="F7314" s="2" t="str">
        <f>"USR_ GERLUC_ "</f>
        <v xml:space="preserve">USR_ GERLUC_ </v>
      </c>
      <c r="G7314" s="2" t="str">
        <f t="shared" si="600"/>
        <v xml:space="preserve"> ()</v>
      </c>
    </row>
    <row r="7315" spans="1:7" x14ac:dyDescent="0.3">
      <c r="A7315" s="1" t="s">
        <v>4</v>
      </c>
      <c r="B7315" s="2" t="str">
        <f t="shared" si="601"/>
        <v>SISTEMA GERADOR DE RELATÓRIOS</v>
      </c>
      <c r="C7315" s="2" t="str">
        <f t="shared" si="602"/>
        <v>SMA-REP</v>
      </c>
      <c r="D7315" s="2" t="str">
        <f t="shared" si="603"/>
        <v>MVREP</v>
      </c>
      <c r="E7315" s="2" t="str">
        <f>"Relatório 02 queiroz"</f>
        <v>Relatório 02 queiroz</v>
      </c>
      <c r="F7315" s="2" t="str">
        <f>"USR_ RELAOÓRI_ 0_ QUEIRO"</f>
        <v>USR_ RELAOÓRI_ 0_ QUEIRO</v>
      </c>
      <c r="G7315" s="2" t="str">
        <f t="shared" si="600"/>
        <v xml:space="preserve"> ()</v>
      </c>
    </row>
    <row r="7316" spans="1:7" x14ac:dyDescent="0.3">
      <c r="A7316" s="1" t="s">
        <v>4</v>
      </c>
      <c r="B7316" s="2" t="str">
        <f t="shared" si="601"/>
        <v>SISTEMA GERADOR DE RELATÓRIOS</v>
      </c>
      <c r="C7316" s="2" t="str">
        <f t="shared" si="602"/>
        <v>SMA-REP</v>
      </c>
      <c r="D7316" s="2" t="str">
        <f t="shared" si="603"/>
        <v>MVREP</v>
      </c>
      <c r="E7316" s="2" t="str">
        <f>"Sonia 2"</f>
        <v>Sonia 2</v>
      </c>
      <c r="F7316" s="2" t="str">
        <f>"USR_SONIA_2"</f>
        <v>USR_SONIA_2</v>
      </c>
      <c r="G7316" s="2" t="str">
        <f t="shared" si="600"/>
        <v xml:space="preserve"> ()</v>
      </c>
    </row>
    <row r="7317" spans="1:7" x14ac:dyDescent="0.3">
      <c r="A7317" s="1" t="s">
        <v>4</v>
      </c>
      <c r="B7317" s="2" t="str">
        <f t="shared" si="601"/>
        <v>SISTEMA GERADOR DE RELATÓRIOS</v>
      </c>
      <c r="C7317" s="2" t="str">
        <f t="shared" si="602"/>
        <v>SMA-REP</v>
      </c>
      <c r="D7317" s="2" t="str">
        <f t="shared" si="603"/>
        <v>MVREP</v>
      </c>
      <c r="E7317" s="2" t="str">
        <f>"Elizabete2"</f>
        <v>Elizabete2</v>
      </c>
      <c r="F7317" s="2" t="str">
        <f>"USR_ELIZABETE2"</f>
        <v>USR_ELIZABETE2</v>
      </c>
      <c r="G7317" s="2" t="str">
        <f t="shared" si="600"/>
        <v xml:space="preserve"> ()</v>
      </c>
    </row>
    <row r="7318" spans="1:7" x14ac:dyDescent="0.3">
      <c r="A7318" s="1" t="s">
        <v>4</v>
      </c>
      <c r="B7318" s="2" t="str">
        <f t="shared" si="601"/>
        <v>SISTEMA GERADOR DE RELATÓRIOS</v>
      </c>
      <c r="C7318" s="2" t="str">
        <f t="shared" si="602"/>
        <v>SMA-REP</v>
      </c>
      <c r="D7318" s="2" t="str">
        <f t="shared" si="603"/>
        <v>MVREP</v>
      </c>
      <c r="E7318" s="2" t="str">
        <f>"JOSEANE2"</f>
        <v>JOSEANE2</v>
      </c>
      <c r="F7318" s="2" t="str">
        <f>"USR_JOSEANE2"</f>
        <v>USR_JOSEANE2</v>
      </c>
      <c r="G7318" s="2" t="str">
        <f t="shared" si="600"/>
        <v xml:space="preserve"> ()</v>
      </c>
    </row>
    <row r="7319" spans="1:7" x14ac:dyDescent="0.3">
      <c r="A7319" s="1" t="s">
        <v>4</v>
      </c>
      <c r="B7319" s="2" t="str">
        <f t="shared" si="601"/>
        <v>SISTEMA GERADOR DE RELATÓRIOS</v>
      </c>
      <c r="C7319" s="2" t="str">
        <f t="shared" si="602"/>
        <v>SMA-REP</v>
      </c>
      <c r="D7319" s="2" t="str">
        <f t="shared" si="603"/>
        <v>MVREP</v>
      </c>
      <c r="E7319" s="2" t="str">
        <f>"teste_chris2"</f>
        <v>teste_chris2</v>
      </c>
      <c r="F7319" s="2" t="str">
        <f>"USR_TESTE_CHRIS2"</f>
        <v>USR_TESTE_CHRIS2</v>
      </c>
      <c r="G7319" s="2" t="str">
        <f t="shared" si="600"/>
        <v xml:space="preserve"> ()</v>
      </c>
    </row>
    <row r="7320" spans="1:7" x14ac:dyDescent="0.3">
      <c r="A7320" s="1" t="s">
        <v>4</v>
      </c>
      <c r="B7320" s="2" t="str">
        <f t="shared" si="601"/>
        <v>SISTEMA GERADOR DE RELATÓRIOS</v>
      </c>
      <c r="C7320" s="2" t="str">
        <f t="shared" si="602"/>
        <v>SMA-REP</v>
      </c>
      <c r="D7320" s="2" t="str">
        <f t="shared" si="603"/>
        <v>MVREP</v>
      </c>
      <c r="E7320" s="2" t="str">
        <f>"LuizAlves_2"</f>
        <v>LuizAlves_2</v>
      </c>
      <c r="F7320" s="2" t="str">
        <f>"USR_LUIZALVES_2"</f>
        <v>USR_LUIZALVES_2</v>
      </c>
      <c r="G7320" s="2" t="str">
        <f t="shared" si="600"/>
        <v xml:space="preserve"> ()</v>
      </c>
    </row>
    <row r="7321" spans="1:7" x14ac:dyDescent="0.3">
      <c r="A7321" s="1" t="s">
        <v>4</v>
      </c>
      <c r="B7321" s="2" t="str">
        <f t="shared" si="601"/>
        <v>SISTEMA GERADOR DE RELATÓRIOS</v>
      </c>
      <c r="C7321" s="2" t="str">
        <f t="shared" si="602"/>
        <v>SMA-REP</v>
      </c>
      <c r="D7321" s="2" t="str">
        <f t="shared" si="603"/>
        <v>MVREP</v>
      </c>
      <c r="E7321" s="2" t="str">
        <f>"Relatório 2"</f>
        <v>Relatório 2</v>
      </c>
      <c r="F7321" s="2" t="str">
        <f>"USR_RELATORIO"</f>
        <v>USR_RELATORIO</v>
      </c>
      <c r="G7321" s="2" t="str">
        <f t="shared" si="600"/>
        <v xml:space="preserve"> ()</v>
      </c>
    </row>
    <row r="7322" spans="1:7" x14ac:dyDescent="0.3">
      <c r="A7322" s="1" t="s">
        <v>4</v>
      </c>
      <c r="B7322" s="2" t="str">
        <f t="shared" si="601"/>
        <v>SISTEMA GERADOR DE RELATÓRIOS</v>
      </c>
      <c r="C7322" s="2" t="str">
        <f t="shared" si="602"/>
        <v>SMA-REP</v>
      </c>
      <c r="D7322" s="2" t="str">
        <f t="shared" si="603"/>
        <v>MVREP</v>
      </c>
      <c r="E7322" s="2" t="str">
        <f>"Relatório teste 2"</f>
        <v>Relatório teste 2</v>
      </c>
      <c r="F7322" s="2" t="str">
        <f>"USR_RELATORIO_TESTE_2"</f>
        <v>USR_RELATORIO_TESTE_2</v>
      </c>
      <c r="G7322" s="2" t="str">
        <f t="shared" si="600"/>
        <v xml:space="preserve"> ()</v>
      </c>
    </row>
    <row r="7323" spans="1:7" x14ac:dyDescent="0.3">
      <c r="A7323" s="1" t="s">
        <v>4</v>
      </c>
      <c r="B7323" s="2" t="str">
        <f t="shared" si="601"/>
        <v>SISTEMA GERADOR DE RELATÓRIOS</v>
      </c>
      <c r="C7323" s="2" t="str">
        <f t="shared" si="602"/>
        <v>SMA-REP</v>
      </c>
      <c r="D7323" s="2" t="str">
        <f t="shared" si="603"/>
        <v>MVREP</v>
      </c>
      <c r="E7323" s="2" t="str">
        <f>"Ramal teste 01"</f>
        <v>Ramal teste 01</v>
      </c>
      <c r="F7323" s="2" t="str">
        <f>"USR_RAMAL_TESTE_01"</f>
        <v>USR_RAMAL_TESTE_01</v>
      </c>
      <c r="G7323" s="2" t="str">
        <f t="shared" si="600"/>
        <v xml:space="preserve"> ()</v>
      </c>
    </row>
    <row r="7324" spans="1:7" x14ac:dyDescent="0.3">
      <c r="A7324" s="1" t="s">
        <v>4</v>
      </c>
      <c r="B7324" s="2" t="str">
        <f t="shared" si="601"/>
        <v>SISTEMA GERADOR DE RELATÓRIOS</v>
      </c>
      <c r="C7324" s="2" t="str">
        <f t="shared" si="602"/>
        <v>SMA-REP</v>
      </c>
      <c r="D7324" s="2" t="str">
        <f t="shared" si="603"/>
        <v>MVREP</v>
      </c>
      <c r="E7324" s="2" t="str">
        <f>"default"</f>
        <v>default</v>
      </c>
      <c r="F7324" s="2" t="str">
        <f>"USR_DEFAULT"</f>
        <v>USR_DEFAULT</v>
      </c>
      <c r="G7324" s="2" t="str">
        <f t="shared" si="600"/>
        <v xml:space="preserve"> ()</v>
      </c>
    </row>
    <row r="7325" spans="1:7" x14ac:dyDescent="0.3">
      <c r="A7325" s="1" t="s">
        <v>4</v>
      </c>
      <c r="B7325" s="2" t="str">
        <f t="shared" si="601"/>
        <v>SISTEMA GERADOR DE RELATÓRIOS</v>
      </c>
      <c r="C7325" s="2" t="str">
        <f t="shared" si="602"/>
        <v>SMA-REP</v>
      </c>
      <c r="D7325" s="2" t="str">
        <f t="shared" si="603"/>
        <v>MVREP</v>
      </c>
      <c r="E7325" s="2" t="str">
        <f>"Primeiro Relatorio"</f>
        <v>Primeiro Relatorio</v>
      </c>
      <c r="F7325" s="2" t="str">
        <f>"USR_PRIMEIRO_RELATORIO"</f>
        <v>USR_PRIMEIRO_RELATORIO</v>
      </c>
      <c r="G7325" s="2" t="str">
        <f t="shared" si="600"/>
        <v xml:space="preserve"> ()</v>
      </c>
    </row>
    <row r="7326" spans="1:7" x14ac:dyDescent="0.3">
      <c r="A7326" s="1" t="s">
        <v>4</v>
      </c>
      <c r="B7326" s="2" t="str">
        <f t="shared" si="601"/>
        <v>SISTEMA GERADOR DE RELATÓRIOS</v>
      </c>
      <c r="C7326" s="2" t="str">
        <f t="shared" si="602"/>
        <v>SMA-REP</v>
      </c>
      <c r="D7326" s="2" t="str">
        <f t="shared" si="603"/>
        <v>MVREP</v>
      </c>
      <c r="E7326" s="2" t="str">
        <f>"Teste Carlos"</f>
        <v>Teste Carlos</v>
      </c>
      <c r="F7326" s="2" t="str">
        <f>"USR_TESTE_CARLOS"</f>
        <v>USR_TESTE_CARLOS</v>
      </c>
      <c r="G7326" s="2" t="str">
        <f t="shared" si="600"/>
        <v xml:space="preserve"> ()</v>
      </c>
    </row>
    <row r="7327" spans="1:7" x14ac:dyDescent="0.3">
      <c r="A7327" s="1" t="s">
        <v>4</v>
      </c>
      <c r="B7327" s="2" t="str">
        <f t="shared" si="601"/>
        <v>SISTEMA GERADOR DE RELATÓRIOS</v>
      </c>
      <c r="C7327" s="2" t="str">
        <f t="shared" si="602"/>
        <v>SMA-REP</v>
      </c>
      <c r="D7327" s="2" t="str">
        <f t="shared" si="603"/>
        <v>MVREP</v>
      </c>
      <c r="E7327" s="2" t="str">
        <f>"relat_lu"</f>
        <v>relat_lu</v>
      </c>
      <c r="F7327" s="2" t="str">
        <f>"USR_RELAT_LU"</f>
        <v>USR_RELAT_LU</v>
      </c>
      <c r="G7327" s="2" t="str">
        <f t="shared" si="600"/>
        <v xml:space="preserve"> ()</v>
      </c>
    </row>
    <row r="7328" spans="1:7" x14ac:dyDescent="0.3">
      <c r="A7328" s="1" t="s">
        <v>4</v>
      </c>
      <c r="B7328" s="2" t="str">
        <f t="shared" si="601"/>
        <v>SISTEMA GERADOR DE RELATÓRIOS</v>
      </c>
      <c r="C7328" s="2" t="str">
        <f t="shared" si="602"/>
        <v>SMA-REP</v>
      </c>
      <c r="D7328" s="2" t="str">
        <f t="shared" si="603"/>
        <v>MVREP</v>
      </c>
      <c r="E7328" s="2" t="str">
        <f>"LuizAlves"</f>
        <v>LuizAlves</v>
      </c>
      <c r="F7328" s="2" t="str">
        <f>"USR_LUIZALVES"</f>
        <v>USR_LUIZALVES</v>
      </c>
      <c r="G7328" s="2" t="str">
        <f t="shared" si="600"/>
        <v xml:space="preserve"> ()</v>
      </c>
    </row>
    <row r="7329" spans="1:7" x14ac:dyDescent="0.3">
      <c r="A7329" s="1" t="s">
        <v>4</v>
      </c>
      <c r="B7329" s="2" t="str">
        <f t="shared" si="601"/>
        <v>SISTEMA GERADOR DE RELATÓRIOS</v>
      </c>
      <c r="C7329" s="2" t="str">
        <f t="shared" si="602"/>
        <v>SMA-REP</v>
      </c>
      <c r="D7329" s="2" t="str">
        <f t="shared" si="603"/>
        <v>MVREP</v>
      </c>
      <c r="E7329" s="2" t="str">
        <f>"rinaldo"</f>
        <v>rinaldo</v>
      </c>
      <c r="F7329" s="2" t="str">
        <f>"USR_RINALDO"</f>
        <v>USR_RINALDO</v>
      </c>
      <c r="G7329" s="2" t="str">
        <f t="shared" si="600"/>
        <v xml:space="preserve"> ()</v>
      </c>
    </row>
    <row r="7330" spans="1:7" x14ac:dyDescent="0.3">
      <c r="A7330" s="1" t="s">
        <v>4</v>
      </c>
      <c r="B7330" s="2" t="str">
        <f t="shared" si="601"/>
        <v>SISTEMA GERADOR DE RELATÓRIOS</v>
      </c>
      <c r="C7330" s="2" t="str">
        <f t="shared" si="602"/>
        <v>SMA-REP</v>
      </c>
      <c r="D7330" s="2" t="str">
        <f t="shared" si="603"/>
        <v>MVREP</v>
      </c>
      <c r="E7330" s="2" t="str">
        <f>"Teste_Chris"</f>
        <v>Teste_Chris</v>
      </c>
      <c r="F7330" s="2" t="str">
        <f>"USR_TESTE_CHRIS"</f>
        <v>USR_TESTE_CHRIS</v>
      </c>
      <c r="G7330" s="2" t="str">
        <f t="shared" si="600"/>
        <v xml:space="preserve"> ()</v>
      </c>
    </row>
    <row r="7331" spans="1:7" x14ac:dyDescent="0.3">
      <c r="A7331" s="1" t="s">
        <v>4</v>
      </c>
      <c r="B7331" s="2" t="str">
        <f t="shared" si="601"/>
        <v>SISTEMA GERADOR DE RELATÓRIOS</v>
      </c>
      <c r="C7331" s="2" t="str">
        <f t="shared" si="602"/>
        <v>SMA-REP</v>
      </c>
      <c r="D7331" s="2" t="str">
        <f t="shared" si="603"/>
        <v>MVREP</v>
      </c>
      <c r="E7331" s="2" t="str">
        <f>"Relatório Celso"</f>
        <v>Relatório Celso</v>
      </c>
      <c r="F7331" s="2" t="str">
        <f>"USR_RELATORIO_CELSO"</f>
        <v>USR_RELATORIO_CELSO</v>
      </c>
      <c r="G7331" s="2" t="str">
        <f t="shared" si="600"/>
        <v xml:space="preserve"> ()</v>
      </c>
    </row>
    <row r="7332" spans="1:7" x14ac:dyDescent="0.3">
      <c r="A7332" s="1" t="s">
        <v>4</v>
      </c>
      <c r="B7332" s="2" t="str">
        <f t="shared" si="601"/>
        <v>SISTEMA GERADOR DE RELATÓRIOS</v>
      </c>
      <c r="C7332" s="2" t="str">
        <f t="shared" si="602"/>
        <v>SMA-REP</v>
      </c>
      <c r="D7332" s="2" t="str">
        <f t="shared" si="603"/>
        <v>MVREP</v>
      </c>
      <c r="E7332" s="2" t="str">
        <f>"JOSEANE"</f>
        <v>JOSEANE</v>
      </c>
      <c r="F7332" s="2" t="str">
        <f>"USR_JOSEANE"</f>
        <v>USR_JOSEANE</v>
      </c>
      <c r="G7332" s="2" t="str">
        <f t="shared" si="600"/>
        <v xml:space="preserve"> ()</v>
      </c>
    </row>
    <row r="7333" spans="1:7" x14ac:dyDescent="0.3">
      <c r="A7333" s="1" t="s">
        <v>4</v>
      </c>
      <c r="B7333" s="2" t="str">
        <f t="shared" si="601"/>
        <v>SISTEMA GERADOR DE RELATÓRIOS</v>
      </c>
      <c r="C7333" s="2" t="str">
        <f t="shared" si="602"/>
        <v>SMA-REP</v>
      </c>
      <c r="D7333" s="2" t="str">
        <f t="shared" si="603"/>
        <v>MVREP</v>
      </c>
      <c r="E7333" s="2" t="str">
        <f>"sonia"</f>
        <v>sonia</v>
      </c>
      <c r="F7333" s="2" t="str">
        <f>"USR_SONIA"</f>
        <v>USR_SONIA</v>
      </c>
      <c r="G7333" s="2" t="str">
        <f t="shared" si="600"/>
        <v xml:space="preserve"> ()</v>
      </c>
    </row>
    <row r="7334" spans="1:7" x14ac:dyDescent="0.3">
      <c r="A7334" s="1" t="s">
        <v>4</v>
      </c>
      <c r="B7334" s="2" t="str">
        <f t="shared" si="601"/>
        <v>SISTEMA GERADOR DE RELATÓRIOS</v>
      </c>
      <c r="C7334" s="2" t="str">
        <f t="shared" si="602"/>
        <v>SMA-REP</v>
      </c>
      <c r="D7334" s="2" t="str">
        <f t="shared" si="603"/>
        <v>MVREP</v>
      </c>
      <c r="E7334" s="2" t="str">
        <f>"Gerluce Carneiro"</f>
        <v>Gerluce Carneiro</v>
      </c>
      <c r="F7334" s="2" t="str">
        <f>"USR_GERLUCE_CARNEIRO"</f>
        <v>USR_GERLUCE_CARNEIRO</v>
      </c>
      <c r="G7334" s="2" t="str">
        <f t="shared" si="600"/>
        <v xml:space="preserve"> ()</v>
      </c>
    </row>
    <row r="7335" spans="1:7" x14ac:dyDescent="0.3">
      <c r="A7335" s="1" t="s">
        <v>4</v>
      </c>
      <c r="B7335" s="2" t="str">
        <f t="shared" si="601"/>
        <v>SISTEMA GERADOR DE RELATÓRIOS</v>
      </c>
      <c r="C7335" s="2" t="str">
        <f t="shared" si="602"/>
        <v>SMA-REP</v>
      </c>
      <c r="D7335" s="2" t="str">
        <f t="shared" si="603"/>
        <v>MVREP</v>
      </c>
      <c r="E7335" s="2" t="str">
        <f>"Mvreport01"</f>
        <v>Mvreport01</v>
      </c>
      <c r="F7335" s="2" t="str">
        <f>"USR_MVREPORT01"</f>
        <v>USR_MVREPORT01</v>
      </c>
      <c r="G7335" s="2" t="str">
        <f t="shared" si="600"/>
        <v xml:space="preserve"> ()</v>
      </c>
    </row>
    <row r="7336" spans="1:7" x14ac:dyDescent="0.3">
      <c r="A7336" s="1" t="s">
        <v>4</v>
      </c>
      <c r="B7336" s="2" t="str">
        <f t="shared" si="601"/>
        <v>SISTEMA GERADOR DE RELATÓRIOS</v>
      </c>
      <c r="C7336" s="2" t="str">
        <f t="shared" si="602"/>
        <v>SMA-REP</v>
      </c>
      <c r="D7336" s="2" t="str">
        <f t="shared" si="603"/>
        <v>MVREP</v>
      </c>
      <c r="E7336" s="2" t="str">
        <f>"Relatório teste"</f>
        <v>Relatório teste</v>
      </c>
      <c r="F7336" s="2" t="str">
        <f>"USR_RELATORIO_TESTE"</f>
        <v>USR_RELATORIO_TESTE</v>
      </c>
      <c r="G7336" s="2" t="str">
        <f t="shared" si="600"/>
        <v xml:space="preserve"> ()</v>
      </c>
    </row>
    <row r="7337" spans="1:7" x14ac:dyDescent="0.3">
      <c r="A7337" s="1" t="s">
        <v>4</v>
      </c>
      <c r="B7337" s="2" t="str">
        <f t="shared" si="601"/>
        <v>SISTEMA GERADOR DE RELATÓRIOS</v>
      </c>
      <c r="C7337" s="2" t="str">
        <f t="shared" si="602"/>
        <v>SMA-REP</v>
      </c>
      <c r="D7337" s="2" t="str">
        <f t="shared" si="603"/>
        <v>MVREP</v>
      </c>
      <c r="E7337" s="2" t="str">
        <f>"luciano araujo"</f>
        <v>luciano araujo</v>
      </c>
      <c r="F7337" s="2" t="str">
        <f>"USR_LUCIANO_ARAUJO"</f>
        <v>USR_LUCIANO_ARAUJO</v>
      </c>
      <c r="G7337" s="2" t="str">
        <f t="shared" si="600"/>
        <v xml:space="preserve"> ()</v>
      </c>
    </row>
    <row r="7338" spans="1:7" x14ac:dyDescent="0.3">
      <c r="A7338" s="1" t="s">
        <v>4</v>
      </c>
      <c r="B7338" s="2" t="str">
        <f t="shared" si="601"/>
        <v>SISTEMA GERADOR DE RELATÓRIOS</v>
      </c>
      <c r="C7338" s="2" t="str">
        <f t="shared" si="602"/>
        <v>SMA-REP</v>
      </c>
      <c r="D7338" s="2" t="str">
        <f t="shared" si="603"/>
        <v>MVREP</v>
      </c>
      <c r="E7338" s="2" t="str">
        <f>"Rinaldo tetse 03"</f>
        <v>Rinaldo tetse 03</v>
      </c>
      <c r="F7338" s="2" t="str">
        <f>"USR_RINALDO_TETSE_03"</f>
        <v>USR_RINALDO_TETSE_03</v>
      </c>
      <c r="G7338" s="2" t="str">
        <f t="shared" si="600"/>
        <v xml:space="preserve"> ()</v>
      </c>
    </row>
    <row r="7339" spans="1:7" x14ac:dyDescent="0.3">
      <c r="A7339" s="1" t="s">
        <v>4</v>
      </c>
      <c r="B7339" s="2" t="str">
        <f t="shared" si="601"/>
        <v>SISTEMA GERADOR DE RELATÓRIOS</v>
      </c>
      <c r="C7339" s="2" t="str">
        <f t="shared" si="602"/>
        <v>SMA-REP</v>
      </c>
      <c r="D7339" s="2" t="str">
        <f t="shared" si="603"/>
        <v>MVREP</v>
      </c>
      <c r="E7339" s="2" t="str">
        <f>"Instalação Atendimento"</f>
        <v>Instalação Atendimento</v>
      </c>
      <c r="F7339" s="2" t="str">
        <f>"USR_INSTALAÇAO_ATENDIMENTO"</f>
        <v>USR_INSTALAÇAO_ATENDIMENTO</v>
      </c>
      <c r="G7339" s="2" t="str">
        <f t="shared" si="600"/>
        <v xml:space="preserve"> ()</v>
      </c>
    </row>
    <row r="7340" spans="1:7" x14ac:dyDescent="0.3">
      <c r="A7340" s="1" t="s">
        <v>4</v>
      </c>
      <c r="B7340" s="2" t="str">
        <f t="shared" si="601"/>
        <v>SISTEMA GERADOR DE RELATÓRIOS</v>
      </c>
      <c r="C7340" s="2" t="str">
        <f t="shared" si="602"/>
        <v>SMA-REP</v>
      </c>
      <c r="D7340" s="2" t="str">
        <f t="shared" si="603"/>
        <v>MVREP</v>
      </c>
      <c r="E7340" s="2" t="str">
        <f>"Instalação Catálogo"</f>
        <v>Instalação Catálogo</v>
      </c>
      <c r="F7340" s="2" t="str">
        <f>"USR_INSTALAÇAO_CATALOGO"</f>
        <v>USR_INSTALAÇAO_CATALOGO</v>
      </c>
      <c r="G7340" s="2" t="str">
        <f t="shared" si="600"/>
        <v xml:space="preserve"> ()</v>
      </c>
    </row>
    <row r="7341" spans="1:7" x14ac:dyDescent="0.3">
      <c r="A7341" s="1" t="s">
        <v>4</v>
      </c>
      <c r="B7341" s="2" t="str">
        <f t="shared" si="601"/>
        <v>SISTEMA GERADOR DE RELATÓRIOS</v>
      </c>
      <c r="C7341" s="2" t="str">
        <f t="shared" si="602"/>
        <v>SMA-REP</v>
      </c>
      <c r="D7341" s="2" t="str">
        <f t="shared" si="603"/>
        <v>MVREP</v>
      </c>
      <c r="E7341" s="2" t="str">
        <f>"Saida Lavanderia"</f>
        <v>Saida Lavanderia</v>
      </c>
      <c r="F7341" s="2" t="str">
        <f>"USR_SAIDA_LAVANDERIA"</f>
        <v>USR_SAIDA_LAVANDERIA</v>
      </c>
      <c r="G7341" s="2" t="str">
        <f t="shared" si="600"/>
        <v xml:space="preserve"> ()</v>
      </c>
    </row>
    <row r="7342" spans="1:7" x14ac:dyDescent="0.3">
      <c r="A7342" s="1" t="s">
        <v>4</v>
      </c>
      <c r="B7342" s="2" t="str">
        <f t="shared" si="601"/>
        <v>SISTEMA GERADOR DE RELATÓRIOS</v>
      </c>
      <c r="C7342" s="2" t="str">
        <f t="shared" si="602"/>
        <v>SMA-REP</v>
      </c>
      <c r="D7342" s="2" t="str">
        <f t="shared" si="603"/>
        <v>MVREP</v>
      </c>
      <c r="E7342" s="2" t="str">
        <f>"Produção de Saída"</f>
        <v>Produção de Saída</v>
      </c>
      <c r="F7342" s="2" t="str">
        <f>"USR_PRODUCAO_DE_SAIDA"</f>
        <v>USR_PRODUCAO_DE_SAIDA</v>
      </c>
      <c r="G7342" s="2" t="str">
        <f t="shared" si="600"/>
        <v xml:space="preserve"> ()</v>
      </c>
    </row>
    <row r="7343" spans="1:7" x14ac:dyDescent="0.3">
      <c r="A7343" s="1" t="s">
        <v>4</v>
      </c>
      <c r="B7343" s="2" t="str">
        <f t="shared" si="601"/>
        <v>SISTEMA GERADOR DE RELATÓRIOS</v>
      </c>
      <c r="C7343" s="2" t="str">
        <f t="shared" si="602"/>
        <v>SMA-REP</v>
      </c>
      <c r="D7343" s="2" t="str">
        <f t="shared" si="603"/>
        <v>MVREP</v>
      </c>
      <c r="E7343" s="2" t="str">
        <f>"Produção de Entrada"</f>
        <v>Produção de Entrada</v>
      </c>
      <c r="F7343" s="2" t="str">
        <f>"USR_PRODUCAO_DE_ENTRADA"</f>
        <v>USR_PRODUCAO_DE_ENTRADA</v>
      </c>
      <c r="G7343" s="2" t="str">
        <f t="shared" si="600"/>
        <v xml:space="preserve"> ()</v>
      </c>
    </row>
    <row r="7344" spans="1:7" x14ac:dyDescent="0.3">
      <c r="A7344" s="1" t="s">
        <v>4</v>
      </c>
      <c r="B7344" s="2" t="str">
        <f t="shared" si="601"/>
        <v>SISTEMA GERADOR DE RELATÓRIOS</v>
      </c>
      <c r="C7344" s="2" t="str">
        <f t="shared" si="602"/>
        <v>SMA-REP</v>
      </c>
      <c r="D7344" s="2" t="str">
        <f t="shared" si="603"/>
        <v>MVREP</v>
      </c>
      <c r="E7344" s="2" t="str">
        <f>"teste peso"</f>
        <v>teste peso</v>
      </c>
      <c r="F7344" s="2" t="str">
        <f>"USR_TESTE_PESO"</f>
        <v>USR_TESTE_PESO</v>
      </c>
      <c r="G7344" s="2" t="str">
        <f t="shared" si="600"/>
        <v xml:space="preserve"> ()</v>
      </c>
    </row>
    <row r="7345" spans="1:7" x14ac:dyDescent="0.3">
      <c r="A7345" s="1" t="s">
        <v>4</v>
      </c>
      <c r="B7345" s="2" t="str">
        <f t="shared" si="601"/>
        <v>SISTEMA GERADOR DE RELATÓRIOS</v>
      </c>
      <c r="C7345" s="2" t="str">
        <f t="shared" si="602"/>
        <v>SMA-REP</v>
      </c>
      <c r="D7345" s="2" t="str">
        <f t="shared" si="603"/>
        <v>MVREP</v>
      </c>
      <c r="E7345" s="2" t="str">
        <f>"Relatório Atendimento Padrão"</f>
        <v>Relatório Atendimento Padrão</v>
      </c>
      <c r="F7345" s="2" t="str">
        <f>"USR_RELATORIO_ATENDIMENTO_PADRAO"</f>
        <v>USR_RELATORIO_ATENDIMENTO_PADRAO</v>
      </c>
      <c r="G7345" s="2" t="str">
        <f t="shared" si="600"/>
        <v xml:space="preserve"> ()</v>
      </c>
    </row>
    <row r="7346" spans="1:7" x14ac:dyDescent="0.3">
      <c r="A7346" s="1" t="s">
        <v>4</v>
      </c>
      <c r="B7346" s="2" t="str">
        <f t="shared" si="601"/>
        <v>SISTEMA GERADOR DE RELATÓRIOS</v>
      </c>
      <c r="C7346" s="2" t="str">
        <f t="shared" si="602"/>
        <v>SMA-REP</v>
      </c>
      <c r="D7346" s="2" t="str">
        <f t="shared" si="603"/>
        <v>MVREP</v>
      </c>
      <c r="E7346" s="2" t="str">
        <f>"PORTARIA"</f>
        <v>PORTARIA</v>
      </c>
      <c r="F7346" s="2" t="str">
        <f>"MVR_PORTARIA"</f>
        <v>MVR_PORTARIA</v>
      </c>
      <c r="G7346" s="2" t="str">
        <f t="shared" si="600"/>
        <v xml:space="preserve"> ()</v>
      </c>
    </row>
    <row r="7347" spans="1:7" x14ac:dyDescent="0.3">
      <c r="A7347" s="1" t="s">
        <v>4</v>
      </c>
      <c r="B7347" s="2" t="str">
        <f t="shared" si="601"/>
        <v>SISTEMA GERADOR DE RELATÓRIOS</v>
      </c>
      <c r="C7347" s="2" t="str">
        <f t="shared" si="602"/>
        <v>SMA-REP</v>
      </c>
      <c r="D7347" s="2" t="str">
        <f t="shared" si="603"/>
        <v>MVREP</v>
      </c>
      <c r="E7347" s="2" t="str">
        <f>"Lavanderia Saida"</f>
        <v>Lavanderia Saida</v>
      </c>
      <c r="F7347" s="2" t="str">
        <f>"USR_LAVANDERIA_SAIDA"</f>
        <v>USR_LAVANDERIA_SAIDA</v>
      </c>
      <c r="G7347" s="2" t="str">
        <f t="shared" si="600"/>
        <v xml:space="preserve"> ()</v>
      </c>
    </row>
    <row r="7348" spans="1:7" x14ac:dyDescent="0.3">
      <c r="A7348" s="1" t="s">
        <v>4</v>
      </c>
      <c r="B7348" s="2" t="str">
        <f t="shared" si="601"/>
        <v>SISTEMA GERADOR DE RELATÓRIOS</v>
      </c>
      <c r="C7348" s="2" t="str">
        <f t="shared" si="602"/>
        <v>SMA-REP</v>
      </c>
      <c r="D7348" s="2" t="str">
        <f t="shared" si="603"/>
        <v>MVREP</v>
      </c>
      <c r="E7348" s="2" t="str">
        <f>"Saida para Setor"</f>
        <v>Saida para Setor</v>
      </c>
      <c r="F7348" s="2" t="str">
        <f>"USR_SAIDA_PARA_SETOR"</f>
        <v>USR_SAIDA_PARA_SETOR</v>
      </c>
      <c r="G7348" s="2" t="str">
        <f t="shared" si="600"/>
        <v xml:space="preserve"> ()</v>
      </c>
    </row>
    <row r="7349" spans="1:7" x14ac:dyDescent="0.3">
      <c r="A7349" s="1" t="s">
        <v>4</v>
      </c>
      <c r="B7349" s="2" t="str">
        <f t="shared" si="601"/>
        <v>SISTEMA GERADOR DE RELATÓRIOS</v>
      </c>
      <c r="C7349" s="2" t="str">
        <f t="shared" si="602"/>
        <v>SMA-REP</v>
      </c>
      <c r="D7349" s="2" t="str">
        <f t="shared" si="603"/>
        <v>MVREP</v>
      </c>
      <c r="E7349" s="2" t="str">
        <f>"Lavanderia Entrada"</f>
        <v>Lavanderia Entrada</v>
      </c>
      <c r="F7349" s="2" t="str">
        <f>"USR_LAVANDERIA_ENTRADA"</f>
        <v>USR_LAVANDERIA_ENTRADA</v>
      </c>
      <c r="G7349" s="2" t="str">
        <f t="shared" si="600"/>
        <v xml:space="preserve"> ()</v>
      </c>
    </row>
    <row r="7350" spans="1:7" x14ac:dyDescent="0.3">
      <c r="A7350" s="1" t="s">
        <v>4</v>
      </c>
      <c r="B7350" s="2" t="str">
        <f t="shared" si="601"/>
        <v>SISTEMA GERADOR DE RELATÓRIOS</v>
      </c>
      <c r="C7350" s="2" t="str">
        <f t="shared" si="602"/>
        <v>SMA-REP</v>
      </c>
      <c r="D7350" s="2" t="str">
        <f t="shared" si="603"/>
        <v>MVREP</v>
      </c>
      <c r="E7350" s="2" t="str">
        <f>"RELATORIO TESTE COMP"</f>
        <v>RELATORIO TESTE COMP</v>
      </c>
      <c r="F7350" s="2" t="str">
        <f>"USR_RELATORIO_TESTE_COMP"</f>
        <v>USR_RELATORIO_TESTE_COMP</v>
      </c>
      <c r="G7350" s="2" t="str">
        <f t="shared" si="600"/>
        <v xml:space="preserve"> ()</v>
      </c>
    </row>
    <row r="7351" spans="1:7" x14ac:dyDescent="0.3">
      <c r="A7351" s="1" t="s">
        <v>4</v>
      </c>
      <c r="B7351" s="2" t="str">
        <f t="shared" si="601"/>
        <v>SISTEMA GERADOR DE RELATÓRIOS</v>
      </c>
      <c r="C7351" s="2" t="str">
        <f t="shared" si="602"/>
        <v>SMA-REP</v>
      </c>
      <c r="D7351" s="2" t="str">
        <f t="shared" si="603"/>
        <v>MVREP</v>
      </c>
      <c r="E7351" s="2" t="str">
        <f>"Tempo Medio por Periodo"</f>
        <v>Tempo Medio por Periodo</v>
      </c>
      <c r="F7351" s="2" t="str">
        <f>"USR_COPIA_TOTAL_ENTRADAS_PERIODO"</f>
        <v>USR_COPIA_TOTAL_ENTRADAS_PERIODO</v>
      </c>
      <c r="G7351" s="2" t="str">
        <f t="shared" si="600"/>
        <v xml:space="preserve"> ()</v>
      </c>
    </row>
    <row r="7352" spans="1:7" x14ac:dyDescent="0.3">
      <c r="A7352" s="1" t="s">
        <v>4</v>
      </c>
      <c r="B7352" s="2" t="str">
        <f t="shared" si="601"/>
        <v>SISTEMA GERADOR DE RELATÓRIOS</v>
      </c>
      <c r="C7352" s="2" t="str">
        <f t="shared" si="602"/>
        <v>SMA-REP</v>
      </c>
      <c r="D7352" s="2" t="str">
        <f t="shared" si="603"/>
        <v>MVREP</v>
      </c>
      <c r="E7352" s="2" t="str">
        <f>"Horario Expirado"</f>
        <v>Horario Expirado</v>
      </c>
      <c r="F7352" s="2" t="str">
        <f>"USR_HORARIO_EXPIRADO"</f>
        <v>USR_HORARIO_EXPIRADO</v>
      </c>
      <c r="G7352" s="2" t="str">
        <f t="shared" ref="G7352:G7415" si="604">" ()"</f>
        <v xml:space="preserve"> ()</v>
      </c>
    </row>
    <row r="7353" spans="1:7" x14ac:dyDescent="0.3">
      <c r="A7353" s="1" t="s">
        <v>4</v>
      </c>
      <c r="B7353" s="2" t="str">
        <f t="shared" si="601"/>
        <v>SISTEMA GERADOR DE RELATÓRIOS</v>
      </c>
      <c r="C7353" s="2" t="str">
        <f t="shared" si="602"/>
        <v>SMA-REP</v>
      </c>
      <c r="D7353" s="2" t="str">
        <f t="shared" si="603"/>
        <v>MVREP</v>
      </c>
      <c r="E7353" s="2" t="str">
        <f>"Modelo_Referência"</f>
        <v>Modelo_Referência</v>
      </c>
      <c r="F7353" s="2" t="str">
        <f>"USR_MODELO_REFERENCIA"</f>
        <v>USR_MODELO_REFERENCIA</v>
      </c>
      <c r="G7353" s="2" t="str">
        <f t="shared" si="604"/>
        <v xml:space="preserve"> ()</v>
      </c>
    </row>
    <row r="7354" spans="1:7" x14ac:dyDescent="0.3">
      <c r="A7354" s="1" t="s">
        <v>4</v>
      </c>
      <c r="B7354" s="2" t="str">
        <f t="shared" si="601"/>
        <v>SISTEMA GERADOR DE RELATÓRIOS</v>
      </c>
      <c r="C7354" s="2" t="str">
        <f t="shared" si="602"/>
        <v>SMA-REP</v>
      </c>
      <c r="D7354" s="2" t="str">
        <f t="shared" si="603"/>
        <v>MVREP</v>
      </c>
      <c r="E7354" s="2" t="str">
        <f>"Modelo Prescricao"</f>
        <v>Modelo Prescricao</v>
      </c>
      <c r="F7354" s="2" t="str">
        <f>"USR_MODELO_PRESCRICAO"</f>
        <v>USR_MODELO_PRESCRICAO</v>
      </c>
      <c r="G7354" s="2" t="str">
        <f t="shared" si="604"/>
        <v xml:space="preserve"> ()</v>
      </c>
    </row>
    <row r="7355" spans="1:7" x14ac:dyDescent="0.3">
      <c r="A7355" s="1" t="s">
        <v>4</v>
      </c>
      <c r="B7355" s="2" t="str">
        <f t="shared" si="601"/>
        <v>SISTEMA GERADOR DE RELATÓRIOS</v>
      </c>
      <c r="C7355" s="2" t="str">
        <f t="shared" si="602"/>
        <v>SMA-REP</v>
      </c>
      <c r="D7355" s="2" t="str">
        <f t="shared" si="603"/>
        <v>MVREP</v>
      </c>
      <c r="E7355" s="2" t="str">
        <f>"Modelo_PAGU"</f>
        <v>Modelo_PAGU</v>
      </c>
      <c r="F7355" s="2" t="str">
        <f>"USR_MODELO_PAGU"</f>
        <v>USR_MODELO_PAGU</v>
      </c>
      <c r="G7355" s="2" t="str">
        <f t="shared" si="604"/>
        <v xml:space="preserve"> ()</v>
      </c>
    </row>
    <row r="7356" spans="1:7" x14ac:dyDescent="0.3">
      <c r="A7356" s="1" t="s">
        <v>4</v>
      </c>
      <c r="B7356" s="2" t="str">
        <f t="shared" si="601"/>
        <v>SISTEMA GERADOR DE RELATÓRIOS</v>
      </c>
      <c r="C7356" s="2" t="str">
        <f t="shared" si="602"/>
        <v>SMA-REP</v>
      </c>
      <c r="D7356" s="2" t="str">
        <f t="shared" si="603"/>
        <v>MVREP</v>
      </c>
      <c r="E7356" s="2" t="str">
        <f>"Boletim Int"</f>
        <v>Boletim Int</v>
      </c>
      <c r="F7356" s="2" t="str">
        <f>"USR_BOLETIM_INT"</f>
        <v>USR_BOLETIM_INT</v>
      </c>
      <c r="G7356" s="2" t="str">
        <f t="shared" si="604"/>
        <v xml:space="preserve"> ()</v>
      </c>
    </row>
    <row r="7357" spans="1:7" x14ac:dyDescent="0.3">
      <c r="A7357" s="1" t="s">
        <v>4</v>
      </c>
      <c r="B7357" s="2" t="str">
        <f t="shared" ref="B7357:B7420" si="605">"SISTEMA GERADOR DE RELATÓRIOS"</f>
        <v>SISTEMA GERADOR DE RELATÓRIOS</v>
      </c>
      <c r="C7357" s="2" t="str">
        <f t="shared" ref="C7357:C7420" si="606">"SMA-REP"</f>
        <v>SMA-REP</v>
      </c>
      <c r="D7357" s="2" t="str">
        <f t="shared" ref="D7357:D7420" si="607">"MVREP"</f>
        <v>MVREP</v>
      </c>
      <c r="E7357" s="2" t="str">
        <f>"Relacao Prestadores"</f>
        <v>Relacao Prestadores</v>
      </c>
      <c r="F7357" s="2" t="str">
        <f>"USR_RELACAO_PRESTADORES"</f>
        <v>USR_RELACAO_PRESTADORES</v>
      </c>
      <c r="G7357" s="2" t="str">
        <f t="shared" si="604"/>
        <v xml:space="preserve"> ()</v>
      </c>
    </row>
    <row r="7358" spans="1:7" x14ac:dyDescent="0.3">
      <c r="A7358" s="1" t="s">
        <v>4</v>
      </c>
      <c r="B7358" s="2" t="str">
        <f t="shared" si="605"/>
        <v>SISTEMA GERADOR DE RELATÓRIOS</v>
      </c>
      <c r="C7358" s="2" t="str">
        <f t="shared" si="606"/>
        <v>SMA-REP</v>
      </c>
      <c r="D7358" s="2" t="str">
        <f t="shared" si="607"/>
        <v>MVREP</v>
      </c>
      <c r="E7358" s="2" t="str">
        <f>"Teste Union User"</f>
        <v>Teste Union User</v>
      </c>
      <c r="F7358" s="2" t="str">
        <f>"USR_TESTE_UNION_USER"</f>
        <v>USR_TESTE_UNION_USER</v>
      </c>
      <c r="G7358" s="2" t="str">
        <f t="shared" si="604"/>
        <v xml:space="preserve"> ()</v>
      </c>
    </row>
    <row r="7359" spans="1:7" x14ac:dyDescent="0.3">
      <c r="A7359" s="1" t="s">
        <v>4</v>
      </c>
      <c r="B7359" s="2" t="str">
        <f t="shared" si="605"/>
        <v>SISTEMA GERADOR DE RELATÓRIOS</v>
      </c>
      <c r="C7359" s="2" t="str">
        <f t="shared" si="606"/>
        <v>SMA-REP</v>
      </c>
      <c r="D7359" s="2" t="str">
        <f t="shared" si="607"/>
        <v>MVREP</v>
      </c>
      <c r="E7359" s="2" t="str">
        <f>"Teste Union"</f>
        <v>Teste Union</v>
      </c>
      <c r="F7359" s="2" t="str">
        <f>"MVR_TESTE_REGION"</f>
        <v>MVR_TESTE_REGION</v>
      </c>
      <c r="G7359" s="2" t="str">
        <f t="shared" si="604"/>
        <v xml:space="preserve"> ()</v>
      </c>
    </row>
    <row r="7360" spans="1:7" x14ac:dyDescent="0.3">
      <c r="A7360" s="1" t="s">
        <v>4</v>
      </c>
      <c r="B7360" s="2" t="str">
        <f t="shared" si="605"/>
        <v>SISTEMA GERADOR DE RELATÓRIOS</v>
      </c>
      <c r="C7360" s="2" t="str">
        <f t="shared" si="606"/>
        <v>SMA-REP</v>
      </c>
      <c r="D7360" s="2" t="str">
        <f t="shared" si="607"/>
        <v>MVREP</v>
      </c>
      <c r="E7360" s="2" t="str">
        <f>"Quantitativo Exame Imagem Convenio"</f>
        <v>Quantitativo Exame Imagem Convenio</v>
      </c>
      <c r="F7360" s="2" t="str">
        <f>"USR_QUANTITATIVO_EXAME_IMAGEM_CONVE"</f>
        <v>USR_QUANTITATIVO_EXAME_IMAGEM_CONVE</v>
      </c>
      <c r="G7360" s="2" t="str">
        <f t="shared" si="604"/>
        <v xml:space="preserve"> ()</v>
      </c>
    </row>
    <row r="7361" spans="1:7" x14ac:dyDescent="0.3">
      <c r="A7361" s="1" t="s">
        <v>4</v>
      </c>
      <c r="B7361" s="2" t="str">
        <f t="shared" si="605"/>
        <v>SISTEMA GERADOR DE RELATÓRIOS</v>
      </c>
      <c r="C7361" s="2" t="str">
        <f t="shared" si="606"/>
        <v>SMA-REP</v>
      </c>
      <c r="D7361" s="2" t="str">
        <f t="shared" si="607"/>
        <v>MVREP</v>
      </c>
      <c r="E7361" s="2" t="str">
        <f>"Relatorio de Pedidos"</f>
        <v>Relatorio de Pedidos</v>
      </c>
      <c r="F7361" s="2" t="str">
        <f>"MVR_RELATORIO_DE_PEDIDOS"</f>
        <v>MVR_RELATORIO_DE_PEDIDOS</v>
      </c>
      <c r="G7361" s="2" t="str">
        <f t="shared" si="604"/>
        <v xml:space="preserve"> ()</v>
      </c>
    </row>
    <row r="7362" spans="1:7" x14ac:dyDescent="0.3">
      <c r="A7362" s="1" t="s">
        <v>4</v>
      </c>
      <c r="B7362" s="2" t="str">
        <f t="shared" si="605"/>
        <v>SISTEMA GERADOR DE RELATÓRIOS</v>
      </c>
      <c r="C7362" s="2" t="str">
        <f t="shared" si="606"/>
        <v>SMA-REP</v>
      </c>
      <c r="D7362" s="2" t="str">
        <f t="shared" si="607"/>
        <v>MVREP</v>
      </c>
      <c r="E7362" s="2" t="str">
        <f>"Teste Passagem de Plantão"</f>
        <v>Teste Passagem de Plantão</v>
      </c>
      <c r="F7362" s="2" t="str">
        <f>"MVR_TESTE_PASSAGEM_DE_PLANTAO"</f>
        <v>MVR_TESTE_PASSAGEM_DE_PLANTAO</v>
      </c>
      <c r="G7362" s="2" t="str">
        <f t="shared" si="604"/>
        <v xml:space="preserve"> ()</v>
      </c>
    </row>
    <row r="7363" spans="1:7" x14ac:dyDescent="0.3">
      <c r="A7363" s="1" t="s">
        <v>4</v>
      </c>
      <c r="B7363" s="2" t="str">
        <f t="shared" si="605"/>
        <v>SISTEMA GERADOR DE RELATÓRIOS</v>
      </c>
      <c r="C7363" s="2" t="str">
        <f t="shared" si="606"/>
        <v>SMA-REP</v>
      </c>
      <c r="D7363" s="2" t="str">
        <f t="shared" si="607"/>
        <v>MVREP</v>
      </c>
      <c r="E7363" s="2" t="str">
        <f>"Passagem de Plantão por Unidade"</f>
        <v>Passagem de Plantão por Unidade</v>
      </c>
      <c r="F7363" s="2" t="str">
        <f>"MVR_PASSAGEM_DE_PLANTAO_POR_UNIDADE"</f>
        <v>MVR_PASSAGEM_DE_PLANTAO_POR_UNIDADE</v>
      </c>
      <c r="G7363" s="2" t="str">
        <f t="shared" si="604"/>
        <v xml:space="preserve"> ()</v>
      </c>
    </row>
    <row r="7364" spans="1:7" x14ac:dyDescent="0.3">
      <c r="A7364" s="1" t="s">
        <v>4</v>
      </c>
      <c r="B7364" s="2" t="str">
        <f t="shared" si="605"/>
        <v>SISTEMA GERADOR DE RELATÓRIOS</v>
      </c>
      <c r="C7364" s="2" t="str">
        <f t="shared" si="606"/>
        <v>SMA-REP</v>
      </c>
      <c r="D7364" s="2" t="str">
        <f t="shared" si="607"/>
        <v>MVREP</v>
      </c>
      <c r="E7364" s="2" t="str">
        <f>"Relatório de compras"</f>
        <v>Relatório de compras</v>
      </c>
      <c r="F7364" s="2" t="str">
        <f>"USR_RELATORIO_DE_COMPRAS"</f>
        <v>USR_RELATORIO_DE_COMPRAS</v>
      </c>
      <c r="G7364" s="2" t="str">
        <f t="shared" si="604"/>
        <v xml:space="preserve"> ()</v>
      </c>
    </row>
    <row r="7365" spans="1:7" x14ac:dyDescent="0.3">
      <c r="A7365" s="1" t="s">
        <v>4</v>
      </c>
      <c r="B7365" s="2" t="str">
        <f t="shared" si="605"/>
        <v>SISTEMA GERADOR DE RELATÓRIOS</v>
      </c>
      <c r="C7365" s="2" t="str">
        <f t="shared" si="606"/>
        <v>SMA-REP</v>
      </c>
      <c r="D7365" s="2" t="str">
        <f t="shared" si="607"/>
        <v>MVREP</v>
      </c>
      <c r="E7365" s="2" t="str">
        <f>"r_saida_setor"</f>
        <v>r_saida_setor</v>
      </c>
      <c r="F7365" s="2" t="str">
        <f>"USR_R_SAIDA_SETOR"</f>
        <v>USR_R_SAIDA_SETOR</v>
      </c>
      <c r="G7365" s="2" t="str">
        <f t="shared" si="604"/>
        <v xml:space="preserve"> ()</v>
      </c>
    </row>
    <row r="7366" spans="1:7" x14ac:dyDescent="0.3">
      <c r="A7366" s="1" t="s">
        <v>4</v>
      </c>
      <c r="B7366" s="2" t="str">
        <f t="shared" si="605"/>
        <v>SISTEMA GERADOR DE RELATÓRIOS</v>
      </c>
      <c r="C7366" s="2" t="str">
        <f t="shared" si="606"/>
        <v>SMA-REP</v>
      </c>
      <c r="D7366" s="2" t="str">
        <f t="shared" si="607"/>
        <v>MVREP</v>
      </c>
      <c r="E7366" s="2" t="str">
        <f>"Rotulo_dose2"</f>
        <v>Rotulo_dose2</v>
      </c>
      <c r="F7366" s="2" t="str">
        <f>"USR_ROTULO_DOSE2"</f>
        <v>USR_ROTULO_DOSE2</v>
      </c>
      <c r="G7366" s="2" t="str">
        <f t="shared" si="604"/>
        <v xml:space="preserve"> ()</v>
      </c>
    </row>
    <row r="7367" spans="1:7" x14ac:dyDescent="0.3">
      <c r="A7367" s="1" t="s">
        <v>4</v>
      </c>
      <c r="B7367" s="2" t="str">
        <f t="shared" si="605"/>
        <v>SISTEMA GERADOR DE RELATÓRIOS</v>
      </c>
      <c r="C7367" s="2" t="str">
        <f t="shared" si="606"/>
        <v>SMA-REP</v>
      </c>
      <c r="D7367" s="2" t="str">
        <f t="shared" si="607"/>
        <v>MVREP</v>
      </c>
      <c r="E7367" s="2" t="str">
        <f>"Patologia por Cidade"</f>
        <v>Patologia por Cidade</v>
      </c>
      <c r="F7367" s="2" t="str">
        <f>"MVR_PATOLOGIA_POR_CIDADE"</f>
        <v>MVR_PATOLOGIA_POR_CIDADE</v>
      </c>
      <c r="G7367" s="2" t="str">
        <f t="shared" si="604"/>
        <v xml:space="preserve"> ()</v>
      </c>
    </row>
    <row r="7368" spans="1:7" x14ac:dyDescent="0.3">
      <c r="A7368" s="1" t="s">
        <v>4</v>
      </c>
      <c r="B7368" s="2" t="str">
        <f t="shared" si="605"/>
        <v>SISTEMA GERADOR DE RELATÓRIOS</v>
      </c>
      <c r="C7368" s="2" t="str">
        <f t="shared" si="606"/>
        <v>SMA-REP</v>
      </c>
      <c r="D7368" s="2" t="str">
        <f t="shared" si="607"/>
        <v>MVREP</v>
      </c>
      <c r="E7368" s="2" t="str">
        <f>"Contas em Aberto"</f>
        <v>Contas em Aberto</v>
      </c>
      <c r="F7368" s="2" t="str">
        <f>"MVR_CONTAS_EM_ABERTO"</f>
        <v>MVR_CONTAS_EM_ABERTO</v>
      </c>
      <c r="G7368" s="2" t="str">
        <f t="shared" si="604"/>
        <v xml:space="preserve"> ()</v>
      </c>
    </row>
    <row r="7369" spans="1:7" x14ac:dyDescent="0.3">
      <c r="A7369" s="1" t="s">
        <v>4</v>
      </c>
      <c r="B7369" s="2" t="str">
        <f t="shared" si="605"/>
        <v>SISTEMA GERADOR DE RELATÓRIOS</v>
      </c>
      <c r="C7369" s="2" t="str">
        <f t="shared" si="606"/>
        <v>SMA-REP</v>
      </c>
      <c r="D7369" s="2" t="str">
        <f t="shared" si="607"/>
        <v>MVREP</v>
      </c>
      <c r="E7369" s="2" t="str">
        <f>"Boletim Etiqueta Matricial"</f>
        <v>Boletim Etiqueta Matricial</v>
      </c>
      <c r="F7369" s="2" t="str">
        <f>"MVR_BOLETIM_ETIQUETA_MATRICIAL"</f>
        <v>MVR_BOLETIM_ETIQUETA_MATRICIAL</v>
      </c>
      <c r="G7369" s="2" t="str">
        <f t="shared" si="604"/>
        <v xml:space="preserve"> ()</v>
      </c>
    </row>
    <row r="7370" spans="1:7" x14ac:dyDescent="0.3">
      <c r="A7370" s="1" t="s">
        <v>4</v>
      </c>
      <c r="B7370" s="2" t="str">
        <f t="shared" si="605"/>
        <v>SISTEMA GERADOR DE RELATÓRIOS</v>
      </c>
      <c r="C7370" s="2" t="str">
        <f t="shared" si="606"/>
        <v>SMA-REP</v>
      </c>
      <c r="D7370" s="2" t="str">
        <f t="shared" si="607"/>
        <v>MVREP</v>
      </c>
      <c r="E7370" s="2" t="str">
        <f>"Boletim Internação Etiqueta Char 2"</f>
        <v>Boletim Internação Etiqueta Char 2</v>
      </c>
      <c r="F7370" s="2" t="str">
        <f>"MVR_BOLETIM_INTERNAÇAO_ETIQUETA_CHA"</f>
        <v>MVR_BOLETIM_INTERNAÇAO_ETIQUETA_CHA</v>
      </c>
      <c r="G7370" s="2" t="str">
        <f t="shared" si="604"/>
        <v xml:space="preserve"> ()</v>
      </c>
    </row>
    <row r="7371" spans="1:7" x14ac:dyDescent="0.3">
      <c r="A7371" s="1" t="s">
        <v>4</v>
      </c>
      <c r="B7371" s="2" t="str">
        <f t="shared" si="605"/>
        <v>SISTEMA GERADOR DE RELATÓRIOS</v>
      </c>
      <c r="C7371" s="2" t="str">
        <f t="shared" si="606"/>
        <v>SMA-REP</v>
      </c>
      <c r="D7371" s="2" t="str">
        <f t="shared" si="607"/>
        <v>MVREP</v>
      </c>
      <c r="E7371" s="2" t="str">
        <f>"Documento"</f>
        <v>Documento</v>
      </c>
      <c r="F7371" s="2" t="str">
        <f>"USR_DOCUMENTO"</f>
        <v>USR_DOCUMENTO</v>
      </c>
      <c r="G7371" s="2" t="str">
        <f t="shared" si="604"/>
        <v xml:space="preserve"> ()</v>
      </c>
    </row>
    <row r="7372" spans="1:7" x14ac:dyDescent="0.3">
      <c r="A7372" s="1" t="s">
        <v>4</v>
      </c>
      <c r="B7372" s="2" t="str">
        <f t="shared" si="605"/>
        <v>SISTEMA GERADOR DE RELATÓRIOS</v>
      </c>
      <c r="C7372" s="2" t="str">
        <f t="shared" si="606"/>
        <v>SMA-REP</v>
      </c>
      <c r="D7372" s="2" t="str">
        <f t="shared" si="607"/>
        <v>MVREP</v>
      </c>
      <c r="E7372" s="2" t="str">
        <f>"Boletim Internação Etiqueta Char"</f>
        <v>Boletim Internação Etiqueta Char</v>
      </c>
      <c r="F7372" s="2" t="str">
        <f>"MVR_BOLETIM_INTERN_ETIQUETA_CHAR"</f>
        <v>MVR_BOLETIM_INTERN_ETIQUETA_CHAR</v>
      </c>
      <c r="G7372" s="2" t="str">
        <f t="shared" si="604"/>
        <v xml:space="preserve"> ()</v>
      </c>
    </row>
    <row r="7373" spans="1:7" x14ac:dyDescent="0.3">
      <c r="A7373" s="1" t="s">
        <v>4</v>
      </c>
      <c r="B7373" s="2" t="str">
        <f t="shared" si="605"/>
        <v>SISTEMA GERADOR DE RELATÓRIOS</v>
      </c>
      <c r="C7373" s="2" t="str">
        <f t="shared" si="606"/>
        <v>SMA-REP</v>
      </c>
      <c r="D7373" s="2" t="str">
        <f t="shared" si="607"/>
        <v>MVREP</v>
      </c>
      <c r="E7373" s="2" t="str">
        <f>"Boletim de Internacao"</f>
        <v>Boletim de Internacao</v>
      </c>
      <c r="F7373" s="2" t="str">
        <f>"MVR_BOLETIM_DE_INTERNACAO"</f>
        <v>MVR_BOLETIM_DE_INTERNACAO</v>
      </c>
      <c r="G7373" s="2" t="str">
        <f t="shared" si="604"/>
        <v xml:space="preserve"> ()</v>
      </c>
    </row>
    <row r="7374" spans="1:7" x14ac:dyDescent="0.3">
      <c r="A7374" s="1" t="s">
        <v>4</v>
      </c>
      <c r="B7374" s="2" t="str">
        <f t="shared" si="605"/>
        <v>SISTEMA GERADOR DE RELATÓRIOS</v>
      </c>
      <c r="C7374" s="2" t="str">
        <f t="shared" si="606"/>
        <v>SMA-REP</v>
      </c>
      <c r="D7374" s="2" t="str">
        <f t="shared" si="607"/>
        <v>MVREP</v>
      </c>
      <c r="E7374" s="2" t="str">
        <f>"Dados do Same"</f>
        <v>Dados do Same</v>
      </c>
      <c r="F7374" s="2" t="str">
        <f>"USR_DADOS_DO_SAME"</f>
        <v>USR_DADOS_DO_SAME</v>
      </c>
      <c r="G7374" s="2" t="str">
        <f t="shared" si="604"/>
        <v xml:space="preserve"> ()</v>
      </c>
    </row>
    <row r="7375" spans="1:7" x14ac:dyDescent="0.3">
      <c r="A7375" s="1" t="s">
        <v>4</v>
      </c>
      <c r="B7375" s="2" t="str">
        <f t="shared" si="605"/>
        <v>SISTEMA GERADOR DE RELATÓRIOS</v>
      </c>
      <c r="C7375" s="2" t="str">
        <f t="shared" si="606"/>
        <v>SMA-REP</v>
      </c>
      <c r="D7375" s="2" t="str">
        <f t="shared" si="607"/>
        <v>MVREP</v>
      </c>
      <c r="E7375" s="2" t="str">
        <f>"Teste_CRER"</f>
        <v>Teste_CRER</v>
      </c>
      <c r="F7375" s="2" t="str">
        <f>"USR_TESTE_CRER"</f>
        <v>USR_TESTE_CRER</v>
      </c>
      <c r="G7375" s="2" t="str">
        <f t="shared" si="604"/>
        <v xml:space="preserve"> ()</v>
      </c>
    </row>
    <row r="7376" spans="1:7" x14ac:dyDescent="0.3">
      <c r="A7376" s="1" t="s">
        <v>4</v>
      </c>
      <c r="B7376" s="2" t="str">
        <f t="shared" si="605"/>
        <v>SISTEMA GERADOR DE RELATÓRIOS</v>
      </c>
      <c r="C7376" s="2" t="str">
        <f t="shared" si="606"/>
        <v>SMA-REP</v>
      </c>
      <c r="D7376" s="2" t="str">
        <f t="shared" si="607"/>
        <v>MVREP</v>
      </c>
      <c r="E7376" s="2" t="str">
        <f>"vdic_impostos_fornecedor2"</f>
        <v>vdic_impostos_fornecedor2</v>
      </c>
      <c r="F7376" s="2" t="str">
        <f>"USR_VDIC_IMPOSTOS_FORNECEDOR"</f>
        <v>USR_VDIC_IMPOSTOS_FORNECEDOR</v>
      </c>
      <c r="G7376" s="2" t="str">
        <f t="shared" si="604"/>
        <v xml:space="preserve"> ()</v>
      </c>
    </row>
    <row r="7377" spans="1:7" x14ac:dyDescent="0.3">
      <c r="A7377" s="1" t="s">
        <v>4</v>
      </c>
      <c r="B7377" s="2" t="str">
        <f t="shared" si="605"/>
        <v>SISTEMA GERADOR DE RELATÓRIOS</v>
      </c>
      <c r="C7377" s="2" t="str">
        <f t="shared" si="606"/>
        <v>SMA-REP</v>
      </c>
      <c r="D7377" s="2" t="str">
        <f t="shared" si="607"/>
        <v>MVREP</v>
      </c>
      <c r="E7377" s="2" t="str">
        <f>"Teste de PDA"</f>
        <v>Teste de PDA</v>
      </c>
      <c r="F7377" s="2" t="str">
        <f>"USR_TESTE_DE_PDA"</f>
        <v>USR_TESTE_DE_PDA</v>
      </c>
      <c r="G7377" s="2" t="str">
        <f t="shared" si="604"/>
        <v xml:space="preserve"> ()</v>
      </c>
    </row>
    <row r="7378" spans="1:7" x14ac:dyDescent="0.3">
      <c r="A7378" s="1" t="s">
        <v>4</v>
      </c>
      <c r="B7378" s="2" t="str">
        <f t="shared" si="605"/>
        <v>SISTEMA GERADOR DE RELATÓRIOS</v>
      </c>
      <c r="C7378" s="2" t="str">
        <f t="shared" si="606"/>
        <v>SMA-REP</v>
      </c>
      <c r="D7378" s="2" t="str">
        <f t="shared" si="607"/>
        <v>MVREP</v>
      </c>
      <c r="E7378" s="2" t="str">
        <f>"teste ana paula rs"</f>
        <v>teste ana paula rs</v>
      </c>
      <c r="F7378" s="2" t="str">
        <f>"USR_TESTE_ANA_PAULA_RS"</f>
        <v>USR_TESTE_ANA_PAULA_RS</v>
      </c>
      <c r="G7378" s="2" t="str">
        <f t="shared" si="604"/>
        <v xml:space="preserve"> ()</v>
      </c>
    </row>
    <row r="7379" spans="1:7" x14ac:dyDescent="0.3">
      <c r="A7379" s="1" t="s">
        <v>4</v>
      </c>
      <c r="B7379" s="2" t="str">
        <f t="shared" si="605"/>
        <v>SISTEMA GERADOR DE RELATÓRIOS</v>
      </c>
      <c r="C7379" s="2" t="str">
        <f t="shared" si="606"/>
        <v>SMA-REP</v>
      </c>
      <c r="D7379" s="2" t="str">
        <f t="shared" si="607"/>
        <v>MVREP</v>
      </c>
      <c r="E7379" s="2" t="str">
        <f>"VDIC_TEX_RX"</f>
        <v>VDIC_TEX_RX</v>
      </c>
      <c r="F7379" s="2" t="str">
        <f>"USR_XXXX"</f>
        <v>USR_XXXX</v>
      </c>
      <c r="G7379" s="2" t="str">
        <f t="shared" si="604"/>
        <v xml:space="preserve"> ()</v>
      </c>
    </row>
    <row r="7380" spans="1:7" x14ac:dyDescent="0.3">
      <c r="A7380" s="1" t="s">
        <v>4</v>
      </c>
      <c r="B7380" s="2" t="str">
        <f t="shared" si="605"/>
        <v>SISTEMA GERADOR DE RELATÓRIOS</v>
      </c>
      <c r="C7380" s="2" t="str">
        <f t="shared" si="606"/>
        <v>SMA-REP</v>
      </c>
      <c r="D7380" s="2" t="str">
        <f t="shared" si="607"/>
        <v>MVREP</v>
      </c>
      <c r="E7380" s="2" t="str">
        <f>"termo"</f>
        <v>termo</v>
      </c>
      <c r="F7380" s="2" t="str">
        <f>"USR_TERMO"</f>
        <v>USR_TERMO</v>
      </c>
      <c r="G7380" s="2" t="str">
        <f t="shared" si="604"/>
        <v xml:space="preserve"> ()</v>
      </c>
    </row>
    <row r="7381" spans="1:7" x14ac:dyDescent="0.3">
      <c r="A7381" s="1" t="s">
        <v>4</v>
      </c>
      <c r="B7381" s="2" t="str">
        <f t="shared" si="605"/>
        <v>SISTEMA GERADOR DE RELATÓRIOS</v>
      </c>
      <c r="C7381" s="2" t="str">
        <f t="shared" si="606"/>
        <v>SMA-REP</v>
      </c>
      <c r="D7381" s="2" t="str">
        <f t="shared" si="607"/>
        <v>MVREP</v>
      </c>
      <c r="E7381" s="2" t="str">
        <f>"PDA199276"</f>
        <v>PDA199276</v>
      </c>
      <c r="F7381" s="2" t="str">
        <f>"USR_PDA199276"</f>
        <v>USR_PDA199276</v>
      </c>
      <c r="G7381" s="2" t="str">
        <f t="shared" si="604"/>
        <v xml:space="preserve"> ()</v>
      </c>
    </row>
    <row r="7382" spans="1:7" x14ac:dyDescent="0.3">
      <c r="A7382" s="1" t="s">
        <v>17</v>
      </c>
      <c r="B7382" s="2" t="str">
        <f t="shared" si="605"/>
        <v>SISTEMA GERADOR DE RELATÓRIOS</v>
      </c>
      <c r="C7382" s="2" t="str">
        <f t="shared" si="606"/>
        <v>SMA-REP</v>
      </c>
      <c r="D7382" s="2" t="str">
        <f t="shared" si="607"/>
        <v>MVREP</v>
      </c>
      <c r="E7382" s="2" t="str">
        <f>"mapa cirurgico"</f>
        <v>mapa cirurgico</v>
      </c>
      <c r="F7382" s="2" t="str">
        <f>"USR_MAPA_CIRURGICO"</f>
        <v>USR_MAPA_CIRURGICO</v>
      </c>
      <c r="G7382" s="2" t="str">
        <f t="shared" si="604"/>
        <v xml:space="preserve"> ()</v>
      </c>
    </row>
    <row r="7383" spans="1:7" x14ac:dyDescent="0.3">
      <c r="A7383" s="1" t="s">
        <v>4</v>
      </c>
      <c r="B7383" s="2" t="str">
        <f t="shared" si="605"/>
        <v>SISTEMA GERADOR DE RELATÓRIOS</v>
      </c>
      <c r="C7383" s="2" t="str">
        <f t="shared" si="606"/>
        <v>SMA-REP</v>
      </c>
      <c r="D7383" s="2" t="str">
        <f t="shared" si="607"/>
        <v>MVREP</v>
      </c>
      <c r="E7383" s="2" t="str">
        <f>"Relat_HBM"</f>
        <v>Relat_HBM</v>
      </c>
      <c r="F7383" s="2" t="str">
        <f>"USR_RELAT_HBM"</f>
        <v>USR_RELAT_HBM</v>
      </c>
      <c r="G7383" s="2" t="str">
        <f t="shared" si="604"/>
        <v xml:space="preserve"> ()</v>
      </c>
    </row>
    <row r="7384" spans="1:7" x14ac:dyDescent="0.3">
      <c r="A7384" s="1" t="s">
        <v>4</v>
      </c>
      <c r="B7384" s="2" t="str">
        <f t="shared" si="605"/>
        <v>SISTEMA GERADOR DE RELATÓRIOS</v>
      </c>
      <c r="C7384" s="2" t="str">
        <f t="shared" si="606"/>
        <v>SMA-REP</v>
      </c>
      <c r="D7384" s="2" t="str">
        <f t="shared" si="607"/>
        <v>MVREP</v>
      </c>
      <c r="E7384" s="2" t="str">
        <f>"Relat_HBm_Remessa_IPE"</f>
        <v>Relat_HBm_Remessa_IPE</v>
      </c>
      <c r="F7384" s="2" t="str">
        <f>"USR_RELAT_HBM_REMESSA_IPE"</f>
        <v>USR_RELAT_HBM_REMESSA_IPE</v>
      </c>
      <c r="G7384" s="2" t="str">
        <f t="shared" si="604"/>
        <v xml:space="preserve"> ()</v>
      </c>
    </row>
    <row r="7385" spans="1:7" x14ac:dyDescent="0.3">
      <c r="A7385" s="1" t="s">
        <v>4</v>
      </c>
      <c r="B7385" s="2" t="str">
        <f t="shared" si="605"/>
        <v>SISTEMA GERADOR DE RELATÓRIOS</v>
      </c>
      <c r="C7385" s="2" t="str">
        <f t="shared" si="606"/>
        <v>SMA-REP</v>
      </c>
      <c r="D7385" s="2" t="str">
        <f t="shared" si="607"/>
        <v>MVREP</v>
      </c>
      <c r="E7385" s="2" t="str">
        <f>"PDA195078"</f>
        <v>PDA195078</v>
      </c>
      <c r="F7385" s="2" t="str">
        <f>"USR_PDA195078"</f>
        <v>USR_PDA195078</v>
      </c>
      <c r="G7385" s="2" t="str">
        <f t="shared" si="604"/>
        <v xml:space="preserve"> ()</v>
      </c>
    </row>
    <row r="7386" spans="1:7" x14ac:dyDescent="0.3">
      <c r="A7386" s="1" t="s">
        <v>4</v>
      </c>
      <c r="B7386" s="2" t="str">
        <f t="shared" si="605"/>
        <v>SISTEMA GERADOR DE RELATÓRIOS</v>
      </c>
      <c r="C7386" s="2" t="str">
        <f t="shared" si="606"/>
        <v>SMA-REP</v>
      </c>
      <c r="D7386" s="2" t="str">
        <f t="shared" si="607"/>
        <v>MVREP</v>
      </c>
      <c r="E7386" s="2" t="str">
        <f>"exemplo de cor"</f>
        <v>exemplo de cor</v>
      </c>
      <c r="F7386" s="2" t="str">
        <f>"USR_EXEMPLO_DE_COR"</f>
        <v>USR_EXEMPLO_DE_COR</v>
      </c>
      <c r="G7386" s="2" t="str">
        <f t="shared" si="604"/>
        <v xml:space="preserve"> ()</v>
      </c>
    </row>
    <row r="7387" spans="1:7" x14ac:dyDescent="0.3">
      <c r="A7387" s="1" t="s">
        <v>4</v>
      </c>
      <c r="B7387" s="2" t="str">
        <f t="shared" si="605"/>
        <v>SISTEMA GERADOR DE RELATÓRIOS</v>
      </c>
      <c r="C7387" s="2" t="str">
        <f t="shared" si="606"/>
        <v>SMA-REP</v>
      </c>
      <c r="D7387" s="2" t="str">
        <f t="shared" si="607"/>
        <v>MVREP</v>
      </c>
      <c r="E7387" s="2" t="str">
        <f>"Ident_produto"</f>
        <v>Ident_produto</v>
      </c>
      <c r="F7387" s="2" t="str">
        <f>"USR_IDENT_PRODUTO"</f>
        <v>USR_IDENT_PRODUTO</v>
      </c>
      <c r="G7387" s="2" t="str">
        <f t="shared" si="604"/>
        <v xml:space="preserve"> ()</v>
      </c>
    </row>
    <row r="7388" spans="1:7" x14ac:dyDescent="0.3">
      <c r="A7388" s="1" t="s">
        <v>4</v>
      </c>
      <c r="B7388" s="2" t="str">
        <f t="shared" si="605"/>
        <v>SISTEMA GERADOR DE RELATÓRIOS</v>
      </c>
      <c r="C7388" s="2" t="str">
        <f t="shared" si="606"/>
        <v>SMA-REP</v>
      </c>
      <c r="D7388" s="2" t="str">
        <f t="shared" si="607"/>
        <v>MVREP</v>
      </c>
      <c r="E7388" s="2" t="str">
        <f>"PDA195484 deb"</f>
        <v>PDA195484 deb</v>
      </c>
      <c r="F7388" s="2" t="str">
        <f>"USR_PDA195484_DEB"</f>
        <v>USR_PDA195484_DEB</v>
      </c>
      <c r="G7388" s="2" t="str">
        <f t="shared" si="604"/>
        <v xml:space="preserve"> ()</v>
      </c>
    </row>
    <row r="7389" spans="1:7" x14ac:dyDescent="0.3">
      <c r="A7389" s="1" t="s">
        <v>4</v>
      </c>
      <c r="B7389" s="2" t="str">
        <f t="shared" si="605"/>
        <v>SISTEMA GERADOR DE RELATÓRIOS</v>
      </c>
      <c r="C7389" s="2" t="str">
        <f t="shared" si="606"/>
        <v>SMA-REP</v>
      </c>
      <c r="D7389" s="2" t="str">
        <f t="shared" si="607"/>
        <v>MVREP</v>
      </c>
      <c r="E7389" s="2" t="str">
        <f>"PDA195484"</f>
        <v>PDA195484</v>
      </c>
      <c r="F7389" s="2" t="str">
        <f>"USR_PDA195484"</f>
        <v>USR_PDA195484</v>
      </c>
      <c r="G7389" s="2" t="str">
        <f t="shared" si="604"/>
        <v xml:space="preserve"> ()</v>
      </c>
    </row>
    <row r="7390" spans="1:7" x14ac:dyDescent="0.3">
      <c r="A7390" s="1" t="s">
        <v>4</v>
      </c>
      <c r="B7390" s="2" t="str">
        <f t="shared" si="605"/>
        <v>SISTEMA GERADOR DE RELATÓRIOS</v>
      </c>
      <c r="C7390" s="2" t="str">
        <f t="shared" si="606"/>
        <v>SMA-REP</v>
      </c>
      <c r="D7390" s="2" t="str">
        <f t="shared" si="607"/>
        <v>MVREP</v>
      </c>
      <c r="E7390" s="2" t="str">
        <f>"Fornecedor"</f>
        <v>Fornecedor</v>
      </c>
      <c r="F7390" s="2" t="str">
        <f>"USR_FORNECEDOR"</f>
        <v>USR_FORNECEDOR</v>
      </c>
      <c r="G7390" s="2" t="str">
        <f t="shared" si="604"/>
        <v xml:space="preserve"> ()</v>
      </c>
    </row>
    <row r="7391" spans="1:7" x14ac:dyDescent="0.3">
      <c r="A7391" s="1" t="s">
        <v>4</v>
      </c>
      <c r="B7391" s="2" t="str">
        <f t="shared" si="605"/>
        <v>SISTEMA GERADOR DE RELATÓRIOS</v>
      </c>
      <c r="C7391" s="2" t="str">
        <f t="shared" si="606"/>
        <v>SMA-REP</v>
      </c>
      <c r="D7391" s="2" t="str">
        <f t="shared" si="607"/>
        <v>MVREP</v>
      </c>
      <c r="E7391" s="2" t="str">
        <f>"agenda_cirurgia"</f>
        <v>agenda_cirurgia</v>
      </c>
      <c r="F7391" s="2" t="str">
        <f>"USR_AGENDA_CIRURGIA"</f>
        <v>USR_AGENDA_CIRURGIA</v>
      </c>
      <c r="G7391" s="2" t="str">
        <f t="shared" si="604"/>
        <v xml:space="preserve"> ()</v>
      </c>
    </row>
    <row r="7392" spans="1:7" x14ac:dyDescent="0.3">
      <c r="A7392" s="1" t="s">
        <v>4</v>
      </c>
      <c r="B7392" s="2" t="str">
        <f t="shared" si="605"/>
        <v>SISTEMA GERADOR DE RELATÓRIOS</v>
      </c>
      <c r="C7392" s="2" t="str">
        <f t="shared" si="606"/>
        <v>SMA-REP</v>
      </c>
      <c r="D7392" s="2" t="str">
        <f t="shared" si="607"/>
        <v>MVREP</v>
      </c>
      <c r="E7392" s="2" t="str">
        <f>"alcidezio_teste"</f>
        <v>alcidezio_teste</v>
      </c>
      <c r="F7392" s="2" t="str">
        <f>"USR_ALCIDEZIO_TESTE"</f>
        <v>USR_ALCIDEZIO_TESTE</v>
      </c>
      <c r="G7392" s="2" t="str">
        <f t="shared" si="604"/>
        <v xml:space="preserve"> ()</v>
      </c>
    </row>
    <row r="7393" spans="1:7" x14ac:dyDescent="0.3">
      <c r="A7393" s="1" t="s">
        <v>4</v>
      </c>
      <c r="B7393" s="2" t="str">
        <f t="shared" si="605"/>
        <v>SISTEMA GERADOR DE RELATÓRIOS</v>
      </c>
      <c r="C7393" s="2" t="str">
        <f t="shared" si="606"/>
        <v>SMA-REP</v>
      </c>
      <c r="D7393" s="2" t="str">
        <f t="shared" si="607"/>
        <v>MVREP</v>
      </c>
      <c r="E7393" s="2" t="str">
        <f>"responsavel"</f>
        <v>responsavel</v>
      </c>
      <c r="F7393" s="2" t="str">
        <f>"USR_RESPONSAVEL"</f>
        <v>USR_RESPONSAVEL</v>
      </c>
      <c r="G7393" s="2" t="str">
        <f t="shared" si="604"/>
        <v xml:space="preserve"> ()</v>
      </c>
    </row>
    <row r="7394" spans="1:7" x14ac:dyDescent="0.3">
      <c r="A7394" s="1" t="s">
        <v>4</v>
      </c>
      <c r="B7394" s="2" t="str">
        <f t="shared" si="605"/>
        <v>SISTEMA GERADOR DE RELATÓRIOS</v>
      </c>
      <c r="C7394" s="2" t="str">
        <f t="shared" si="606"/>
        <v>SMA-REP</v>
      </c>
      <c r="D7394" s="2" t="str">
        <f t="shared" si="607"/>
        <v>MVREP</v>
      </c>
      <c r="E7394" s="2" t="str">
        <f>"Sao Rafael alterado"</f>
        <v>Sao Rafael alterado</v>
      </c>
      <c r="F7394" s="2" t="str">
        <f>"USR_SAO_RAFAEL_ALTERADO"</f>
        <v>USR_SAO_RAFAEL_ALTERADO</v>
      </c>
      <c r="G7394" s="2" t="str">
        <f t="shared" si="604"/>
        <v xml:space="preserve"> ()</v>
      </c>
    </row>
    <row r="7395" spans="1:7" x14ac:dyDescent="0.3">
      <c r="A7395" s="1" t="s">
        <v>4</v>
      </c>
      <c r="B7395" s="2" t="str">
        <f t="shared" si="605"/>
        <v>SISTEMA GERADOR DE RELATÓRIOS</v>
      </c>
      <c r="C7395" s="2" t="str">
        <f t="shared" si="606"/>
        <v>SMA-REP</v>
      </c>
      <c r="D7395" s="2" t="str">
        <f t="shared" si="607"/>
        <v>MVREP</v>
      </c>
      <c r="E7395" s="2" t="str">
        <f>"Sao_rafael"</f>
        <v>Sao_rafael</v>
      </c>
      <c r="F7395" s="2" t="str">
        <f>"USR_SAO_RAFAEL"</f>
        <v>USR_SAO_RAFAEL</v>
      </c>
      <c r="G7395" s="2" t="str">
        <f t="shared" si="604"/>
        <v xml:space="preserve"> ()</v>
      </c>
    </row>
    <row r="7396" spans="1:7" x14ac:dyDescent="0.3">
      <c r="A7396" s="1" t="s">
        <v>4</v>
      </c>
      <c r="B7396" s="2" t="str">
        <f t="shared" si="605"/>
        <v>SISTEMA GERADOR DE RELATÓRIOS</v>
      </c>
      <c r="C7396" s="2" t="str">
        <f t="shared" si="606"/>
        <v>SMA-REP</v>
      </c>
      <c r="D7396" s="2" t="str">
        <f t="shared" si="607"/>
        <v>MVREP</v>
      </c>
      <c r="E7396" s="2" t="str">
        <f>"Etiq_HNSN"</f>
        <v>Etiq_HNSN</v>
      </c>
      <c r="F7396" s="2" t="str">
        <f>"USR_ETIQ_HNSN"</f>
        <v>USR_ETIQ_HNSN</v>
      </c>
      <c r="G7396" s="2" t="str">
        <f t="shared" si="604"/>
        <v xml:space="preserve"> ()</v>
      </c>
    </row>
    <row r="7397" spans="1:7" x14ac:dyDescent="0.3">
      <c r="A7397" s="1" t="s">
        <v>4</v>
      </c>
      <c r="B7397" s="2" t="str">
        <f t="shared" si="605"/>
        <v>SISTEMA GERADOR DE RELATÓRIOS</v>
      </c>
      <c r="C7397" s="2" t="str">
        <f t="shared" si="606"/>
        <v>SMA-REP</v>
      </c>
      <c r="D7397" s="2" t="str">
        <f t="shared" si="607"/>
        <v>MVREP</v>
      </c>
      <c r="E7397" s="2" t="str">
        <f>"HNSN"</f>
        <v>HNSN</v>
      </c>
      <c r="F7397" s="2" t="str">
        <f>"USR_HNSN"</f>
        <v>USR_HNSN</v>
      </c>
      <c r="G7397" s="2" t="str">
        <f t="shared" si="604"/>
        <v xml:space="preserve"> ()</v>
      </c>
    </row>
    <row r="7398" spans="1:7" x14ac:dyDescent="0.3">
      <c r="A7398" s="1" t="s">
        <v>4</v>
      </c>
      <c r="B7398" s="2" t="str">
        <f t="shared" si="605"/>
        <v>SISTEMA GERADOR DE RELATÓRIOS</v>
      </c>
      <c r="C7398" s="2" t="str">
        <f t="shared" si="606"/>
        <v>SMA-REP</v>
      </c>
      <c r="D7398" s="2" t="str">
        <f t="shared" si="607"/>
        <v>MVREP</v>
      </c>
      <c r="E7398" s="2" t="str">
        <f>"AAEE"</f>
        <v>AAEE</v>
      </c>
      <c r="F7398" s="2" t="str">
        <f>"USR_AAEE"</f>
        <v>USR_AAEE</v>
      </c>
      <c r="G7398" s="2" t="str">
        <f t="shared" si="604"/>
        <v xml:space="preserve"> ()</v>
      </c>
    </row>
    <row r="7399" spans="1:7" x14ac:dyDescent="0.3">
      <c r="A7399" s="1" t="s">
        <v>4</v>
      </c>
      <c r="B7399" s="2" t="str">
        <f t="shared" si="605"/>
        <v>SISTEMA GERADOR DE RELATÓRIOS</v>
      </c>
      <c r="C7399" s="2" t="str">
        <f t="shared" si="606"/>
        <v>SMA-REP</v>
      </c>
      <c r="D7399" s="2" t="str">
        <f t="shared" si="607"/>
        <v>MVREP</v>
      </c>
      <c r="E7399" s="2" t="str">
        <f>"AAAIZA"</f>
        <v>AAAIZA</v>
      </c>
      <c r="F7399" s="2" t="str">
        <f>"USR_AAAIZA"</f>
        <v>USR_AAAIZA</v>
      </c>
      <c r="G7399" s="2" t="str">
        <f t="shared" si="604"/>
        <v xml:space="preserve"> ()</v>
      </c>
    </row>
    <row r="7400" spans="1:7" x14ac:dyDescent="0.3">
      <c r="A7400" s="1" t="s">
        <v>4</v>
      </c>
      <c r="B7400" s="2" t="str">
        <f t="shared" si="605"/>
        <v>SISTEMA GERADOR DE RELATÓRIOS</v>
      </c>
      <c r="C7400" s="2" t="str">
        <f t="shared" si="606"/>
        <v>SMA-REP</v>
      </c>
      <c r="D7400" s="2" t="str">
        <f t="shared" si="607"/>
        <v>MVREP</v>
      </c>
      <c r="E7400" s="2" t="str">
        <f>"dddd"</f>
        <v>dddd</v>
      </c>
      <c r="F7400" s="2" t="str">
        <f>"USR_DDDD"</f>
        <v>USR_DDDD</v>
      </c>
      <c r="G7400" s="2" t="str">
        <f t="shared" si="604"/>
        <v xml:space="preserve"> ()</v>
      </c>
    </row>
    <row r="7401" spans="1:7" x14ac:dyDescent="0.3">
      <c r="A7401" s="1" t="s">
        <v>4</v>
      </c>
      <c r="B7401" s="2" t="str">
        <f t="shared" si="605"/>
        <v>SISTEMA GERADOR DE RELATÓRIOS</v>
      </c>
      <c r="C7401" s="2" t="str">
        <f t="shared" si="606"/>
        <v>SMA-REP</v>
      </c>
      <c r="D7401" s="2" t="str">
        <f t="shared" si="607"/>
        <v>MVREP</v>
      </c>
      <c r="E7401" s="2" t="str">
        <f>"guia_fat_motivo"</f>
        <v>guia_fat_motivo</v>
      </c>
      <c r="F7401" s="2" t="str">
        <f>"USR_GUIA_FAT_MOTIVO"</f>
        <v>USR_GUIA_FAT_MOTIVO</v>
      </c>
      <c r="G7401" s="2" t="str">
        <f t="shared" si="604"/>
        <v xml:space="preserve"> ()</v>
      </c>
    </row>
    <row r="7402" spans="1:7" x14ac:dyDescent="0.3">
      <c r="A7402" s="1" t="s">
        <v>4</v>
      </c>
      <c r="B7402" s="2" t="str">
        <f t="shared" si="605"/>
        <v>SISTEMA GERADOR DE RELATÓRIOS</v>
      </c>
      <c r="C7402" s="2" t="str">
        <f t="shared" si="606"/>
        <v>SMA-REP</v>
      </c>
      <c r="D7402" s="2" t="str">
        <f t="shared" si="607"/>
        <v>MVREP</v>
      </c>
      <c r="E7402" s="2" t="str">
        <f>"mv_poa"</f>
        <v>mv_poa</v>
      </c>
      <c r="F7402" s="2" t="str">
        <f>"USR_MV_POA"</f>
        <v>USR_MV_POA</v>
      </c>
      <c r="G7402" s="2" t="str">
        <f t="shared" si="604"/>
        <v xml:space="preserve"> ()</v>
      </c>
    </row>
    <row r="7403" spans="1:7" x14ac:dyDescent="0.3">
      <c r="A7403" s="1" t="s">
        <v>4</v>
      </c>
      <c r="B7403" s="2" t="str">
        <f t="shared" si="605"/>
        <v>SISTEMA GERADOR DE RELATÓRIOS</v>
      </c>
      <c r="C7403" s="2" t="str">
        <f t="shared" si="606"/>
        <v>SMA-REP</v>
      </c>
      <c r="D7403" s="2" t="str">
        <f t="shared" si="607"/>
        <v>MVREP</v>
      </c>
      <c r="E7403" s="2" t="str">
        <f>"Valdeck_bpa"</f>
        <v>Valdeck_bpa</v>
      </c>
      <c r="F7403" s="2" t="str">
        <f>"USR_VALDECK_BPA"</f>
        <v>USR_VALDECK_BPA</v>
      </c>
      <c r="G7403" s="2" t="str">
        <f t="shared" si="604"/>
        <v xml:space="preserve"> ()</v>
      </c>
    </row>
    <row r="7404" spans="1:7" x14ac:dyDescent="0.3">
      <c r="A7404" s="1" t="s">
        <v>4</v>
      </c>
      <c r="B7404" s="2" t="str">
        <f t="shared" si="605"/>
        <v>SISTEMA GERADOR DE RELATÓRIOS</v>
      </c>
      <c r="C7404" s="2" t="str">
        <f t="shared" si="606"/>
        <v>SMA-REP</v>
      </c>
      <c r="D7404" s="2" t="str">
        <f t="shared" si="607"/>
        <v>MVREP</v>
      </c>
      <c r="E7404" s="2" t="str">
        <f>"Luciano tomaz"</f>
        <v>Luciano tomaz</v>
      </c>
      <c r="F7404" s="2" t="str">
        <f>"USR_LUCIANO_TOMAZ"</f>
        <v>USR_LUCIANO_TOMAZ</v>
      </c>
      <c r="G7404" s="2" t="str">
        <f t="shared" si="604"/>
        <v xml:space="preserve"> ()</v>
      </c>
    </row>
    <row r="7405" spans="1:7" x14ac:dyDescent="0.3">
      <c r="A7405" s="1" t="s">
        <v>4</v>
      </c>
      <c r="B7405" s="2" t="str">
        <f t="shared" si="605"/>
        <v>SISTEMA GERADOR DE RELATÓRIOS</v>
      </c>
      <c r="C7405" s="2" t="str">
        <f t="shared" si="606"/>
        <v>SMA-REP</v>
      </c>
      <c r="D7405" s="2" t="str">
        <f t="shared" si="607"/>
        <v>MVREP</v>
      </c>
      <c r="E7405" s="2" t="str">
        <f>"Aviso Cirurgia"</f>
        <v>Aviso Cirurgia</v>
      </c>
      <c r="F7405" s="2" t="str">
        <f>"USR_AVISO_CIRURGIA"</f>
        <v>USR_AVISO_CIRURGIA</v>
      </c>
      <c r="G7405" s="2" t="str">
        <f t="shared" si="604"/>
        <v xml:space="preserve"> ()</v>
      </c>
    </row>
    <row r="7406" spans="1:7" x14ac:dyDescent="0.3">
      <c r="A7406" s="1" t="s">
        <v>4</v>
      </c>
      <c r="B7406" s="2" t="str">
        <f t="shared" si="605"/>
        <v>SISTEMA GERADOR DE RELATÓRIOS</v>
      </c>
      <c r="C7406" s="2" t="str">
        <f t="shared" si="606"/>
        <v>SMA-REP</v>
      </c>
      <c r="D7406" s="2" t="str">
        <f t="shared" si="607"/>
        <v>MVREP</v>
      </c>
      <c r="E7406" s="2" t="str">
        <f>"etiq_poa_ana"</f>
        <v>etiq_poa_ana</v>
      </c>
      <c r="F7406" s="2" t="str">
        <f>"USR_ETIQ_POA_ANA"</f>
        <v>USR_ETIQ_POA_ANA</v>
      </c>
      <c r="G7406" s="2" t="str">
        <f t="shared" si="604"/>
        <v xml:space="preserve"> ()</v>
      </c>
    </row>
    <row r="7407" spans="1:7" x14ac:dyDescent="0.3">
      <c r="A7407" s="1" t="s">
        <v>4</v>
      </c>
      <c r="B7407" s="2" t="str">
        <f t="shared" si="605"/>
        <v>SISTEMA GERADOR DE RELATÓRIOS</v>
      </c>
      <c r="C7407" s="2" t="str">
        <f t="shared" si="606"/>
        <v>SMA-REP</v>
      </c>
      <c r="D7407" s="2" t="str">
        <f t="shared" si="607"/>
        <v>MVREP</v>
      </c>
      <c r="E7407" s="2" t="str">
        <f>"POA SANTA CRUZ"</f>
        <v>POA SANTA CRUZ</v>
      </c>
      <c r="F7407" s="2" t="str">
        <f>"USR_POA_SANTA_CRUZ"</f>
        <v>USR_POA_SANTA_CRUZ</v>
      </c>
      <c r="G7407" s="2" t="str">
        <f t="shared" si="604"/>
        <v xml:space="preserve"> ()</v>
      </c>
    </row>
    <row r="7408" spans="1:7" x14ac:dyDescent="0.3">
      <c r="A7408" s="1" t="s">
        <v>4</v>
      </c>
      <c r="B7408" s="2" t="str">
        <f t="shared" si="605"/>
        <v>SISTEMA GERADOR DE RELATÓRIOS</v>
      </c>
      <c r="C7408" s="2" t="str">
        <f t="shared" si="606"/>
        <v>SMA-REP</v>
      </c>
      <c r="D7408" s="2" t="str">
        <f t="shared" si="607"/>
        <v>MVREP</v>
      </c>
      <c r="E7408" s="2" t="str">
        <f>"teste_puc"</f>
        <v>teste_puc</v>
      </c>
      <c r="F7408" s="2" t="str">
        <f>"USR_TESTE_PUC"</f>
        <v>USR_TESTE_PUC</v>
      </c>
      <c r="G7408" s="2" t="str">
        <f t="shared" si="604"/>
        <v xml:space="preserve"> ()</v>
      </c>
    </row>
    <row r="7409" spans="1:7" x14ac:dyDescent="0.3">
      <c r="A7409" s="1" t="s">
        <v>4</v>
      </c>
      <c r="B7409" s="2" t="str">
        <f t="shared" si="605"/>
        <v>SISTEMA GERADOR DE RELATÓRIOS</v>
      </c>
      <c r="C7409" s="2" t="str">
        <f t="shared" si="606"/>
        <v>SMA-REP</v>
      </c>
      <c r="D7409" s="2" t="str">
        <f t="shared" si="607"/>
        <v>MVREP</v>
      </c>
      <c r="E7409" s="2" t="str">
        <f>"PDA181057"</f>
        <v>PDA181057</v>
      </c>
      <c r="F7409" s="2" t="str">
        <f>"USR_PDA181057"</f>
        <v>USR_PDA181057</v>
      </c>
      <c r="G7409" s="2" t="str">
        <f t="shared" si="604"/>
        <v xml:space="preserve"> ()</v>
      </c>
    </row>
    <row r="7410" spans="1:7" x14ac:dyDescent="0.3">
      <c r="A7410" s="1" t="s">
        <v>4</v>
      </c>
      <c r="B7410" s="2" t="str">
        <f t="shared" si="605"/>
        <v>SISTEMA GERADOR DE RELATÓRIOS</v>
      </c>
      <c r="C7410" s="2" t="str">
        <f t="shared" si="606"/>
        <v>SMA-REP</v>
      </c>
      <c r="D7410" s="2" t="str">
        <f t="shared" si="607"/>
        <v>MVREP</v>
      </c>
      <c r="E7410" s="2" t="str">
        <f>"Mapa_tomas"</f>
        <v>Mapa_tomas</v>
      </c>
      <c r="F7410" s="2" t="str">
        <f>"USR_MAPA_TOMAZ"</f>
        <v>USR_MAPA_TOMAZ</v>
      </c>
      <c r="G7410" s="2" t="str">
        <f t="shared" si="604"/>
        <v xml:space="preserve"> ()</v>
      </c>
    </row>
    <row r="7411" spans="1:7" x14ac:dyDescent="0.3">
      <c r="A7411" s="1" t="s">
        <v>4</v>
      </c>
      <c r="B7411" s="2" t="str">
        <f t="shared" si="605"/>
        <v>SISTEMA GERADOR DE RELATÓRIOS</v>
      </c>
      <c r="C7411" s="2" t="str">
        <f t="shared" si="606"/>
        <v>SMA-REP</v>
      </c>
      <c r="D7411" s="2" t="str">
        <f t="shared" si="607"/>
        <v>MVREP</v>
      </c>
      <c r="E7411" s="2" t="str">
        <f>"HBM"</f>
        <v>HBM</v>
      </c>
      <c r="F7411" s="2" t="str">
        <f>"USR_HBM"</f>
        <v>USR_HBM</v>
      </c>
      <c r="G7411" s="2" t="str">
        <f t="shared" si="604"/>
        <v xml:space="preserve"> ()</v>
      </c>
    </row>
    <row r="7412" spans="1:7" x14ac:dyDescent="0.3">
      <c r="A7412" s="1" t="s">
        <v>4</v>
      </c>
      <c r="B7412" s="2" t="str">
        <f t="shared" si="605"/>
        <v>SISTEMA GERADOR DE RELATÓRIOS</v>
      </c>
      <c r="C7412" s="2" t="str">
        <f t="shared" si="606"/>
        <v>SMA-REP</v>
      </c>
      <c r="D7412" s="2" t="str">
        <f t="shared" si="607"/>
        <v>MVREP</v>
      </c>
      <c r="E7412" s="2" t="str">
        <f>"pro_matre_pari"</f>
        <v>pro_matre_pari</v>
      </c>
      <c r="F7412" s="2" t="str">
        <f>"USR_PRO_MATRE_PARI"</f>
        <v>USR_PRO_MATRE_PARI</v>
      </c>
      <c r="G7412" s="2" t="str">
        <f t="shared" si="604"/>
        <v xml:space="preserve"> ()</v>
      </c>
    </row>
    <row r="7413" spans="1:7" x14ac:dyDescent="0.3">
      <c r="A7413" s="1" t="s">
        <v>4</v>
      </c>
      <c r="B7413" s="2" t="str">
        <f t="shared" si="605"/>
        <v>SISTEMA GERADOR DE RELATÓRIOS</v>
      </c>
      <c r="C7413" s="2" t="str">
        <f t="shared" si="606"/>
        <v>SMA-REP</v>
      </c>
      <c r="D7413" s="2" t="str">
        <f t="shared" si="607"/>
        <v>MVREP</v>
      </c>
      <c r="E7413" s="2" t="str">
        <f>"FAA PS SUS MEDICO"</f>
        <v>FAA PS SUS MEDICO</v>
      </c>
      <c r="F7413" s="2" t="str">
        <f>"USR_FAA_PS_SUS_MEDICO"</f>
        <v>USR_FAA_PS_SUS_MEDICO</v>
      </c>
      <c r="G7413" s="2" t="str">
        <f t="shared" si="604"/>
        <v xml:space="preserve"> ()</v>
      </c>
    </row>
    <row r="7414" spans="1:7" x14ac:dyDescent="0.3">
      <c r="A7414" s="1" t="s">
        <v>4</v>
      </c>
      <c r="B7414" s="2" t="str">
        <f t="shared" si="605"/>
        <v>SISTEMA GERADOR DE RELATÓRIOS</v>
      </c>
      <c r="C7414" s="2" t="str">
        <f t="shared" si="606"/>
        <v>SMA-REP</v>
      </c>
      <c r="D7414" s="2" t="str">
        <f t="shared" si="607"/>
        <v>MVREP</v>
      </c>
      <c r="E7414" s="2" t="str">
        <f>"teste_55"</f>
        <v>teste_55</v>
      </c>
      <c r="F7414" s="2" t="str">
        <f>"USR_TESTE_55"</f>
        <v>USR_TESTE_55</v>
      </c>
      <c r="G7414" s="2" t="str">
        <f t="shared" si="604"/>
        <v xml:space="preserve"> ()</v>
      </c>
    </row>
    <row r="7415" spans="1:7" x14ac:dyDescent="0.3">
      <c r="A7415" s="1" t="s">
        <v>4</v>
      </c>
      <c r="B7415" s="2" t="str">
        <f t="shared" si="605"/>
        <v>SISTEMA GERADOR DE RELATÓRIOS</v>
      </c>
      <c r="C7415" s="2" t="str">
        <f t="shared" si="606"/>
        <v>SMA-REP</v>
      </c>
      <c r="D7415" s="2" t="str">
        <f t="shared" si="607"/>
        <v>MVREP</v>
      </c>
      <c r="E7415" s="2" t="str">
        <f>"BRUNO_TESTE"</f>
        <v>BRUNO_TESTE</v>
      </c>
      <c r="F7415" s="2" t="str">
        <f>"USR_BRUNO_TESTE"</f>
        <v>USR_BRUNO_TESTE</v>
      </c>
      <c r="G7415" s="2" t="str">
        <f t="shared" si="604"/>
        <v xml:space="preserve"> ()</v>
      </c>
    </row>
    <row r="7416" spans="1:7" x14ac:dyDescent="0.3">
      <c r="A7416" s="1" t="s">
        <v>4</v>
      </c>
      <c r="B7416" s="2" t="str">
        <f t="shared" si="605"/>
        <v>SISTEMA GERADOR DE RELATÓRIOS</v>
      </c>
      <c r="C7416" s="2" t="str">
        <f t="shared" si="606"/>
        <v>SMA-REP</v>
      </c>
      <c r="D7416" s="2" t="str">
        <f t="shared" si="607"/>
        <v>MVREP</v>
      </c>
      <c r="E7416" s="2" t="str">
        <f>"pro_matre"</f>
        <v>pro_matre</v>
      </c>
      <c r="F7416" s="2" t="str">
        <f>"USR_PRO_MATRE"</f>
        <v>USR_PRO_MATRE</v>
      </c>
      <c r="G7416" s="2" t="str">
        <f t="shared" ref="G7416:G7479" si="608">" ()"</f>
        <v xml:space="preserve"> ()</v>
      </c>
    </row>
    <row r="7417" spans="1:7" x14ac:dyDescent="0.3">
      <c r="A7417" s="1" t="s">
        <v>4</v>
      </c>
      <c r="B7417" s="2" t="str">
        <f t="shared" si="605"/>
        <v>SISTEMA GERADOR DE RELATÓRIOS</v>
      </c>
      <c r="C7417" s="2" t="str">
        <f t="shared" si="606"/>
        <v>SMA-REP</v>
      </c>
      <c r="D7417" s="2" t="str">
        <f t="shared" si="607"/>
        <v>MVREP</v>
      </c>
      <c r="E7417" s="2" t="str">
        <f>"Teste_color"</f>
        <v>Teste_color</v>
      </c>
      <c r="F7417" s="2" t="str">
        <f>"USR_TESTE_COLOR"</f>
        <v>USR_TESTE_COLOR</v>
      </c>
      <c r="G7417" s="2" t="str">
        <f t="shared" si="608"/>
        <v xml:space="preserve"> ()</v>
      </c>
    </row>
    <row r="7418" spans="1:7" x14ac:dyDescent="0.3">
      <c r="A7418" s="1" t="s">
        <v>4</v>
      </c>
      <c r="B7418" s="2" t="str">
        <f t="shared" si="605"/>
        <v>SISTEMA GERADOR DE RELATÓRIOS</v>
      </c>
      <c r="C7418" s="2" t="str">
        <f t="shared" si="606"/>
        <v>SMA-REP</v>
      </c>
      <c r="D7418" s="2" t="str">
        <f t="shared" si="607"/>
        <v>MVREP</v>
      </c>
      <c r="E7418" s="2" t="str">
        <f>"teste1701"</f>
        <v>teste1701</v>
      </c>
      <c r="F7418" s="2" t="str">
        <f>"USR_TESTE1701"</f>
        <v>USR_TESTE1701</v>
      </c>
      <c r="G7418" s="2" t="str">
        <f t="shared" si="608"/>
        <v xml:space="preserve"> ()</v>
      </c>
    </row>
    <row r="7419" spans="1:7" x14ac:dyDescent="0.3">
      <c r="A7419" s="1" t="s">
        <v>4</v>
      </c>
      <c r="B7419" s="2" t="str">
        <f t="shared" si="605"/>
        <v>SISTEMA GERADOR DE RELATÓRIOS</v>
      </c>
      <c r="C7419" s="2" t="str">
        <f t="shared" si="606"/>
        <v>SMA-REP</v>
      </c>
      <c r="D7419" s="2" t="str">
        <f t="shared" si="607"/>
        <v>MVREP</v>
      </c>
      <c r="E7419" s="2" t="str">
        <f>"Ipsemg_teste"</f>
        <v>Ipsemg_teste</v>
      </c>
      <c r="F7419" s="2" t="str">
        <f>"USR_IPSEMG_TESTE"</f>
        <v>USR_IPSEMG_TESTE</v>
      </c>
      <c r="G7419" s="2" t="str">
        <f t="shared" si="608"/>
        <v xml:space="preserve"> ()</v>
      </c>
    </row>
    <row r="7420" spans="1:7" x14ac:dyDescent="0.3">
      <c r="A7420" s="1" t="s">
        <v>4</v>
      </c>
      <c r="B7420" s="2" t="str">
        <f t="shared" si="605"/>
        <v>SISTEMA GERADOR DE RELATÓRIOS</v>
      </c>
      <c r="C7420" s="2" t="str">
        <f t="shared" si="606"/>
        <v>SMA-REP</v>
      </c>
      <c r="D7420" s="2" t="str">
        <f t="shared" si="607"/>
        <v>MVREP</v>
      </c>
      <c r="E7420" s="2" t="str">
        <f>"Ipsemg_externo"</f>
        <v>Ipsemg_externo</v>
      </c>
      <c r="F7420" s="2" t="str">
        <f>"USR_IPSEMG_EXTERNO"</f>
        <v>USR_IPSEMG_EXTERNO</v>
      </c>
      <c r="G7420" s="2" t="str">
        <f t="shared" si="608"/>
        <v xml:space="preserve"> ()</v>
      </c>
    </row>
    <row r="7421" spans="1:7" x14ac:dyDescent="0.3">
      <c r="A7421" s="1" t="s">
        <v>4</v>
      </c>
      <c r="B7421" s="2" t="str">
        <f t="shared" ref="B7421:B7484" si="609">"SISTEMA GERADOR DE RELATÓRIOS"</f>
        <v>SISTEMA GERADOR DE RELATÓRIOS</v>
      </c>
      <c r="C7421" s="2" t="str">
        <f t="shared" ref="C7421:C7484" si="610">"SMA-REP"</f>
        <v>SMA-REP</v>
      </c>
      <c r="D7421" s="2" t="str">
        <f t="shared" ref="D7421:D7484" si="611">"MVREP"</f>
        <v>MVREP</v>
      </c>
      <c r="E7421" s="2" t="str">
        <f>"PDA 163686"</f>
        <v>PDA 163686</v>
      </c>
      <c r="F7421" s="2" t="str">
        <f>"USR_PDA_163686"</f>
        <v>USR_PDA_163686</v>
      </c>
      <c r="G7421" s="2" t="str">
        <f t="shared" si="608"/>
        <v xml:space="preserve"> ()</v>
      </c>
    </row>
    <row r="7422" spans="1:7" x14ac:dyDescent="0.3">
      <c r="A7422" s="1" t="s">
        <v>4</v>
      </c>
      <c r="B7422" s="2" t="str">
        <f t="shared" si="609"/>
        <v>SISTEMA GERADOR DE RELATÓRIOS</v>
      </c>
      <c r="C7422" s="2" t="str">
        <f t="shared" si="610"/>
        <v>SMA-REP</v>
      </c>
      <c r="D7422" s="2" t="str">
        <f t="shared" si="611"/>
        <v>MVREP</v>
      </c>
      <c r="E7422" s="2" t="str">
        <f>"Ana_paula"</f>
        <v>Ana_paula</v>
      </c>
      <c r="F7422" s="2" t="str">
        <f>"USR_ANA_PAULA"</f>
        <v>USR_ANA_PAULA</v>
      </c>
      <c r="G7422" s="2" t="str">
        <f t="shared" si="608"/>
        <v xml:space="preserve"> ()</v>
      </c>
    </row>
    <row r="7423" spans="1:7" x14ac:dyDescent="0.3">
      <c r="A7423" s="1" t="s">
        <v>4</v>
      </c>
      <c r="B7423" s="2" t="str">
        <f t="shared" si="609"/>
        <v>SISTEMA GERADOR DE RELATÓRIOS</v>
      </c>
      <c r="C7423" s="2" t="str">
        <f t="shared" si="610"/>
        <v>SMA-REP</v>
      </c>
      <c r="D7423" s="2" t="str">
        <f t="shared" si="611"/>
        <v>MVREP</v>
      </c>
      <c r="E7423" s="2" t="str">
        <f>"Teste_inter"</f>
        <v>Teste_inter</v>
      </c>
      <c r="F7423" s="2" t="str">
        <f>"USR_TESTE_INTER"</f>
        <v>USR_TESTE_INTER</v>
      </c>
      <c r="G7423" s="2" t="str">
        <f t="shared" si="608"/>
        <v xml:space="preserve"> ()</v>
      </c>
    </row>
    <row r="7424" spans="1:7" x14ac:dyDescent="0.3">
      <c r="A7424" s="1" t="s">
        <v>4</v>
      </c>
      <c r="B7424" s="2" t="str">
        <f t="shared" si="609"/>
        <v>SISTEMA GERADOR DE RELATÓRIOS</v>
      </c>
      <c r="C7424" s="2" t="str">
        <f t="shared" si="610"/>
        <v>SMA-REP</v>
      </c>
      <c r="D7424" s="2" t="str">
        <f t="shared" si="611"/>
        <v>MVREP</v>
      </c>
      <c r="E7424" s="2" t="str">
        <f>"TESTE_AMF2"</f>
        <v>TESTE_AMF2</v>
      </c>
      <c r="F7424" s="2" t="str">
        <f>"USR_TESTE_AMF2"</f>
        <v>USR_TESTE_AMF2</v>
      </c>
      <c r="G7424" s="2" t="str">
        <f t="shared" si="608"/>
        <v xml:space="preserve"> ()</v>
      </c>
    </row>
    <row r="7425" spans="1:7" x14ac:dyDescent="0.3">
      <c r="A7425" s="1" t="s">
        <v>4</v>
      </c>
      <c r="B7425" s="2" t="str">
        <f t="shared" si="609"/>
        <v>SISTEMA GERADOR DE RELATÓRIOS</v>
      </c>
      <c r="C7425" s="2" t="str">
        <f t="shared" si="610"/>
        <v>SMA-REP</v>
      </c>
      <c r="D7425" s="2" t="str">
        <f t="shared" si="611"/>
        <v>MVREP</v>
      </c>
      <c r="E7425" s="2" t="str">
        <f>"TESTE_AMF1"</f>
        <v>TESTE_AMF1</v>
      </c>
      <c r="F7425" s="2" t="str">
        <f>"USR_TESTE_AMF1"</f>
        <v>USR_TESTE_AMF1</v>
      </c>
      <c r="G7425" s="2" t="str">
        <f t="shared" si="608"/>
        <v xml:space="preserve"> ()</v>
      </c>
    </row>
    <row r="7426" spans="1:7" x14ac:dyDescent="0.3">
      <c r="A7426" s="1" t="s">
        <v>4</v>
      </c>
      <c r="B7426" s="2" t="str">
        <f t="shared" si="609"/>
        <v>SISTEMA GERADOR DE RELATÓRIOS</v>
      </c>
      <c r="C7426" s="2" t="str">
        <f t="shared" si="610"/>
        <v>SMA-REP</v>
      </c>
      <c r="D7426" s="2" t="str">
        <f t="shared" si="611"/>
        <v>MVREP</v>
      </c>
      <c r="E7426" s="2" t="str">
        <f>"atend_promatre"</f>
        <v>atend_promatre</v>
      </c>
      <c r="F7426" s="2" t="str">
        <f>"USR_ATEND_PROMATRE"</f>
        <v>USR_ATEND_PROMATRE</v>
      </c>
      <c r="G7426" s="2" t="str">
        <f t="shared" si="608"/>
        <v xml:space="preserve"> ()</v>
      </c>
    </row>
    <row r="7427" spans="1:7" x14ac:dyDescent="0.3">
      <c r="A7427" s="1" t="s">
        <v>4</v>
      </c>
      <c r="B7427" s="2" t="str">
        <f t="shared" si="609"/>
        <v>SISTEMA GERADOR DE RELATÓRIOS</v>
      </c>
      <c r="C7427" s="2" t="str">
        <f t="shared" si="610"/>
        <v>SMA-REP</v>
      </c>
      <c r="D7427" s="2" t="str">
        <f t="shared" si="611"/>
        <v>MVREP</v>
      </c>
      <c r="E7427" s="2" t="str">
        <f>"Etiq_same"</f>
        <v>Etiq_same</v>
      </c>
      <c r="F7427" s="2" t="str">
        <f>"USR_ETIQ_SAME"</f>
        <v>USR_ETIQ_SAME</v>
      </c>
      <c r="G7427" s="2" t="str">
        <f t="shared" si="608"/>
        <v xml:space="preserve"> ()</v>
      </c>
    </row>
    <row r="7428" spans="1:7" x14ac:dyDescent="0.3">
      <c r="A7428" s="1" t="s">
        <v>4</v>
      </c>
      <c r="B7428" s="2" t="str">
        <f t="shared" si="609"/>
        <v>SISTEMA GERADOR DE RELATÓRIOS</v>
      </c>
      <c r="C7428" s="2" t="str">
        <f t="shared" si="610"/>
        <v>SMA-REP</v>
      </c>
      <c r="D7428" s="2" t="str">
        <f t="shared" si="611"/>
        <v>MVREP</v>
      </c>
      <c r="E7428" s="2" t="str">
        <f>"Internação"</f>
        <v>Internação</v>
      </c>
      <c r="F7428" s="2" t="str">
        <f>"USR_INTERNAÇAO"</f>
        <v>USR_INTERNAÇAO</v>
      </c>
      <c r="G7428" s="2" t="str">
        <f t="shared" si="608"/>
        <v xml:space="preserve"> ()</v>
      </c>
    </row>
    <row r="7429" spans="1:7" x14ac:dyDescent="0.3">
      <c r="A7429" s="1" t="s">
        <v>4</v>
      </c>
      <c r="B7429" s="2" t="str">
        <f t="shared" si="609"/>
        <v>SISTEMA GERADOR DE RELATÓRIOS</v>
      </c>
      <c r="C7429" s="2" t="str">
        <f t="shared" si="610"/>
        <v>SMA-REP</v>
      </c>
      <c r="D7429" s="2" t="str">
        <f t="shared" si="611"/>
        <v>MVREP</v>
      </c>
      <c r="E7429" s="2" t="str">
        <f>"Jamile_Agrup"</f>
        <v>Jamile_Agrup</v>
      </c>
      <c r="F7429" s="2" t="str">
        <f>"USR_JAMILE_AGRUP"</f>
        <v>USR_JAMILE_AGRUP</v>
      </c>
      <c r="G7429" s="2" t="str">
        <f t="shared" si="608"/>
        <v xml:space="preserve"> ()</v>
      </c>
    </row>
    <row r="7430" spans="1:7" x14ac:dyDescent="0.3">
      <c r="A7430" s="1" t="s">
        <v>4</v>
      </c>
      <c r="B7430" s="2" t="str">
        <f t="shared" si="609"/>
        <v>SISTEMA GERADOR DE RELATÓRIOS</v>
      </c>
      <c r="C7430" s="2" t="str">
        <f t="shared" si="610"/>
        <v>SMA-REP</v>
      </c>
      <c r="D7430" s="2" t="str">
        <f t="shared" si="611"/>
        <v>MVREP</v>
      </c>
      <c r="E7430" s="2" t="str">
        <f>"Total Entradas Periodo Pac."</f>
        <v>Total Entradas Periodo Pac.</v>
      </c>
      <c r="F7430" s="2" t="str">
        <f>"USR_TOTAL_ENTRADAS_PERIODO_PAC."</f>
        <v>USR_TOTAL_ENTRADAS_PERIODO_PAC.</v>
      </c>
      <c r="G7430" s="2" t="str">
        <f t="shared" si="608"/>
        <v xml:space="preserve"> ()</v>
      </c>
    </row>
    <row r="7431" spans="1:7" x14ac:dyDescent="0.3">
      <c r="A7431" s="1" t="s">
        <v>4</v>
      </c>
      <c r="B7431" s="2" t="str">
        <f t="shared" si="609"/>
        <v>SISTEMA GERADOR DE RELATÓRIOS</v>
      </c>
      <c r="C7431" s="2" t="str">
        <f t="shared" si="610"/>
        <v>SMA-REP</v>
      </c>
      <c r="D7431" s="2" t="str">
        <f t="shared" si="611"/>
        <v>MVREP</v>
      </c>
      <c r="E7431" s="2" t="str">
        <f>"Teste_Caito"</f>
        <v>Teste_Caito</v>
      </c>
      <c r="F7431" s="2" t="str">
        <f>"USR_TESTE_CAITO"</f>
        <v>USR_TESTE_CAITO</v>
      </c>
      <c r="G7431" s="2" t="str">
        <f t="shared" si="608"/>
        <v xml:space="preserve"> ()</v>
      </c>
    </row>
    <row r="7432" spans="1:7" x14ac:dyDescent="0.3">
      <c r="A7432" s="1" t="s">
        <v>4</v>
      </c>
      <c r="B7432" s="2" t="str">
        <f t="shared" si="609"/>
        <v>SISTEMA GERADOR DE RELATÓRIOS</v>
      </c>
      <c r="C7432" s="2" t="str">
        <f t="shared" si="610"/>
        <v>SMA-REP</v>
      </c>
      <c r="D7432" s="2" t="str">
        <f t="shared" si="611"/>
        <v>MVREP</v>
      </c>
      <c r="E7432" s="2" t="str">
        <f>"teste_PDa"</f>
        <v>teste_PDa</v>
      </c>
      <c r="F7432" s="2" t="str">
        <f>"USR_TESTE_PDA"</f>
        <v>USR_TESTE_PDA</v>
      </c>
      <c r="G7432" s="2" t="str">
        <f t="shared" si="608"/>
        <v xml:space="preserve"> ()</v>
      </c>
    </row>
    <row r="7433" spans="1:7" x14ac:dyDescent="0.3">
      <c r="A7433" s="1" t="s">
        <v>4</v>
      </c>
      <c r="B7433" s="2" t="str">
        <f t="shared" si="609"/>
        <v>SISTEMA GERADOR DE RELATÓRIOS</v>
      </c>
      <c r="C7433" s="2" t="str">
        <f t="shared" si="610"/>
        <v>SMA-REP</v>
      </c>
      <c r="D7433" s="2" t="str">
        <f t="shared" si="611"/>
        <v>MVREP</v>
      </c>
      <c r="E7433" s="2" t="str">
        <f>"tes_fiou"</f>
        <v>tes_fiou</v>
      </c>
      <c r="F7433" s="2" t="str">
        <f>"USR_TES_FIOU"</f>
        <v>USR_TES_FIOU</v>
      </c>
      <c r="G7433" s="2" t="str">
        <f t="shared" si="608"/>
        <v xml:space="preserve"> ()</v>
      </c>
    </row>
    <row r="7434" spans="1:7" x14ac:dyDescent="0.3">
      <c r="A7434" s="1" t="s">
        <v>4</v>
      </c>
      <c r="B7434" s="2" t="str">
        <f t="shared" si="609"/>
        <v>SISTEMA GERADOR DE RELATÓRIOS</v>
      </c>
      <c r="C7434" s="2" t="str">
        <f t="shared" si="610"/>
        <v>SMA-REP</v>
      </c>
      <c r="D7434" s="2" t="str">
        <f t="shared" si="611"/>
        <v>MVREP</v>
      </c>
      <c r="E7434" s="2" t="str">
        <f>"Mao_de_Deus"</f>
        <v>Mao_de_Deus</v>
      </c>
      <c r="F7434" s="2" t="str">
        <f>"USR_MAO_DE_DEUS"</f>
        <v>USR_MAO_DE_DEUS</v>
      </c>
      <c r="G7434" s="2" t="str">
        <f t="shared" si="608"/>
        <v xml:space="preserve"> ()</v>
      </c>
    </row>
    <row r="7435" spans="1:7" x14ac:dyDescent="0.3">
      <c r="A7435" s="1" t="s">
        <v>4</v>
      </c>
      <c r="B7435" s="2" t="str">
        <f t="shared" si="609"/>
        <v>SISTEMA GERADOR DE RELATÓRIOS</v>
      </c>
      <c r="C7435" s="2" t="str">
        <f t="shared" si="610"/>
        <v>SMA-REP</v>
      </c>
      <c r="D7435" s="2" t="str">
        <f t="shared" si="611"/>
        <v>MVREP</v>
      </c>
      <c r="E7435" s="2" t="str">
        <f>"Ciru"</f>
        <v>Ciru</v>
      </c>
      <c r="F7435" s="2" t="str">
        <f>"USR_CIRU"</f>
        <v>USR_CIRU</v>
      </c>
      <c r="G7435" s="2" t="str">
        <f t="shared" si="608"/>
        <v xml:space="preserve"> ()</v>
      </c>
    </row>
    <row r="7436" spans="1:7" x14ac:dyDescent="0.3">
      <c r="A7436" s="1" t="s">
        <v>4</v>
      </c>
      <c r="B7436" s="2" t="str">
        <f t="shared" si="609"/>
        <v>SISTEMA GERADOR DE RELATÓRIOS</v>
      </c>
      <c r="C7436" s="2" t="str">
        <f t="shared" si="610"/>
        <v>SMA-REP</v>
      </c>
      <c r="D7436" s="2" t="str">
        <f t="shared" si="611"/>
        <v>MVREP</v>
      </c>
      <c r="E7436" s="2" t="str">
        <f>"Etiq_poa1"</f>
        <v>Etiq_poa1</v>
      </c>
      <c r="F7436" s="2" t="str">
        <f>"USR_ETIQ_POA1"</f>
        <v>USR_ETIQ_POA1</v>
      </c>
      <c r="G7436" s="2" t="str">
        <f t="shared" si="608"/>
        <v xml:space="preserve"> ()</v>
      </c>
    </row>
    <row r="7437" spans="1:7" x14ac:dyDescent="0.3">
      <c r="A7437" s="1" t="s">
        <v>4</v>
      </c>
      <c r="B7437" s="2" t="str">
        <f t="shared" si="609"/>
        <v>SISTEMA GERADOR DE RELATÓRIOS</v>
      </c>
      <c r="C7437" s="2" t="str">
        <f t="shared" si="610"/>
        <v>SMA-REP</v>
      </c>
      <c r="D7437" s="2" t="str">
        <f t="shared" si="611"/>
        <v>MVREP</v>
      </c>
      <c r="E7437" s="2" t="str">
        <f>"Etiq_POA"</f>
        <v>Etiq_POA</v>
      </c>
      <c r="F7437" s="2" t="str">
        <f>"USR_ETIQ_POA"</f>
        <v>USR_ETIQ_POA</v>
      </c>
      <c r="G7437" s="2" t="str">
        <f t="shared" si="608"/>
        <v xml:space="preserve"> ()</v>
      </c>
    </row>
    <row r="7438" spans="1:7" x14ac:dyDescent="0.3">
      <c r="A7438" s="1" t="s">
        <v>4</v>
      </c>
      <c r="B7438" s="2" t="str">
        <f t="shared" si="609"/>
        <v>SISTEMA GERADOR DE RELATÓRIOS</v>
      </c>
      <c r="C7438" s="2" t="str">
        <f t="shared" si="610"/>
        <v>SMA-REP</v>
      </c>
      <c r="D7438" s="2" t="str">
        <f t="shared" si="611"/>
        <v>MVREP</v>
      </c>
      <c r="E7438" s="2" t="str">
        <f>"teste_Contagem"</f>
        <v>teste_Contagem</v>
      </c>
      <c r="F7438" s="2" t="str">
        <f>"USR_TESTE_CONTAGEM"</f>
        <v>USR_TESTE_CONTAGEM</v>
      </c>
      <c r="G7438" s="2" t="str">
        <f t="shared" si="608"/>
        <v xml:space="preserve"> ()</v>
      </c>
    </row>
    <row r="7439" spans="1:7" x14ac:dyDescent="0.3">
      <c r="A7439" s="1" t="s">
        <v>4</v>
      </c>
      <c r="B7439" s="2" t="str">
        <f t="shared" si="609"/>
        <v>SISTEMA GERADOR DE RELATÓRIOS</v>
      </c>
      <c r="C7439" s="2" t="str">
        <f t="shared" si="610"/>
        <v>SMA-REP</v>
      </c>
      <c r="D7439" s="2" t="str">
        <f t="shared" si="611"/>
        <v>MVREP</v>
      </c>
      <c r="E7439" s="2" t="str">
        <f>"Cristiano"</f>
        <v>Cristiano</v>
      </c>
      <c r="F7439" s="2" t="str">
        <f>"USR_CRISTIANO"</f>
        <v>USR_CRISTIANO</v>
      </c>
      <c r="G7439" s="2" t="str">
        <f t="shared" si="608"/>
        <v xml:space="preserve"> ()</v>
      </c>
    </row>
    <row r="7440" spans="1:7" x14ac:dyDescent="0.3">
      <c r="A7440" s="1" t="s">
        <v>4</v>
      </c>
      <c r="B7440" s="2" t="str">
        <f t="shared" si="609"/>
        <v>SISTEMA GERADOR DE RELATÓRIOS</v>
      </c>
      <c r="C7440" s="2" t="str">
        <f t="shared" si="610"/>
        <v>SMA-REP</v>
      </c>
      <c r="D7440" s="2" t="str">
        <f t="shared" si="611"/>
        <v>MVREP</v>
      </c>
      <c r="E7440" s="2" t="str">
        <f>"Jamile_2"</f>
        <v>Jamile_2</v>
      </c>
      <c r="F7440" s="2" t="str">
        <f>"USR_JAMILE_2"</f>
        <v>USR_JAMILE_2</v>
      </c>
      <c r="G7440" s="2" t="str">
        <f t="shared" si="608"/>
        <v xml:space="preserve"> ()</v>
      </c>
    </row>
    <row r="7441" spans="1:7" x14ac:dyDescent="0.3">
      <c r="A7441" s="1" t="s">
        <v>4</v>
      </c>
      <c r="B7441" s="2" t="str">
        <f t="shared" si="609"/>
        <v>SISTEMA GERADOR DE RELATÓRIOS</v>
      </c>
      <c r="C7441" s="2" t="str">
        <f t="shared" si="610"/>
        <v>SMA-REP</v>
      </c>
      <c r="D7441" s="2" t="str">
        <f t="shared" si="611"/>
        <v>MVREP</v>
      </c>
      <c r="E7441" s="2" t="str">
        <f>"Jamile_1"</f>
        <v>Jamile_1</v>
      </c>
      <c r="F7441" s="2" t="str">
        <f>"USR_JAMILE_1"</f>
        <v>USR_JAMILE_1</v>
      </c>
      <c r="G7441" s="2" t="str">
        <f t="shared" si="608"/>
        <v xml:space="preserve"> ()</v>
      </c>
    </row>
    <row r="7442" spans="1:7" x14ac:dyDescent="0.3">
      <c r="A7442" s="1" t="s">
        <v>4</v>
      </c>
      <c r="B7442" s="2" t="str">
        <f t="shared" si="609"/>
        <v>SISTEMA GERADOR DE RELATÓRIOS</v>
      </c>
      <c r="C7442" s="2" t="str">
        <f t="shared" si="610"/>
        <v>SMA-REP</v>
      </c>
      <c r="D7442" s="2" t="str">
        <f t="shared" si="611"/>
        <v>MVREP</v>
      </c>
      <c r="E7442" s="2" t="str">
        <f>"Margaret2"</f>
        <v>Margaret2</v>
      </c>
      <c r="F7442" s="2" t="str">
        <f>"USR_MARGARET2"</f>
        <v>USR_MARGARET2</v>
      </c>
      <c r="G7442" s="2" t="str">
        <f t="shared" si="608"/>
        <v xml:space="preserve"> ()</v>
      </c>
    </row>
    <row r="7443" spans="1:7" x14ac:dyDescent="0.3">
      <c r="A7443" s="1" t="s">
        <v>4</v>
      </c>
      <c r="B7443" s="2" t="str">
        <f t="shared" si="609"/>
        <v>SISTEMA GERADOR DE RELATÓRIOS</v>
      </c>
      <c r="C7443" s="2" t="str">
        <f t="shared" si="610"/>
        <v>SMA-REP</v>
      </c>
      <c r="D7443" s="2" t="str">
        <f t="shared" si="611"/>
        <v>MVREP</v>
      </c>
      <c r="E7443" s="2" t="str">
        <f>"pasto"</f>
        <v>pasto</v>
      </c>
      <c r="F7443" s="2" t="str">
        <f>"USR_PASTO"</f>
        <v>USR_PASTO</v>
      </c>
      <c r="G7443" s="2" t="str">
        <f t="shared" si="608"/>
        <v xml:space="preserve"> ()</v>
      </c>
    </row>
    <row r="7444" spans="1:7" x14ac:dyDescent="0.3">
      <c r="A7444" s="1" t="s">
        <v>4</v>
      </c>
      <c r="B7444" s="2" t="str">
        <f t="shared" si="609"/>
        <v>SISTEMA GERADOR DE RELATÓRIOS</v>
      </c>
      <c r="C7444" s="2" t="str">
        <f t="shared" si="610"/>
        <v>SMA-REP</v>
      </c>
      <c r="D7444" s="2" t="str">
        <f t="shared" si="611"/>
        <v>MVREP</v>
      </c>
      <c r="E7444" s="2" t="str">
        <f>"Margareth"</f>
        <v>Margareth</v>
      </c>
      <c r="F7444" s="2" t="str">
        <f>"USR_MARGARETH"</f>
        <v>USR_MARGARETH</v>
      </c>
      <c r="G7444" s="2" t="str">
        <f t="shared" si="608"/>
        <v xml:space="preserve"> ()</v>
      </c>
    </row>
    <row r="7445" spans="1:7" x14ac:dyDescent="0.3">
      <c r="A7445" s="1" t="s">
        <v>4</v>
      </c>
      <c r="B7445" s="2" t="str">
        <f t="shared" si="609"/>
        <v>SISTEMA GERADOR DE RELATÓRIOS</v>
      </c>
      <c r="C7445" s="2" t="str">
        <f t="shared" si="610"/>
        <v>SMA-REP</v>
      </c>
      <c r="D7445" s="2" t="str">
        <f t="shared" si="611"/>
        <v>MVREP</v>
      </c>
      <c r="E7445" s="2" t="str">
        <f>"Valdeck"</f>
        <v>Valdeck</v>
      </c>
      <c r="F7445" s="2" t="str">
        <f>"USR_VALDECK"</f>
        <v>USR_VALDECK</v>
      </c>
      <c r="G7445" s="2" t="str">
        <f t="shared" si="608"/>
        <v xml:space="preserve"> ()</v>
      </c>
    </row>
    <row r="7446" spans="1:7" x14ac:dyDescent="0.3">
      <c r="A7446" s="1" t="s">
        <v>4</v>
      </c>
      <c r="B7446" s="2" t="str">
        <f t="shared" si="609"/>
        <v>SISTEMA GERADOR DE RELATÓRIOS</v>
      </c>
      <c r="C7446" s="2" t="str">
        <f t="shared" si="610"/>
        <v>SMA-REP</v>
      </c>
      <c r="D7446" s="2" t="str">
        <f t="shared" si="611"/>
        <v>MVREP</v>
      </c>
      <c r="E7446" s="2" t="str">
        <f>"Etiqueta"</f>
        <v>Etiqueta</v>
      </c>
      <c r="F7446" s="2" t="str">
        <f>"USR_ETIQUETA"</f>
        <v>USR_ETIQUETA</v>
      </c>
      <c r="G7446" s="2" t="str">
        <f t="shared" si="608"/>
        <v xml:space="preserve"> ()</v>
      </c>
    </row>
    <row r="7447" spans="1:7" x14ac:dyDescent="0.3">
      <c r="A7447" s="1" t="s">
        <v>4</v>
      </c>
      <c r="B7447" s="2" t="str">
        <f t="shared" si="609"/>
        <v>SISTEMA GERADOR DE RELATÓRIOS</v>
      </c>
      <c r="C7447" s="2" t="str">
        <f t="shared" si="610"/>
        <v>SMA-REP</v>
      </c>
      <c r="D7447" s="2" t="str">
        <f t="shared" si="611"/>
        <v>MVREP</v>
      </c>
      <c r="E7447" s="2" t="str">
        <f>"Teste_capao"</f>
        <v>Teste_capao</v>
      </c>
      <c r="F7447" s="2" t="str">
        <f>"USR_TESTE_CAPAO"</f>
        <v>USR_TESTE_CAPAO</v>
      </c>
      <c r="G7447" s="2" t="str">
        <f t="shared" si="608"/>
        <v xml:space="preserve"> ()</v>
      </c>
    </row>
    <row r="7448" spans="1:7" x14ac:dyDescent="0.3">
      <c r="A7448" s="1" t="s">
        <v>4</v>
      </c>
      <c r="B7448" s="2" t="str">
        <f t="shared" si="609"/>
        <v>SISTEMA GERADOR DE RELATÓRIOS</v>
      </c>
      <c r="C7448" s="2" t="str">
        <f t="shared" si="610"/>
        <v>SMA-REP</v>
      </c>
      <c r="D7448" s="2" t="str">
        <f t="shared" si="611"/>
        <v>MVREP</v>
      </c>
      <c r="E7448" s="2" t="str">
        <f>"Interacao"</f>
        <v>Interacao</v>
      </c>
      <c r="F7448" s="2" t="str">
        <f>"USR_INTERACAO"</f>
        <v>USR_INTERACAO</v>
      </c>
      <c r="G7448" s="2" t="str">
        <f t="shared" si="608"/>
        <v xml:space="preserve"> ()</v>
      </c>
    </row>
    <row r="7449" spans="1:7" x14ac:dyDescent="0.3">
      <c r="A7449" s="1" t="s">
        <v>4</v>
      </c>
      <c r="B7449" s="2" t="str">
        <f t="shared" si="609"/>
        <v>SISTEMA GERADOR DE RELATÓRIOS</v>
      </c>
      <c r="C7449" s="2" t="str">
        <f t="shared" si="610"/>
        <v>SMA-REP</v>
      </c>
      <c r="D7449" s="2" t="str">
        <f t="shared" si="611"/>
        <v>MVREP</v>
      </c>
      <c r="E7449" s="2" t="str">
        <f>"Etiq_webert"</f>
        <v>Etiq_webert</v>
      </c>
      <c r="F7449" s="2" t="str">
        <f>"USR_ETIQ_WEBERT"</f>
        <v>USR_ETIQ_WEBERT</v>
      </c>
      <c r="G7449" s="2" t="str">
        <f t="shared" si="608"/>
        <v xml:space="preserve"> ()</v>
      </c>
    </row>
    <row r="7450" spans="1:7" x14ac:dyDescent="0.3">
      <c r="A7450" s="1" t="s">
        <v>4</v>
      </c>
      <c r="B7450" s="2" t="str">
        <f t="shared" si="609"/>
        <v>SISTEMA GERADOR DE RELATÓRIOS</v>
      </c>
      <c r="C7450" s="2" t="str">
        <f t="shared" si="610"/>
        <v>SMA-REP</v>
      </c>
      <c r="D7450" s="2" t="str">
        <f t="shared" si="611"/>
        <v>MVREP</v>
      </c>
      <c r="E7450" s="2" t="str">
        <f>"MAPAS_COMPRAS"</f>
        <v>MAPAS_COMPRAS</v>
      </c>
      <c r="F7450" s="2" t="str">
        <f>"USR_MAPAS_COMPRAS"</f>
        <v>USR_MAPAS_COMPRAS</v>
      </c>
      <c r="G7450" s="2" t="str">
        <f t="shared" si="608"/>
        <v xml:space="preserve"> ()</v>
      </c>
    </row>
    <row r="7451" spans="1:7" x14ac:dyDescent="0.3">
      <c r="A7451" s="1" t="s">
        <v>4</v>
      </c>
      <c r="B7451" s="2" t="str">
        <f t="shared" si="609"/>
        <v>SISTEMA GERADOR DE RELATÓRIOS</v>
      </c>
      <c r="C7451" s="2" t="str">
        <f t="shared" si="610"/>
        <v>SMA-REP</v>
      </c>
      <c r="D7451" s="2" t="str">
        <f t="shared" si="611"/>
        <v>MVREP</v>
      </c>
      <c r="E7451" s="2" t="str">
        <f>"teste_Augusto"</f>
        <v>teste_Augusto</v>
      </c>
      <c r="F7451" s="2" t="str">
        <f>"USR_TESTE_AUGUSTO"</f>
        <v>USR_TESTE_AUGUSTO</v>
      </c>
      <c r="G7451" s="2" t="str">
        <f t="shared" si="608"/>
        <v xml:space="preserve"> ()</v>
      </c>
    </row>
    <row r="7452" spans="1:7" x14ac:dyDescent="0.3">
      <c r="A7452" s="1" t="s">
        <v>4</v>
      </c>
      <c r="B7452" s="2" t="str">
        <f t="shared" si="609"/>
        <v>SISTEMA GERADOR DE RELATÓRIOS</v>
      </c>
      <c r="C7452" s="2" t="str">
        <f t="shared" si="610"/>
        <v>SMA-REP</v>
      </c>
      <c r="D7452" s="2" t="str">
        <f t="shared" si="611"/>
        <v>MVREP</v>
      </c>
      <c r="E7452" s="2" t="str">
        <f>"Produção de Entrada.rtm"</f>
        <v>Produção de Entrada.rtm</v>
      </c>
      <c r="F7452" s="2" t="str">
        <f>"USR_PRODUÇAO_DE_ENTRADA.RTM"</f>
        <v>USR_PRODUÇAO_DE_ENTRADA.RTM</v>
      </c>
      <c r="G7452" s="2" t="str">
        <f t="shared" si="608"/>
        <v xml:space="preserve"> ()</v>
      </c>
    </row>
    <row r="7453" spans="1:7" x14ac:dyDescent="0.3">
      <c r="A7453" s="1" t="s">
        <v>4</v>
      </c>
      <c r="B7453" s="2" t="str">
        <f t="shared" si="609"/>
        <v>SISTEMA GERADOR DE RELATÓRIOS</v>
      </c>
      <c r="C7453" s="2" t="str">
        <f t="shared" si="610"/>
        <v>SMA-REP</v>
      </c>
      <c r="D7453" s="2" t="str">
        <f t="shared" si="611"/>
        <v>MVREP</v>
      </c>
      <c r="E7453" s="2" t="str">
        <f>"Agendamento"</f>
        <v>Agendamento</v>
      </c>
      <c r="F7453" s="2" t="str">
        <f>"USR_AGENDAMENTO"</f>
        <v>USR_AGENDAMENTO</v>
      </c>
      <c r="G7453" s="2" t="str">
        <f t="shared" si="608"/>
        <v xml:space="preserve"> ()</v>
      </c>
    </row>
    <row r="7454" spans="1:7" x14ac:dyDescent="0.3">
      <c r="A7454" s="1" t="s">
        <v>4</v>
      </c>
      <c r="B7454" s="2" t="str">
        <f t="shared" si="609"/>
        <v>SISTEMA GERADOR DE RELATÓRIOS</v>
      </c>
      <c r="C7454" s="2" t="str">
        <f t="shared" si="610"/>
        <v>SMA-REP</v>
      </c>
      <c r="D7454" s="2" t="str">
        <f t="shared" si="611"/>
        <v>MVREP</v>
      </c>
      <c r="E7454" s="2" t="str">
        <f>"Relatorio_cid"</f>
        <v>Relatorio_cid</v>
      </c>
      <c r="F7454" s="2" t="str">
        <f>"USR_RELATORIO_CID"</f>
        <v>USR_RELATORIO_CID</v>
      </c>
      <c r="G7454" s="2" t="str">
        <f t="shared" si="608"/>
        <v xml:space="preserve"> ()</v>
      </c>
    </row>
    <row r="7455" spans="1:7" x14ac:dyDescent="0.3">
      <c r="A7455" s="1" t="s">
        <v>4</v>
      </c>
      <c r="B7455" s="2" t="str">
        <f t="shared" si="609"/>
        <v>SISTEMA GERADOR DE RELATÓRIOS</v>
      </c>
      <c r="C7455" s="2" t="str">
        <f t="shared" si="610"/>
        <v>SMA-REP</v>
      </c>
      <c r="D7455" s="2" t="str">
        <f t="shared" si="611"/>
        <v>MVREP</v>
      </c>
      <c r="E7455" s="2" t="str">
        <f>"Sumare_teste"</f>
        <v>Sumare_teste</v>
      </c>
      <c r="F7455" s="2" t="str">
        <f>"USR_SUMARE_TESTE"</f>
        <v>USR_SUMARE_TESTE</v>
      </c>
      <c r="G7455" s="2" t="str">
        <f t="shared" si="608"/>
        <v xml:space="preserve"> ()</v>
      </c>
    </row>
    <row r="7456" spans="1:7" x14ac:dyDescent="0.3">
      <c r="A7456" s="1" t="s">
        <v>4</v>
      </c>
      <c r="B7456" s="2" t="str">
        <f t="shared" si="609"/>
        <v>SISTEMA GERADOR DE RELATÓRIOS</v>
      </c>
      <c r="C7456" s="2" t="str">
        <f t="shared" si="610"/>
        <v>SMA-REP</v>
      </c>
      <c r="D7456" s="2" t="str">
        <f t="shared" si="611"/>
        <v>MVREP</v>
      </c>
      <c r="E7456" s="2" t="str">
        <f>"Raiox_teste"</f>
        <v>Raiox_teste</v>
      </c>
      <c r="F7456" s="2" t="str">
        <f>"USR_RAIOX_TESTE"</f>
        <v>USR_RAIOX_TESTE</v>
      </c>
      <c r="G7456" s="2" t="str">
        <f t="shared" si="608"/>
        <v xml:space="preserve"> ()</v>
      </c>
    </row>
    <row r="7457" spans="1:7" x14ac:dyDescent="0.3">
      <c r="A7457" s="1" t="s">
        <v>4</v>
      </c>
      <c r="B7457" s="2" t="str">
        <f t="shared" si="609"/>
        <v>SISTEMA GERADOR DE RELATÓRIOS</v>
      </c>
      <c r="C7457" s="2" t="str">
        <f t="shared" si="610"/>
        <v>SMA-REP</v>
      </c>
      <c r="D7457" s="2" t="str">
        <f t="shared" si="611"/>
        <v>MVREP</v>
      </c>
      <c r="E7457" s="2" t="str">
        <f>"etiq_manipulacao"</f>
        <v>etiq_manipulacao</v>
      </c>
      <c r="F7457" s="2" t="str">
        <f>"USR_ETIQ_MANIPULACAO"</f>
        <v>USR_ETIQ_MANIPULACAO</v>
      </c>
      <c r="G7457" s="2" t="str">
        <f t="shared" si="608"/>
        <v xml:space="preserve"> ()</v>
      </c>
    </row>
    <row r="7458" spans="1:7" x14ac:dyDescent="0.3">
      <c r="A7458" s="1" t="s">
        <v>4</v>
      </c>
      <c r="B7458" s="2" t="str">
        <f t="shared" si="609"/>
        <v>SISTEMA GERADOR DE RELATÓRIOS</v>
      </c>
      <c r="C7458" s="2" t="str">
        <f t="shared" si="610"/>
        <v>SMA-REP</v>
      </c>
      <c r="D7458" s="2" t="str">
        <f t="shared" si="611"/>
        <v>MVREP</v>
      </c>
      <c r="E7458" s="2" t="str">
        <f>"teste_old"</f>
        <v>teste_old</v>
      </c>
      <c r="F7458" s="2" t="str">
        <f>"USR_TESTE_OLD"</f>
        <v>USR_TESTE_OLD</v>
      </c>
      <c r="G7458" s="2" t="str">
        <f t="shared" si="608"/>
        <v xml:space="preserve"> ()</v>
      </c>
    </row>
    <row r="7459" spans="1:7" x14ac:dyDescent="0.3">
      <c r="A7459" s="1" t="s">
        <v>4</v>
      </c>
      <c r="B7459" s="2" t="str">
        <f t="shared" si="609"/>
        <v>SISTEMA GERADOR DE RELATÓRIOS</v>
      </c>
      <c r="C7459" s="2" t="str">
        <f t="shared" si="610"/>
        <v>SMA-REP</v>
      </c>
      <c r="D7459" s="2" t="str">
        <f t="shared" si="611"/>
        <v>MVREP</v>
      </c>
      <c r="E7459" s="2" t="str">
        <f>"t"</f>
        <v>t</v>
      </c>
      <c r="F7459" s="2" t="str">
        <f>"USR_T"</f>
        <v>USR_T</v>
      </c>
      <c r="G7459" s="2" t="str">
        <f t="shared" si="608"/>
        <v xml:space="preserve"> ()</v>
      </c>
    </row>
    <row r="7460" spans="1:7" x14ac:dyDescent="0.3">
      <c r="A7460" s="1" t="s">
        <v>4</v>
      </c>
      <c r="B7460" s="2" t="str">
        <f t="shared" si="609"/>
        <v>SISTEMA GERADOR DE RELATÓRIOS</v>
      </c>
      <c r="C7460" s="2" t="str">
        <f t="shared" si="610"/>
        <v>SMA-REP</v>
      </c>
      <c r="D7460" s="2" t="str">
        <f t="shared" si="611"/>
        <v>MVREP</v>
      </c>
      <c r="E7460" s="2" t="str">
        <f>"Setor1"</f>
        <v>Setor1</v>
      </c>
      <c r="F7460" s="2" t="str">
        <f>"USR_SETOR1"</f>
        <v>USR_SETOR1</v>
      </c>
      <c r="G7460" s="2" t="str">
        <f t="shared" si="608"/>
        <v xml:space="preserve"> ()</v>
      </c>
    </row>
    <row r="7461" spans="1:7" x14ac:dyDescent="0.3">
      <c r="A7461" s="1" t="s">
        <v>4</v>
      </c>
      <c r="B7461" s="2" t="str">
        <f t="shared" si="609"/>
        <v>SISTEMA GERADOR DE RELATÓRIOS</v>
      </c>
      <c r="C7461" s="2" t="str">
        <f t="shared" si="610"/>
        <v>SMA-REP</v>
      </c>
      <c r="D7461" s="2" t="str">
        <f t="shared" si="611"/>
        <v>MVREP</v>
      </c>
      <c r="E7461" s="2" t="str">
        <f>"Receber_Setor"</f>
        <v>Receber_Setor</v>
      </c>
      <c r="F7461" s="2" t="str">
        <f>"USR_RECEBER_SETOR"</f>
        <v>USR_RECEBER_SETOR</v>
      </c>
      <c r="G7461" s="2" t="str">
        <f t="shared" si="608"/>
        <v xml:space="preserve"> ()</v>
      </c>
    </row>
    <row r="7462" spans="1:7" x14ac:dyDescent="0.3">
      <c r="A7462" s="1" t="s">
        <v>4</v>
      </c>
      <c r="B7462" s="2" t="str">
        <f t="shared" si="609"/>
        <v>SISTEMA GERADOR DE RELATÓRIOS</v>
      </c>
      <c r="C7462" s="2" t="str">
        <f t="shared" si="610"/>
        <v>SMA-REP</v>
      </c>
      <c r="D7462" s="2" t="str">
        <f t="shared" si="611"/>
        <v>MVREP</v>
      </c>
      <c r="E7462" s="2" t="str">
        <f>"Teste_cdebarras"</f>
        <v>Teste_cdebarras</v>
      </c>
      <c r="F7462" s="2" t="str">
        <f>"USR_TESTE_CDEBARRAS"</f>
        <v>USR_TESTE_CDEBARRAS</v>
      </c>
      <c r="G7462" s="2" t="str">
        <f t="shared" si="608"/>
        <v xml:space="preserve"> ()</v>
      </c>
    </row>
    <row r="7463" spans="1:7" x14ac:dyDescent="0.3">
      <c r="A7463" s="1" t="s">
        <v>4</v>
      </c>
      <c r="B7463" s="2" t="str">
        <f t="shared" si="609"/>
        <v>SISTEMA GERADOR DE RELATÓRIOS</v>
      </c>
      <c r="C7463" s="2" t="str">
        <f t="shared" si="610"/>
        <v>SMA-REP</v>
      </c>
      <c r="D7463" s="2" t="str">
        <f t="shared" si="611"/>
        <v>MVREP</v>
      </c>
      <c r="E7463" s="2" t="str">
        <f>"sumare"</f>
        <v>sumare</v>
      </c>
      <c r="F7463" s="2" t="str">
        <f>"USR_SUMARE"</f>
        <v>USR_SUMARE</v>
      </c>
      <c r="G7463" s="2" t="str">
        <f t="shared" si="608"/>
        <v xml:space="preserve"> ()</v>
      </c>
    </row>
    <row r="7464" spans="1:7" x14ac:dyDescent="0.3">
      <c r="A7464" s="1" t="s">
        <v>4</v>
      </c>
      <c r="B7464" s="2" t="str">
        <f t="shared" si="609"/>
        <v>SISTEMA GERADOR DE RELATÓRIOS</v>
      </c>
      <c r="C7464" s="2" t="str">
        <f t="shared" si="610"/>
        <v>SMA-REP</v>
      </c>
      <c r="D7464" s="2" t="str">
        <f t="shared" si="611"/>
        <v>MVREP</v>
      </c>
      <c r="E7464" s="2" t="str">
        <f>"Nutrição_Ronaldo"</f>
        <v>Nutrição_Ronaldo</v>
      </c>
      <c r="F7464" s="2" t="str">
        <f>"USR_NUTRIÇAO_RONALDO"</f>
        <v>USR_NUTRIÇAO_RONALDO</v>
      </c>
      <c r="G7464" s="2" t="str">
        <f t="shared" si="608"/>
        <v xml:space="preserve"> ()</v>
      </c>
    </row>
    <row r="7465" spans="1:7" x14ac:dyDescent="0.3">
      <c r="A7465" s="1" t="s">
        <v>4</v>
      </c>
      <c r="B7465" s="2" t="str">
        <f t="shared" si="609"/>
        <v>SISTEMA GERADOR DE RELATÓRIOS</v>
      </c>
      <c r="C7465" s="2" t="str">
        <f t="shared" si="610"/>
        <v>SMA-REP</v>
      </c>
      <c r="D7465" s="2" t="str">
        <f t="shared" si="611"/>
        <v>MVREP</v>
      </c>
      <c r="E7465" s="2" t="str">
        <f>"Teste_para"</f>
        <v>Teste_para</v>
      </c>
      <c r="F7465" s="2" t="str">
        <f>"USR_TESTE_PARA"</f>
        <v>USR_TESTE_PARA</v>
      </c>
      <c r="G7465" s="2" t="str">
        <f t="shared" si="608"/>
        <v xml:space="preserve"> ()</v>
      </c>
    </row>
    <row r="7466" spans="1:7" x14ac:dyDescent="0.3">
      <c r="A7466" s="1" t="s">
        <v>4</v>
      </c>
      <c r="B7466" s="2" t="str">
        <f t="shared" si="609"/>
        <v>SISTEMA GERADOR DE RELATÓRIOS</v>
      </c>
      <c r="C7466" s="2" t="str">
        <f t="shared" si="610"/>
        <v>SMA-REP</v>
      </c>
      <c r="D7466" s="2" t="str">
        <f t="shared" si="611"/>
        <v>MVREP</v>
      </c>
      <c r="E7466" s="2" t="str">
        <f>"Razao_contabil"</f>
        <v>Razao_contabil</v>
      </c>
      <c r="F7466" s="2" t="str">
        <f>"USR_RAZAO_CONTABIL"</f>
        <v>USR_RAZAO_CONTABIL</v>
      </c>
      <c r="G7466" s="2" t="str">
        <f t="shared" si="608"/>
        <v xml:space="preserve"> ()</v>
      </c>
    </row>
    <row r="7467" spans="1:7" x14ac:dyDescent="0.3">
      <c r="A7467" s="1" t="s">
        <v>4</v>
      </c>
      <c r="B7467" s="2" t="str">
        <f t="shared" si="609"/>
        <v>SISTEMA GERADOR DE RELATÓRIOS</v>
      </c>
      <c r="C7467" s="2" t="str">
        <f t="shared" si="610"/>
        <v>SMA-REP</v>
      </c>
      <c r="D7467" s="2" t="str">
        <f t="shared" si="611"/>
        <v>MVREP</v>
      </c>
      <c r="E7467" s="2" t="str">
        <f>"Diario Geral"</f>
        <v>Diario Geral</v>
      </c>
      <c r="F7467" s="2" t="str">
        <f>"USR_DIARIO_GERAL"</f>
        <v>USR_DIARIO_GERAL</v>
      </c>
      <c r="G7467" s="2" t="str">
        <f t="shared" si="608"/>
        <v xml:space="preserve"> ()</v>
      </c>
    </row>
    <row r="7468" spans="1:7" x14ac:dyDescent="0.3">
      <c r="A7468" s="1" t="s">
        <v>4</v>
      </c>
      <c r="B7468" s="2" t="str">
        <f t="shared" si="609"/>
        <v>SISTEMA GERADOR DE RELATÓRIOS</v>
      </c>
      <c r="C7468" s="2" t="str">
        <f t="shared" si="610"/>
        <v>SMA-REP</v>
      </c>
      <c r="D7468" s="2" t="str">
        <f t="shared" si="611"/>
        <v>MVREP</v>
      </c>
      <c r="E7468" s="2" t="str">
        <f>"Recursos Recebidos"</f>
        <v>Recursos Recebidos</v>
      </c>
      <c r="F7468" s="2" t="str">
        <f>"USR_RECURSOS_RECEBIDOS"</f>
        <v>USR_RECURSOS_RECEBIDOS</v>
      </c>
      <c r="G7468" s="2" t="str">
        <f t="shared" si="608"/>
        <v xml:space="preserve"> ()</v>
      </c>
    </row>
    <row r="7469" spans="1:7" x14ac:dyDescent="0.3">
      <c r="A7469" s="1" t="s">
        <v>4</v>
      </c>
      <c r="B7469" s="2" t="str">
        <f t="shared" si="609"/>
        <v>SISTEMA GERADOR DE RELATÓRIOS</v>
      </c>
      <c r="C7469" s="2" t="str">
        <f t="shared" si="610"/>
        <v>SMA-REP</v>
      </c>
      <c r="D7469" s="2" t="str">
        <f t="shared" si="611"/>
        <v>MVREP</v>
      </c>
      <c r="E7469" s="2" t="str">
        <f>"Teste_imprimir"</f>
        <v>Teste_imprimir</v>
      </c>
      <c r="F7469" s="2" t="str">
        <f>"USR_TESTE_IMPRIMIR"</f>
        <v>USR_TESTE_IMPRIMIR</v>
      </c>
      <c r="G7469" s="2" t="str">
        <f t="shared" si="608"/>
        <v xml:space="preserve"> ()</v>
      </c>
    </row>
    <row r="7470" spans="1:7" x14ac:dyDescent="0.3">
      <c r="A7470" s="1" t="s">
        <v>4</v>
      </c>
      <c r="B7470" s="2" t="str">
        <f t="shared" si="609"/>
        <v>SISTEMA GERADOR DE RELATÓRIOS</v>
      </c>
      <c r="C7470" s="2" t="str">
        <f t="shared" si="610"/>
        <v>SMA-REP</v>
      </c>
      <c r="D7470" s="2" t="str">
        <f t="shared" si="611"/>
        <v>MVREP</v>
      </c>
      <c r="E7470" s="2" t="str">
        <f>"TESTE2"</f>
        <v>TESTE2</v>
      </c>
      <c r="F7470" s="2" t="str">
        <f>"USR_TESTE2"</f>
        <v>USR_TESTE2</v>
      </c>
      <c r="G7470" s="2" t="str">
        <f t="shared" si="608"/>
        <v xml:space="preserve"> ()</v>
      </c>
    </row>
    <row r="7471" spans="1:7" x14ac:dyDescent="0.3">
      <c r="A7471" s="1" t="s">
        <v>4</v>
      </c>
      <c r="B7471" s="2" t="str">
        <f t="shared" si="609"/>
        <v>SISTEMA GERADOR DE RELATÓRIOS</v>
      </c>
      <c r="C7471" s="2" t="str">
        <f t="shared" si="610"/>
        <v>SMA-REP</v>
      </c>
      <c r="D7471" s="2" t="str">
        <f t="shared" si="611"/>
        <v>MVREP</v>
      </c>
      <c r="E7471" s="2" t="str">
        <f>"Adriano"</f>
        <v>Adriano</v>
      </c>
      <c r="F7471" s="2" t="str">
        <f>"USR_ADRIANO"</f>
        <v>USR_ADRIANO</v>
      </c>
      <c r="G7471" s="2" t="str">
        <f t="shared" si="608"/>
        <v xml:space="preserve"> ()</v>
      </c>
    </row>
    <row r="7472" spans="1:7" x14ac:dyDescent="0.3">
      <c r="A7472" s="1" t="s">
        <v>4</v>
      </c>
      <c r="B7472" s="2" t="str">
        <f t="shared" si="609"/>
        <v>SISTEMA GERADOR DE RELATÓRIOS</v>
      </c>
      <c r="C7472" s="2" t="str">
        <f t="shared" si="610"/>
        <v>SMA-REP</v>
      </c>
      <c r="D7472" s="2" t="str">
        <f t="shared" si="611"/>
        <v>MVREP</v>
      </c>
      <c r="E7472" s="2" t="str">
        <f>"pai"</f>
        <v>pai</v>
      </c>
      <c r="F7472" s="2" t="str">
        <f>"USR_PAI"</f>
        <v>USR_PAI</v>
      </c>
      <c r="G7472" s="2" t="str">
        <f t="shared" si="608"/>
        <v xml:space="preserve"> ()</v>
      </c>
    </row>
    <row r="7473" spans="1:7" x14ac:dyDescent="0.3">
      <c r="A7473" s="1" t="s">
        <v>4</v>
      </c>
      <c r="B7473" s="2" t="str">
        <f t="shared" si="609"/>
        <v>SISTEMA GERADOR DE RELATÓRIOS</v>
      </c>
      <c r="C7473" s="2" t="str">
        <f t="shared" si="610"/>
        <v>SMA-REP</v>
      </c>
      <c r="D7473" s="2" t="str">
        <f t="shared" si="611"/>
        <v>MVREP</v>
      </c>
      <c r="E7473" s="2" t="str">
        <f>"CODIGO_DE_BARRA"</f>
        <v>CODIGO_DE_BARRA</v>
      </c>
      <c r="F7473" s="2" t="str">
        <f>"USR_CODIGO_DE_BARRA"</f>
        <v>USR_CODIGO_DE_BARRA</v>
      </c>
      <c r="G7473" s="2" t="str">
        <f t="shared" si="608"/>
        <v xml:space="preserve"> ()</v>
      </c>
    </row>
    <row r="7474" spans="1:7" x14ac:dyDescent="0.3">
      <c r="A7474" s="1" t="s">
        <v>4</v>
      </c>
      <c r="B7474" s="2" t="str">
        <f t="shared" si="609"/>
        <v>SISTEMA GERADOR DE RELATÓRIOS</v>
      </c>
      <c r="C7474" s="2" t="str">
        <f t="shared" si="610"/>
        <v>SMA-REP</v>
      </c>
      <c r="D7474" s="2" t="str">
        <f t="shared" si="611"/>
        <v>MVREP</v>
      </c>
      <c r="E7474" s="2" t="str">
        <f>"PDA_154854"</f>
        <v>PDA_154854</v>
      </c>
      <c r="F7474" s="2" t="str">
        <f>"USR_PDA_154854"</f>
        <v>USR_PDA_154854</v>
      </c>
      <c r="G7474" s="2" t="str">
        <f t="shared" si="608"/>
        <v xml:space="preserve"> ()</v>
      </c>
    </row>
    <row r="7475" spans="1:7" x14ac:dyDescent="0.3">
      <c r="A7475" s="1" t="s">
        <v>4</v>
      </c>
      <c r="B7475" s="2" t="str">
        <f t="shared" si="609"/>
        <v>SISTEMA GERADOR DE RELATÓRIOS</v>
      </c>
      <c r="C7475" s="2" t="str">
        <f t="shared" si="610"/>
        <v>SMA-REP</v>
      </c>
      <c r="D7475" s="2" t="str">
        <f t="shared" si="611"/>
        <v>MVREP</v>
      </c>
      <c r="E7475" s="2" t="str">
        <f>"PDA_133582_teste_isolado"</f>
        <v>PDA_133582_teste_isolado</v>
      </c>
      <c r="F7475" s="2" t="str">
        <f>"USR_PDA_133582_TESTE_ISOLADO"</f>
        <v>USR_PDA_133582_TESTE_ISOLADO</v>
      </c>
      <c r="G7475" s="2" t="str">
        <f t="shared" si="608"/>
        <v xml:space="preserve"> ()</v>
      </c>
    </row>
    <row r="7476" spans="1:7" x14ac:dyDescent="0.3">
      <c r="A7476" s="1" t="s">
        <v>4</v>
      </c>
      <c r="B7476" s="2" t="str">
        <f t="shared" si="609"/>
        <v>SISTEMA GERADOR DE RELATÓRIOS</v>
      </c>
      <c r="C7476" s="2" t="str">
        <f t="shared" si="610"/>
        <v>SMA-REP</v>
      </c>
      <c r="D7476" s="2" t="str">
        <f t="shared" si="611"/>
        <v>MVREP</v>
      </c>
      <c r="E7476" s="2" t="str">
        <f>"PDA_133582_Irmã_Dulce"</f>
        <v>PDA_133582_Irmã_Dulce</v>
      </c>
      <c r="F7476" s="2" t="str">
        <f>"USR_PDA_133582_IRMA_DULCE"</f>
        <v>USR_PDA_133582_IRMA_DULCE</v>
      </c>
      <c r="G7476" s="2" t="str">
        <f t="shared" si="608"/>
        <v xml:space="preserve"> ()</v>
      </c>
    </row>
    <row r="7477" spans="1:7" x14ac:dyDescent="0.3">
      <c r="A7477" s="1" t="s">
        <v>4</v>
      </c>
      <c r="B7477" s="2" t="str">
        <f t="shared" si="609"/>
        <v>SISTEMA GERADOR DE RELATÓRIOS</v>
      </c>
      <c r="C7477" s="2" t="str">
        <f t="shared" si="610"/>
        <v>SMA-REP</v>
      </c>
      <c r="D7477" s="2" t="str">
        <f t="shared" si="611"/>
        <v>MVREP</v>
      </c>
      <c r="E7477" s="2" t="str">
        <f>"teste_sumare"</f>
        <v>teste_sumare</v>
      </c>
      <c r="F7477" s="2" t="str">
        <f>"USR_TESTE_SUMARE"</f>
        <v>USR_TESTE_SUMARE</v>
      </c>
      <c r="G7477" s="2" t="str">
        <f t="shared" si="608"/>
        <v xml:space="preserve"> ()</v>
      </c>
    </row>
    <row r="7478" spans="1:7" x14ac:dyDescent="0.3">
      <c r="A7478" s="1" t="s">
        <v>4</v>
      </c>
      <c r="B7478" s="2" t="str">
        <f t="shared" si="609"/>
        <v>SISTEMA GERADOR DE RELATÓRIOS</v>
      </c>
      <c r="C7478" s="2" t="str">
        <f t="shared" si="610"/>
        <v>SMA-REP</v>
      </c>
      <c r="D7478" s="2" t="str">
        <f t="shared" si="611"/>
        <v>MVREP</v>
      </c>
      <c r="E7478" s="2" t="str">
        <f>"Passagem_de_parametros"</f>
        <v>Passagem_de_parametros</v>
      </c>
      <c r="F7478" s="2" t="str">
        <f>"USR_PASSAGEM_DE_PARAMETROS"</f>
        <v>USR_PASSAGEM_DE_PARAMETROS</v>
      </c>
      <c r="G7478" s="2" t="str">
        <f t="shared" si="608"/>
        <v xml:space="preserve"> ()</v>
      </c>
    </row>
    <row r="7479" spans="1:7" x14ac:dyDescent="0.3">
      <c r="A7479" s="1" t="s">
        <v>4</v>
      </c>
      <c r="B7479" s="2" t="str">
        <f t="shared" si="609"/>
        <v>SISTEMA GERADOR DE RELATÓRIOS</v>
      </c>
      <c r="C7479" s="2" t="str">
        <f t="shared" si="610"/>
        <v>SMA-REP</v>
      </c>
      <c r="D7479" s="2" t="str">
        <f t="shared" si="611"/>
        <v>MVREP</v>
      </c>
      <c r="E7479" s="2" t="str">
        <f>"Mapa_Cirurgico_OC_20060523"</f>
        <v>Mapa_Cirurgico_OC_20060523</v>
      </c>
      <c r="F7479" s="2" t="str">
        <f>"USR_MAPA_CIRURGICO_OC_20060523"</f>
        <v>USR_MAPA_CIRURGICO_OC_20060523</v>
      </c>
      <c r="G7479" s="2" t="str">
        <f t="shared" si="608"/>
        <v xml:space="preserve"> ()</v>
      </c>
    </row>
    <row r="7480" spans="1:7" x14ac:dyDescent="0.3">
      <c r="A7480" s="1" t="s">
        <v>4</v>
      </c>
      <c r="B7480" s="2" t="str">
        <f t="shared" si="609"/>
        <v>SISTEMA GERADOR DE RELATÓRIOS</v>
      </c>
      <c r="C7480" s="2" t="str">
        <f t="shared" si="610"/>
        <v>SMA-REP</v>
      </c>
      <c r="D7480" s="2" t="str">
        <f t="shared" si="611"/>
        <v>MVREP</v>
      </c>
      <c r="E7480" s="2" t="str">
        <f>"SAIDA_PARA_SETOR_2"</f>
        <v>SAIDA_PARA_SETOR_2</v>
      </c>
      <c r="F7480" s="2" t="str">
        <f>"USR_SAIDA_PARA_SETOR_2"</f>
        <v>USR_SAIDA_PARA_SETOR_2</v>
      </c>
      <c r="G7480" s="2" t="str">
        <f t="shared" ref="G7480:G7543" si="612">" ()"</f>
        <v xml:space="preserve"> ()</v>
      </c>
    </row>
    <row r="7481" spans="1:7" x14ac:dyDescent="0.3">
      <c r="A7481" s="1" t="s">
        <v>4</v>
      </c>
      <c r="B7481" s="2" t="str">
        <f t="shared" si="609"/>
        <v>SISTEMA GERADOR DE RELATÓRIOS</v>
      </c>
      <c r="C7481" s="2" t="str">
        <f t="shared" si="610"/>
        <v>SMA-REP</v>
      </c>
      <c r="D7481" s="2" t="str">
        <f t="shared" si="611"/>
        <v>MVREP</v>
      </c>
      <c r="E7481" s="2" t="str">
        <f>"relatorio sao marcos"</f>
        <v>relatorio sao marcos</v>
      </c>
      <c r="F7481" s="2" t="str">
        <f>"USR_RELATORIO_SAO_MARCOS"</f>
        <v>USR_RELATORIO_SAO_MARCOS</v>
      </c>
      <c r="G7481" s="2" t="str">
        <f t="shared" si="612"/>
        <v xml:space="preserve"> ()</v>
      </c>
    </row>
    <row r="7482" spans="1:7" x14ac:dyDescent="0.3">
      <c r="A7482" s="1" t="s">
        <v>4</v>
      </c>
      <c r="B7482" s="2" t="str">
        <f t="shared" si="609"/>
        <v>SISTEMA GERADOR DE RELATÓRIOS</v>
      </c>
      <c r="C7482" s="2" t="str">
        <f t="shared" si="610"/>
        <v>SMA-REP</v>
      </c>
      <c r="D7482" s="2" t="str">
        <f t="shared" si="611"/>
        <v>MVREP</v>
      </c>
      <c r="E7482" s="2" t="str">
        <f>"Roupa_jamile"</f>
        <v>Roupa_jamile</v>
      </c>
      <c r="F7482" s="2" t="str">
        <f>"USR_ROUPA_JAMILE"</f>
        <v>USR_ROUPA_JAMILE</v>
      </c>
      <c r="G7482" s="2" t="str">
        <f t="shared" si="612"/>
        <v xml:space="preserve"> ()</v>
      </c>
    </row>
    <row r="7483" spans="1:7" x14ac:dyDescent="0.3">
      <c r="A7483" s="1" t="s">
        <v>4</v>
      </c>
      <c r="B7483" s="2" t="str">
        <f t="shared" si="609"/>
        <v>SISTEMA GERADOR DE RELATÓRIOS</v>
      </c>
      <c r="C7483" s="2" t="str">
        <f t="shared" si="610"/>
        <v>SMA-REP</v>
      </c>
      <c r="D7483" s="2" t="str">
        <f t="shared" si="611"/>
        <v>MVREP</v>
      </c>
      <c r="E7483" s="2" t="str">
        <f>"controle de guias"</f>
        <v>controle de guias</v>
      </c>
      <c r="F7483" s="2" t="str">
        <f>"USR_CONTROLE_DE_GUIAS"</f>
        <v>USR_CONTROLE_DE_GUIAS</v>
      </c>
      <c r="G7483" s="2" t="str">
        <f t="shared" si="612"/>
        <v xml:space="preserve"> ()</v>
      </c>
    </row>
    <row r="7484" spans="1:7" x14ac:dyDescent="0.3">
      <c r="A7484" s="1" t="s">
        <v>4</v>
      </c>
      <c r="B7484" s="2" t="str">
        <f t="shared" si="609"/>
        <v>SISTEMA GERADOR DE RELATÓRIOS</v>
      </c>
      <c r="C7484" s="2" t="str">
        <f t="shared" si="610"/>
        <v>SMA-REP</v>
      </c>
      <c r="D7484" s="2" t="str">
        <f t="shared" si="611"/>
        <v>MVREP</v>
      </c>
      <c r="E7484" s="2" t="str">
        <f>"xuxua"</f>
        <v>xuxua</v>
      </c>
      <c r="F7484" s="2" t="str">
        <f>"USR_XUXUA"</f>
        <v>USR_XUXUA</v>
      </c>
      <c r="G7484" s="2" t="str">
        <f t="shared" si="612"/>
        <v xml:space="preserve"> ()</v>
      </c>
    </row>
    <row r="7485" spans="1:7" x14ac:dyDescent="0.3">
      <c r="A7485" s="1" t="s">
        <v>4</v>
      </c>
      <c r="B7485" s="2" t="str">
        <f t="shared" ref="B7485:B7548" si="613">"SISTEMA GERADOR DE RELATÓRIOS"</f>
        <v>SISTEMA GERADOR DE RELATÓRIOS</v>
      </c>
      <c r="C7485" s="2" t="str">
        <f t="shared" ref="C7485:C7548" si="614">"SMA-REP"</f>
        <v>SMA-REP</v>
      </c>
      <c r="D7485" s="2" t="str">
        <f t="shared" ref="D7485:D7548" si="615">"MVREP"</f>
        <v>MVREP</v>
      </c>
      <c r="E7485" s="2" t="str">
        <f>"etiq"</f>
        <v>etiq</v>
      </c>
      <c r="F7485" s="2" t="str">
        <f>"USR_ETIQ"</f>
        <v>USR_ETIQ</v>
      </c>
      <c r="G7485" s="2" t="str">
        <f t="shared" si="612"/>
        <v xml:space="preserve"> ()</v>
      </c>
    </row>
    <row r="7486" spans="1:7" x14ac:dyDescent="0.3">
      <c r="A7486" s="1" t="s">
        <v>4</v>
      </c>
      <c r="B7486" s="2" t="str">
        <f t="shared" si="613"/>
        <v>SISTEMA GERADOR DE RELATÓRIOS</v>
      </c>
      <c r="C7486" s="2" t="str">
        <f t="shared" si="614"/>
        <v>SMA-REP</v>
      </c>
      <c r="D7486" s="2" t="str">
        <f t="shared" si="615"/>
        <v>MVREP</v>
      </c>
      <c r="E7486" s="2" t="str">
        <f>"Cabeca de Pato"</f>
        <v>Cabeca de Pato</v>
      </c>
      <c r="F7486" s="2" t="str">
        <f>"USR_CABECA_DE_PATO"</f>
        <v>USR_CABECA_DE_PATO</v>
      </c>
      <c r="G7486" s="2" t="str">
        <f t="shared" si="612"/>
        <v xml:space="preserve"> ()</v>
      </c>
    </row>
    <row r="7487" spans="1:7" x14ac:dyDescent="0.3">
      <c r="A7487" s="1" t="s">
        <v>4</v>
      </c>
      <c r="B7487" s="2" t="str">
        <f t="shared" si="613"/>
        <v>SISTEMA GERADOR DE RELATÓRIOS</v>
      </c>
      <c r="C7487" s="2" t="str">
        <f t="shared" si="614"/>
        <v>SMA-REP</v>
      </c>
      <c r="D7487" s="2" t="str">
        <f t="shared" si="615"/>
        <v>MVREP</v>
      </c>
      <c r="E7487" s="2" t="str">
        <f>"teste"</f>
        <v>teste</v>
      </c>
      <c r="F7487" s="2" t="str">
        <f>"USR_TESTE-X"</f>
        <v>USR_TESTE-X</v>
      </c>
      <c r="G7487" s="2" t="str">
        <f t="shared" si="612"/>
        <v xml:space="preserve"> ()</v>
      </c>
    </row>
    <row r="7488" spans="1:7" x14ac:dyDescent="0.3">
      <c r="A7488" s="1" t="s">
        <v>4</v>
      </c>
      <c r="B7488" s="2" t="str">
        <f t="shared" si="613"/>
        <v>SISTEMA GERADOR DE RELATÓRIOS</v>
      </c>
      <c r="C7488" s="2" t="str">
        <f t="shared" si="614"/>
        <v>SMA-REP</v>
      </c>
      <c r="D7488" s="2" t="str">
        <f t="shared" si="615"/>
        <v>MVREP</v>
      </c>
      <c r="E7488" s="2" t="str">
        <f>"Modelo_Etiqueta"</f>
        <v>Modelo_Etiqueta</v>
      </c>
      <c r="F7488" s="2" t="str">
        <f>"USR_MODELO_ETIQUETA"</f>
        <v>USR_MODELO_ETIQUETA</v>
      </c>
      <c r="G7488" s="2" t="str">
        <f t="shared" si="612"/>
        <v xml:space="preserve"> ()</v>
      </c>
    </row>
    <row r="7489" spans="1:7" x14ac:dyDescent="0.3">
      <c r="A7489" s="1" t="s">
        <v>4</v>
      </c>
      <c r="B7489" s="2" t="str">
        <f t="shared" si="613"/>
        <v>SISTEMA GERADOR DE RELATÓRIOS</v>
      </c>
      <c r="C7489" s="2" t="str">
        <f t="shared" si="614"/>
        <v>SMA-REP</v>
      </c>
      <c r="D7489" s="2" t="str">
        <f t="shared" si="615"/>
        <v>MVREP</v>
      </c>
      <c r="E7489" s="2" t="str">
        <f>"Etiqueta_Pastor"</f>
        <v>Etiqueta_Pastor</v>
      </c>
      <c r="F7489" s="2" t="str">
        <f>"USR_ETIQUETA_PASTOR"</f>
        <v>USR_ETIQUETA_PASTOR</v>
      </c>
      <c r="G7489" s="2" t="str">
        <f t="shared" si="612"/>
        <v xml:space="preserve"> ()</v>
      </c>
    </row>
    <row r="7490" spans="1:7" x14ac:dyDescent="0.3">
      <c r="A7490" s="1" t="s">
        <v>4</v>
      </c>
      <c r="B7490" s="2" t="str">
        <f t="shared" si="613"/>
        <v>SISTEMA GERADOR DE RELATÓRIOS</v>
      </c>
      <c r="C7490" s="2" t="str">
        <f t="shared" si="614"/>
        <v>SMA-REP</v>
      </c>
      <c r="D7490" s="2" t="str">
        <f t="shared" si="615"/>
        <v>MVREP</v>
      </c>
      <c r="E7490" s="2" t="str">
        <f>"etiq4"</f>
        <v>etiq4</v>
      </c>
      <c r="F7490" s="2" t="str">
        <f>"USR_ETIQ4"</f>
        <v>USR_ETIQ4</v>
      </c>
      <c r="G7490" s="2" t="str">
        <f t="shared" si="612"/>
        <v xml:space="preserve"> ()</v>
      </c>
    </row>
    <row r="7491" spans="1:7" x14ac:dyDescent="0.3">
      <c r="A7491" s="1" t="s">
        <v>4</v>
      </c>
      <c r="B7491" s="2" t="str">
        <f t="shared" si="613"/>
        <v>SISTEMA GERADOR DE RELATÓRIOS</v>
      </c>
      <c r="C7491" s="2" t="str">
        <f t="shared" si="614"/>
        <v>SMA-REP</v>
      </c>
      <c r="D7491" s="2" t="str">
        <f t="shared" si="615"/>
        <v>MVREP</v>
      </c>
      <c r="E7491" s="2" t="str">
        <f>"tchotcha"</f>
        <v>tchotcha</v>
      </c>
      <c r="F7491" s="2" t="str">
        <f>"USR_TCHOTCHA"</f>
        <v>USR_TCHOTCHA</v>
      </c>
      <c r="G7491" s="2" t="str">
        <f t="shared" si="612"/>
        <v xml:space="preserve"> ()</v>
      </c>
    </row>
    <row r="7492" spans="1:7" x14ac:dyDescent="0.3">
      <c r="A7492" s="1" t="s">
        <v>4</v>
      </c>
      <c r="B7492" s="2" t="str">
        <f t="shared" si="613"/>
        <v>SISTEMA GERADOR DE RELATÓRIOS</v>
      </c>
      <c r="C7492" s="2" t="str">
        <f t="shared" si="614"/>
        <v>SMA-REP</v>
      </c>
      <c r="D7492" s="2" t="str">
        <f t="shared" si="615"/>
        <v>MVREP</v>
      </c>
      <c r="E7492" s="2" t="str">
        <f>"matr2"</f>
        <v>matr2</v>
      </c>
      <c r="F7492" s="2" t="str">
        <f>"USR_MATR2"</f>
        <v>USR_MATR2</v>
      </c>
      <c r="G7492" s="2" t="str">
        <f t="shared" si="612"/>
        <v xml:space="preserve"> ()</v>
      </c>
    </row>
    <row r="7493" spans="1:7" x14ac:dyDescent="0.3">
      <c r="A7493" s="1" t="s">
        <v>4</v>
      </c>
      <c r="B7493" s="2" t="str">
        <f t="shared" si="613"/>
        <v>SISTEMA GERADOR DE RELATÓRIOS</v>
      </c>
      <c r="C7493" s="2" t="str">
        <f t="shared" si="614"/>
        <v>SMA-REP</v>
      </c>
      <c r="D7493" s="2" t="str">
        <f t="shared" si="615"/>
        <v>MVREP</v>
      </c>
      <c r="E7493" s="2" t="str">
        <f>"matr"</f>
        <v>matr</v>
      </c>
      <c r="F7493" s="2" t="str">
        <f>"USR_MATR"</f>
        <v>USR_MATR</v>
      </c>
      <c r="G7493" s="2" t="str">
        <f t="shared" si="612"/>
        <v xml:space="preserve"> ()</v>
      </c>
    </row>
    <row r="7494" spans="1:7" x14ac:dyDescent="0.3">
      <c r="A7494" s="1" t="s">
        <v>4</v>
      </c>
      <c r="B7494" s="2" t="str">
        <f t="shared" si="613"/>
        <v>SISTEMA GERADOR DE RELATÓRIOS</v>
      </c>
      <c r="C7494" s="2" t="str">
        <f t="shared" si="614"/>
        <v>SMA-REP</v>
      </c>
      <c r="D7494" s="2" t="str">
        <f t="shared" si="615"/>
        <v>MVREP</v>
      </c>
      <c r="E7494" s="2" t="str">
        <f>"Pedido Jaú"</f>
        <v>Pedido Jaú</v>
      </c>
      <c r="F7494" s="2" t="str">
        <f>"USR_PEDIDO_JAU"</f>
        <v>USR_PEDIDO_JAU</v>
      </c>
      <c r="G7494" s="2" t="str">
        <f t="shared" si="612"/>
        <v xml:space="preserve"> ()</v>
      </c>
    </row>
    <row r="7495" spans="1:7" x14ac:dyDescent="0.3">
      <c r="A7495" s="1" t="s">
        <v>4</v>
      </c>
      <c r="B7495" s="2" t="str">
        <f t="shared" si="613"/>
        <v>SISTEMA GERADOR DE RELATÓRIOS</v>
      </c>
      <c r="C7495" s="2" t="str">
        <f t="shared" si="614"/>
        <v>SMA-REP</v>
      </c>
      <c r="D7495" s="2" t="str">
        <f t="shared" si="615"/>
        <v>MVREP</v>
      </c>
      <c r="E7495" s="2" t="str">
        <f>"Grupo Estado Civil"</f>
        <v>Grupo Estado Civil</v>
      </c>
      <c r="F7495" s="2" t="str">
        <f>"USR_GRUPO_ESTADO_CIVIL"</f>
        <v>USR_GRUPO_ESTADO_CIVIL</v>
      </c>
      <c r="G7495" s="2" t="str">
        <f t="shared" si="612"/>
        <v xml:space="preserve"> ()</v>
      </c>
    </row>
    <row r="7496" spans="1:7" x14ac:dyDescent="0.3">
      <c r="A7496" s="1" t="s">
        <v>4</v>
      </c>
      <c r="B7496" s="2" t="str">
        <f t="shared" si="613"/>
        <v>SISTEMA GERADOR DE RELATÓRIOS</v>
      </c>
      <c r="C7496" s="2" t="str">
        <f t="shared" si="614"/>
        <v>SMA-REP</v>
      </c>
      <c r="D7496" s="2" t="str">
        <f t="shared" si="615"/>
        <v>MVREP</v>
      </c>
      <c r="E7496" s="2" t="str">
        <f>"Debito de Paciente"</f>
        <v>Debito de Paciente</v>
      </c>
      <c r="F7496" s="2" t="str">
        <f>"USR_DEBITO_DE_PACIENTE"</f>
        <v>USR_DEBITO_DE_PACIENTE</v>
      </c>
      <c r="G7496" s="2" t="str">
        <f t="shared" si="612"/>
        <v xml:space="preserve"> ()</v>
      </c>
    </row>
    <row r="7497" spans="1:7" x14ac:dyDescent="0.3">
      <c r="A7497" s="1" t="s">
        <v>4</v>
      </c>
      <c r="B7497" s="2" t="str">
        <f t="shared" si="613"/>
        <v>SISTEMA GERADOR DE RELATÓRIOS</v>
      </c>
      <c r="C7497" s="2" t="str">
        <f t="shared" si="614"/>
        <v>SMA-REP</v>
      </c>
      <c r="D7497" s="2" t="str">
        <f t="shared" si="615"/>
        <v>MVREP</v>
      </c>
      <c r="E7497" s="2" t="str">
        <f>"Etiqueta Item Prescricao"</f>
        <v>Etiqueta Item Prescricao</v>
      </c>
      <c r="F7497" s="2" t="str">
        <f>"USR_ETIQUETA_ITEM_PRESCRICAO"</f>
        <v>USR_ETIQUETA_ITEM_PRESCRICAO</v>
      </c>
      <c r="G7497" s="2" t="str">
        <f t="shared" si="612"/>
        <v xml:space="preserve"> ()</v>
      </c>
    </row>
    <row r="7498" spans="1:7" x14ac:dyDescent="0.3">
      <c r="A7498" s="1" t="s">
        <v>4</v>
      </c>
      <c r="B7498" s="2" t="str">
        <f t="shared" si="613"/>
        <v>SISTEMA GERADOR DE RELATÓRIOS</v>
      </c>
      <c r="C7498" s="2" t="str">
        <f t="shared" si="614"/>
        <v>SMA-REP</v>
      </c>
      <c r="D7498" s="2" t="str">
        <f t="shared" si="615"/>
        <v>MVREP</v>
      </c>
      <c r="E7498" s="2" t="str">
        <f>"teste long"</f>
        <v>teste long</v>
      </c>
      <c r="F7498" s="2" t="str">
        <f>"USR_TESTE_LONG"</f>
        <v>USR_TESTE_LONG</v>
      </c>
      <c r="G7498" s="2" t="str">
        <f t="shared" si="612"/>
        <v xml:space="preserve"> ()</v>
      </c>
    </row>
    <row r="7499" spans="1:7" x14ac:dyDescent="0.3">
      <c r="A7499" s="1" t="s">
        <v>4</v>
      </c>
      <c r="B7499" s="2" t="str">
        <f t="shared" si="613"/>
        <v>SISTEMA GERADOR DE RELATÓRIOS</v>
      </c>
      <c r="C7499" s="2" t="str">
        <f t="shared" si="614"/>
        <v>SMA-REP</v>
      </c>
      <c r="D7499" s="2" t="str">
        <f t="shared" si="615"/>
        <v>MVREP</v>
      </c>
      <c r="E7499" s="2" t="str">
        <f>"teste 2"</f>
        <v>teste 2</v>
      </c>
      <c r="F7499" s="2" t="str">
        <f>"USR_TESTE_2"</f>
        <v>USR_TESTE_2</v>
      </c>
      <c r="G7499" s="2" t="str">
        <f t="shared" si="612"/>
        <v xml:space="preserve"> ()</v>
      </c>
    </row>
    <row r="7500" spans="1:7" x14ac:dyDescent="0.3">
      <c r="A7500" s="1" t="s">
        <v>4</v>
      </c>
      <c r="B7500" s="2" t="str">
        <f t="shared" si="613"/>
        <v>SISTEMA GERADOR DE RELATÓRIOS</v>
      </c>
      <c r="C7500" s="2" t="str">
        <f t="shared" si="614"/>
        <v>SMA-REP</v>
      </c>
      <c r="D7500" s="2" t="str">
        <f t="shared" si="615"/>
        <v>MVREP</v>
      </c>
      <c r="E7500" s="2" t="str">
        <f>"atendimento"</f>
        <v>atendimento</v>
      </c>
      <c r="F7500" s="2" t="str">
        <f>"USR_ATENDIMENTO"</f>
        <v>USR_ATENDIMENTO</v>
      </c>
      <c r="G7500" s="2" t="str">
        <f t="shared" si="612"/>
        <v xml:space="preserve"> ()</v>
      </c>
    </row>
    <row r="7501" spans="1:7" x14ac:dyDescent="0.3">
      <c r="A7501" s="1" t="s">
        <v>4</v>
      </c>
      <c r="B7501" s="2" t="str">
        <f t="shared" si="613"/>
        <v>SISTEMA GERADOR DE RELATÓRIOS</v>
      </c>
      <c r="C7501" s="2" t="str">
        <f t="shared" si="614"/>
        <v>SMA-REP</v>
      </c>
      <c r="D7501" s="2" t="str">
        <f t="shared" si="615"/>
        <v>MVREP</v>
      </c>
      <c r="E7501" s="2" t="str">
        <f>"ExportacaoText"</f>
        <v>ExportacaoText</v>
      </c>
      <c r="F7501" s="2" t="str">
        <f>"USR_EXPORTACAOTEXT"</f>
        <v>USR_EXPORTACAOTEXT</v>
      </c>
      <c r="G7501" s="2" t="str">
        <f t="shared" si="612"/>
        <v xml:space="preserve"> ()</v>
      </c>
    </row>
    <row r="7502" spans="1:7" x14ac:dyDescent="0.3">
      <c r="A7502" s="1" t="s">
        <v>4</v>
      </c>
      <c r="B7502" s="2" t="str">
        <f t="shared" si="613"/>
        <v>SISTEMA GERADOR DE RELATÓRIOS</v>
      </c>
      <c r="C7502" s="2" t="str">
        <f t="shared" si="614"/>
        <v>SMA-REP</v>
      </c>
      <c r="D7502" s="2" t="str">
        <f t="shared" si="615"/>
        <v>MVREP</v>
      </c>
      <c r="E7502" s="2" t="str">
        <f>"REL CONT"</f>
        <v>REL CONT</v>
      </c>
      <c r="F7502" s="2" t="str">
        <f>"USR_REL_CONT"</f>
        <v>USR_REL_CONT</v>
      </c>
      <c r="G7502" s="2" t="str">
        <f t="shared" si="612"/>
        <v xml:space="preserve"> ()</v>
      </c>
    </row>
    <row r="7503" spans="1:7" x14ac:dyDescent="0.3">
      <c r="A7503" s="1" t="s">
        <v>4</v>
      </c>
      <c r="B7503" s="2" t="str">
        <f t="shared" si="613"/>
        <v>SISTEMA GERADOR DE RELATÓRIOS</v>
      </c>
      <c r="C7503" s="2" t="str">
        <f t="shared" si="614"/>
        <v>SMA-REP</v>
      </c>
      <c r="D7503" s="2" t="str">
        <f t="shared" si="615"/>
        <v>MVREP</v>
      </c>
      <c r="E7503" s="2" t="str">
        <f>"teste roberto"</f>
        <v>teste roberto</v>
      </c>
      <c r="F7503" s="2" t="str">
        <f>"USR_TESTE_ROBERTO"</f>
        <v>USR_TESTE_ROBERTO</v>
      </c>
      <c r="G7503" s="2" t="str">
        <f t="shared" si="612"/>
        <v xml:space="preserve"> ()</v>
      </c>
    </row>
    <row r="7504" spans="1:7" x14ac:dyDescent="0.3">
      <c r="A7504" s="1" t="s">
        <v>4</v>
      </c>
      <c r="B7504" s="2" t="str">
        <f t="shared" si="613"/>
        <v>SISTEMA GERADOR DE RELATÓRIOS</v>
      </c>
      <c r="C7504" s="2" t="str">
        <f t="shared" si="614"/>
        <v>SMA-REP</v>
      </c>
      <c r="D7504" s="2" t="str">
        <f t="shared" si="615"/>
        <v>MVREP</v>
      </c>
      <c r="E7504" s="2" t="str">
        <f>"Situação Paciente"</f>
        <v>Situação Paciente</v>
      </c>
      <c r="F7504" s="2" t="str">
        <f>"USR_SITUAÇAO_PACIENTE"</f>
        <v>USR_SITUAÇAO_PACIENTE</v>
      </c>
      <c r="G7504" s="2" t="str">
        <f t="shared" si="612"/>
        <v xml:space="preserve"> ()</v>
      </c>
    </row>
    <row r="7505" spans="1:7" x14ac:dyDescent="0.3">
      <c r="A7505" s="1" t="s">
        <v>4</v>
      </c>
      <c r="B7505" s="2" t="str">
        <f t="shared" si="613"/>
        <v>SISTEMA GERADOR DE RELATÓRIOS</v>
      </c>
      <c r="C7505" s="2" t="str">
        <f t="shared" si="614"/>
        <v>SMA-REP</v>
      </c>
      <c r="D7505" s="2" t="str">
        <f t="shared" si="615"/>
        <v>MVREP</v>
      </c>
      <c r="E7505" s="2" t="str">
        <f>"Relatório Feira"</f>
        <v>Relatório Feira</v>
      </c>
      <c r="F7505" s="2" t="str">
        <f>"USR_RELATORIO_FEIRA"</f>
        <v>USR_RELATORIO_FEIRA</v>
      </c>
      <c r="G7505" s="2" t="str">
        <f t="shared" si="612"/>
        <v xml:space="preserve"> ()</v>
      </c>
    </row>
    <row r="7506" spans="1:7" x14ac:dyDescent="0.3">
      <c r="A7506" s="1" t="s">
        <v>4</v>
      </c>
      <c r="B7506" s="2" t="str">
        <f t="shared" si="613"/>
        <v>SISTEMA GERADOR DE RELATÓRIOS</v>
      </c>
      <c r="C7506" s="2" t="str">
        <f t="shared" si="614"/>
        <v>SMA-REP</v>
      </c>
      <c r="D7506" s="2" t="str">
        <f t="shared" si="615"/>
        <v>MVREP</v>
      </c>
      <c r="E7506" s="2" t="str">
        <f>"teste1"</f>
        <v>teste1</v>
      </c>
      <c r="F7506" s="2" t="str">
        <f>"USR_TESTE1"</f>
        <v>USR_TESTE1</v>
      </c>
      <c r="G7506" s="2" t="str">
        <f t="shared" si="612"/>
        <v xml:space="preserve"> ()</v>
      </c>
    </row>
    <row r="7507" spans="1:7" x14ac:dyDescent="0.3">
      <c r="A7507" s="1" t="s">
        <v>4</v>
      </c>
      <c r="B7507" s="2" t="str">
        <f t="shared" si="613"/>
        <v>SISTEMA GERADOR DE RELATÓRIOS</v>
      </c>
      <c r="C7507" s="2" t="str">
        <f t="shared" si="614"/>
        <v>SMA-REP</v>
      </c>
      <c r="D7507" s="2" t="str">
        <f t="shared" si="615"/>
        <v>MVREP</v>
      </c>
      <c r="E7507" s="2" t="str">
        <f>"teste view de guias"</f>
        <v>teste view de guias</v>
      </c>
      <c r="F7507" s="2" t="str">
        <f>"USR_TESTE_VIEW_DE_GUIAS"</f>
        <v>USR_TESTE_VIEW_DE_GUIAS</v>
      </c>
      <c r="G7507" s="2" t="str">
        <f t="shared" si="612"/>
        <v xml:space="preserve"> ()</v>
      </c>
    </row>
    <row r="7508" spans="1:7" x14ac:dyDescent="0.3">
      <c r="A7508" s="1" t="s">
        <v>4</v>
      </c>
      <c r="B7508" s="2" t="str">
        <f t="shared" si="613"/>
        <v>SISTEMA GERADOR DE RELATÓRIOS</v>
      </c>
      <c r="C7508" s="2" t="str">
        <f t="shared" si="614"/>
        <v>SMA-REP</v>
      </c>
      <c r="D7508" s="2" t="str">
        <f t="shared" si="615"/>
        <v>MVREP</v>
      </c>
      <c r="E7508" s="2" t="str">
        <f>"teste Fleury"</f>
        <v>teste Fleury</v>
      </c>
      <c r="F7508" s="2" t="str">
        <f>"USR_TESTE_FLEURY"</f>
        <v>USR_TESTE_FLEURY</v>
      </c>
      <c r="G7508" s="2" t="str">
        <f t="shared" si="612"/>
        <v xml:space="preserve"> ()</v>
      </c>
    </row>
    <row r="7509" spans="1:7" x14ac:dyDescent="0.3">
      <c r="A7509" s="1" t="s">
        <v>4</v>
      </c>
      <c r="B7509" s="2" t="str">
        <f t="shared" si="613"/>
        <v>SISTEMA GERADOR DE RELATÓRIOS</v>
      </c>
      <c r="C7509" s="2" t="str">
        <f t="shared" si="614"/>
        <v>SMA-REP</v>
      </c>
      <c r="D7509" s="2" t="str">
        <f t="shared" si="615"/>
        <v>MVREP</v>
      </c>
      <c r="E7509" s="2" t="str">
        <f>"teste itaigara"</f>
        <v>teste itaigara</v>
      </c>
      <c r="F7509" s="2" t="str">
        <f>"USR_TESTE_ITAIGARA"</f>
        <v>USR_TESTE_ITAIGARA</v>
      </c>
      <c r="G7509" s="2" t="str">
        <f t="shared" si="612"/>
        <v xml:space="preserve"> ()</v>
      </c>
    </row>
    <row r="7510" spans="1:7" x14ac:dyDescent="0.3">
      <c r="A7510" s="1" t="s">
        <v>4</v>
      </c>
      <c r="B7510" s="2" t="str">
        <f t="shared" si="613"/>
        <v>SISTEMA GERADOR DE RELATÓRIOS</v>
      </c>
      <c r="C7510" s="2" t="str">
        <f t="shared" si="614"/>
        <v>SMA-REP</v>
      </c>
      <c r="D7510" s="2" t="str">
        <f t="shared" si="615"/>
        <v>MVREP</v>
      </c>
      <c r="E7510" s="2" t="str">
        <f>"jaragua"</f>
        <v>jaragua</v>
      </c>
      <c r="F7510" s="2" t="str">
        <f>"USR_JARAGUA"</f>
        <v>USR_JARAGUA</v>
      </c>
      <c r="G7510" s="2" t="str">
        <f t="shared" si="612"/>
        <v xml:space="preserve"> ()</v>
      </c>
    </row>
    <row r="7511" spans="1:7" x14ac:dyDescent="0.3">
      <c r="A7511" s="1" t="s">
        <v>4</v>
      </c>
      <c r="B7511" s="2" t="str">
        <f t="shared" si="613"/>
        <v>SISTEMA GERADOR DE RELATÓRIOS</v>
      </c>
      <c r="C7511" s="2" t="str">
        <f t="shared" si="614"/>
        <v>SMA-REP</v>
      </c>
      <c r="D7511" s="2" t="str">
        <f t="shared" si="615"/>
        <v>MVREP</v>
      </c>
      <c r="E7511" s="2" t="str">
        <f>"teste_akui"</f>
        <v>teste_akui</v>
      </c>
      <c r="F7511" s="2" t="str">
        <f>"USR_TESTE_AKUI"</f>
        <v>USR_TESTE_AKUI</v>
      </c>
      <c r="G7511" s="2" t="str">
        <f t="shared" si="612"/>
        <v xml:space="preserve"> ()</v>
      </c>
    </row>
    <row r="7512" spans="1:7" x14ac:dyDescent="0.3">
      <c r="A7512" s="1" t="s">
        <v>4</v>
      </c>
      <c r="B7512" s="2" t="str">
        <f t="shared" si="613"/>
        <v>SISTEMA GERADOR DE RELATÓRIOS</v>
      </c>
      <c r="C7512" s="2" t="str">
        <f t="shared" si="614"/>
        <v>SMA-REP</v>
      </c>
      <c r="D7512" s="2" t="str">
        <f t="shared" si="615"/>
        <v>MVREP</v>
      </c>
      <c r="E7512" s="2" t="str">
        <f>"iguatemi"</f>
        <v>iguatemi</v>
      </c>
      <c r="F7512" s="2" t="str">
        <f>"USR_IGUATEMI"</f>
        <v>USR_IGUATEMI</v>
      </c>
      <c r="G7512" s="2" t="str">
        <f t="shared" si="612"/>
        <v xml:space="preserve"> ()</v>
      </c>
    </row>
    <row r="7513" spans="1:7" x14ac:dyDescent="0.3">
      <c r="A7513" s="1" t="s">
        <v>4</v>
      </c>
      <c r="B7513" s="2" t="str">
        <f t="shared" si="613"/>
        <v>SISTEMA GERADOR DE RELATÓRIOS</v>
      </c>
      <c r="C7513" s="2" t="str">
        <f t="shared" si="614"/>
        <v>SMA-REP</v>
      </c>
      <c r="D7513" s="2" t="str">
        <f t="shared" si="615"/>
        <v>MVREP</v>
      </c>
      <c r="E7513" s="2" t="str">
        <f>"teste jaragua"</f>
        <v>teste jaragua</v>
      </c>
      <c r="F7513" s="2" t="str">
        <f>"USR_TESTE_JARAGUA"</f>
        <v>USR_TESTE_JARAGUA</v>
      </c>
      <c r="G7513" s="2" t="str">
        <f t="shared" si="612"/>
        <v xml:space="preserve"> ()</v>
      </c>
    </row>
    <row r="7514" spans="1:7" x14ac:dyDescent="0.3">
      <c r="A7514" s="1" t="s">
        <v>4</v>
      </c>
      <c r="B7514" s="2" t="str">
        <f t="shared" si="613"/>
        <v>SISTEMA GERADOR DE RELATÓRIOS</v>
      </c>
      <c r="C7514" s="2" t="str">
        <f t="shared" si="614"/>
        <v>SMA-REP</v>
      </c>
      <c r="D7514" s="2" t="str">
        <f t="shared" si="615"/>
        <v>MVREP</v>
      </c>
      <c r="E7514" s="2" t="str">
        <f>"nutricao"</f>
        <v>nutricao</v>
      </c>
      <c r="F7514" s="2" t="str">
        <f>"USR_NUTRICAO"</f>
        <v>USR_NUTRICAO</v>
      </c>
      <c r="G7514" s="2" t="str">
        <f t="shared" si="612"/>
        <v xml:space="preserve"> ()</v>
      </c>
    </row>
    <row r="7515" spans="1:7" x14ac:dyDescent="0.3">
      <c r="A7515" s="1" t="s">
        <v>4</v>
      </c>
      <c r="B7515" s="2" t="str">
        <f t="shared" si="613"/>
        <v>SISTEMA GERADOR DE RELATÓRIOS</v>
      </c>
      <c r="C7515" s="2" t="str">
        <f t="shared" si="614"/>
        <v>SMA-REP</v>
      </c>
      <c r="D7515" s="2" t="str">
        <f t="shared" si="615"/>
        <v>MVREP</v>
      </c>
      <c r="E7515" s="2" t="str">
        <f>"Outro Relatório"</f>
        <v>Outro Relatório</v>
      </c>
      <c r="F7515" s="2" t="str">
        <f>"USR_OUTRO_RELATORIO"</f>
        <v>USR_OUTRO_RELATORIO</v>
      </c>
      <c r="G7515" s="2" t="str">
        <f t="shared" si="612"/>
        <v xml:space="preserve"> ()</v>
      </c>
    </row>
    <row r="7516" spans="1:7" x14ac:dyDescent="0.3">
      <c r="A7516" s="1" t="s">
        <v>4</v>
      </c>
      <c r="B7516" s="2" t="str">
        <f t="shared" si="613"/>
        <v>SISTEMA GERADOR DE RELATÓRIOS</v>
      </c>
      <c r="C7516" s="2" t="str">
        <f t="shared" si="614"/>
        <v>SMA-REP</v>
      </c>
      <c r="D7516" s="2" t="str">
        <f t="shared" si="615"/>
        <v>MVREP</v>
      </c>
      <c r="E7516" s="2" t="str">
        <f>"avaliacao_fornecedor"</f>
        <v>avaliacao_fornecedor</v>
      </c>
      <c r="F7516" s="2" t="str">
        <f>"USR_AVALIACAO_FORNECEDOR"</f>
        <v>USR_AVALIACAO_FORNECEDOR</v>
      </c>
      <c r="G7516" s="2" t="str">
        <f t="shared" si="612"/>
        <v xml:space="preserve"> ()</v>
      </c>
    </row>
    <row r="7517" spans="1:7" x14ac:dyDescent="0.3">
      <c r="A7517" s="1" t="s">
        <v>4</v>
      </c>
      <c r="B7517" s="2" t="str">
        <f t="shared" si="613"/>
        <v>SISTEMA GERADOR DE RELATÓRIOS</v>
      </c>
      <c r="C7517" s="2" t="str">
        <f t="shared" si="614"/>
        <v>SMA-REP</v>
      </c>
      <c r="D7517" s="2" t="str">
        <f t="shared" si="615"/>
        <v>MVREP</v>
      </c>
      <c r="E7517" s="2" t="str">
        <f>"Relatorio teste"</f>
        <v>Relatorio teste</v>
      </c>
      <c r="F7517" s="2" t="str">
        <f>"USR_RELATORIO_MEU_TESTE"</f>
        <v>USR_RELATORIO_MEU_TESTE</v>
      </c>
      <c r="G7517" s="2" t="str">
        <f t="shared" si="612"/>
        <v xml:space="preserve"> ()</v>
      </c>
    </row>
    <row r="7518" spans="1:7" x14ac:dyDescent="0.3">
      <c r="A7518" s="1" t="s">
        <v>4</v>
      </c>
      <c r="B7518" s="2" t="str">
        <f t="shared" si="613"/>
        <v>SISTEMA GERADOR DE RELATÓRIOS</v>
      </c>
      <c r="C7518" s="2" t="str">
        <f t="shared" si="614"/>
        <v>SMA-REP</v>
      </c>
      <c r="D7518" s="2" t="str">
        <f t="shared" si="615"/>
        <v>MVREP</v>
      </c>
      <c r="E7518" s="2" t="str">
        <f>"Quebra Período"</f>
        <v>Quebra Período</v>
      </c>
      <c r="F7518" s="2" t="str">
        <f>"USR_QUEBRA_PERIODO"</f>
        <v>USR_QUEBRA_PERIODO</v>
      </c>
      <c r="G7518" s="2" t="str">
        <f t="shared" si="612"/>
        <v xml:space="preserve"> ()</v>
      </c>
    </row>
    <row r="7519" spans="1:7" x14ac:dyDescent="0.3">
      <c r="A7519" s="1" t="s">
        <v>4</v>
      </c>
      <c r="B7519" s="2" t="str">
        <f t="shared" si="613"/>
        <v>SISTEMA GERADOR DE RELATÓRIOS</v>
      </c>
      <c r="C7519" s="2" t="str">
        <f t="shared" si="614"/>
        <v>SMA-REP</v>
      </c>
      <c r="D7519" s="2" t="str">
        <f t="shared" si="615"/>
        <v>MVREP</v>
      </c>
      <c r="E7519" s="2" t="str">
        <f>"Quebra Sexo"</f>
        <v>Quebra Sexo</v>
      </c>
      <c r="F7519" s="2" t="str">
        <f>"USR_QUEBRA_SEXO"</f>
        <v>USR_QUEBRA_SEXO</v>
      </c>
      <c r="G7519" s="2" t="str">
        <f t="shared" si="612"/>
        <v xml:space="preserve"> ()</v>
      </c>
    </row>
    <row r="7520" spans="1:7" x14ac:dyDescent="0.3">
      <c r="A7520" s="1" t="s">
        <v>4</v>
      </c>
      <c r="B7520" s="2" t="str">
        <f t="shared" si="613"/>
        <v>SISTEMA GERADOR DE RELATÓRIOS</v>
      </c>
      <c r="C7520" s="2" t="str">
        <f t="shared" si="614"/>
        <v>SMA-REP</v>
      </c>
      <c r="D7520" s="2" t="str">
        <f t="shared" si="615"/>
        <v>MVREP</v>
      </c>
      <c r="E7520" s="2" t="str">
        <f>"Documento_prontuario_pastor"</f>
        <v>Documento_prontuario_pastor</v>
      </c>
      <c r="F7520" s="2" t="str">
        <f>"USR_DOCUMENTO_PRONTUARIO_PASTOR"</f>
        <v>USR_DOCUMENTO_PRONTUARIO_PASTOR</v>
      </c>
      <c r="G7520" s="2" t="str">
        <f t="shared" si="612"/>
        <v xml:space="preserve"> ()</v>
      </c>
    </row>
    <row r="7521" spans="1:7" x14ac:dyDescent="0.3">
      <c r="A7521" s="1" t="s">
        <v>4</v>
      </c>
      <c r="B7521" s="2" t="str">
        <f t="shared" si="613"/>
        <v>SISTEMA GERADOR DE RELATÓRIOS</v>
      </c>
      <c r="C7521" s="2" t="str">
        <f t="shared" si="614"/>
        <v>SMA-REP</v>
      </c>
      <c r="D7521" s="2" t="str">
        <f t="shared" si="615"/>
        <v>MVREP</v>
      </c>
      <c r="E7521" s="2" t="str">
        <f>"Novo3"</f>
        <v>Novo3</v>
      </c>
      <c r="F7521" s="2" t="str">
        <f>"USR_NOVO3"</f>
        <v>USR_NOVO3</v>
      </c>
      <c r="G7521" s="2" t="str">
        <f t="shared" si="612"/>
        <v xml:space="preserve"> ()</v>
      </c>
    </row>
    <row r="7522" spans="1:7" x14ac:dyDescent="0.3">
      <c r="A7522" s="1" t="s">
        <v>4</v>
      </c>
      <c r="B7522" s="2" t="str">
        <f t="shared" si="613"/>
        <v>SISTEMA GERADOR DE RELATÓRIOS</v>
      </c>
      <c r="C7522" s="2" t="str">
        <f t="shared" si="614"/>
        <v>SMA-REP</v>
      </c>
      <c r="D7522" s="2" t="str">
        <f t="shared" si="615"/>
        <v>MVREP</v>
      </c>
      <c r="E7522" s="2" t="str">
        <f>"leonardo"</f>
        <v>leonardo</v>
      </c>
      <c r="F7522" s="2" t="str">
        <f>"USR_LEONARDO"</f>
        <v>USR_LEONARDO</v>
      </c>
      <c r="G7522" s="2" t="str">
        <f t="shared" si="612"/>
        <v xml:space="preserve"> ()</v>
      </c>
    </row>
    <row r="7523" spans="1:7" x14ac:dyDescent="0.3">
      <c r="A7523" s="1" t="s">
        <v>4</v>
      </c>
      <c r="B7523" s="2" t="str">
        <f t="shared" si="613"/>
        <v>SISTEMA GERADOR DE RELATÓRIOS</v>
      </c>
      <c r="C7523" s="2" t="str">
        <f t="shared" si="614"/>
        <v>SMA-REP</v>
      </c>
      <c r="D7523" s="2" t="str">
        <f t="shared" si="615"/>
        <v>MVREP</v>
      </c>
      <c r="E7523" s="2" t="str">
        <f>"alexandre1"</f>
        <v>alexandre1</v>
      </c>
      <c r="F7523" s="2" t="str">
        <f>"USR_ALEXANDRE1"</f>
        <v>USR_ALEXANDRE1</v>
      </c>
      <c r="G7523" s="2" t="str">
        <f t="shared" si="612"/>
        <v xml:space="preserve"> ()</v>
      </c>
    </row>
    <row r="7524" spans="1:7" x14ac:dyDescent="0.3">
      <c r="A7524" s="1" t="s">
        <v>4</v>
      </c>
      <c r="B7524" s="2" t="str">
        <f t="shared" si="613"/>
        <v>SISTEMA GERADOR DE RELATÓRIOS</v>
      </c>
      <c r="C7524" s="2" t="str">
        <f t="shared" si="614"/>
        <v>SMA-REP</v>
      </c>
      <c r="D7524" s="2" t="str">
        <f t="shared" si="615"/>
        <v>MVREP</v>
      </c>
      <c r="E7524" s="2" t="str">
        <f>"luciano"</f>
        <v>luciano</v>
      </c>
      <c r="F7524" s="2" t="str">
        <f>"USR_LUCIANO"</f>
        <v>USR_LUCIANO</v>
      </c>
      <c r="G7524" s="2" t="str">
        <f t="shared" si="612"/>
        <v xml:space="preserve"> ()</v>
      </c>
    </row>
    <row r="7525" spans="1:7" x14ac:dyDescent="0.3">
      <c r="A7525" s="1" t="s">
        <v>4</v>
      </c>
      <c r="B7525" s="2" t="str">
        <f t="shared" si="613"/>
        <v>SISTEMA GERADOR DE RELATÓRIOS</v>
      </c>
      <c r="C7525" s="2" t="str">
        <f t="shared" si="614"/>
        <v>SMA-REP</v>
      </c>
      <c r="D7525" s="2" t="str">
        <f t="shared" si="615"/>
        <v>MVREP</v>
      </c>
      <c r="E7525" s="2" t="str">
        <f>"Antimicrobiano"</f>
        <v>Antimicrobiano</v>
      </c>
      <c r="F7525" s="2" t="str">
        <f>"USR_ANTIMICROBIANO"</f>
        <v>USR_ANTIMICROBIANO</v>
      </c>
      <c r="G7525" s="2" t="str">
        <f t="shared" si="612"/>
        <v xml:space="preserve"> ()</v>
      </c>
    </row>
    <row r="7526" spans="1:7" x14ac:dyDescent="0.3">
      <c r="A7526" s="1" t="s">
        <v>4</v>
      </c>
      <c r="B7526" s="2" t="str">
        <f t="shared" si="613"/>
        <v>SISTEMA GERADOR DE RELATÓRIOS</v>
      </c>
      <c r="C7526" s="2" t="str">
        <f t="shared" si="614"/>
        <v>SMA-REP</v>
      </c>
      <c r="D7526" s="2" t="str">
        <f t="shared" si="615"/>
        <v>MVREP</v>
      </c>
      <c r="E7526" s="2" t="str">
        <f>"Quantitativo Exames Pedido Convenio"</f>
        <v>Quantitativo Exames Pedido Convenio</v>
      </c>
      <c r="F7526" s="2" t="str">
        <f>"MVR_QUANTITATIVO_EXAMES_PEDIDO_CONV"</f>
        <v>MVR_QUANTITATIVO_EXAMES_PEDIDO_CONV</v>
      </c>
      <c r="G7526" s="2" t="str">
        <f t="shared" si="612"/>
        <v xml:space="preserve"> ()</v>
      </c>
    </row>
    <row r="7527" spans="1:7" x14ac:dyDescent="0.3">
      <c r="A7527" s="1" t="s">
        <v>4</v>
      </c>
      <c r="B7527" s="2" t="str">
        <f t="shared" si="613"/>
        <v>SISTEMA GERADOR DE RELATÓRIOS</v>
      </c>
      <c r="C7527" s="2" t="str">
        <f t="shared" si="614"/>
        <v>SMA-REP</v>
      </c>
      <c r="D7527" s="2" t="str">
        <f t="shared" si="615"/>
        <v>MVREP</v>
      </c>
      <c r="E7527" s="2" t="str">
        <f>"ExemploMatriz"</f>
        <v>ExemploMatriz</v>
      </c>
      <c r="F7527" s="2" t="str">
        <f>"MVR_EXEMPLOMATRIZ"</f>
        <v>MVR_EXEMPLOMATRIZ</v>
      </c>
      <c r="G7527" s="2" t="str">
        <f t="shared" si="612"/>
        <v xml:space="preserve"> ()</v>
      </c>
    </row>
    <row r="7528" spans="1:7" x14ac:dyDescent="0.3">
      <c r="A7528" s="1" t="s">
        <v>4</v>
      </c>
      <c r="B7528" s="2" t="str">
        <f t="shared" si="613"/>
        <v>SISTEMA GERADOR DE RELATÓRIOS</v>
      </c>
      <c r="C7528" s="2" t="str">
        <f t="shared" si="614"/>
        <v>SMA-REP</v>
      </c>
      <c r="D7528" s="2" t="str">
        <f t="shared" si="615"/>
        <v>MVREP</v>
      </c>
      <c r="E7528" s="2" t="str">
        <f>"Ficha Cadastral_1"</f>
        <v>Ficha Cadastral_1</v>
      </c>
      <c r="F7528" s="2" t="str">
        <f>"USR_FICHA_CADASTRAL_1"</f>
        <v>USR_FICHA_CADASTRAL_1</v>
      </c>
      <c r="G7528" s="2" t="str">
        <f t="shared" si="612"/>
        <v xml:space="preserve"> ()</v>
      </c>
    </row>
    <row r="7529" spans="1:7" x14ac:dyDescent="0.3">
      <c r="A7529" s="1" t="s">
        <v>4</v>
      </c>
      <c r="B7529" s="2" t="str">
        <f t="shared" si="613"/>
        <v>SISTEMA GERADOR DE RELATÓRIOS</v>
      </c>
      <c r="C7529" s="2" t="str">
        <f t="shared" si="614"/>
        <v>SMA-REP</v>
      </c>
      <c r="D7529" s="2" t="str">
        <f t="shared" si="615"/>
        <v>MVREP</v>
      </c>
      <c r="E7529" s="2" t="str">
        <f>"Ficha Cadastral"</f>
        <v>Ficha Cadastral</v>
      </c>
      <c r="F7529" s="2" t="str">
        <f>"USR_FICHA_CADASTRAL"</f>
        <v>USR_FICHA_CADASTRAL</v>
      </c>
      <c r="G7529" s="2" t="str">
        <f t="shared" si="612"/>
        <v xml:space="preserve"> ()</v>
      </c>
    </row>
    <row r="7530" spans="1:7" x14ac:dyDescent="0.3">
      <c r="A7530" s="1" t="s">
        <v>4</v>
      </c>
      <c r="B7530" s="2" t="str">
        <f t="shared" si="613"/>
        <v>SISTEMA GERADOR DE RELATÓRIOS</v>
      </c>
      <c r="C7530" s="2" t="str">
        <f t="shared" si="614"/>
        <v>SMA-REP</v>
      </c>
      <c r="D7530" s="2" t="str">
        <f t="shared" si="615"/>
        <v>MVREP</v>
      </c>
      <c r="E7530" s="2" t="str">
        <f>"Teste de Relat"</f>
        <v>Teste de Relat</v>
      </c>
      <c r="F7530" s="2" t="str">
        <f>"USR_TESTE_DE_RELAT"</f>
        <v>USR_TESTE_DE_RELAT</v>
      </c>
      <c r="G7530" s="2" t="str">
        <f t="shared" si="612"/>
        <v xml:space="preserve"> ()</v>
      </c>
    </row>
    <row r="7531" spans="1:7" x14ac:dyDescent="0.3">
      <c r="A7531" s="1" t="s">
        <v>4</v>
      </c>
      <c r="B7531" s="2" t="str">
        <f t="shared" si="613"/>
        <v>SISTEMA GERADOR DE RELATÓRIOS</v>
      </c>
      <c r="C7531" s="2" t="str">
        <f t="shared" si="614"/>
        <v>SMA-REP</v>
      </c>
      <c r="D7531" s="2" t="str">
        <f t="shared" si="615"/>
        <v>MVREP</v>
      </c>
      <c r="E7531" s="2" t="str">
        <f>"Teste Trio"</f>
        <v>Teste Trio</v>
      </c>
      <c r="F7531" s="2" t="str">
        <f>"USR_TESTE_TRIO"</f>
        <v>USR_TESTE_TRIO</v>
      </c>
      <c r="G7531" s="2" t="str">
        <f t="shared" si="612"/>
        <v xml:space="preserve"> ()</v>
      </c>
    </row>
    <row r="7532" spans="1:7" x14ac:dyDescent="0.3">
      <c r="A7532" s="1" t="s">
        <v>4</v>
      </c>
      <c r="B7532" s="2" t="str">
        <f t="shared" si="613"/>
        <v>SISTEMA GERADOR DE RELATÓRIOS</v>
      </c>
      <c r="C7532" s="2" t="str">
        <f t="shared" si="614"/>
        <v>SMA-REP</v>
      </c>
      <c r="D7532" s="2" t="str">
        <f t="shared" si="615"/>
        <v>MVREP</v>
      </c>
      <c r="E7532" s="2" t="str">
        <f>"PDA212168"</f>
        <v>PDA212168</v>
      </c>
      <c r="F7532" s="2" t="str">
        <f>"USR_PDA212168"</f>
        <v>USR_PDA212168</v>
      </c>
      <c r="G7532" s="2" t="str">
        <f t="shared" si="612"/>
        <v xml:space="preserve"> ()</v>
      </c>
    </row>
    <row r="7533" spans="1:7" x14ac:dyDescent="0.3">
      <c r="A7533" s="1" t="s">
        <v>4</v>
      </c>
      <c r="B7533" s="2" t="str">
        <f t="shared" si="613"/>
        <v>SISTEMA GERADOR DE RELATÓRIOS</v>
      </c>
      <c r="C7533" s="2" t="str">
        <f t="shared" si="614"/>
        <v>SMA-REP</v>
      </c>
      <c r="D7533" s="2" t="str">
        <f t="shared" si="615"/>
        <v>MVREP</v>
      </c>
      <c r="E7533" s="2" t="str">
        <f>"TESTE___"</f>
        <v>TESTE___</v>
      </c>
      <c r="F7533" s="2" t="str">
        <f>"USR_TESTE___"</f>
        <v>USR_TESTE___</v>
      </c>
      <c r="G7533" s="2" t="str">
        <f t="shared" si="612"/>
        <v xml:space="preserve"> ()</v>
      </c>
    </row>
    <row r="7534" spans="1:7" x14ac:dyDescent="0.3">
      <c r="A7534" s="1" t="s">
        <v>4</v>
      </c>
      <c r="B7534" s="2" t="str">
        <f t="shared" si="613"/>
        <v>SISTEMA GERADOR DE RELATÓRIOS</v>
      </c>
      <c r="C7534" s="2" t="str">
        <f t="shared" si="614"/>
        <v>SMA-REP</v>
      </c>
      <c r="D7534" s="2" t="str">
        <f t="shared" si="615"/>
        <v>MVREP</v>
      </c>
      <c r="E7534" s="2" t="str">
        <f>"Relat. de Entrada alterado"</f>
        <v>Relat. de Entrada alterado</v>
      </c>
      <c r="F7534" s="2" t="str">
        <f>"USR_RELAT._DE_ENTRADA_ALTERADO"</f>
        <v>USR_RELAT._DE_ENTRADA_ALTERADO</v>
      </c>
      <c r="G7534" s="2" t="str">
        <f t="shared" si="612"/>
        <v xml:space="preserve"> ()</v>
      </c>
    </row>
    <row r="7535" spans="1:7" x14ac:dyDescent="0.3">
      <c r="A7535" s="1" t="s">
        <v>4</v>
      </c>
      <c r="B7535" s="2" t="str">
        <f t="shared" si="613"/>
        <v>SISTEMA GERADOR DE RELATÓRIOS</v>
      </c>
      <c r="C7535" s="2" t="str">
        <f t="shared" si="614"/>
        <v>SMA-REP</v>
      </c>
      <c r="D7535" s="2" t="str">
        <f t="shared" si="615"/>
        <v>MVREP</v>
      </c>
      <c r="E7535" s="2" t="str">
        <f>"Espelho de exame"</f>
        <v>Espelho de exame</v>
      </c>
      <c r="F7535" s="2" t="str">
        <f>"USR_ESPELHO_DE_EXAME"</f>
        <v>USR_ESPELHO_DE_EXAME</v>
      </c>
      <c r="G7535" s="2" t="str">
        <f t="shared" si="612"/>
        <v xml:space="preserve"> ()</v>
      </c>
    </row>
    <row r="7536" spans="1:7" x14ac:dyDescent="0.3">
      <c r="A7536" s="1" t="s">
        <v>4</v>
      </c>
      <c r="B7536" s="2" t="str">
        <f t="shared" si="613"/>
        <v>SISTEMA GERADOR DE RELATÓRIOS</v>
      </c>
      <c r="C7536" s="2" t="str">
        <f t="shared" si="614"/>
        <v>SMA-REP</v>
      </c>
      <c r="D7536" s="2" t="str">
        <f t="shared" si="615"/>
        <v>MVREP</v>
      </c>
      <c r="E7536" s="2" t="str">
        <f>"Repasse"</f>
        <v>Repasse</v>
      </c>
      <c r="F7536" s="2" t="str">
        <f>"USR_REPASSE"</f>
        <v>USR_REPASSE</v>
      </c>
      <c r="G7536" s="2" t="str">
        <f t="shared" si="612"/>
        <v xml:space="preserve"> ()</v>
      </c>
    </row>
    <row r="7537" spans="1:7" x14ac:dyDescent="0.3">
      <c r="A7537" s="1" t="s">
        <v>4</v>
      </c>
      <c r="B7537" s="2" t="str">
        <f t="shared" si="613"/>
        <v>SISTEMA GERADOR DE RELATÓRIOS</v>
      </c>
      <c r="C7537" s="2" t="str">
        <f t="shared" si="614"/>
        <v>SMA-REP</v>
      </c>
      <c r="D7537" s="2" t="str">
        <f t="shared" si="615"/>
        <v>MVREP</v>
      </c>
      <c r="E7537" s="2" t="str">
        <f>"Relat. de Entrada por Prod"</f>
        <v>Relat. de Entrada por Prod</v>
      </c>
      <c r="F7537" s="2" t="str">
        <f>"USR_RELAT._DE_ENTRADA_POR_PROD"</f>
        <v>USR_RELAT._DE_ENTRADA_POR_PROD</v>
      </c>
      <c r="G7537" s="2" t="str">
        <f t="shared" si="612"/>
        <v xml:space="preserve"> ()</v>
      </c>
    </row>
    <row r="7538" spans="1:7" x14ac:dyDescent="0.3">
      <c r="A7538" s="1" t="s">
        <v>4</v>
      </c>
      <c r="B7538" s="2" t="str">
        <f t="shared" si="613"/>
        <v>SISTEMA GERADOR DE RELATÓRIOS</v>
      </c>
      <c r="C7538" s="2" t="str">
        <f t="shared" si="614"/>
        <v>SMA-REP</v>
      </c>
      <c r="D7538" s="2" t="str">
        <f t="shared" si="615"/>
        <v>MVREP</v>
      </c>
      <c r="E7538" s="2" t="str">
        <f>"PDA207046"</f>
        <v>PDA207046</v>
      </c>
      <c r="F7538" s="2" t="str">
        <f>"USR_PDA207046"</f>
        <v>USR_PDA207046</v>
      </c>
      <c r="G7538" s="2" t="str">
        <f t="shared" si="612"/>
        <v xml:space="preserve"> ()</v>
      </c>
    </row>
    <row r="7539" spans="1:7" x14ac:dyDescent="0.3">
      <c r="A7539" s="1" t="s">
        <v>4</v>
      </c>
      <c r="B7539" s="2" t="str">
        <f t="shared" si="613"/>
        <v>SISTEMA GERADOR DE RELATÓRIOS</v>
      </c>
      <c r="C7539" s="2" t="str">
        <f t="shared" si="614"/>
        <v>SMA-REP</v>
      </c>
      <c r="D7539" s="2" t="str">
        <f t="shared" si="615"/>
        <v>MVREP</v>
      </c>
      <c r="E7539" s="2" t="str">
        <f>"PDA203520"</f>
        <v>PDA203520</v>
      </c>
      <c r="F7539" s="2" t="str">
        <f>"USR_PDA203520"</f>
        <v>USR_PDA203520</v>
      </c>
      <c r="G7539" s="2" t="str">
        <f t="shared" si="612"/>
        <v xml:space="preserve"> ()</v>
      </c>
    </row>
    <row r="7540" spans="1:7" x14ac:dyDescent="0.3">
      <c r="A7540" s="1" t="s">
        <v>4</v>
      </c>
      <c r="B7540" s="2" t="str">
        <f t="shared" si="613"/>
        <v>SISTEMA GERADOR DE RELATÓRIOS</v>
      </c>
      <c r="C7540" s="2" t="str">
        <f t="shared" si="614"/>
        <v>SMA-REP</v>
      </c>
      <c r="D7540" s="2" t="str">
        <f t="shared" si="615"/>
        <v>MVREP</v>
      </c>
      <c r="E7540" s="2" t="str">
        <f>"Soma_valores"</f>
        <v>Soma_valores</v>
      </c>
      <c r="F7540" s="2" t="str">
        <f>"USR_SOMA_VALORES"</f>
        <v>USR_SOMA_VALORES</v>
      </c>
      <c r="G7540" s="2" t="str">
        <f t="shared" si="612"/>
        <v xml:space="preserve"> ()</v>
      </c>
    </row>
    <row r="7541" spans="1:7" x14ac:dyDescent="0.3">
      <c r="A7541" s="1" t="s">
        <v>4</v>
      </c>
      <c r="B7541" s="2" t="str">
        <f t="shared" si="613"/>
        <v>SISTEMA GERADOR DE RELATÓRIOS</v>
      </c>
      <c r="C7541" s="2" t="str">
        <f t="shared" si="614"/>
        <v>SMA-REP</v>
      </c>
      <c r="D7541" s="2" t="str">
        <f t="shared" si="615"/>
        <v>MVREP</v>
      </c>
      <c r="E7541" s="2" t="str">
        <f>"Jamile 2"</f>
        <v>Jamile 2</v>
      </c>
      <c r="F7541" s="2" t="str">
        <f>"USR_JAMILE__2"</f>
        <v>USR_JAMILE__2</v>
      </c>
      <c r="G7541" s="2" t="str">
        <f t="shared" si="612"/>
        <v xml:space="preserve"> ()</v>
      </c>
    </row>
    <row r="7542" spans="1:7" x14ac:dyDescent="0.3">
      <c r="A7542" s="1" t="s">
        <v>4</v>
      </c>
      <c r="B7542" s="2" t="str">
        <f t="shared" si="613"/>
        <v>SISTEMA GERADOR DE RELATÓRIOS</v>
      </c>
      <c r="C7542" s="2" t="str">
        <f t="shared" si="614"/>
        <v>SMA-REP</v>
      </c>
      <c r="D7542" s="2" t="str">
        <f t="shared" si="615"/>
        <v>MVREP</v>
      </c>
      <c r="E7542" s="2" t="str">
        <f>"Jamile 1"</f>
        <v>Jamile 1</v>
      </c>
      <c r="F7542" s="2" t="str">
        <f>"USR_CHRIS"</f>
        <v>USR_CHRIS</v>
      </c>
      <c r="G7542" s="2" t="str">
        <f t="shared" si="612"/>
        <v xml:space="preserve"> ()</v>
      </c>
    </row>
    <row r="7543" spans="1:7" x14ac:dyDescent="0.3">
      <c r="A7543" s="1" t="s">
        <v>4</v>
      </c>
      <c r="B7543" s="2" t="str">
        <f t="shared" si="613"/>
        <v>SISTEMA GERADOR DE RELATÓRIOS</v>
      </c>
      <c r="C7543" s="2" t="str">
        <f t="shared" si="614"/>
        <v>SMA-REP</v>
      </c>
      <c r="D7543" s="2" t="str">
        <f t="shared" si="615"/>
        <v>MVREP</v>
      </c>
      <c r="E7543" s="2" t="str">
        <f>"TESTE_AMF"</f>
        <v>TESTE_AMF</v>
      </c>
      <c r="F7543" s="2" t="str">
        <f>"USR_TESTE_AMF"</f>
        <v>USR_TESTE_AMF</v>
      </c>
      <c r="G7543" s="2" t="str">
        <f t="shared" si="612"/>
        <v xml:space="preserve"> ()</v>
      </c>
    </row>
    <row r="7544" spans="1:7" x14ac:dyDescent="0.3">
      <c r="A7544" s="1" t="s">
        <v>4</v>
      </c>
      <c r="B7544" s="2" t="str">
        <f t="shared" si="613"/>
        <v>SISTEMA GERADOR DE RELATÓRIOS</v>
      </c>
      <c r="C7544" s="2" t="str">
        <f t="shared" si="614"/>
        <v>SMA-REP</v>
      </c>
      <c r="D7544" s="2" t="str">
        <f t="shared" si="615"/>
        <v>MVREP</v>
      </c>
      <c r="E7544" s="2" t="str">
        <f>"brasil_memo"</f>
        <v>brasil_memo</v>
      </c>
      <c r="F7544" s="2" t="str">
        <f>"USR_BRASIL_MEMO"</f>
        <v>USR_BRASIL_MEMO</v>
      </c>
      <c r="G7544" s="2" t="str">
        <f t="shared" ref="G7544:G7607" si="616">" ()"</f>
        <v xml:space="preserve"> ()</v>
      </c>
    </row>
    <row r="7545" spans="1:7" x14ac:dyDescent="0.3">
      <c r="A7545" s="1" t="s">
        <v>4</v>
      </c>
      <c r="B7545" s="2" t="str">
        <f t="shared" si="613"/>
        <v>SISTEMA GERADOR DE RELATÓRIOS</v>
      </c>
      <c r="C7545" s="2" t="str">
        <f t="shared" si="614"/>
        <v>SMA-REP</v>
      </c>
      <c r="D7545" s="2" t="str">
        <f t="shared" si="615"/>
        <v>MVREP</v>
      </c>
      <c r="E7545" s="2" t="str">
        <f>"teste_brasil"</f>
        <v>teste_brasil</v>
      </c>
      <c r="F7545" s="2" t="str">
        <f>"USR_TESTE_BRASIL"</f>
        <v>USR_TESTE_BRASIL</v>
      </c>
      <c r="G7545" s="2" t="str">
        <f t="shared" si="616"/>
        <v xml:space="preserve"> ()</v>
      </c>
    </row>
    <row r="7546" spans="1:7" x14ac:dyDescent="0.3">
      <c r="A7546" s="1" t="s">
        <v>4</v>
      </c>
      <c r="B7546" s="2" t="str">
        <f t="shared" si="613"/>
        <v>SISTEMA GERADOR DE RELATÓRIOS</v>
      </c>
      <c r="C7546" s="2" t="str">
        <f t="shared" si="614"/>
        <v>SMA-REP</v>
      </c>
      <c r="D7546" s="2" t="str">
        <f t="shared" si="615"/>
        <v>MVREP</v>
      </c>
      <c r="E7546" s="2" t="str">
        <f>"Cracha Visitante Sem Foto"</f>
        <v>Cracha Visitante Sem Foto</v>
      </c>
      <c r="F7546" s="2" t="str">
        <f>"USR_CRACHA_VISITANTE_SEM_FOTO"</f>
        <v>USR_CRACHA_VISITANTE_SEM_FOTO</v>
      </c>
      <c r="G7546" s="2" t="str">
        <f t="shared" si="616"/>
        <v xml:space="preserve"> ()</v>
      </c>
    </row>
    <row r="7547" spans="1:7" x14ac:dyDescent="0.3">
      <c r="A7547" s="1" t="s">
        <v>4</v>
      </c>
      <c r="B7547" s="2" t="str">
        <f t="shared" si="613"/>
        <v>SISTEMA GERADOR DE RELATÓRIOS</v>
      </c>
      <c r="C7547" s="2" t="str">
        <f t="shared" si="614"/>
        <v>SMA-REP</v>
      </c>
      <c r="D7547" s="2" t="str">
        <f t="shared" si="615"/>
        <v>MVREP</v>
      </c>
      <c r="E7547" s="2" t="str">
        <f>"Cracha Visitante Com Foto"</f>
        <v>Cracha Visitante Com Foto</v>
      </c>
      <c r="F7547" s="2" t="str">
        <f>"USR_CRACHA_VISITANTE_COM_FOTO"</f>
        <v>USR_CRACHA_VISITANTE_COM_FOTO</v>
      </c>
      <c r="G7547" s="2" t="str">
        <f t="shared" si="616"/>
        <v xml:space="preserve"> ()</v>
      </c>
    </row>
    <row r="7548" spans="1:7" x14ac:dyDescent="0.3">
      <c r="A7548" s="1" t="s">
        <v>4</v>
      </c>
      <c r="B7548" s="2" t="str">
        <f t="shared" si="613"/>
        <v>SISTEMA GERADOR DE RELATÓRIOS</v>
      </c>
      <c r="C7548" s="2" t="str">
        <f t="shared" si="614"/>
        <v>SMA-REP</v>
      </c>
      <c r="D7548" s="2" t="str">
        <f t="shared" si="615"/>
        <v>MVREP</v>
      </c>
      <c r="E7548" s="2" t="str">
        <f>"Cracha Paciente Sem Foto"</f>
        <v>Cracha Paciente Sem Foto</v>
      </c>
      <c r="F7548" s="2" t="str">
        <f>"USR_CRACHA_PACIENTE_SEM_FOTO"</f>
        <v>USR_CRACHA_PACIENTE_SEM_FOTO</v>
      </c>
      <c r="G7548" s="2" t="str">
        <f t="shared" si="616"/>
        <v xml:space="preserve"> ()</v>
      </c>
    </row>
    <row r="7549" spans="1:7" x14ac:dyDescent="0.3">
      <c r="A7549" s="1" t="s">
        <v>4</v>
      </c>
      <c r="B7549" s="2" t="str">
        <f t="shared" ref="B7549:B7615" si="617">"SISTEMA GERADOR DE RELATÓRIOS"</f>
        <v>SISTEMA GERADOR DE RELATÓRIOS</v>
      </c>
      <c r="C7549" s="2" t="str">
        <f t="shared" ref="C7549:C7615" si="618">"SMA-REP"</f>
        <v>SMA-REP</v>
      </c>
      <c r="D7549" s="2" t="str">
        <f t="shared" ref="D7549:D7615" si="619">"MVREP"</f>
        <v>MVREP</v>
      </c>
      <c r="E7549" s="2" t="str">
        <f>"Cracha Paciente Com Foto"</f>
        <v>Cracha Paciente Com Foto</v>
      </c>
      <c r="F7549" s="2" t="str">
        <f>"USR_CRACHA_PACIENTE_COM_FOTO"</f>
        <v>USR_CRACHA_PACIENTE_COM_FOTO</v>
      </c>
      <c r="G7549" s="2" t="str">
        <f t="shared" si="616"/>
        <v xml:space="preserve"> ()</v>
      </c>
    </row>
    <row r="7550" spans="1:7" x14ac:dyDescent="0.3">
      <c r="A7550" s="1" t="s">
        <v>4</v>
      </c>
      <c r="B7550" s="2" t="str">
        <f t="shared" si="617"/>
        <v>SISTEMA GERADOR DE RELATÓRIOS</v>
      </c>
      <c r="C7550" s="2" t="str">
        <f t="shared" si="618"/>
        <v>SMA-REP</v>
      </c>
      <c r="D7550" s="2" t="str">
        <f t="shared" si="619"/>
        <v>MVREP</v>
      </c>
      <c r="E7550" s="2" t="str">
        <f>"Cracha Paciente Agendado"</f>
        <v>Cracha Paciente Agendado</v>
      </c>
      <c r="F7550" s="2" t="str">
        <f>"USR_CRACHA_PACIENTE_AGENDADO"</f>
        <v>USR_CRACHA_PACIENTE_AGENDADO</v>
      </c>
      <c r="G7550" s="2" t="str">
        <f t="shared" si="616"/>
        <v xml:space="preserve"> ()</v>
      </c>
    </row>
    <row r="7551" spans="1:7" x14ac:dyDescent="0.3">
      <c r="A7551" s="1" t="s">
        <v>4</v>
      </c>
      <c r="B7551" s="2" t="str">
        <f t="shared" si="617"/>
        <v>SISTEMA GERADOR DE RELATÓRIOS</v>
      </c>
      <c r="C7551" s="2" t="str">
        <f t="shared" si="618"/>
        <v>SMA-REP</v>
      </c>
      <c r="D7551" s="2" t="str">
        <f t="shared" si="619"/>
        <v>MVREP</v>
      </c>
      <c r="E7551" s="2" t="str">
        <f>"Cracha Colaborador Sem Foto"</f>
        <v>Cracha Colaborador Sem Foto</v>
      </c>
      <c r="F7551" s="2" t="str">
        <f>"USR_CRACHA_COLABORADOR_SEM_FOTO"</f>
        <v>USR_CRACHA_COLABORADOR_SEM_FOTO</v>
      </c>
      <c r="G7551" s="2" t="str">
        <f t="shared" si="616"/>
        <v xml:space="preserve"> ()</v>
      </c>
    </row>
    <row r="7552" spans="1:7" x14ac:dyDescent="0.3">
      <c r="A7552" s="1" t="s">
        <v>4</v>
      </c>
      <c r="B7552" s="2" t="str">
        <f t="shared" si="617"/>
        <v>SISTEMA GERADOR DE RELATÓRIOS</v>
      </c>
      <c r="C7552" s="2" t="str">
        <f t="shared" si="618"/>
        <v>SMA-REP</v>
      </c>
      <c r="D7552" s="2" t="str">
        <f t="shared" si="619"/>
        <v>MVREP</v>
      </c>
      <c r="E7552" s="2" t="str">
        <f>"Cracha Colaborador Com Foto"</f>
        <v>Cracha Colaborador Com Foto</v>
      </c>
      <c r="F7552" s="2" t="str">
        <f>"USR_CRACHA_COLABORADOR_COM_FOTO"</f>
        <v>USR_CRACHA_COLABORADOR_COM_FOTO</v>
      </c>
      <c r="G7552" s="2" t="str">
        <f t="shared" si="616"/>
        <v xml:space="preserve"> ()</v>
      </c>
    </row>
    <row r="7553" spans="1:7" x14ac:dyDescent="0.3">
      <c r="A7553" s="1" t="s">
        <v>4</v>
      </c>
      <c r="B7553" s="2" t="str">
        <f t="shared" si="617"/>
        <v>SISTEMA GERADOR DE RELATÓRIOS</v>
      </c>
      <c r="C7553" s="2" t="str">
        <f t="shared" si="618"/>
        <v>SMA-REP</v>
      </c>
      <c r="D7553" s="2" t="str">
        <f t="shared" si="619"/>
        <v>MVREP</v>
      </c>
      <c r="E7553" s="2" t="str">
        <f>"teste luciano"</f>
        <v>teste luciano</v>
      </c>
      <c r="F7553" s="2" t="str">
        <f>"USR_TESTE_LUCIANO"</f>
        <v>USR_TESTE_LUCIANO</v>
      </c>
      <c r="G7553" s="2" t="str">
        <f t="shared" si="616"/>
        <v xml:space="preserve"> ()</v>
      </c>
    </row>
    <row r="7554" spans="1:7" x14ac:dyDescent="0.3">
      <c r="A7554" s="1" t="s">
        <v>4</v>
      </c>
      <c r="B7554" s="2" t="str">
        <f t="shared" si="617"/>
        <v>SISTEMA GERADOR DE RELATÓRIOS</v>
      </c>
      <c r="C7554" s="2" t="str">
        <f t="shared" si="618"/>
        <v>SMA-REP</v>
      </c>
      <c r="D7554" s="2" t="str">
        <f t="shared" si="619"/>
        <v>MVREP</v>
      </c>
      <c r="E7554" s="2" t="str">
        <f>"Contas a Pagar - Por C.C."</f>
        <v>Contas a Pagar - Por C.C.</v>
      </c>
      <c r="F7554" s="2" t="str">
        <f>"USR_CONTAS_A_PAGAR_-_POR_C.C."</f>
        <v>USR_CONTAS_A_PAGAR_-_POR_C.C.</v>
      </c>
      <c r="G7554" s="2" t="str">
        <f t="shared" si="616"/>
        <v xml:space="preserve"> ()</v>
      </c>
    </row>
    <row r="7555" spans="1:7" x14ac:dyDescent="0.3">
      <c r="A7555" s="1" t="s">
        <v>4</v>
      </c>
      <c r="B7555" s="2" t="str">
        <f t="shared" si="617"/>
        <v>SISTEMA GERADOR DE RELATÓRIOS</v>
      </c>
      <c r="C7555" s="2" t="str">
        <f t="shared" si="618"/>
        <v>SMA-REP</v>
      </c>
      <c r="D7555" s="2" t="str">
        <f t="shared" si="619"/>
        <v>MVREP</v>
      </c>
      <c r="E7555" s="2" t="str">
        <f>"Relatório de Entrega de Exames"</f>
        <v>Relatório de Entrega de Exames</v>
      </c>
      <c r="F7555" s="2" t="str">
        <f>"USR_RELATORIO_DE_ENTREGA_DE_EXAMES"</f>
        <v>USR_RELATORIO_DE_ENTREGA_DE_EXAMES</v>
      </c>
      <c r="G7555" s="2" t="str">
        <f t="shared" si="616"/>
        <v xml:space="preserve"> ()</v>
      </c>
    </row>
    <row r="7556" spans="1:7" x14ac:dyDescent="0.3">
      <c r="A7556" s="1" t="s">
        <v>4</v>
      </c>
      <c r="B7556" s="2" t="str">
        <f t="shared" si="617"/>
        <v>SISTEMA GERADOR DE RELATÓRIOS</v>
      </c>
      <c r="C7556" s="2" t="str">
        <f t="shared" si="618"/>
        <v>SMA-REP</v>
      </c>
      <c r="D7556" s="2" t="str">
        <f t="shared" si="619"/>
        <v>MVREP</v>
      </c>
      <c r="E7556" s="2" t="str">
        <f>"Produtos - Preço Estoque"</f>
        <v>Produtos - Preço Estoque</v>
      </c>
      <c r="F7556" s="2" t="str">
        <f>"USR_PRODUTOS_-_PREÇO_ESTOQUE"</f>
        <v>USR_PRODUTOS_-_PREÇO_ESTOQUE</v>
      </c>
      <c r="G7556" s="2" t="str">
        <f t="shared" si="616"/>
        <v xml:space="preserve"> ()</v>
      </c>
    </row>
    <row r="7557" spans="1:7" x14ac:dyDescent="0.3">
      <c r="A7557" s="1" t="s">
        <v>4</v>
      </c>
      <c r="B7557" s="2" t="str">
        <f t="shared" si="617"/>
        <v>SISTEMA GERADOR DE RELATÓRIOS</v>
      </c>
      <c r="C7557" s="2" t="str">
        <f t="shared" si="618"/>
        <v>SMA-REP</v>
      </c>
      <c r="D7557" s="2" t="str">
        <f t="shared" si="619"/>
        <v>MVREP</v>
      </c>
      <c r="E7557" s="2" t="str">
        <f>"Desligamento Convenio"</f>
        <v>Desligamento Convenio</v>
      </c>
      <c r="F7557" s="2" t="str">
        <f>"USR_DESLIGAMENTO_CONVENIO"</f>
        <v>USR_DESLIGAMENTO_CONVENIO</v>
      </c>
      <c r="G7557" s="2" t="str">
        <f t="shared" si="616"/>
        <v xml:space="preserve"> ()</v>
      </c>
    </row>
    <row r="7558" spans="1:7" x14ac:dyDescent="0.3">
      <c r="A7558" s="1" t="s">
        <v>4</v>
      </c>
      <c r="B7558" s="2" t="str">
        <f t="shared" si="617"/>
        <v>SISTEMA GERADOR DE RELATÓRIOS</v>
      </c>
      <c r="C7558" s="2" t="str">
        <f t="shared" si="618"/>
        <v>SMA-REP</v>
      </c>
      <c r="D7558" s="2" t="str">
        <f t="shared" si="619"/>
        <v>MVREP</v>
      </c>
      <c r="E7558" s="2" t="str">
        <f>"SAME"</f>
        <v>SAME</v>
      </c>
      <c r="F7558" s="2" t="str">
        <f>"USR_SAME"</f>
        <v>USR_SAME</v>
      </c>
      <c r="G7558" s="2" t="str">
        <f t="shared" si="616"/>
        <v xml:space="preserve"> ()</v>
      </c>
    </row>
    <row r="7559" spans="1:7" x14ac:dyDescent="0.3">
      <c r="A7559" s="1" t="s">
        <v>4</v>
      </c>
      <c r="B7559" s="2" t="str">
        <f t="shared" si="617"/>
        <v>SISTEMA GERADOR DE RELATÓRIOS</v>
      </c>
      <c r="C7559" s="2" t="str">
        <f t="shared" si="618"/>
        <v>SMA-REP</v>
      </c>
      <c r="D7559" s="2" t="str">
        <f t="shared" si="619"/>
        <v>MVREP</v>
      </c>
      <c r="E7559" s="2" t="str">
        <f>"Exames Detalhados"</f>
        <v>Exames Detalhados</v>
      </c>
      <c r="F7559" s="2" t="str">
        <f>"USR_EXAMES_DETALHADOS"</f>
        <v>USR_EXAMES_DETALHADOS</v>
      </c>
      <c r="G7559" s="2" t="str">
        <f t="shared" si="616"/>
        <v xml:space="preserve"> ()</v>
      </c>
    </row>
    <row r="7560" spans="1:7" x14ac:dyDescent="0.3">
      <c r="A7560" s="1" t="s">
        <v>4</v>
      </c>
      <c r="B7560" s="2" t="str">
        <f t="shared" si="617"/>
        <v>SISTEMA GERADOR DE RELATÓRIOS</v>
      </c>
      <c r="C7560" s="2" t="str">
        <f t="shared" si="618"/>
        <v>SMA-REP</v>
      </c>
      <c r="D7560" s="2" t="str">
        <f t="shared" si="619"/>
        <v>MVREP</v>
      </c>
      <c r="E7560" s="2" t="str">
        <f>"Cirurgias - Por Subgrupo"</f>
        <v>Cirurgias - Por Subgrupo</v>
      </c>
      <c r="F7560" s="2" t="str">
        <f>"USR_CIRURGIAS_-_POR_SUBGRUPO"</f>
        <v>USR_CIRURGIAS_-_POR_SUBGRUPO</v>
      </c>
      <c r="G7560" s="2" t="str">
        <f t="shared" si="616"/>
        <v xml:space="preserve"> ()</v>
      </c>
    </row>
    <row r="7561" spans="1:7" x14ac:dyDescent="0.3">
      <c r="A7561" s="1" t="s">
        <v>4</v>
      </c>
      <c r="B7561" s="2" t="str">
        <f t="shared" si="617"/>
        <v>SISTEMA GERADOR DE RELATÓRIOS</v>
      </c>
      <c r="C7561" s="2" t="str">
        <f t="shared" si="618"/>
        <v>SMA-REP</v>
      </c>
      <c r="D7561" s="2" t="str">
        <f t="shared" si="619"/>
        <v>MVREP</v>
      </c>
      <c r="E7561" s="2" t="str">
        <f>"Procedimentos AIH - SUS"</f>
        <v>Procedimentos AIH - SUS</v>
      </c>
      <c r="F7561" s="2" t="str">
        <f>"USR_PROCEDIMENTOS_AIH_-_SUS"</f>
        <v>USR_PROCEDIMENTOS_AIH_-_SUS</v>
      </c>
      <c r="G7561" s="2" t="str">
        <f t="shared" si="616"/>
        <v xml:space="preserve"> ()</v>
      </c>
    </row>
    <row r="7562" spans="1:7" x14ac:dyDescent="0.3">
      <c r="A7562" s="1" t="s">
        <v>4</v>
      </c>
      <c r="B7562" s="2" t="str">
        <f t="shared" si="617"/>
        <v>SISTEMA GERADOR DE RELATÓRIOS</v>
      </c>
      <c r="C7562" s="2" t="str">
        <f t="shared" si="618"/>
        <v>SMA-REP</v>
      </c>
      <c r="D7562" s="2" t="str">
        <f t="shared" si="619"/>
        <v>MVREP</v>
      </c>
      <c r="E7562" s="2" t="str">
        <f>"SAME X MATRICULA"</f>
        <v>SAME X MATRICULA</v>
      </c>
      <c r="F7562" s="2" t="str">
        <f>"USR_SAME_X_MATRICULA"</f>
        <v>USR_SAME_X_MATRICULA</v>
      </c>
      <c r="G7562" s="2" t="str">
        <f t="shared" si="616"/>
        <v xml:space="preserve"> ()</v>
      </c>
    </row>
    <row r="7563" spans="1:7" x14ac:dyDescent="0.3">
      <c r="A7563" s="1" t="s">
        <v>4</v>
      </c>
      <c r="B7563" s="2" t="str">
        <f t="shared" si="617"/>
        <v>SISTEMA GERADOR DE RELATÓRIOS</v>
      </c>
      <c r="C7563" s="2" t="str">
        <f t="shared" si="618"/>
        <v>SMA-REP</v>
      </c>
      <c r="D7563" s="2" t="str">
        <f t="shared" si="619"/>
        <v>MVREP</v>
      </c>
      <c r="E7563" s="2" t="str">
        <f>"Solicitacoes miudezas ao DND"</f>
        <v>Solicitacoes miudezas ao DND</v>
      </c>
      <c r="F7563" s="2" t="str">
        <f>"USR_SOLICITACOES_MIUDEZAS_AO_DND"</f>
        <v>USR_SOLICITACOES_MIUDEZAS_AO_DND</v>
      </c>
      <c r="G7563" s="2" t="str">
        <f t="shared" si="616"/>
        <v xml:space="preserve"> ()</v>
      </c>
    </row>
    <row r="7564" spans="1:7" x14ac:dyDescent="0.3">
      <c r="A7564" s="1" t="s">
        <v>4</v>
      </c>
      <c r="B7564" s="2" t="str">
        <f t="shared" si="617"/>
        <v>SISTEMA GERADOR DE RELATÓRIOS</v>
      </c>
      <c r="C7564" s="2" t="str">
        <f t="shared" si="618"/>
        <v>SMA-REP</v>
      </c>
      <c r="D7564" s="2" t="str">
        <f t="shared" si="619"/>
        <v>MVREP</v>
      </c>
      <c r="E7564" s="2" t="str">
        <f>"Posição de Estoque - Simples"</f>
        <v>Posição de Estoque - Simples</v>
      </c>
      <c r="F7564" s="2" t="str">
        <f>"USR_POSIÇAO_DE_ESTOQUE_-_SIMPLES"</f>
        <v>USR_POSIÇAO_DE_ESTOQUE_-_SIMPLES</v>
      </c>
      <c r="G7564" s="2" t="str">
        <f t="shared" si="616"/>
        <v xml:space="preserve"> ()</v>
      </c>
    </row>
    <row r="7565" spans="1:7" x14ac:dyDescent="0.3">
      <c r="A7565" s="1" t="s">
        <v>4</v>
      </c>
      <c r="B7565" s="2" t="str">
        <f t="shared" si="617"/>
        <v>SISTEMA GERADOR DE RELATÓRIOS</v>
      </c>
      <c r="C7565" s="2" t="str">
        <f t="shared" si="618"/>
        <v>SMA-REP</v>
      </c>
      <c r="D7565" s="2" t="str">
        <f t="shared" si="619"/>
        <v>MVREP</v>
      </c>
      <c r="E7565" s="2" t="str">
        <f>"Rel. Especialidade Convênios"</f>
        <v>Rel. Especialidade Convênios</v>
      </c>
      <c r="F7565" s="2" t="str">
        <f>"USR_ATENDIMENTO_POR_ESPECIALIDADE"</f>
        <v>USR_ATENDIMENTO_POR_ESPECIALIDADE</v>
      </c>
      <c r="G7565" s="2" t="str">
        <f t="shared" si="616"/>
        <v xml:space="preserve"> ()</v>
      </c>
    </row>
    <row r="7566" spans="1:7" x14ac:dyDescent="0.3">
      <c r="A7566" s="1" t="s">
        <v>4</v>
      </c>
      <c r="B7566" s="2" t="str">
        <f t="shared" si="617"/>
        <v>SISTEMA GERADOR DE RELATÓRIOS</v>
      </c>
      <c r="C7566" s="2" t="str">
        <f t="shared" si="618"/>
        <v>SMA-REP</v>
      </c>
      <c r="D7566" s="2" t="str">
        <f t="shared" si="619"/>
        <v>MVREP</v>
      </c>
      <c r="E7566" s="2" t="str">
        <f>"Informacoes_CONV"</f>
        <v>Informacoes_CONV</v>
      </c>
      <c r="F7566" s="2" t="str">
        <f>"USR_INFORMACOES_CONV"</f>
        <v>USR_INFORMACOES_CONV</v>
      </c>
      <c r="G7566" s="2" t="str">
        <f t="shared" si="616"/>
        <v xml:space="preserve"> ()</v>
      </c>
    </row>
    <row r="7567" spans="1:7" x14ac:dyDescent="0.3">
      <c r="A7567" s="1" t="s">
        <v>4</v>
      </c>
      <c r="B7567" s="2" t="str">
        <f t="shared" si="617"/>
        <v>SISTEMA GERADOR DE RELATÓRIOS</v>
      </c>
      <c r="C7567" s="2" t="str">
        <f t="shared" si="618"/>
        <v>SMA-REP</v>
      </c>
      <c r="D7567" s="2" t="str">
        <f t="shared" si="619"/>
        <v>MVREP</v>
      </c>
      <c r="E7567" s="2" t="str">
        <f>"Produção de Refeição"</f>
        <v>Produção de Refeição</v>
      </c>
      <c r="F7567" s="2" t="str">
        <f>"USR_PRODUCAO"</f>
        <v>USR_PRODUCAO</v>
      </c>
      <c r="G7567" s="2" t="str">
        <f t="shared" si="616"/>
        <v xml:space="preserve"> ()</v>
      </c>
    </row>
    <row r="7568" spans="1:7" x14ac:dyDescent="0.3">
      <c r="A7568" s="1" t="s">
        <v>4</v>
      </c>
      <c r="B7568" s="2" t="str">
        <f t="shared" si="617"/>
        <v>SISTEMA GERADOR DE RELATÓRIOS</v>
      </c>
      <c r="C7568" s="2" t="str">
        <f t="shared" si="618"/>
        <v>SMA-REP</v>
      </c>
      <c r="D7568" s="2" t="str">
        <f t="shared" si="619"/>
        <v>MVREP</v>
      </c>
      <c r="E7568" s="2" t="str">
        <f>"Servió disponível"</f>
        <v>Servió disponível</v>
      </c>
      <c r="F7568" s="2" t="str">
        <f>"USR_SERVIO_DISPONIVEL"</f>
        <v>USR_SERVIO_DISPONIVEL</v>
      </c>
      <c r="G7568" s="2" t="str">
        <f t="shared" si="616"/>
        <v xml:space="preserve"> ()</v>
      </c>
    </row>
    <row r="7569" spans="1:7" x14ac:dyDescent="0.3">
      <c r="A7569" s="1" t="s">
        <v>4</v>
      </c>
      <c r="B7569" s="2" t="str">
        <f t="shared" si="617"/>
        <v>SISTEMA GERADOR DE RELATÓRIOS</v>
      </c>
      <c r="C7569" s="2" t="str">
        <f t="shared" si="618"/>
        <v>SMA-REP</v>
      </c>
      <c r="D7569" s="2" t="str">
        <f t="shared" si="619"/>
        <v>MVREP</v>
      </c>
      <c r="E7569" s="2" t="str">
        <f>"Contas a Pagar - SCMS"</f>
        <v>Contas a Pagar - SCMS</v>
      </c>
      <c r="F7569" s="2" t="str">
        <f>"USR_CONTAS_A_PAGAR_-_SCMS"</f>
        <v>USR_CONTAS_A_PAGAR_-_SCMS</v>
      </c>
      <c r="G7569" s="2" t="str">
        <f t="shared" si="616"/>
        <v xml:space="preserve"> ()</v>
      </c>
    </row>
    <row r="7570" spans="1:7" x14ac:dyDescent="0.3">
      <c r="A7570" s="1" t="s">
        <v>4</v>
      </c>
      <c r="B7570" s="2" t="str">
        <f t="shared" si="617"/>
        <v>SISTEMA GERADOR DE RELATÓRIOS</v>
      </c>
      <c r="C7570" s="2" t="str">
        <f t="shared" si="618"/>
        <v>SMA-REP</v>
      </c>
      <c r="D7570" s="2" t="str">
        <f t="shared" si="619"/>
        <v>MVREP</v>
      </c>
      <c r="E7570" s="2" t="str">
        <f>"Termo Telefonia"</f>
        <v>Termo Telefonia</v>
      </c>
      <c r="F7570" s="2" t="str">
        <f>"USR_TERMO_TELEFONIA"</f>
        <v>USR_TERMO_TELEFONIA</v>
      </c>
      <c r="G7570" s="2" t="str">
        <f t="shared" si="616"/>
        <v xml:space="preserve"> ()</v>
      </c>
    </row>
    <row r="7571" spans="1:7" x14ac:dyDescent="0.3">
      <c r="A7571" s="1" t="s">
        <v>4</v>
      </c>
      <c r="B7571" s="2" t="str">
        <f t="shared" si="617"/>
        <v>SISTEMA GERADOR DE RELATÓRIOS</v>
      </c>
      <c r="C7571" s="2" t="str">
        <f t="shared" si="618"/>
        <v>SMA-REP</v>
      </c>
      <c r="D7571" s="2" t="str">
        <f t="shared" si="619"/>
        <v>MVREP</v>
      </c>
      <c r="E7571" s="2" t="str">
        <f>"Solicitação consinado estoque"</f>
        <v>Solicitação consinado estoque</v>
      </c>
      <c r="F7571" s="2" t="str">
        <f>"USR_SOLICITAÇAO_CONSINADO_ESTOQUE"</f>
        <v>USR_SOLICITAÇAO_CONSINADO_ESTOQUE</v>
      </c>
      <c r="G7571" s="2" t="str">
        <f t="shared" si="616"/>
        <v xml:space="preserve"> ()</v>
      </c>
    </row>
    <row r="7572" spans="1:7" x14ac:dyDescent="0.3">
      <c r="A7572" s="1" t="s">
        <v>4</v>
      </c>
      <c r="B7572" s="2" t="str">
        <f t="shared" si="617"/>
        <v>SISTEMA GERADOR DE RELATÓRIOS</v>
      </c>
      <c r="C7572" s="2" t="str">
        <f t="shared" si="618"/>
        <v>SMA-REP</v>
      </c>
      <c r="D7572" s="2" t="str">
        <f t="shared" si="619"/>
        <v>MVREP</v>
      </c>
      <c r="E7572" s="2" t="str">
        <f>"Prestadores Credenciados"</f>
        <v>Prestadores Credenciados</v>
      </c>
      <c r="F7572" s="2" t="str">
        <f>"USR_PRESTADORES_CREDENCIADOS"</f>
        <v>USR_PRESTADORES_CREDENCIADOS</v>
      </c>
      <c r="G7572" s="2" t="str">
        <f t="shared" si="616"/>
        <v xml:space="preserve"> ()</v>
      </c>
    </row>
    <row r="7573" spans="1:7" x14ac:dyDescent="0.3">
      <c r="A7573" s="1" t="s">
        <v>4</v>
      </c>
      <c r="B7573" s="2" t="str">
        <f t="shared" si="617"/>
        <v>SISTEMA GERADOR DE RELATÓRIOS</v>
      </c>
      <c r="C7573" s="2" t="str">
        <f t="shared" si="618"/>
        <v>SMA-REP</v>
      </c>
      <c r="D7573" s="2" t="str">
        <f t="shared" si="619"/>
        <v>MVREP</v>
      </c>
      <c r="E7573" s="2" t="str">
        <f>"Centro de Custo"</f>
        <v>Centro de Custo</v>
      </c>
      <c r="F7573" s="2" t="str">
        <f>"USR_CENTRO_DE_CUSTO"</f>
        <v>USR_CENTRO_DE_CUSTO</v>
      </c>
      <c r="G7573" s="2" t="str">
        <f t="shared" si="616"/>
        <v xml:space="preserve"> ()</v>
      </c>
    </row>
    <row r="7574" spans="1:7" x14ac:dyDescent="0.3">
      <c r="A7574" s="1" t="s">
        <v>4</v>
      </c>
      <c r="B7574" s="2" t="str">
        <f t="shared" si="617"/>
        <v>SISTEMA GERADOR DE RELATÓRIOS</v>
      </c>
      <c r="C7574" s="2" t="str">
        <f t="shared" si="618"/>
        <v>SMA-REP</v>
      </c>
      <c r="D7574" s="2" t="str">
        <f t="shared" si="619"/>
        <v>MVREP</v>
      </c>
      <c r="E7574" s="2" t="str">
        <f>"Protocolo de Parenteral"</f>
        <v>Protocolo de Parenteral</v>
      </c>
      <c r="F7574" s="2" t="str">
        <f>"USR_PROTOCOLO_DE_PARENTERAL"</f>
        <v>USR_PROTOCOLO_DE_PARENTERAL</v>
      </c>
      <c r="G7574" s="2" t="str">
        <f t="shared" si="616"/>
        <v xml:space="preserve"> ()</v>
      </c>
    </row>
    <row r="7575" spans="1:7" x14ac:dyDescent="0.3">
      <c r="A7575" s="1" t="s">
        <v>4</v>
      </c>
      <c r="B7575" s="2" t="str">
        <f t="shared" si="617"/>
        <v>SISTEMA GERADOR DE RELATÓRIOS</v>
      </c>
      <c r="C7575" s="2" t="str">
        <f t="shared" si="618"/>
        <v>SMA-REP</v>
      </c>
      <c r="D7575" s="2" t="str">
        <f t="shared" si="619"/>
        <v>MVREP</v>
      </c>
      <c r="E7575" s="2" t="str">
        <f>"Rel. Especialidade SUS"</f>
        <v>Rel. Especialidade SUS</v>
      </c>
      <c r="F7575" s="2" t="str">
        <f>"USR_REL._ESPECIALIDADE_SUS"</f>
        <v>USR_REL._ESPECIALIDADE_SUS</v>
      </c>
      <c r="G7575" s="2" t="str">
        <f t="shared" si="616"/>
        <v xml:space="preserve"> ()</v>
      </c>
    </row>
    <row r="7576" spans="1:7" x14ac:dyDescent="0.3">
      <c r="A7576" s="1" t="s">
        <v>4</v>
      </c>
      <c r="B7576" s="2" t="str">
        <f t="shared" si="617"/>
        <v>SISTEMA GERADOR DE RELATÓRIOS</v>
      </c>
      <c r="C7576" s="2" t="str">
        <f t="shared" si="618"/>
        <v>SMA-REP</v>
      </c>
      <c r="D7576" s="2" t="str">
        <f t="shared" si="619"/>
        <v>MVREP</v>
      </c>
      <c r="E7576" s="2" t="str">
        <f>"Itens Prescrição - Duplicados "</f>
        <v xml:space="preserve">Itens Prescrição - Duplicados </v>
      </c>
      <c r="F7576" s="2" t="str">
        <f>"USR_ITENS_PRESCRIÇAO_-_DUPLICADOS_-"</f>
        <v>USR_ITENS_PRESCRIÇAO_-_DUPLICADOS_-</v>
      </c>
      <c r="G7576" s="2" t="str">
        <f t="shared" si="616"/>
        <v xml:space="preserve"> ()</v>
      </c>
    </row>
    <row r="7577" spans="1:7" x14ac:dyDescent="0.3">
      <c r="A7577" s="1" t="s">
        <v>4</v>
      </c>
      <c r="B7577" s="2" t="str">
        <f t="shared" si="617"/>
        <v>SISTEMA GERADOR DE RELATÓRIOS</v>
      </c>
      <c r="C7577" s="2" t="str">
        <f t="shared" si="618"/>
        <v>SMA-REP</v>
      </c>
      <c r="D7577" s="2" t="str">
        <f t="shared" si="619"/>
        <v>MVREP</v>
      </c>
      <c r="E7577" s="2" t="str">
        <f>"REMOCAO"</f>
        <v>REMOCAO</v>
      </c>
      <c r="F7577" s="2" t="str">
        <f>"USR_REMOCAO"</f>
        <v>USR_REMOCAO</v>
      </c>
      <c r="G7577" s="2" t="str">
        <f t="shared" si="616"/>
        <v xml:space="preserve"> ()</v>
      </c>
    </row>
    <row r="7578" spans="1:7" x14ac:dyDescent="0.3">
      <c r="A7578" s="1" t="s">
        <v>4</v>
      </c>
      <c r="B7578" s="2" t="str">
        <f t="shared" si="617"/>
        <v>SISTEMA GERADOR DE RELATÓRIOS</v>
      </c>
      <c r="C7578" s="2" t="str">
        <f t="shared" si="618"/>
        <v>SMA-REP</v>
      </c>
      <c r="D7578" s="2" t="str">
        <f t="shared" si="619"/>
        <v>MVREP</v>
      </c>
      <c r="E7578" s="2" t="str">
        <f>"Solicitação Consignado"</f>
        <v>Solicitação Consignado</v>
      </c>
      <c r="F7578" s="2" t="str">
        <f>"USR_SOLICITAÇAO_CONSIGNADO"</f>
        <v>USR_SOLICITAÇAO_CONSIGNADO</v>
      </c>
      <c r="G7578" s="2" t="str">
        <f t="shared" si="616"/>
        <v xml:space="preserve"> ()</v>
      </c>
    </row>
    <row r="7579" spans="1:7" x14ac:dyDescent="0.3">
      <c r="A7579" s="1" t="s">
        <v>4</v>
      </c>
      <c r="B7579" s="2" t="str">
        <f t="shared" si="617"/>
        <v>SISTEMA GERADOR DE RELATÓRIOS</v>
      </c>
      <c r="C7579" s="2" t="str">
        <f t="shared" si="618"/>
        <v>SMA-REP</v>
      </c>
      <c r="D7579" s="2" t="str">
        <f t="shared" si="619"/>
        <v>MVREP</v>
      </c>
      <c r="E7579" s="2" t="str">
        <f>"Ordem de Alimentação - Copeira"</f>
        <v>Ordem de Alimentação - Copeira</v>
      </c>
      <c r="F7579" s="2" t="str">
        <f>"USR_ORDEM_DE_ALIMENTAÇAO_-_COPEIRA"</f>
        <v>USR_ORDEM_DE_ALIMENTAÇAO_-_COPEIRA</v>
      </c>
      <c r="G7579" s="2" t="str">
        <f t="shared" si="616"/>
        <v xml:space="preserve"> ()</v>
      </c>
    </row>
    <row r="7580" spans="1:7" x14ac:dyDescent="0.3">
      <c r="A7580" s="1" t="s">
        <v>4</v>
      </c>
      <c r="B7580" s="2" t="str">
        <f t="shared" si="617"/>
        <v>SISTEMA GERADOR DE RELATÓRIOS</v>
      </c>
      <c r="C7580" s="2" t="str">
        <f t="shared" si="618"/>
        <v>SMA-REP</v>
      </c>
      <c r="D7580" s="2" t="str">
        <f t="shared" si="619"/>
        <v>MVREP</v>
      </c>
      <c r="E7580" s="2" t="str">
        <f>"Etiqueta Endoscopia"</f>
        <v>Etiqueta Endoscopia</v>
      </c>
      <c r="F7580" s="2" t="str">
        <f>"USR_ETIQUETA_END"</f>
        <v>USR_ETIQUETA_END</v>
      </c>
      <c r="G7580" s="2" t="str">
        <f t="shared" si="616"/>
        <v xml:space="preserve"> ()</v>
      </c>
    </row>
    <row r="7581" spans="1:7" x14ac:dyDescent="0.3">
      <c r="A7581" s="1" t="s">
        <v>4</v>
      </c>
      <c r="B7581" s="2" t="str">
        <f t="shared" si="617"/>
        <v>SISTEMA GERADOR DE RELATÓRIOS</v>
      </c>
      <c r="C7581" s="2" t="str">
        <f t="shared" si="618"/>
        <v>SMA-REP</v>
      </c>
      <c r="D7581" s="2" t="str">
        <f t="shared" si="619"/>
        <v>MVREP</v>
      </c>
      <c r="E7581" s="2" t="str">
        <f>"Apacs Digitadas"</f>
        <v>Apacs Digitadas</v>
      </c>
      <c r="F7581" s="2" t="str">
        <f>"USR_APACS_DIGITADAS"</f>
        <v>USR_APACS_DIGITADAS</v>
      </c>
      <c r="G7581" s="2" t="str">
        <f t="shared" si="616"/>
        <v xml:space="preserve"> ()</v>
      </c>
    </row>
    <row r="7582" spans="1:7" x14ac:dyDescent="0.3">
      <c r="A7582" s="1" t="s">
        <v>4</v>
      </c>
      <c r="B7582" s="2" t="str">
        <f t="shared" si="617"/>
        <v>SISTEMA GERADOR DE RELATÓRIOS</v>
      </c>
      <c r="C7582" s="2" t="str">
        <f t="shared" si="618"/>
        <v>SMA-REP</v>
      </c>
      <c r="D7582" s="2" t="str">
        <f t="shared" si="619"/>
        <v>MVREP</v>
      </c>
      <c r="E7582" s="2" t="str">
        <f>"Extrato Particular"</f>
        <v>Extrato Particular</v>
      </c>
      <c r="F7582" s="2" t="str">
        <f>"USR_EXTRATO_PARTICULAR"</f>
        <v>USR_EXTRATO_PARTICULAR</v>
      </c>
      <c r="G7582" s="2" t="str">
        <f t="shared" si="616"/>
        <v xml:space="preserve"> ()</v>
      </c>
    </row>
    <row r="7583" spans="1:7" x14ac:dyDescent="0.3">
      <c r="A7583" s="1" t="s">
        <v>4</v>
      </c>
      <c r="B7583" s="2" t="str">
        <f t="shared" si="617"/>
        <v>SISTEMA GERADOR DE RELATÓRIOS</v>
      </c>
      <c r="C7583" s="2" t="str">
        <f t="shared" si="618"/>
        <v>SMA-REP</v>
      </c>
      <c r="D7583" s="2" t="str">
        <f t="shared" si="619"/>
        <v>MVREP</v>
      </c>
      <c r="E7583" s="2" t="str">
        <f>"Produtos - Pais x Filhos"</f>
        <v>Produtos - Pais x Filhos</v>
      </c>
      <c r="F7583" s="2" t="str">
        <f>"USR_PRODUTOS_-_PAIS_X_FILHOS"</f>
        <v>USR_PRODUTOS_-_PAIS_X_FILHOS</v>
      </c>
      <c r="G7583" s="2" t="str">
        <f t="shared" si="616"/>
        <v xml:space="preserve"> ()</v>
      </c>
    </row>
    <row r="7584" spans="1:7" x14ac:dyDescent="0.3">
      <c r="A7584" s="1" t="s">
        <v>4</v>
      </c>
      <c r="B7584" s="2" t="str">
        <f t="shared" si="617"/>
        <v>SISTEMA GERADOR DE RELATÓRIOS</v>
      </c>
      <c r="C7584" s="2" t="str">
        <f t="shared" si="618"/>
        <v>SMA-REP</v>
      </c>
      <c r="D7584" s="2" t="str">
        <f t="shared" si="619"/>
        <v>MVREP</v>
      </c>
      <c r="E7584" s="2" t="str">
        <f>"Solicitação x Saida"</f>
        <v>Solicitação x Saida</v>
      </c>
      <c r="F7584" s="2" t="str">
        <f>"USR_SOLICITAÇAO_X_SAIDA"</f>
        <v>USR_SOLICITAÇAO_X_SAIDA</v>
      </c>
      <c r="G7584" s="2" t="str">
        <f t="shared" si="616"/>
        <v xml:space="preserve"> ()</v>
      </c>
    </row>
    <row r="7585" spans="1:7" x14ac:dyDescent="0.3">
      <c r="A7585" s="1" t="s">
        <v>4</v>
      </c>
      <c r="B7585" s="2" t="str">
        <f t="shared" si="617"/>
        <v>SISTEMA GERADOR DE RELATÓRIOS</v>
      </c>
      <c r="C7585" s="2" t="str">
        <f t="shared" si="618"/>
        <v>SMA-REP</v>
      </c>
      <c r="D7585" s="2" t="str">
        <f t="shared" si="619"/>
        <v>MVREP</v>
      </c>
      <c r="E7585" s="2" t="str">
        <f>"Relacionamentos de Itens"</f>
        <v>Relacionamentos de Itens</v>
      </c>
      <c r="F7585" s="2" t="str">
        <f>"USR_RELACIONAMENTOS_DE_ITENS"</f>
        <v>USR_RELACIONAMENTOS_DE_ITENS</v>
      </c>
      <c r="G7585" s="2" t="str">
        <f t="shared" si="616"/>
        <v xml:space="preserve"> ()</v>
      </c>
    </row>
    <row r="7586" spans="1:7" x14ac:dyDescent="0.3">
      <c r="A7586" s="1" t="s">
        <v>4</v>
      </c>
      <c r="B7586" s="2" t="str">
        <f t="shared" si="617"/>
        <v>SISTEMA GERADOR DE RELATÓRIOS</v>
      </c>
      <c r="C7586" s="2" t="str">
        <f t="shared" si="618"/>
        <v>SMA-REP</v>
      </c>
      <c r="D7586" s="2" t="str">
        <f t="shared" si="619"/>
        <v>MVREP</v>
      </c>
      <c r="E7586" s="2" t="str">
        <f>"Serviço x Proced x Grupo"</f>
        <v>Serviço x Proced x Grupo</v>
      </c>
      <c r="F7586" s="2" t="str">
        <f>"USR_SERVIÇO_X_PROCED_X_GRUPO"</f>
        <v>USR_SERVIÇO_X_PROCED_X_GRUPO</v>
      </c>
      <c r="G7586" s="2" t="str">
        <f t="shared" si="616"/>
        <v xml:space="preserve"> ()</v>
      </c>
    </row>
    <row r="7587" spans="1:7" x14ac:dyDescent="0.3">
      <c r="A7587" s="1" t="s">
        <v>4</v>
      </c>
      <c r="B7587" s="2" t="str">
        <f t="shared" si="617"/>
        <v>SISTEMA GERADOR DE RELATÓRIOS</v>
      </c>
      <c r="C7587" s="2" t="str">
        <f t="shared" si="618"/>
        <v>SMA-REP</v>
      </c>
      <c r="D7587" s="2" t="str">
        <f t="shared" si="619"/>
        <v>MVREP</v>
      </c>
      <c r="E7587" s="2" t="str">
        <f>"Faturamento SUS"</f>
        <v>Faturamento SUS</v>
      </c>
      <c r="F7587" s="2" t="str">
        <f>"USR_FATURAMENTO_SUS"</f>
        <v>USR_FATURAMENTO_SUS</v>
      </c>
      <c r="G7587" s="2" t="str">
        <f t="shared" si="616"/>
        <v xml:space="preserve"> ()</v>
      </c>
    </row>
    <row r="7588" spans="1:7" x14ac:dyDescent="0.3">
      <c r="A7588" s="1" t="s">
        <v>4</v>
      </c>
      <c r="B7588" s="2" t="str">
        <f t="shared" si="617"/>
        <v>SISTEMA GERADOR DE RELATÓRIOS</v>
      </c>
      <c r="C7588" s="2" t="str">
        <f t="shared" si="618"/>
        <v>SMA-REP</v>
      </c>
      <c r="D7588" s="2" t="str">
        <f t="shared" si="619"/>
        <v>MVREP</v>
      </c>
      <c r="E7588" s="2" t="str">
        <f>"Produtos - Pais x Filhos - Con"</f>
        <v>Produtos - Pais x Filhos - Con</v>
      </c>
      <c r="F7588" s="2" t="str">
        <f>"USR_PRODUTOS_-_PAIS_X_FILHOS_-_CONF"</f>
        <v>USR_PRODUTOS_-_PAIS_X_FILHOS_-_CONF</v>
      </c>
      <c r="G7588" s="2" t="str">
        <f t="shared" si="616"/>
        <v xml:space="preserve"> ()</v>
      </c>
    </row>
    <row r="7589" spans="1:7" x14ac:dyDescent="0.3">
      <c r="A7589" s="1" t="s">
        <v>4</v>
      </c>
      <c r="B7589" s="2" t="str">
        <f t="shared" si="617"/>
        <v>SISTEMA GERADOR DE RELATÓRIOS</v>
      </c>
      <c r="C7589" s="2" t="str">
        <f t="shared" si="618"/>
        <v>SMA-REP</v>
      </c>
      <c r="D7589" s="2" t="str">
        <f t="shared" si="619"/>
        <v>MVREP</v>
      </c>
      <c r="E7589" s="2" t="str">
        <f>"Centro Cirurgico"</f>
        <v>Centro Cirurgico</v>
      </c>
      <c r="F7589" s="2" t="str">
        <f>"USR_CENTRO_CIRURGICO"</f>
        <v>USR_CENTRO_CIRURGICO</v>
      </c>
      <c r="G7589" s="2" t="str">
        <f t="shared" si="616"/>
        <v xml:space="preserve"> ()</v>
      </c>
    </row>
    <row r="7590" spans="1:7" x14ac:dyDescent="0.3">
      <c r="A7590" s="1" t="s">
        <v>4</v>
      </c>
      <c r="B7590" s="2" t="str">
        <f t="shared" si="617"/>
        <v>SISTEMA GERADOR DE RELATÓRIOS</v>
      </c>
      <c r="C7590" s="2" t="str">
        <f t="shared" si="618"/>
        <v>SMA-REP</v>
      </c>
      <c r="D7590" s="2" t="str">
        <f t="shared" si="619"/>
        <v>MVREP</v>
      </c>
      <c r="E7590" s="2" t="str">
        <f>"Refeição por cardápio"</f>
        <v>Refeição por cardápio</v>
      </c>
      <c r="F7590" s="2" t="str">
        <f>"USR_REFEICAO_POR_CARDAPIO"</f>
        <v>USR_REFEICAO_POR_CARDAPIO</v>
      </c>
      <c r="G7590" s="2" t="str">
        <f t="shared" si="616"/>
        <v xml:space="preserve"> ()</v>
      </c>
    </row>
    <row r="7591" spans="1:7" x14ac:dyDescent="0.3">
      <c r="A7591" s="1" t="s">
        <v>4</v>
      </c>
      <c r="B7591" s="2" t="str">
        <f t="shared" si="617"/>
        <v>SISTEMA GERADOR DE RELATÓRIOS</v>
      </c>
      <c r="C7591" s="2" t="str">
        <f t="shared" si="618"/>
        <v>SMA-REP</v>
      </c>
      <c r="D7591" s="2" t="str">
        <f t="shared" si="619"/>
        <v>MVREP</v>
      </c>
      <c r="E7591" s="2" t="str">
        <f>"Ordem de Alimentação - Nutri"</f>
        <v>Ordem de Alimentação - Nutri</v>
      </c>
      <c r="F7591" s="2" t="str">
        <f>"USR_ORDEM_DE_ALIMENTAÇAO_-_NUTRI"</f>
        <v>USR_ORDEM_DE_ALIMENTAÇAO_-_NUTRI</v>
      </c>
      <c r="G7591" s="2" t="str">
        <f t="shared" si="616"/>
        <v xml:space="preserve"> ()</v>
      </c>
    </row>
    <row r="7592" spans="1:7" x14ac:dyDescent="0.3">
      <c r="A7592" s="1" t="s">
        <v>4</v>
      </c>
      <c r="B7592" s="2" t="str">
        <f t="shared" si="617"/>
        <v>SISTEMA GERADOR DE RELATÓRIOS</v>
      </c>
      <c r="C7592" s="2" t="str">
        <f t="shared" si="618"/>
        <v>SMA-REP</v>
      </c>
      <c r="D7592" s="2" t="str">
        <f t="shared" si="619"/>
        <v>MVREP</v>
      </c>
      <c r="E7592" s="2" t="str">
        <f>"Auditoria de Informações"</f>
        <v>Auditoria de Informações</v>
      </c>
      <c r="F7592" s="2" t="str">
        <f>"USR_AUDITORIA_DE_INFORMAÇOES"</f>
        <v>USR_AUDITORIA_DE_INFORMAÇOES</v>
      </c>
      <c r="G7592" s="2" t="str">
        <f t="shared" si="616"/>
        <v xml:space="preserve"> ()</v>
      </c>
    </row>
    <row r="7593" spans="1:7" x14ac:dyDescent="0.3">
      <c r="A7593" s="1" t="s">
        <v>4</v>
      </c>
      <c r="B7593" s="2" t="str">
        <f t="shared" si="617"/>
        <v>SISTEMA GERADOR DE RELATÓRIOS</v>
      </c>
      <c r="C7593" s="2" t="str">
        <f t="shared" si="618"/>
        <v>SMA-REP</v>
      </c>
      <c r="D7593" s="2" t="str">
        <f t="shared" si="619"/>
        <v>MVREP</v>
      </c>
      <c r="E7593" s="2" t="str">
        <f>"Agrupamentos"</f>
        <v>Agrupamentos</v>
      </c>
      <c r="F7593" s="2" t="str">
        <f>"USR_AGRUPAMENTOS"</f>
        <v>USR_AGRUPAMENTOS</v>
      </c>
      <c r="G7593" s="2" t="str">
        <f t="shared" si="616"/>
        <v xml:space="preserve"> ()</v>
      </c>
    </row>
    <row r="7594" spans="1:7" x14ac:dyDescent="0.3">
      <c r="A7594" s="1" t="s">
        <v>4</v>
      </c>
      <c r="B7594" s="2" t="str">
        <f t="shared" si="617"/>
        <v>SISTEMA GERADOR DE RELATÓRIOS</v>
      </c>
      <c r="C7594" s="2" t="str">
        <f t="shared" si="618"/>
        <v>SMA-REP</v>
      </c>
      <c r="D7594" s="2" t="str">
        <f t="shared" si="619"/>
        <v>MVREP</v>
      </c>
      <c r="E7594" s="2" t="str">
        <f>"Serviços X especialidade pari "</f>
        <v xml:space="preserve">Serviços X especialidade pari </v>
      </c>
      <c r="F7594" s="2" t="str">
        <f>"USR_SERVIÇOS_X_ESPECIALIDADE_PARI_P"</f>
        <v>USR_SERVIÇOS_X_ESPECIALIDADE_PARI_P</v>
      </c>
      <c r="G7594" s="2" t="str">
        <f t="shared" si="616"/>
        <v xml:space="preserve"> ()</v>
      </c>
    </row>
    <row r="7595" spans="1:7" x14ac:dyDescent="0.3">
      <c r="A7595" s="1" t="s">
        <v>4</v>
      </c>
      <c r="B7595" s="2" t="str">
        <f t="shared" si="617"/>
        <v>SISTEMA GERADOR DE RELATÓRIOS</v>
      </c>
      <c r="C7595" s="2" t="str">
        <f t="shared" si="618"/>
        <v>SMA-REP</v>
      </c>
      <c r="D7595" s="2" t="str">
        <f t="shared" si="619"/>
        <v>MVREP</v>
      </c>
      <c r="E7595" s="2" t="str">
        <f>"Rel.Oncologia.Convenio"</f>
        <v>Rel.Oncologia.Convenio</v>
      </c>
      <c r="F7595" s="2" t="str">
        <f>"USR_REL.ONCOLOGIA.CONVENIO"</f>
        <v>USR_REL.ONCOLOGIA.CONVENIO</v>
      </c>
      <c r="G7595" s="2" t="str">
        <f t="shared" si="616"/>
        <v xml:space="preserve"> ()</v>
      </c>
    </row>
    <row r="7596" spans="1:7" x14ac:dyDescent="0.3">
      <c r="A7596" s="1" t="s">
        <v>4</v>
      </c>
      <c r="B7596" s="2" t="str">
        <f t="shared" si="617"/>
        <v>SISTEMA GERADOR DE RELATÓRIOS</v>
      </c>
      <c r="C7596" s="2" t="str">
        <f t="shared" si="618"/>
        <v>SMA-REP</v>
      </c>
      <c r="D7596" s="2" t="str">
        <f t="shared" si="619"/>
        <v>MVREP</v>
      </c>
      <c r="E7596" s="2" t="str">
        <f>"orientacao hemodinamica"</f>
        <v>orientacao hemodinamica</v>
      </c>
      <c r="F7596" s="2" t="str">
        <f>"USR_ORIENTACAO_HEMODINAMICA"</f>
        <v>USR_ORIENTACAO_HEMODINAMICA</v>
      </c>
      <c r="G7596" s="2" t="str">
        <f t="shared" si="616"/>
        <v xml:space="preserve"> ()</v>
      </c>
    </row>
    <row r="7597" spans="1:7" x14ac:dyDescent="0.3">
      <c r="A7597" s="1" t="s">
        <v>4</v>
      </c>
      <c r="B7597" s="2" t="str">
        <f t="shared" si="617"/>
        <v>SISTEMA GERADOR DE RELATÓRIOS</v>
      </c>
      <c r="C7597" s="2" t="str">
        <f t="shared" si="618"/>
        <v>SMA-REP</v>
      </c>
      <c r="D7597" s="2" t="str">
        <f t="shared" si="619"/>
        <v>MVREP</v>
      </c>
      <c r="E7597" s="2" t="str">
        <f>"Financeiro"</f>
        <v>Financeiro</v>
      </c>
      <c r="F7597" s="2" t="str">
        <f>"USR_FINANCEIRO"</f>
        <v>USR_FINANCEIRO</v>
      </c>
      <c r="G7597" s="2" t="str">
        <f t="shared" si="616"/>
        <v xml:space="preserve"> ()</v>
      </c>
    </row>
    <row r="7598" spans="1:7" x14ac:dyDescent="0.3">
      <c r="A7598" s="1" t="s">
        <v>4</v>
      </c>
      <c r="B7598" s="2" t="str">
        <f t="shared" si="617"/>
        <v>SISTEMA GERADOR DE RELATÓRIOS</v>
      </c>
      <c r="C7598" s="2" t="str">
        <f t="shared" si="618"/>
        <v>SMA-REP</v>
      </c>
      <c r="D7598" s="2" t="str">
        <f t="shared" si="619"/>
        <v>MVREP</v>
      </c>
      <c r="E7598" s="2" t="str">
        <f>"Faturamento CONV"</f>
        <v>Faturamento CONV</v>
      </c>
      <c r="F7598" s="2" t="str">
        <f>"USR_FATURAMENTO_CONV"</f>
        <v>USR_FATURAMENTO_CONV</v>
      </c>
      <c r="G7598" s="2" t="str">
        <f t="shared" si="616"/>
        <v xml:space="preserve"> ()</v>
      </c>
    </row>
    <row r="7599" spans="1:7" x14ac:dyDescent="0.3">
      <c r="A7599" s="1" t="s">
        <v>4</v>
      </c>
      <c r="B7599" s="2" t="str">
        <f t="shared" si="617"/>
        <v>SISTEMA GERADOR DE RELATÓRIOS</v>
      </c>
      <c r="C7599" s="2" t="str">
        <f t="shared" si="618"/>
        <v>SMA-REP</v>
      </c>
      <c r="D7599" s="2" t="str">
        <f t="shared" si="619"/>
        <v>MVREP</v>
      </c>
      <c r="E7599" s="2" t="str">
        <f>"Rel_leitosXCarcter"</f>
        <v>Rel_leitosXCarcter</v>
      </c>
      <c r="F7599" s="2" t="str">
        <f>"USR_REL_LEITOSXCARCTER"</f>
        <v>USR_REL_LEITOSXCARCTER</v>
      </c>
      <c r="G7599" s="2" t="str">
        <f t="shared" si="616"/>
        <v xml:space="preserve"> ()</v>
      </c>
    </row>
    <row r="7600" spans="1:7" x14ac:dyDescent="0.3">
      <c r="A7600" s="1" t="s">
        <v>4</v>
      </c>
      <c r="B7600" s="2" t="str">
        <f t="shared" si="617"/>
        <v>SISTEMA GERADOR DE RELATÓRIOS</v>
      </c>
      <c r="C7600" s="2" t="str">
        <f t="shared" si="618"/>
        <v>SMA-REP</v>
      </c>
      <c r="D7600" s="2" t="str">
        <f t="shared" si="619"/>
        <v>MVREP</v>
      </c>
      <c r="E7600" s="2" t="str">
        <f>"EXTERNO X ESPECIALIDADE"</f>
        <v>EXTERNO X ESPECIALIDADE</v>
      </c>
      <c r="F7600" s="2" t="str">
        <f>"USR_EXTERNO_X_ESPECIALIDADE"</f>
        <v>USR_EXTERNO_X_ESPECIALIDADE</v>
      </c>
      <c r="G7600" s="2" t="str">
        <f t="shared" si="616"/>
        <v xml:space="preserve"> ()</v>
      </c>
    </row>
    <row r="7601" spans="1:7" x14ac:dyDescent="0.3">
      <c r="A7601" s="1" t="s">
        <v>4</v>
      </c>
      <c r="B7601" s="2" t="str">
        <f t="shared" si="617"/>
        <v>SISTEMA GERADOR DE RELATÓRIOS</v>
      </c>
      <c r="C7601" s="2" t="str">
        <f t="shared" si="618"/>
        <v>SMA-REP</v>
      </c>
      <c r="D7601" s="2" t="str">
        <f t="shared" si="619"/>
        <v>MVREP</v>
      </c>
      <c r="E7601" s="2" t="str">
        <f>"Relatório para digitar kits"</f>
        <v>Relatório para digitar kits</v>
      </c>
      <c r="F7601" s="2" t="str">
        <f>"USR_RELATORIO_PARA_DIGITAR_KITS"</f>
        <v>USR_RELATORIO_PARA_DIGITAR_KITS</v>
      </c>
      <c r="G7601" s="2" t="str">
        <f t="shared" si="616"/>
        <v xml:space="preserve"> ()</v>
      </c>
    </row>
    <row r="7602" spans="1:7" x14ac:dyDescent="0.3">
      <c r="A7602" s="1" t="s">
        <v>4</v>
      </c>
      <c r="B7602" s="2" t="str">
        <f t="shared" si="617"/>
        <v>SISTEMA GERADOR DE RELATÓRIOS</v>
      </c>
      <c r="C7602" s="2" t="str">
        <f t="shared" si="618"/>
        <v>SMA-REP</v>
      </c>
      <c r="D7602" s="2" t="str">
        <f t="shared" si="619"/>
        <v>MVREP</v>
      </c>
      <c r="E7602" s="2" t="str">
        <f>"Perguntas X Exames"</f>
        <v>Perguntas X Exames</v>
      </c>
      <c r="F7602" s="2" t="str">
        <f>"USR_PERGUNTAS_X_EXAMES"</f>
        <v>USR_PERGUNTAS_X_EXAMES</v>
      </c>
      <c r="G7602" s="2" t="str">
        <f t="shared" si="616"/>
        <v xml:space="preserve"> ()</v>
      </c>
    </row>
    <row r="7603" spans="1:7" x14ac:dyDescent="0.3">
      <c r="A7603" s="1" t="s">
        <v>4</v>
      </c>
      <c r="B7603" s="2" t="str">
        <f t="shared" si="617"/>
        <v>SISTEMA GERADOR DE RELATÓRIOS</v>
      </c>
      <c r="C7603" s="2" t="str">
        <f t="shared" si="618"/>
        <v>SMA-REP</v>
      </c>
      <c r="D7603" s="2" t="str">
        <f t="shared" si="619"/>
        <v>MVREP</v>
      </c>
      <c r="E7603" s="2" t="str">
        <f>"Procedimento Atendimento"</f>
        <v>Procedimento Atendimento</v>
      </c>
      <c r="F7603" s="2" t="str">
        <f>"USR_PROCEDIMENTO_ATENDIMENTO"</f>
        <v>USR_PROCEDIMENTO_ATENDIMENTO</v>
      </c>
      <c r="G7603" s="2" t="str">
        <f t="shared" si="616"/>
        <v xml:space="preserve"> ()</v>
      </c>
    </row>
    <row r="7604" spans="1:7" x14ac:dyDescent="0.3">
      <c r="A7604" s="1" t="s">
        <v>4</v>
      </c>
      <c r="B7604" s="2" t="str">
        <f t="shared" si="617"/>
        <v>SISTEMA GERADOR DE RELATÓRIOS</v>
      </c>
      <c r="C7604" s="2" t="str">
        <f t="shared" si="618"/>
        <v>SMA-REP</v>
      </c>
      <c r="D7604" s="2" t="str">
        <f t="shared" si="619"/>
        <v>MVREP</v>
      </c>
      <c r="E7604" s="2" t="str">
        <f>"Procedimentos AMB - SUS"</f>
        <v>Procedimentos AMB - SUS</v>
      </c>
      <c r="F7604" s="2" t="str">
        <f>"USR_PROCEDIMENTOS_AMB_-_SUS"</f>
        <v>USR_PROCEDIMENTOS_AMB_-_SUS</v>
      </c>
      <c r="G7604" s="2" t="str">
        <f t="shared" si="616"/>
        <v xml:space="preserve"> ()</v>
      </c>
    </row>
    <row r="7605" spans="1:7" x14ac:dyDescent="0.3">
      <c r="A7605" s="1" t="s">
        <v>4</v>
      </c>
      <c r="B7605" s="2" t="str">
        <f t="shared" si="617"/>
        <v>SISTEMA GERADOR DE RELATÓRIOS</v>
      </c>
      <c r="C7605" s="2" t="str">
        <f t="shared" si="618"/>
        <v>SMA-REP</v>
      </c>
      <c r="D7605" s="2" t="str">
        <f t="shared" si="619"/>
        <v>MVREP</v>
      </c>
      <c r="E7605" s="2" t="str">
        <f>"Sistemas x Modulos"</f>
        <v>Sistemas x Modulos</v>
      </c>
      <c r="F7605" s="2" t="str">
        <f>"USR_SISTEMAS_X_MODULOS"</f>
        <v>USR_SISTEMAS_X_MODULOS</v>
      </c>
      <c r="G7605" s="2" t="str">
        <f t="shared" si="616"/>
        <v xml:space="preserve"> ()</v>
      </c>
    </row>
    <row r="7606" spans="1:7" x14ac:dyDescent="0.3">
      <c r="A7606" s="1" t="s">
        <v>4</v>
      </c>
      <c r="B7606" s="2" t="str">
        <f t="shared" si="617"/>
        <v>SISTEMA GERADOR DE RELATÓRIOS</v>
      </c>
      <c r="C7606" s="2" t="str">
        <f t="shared" si="618"/>
        <v>SMA-REP</v>
      </c>
      <c r="D7606" s="2" t="str">
        <f t="shared" si="619"/>
        <v>MVREP</v>
      </c>
      <c r="E7606" s="2" t="str">
        <f>"Relatorio solicitacoes ao DND"</f>
        <v>Relatorio solicitacoes ao DND</v>
      </c>
      <c r="F7606" s="2" t="str">
        <f>"USR_RELATORIO_SOLICITACOES_AO_DND"</f>
        <v>USR_RELATORIO_SOLICITACOES_AO_DND</v>
      </c>
      <c r="G7606" s="2" t="str">
        <f t="shared" si="616"/>
        <v xml:space="preserve"> ()</v>
      </c>
    </row>
    <row r="7607" spans="1:7" x14ac:dyDescent="0.3">
      <c r="A7607" s="1" t="s">
        <v>4</v>
      </c>
      <c r="B7607" s="2" t="str">
        <f t="shared" si="617"/>
        <v>SISTEMA GERADOR DE RELATÓRIOS</v>
      </c>
      <c r="C7607" s="2" t="str">
        <f t="shared" si="618"/>
        <v>SMA-REP</v>
      </c>
      <c r="D7607" s="2" t="str">
        <f t="shared" si="619"/>
        <v>MVREP</v>
      </c>
      <c r="E7607" s="2" t="str">
        <f>"Exames Imagem - Ordem SIA"</f>
        <v>Exames Imagem - Ordem SIA</v>
      </c>
      <c r="F7607" s="2" t="str">
        <f>"USR_EXAMES_IMAGEM_-_ORDEM_SIA"</f>
        <v>USR_EXAMES_IMAGEM_-_ORDEM_SIA</v>
      </c>
      <c r="G7607" s="2" t="str">
        <f t="shared" si="616"/>
        <v xml:space="preserve"> ()</v>
      </c>
    </row>
    <row r="7608" spans="1:7" x14ac:dyDescent="0.3">
      <c r="A7608" s="1" t="s">
        <v>4</v>
      </c>
      <c r="B7608" s="2" t="str">
        <f t="shared" si="617"/>
        <v>SISTEMA GERADOR DE RELATÓRIOS</v>
      </c>
      <c r="C7608" s="2" t="str">
        <f t="shared" si="618"/>
        <v>SMA-REP</v>
      </c>
      <c r="D7608" s="2" t="str">
        <f t="shared" si="619"/>
        <v>MVREP</v>
      </c>
      <c r="E7608" s="2" t="str">
        <f>"Cheques em transito"</f>
        <v>Cheques em transito</v>
      </c>
      <c r="F7608" s="2" t="str">
        <f>"USR_CHEQUES_EM_TRANSITO"</f>
        <v>USR_CHEQUES_EM_TRANSITO</v>
      </c>
      <c r="G7608" s="2" t="str">
        <f t="shared" ref="G7608:G7615" si="620">" ()"</f>
        <v xml:space="preserve"> ()</v>
      </c>
    </row>
    <row r="7609" spans="1:7" x14ac:dyDescent="0.3">
      <c r="A7609" s="1" t="s">
        <v>4</v>
      </c>
      <c r="B7609" s="2" t="str">
        <f t="shared" si="617"/>
        <v>SISTEMA GERADOR DE RELATÓRIOS</v>
      </c>
      <c r="C7609" s="2" t="str">
        <f t="shared" si="618"/>
        <v>SMA-REP</v>
      </c>
      <c r="D7609" s="2" t="str">
        <f t="shared" si="619"/>
        <v>MVREP</v>
      </c>
      <c r="E7609" s="2" t="str">
        <f>"Rel.Oncologia SUS"</f>
        <v>Rel.Oncologia SUS</v>
      </c>
      <c r="F7609" s="2" t="str">
        <f>"USR_REL.ONCOLOGIA_SUS"</f>
        <v>USR_REL.ONCOLOGIA_SUS</v>
      </c>
      <c r="G7609" s="2" t="str">
        <f t="shared" si="620"/>
        <v xml:space="preserve"> ()</v>
      </c>
    </row>
    <row r="7610" spans="1:7" x14ac:dyDescent="0.3">
      <c r="A7610" s="1" t="s">
        <v>4</v>
      </c>
      <c r="B7610" s="2" t="str">
        <f t="shared" si="617"/>
        <v>SISTEMA GERADOR DE RELATÓRIOS</v>
      </c>
      <c r="C7610" s="2" t="str">
        <f t="shared" si="618"/>
        <v>SMA-REP</v>
      </c>
      <c r="D7610" s="2" t="str">
        <f t="shared" si="619"/>
        <v>MVREP</v>
      </c>
      <c r="E7610" s="2" t="str">
        <f>"Internados SCS"</f>
        <v>Internados SCS</v>
      </c>
      <c r="F7610" s="2" t="str">
        <f>"USR_INTERNADOS_SCMS"</f>
        <v>USR_INTERNADOS_SCMS</v>
      </c>
      <c r="G7610" s="2" t="str">
        <f t="shared" si="620"/>
        <v xml:space="preserve"> ()</v>
      </c>
    </row>
    <row r="7611" spans="1:7" x14ac:dyDescent="0.3">
      <c r="A7611" s="1" t="s">
        <v>4</v>
      </c>
      <c r="B7611" s="2" t="str">
        <f t="shared" si="617"/>
        <v>SISTEMA GERADOR DE RELATÓRIOS</v>
      </c>
      <c r="C7611" s="2" t="str">
        <f t="shared" si="618"/>
        <v>SMA-REP</v>
      </c>
      <c r="D7611" s="2" t="str">
        <f t="shared" si="619"/>
        <v>MVREP</v>
      </c>
      <c r="E7611" s="2" t="str">
        <f>"relatorioExemplo1"</f>
        <v>relatorioExemplo1</v>
      </c>
      <c r="F7611" s="2" t="str">
        <f>"USR_RELATORIOEXEMPLO1"</f>
        <v>USR_RELATORIOEXEMPLO1</v>
      </c>
      <c r="G7611" s="2" t="str">
        <f t="shared" si="620"/>
        <v xml:space="preserve"> ()</v>
      </c>
    </row>
    <row r="7612" spans="1:7" x14ac:dyDescent="0.3">
      <c r="A7612" s="1" t="s">
        <v>4</v>
      </c>
      <c r="B7612" s="2" t="str">
        <f t="shared" si="617"/>
        <v>SISTEMA GERADOR DE RELATÓRIOS</v>
      </c>
      <c r="C7612" s="2" t="str">
        <f t="shared" si="618"/>
        <v>SMA-REP</v>
      </c>
      <c r="D7612" s="2" t="str">
        <f t="shared" si="619"/>
        <v>MVREP</v>
      </c>
      <c r="E7612" s="2" t="str">
        <f>"BOLETIM"</f>
        <v>BOLETIM</v>
      </c>
      <c r="F7612" s="2" t="str">
        <f>"USR_BOLETIM"</f>
        <v>USR_BOLETIM</v>
      </c>
      <c r="G7612" s="2" t="str">
        <f t="shared" si="620"/>
        <v xml:space="preserve"> ()</v>
      </c>
    </row>
    <row r="7613" spans="1:7" x14ac:dyDescent="0.3">
      <c r="A7613" s="1" t="s">
        <v>4</v>
      </c>
      <c r="B7613" s="2" t="str">
        <f t="shared" si="617"/>
        <v>SISTEMA GERADOR DE RELATÓRIOS</v>
      </c>
      <c r="C7613" s="2" t="str">
        <f t="shared" si="618"/>
        <v>SMA-REP</v>
      </c>
      <c r="D7613" s="2" t="str">
        <f t="shared" si="619"/>
        <v>MVREP</v>
      </c>
      <c r="E7613" s="2" t="str">
        <f>"São Marcos"</f>
        <v>São Marcos</v>
      </c>
      <c r="F7613" s="2" t="str">
        <f>"USR_SAO_MARCOS"</f>
        <v>USR_SAO_MARCOS</v>
      </c>
      <c r="G7613" s="2" t="str">
        <f t="shared" si="620"/>
        <v xml:space="preserve"> ()</v>
      </c>
    </row>
    <row r="7614" spans="1:7" x14ac:dyDescent="0.3">
      <c r="A7614" s="1" t="s">
        <v>4</v>
      </c>
      <c r="B7614" s="2" t="str">
        <f t="shared" si="617"/>
        <v>SISTEMA GERADOR DE RELATÓRIOS</v>
      </c>
      <c r="C7614" s="2" t="str">
        <f t="shared" si="618"/>
        <v>SMA-REP</v>
      </c>
      <c r="D7614" s="2" t="str">
        <f t="shared" si="619"/>
        <v>MVREP</v>
      </c>
      <c r="E7614" s="2" t="str">
        <f>"testandoconstrutor"</f>
        <v>testandoconstrutor</v>
      </c>
      <c r="F7614" s="2" t="str">
        <f>"USR_TESTANDOCONSTRUTOR"</f>
        <v>USR_TESTANDOCONSTRUTOR</v>
      </c>
      <c r="G7614" s="2" t="str">
        <f t="shared" si="620"/>
        <v xml:space="preserve"> ()</v>
      </c>
    </row>
    <row r="7615" spans="1:7" x14ac:dyDescent="0.3">
      <c r="A7615" s="1" t="s">
        <v>4</v>
      </c>
      <c r="B7615" s="2" t="str">
        <f t="shared" si="617"/>
        <v>SISTEMA GERADOR DE RELATÓRIOS</v>
      </c>
      <c r="C7615" s="2" t="str">
        <f t="shared" si="618"/>
        <v>SMA-REP</v>
      </c>
      <c r="D7615" s="2" t="str">
        <f t="shared" si="619"/>
        <v>MVREP</v>
      </c>
      <c r="E7615" s="2" t="str">
        <f>"Relatório de Estados"</f>
        <v>Relatório de Estados</v>
      </c>
      <c r="F7615" s="2" t="str">
        <f>"USR_RELATORIO_DE_ESTADOS"</f>
        <v>USR_RELATORIO_DE_ESTADOS</v>
      </c>
      <c r="G7615" s="2" t="str">
        <f t="shared" si="620"/>
        <v xml:space="preserve"> ()</v>
      </c>
    </row>
    <row r="7616" spans="1:7" x14ac:dyDescent="0.3">
      <c r="A7616" s="1" t="s">
        <v>4</v>
      </c>
      <c r="B7616" s="2" t="str">
        <f t="shared" ref="B7616:B7679" si="621">"MVSAUDE"</f>
        <v>MVSAUDE</v>
      </c>
      <c r="C7616" s="2" t="str">
        <f t="shared" ref="C7616:C7679" si="622">"PLANO"</f>
        <v>PLANO</v>
      </c>
      <c r="D7616" s="2" t="str">
        <f t="shared" ref="D7616:D7679" si="623">"MVS"</f>
        <v>MVS</v>
      </c>
      <c r="E7616" s="2" t="str">
        <f>"CADASTRO: OPERADORAS"</f>
        <v>CADASTRO: OPERADORAS</v>
      </c>
      <c r="F7616" s="2" t="str">
        <f>"M_OPERADORA"</f>
        <v>M_OPERADORA</v>
      </c>
      <c r="G7616" s="2" t="str">
        <f>"MVSaude / Cadastros / Operadoras (Portabilidade) (M_OPERADORA)"</f>
        <v>MVSaude / Cadastros / Operadoras (Portabilidade) (M_OPERADORA)</v>
      </c>
    </row>
    <row r="7617" spans="1:7" x14ac:dyDescent="0.3">
      <c r="A7617" s="1" t="s">
        <v>4</v>
      </c>
      <c r="B7617" s="2" t="str">
        <f t="shared" si="621"/>
        <v>MVSAUDE</v>
      </c>
      <c r="C7617" s="2" t="str">
        <f t="shared" si="622"/>
        <v>PLANO</v>
      </c>
      <c r="D7617" s="2" t="str">
        <f t="shared" si="623"/>
        <v>MVS</v>
      </c>
      <c r="E7617" s="2" t="str">
        <f>"R_PAT_CONT"</f>
        <v>R_PAT_CONT</v>
      </c>
      <c r="F7617" s="2" t="str">
        <f>"R_PAT_CONT"</f>
        <v>R_PAT_CONT</v>
      </c>
      <c r="G7617" s="2" t="str">
        <f>" ()"</f>
        <v xml:space="preserve"> ()</v>
      </c>
    </row>
    <row r="7618" spans="1:7" x14ac:dyDescent="0.3">
      <c r="A7618" s="1" t="s">
        <v>4</v>
      </c>
      <c r="B7618" s="2" t="str">
        <f t="shared" si="621"/>
        <v>MVSAUDE</v>
      </c>
      <c r="C7618" s="2" t="str">
        <f t="shared" si="622"/>
        <v>PLANO</v>
      </c>
      <c r="D7618" s="2" t="str">
        <f t="shared" si="623"/>
        <v>MVS</v>
      </c>
      <c r="E7618" s="2" t="str">
        <f>"RELATÓRIO DE GLOSAS POR REFERÊNCIA"</f>
        <v>RELATÓRIO DE GLOSAS POR REFERÊNCIA</v>
      </c>
      <c r="F7618" s="2" t="str">
        <f>"R_GLOSAS_POR_REFERENCIA"</f>
        <v>R_GLOSAS_POR_REFERENCIA</v>
      </c>
      <c r="G7618" s="2" t="str">
        <f>"MVSaude / Relatórios / Contas Médicas / Glosas por Referência (R_GLOSAS_POR_REFERENCIA)"</f>
        <v>MVSaude / Relatórios / Contas Médicas / Glosas por Referência (R_GLOSAS_POR_REFERENCIA)</v>
      </c>
    </row>
    <row r="7619" spans="1:7" x14ac:dyDescent="0.3">
      <c r="A7619" s="1" t="s">
        <v>4</v>
      </c>
      <c r="B7619" s="2" t="str">
        <f t="shared" si="621"/>
        <v>MVSAUDE</v>
      </c>
      <c r="C7619" s="2" t="str">
        <f t="shared" si="622"/>
        <v>PLANO</v>
      </c>
      <c r="D7619" s="2" t="str">
        <f t="shared" si="623"/>
        <v>MVS</v>
      </c>
      <c r="E7619" s="2" t="str">
        <f>"IDADE DE SALDOS DAS RECEITAS"</f>
        <v>IDADE DE SALDOS DAS RECEITAS</v>
      </c>
      <c r="F7619" s="2" t="str">
        <f>"R_IDADE_SALDOS_MENS"</f>
        <v>R_IDADE_SALDOS_MENS</v>
      </c>
      <c r="G7619" s="2" t="str">
        <f>"MVSaude / Relatórios / Contabilidade / Idade de Saldos de Receitas (R_IDADE_SALDOS_MENS)"</f>
        <v>MVSaude / Relatórios / Contabilidade / Idade de Saldos de Receitas (R_IDADE_SALDOS_MENS)</v>
      </c>
    </row>
    <row r="7620" spans="1:7" x14ac:dyDescent="0.3">
      <c r="A7620" s="1" t="s">
        <v>4</v>
      </c>
      <c r="B7620" s="2" t="str">
        <f t="shared" si="621"/>
        <v>MVSAUDE</v>
      </c>
      <c r="C7620" s="2" t="str">
        <f t="shared" si="622"/>
        <v>PLANO</v>
      </c>
      <c r="D7620" s="2" t="str">
        <f t="shared" si="623"/>
        <v>MVS</v>
      </c>
      <c r="E7620" s="2" t="str">
        <f>"CARTA DE NOTIFICAÇÃO DE MUDANCA DE FAIXA"</f>
        <v>CARTA DE NOTIFICAÇÃO DE MUDANCA DE FAIXA</v>
      </c>
      <c r="F7620" s="2" t="str">
        <f>"R_CARTA_MUDA_FAIXA_UNIHOSP"</f>
        <v>R_CARTA_MUDA_FAIXA_UNIHOSP</v>
      </c>
      <c r="G7620" s="2" t="str">
        <f>" ()"</f>
        <v xml:space="preserve"> ()</v>
      </c>
    </row>
    <row r="7621" spans="1:7" x14ac:dyDescent="0.3">
      <c r="A7621" s="1" t="s">
        <v>4</v>
      </c>
      <c r="B7621" s="2" t="str">
        <f t="shared" si="621"/>
        <v>MVSAUDE</v>
      </c>
      <c r="C7621" s="2" t="str">
        <f t="shared" si="622"/>
        <v>PLANO</v>
      </c>
      <c r="D7621" s="2" t="str">
        <f t="shared" si="623"/>
        <v>MVS</v>
      </c>
      <c r="E7621" s="2" t="str">
        <f>"USUÁRIOS QUE MUDARÃO DE FAIXA"</f>
        <v>USUÁRIOS QUE MUDARÃO DE FAIXA</v>
      </c>
      <c r="F7621" s="2" t="str">
        <f>"R_USU_MUDA_FAIXA"</f>
        <v>R_USU_MUDA_FAIXA</v>
      </c>
      <c r="G7621" s="2" t="str">
        <f>"MVSaude / Relatórios / Administrativos / Usuários que mudarão de Faixa Etaria (R_USU_MUDA_FAIXA)"</f>
        <v>MVSaude / Relatórios / Administrativos / Usuários que mudarão de Faixa Etaria (R_USU_MUDA_FAIXA)</v>
      </c>
    </row>
    <row r="7622" spans="1:7" x14ac:dyDescent="0.3">
      <c r="A7622" s="1" t="s">
        <v>4</v>
      </c>
      <c r="B7622" s="2" t="str">
        <f t="shared" si="621"/>
        <v>MVSAUDE</v>
      </c>
      <c r="C7622" s="2" t="str">
        <f t="shared" si="622"/>
        <v>PLANO</v>
      </c>
      <c r="D7622" s="2" t="str">
        <f t="shared" si="623"/>
        <v>MVS</v>
      </c>
      <c r="E7622" s="2" t="str">
        <f>"RELATÓRIO DE USUÁRIOS INADIMPLENTES"</f>
        <v>RELATÓRIO DE USUÁRIOS INADIMPLENTES</v>
      </c>
      <c r="F7622" s="2" t="str">
        <f>"R_USUINA_UNIHOSP"</f>
        <v>R_USUINA_UNIHOSP</v>
      </c>
      <c r="G7622" s="2" t="str">
        <f>" ()"</f>
        <v xml:space="preserve"> ()</v>
      </c>
    </row>
    <row r="7623" spans="1:7" x14ac:dyDescent="0.3">
      <c r="A7623" s="1" t="s">
        <v>4</v>
      </c>
      <c r="B7623" s="2" t="str">
        <f t="shared" si="621"/>
        <v>MVSAUDE</v>
      </c>
      <c r="C7623" s="2" t="str">
        <f t="shared" si="622"/>
        <v>PLANO</v>
      </c>
      <c r="D7623" s="2" t="str">
        <f t="shared" si="623"/>
        <v>MVS</v>
      </c>
      <c r="E7623" s="2" t="str">
        <f>"REL. DE TABELA DE PRECO POR CONTRATOS"</f>
        <v>REL. DE TABELA DE PRECO POR CONTRATOS</v>
      </c>
      <c r="F7623" s="2" t="str">
        <f>"R_TAB_PRECO_CON"</f>
        <v>R_TAB_PRECO_CON</v>
      </c>
      <c r="G7623" s="2" t="str">
        <f>"MVSaude / Relatórios / Administrativos / Mensalidades / Pre - Pagamento / Tabelas de Preco por Contrato (R_TAB_PRECO_CON)"</f>
        <v>MVSaude / Relatórios / Administrativos / Mensalidades / Pre - Pagamento / Tabelas de Preco por Contrato (R_TAB_PRECO_CON)</v>
      </c>
    </row>
    <row r="7624" spans="1:7" x14ac:dyDescent="0.3">
      <c r="A7624" s="1" t="s">
        <v>4</v>
      </c>
      <c r="B7624" s="2" t="str">
        <f t="shared" si="621"/>
        <v>MVSAUDE</v>
      </c>
      <c r="C7624" s="2" t="str">
        <f t="shared" si="622"/>
        <v>PLANO</v>
      </c>
      <c r="D7624" s="2" t="str">
        <f t="shared" si="623"/>
        <v>MVS</v>
      </c>
      <c r="E7624" s="2" t="str">
        <f>"PERSONALIZADOS MVS"</f>
        <v>PERSONALIZADOS MVS</v>
      </c>
      <c r="F7624" s="2" t="str">
        <f>"R_PERSON_MVSAUDE"</f>
        <v>R_PERSON_MVSAUDE</v>
      </c>
      <c r="G7624" s="2" t="str">
        <f>"MVSaude / Relatórios / Personalizados (R_PERSON_MVSAUDE)"</f>
        <v>MVSaude / Relatórios / Personalizados (R_PERSON_MVSAUDE)</v>
      </c>
    </row>
    <row r="7625" spans="1:7" x14ac:dyDescent="0.3">
      <c r="A7625" s="1" t="s">
        <v>4</v>
      </c>
      <c r="B7625" s="2" t="str">
        <f t="shared" si="621"/>
        <v>MVSAUDE</v>
      </c>
      <c r="C7625" s="2" t="str">
        <f t="shared" si="622"/>
        <v>PLANO</v>
      </c>
      <c r="D7625" s="2" t="str">
        <f t="shared" si="623"/>
        <v>MVS</v>
      </c>
      <c r="E7625" s="2" t="str">
        <f>"SINISTRALIDADE POR CONTRATO"</f>
        <v>SINISTRALIDADE POR CONTRATO</v>
      </c>
      <c r="F7625" s="2" t="str">
        <f>"R_SINISTRA_CONTRATO"</f>
        <v>R_SINISTRA_CONTRATO</v>
      </c>
      <c r="G7625" s="2" t="str">
        <f>"MVSaude / Relatórios / Gerenciais / Sinistralidade / Por Contrato (R_SINISTRA_CONTRATO)"</f>
        <v>MVSaude / Relatórios / Gerenciais / Sinistralidade / Por Contrato (R_SINISTRA_CONTRATO)</v>
      </c>
    </row>
    <row r="7626" spans="1:7" x14ac:dyDescent="0.3">
      <c r="A7626" s="1" t="s">
        <v>4</v>
      </c>
      <c r="B7626" s="2" t="str">
        <f t="shared" si="621"/>
        <v>MVSAUDE</v>
      </c>
      <c r="C7626" s="2" t="str">
        <f t="shared" si="622"/>
        <v>PLANO</v>
      </c>
      <c r="D7626" s="2" t="str">
        <f t="shared" si="623"/>
        <v>MVS</v>
      </c>
      <c r="E7626" s="2" t="str">
        <f>"RECEITAS CANCELADAS POR PERÍODO"</f>
        <v>RECEITAS CANCELADAS POR PERÍODO</v>
      </c>
      <c r="F7626" s="2" t="str">
        <f>"R_REC_CANC_PERIODO"</f>
        <v>R_REC_CANC_PERIODO</v>
      </c>
      <c r="G7626" s="2" t="str">
        <f>"MVSaude / Relatórios / Contabilidade / Receitas Canceladas no Período (R_REC_CANC_PERIODO)"</f>
        <v>MVSaude / Relatórios / Contabilidade / Receitas Canceladas no Período (R_REC_CANC_PERIODO)</v>
      </c>
    </row>
    <row r="7627" spans="1:7" x14ac:dyDescent="0.3">
      <c r="A7627" s="1" t="s">
        <v>4</v>
      </c>
      <c r="B7627" s="2" t="str">
        <f t="shared" si="621"/>
        <v>MVSAUDE</v>
      </c>
      <c r="C7627" s="2" t="str">
        <f t="shared" si="622"/>
        <v>PLANO</v>
      </c>
      <c r="D7627" s="2" t="str">
        <f t="shared" si="623"/>
        <v>MVS</v>
      </c>
      <c r="E7627" s="2" t="str">
        <f>"RELATÓRIO DA RDC 85 - ANEXO I"</f>
        <v>RELATÓRIO DA RDC 85 - ANEXO I</v>
      </c>
      <c r="F7627" s="2" t="str">
        <f>"R_RDC85_ANEXO_I"</f>
        <v>R_RDC85_ANEXO_I</v>
      </c>
      <c r="G7627" s="2" t="str">
        <f t="shared" ref="G7627:G7640" si="624">" ()"</f>
        <v xml:space="preserve"> ()</v>
      </c>
    </row>
    <row r="7628" spans="1:7" x14ac:dyDescent="0.3">
      <c r="A7628" s="1" t="s">
        <v>4</v>
      </c>
      <c r="B7628" s="2" t="str">
        <f t="shared" si="621"/>
        <v>MVSAUDE</v>
      </c>
      <c r="C7628" s="2" t="str">
        <f t="shared" si="622"/>
        <v>PLANO</v>
      </c>
      <c r="D7628" s="2" t="str">
        <f t="shared" si="623"/>
        <v>MVS</v>
      </c>
      <c r="E7628" s="2" t="str">
        <f>"R_RDC28_ANEXO_2B"</f>
        <v>R_RDC28_ANEXO_2B</v>
      </c>
      <c r="F7628" s="2" t="str">
        <f>"R_RDC28_ANEXO_2B"</f>
        <v>R_RDC28_ANEXO_2B</v>
      </c>
      <c r="G7628" s="2" t="str">
        <f t="shared" si="624"/>
        <v xml:space="preserve"> ()</v>
      </c>
    </row>
    <row r="7629" spans="1:7" x14ac:dyDescent="0.3">
      <c r="A7629" s="1" t="s">
        <v>4</v>
      </c>
      <c r="B7629" s="2" t="str">
        <f t="shared" si="621"/>
        <v>MVSAUDE</v>
      </c>
      <c r="C7629" s="2" t="str">
        <f t="shared" si="622"/>
        <v>PLANO</v>
      </c>
      <c r="D7629" s="2" t="str">
        <f t="shared" si="623"/>
        <v>MVS</v>
      </c>
      <c r="E7629" s="2" t="str">
        <f>"CONTA CORRENTE DO USUÁRIO"</f>
        <v>CONTA CORRENTE DO USUÁRIO</v>
      </c>
      <c r="F7629" s="2" t="str">
        <f>"M_CONTA_CORRENTE_USU"</f>
        <v>M_CONTA_CORRENTE_USU</v>
      </c>
      <c r="G7629" s="2" t="str">
        <f t="shared" si="624"/>
        <v xml:space="preserve"> ()</v>
      </c>
    </row>
    <row r="7630" spans="1:7" x14ac:dyDescent="0.3">
      <c r="A7630" s="1" t="s">
        <v>4</v>
      </c>
      <c r="B7630" s="2" t="str">
        <f t="shared" si="621"/>
        <v>MVSAUDE</v>
      </c>
      <c r="C7630" s="2" t="str">
        <f t="shared" si="622"/>
        <v>PLANO</v>
      </c>
      <c r="D7630" s="2" t="str">
        <f t="shared" si="623"/>
        <v>MVS</v>
      </c>
      <c r="E7630" s="2" t="str">
        <f>"REL DE GASTOS DE EMPRESAS POR TP DE GUIA"</f>
        <v>REL DE GASTOS DE EMPRESAS POR TP DE GUIA</v>
      </c>
      <c r="F7630" s="2" t="str">
        <f>"R_GASTO_EMP"</f>
        <v>R_GASTO_EMP</v>
      </c>
      <c r="G7630" s="2" t="str">
        <f t="shared" si="624"/>
        <v xml:space="preserve"> ()</v>
      </c>
    </row>
    <row r="7631" spans="1:7" x14ac:dyDescent="0.3">
      <c r="A7631" s="1" t="s">
        <v>4</v>
      </c>
      <c r="B7631" s="2" t="str">
        <f t="shared" si="621"/>
        <v>MVSAUDE</v>
      </c>
      <c r="C7631" s="2" t="str">
        <f t="shared" si="622"/>
        <v>PLANO</v>
      </c>
      <c r="D7631" s="2" t="str">
        <f t="shared" si="623"/>
        <v>MVS</v>
      </c>
      <c r="E7631" s="2" t="str">
        <f>"DECLARAÇÃO DE SAÚDE"</f>
        <v>DECLARAÇÃO DE SAÚDE</v>
      </c>
      <c r="F7631" s="2" t="str">
        <f>"M_DECL_SAUDE"</f>
        <v>M_DECL_SAUDE</v>
      </c>
      <c r="G7631" s="2" t="str">
        <f t="shared" si="624"/>
        <v xml:space="preserve"> ()</v>
      </c>
    </row>
    <row r="7632" spans="1:7" x14ac:dyDescent="0.3">
      <c r="A7632" s="1" t="s">
        <v>4</v>
      </c>
      <c r="B7632" s="2" t="str">
        <f t="shared" si="621"/>
        <v>MVSAUDE</v>
      </c>
      <c r="C7632" s="2" t="str">
        <f t="shared" si="622"/>
        <v>PLANO</v>
      </c>
      <c r="D7632" s="2" t="str">
        <f t="shared" si="623"/>
        <v>MVS</v>
      </c>
      <c r="E7632" s="2" t="str">
        <f>"MENU DO MVSAUDE"</f>
        <v>MENU DO MVSAUDE</v>
      </c>
      <c r="F7632" s="2" t="str">
        <f>"MVSAUDE.MMB"</f>
        <v>MVSAUDE.MMB</v>
      </c>
      <c r="G7632" s="2" t="str">
        <f t="shared" si="624"/>
        <v xml:space="preserve"> ()</v>
      </c>
    </row>
    <row r="7633" spans="1:7" x14ac:dyDescent="0.3">
      <c r="A7633" s="1" t="s">
        <v>4</v>
      </c>
      <c r="B7633" s="2" t="str">
        <f t="shared" si="621"/>
        <v>MVSAUDE</v>
      </c>
      <c r="C7633" s="2" t="str">
        <f t="shared" si="622"/>
        <v>PLANO</v>
      </c>
      <c r="D7633" s="2" t="str">
        <f t="shared" si="623"/>
        <v>MVS</v>
      </c>
      <c r="E7633" s="2" t="str">
        <f>"FORMS PRINCIPAL DO MVSAUDE."</f>
        <v>FORMS PRINCIPAL DO MVSAUDE.</v>
      </c>
      <c r="F7633" s="2" t="str">
        <f>"MVSAUDE"</f>
        <v>MVSAUDE</v>
      </c>
      <c r="G7633" s="2" t="str">
        <f t="shared" si="624"/>
        <v xml:space="preserve"> ()</v>
      </c>
    </row>
    <row r="7634" spans="1:7" x14ac:dyDescent="0.3">
      <c r="A7634" s="1" t="s">
        <v>4</v>
      </c>
      <c r="B7634" s="2" t="str">
        <f t="shared" si="621"/>
        <v>MVSAUDE</v>
      </c>
      <c r="C7634" s="2" t="str">
        <f t="shared" si="622"/>
        <v>PLANO</v>
      </c>
      <c r="D7634" s="2" t="str">
        <f t="shared" si="623"/>
        <v>MVS</v>
      </c>
      <c r="E7634" s="2" t="str">
        <f>"REL. RDC 29 ANEXO III"</f>
        <v>REL. RDC 29 ANEXO III</v>
      </c>
      <c r="F7634" s="2" t="str">
        <f>"R_RDC29_A3"</f>
        <v>R_RDC29_A3</v>
      </c>
      <c r="G7634" s="2" t="str">
        <f t="shared" si="624"/>
        <v xml:space="preserve"> ()</v>
      </c>
    </row>
    <row r="7635" spans="1:7" x14ac:dyDescent="0.3">
      <c r="A7635" s="1" t="s">
        <v>4</v>
      </c>
      <c r="B7635" s="2" t="str">
        <f t="shared" si="621"/>
        <v>MVSAUDE</v>
      </c>
      <c r="C7635" s="2" t="str">
        <f t="shared" si="622"/>
        <v>PLANO</v>
      </c>
      <c r="D7635" s="2" t="str">
        <f t="shared" si="623"/>
        <v>MVS</v>
      </c>
      <c r="E7635" s="2" t="str">
        <f>"REL. RDC 29 ANEXO II"</f>
        <v>REL. RDC 29 ANEXO II</v>
      </c>
      <c r="F7635" s="2" t="str">
        <f>"R_RDC29_A2"</f>
        <v>R_RDC29_A2</v>
      </c>
      <c r="G7635" s="2" t="str">
        <f t="shared" si="624"/>
        <v xml:space="preserve"> ()</v>
      </c>
    </row>
    <row r="7636" spans="1:7" x14ac:dyDescent="0.3">
      <c r="A7636" s="1" t="s">
        <v>4</v>
      </c>
      <c r="B7636" s="2" t="str">
        <f t="shared" si="621"/>
        <v>MVSAUDE</v>
      </c>
      <c r="C7636" s="2" t="str">
        <f t="shared" si="622"/>
        <v>PLANO</v>
      </c>
      <c r="D7636" s="2" t="str">
        <f t="shared" si="623"/>
        <v>MVS</v>
      </c>
      <c r="E7636" s="2" t="str">
        <f>"REL. RDC 28 ANEXO II - B"</f>
        <v>REL. RDC 28 ANEXO II - B</v>
      </c>
      <c r="F7636" s="2" t="str">
        <f>"R_RDC28_ANEXO2B"</f>
        <v>R_RDC28_ANEXO2B</v>
      </c>
      <c r="G7636" s="2" t="str">
        <f t="shared" si="624"/>
        <v xml:space="preserve"> ()</v>
      </c>
    </row>
    <row r="7637" spans="1:7" x14ac:dyDescent="0.3">
      <c r="A7637" s="1" t="s">
        <v>4</v>
      </c>
      <c r="B7637" s="2" t="str">
        <f t="shared" si="621"/>
        <v>MVSAUDE</v>
      </c>
      <c r="C7637" s="2" t="str">
        <f t="shared" si="622"/>
        <v>PLANO</v>
      </c>
      <c r="D7637" s="2" t="str">
        <f t="shared" si="623"/>
        <v>MVS</v>
      </c>
      <c r="E7637" s="2" t="str">
        <f>"REL. RDC 28 ANEXO II - A"</f>
        <v>REL. RDC 28 ANEXO II - A</v>
      </c>
      <c r="F7637" s="2" t="str">
        <f>"R_RDC28_ANEXO2A"</f>
        <v>R_RDC28_ANEXO2A</v>
      </c>
      <c r="G7637" s="2" t="str">
        <f t="shared" si="624"/>
        <v xml:space="preserve"> ()</v>
      </c>
    </row>
    <row r="7638" spans="1:7" x14ac:dyDescent="0.3">
      <c r="A7638" s="1" t="s">
        <v>4</v>
      </c>
      <c r="B7638" s="2" t="str">
        <f t="shared" si="621"/>
        <v>MVSAUDE</v>
      </c>
      <c r="C7638" s="2" t="str">
        <f t="shared" si="622"/>
        <v>PLANO</v>
      </c>
      <c r="D7638" s="2" t="str">
        <f t="shared" si="623"/>
        <v>MVS</v>
      </c>
      <c r="E7638" s="2" t="str">
        <f>"EMISSÃO DA 2ª VAI DO BOLETO BANCÁRIO"</f>
        <v>EMISSÃO DA 2ª VAI DO BOLETO BANCÁRIO</v>
      </c>
      <c r="F7638" s="2" t="str">
        <f>"M_2VIA_BOLETO"</f>
        <v>M_2VIA_BOLETO</v>
      </c>
      <c r="G7638" s="2" t="str">
        <f t="shared" si="624"/>
        <v xml:space="preserve"> ()</v>
      </c>
    </row>
    <row r="7639" spans="1:7" x14ac:dyDescent="0.3">
      <c r="A7639" s="1" t="s">
        <v>4</v>
      </c>
      <c r="B7639" s="2" t="str">
        <f t="shared" si="621"/>
        <v>MVSAUDE</v>
      </c>
      <c r="C7639" s="2" t="str">
        <f t="shared" si="622"/>
        <v>PLANO</v>
      </c>
      <c r="D7639" s="2" t="str">
        <f t="shared" si="623"/>
        <v>MVS</v>
      </c>
      <c r="E7639" s="2" t="str">
        <f>"PACK_SGPS_REP_COMIS"</f>
        <v>PACK_SGPS_REP_COMIS</v>
      </c>
      <c r="F7639" s="2" t="str">
        <f>"PACK_SGPS_REP_COMIS"</f>
        <v>PACK_SGPS_REP_COMIS</v>
      </c>
      <c r="G7639" s="2" t="str">
        <f t="shared" si="624"/>
        <v xml:space="preserve"> ()</v>
      </c>
    </row>
    <row r="7640" spans="1:7" x14ac:dyDescent="0.3">
      <c r="A7640" s="1" t="s">
        <v>4</v>
      </c>
      <c r="B7640" s="2" t="str">
        <f t="shared" si="621"/>
        <v>MVSAUDE</v>
      </c>
      <c r="C7640" s="2" t="str">
        <f t="shared" si="622"/>
        <v>PLANO</v>
      </c>
      <c r="D7640" s="2" t="str">
        <f t="shared" si="623"/>
        <v>MVS</v>
      </c>
      <c r="E7640" s="2" t="str">
        <f>"MENSALIDADES AUXILIARES CONTÁBEIS"</f>
        <v>MENSALIDADES AUXILIARES CONTÁBEIS</v>
      </c>
      <c r="F7640" s="2" t="str">
        <f>"R_MENS_AUXILIARES_CONTABEIS"</f>
        <v>R_MENS_AUXILIARES_CONTABEIS</v>
      </c>
      <c r="G7640" s="2" t="str">
        <f t="shared" si="624"/>
        <v xml:space="preserve"> ()</v>
      </c>
    </row>
    <row r="7641" spans="1:7" x14ac:dyDescent="0.3">
      <c r="A7641" s="1" t="s">
        <v>4</v>
      </c>
      <c r="B7641" s="2" t="str">
        <f t="shared" si="621"/>
        <v>MVSAUDE</v>
      </c>
      <c r="C7641" s="2" t="str">
        <f t="shared" si="622"/>
        <v>PLANO</v>
      </c>
      <c r="D7641" s="2" t="str">
        <f t="shared" si="623"/>
        <v>MVS</v>
      </c>
      <c r="E7641" s="2" t="str">
        <f>"BRASINDICE - MVSAUDE"</f>
        <v>BRASINDICE - MVSAUDE</v>
      </c>
      <c r="F7641" s="2" t="str">
        <f>"O_BRASINDICE"</f>
        <v>O_BRASINDICE</v>
      </c>
      <c r="G7641" s="2" t="str">
        <f>"MVSaude / Configurações / Configuração Brasíndice (O_BRASINDICE)"</f>
        <v>MVSaude / Configurações / Configuração Brasíndice (O_BRASINDICE)</v>
      </c>
    </row>
    <row r="7642" spans="1:7" x14ac:dyDescent="0.3">
      <c r="A7642" s="1" t="s">
        <v>4</v>
      </c>
      <c r="B7642" s="2" t="str">
        <f t="shared" si="621"/>
        <v>MVSAUDE</v>
      </c>
      <c r="C7642" s="2" t="str">
        <f t="shared" si="622"/>
        <v>PLANO</v>
      </c>
      <c r="D7642" s="2" t="str">
        <f t="shared" si="623"/>
        <v>MVS</v>
      </c>
      <c r="E7642" s="2" t="str">
        <f>"TESTE"</f>
        <v>TESTE</v>
      </c>
      <c r="F7642" s="2" t="str">
        <f>"M_TESTE"</f>
        <v>M_TESTE</v>
      </c>
      <c r="G7642" s="2" t="str">
        <f t="shared" ref="G7642:G7649" si="625">" ()"</f>
        <v xml:space="preserve"> ()</v>
      </c>
    </row>
    <row r="7643" spans="1:7" x14ac:dyDescent="0.3">
      <c r="A7643" s="1" t="s">
        <v>4</v>
      </c>
      <c r="B7643" s="2" t="str">
        <f t="shared" si="621"/>
        <v>MVSAUDE</v>
      </c>
      <c r="C7643" s="2" t="str">
        <f t="shared" si="622"/>
        <v>PLANO</v>
      </c>
      <c r="D7643" s="2" t="str">
        <f t="shared" si="623"/>
        <v>MVS</v>
      </c>
      <c r="E7643" s="2" t="str">
        <f>"IMPRESSAO DE ETIQUERA PRESTADOR"</f>
        <v>IMPRESSAO DE ETIQUERA PRESTADOR</v>
      </c>
      <c r="F7643" s="2" t="str">
        <f>"R_ETIPRE"</f>
        <v>R_ETIPRE</v>
      </c>
      <c r="G7643" s="2" t="str">
        <f t="shared" si="625"/>
        <v xml:space="preserve"> ()</v>
      </c>
    </row>
    <row r="7644" spans="1:7" x14ac:dyDescent="0.3">
      <c r="A7644" s="1" t="s">
        <v>4</v>
      </c>
      <c r="B7644" s="2" t="str">
        <f t="shared" si="621"/>
        <v>MVSAUDE</v>
      </c>
      <c r="C7644" s="2" t="str">
        <f t="shared" si="622"/>
        <v>PLANO</v>
      </c>
      <c r="D7644" s="2" t="str">
        <f t="shared" si="623"/>
        <v>MVS</v>
      </c>
      <c r="E7644" s="2" t="str">
        <f>"IMP. DE ETQ DE PRESTADORES P/ FORM 3 COL"</f>
        <v>IMP. DE ETQ DE PRESTADORES P/ FORM 3 COL</v>
      </c>
      <c r="F7644" s="2" t="str">
        <f>"R_ETIQPREST3COL"</f>
        <v>R_ETIQPREST3COL</v>
      </c>
      <c r="G7644" s="2" t="str">
        <f t="shared" si="625"/>
        <v xml:space="preserve"> ()</v>
      </c>
    </row>
    <row r="7645" spans="1:7" x14ac:dyDescent="0.3">
      <c r="A7645" s="1" t="s">
        <v>4</v>
      </c>
      <c r="B7645" s="2" t="str">
        <f t="shared" si="621"/>
        <v>MVSAUDE</v>
      </c>
      <c r="C7645" s="2" t="str">
        <f t="shared" si="622"/>
        <v>PLANO</v>
      </c>
      <c r="D7645" s="2" t="str">
        <f t="shared" si="623"/>
        <v>MVS</v>
      </c>
      <c r="E7645" s="2" t="str">
        <f>"IMP. DE ETQ DE CONTRATO P/ FORM 3COLUNAS"</f>
        <v>IMP. DE ETQ DE CONTRATO P/ FORM 3COLUNAS</v>
      </c>
      <c r="F7645" s="2" t="str">
        <f>"R_ETIQUETA_CONTRATO_3COL"</f>
        <v>R_ETIQUETA_CONTRATO_3COL</v>
      </c>
      <c r="G7645" s="2" t="str">
        <f t="shared" si="625"/>
        <v xml:space="preserve"> ()</v>
      </c>
    </row>
    <row r="7646" spans="1:7" x14ac:dyDescent="0.3">
      <c r="A7646" s="1" t="s">
        <v>4</v>
      </c>
      <c r="B7646" s="2" t="str">
        <f t="shared" si="621"/>
        <v>MVSAUDE</v>
      </c>
      <c r="C7646" s="2" t="str">
        <f t="shared" si="622"/>
        <v>PLANO</v>
      </c>
      <c r="D7646" s="2" t="str">
        <f t="shared" si="623"/>
        <v>MVS</v>
      </c>
      <c r="E7646" s="2" t="str">
        <f>"IMPRESSAO DE LAYOUT DO BOLETO BANDEIRANT"</f>
        <v>IMPRESSAO DE LAYOUT DO BOLETO BANDEIRANT</v>
      </c>
      <c r="F7646" s="2" t="str">
        <f>"R_IMPBOL_BANDEIRANTES"</f>
        <v>R_IMPBOL_BANDEIRANTES</v>
      </c>
      <c r="G7646" s="2" t="str">
        <f t="shared" si="625"/>
        <v xml:space="preserve"> ()</v>
      </c>
    </row>
    <row r="7647" spans="1:7" x14ac:dyDescent="0.3">
      <c r="A7647" s="1" t="s">
        <v>4</v>
      </c>
      <c r="B7647" s="2" t="str">
        <f t="shared" si="621"/>
        <v>MVSAUDE</v>
      </c>
      <c r="C7647" s="2" t="str">
        <f t="shared" si="622"/>
        <v>PLANO</v>
      </c>
      <c r="D7647" s="2" t="str">
        <f t="shared" si="623"/>
        <v>MVS</v>
      </c>
      <c r="E7647" s="2" t="str">
        <f>"REIMPRESSAO DO LAYOUT DO BOLETO"</f>
        <v>REIMPRESSAO DO LAYOUT DO BOLETO</v>
      </c>
      <c r="F7647" s="2" t="str">
        <f>"R_REIMPBOL"</f>
        <v>R_REIMPBOL</v>
      </c>
      <c r="G7647" s="2" t="str">
        <f t="shared" si="625"/>
        <v xml:space="preserve"> ()</v>
      </c>
    </row>
    <row r="7648" spans="1:7" x14ac:dyDescent="0.3">
      <c r="A7648" s="1" t="s">
        <v>4</v>
      </c>
      <c r="B7648" s="2" t="str">
        <f t="shared" si="621"/>
        <v>MVSAUDE</v>
      </c>
      <c r="C7648" s="2" t="str">
        <f t="shared" si="622"/>
        <v>PLANO</v>
      </c>
      <c r="D7648" s="2" t="str">
        <f t="shared" si="623"/>
        <v>MVS</v>
      </c>
      <c r="E7648" s="2" t="str">
        <f>"IMP. DE ETQ DE USUARIO P/ FORM 3 COLUNAS"</f>
        <v>IMP. DE ETQ DE USUARIO P/ FORM 3 COLUNAS</v>
      </c>
      <c r="F7648" s="2" t="str">
        <f>"R_ETIQUSU3COL"</f>
        <v>R_ETIQUSU3COL</v>
      </c>
      <c r="G7648" s="2" t="str">
        <f t="shared" si="625"/>
        <v xml:space="preserve"> ()</v>
      </c>
    </row>
    <row r="7649" spans="1:7" x14ac:dyDescent="0.3">
      <c r="A7649" s="1" t="s">
        <v>4</v>
      </c>
      <c r="B7649" s="2" t="str">
        <f t="shared" si="621"/>
        <v>MVSAUDE</v>
      </c>
      <c r="C7649" s="2" t="str">
        <f t="shared" si="622"/>
        <v>PLANO</v>
      </c>
      <c r="D7649" s="2" t="str">
        <f t="shared" si="623"/>
        <v>MVS</v>
      </c>
      <c r="E7649" s="2" t="str">
        <f>"IMPRESSAO DE GUIA DE CONSULTA"</f>
        <v>IMPRESSAO DE GUIA DE CONSULTA</v>
      </c>
      <c r="F7649" s="2" t="str">
        <f>"R_GUIA_CONSULTA_SOROCABA_PA"</f>
        <v>R_GUIA_CONSULTA_SOROCABA_PA</v>
      </c>
      <c r="G7649" s="2" t="str">
        <f t="shared" si="625"/>
        <v xml:space="preserve"> ()</v>
      </c>
    </row>
    <row r="7650" spans="1:7" x14ac:dyDescent="0.3">
      <c r="A7650" s="1" t="s">
        <v>4</v>
      </c>
      <c r="B7650" s="2" t="str">
        <f t="shared" si="621"/>
        <v>MVSAUDE</v>
      </c>
      <c r="C7650" s="2" t="str">
        <f t="shared" si="622"/>
        <v>PLANO</v>
      </c>
      <c r="D7650" s="2" t="str">
        <f t="shared" si="623"/>
        <v>MVS</v>
      </c>
      <c r="E7650" s="2" t="str">
        <f>"CONSULTA DE USUARIOS POR CONTRATO"</f>
        <v>CONSULTA DE USUARIOS POR CONTRATO</v>
      </c>
      <c r="F7650" s="2" t="str">
        <f>"C_USUCON"</f>
        <v>C_USUCON</v>
      </c>
      <c r="G7650" s="2" t="str">
        <f>"MVSaude / Vendas / Internação / Consultas / Usuários do Plano (C_USUCON)"</f>
        <v>MVSaude / Vendas / Internação / Consultas / Usuários do Plano (C_USUCON)</v>
      </c>
    </row>
    <row r="7651" spans="1:7" x14ac:dyDescent="0.3">
      <c r="A7651" s="1" t="s">
        <v>4</v>
      </c>
      <c r="B7651" s="2" t="str">
        <f t="shared" si="621"/>
        <v>MVSAUDE</v>
      </c>
      <c r="C7651" s="2" t="str">
        <f t="shared" si="622"/>
        <v>PLANO</v>
      </c>
      <c r="D7651" s="2" t="str">
        <f t="shared" si="623"/>
        <v>MVS</v>
      </c>
      <c r="E7651" s="2" t="str">
        <f>"CONSULTA DE USUARIOS POR CONTRATO"</f>
        <v>CONSULTA DE USUARIOS POR CONTRATO</v>
      </c>
      <c r="F7651" s="2" t="str">
        <f>"C_USUCON"</f>
        <v>C_USUCON</v>
      </c>
      <c r="G7651" s="2" t="str">
        <f>"MVSaude / Atendimento / Autorizações de Guias / Internação / Consultas / Usuários do Plano (C_USUCON)"</f>
        <v>MVSaude / Atendimento / Autorizações de Guias / Internação / Consultas / Usuários do Plano (C_USUCON)</v>
      </c>
    </row>
    <row r="7652" spans="1:7" x14ac:dyDescent="0.3">
      <c r="A7652" s="1" t="s">
        <v>4</v>
      </c>
      <c r="B7652" s="2" t="str">
        <f t="shared" si="621"/>
        <v>MVSAUDE</v>
      </c>
      <c r="C7652" s="2" t="str">
        <f t="shared" si="622"/>
        <v>PLANO</v>
      </c>
      <c r="D7652" s="2" t="str">
        <f t="shared" si="623"/>
        <v>MVS</v>
      </c>
      <c r="E7652" s="2" t="str">
        <f>"CONSULTA DE USUARIOS POR CONTRATO"</f>
        <v>CONSULTA DE USUARIOS POR CONTRATO</v>
      </c>
      <c r="F7652" s="2" t="str">
        <f>"C_USUCON"</f>
        <v>C_USUCON</v>
      </c>
      <c r="G7652" s="2" t="str">
        <f>"MVSaude / Consultas / Usuários do plano (C_USUCON)"</f>
        <v>MVSaude / Consultas / Usuários do plano (C_USUCON)</v>
      </c>
    </row>
    <row r="7653" spans="1:7" x14ac:dyDescent="0.3">
      <c r="A7653" s="1" t="s">
        <v>4</v>
      </c>
      <c r="B7653" s="2" t="str">
        <f t="shared" si="621"/>
        <v>MVSAUDE</v>
      </c>
      <c r="C7653" s="2" t="str">
        <f t="shared" si="622"/>
        <v>PLANO</v>
      </c>
      <c r="D7653" s="2" t="str">
        <f t="shared" si="623"/>
        <v>MVS</v>
      </c>
      <c r="E7653" s="2" t="str">
        <f>"CONSULTA DE USUARIOS POR CONTRATO"</f>
        <v>CONSULTA DE USUARIOS POR CONTRATO</v>
      </c>
      <c r="F7653" s="2" t="str">
        <f>"C_USUCON"</f>
        <v>C_USUCON</v>
      </c>
      <c r="G7653" s="2" t="str">
        <f>"MVSaude / Consultas / Situação da Mensalidade do Contrato por Usuario (C_USUCON)"</f>
        <v>MVSaude / Consultas / Situação da Mensalidade do Contrato por Usuario (C_USUCON)</v>
      </c>
    </row>
    <row r="7654" spans="1:7" x14ac:dyDescent="0.3">
      <c r="A7654" s="1" t="s">
        <v>4</v>
      </c>
      <c r="B7654" s="2" t="str">
        <f t="shared" si="621"/>
        <v>MVSAUDE</v>
      </c>
      <c r="C7654" s="2" t="str">
        <f t="shared" si="622"/>
        <v>PLANO</v>
      </c>
      <c r="D7654" s="2" t="str">
        <f t="shared" si="623"/>
        <v>MVS</v>
      </c>
      <c r="E7654" s="2" t="str">
        <f>"NUMERO DE VIDAS POR TIPO DE CONTRATO"</f>
        <v>NUMERO DE VIDAS POR TIPO DE CONTRATO</v>
      </c>
      <c r="F7654" s="2" t="str">
        <f>"R_NUM_VIDAS_TIPO_CONTRATO"</f>
        <v>R_NUM_VIDAS_TIPO_CONTRATO</v>
      </c>
      <c r="G7654" s="2" t="str">
        <f t="shared" ref="G7654:G7660" si="626">" ()"</f>
        <v xml:space="preserve"> ()</v>
      </c>
    </row>
    <row r="7655" spans="1:7" x14ac:dyDescent="0.3">
      <c r="A7655" s="1" t="s">
        <v>4</v>
      </c>
      <c r="B7655" s="2" t="str">
        <f t="shared" si="621"/>
        <v>MVSAUDE</v>
      </c>
      <c r="C7655" s="2" t="str">
        <f t="shared" si="622"/>
        <v>PLANO</v>
      </c>
      <c r="D7655" s="2" t="str">
        <f t="shared" si="623"/>
        <v>MVS</v>
      </c>
      <c r="E7655" s="2" t="str">
        <f>"RELATÓRIO DE QUESTIONARIO"</f>
        <v>RELATÓRIO DE QUESTIONARIO</v>
      </c>
      <c r="F7655" s="2" t="str">
        <f>"R_QUESTIONARIO"</f>
        <v>R_QUESTIONARIO</v>
      </c>
      <c r="G7655" s="2" t="str">
        <f t="shared" si="626"/>
        <v xml:space="preserve"> ()</v>
      </c>
    </row>
    <row r="7656" spans="1:7" x14ac:dyDescent="0.3">
      <c r="A7656" s="1" t="s">
        <v>4</v>
      </c>
      <c r="B7656" s="2" t="str">
        <f t="shared" si="621"/>
        <v>MVSAUDE</v>
      </c>
      <c r="C7656" s="2" t="str">
        <f t="shared" si="622"/>
        <v>PLANO</v>
      </c>
      <c r="D7656" s="2" t="str">
        <f t="shared" si="623"/>
        <v>MVS</v>
      </c>
      <c r="E7656" s="2" t="str">
        <f>"P_PROC_USUARIO"</f>
        <v>P_PROC_USUARIO</v>
      </c>
      <c r="F7656" s="2" t="str">
        <f>"P_PROC_USUARIO"</f>
        <v>P_PROC_USUARIO</v>
      </c>
      <c r="G7656" s="2" t="str">
        <f t="shared" si="626"/>
        <v xml:space="preserve"> ()</v>
      </c>
    </row>
    <row r="7657" spans="1:7" x14ac:dyDescent="0.3">
      <c r="A7657" s="1" t="s">
        <v>4</v>
      </c>
      <c r="B7657" s="2" t="str">
        <f t="shared" si="621"/>
        <v>MVSAUDE</v>
      </c>
      <c r="C7657" s="2" t="str">
        <f t="shared" si="622"/>
        <v>PLANO</v>
      </c>
      <c r="D7657" s="2" t="str">
        <f t="shared" si="623"/>
        <v>MVS</v>
      </c>
      <c r="E7657" s="2" t="str">
        <f>"ENCAMINHAMENTO CIRURGIA SAMEL"</f>
        <v>ENCAMINHAMENTO CIRURGIA SAMEL</v>
      </c>
      <c r="F7657" s="2" t="str">
        <f>"R_GUIA_CIRURGIA_SAMEL"</f>
        <v>R_GUIA_CIRURGIA_SAMEL</v>
      </c>
      <c r="G7657" s="2" t="str">
        <f t="shared" si="626"/>
        <v xml:space="preserve"> ()</v>
      </c>
    </row>
    <row r="7658" spans="1:7" x14ac:dyDescent="0.3">
      <c r="A7658" s="1" t="s">
        <v>4</v>
      </c>
      <c r="B7658" s="2" t="str">
        <f t="shared" si="621"/>
        <v>MVSAUDE</v>
      </c>
      <c r="C7658" s="2" t="str">
        <f t="shared" si="622"/>
        <v>PLANO</v>
      </c>
      <c r="D7658" s="2" t="str">
        <f t="shared" si="623"/>
        <v>MVS</v>
      </c>
      <c r="E7658" s="2" t="str">
        <f>"R_GUIA_CONSULTA_SAMEL"</f>
        <v>R_GUIA_CONSULTA_SAMEL</v>
      </c>
      <c r="F7658" s="2" t="str">
        <f>"R_GUIA_CONSULTA_SAMEL"</f>
        <v>R_GUIA_CONSULTA_SAMEL</v>
      </c>
      <c r="G7658" s="2" t="str">
        <f t="shared" si="626"/>
        <v xml:space="preserve"> ()</v>
      </c>
    </row>
    <row r="7659" spans="1:7" x14ac:dyDescent="0.3">
      <c r="A7659" s="1" t="s">
        <v>4</v>
      </c>
      <c r="B7659" s="2" t="str">
        <f t="shared" si="621"/>
        <v>MVSAUDE</v>
      </c>
      <c r="C7659" s="2" t="str">
        <f t="shared" si="622"/>
        <v>PLANO</v>
      </c>
      <c r="D7659" s="2" t="str">
        <f t="shared" si="623"/>
        <v>MVS</v>
      </c>
      <c r="E7659" s="2" t="str">
        <f>"R_VIDAS_CIDADES"</f>
        <v>R_VIDAS_CIDADES</v>
      </c>
      <c r="F7659" s="2" t="str">
        <f>"R_VIDAS_CIDADES"</f>
        <v>R_VIDAS_CIDADES</v>
      </c>
      <c r="G7659" s="2" t="str">
        <f t="shared" si="626"/>
        <v xml:space="preserve"> ()</v>
      </c>
    </row>
    <row r="7660" spans="1:7" x14ac:dyDescent="0.3">
      <c r="A7660" s="1" t="s">
        <v>4</v>
      </c>
      <c r="B7660" s="2" t="str">
        <f t="shared" si="621"/>
        <v>MVSAUDE</v>
      </c>
      <c r="C7660" s="2" t="str">
        <f t="shared" si="622"/>
        <v>PLANO</v>
      </c>
      <c r="D7660" s="2" t="str">
        <f t="shared" si="623"/>
        <v>MVS</v>
      </c>
      <c r="E7660" s="2" t="str">
        <f>"R_GUIA_PROCED_SAMEL"</f>
        <v>R_GUIA_PROCED_SAMEL</v>
      </c>
      <c r="F7660" s="2" t="str">
        <f>"R_GUIA_PROCED_SAMEL"</f>
        <v>R_GUIA_PROCED_SAMEL</v>
      </c>
      <c r="G7660" s="2" t="str">
        <f t="shared" si="626"/>
        <v xml:space="preserve"> ()</v>
      </c>
    </row>
    <row r="7661" spans="1:7" x14ac:dyDescent="0.3">
      <c r="A7661" s="1" t="s">
        <v>4</v>
      </c>
      <c r="B7661" s="2" t="str">
        <f t="shared" si="621"/>
        <v>MVSAUDE</v>
      </c>
      <c r="C7661" s="2" t="str">
        <f t="shared" si="622"/>
        <v>PLANO</v>
      </c>
      <c r="D7661" s="2" t="str">
        <f t="shared" si="623"/>
        <v>MVS</v>
      </c>
      <c r="E7661" s="2" t="str">
        <f>"CADASTRO: REMESSA DE PRESTADORES"</f>
        <v>CADASTRO: REMESSA DE PRESTADORES</v>
      </c>
      <c r="F7661" s="2" t="str">
        <f>"M_EXAMES_MANUAL"</f>
        <v>M_EXAMES_MANUAL</v>
      </c>
      <c r="G7661" s="2" t="str">
        <f>"MVSaude / Contas Médicas / Procedimentos / Exames (M_EXAMES_MANUAL)"</f>
        <v>MVSaude / Contas Médicas / Procedimentos / Exames (M_EXAMES_MANUAL)</v>
      </c>
    </row>
    <row r="7662" spans="1:7" x14ac:dyDescent="0.3">
      <c r="A7662" s="1" t="s">
        <v>4</v>
      </c>
      <c r="B7662" s="2" t="str">
        <f t="shared" si="621"/>
        <v>MVSAUDE</v>
      </c>
      <c r="C7662" s="2" t="str">
        <f t="shared" si="622"/>
        <v>PLANO</v>
      </c>
      <c r="D7662" s="2" t="str">
        <f t="shared" si="623"/>
        <v>MVS</v>
      </c>
      <c r="E7662" s="2" t="str">
        <f>"CONSULTA: CONTRATO POR USUÁRIO"</f>
        <v>CONSULTA: CONTRATO POR USUÁRIO</v>
      </c>
      <c r="F7662" s="2" t="str">
        <f>"M_GRUPO_FRANQUIA"</f>
        <v>M_GRUPO_FRANQUIA</v>
      </c>
      <c r="G7662" s="2" t="str">
        <f>"MVSaude / Consultas / Grupos de Coparticipação / Custo Operacional (M_GRUPO_FRANQUIA)"</f>
        <v>MVSaude / Consultas / Grupos de Coparticipação / Custo Operacional (M_GRUPO_FRANQUIA)</v>
      </c>
    </row>
    <row r="7663" spans="1:7" x14ac:dyDescent="0.3">
      <c r="A7663" s="1" t="s">
        <v>4</v>
      </c>
      <c r="B7663" s="2" t="str">
        <f t="shared" si="621"/>
        <v>MVSAUDE</v>
      </c>
      <c r="C7663" s="2" t="str">
        <f t="shared" si="622"/>
        <v>PLANO</v>
      </c>
      <c r="D7663" s="2" t="str">
        <f t="shared" si="623"/>
        <v>MVS</v>
      </c>
      <c r="E7663" s="2" t="str">
        <f>"CONSULTA: CONTRATO POR USUÁRIO"</f>
        <v>CONSULTA: CONTRATO POR USUÁRIO</v>
      </c>
      <c r="F7663" s="2" t="str">
        <f>"M_GRUPO_FRANQUIA"</f>
        <v>M_GRUPO_FRANQUIA</v>
      </c>
      <c r="G7663" s="2" t="str">
        <f>"MVSaude / Cadastros / Grupos de Coparticipação / Custo Operacional (M_GRUPO_FRANQUIA)"</f>
        <v>MVSaude / Cadastros / Grupos de Coparticipação / Custo Operacional (M_GRUPO_FRANQUIA)</v>
      </c>
    </row>
    <row r="7664" spans="1:7" x14ac:dyDescent="0.3">
      <c r="A7664" s="1" t="s">
        <v>4</v>
      </c>
      <c r="B7664" s="2" t="str">
        <f t="shared" si="621"/>
        <v>MVSAUDE</v>
      </c>
      <c r="C7664" s="2" t="str">
        <f t="shared" si="622"/>
        <v>PLANO</v>
      </c>
      <c r="D7664" s="2" t="str">
        <f t="shared" si="623"/>
        <v>MVS</v>
      </c>
      <c r="E7664" s="2" t="str">
        <f>"IMPRESSAO DE GUIA DE EXAME"</f>
        <v>IMPRESSAO DE GUIA DE EXAME</v>
      </c>
      <c r="F7664" s="2" t="str">
        <f>"R_GUIA_EXAME_SOROCABA_PA"</f>
        <v>R_GUIA_EXAME_SOROCABA_PA</v>
      </c>
      <c r="G7664" s="2" t="str">
        <f>" ()"</f>
        <v xml:space="preserve"> ()</v>
      </c>
    </row>
    <row r="7665" spans="1:7" x14ac:dyDescent="0.3">
      <c r="A7665" s="1" t="s">
        <v>4</v>
      </c>
      <c r="B7665" s="2" t="str">
        <f t="shared" si="621"/>
        <v>MVSAUDE</v>
      </c>
      <c r="C7665" s="2" t="str">
        <f t="shared" si="622"/>
        <v>PLANO</v>
      </c>
      <c r="D7665" s="2" t="str">
        <f t="shared" si="623"/>
        <v>MVS</v>
      </c>
      <c r="E7665" s="2" t="str">
        <f>"RELATORIO DE IMPRESSÃO DA DECL  DE SAÚDE"</f>
        <v>RELATORIO DE IMPRESSÃO DA DECL  DE SAÚDE</v>
      </c>
      <c r="F7665" s="2" t="str">
        <f>"R_DECL_SAUDE"</f>
        <v>R_DECL_SAUDE</v>
      </c>
      <c r="G7665" s="2" t="str">
        <f>" ()"</f>
        <v xml:space="preserve"> ()</v>
      </c>
    </row>
    <row r="7666" spans="1:7" x14ac:dyDescent="0.3">
      <c r="A7666" s="1" t="s">
        <v>4</v>
      </c>
      <c r="B7666" s="2" t="str">
        <f t="shared" si="621"/>
        <v>MVSAUDE</v>
      </c>
      <c r="C7666" s="2" t="str">
        <f t="shared" si="622"/>
        <v>PLANO</v>
      </c>
      <c r="D7666" s="2" t="str">
        <f t="shared" si="623"/>
        <v>MVS</v>
      </c>
      <c r="E7666" s="2" t="str">
        <f>"CARTEIRAS VENCIDAS"</f>
        <v>CARTEIRAS VENCIDAS</v>
      </c>
      <c r="F7666" s="2" t="str">
        <f>"R_CARTEIRA_VENCIDA"</f>
        <v>R_CARTEIRA_VENCIDA</v>
      </c>
      <c r="G7666" s="2" t="str">
        <f>"MVSaude / Relatórios / Cadastros / Carteiras Vencidas e a Vencer (R_CARTEIRA_VENCIDA)"</f>
        <v>MVSaude / Relatórios / Cadastros / Carteiras Vencidas e a Vencer (R_CARTEIRA_VENCIDA)</v>
      </c>
    </row>
    <row r="7667" spans="1:7" x14ac:dyDescent="0.3">
      <c r="A7667" s="1" t="s">
        <v>4</v>
      </c>
      <c r="B7667" s="2" t="str">
        <f t="shared" si="621"/>
        <v>MVSAUDE</v>
      </c>
      <c r="C7667" s="2" t="str">
        <f t="shared" si="622"/>
        <v>PLANO</v>
      </c>
      <c r="D7667" s="2" t="str">
        <f t="shared" si="623"/>
        <v>MVS</v>
      </c>
      <c r="E7667" s="2" t="str">
        <f>"RELATORIO DE CARTEIRAS VENC SEM QUEBRA"</f>
        <v>RELATORIO DE CARTEIRAS VENC SEM QUEBRA</v>
      </c>
      <c r="F7667" s="2" t="str">
        <f>"R_CARTEIRA_VENCIDA_SQ"</f>
        <v>R_CARTEIRA_VENCIDA_SQ</v>
      </c>
      <c r="G7667" s="2" t="str">
        <f>" ()"</f>
        <v xml:space="preserve"> ()</v>
      </c>
    </row>
    <row r="7668" spans="1:7" x14ac:dyDescent="0.3">
      <c r="A7668" s="1" t="s">
        <v>4</v>
      </c>
      <c r="B7668" s="2" t="str">
        <f t="shared" si="621"/>
        <v>MVSAUDE</v>
      </c>
      <c r="C7668" s="2" t="str">
        <f t="shared" si="622"/>
        <v>PLANO</v>
      </c>
      <c r="D7668" s="2" t="str">
        <f t="shared" si="623"/>
        <v>MVS</v>
      </c>
      <c r="E7668" s="2" t="str">
        <f>"CONSULTA DE CEP"</f>
        <v>CONSULTA DE CEP</v>
      </c>
      <c r="F7668" s="2" t="str">
        <f>"M_CEP"</f>
        <v>M_CEP</v>
      </c>
      <c r="G7668" s="2" t="str">
        <f>" ()"</f>
        <v xml:space="preserve"> ()</v>
      </c>
    </row>
    <row r="7669" spans="1:7" x14ac:dyDescent="0.3">
      <c r="A7669" s="1" t="s">
        <v>4</v>
      </c>
      <c r="B7669" s="2" t="str">
        <f t="shared" si="621"/>
        <v>MVSAUDE</v>
      </c>
      <c r="C7669" s="2" t="str">
        <f t="shared" si="622"/>
        <v>PLANO</v>
      </c>
      <c r="D7669" s="2" t="str">
        <f t="shared" si="623"/>
        <v>MVS</v>
      </c>
      <c r="E7669" s="2" t="str">
        <f>"ATUALIZAÇAO DAS LOCALIDADES"</f>
        <v>ATUALIZAÇAO DAS LOCALIDADES</v>
      </c>
      <c r="F7669" s="2" t="str">
        <f>"M_ATUALIZA_LOC"</f>
        <v>M_ATUALIZA_LOC</v>
      </c>
      <c r="G7669" s="2" t="str">
        <f>" ()"</f>
        <v xml:space="preserve"> ()</v>
      </c>
    </row>
    <row r="7670" spans="1:7" x14ac:dyDescent="0.3">
      <c r="A7670" s="1" t="s">
        <v>4</v>
      </c>
      <c r="B7670" s="2" t="str">
        <f t="shared" si="621"/>
        <v>MVSAUDE</v>
      </c>
      <c r="C7670" s="2" t="str">
        <f t="shared" si="622"/>
        <v>PLANO</v>
      </c>
      <c r="D7670" s="2" t="str">
        <f t="shared" si="623"/>
        <v>MVS</v>
      </c>
      <c r="E7670" s="2" t="str">
        <f>"ETIQUETAS DE ANIVERSARIANTES"</f>
        <v>ETIQUETAS DE ANIVERSARIANTES</v>
      </c>
      <c r="F7670" s="2" t="str">
        <f>"R_ETQ_ANIVERSARIO"</f>
        <v>R_ETQ_ANIVERSARIO</v>
      </c>
      <c r="G7670" s="2" t="str">
        <f>"MVSaude / Relatórios / Cadastros / Etiquetas para Beneficiarios Aniversariantes (R_ETQ_ANIVERSARIO)"</f>
        <v>MVSaude / Relatórios / Cadastros / Etiquetas para Beneficiarios Aniversariantes (R_ETQ_ANIVERSARIO)</v>
      </c>
    </row>
    <row r="7671" spans="1:7" x14ac:dyDescent="0.3">
      <c r="A7671" s="1" t="s">
        <v>4</v>
      </c>
      <c r="B7671" s="2" t="str">
        <f t="shared" si="621"/>
        <v>MVSAUDE</v>
      </c>
      <c r="C7671" s="2" t="str">
        <f t="shared" si="622"/>
        <v>PLANO</v>
      </c>
      <c r="D7671" s="2" t="str">
        <f t="shared" si="623"/>
        <v>MVS</v>
      </c>
      <c r="E7671" s="2" t="str">
        <f>"CADASTRO DE QUESTIONARIO"</f>
        <v>CADASTRO DE QUESTIONARIO</v>
      </c>
      <c r="F7671" s="2" t="str">
        <f>"M_QUESTIONARIO"</f>
        <v>M_QUESTIONARIO</v>
      </c>
      <c r="G7671" s="2" t="str">
        <f>"MVSaude / Configurações / Questionário (M_QUESTIONARIO)"</f>
        <v>MVSaude / Configurações / Questionário (M_QUESTIONARIO)</v>
      </c>
    </row>
    <row r="7672" spans="1:7" x14ac:dyDescent="0.3">
      <c r="A7672" s="1" t="s">
        <v>4</v>
      </c>
      <c r="B7672" s="2" t="str">
        <f t="shared" si="621"/>
        <v>MVSAUDE</v>
      </c>
      <c r="C7672" s="2" t="str">
        <f t="shared" si="622"/>
        <v>PLANO</v>
      </c>
      <c r="D7672" s="2" t="str">
        <f t="shared" si="623"/>
        <v>MVS</v>
      </c>
      <c r="E7672" s="2" t="str">
        <f>"CADASTRO DE PERGUNTAS E RESPOSTAS"</f>
        <v>CADASTRO DE PERGUNTAS E RESPOSTAS</v>
      </c>
      <c r="F7672" s="2" t="str">
        <f>"M_PERGUNTAS_RESPOSTAS"</f>
        <v>M_PERGUNTAS_RESPOSTAS</v>
      </c>
      <c r="G7672" s="2" t="str">
        <f>"MVSaude / Configurações / Perguntas (M_PERGUNTAS_RESPOSTAS)"</f>
        <v>MVSaude / Configurações / Perguntas (M_PERGUNTAS_RESPOSTAS)</v>
      </c>
    </row>
    <row r="7673" spans="1:7" x14ac:dyDescent="0.3">
      <c r="A7673" s="1" t="s">
        <v>4</v>
      </c>
      <c r="B7673" s="2" t="str">
        <f t="shared" si="621"/>
        <v>MVSAUDE</v>
      </c>
      <c r="C7673" s="2" t="str">
        <f t="shared" si="622"/>
        <v>PLANO</v>
      </c>
      <c r="D7673" s="2" t="str">
        <f t="shared" si="623"/>
        <v>MVS</v>
      </c>
      <c r="E7673" s="2" t="str">
        <f>"RELATORIO ALTERNATIVO A RDC 28"</f>
        <v>RELATORIO ALTERNATIVO A RDC 28</v>
      </c>
      <c r="F7673" s="2" t="str">
        <f>"R_NTPR2_AMBULATORIAL"</f>
        <v>R_NTPR2_AMBULATORIAL</v>
      </c>
      <c r="G7673" s="2" t="str">
        <f>" ()"</f>
        <v xml:space="preserve"> ()</v>
      </c>
    </row>
    <row r="7674" spans="1:7" x14ac:dyDescent="0.3">
      <c r="A7674" s="1" t="s">
        <v>4</v>
      </c>
      <c r="B7674" s="2" t="str">
        <f t="shared" si="621"/>
        <v>MVSAUDE</v>
      </c>
      <c r="C7674" s="2" t="str">
        <f t="shared" si="622"/>
        <v>PLANO</v>
      </c>
      <c r="D7674" s="2" t="str">
        <f t="shared" si="623"/>
        <v>MVS</v>
      </c>
      <c r="E7674" s="2" t="str">
        <f>"RELATÓRIO ALTERNATIVO A RDC 28"</f>
        <v>RELATÓRIO ALTERNATIVO A RDC 28</v>
      </c>
      <c r="F7674" s="2" t="str">
        <f>"R_NTPR2_INTERNACAO"</f>
        <v>R_NTPR2_INTERNACAO</v>
      </c>
      <c r="G7674" s="2" t="str">
        <f>" ()"</f>
        <v xml:space="preserve"> ()</v>
      </c>
    </row>
    <row r="7675" spans="1:7" x14ac:dyDescent="0.3">
      <c r="A7675" s="1" t="s">
        <v>4</v>
      </c>
      <c r="B7675" s="2" t="str">
        <f t="shared" si="621"/>
        <v>MVSAUDE</v>
      </c>
      <c r="C7675" s="2" t="str">
        <f t="shared" si="622"/>
        <v>PLANO</v>
      </c>
      <c r="D7675" s="2" t="str">
        <f t="shared" si="623"/>
        <v>MVS</v>
      </c>
      <c r="E7675" s="2" t="str">
        <f>"QUANT. DE USUÁRIOS P/ FX. ETÁRIA X PLANO"</f>
        <v>QUANT. DE USUÁRIOS P/ FX. ETÁRIA X PLANO</v>
      </c>
      <c r="F7675" s="2" t="str">
        <f>"R_FAIXA_ETARIA_X_PLANO"</f>
        <v>R_FAIXA_ETARIA_X_PLANO</v>
      </c>
      <c r="G7675" s="2" t="str">
        <f>" ()"</f>
        <v xml:space="preserve"> ()</v>
      </c>
    </row>
    <row r="7676" spans="1:7" x14ac:dyDescent="0.3">
      <c r="A7676" s="1" t="s">
        <v>4</v>
      </c>
      <c r="B7676" s="2" t="str">
        <f t="shared" si="621"/>
        <v>MVSAUDE</v>
      </c>
      <c r="C7676" s="2" t="str">
        <f t="shared" si="622"/>
        <v>PLANO</v>
      </c>
      <c r="D7676" s="2" t="str">
        <f t="shared" si="623"/>
        <v>MVS</v>
      </c>
      <c r="E7676" s="2" t="str">
        <f>"R_RDC28_ANEXO_2A"</f>
        <v>R_RDC28_ANEXO_2A</v>
      </c>
      <c r="F7676" s="2" t="str">
        <f>"R_RDC28_ANEXO_2A"</f>
        <v>R_RDC28_ANEXO_2A</v>
      </c>
      <c r="G7676" s="2" t="str">
        <f>" ()"</f>
        <v xml:space="preserve"> ()</v>
      </c>
    </row>
    <row r="7677" spans="1:7" x14ac:dyDescent="0.3">
      <c r="A7677" s="1" t="s">
        <v>4</v>
      </c>
      <c r="B7677" s="2" t="str">
        <f t="shared" si="621"/>
        <v>MVSAUDE</v>
      </c>
      <c r="C7677" s="2" t="str">
        <f t="shared" si="622"/>
        <v>PLANO</v>
      </c>
      <c r="D7677" s="2" t="str">
        <f t="shared" si="623"/>
        <v>MVS</v>
      </c>
      <c r="E7677" s="2" t="str">
        <f>"USUARIOS MAIORES E MENORES DE 60 ANOS"</f>
        <v>USUARIOS MAIORES E MENORES DE 60 ANOS</v>
      </c>
      <c r="F7677" s="2" t="str">
        <f>"R_USU60PLANO"</f>
        <v>R_USU60PLANO</v>
      </c>
      <c r="G7677" s="2" t="str">
        <f>"MVSaude / ANS / TPS (R_USU60PLANO)"</f>
        <v>MVSaude / ANS / TPS (R_USU60PLANO)</v>
      </c>
    </row>
    <row r="7678" spans="1:7" x14ac:dyDescent="0.3">
      <c r="A7678" s="1" t="s">
        <v>4</v>
      </c>
      <c r="B7678" s="2" t="str">
        <f t="shared" si="621"/>
        <v>MVSAUDE</v>
      </c>
      <c r="C7678" s="2" t="str">
        <f t="shared" si="622"/>
        <v>PLANO</v>
      </c>
      <c r="D7678" s="2" t="str">
        <f t="shared" si="623"/>
        <v>MVS</v>
      </c>
      <c r="E7678" s="2" t="str">
        <f>"R_RDC_ANEXO_2A"</f>
        <v>R_RDC_ANEXO_2A</v>
      </c>
      <c r="F7678" s="2" t="str">
        <f>"R_RDC_ANEXO_2A"</f>
        <v>R_RDC_ANEXO_2A</v>
      </c>
      <c r="G7678" s="2" t="str">
        <f>" ()"</f>
        <v xml:space="preserve"> ()</v>
      </c>
    </row>
    <row r="7679" spans="1:7" x14ac:dyDescent="0.3">
      <c r="A7679" s="1" t="s">
        <v>4</v>
      </c>
      <c r="B7679" s="2" t="str">
        <f t="shared" si="621"/>
        <v>MVSAUDE</v>
      </c>
      <c r="C7679" s="2" t="str">
        <f t="shared" si="622"/>
        <v>PLANO</v>
      </c>
      <c r="D7679" s="2" t="str">
        <f t="shared" si="623"/>
        <v>MVS</v>
      </c>
      <c r="E7679" s="2" t="str">
        <f>"ETIQUETAS DO CONTRATO"</f>
        <v>ETIQUETAS DO CONTRATO</v>
      </c>
      <c r="F7679" s="2" t="str">
        <f>"R_ETIQUETA_CONTRATO"</f>
        <v>R_ETIQUETA_CONTRATO</v>
      </c>
      <c r="G7679" s="2" t="str">
        <f>"MVSaude / Relatórios / Cadastros / Etiquetas para Contratos (R_ETIQUETA_CONTRATO)"</f>
        <v>MVSaude / Relatórios / Cadastros / Etiquetas para Contratos (R_ETIQUETA_CONTRATO)</v>
      </c>
    </row>
    <row r="7680" spans="1:7" x14ac:dyDescent="0.3">
      <c r="A7680" s="1" t="s">
        <v>4</v>
      </c>
      <c r="B7680" s="2" t="str">
        <f t="shared" ref="B7680:B7743" si="627">"MVSAUDE"</f>
        <v>MVSAUDE</v>
      </c>
      <c r="C7680" s="2" t="str">
        <f t="shared" ref="C7680:C7743" si="628">"PLANO"</f>
        <v>PLANO</v>
      </c>
      <c r="D7680" s="2" t="str">
        <f t="shared" ref="D7680:D7743" si="629">"MVS"</f>
        <v>MVS</v>
      </c>
      <c r="E7680" s="2" t="str">
        <f>"R_PROCED_S_DIREITO_PAGA_SAMEL"</f>
        <v>R_PROCED_S_DIREITO_PAGA_SAMEL</v>
      </c>
      <c r="F7680" s="2" t="str">
        <f>"R_PROCED_S_DIREITO_PAGA_SAMEL"</f>
        <v>R_PROCED_S_DIREITO_PAGA_SAMEL</v>
      </c>
      <c r="G7680" s="2" t="str">
        <f>" ()"</f>
        <v xml:space="preserve"> ()</v>
      </c>
    </row>
    <row r="7681" spans="1:7" x14ac:dyDescent="0.3">
      <c r="A7681" s="1" t="s">
        <v>4</v>
      </c>
      <c r="B7681" s="2" t="str">
        <f t="shared" si="627"/>
        <v>MVSAUDE</v>
      </c>
      <c r="C7681" s="2" t="str">
        <f t="shared" si="628"/>
        <v>PLANO</v>
      </c>
      <c r="D7681" s="2" t="str">
        <f t="shared" si="629"/>
        <v>MVS</v>
      </c>
      <c r="E7681" s="2" t="str">
        <f>"GERACAO DE NOTA FISCAL"</f>
        <v>GERACAO DE NOTA FISCAL</v>
      </c>
      <c r="F7681" s="2" t="str">
        <f>"O_GERA_PROCESS_CB_NOTA_FISCAL"</f>
        <v>O_GERA_PROCESS_CB_NOTA_FISCAL</v>
      </c>
      <c r="G7681" s="2" t="str">
        <f>"MVSaude / Faturamento / Nota Fiscal (O_GERA_PROCESS_CB_NOTA_FISCAL)"</f>
        <v>MVSaude / Faturamento / Nota Fiscal (O_GERA_PROCESS_CB_NOTA_FISCAL)</v>
      </c>
    </row>
    <row r="7682" spans="1:7" x14ac:dyDescent="0.3">
      <c r="A7682" s="1" t="s">
        <v>4</v>
      </c>
      <c r="B7682" s="2" t="str">
        <f t="shared" si="627"/>
        <v>MVSAUDE</v>
      </c>
      <c r="C7682" s="2" t="str">
        <f t="shared" si="628"/>
        <v>PLANO</v>
      </c>
      <c r="D7682" s="2" t="str">
        <f t="shared" si="629"/>
        <v>MVS</v>
      </c>
      <c r="E7682" s="2" t="str">
        <f>"RELATÓRIO DA RN Nº 96 - ANEXO II"</f>
        <v>RELATÓRIO DA RN Nº 96 - ANEXO II</v>
      </c>
      <c r="F7682" s="2" t="str">
        <f>"R_RN96_ANEXO_II"</f>
        <v>R_RN96_ANEXO_II</v>
      </c>
      <c r="G7682" s="2" t="str">
        <f>"MVSaude / ANS / SIP / Até 2009 / Anexo II (R_RN96_ANEXO_II)"</f>
        <v>MVSaude / ANS / SIP / Até 2009 / Anexo II (R_RN96_ANEXO_II)</v>
      </c>
    </row>
    <row r="7683" spans="1:7" x14ac:dyDescent="0.3">
      <c r="A7683" s="1" t="s">
        <v>4</v>
      </c>
      <c r="B7683" s="2" t="str">
        <f t="shared" si="627"/>
        <v>MVSAUDE</v>
      </c>
      <c r="C7683" s="2" t="str">
        <f t="shared" si="628"/>
        <v>PLANO</v>
      </c>
      <c r="D7683" s="2" t="str">
        <f t="shared" si="629"/>
        <v>MVS</v>
      </c>
      <c r="E7683" s="2" t="str">
        <f>"RELATÓRIO DA RN Nº 96 - ANEXO II-A"</f>
        <v>RELATÓRIO DA RN Nº 96 - ANEXO II-A</v>
      </c>
      <c r="F7683" s="2" t="str">
        <f>"R_RN96_ANEXO_IIA"</f>
        <v>R_RN96_ANEXO_IIA</v>
      </c>
      <c r="G7683" s="2" t="str">
        <f>"MVSaude / ANS / SIP / Até 2009 / Anexo II - A (R_RN96_ANEXO_IIA)"</f>
        <v>MVSaude / ANS / SIP / Até 2009 / Anexo II - A (R_RN96_ANEXO_IIA)</v>
      </c>
    </row>
    <row r="7684" spans="1:7" x14ac:dyDescent="0.3">
      <c r="A7684" s="1" t="s">
        <v>4</v>
      </c>
      <c r="B7684" s="2" t="str">
        <f t="shared" si="627"/>
        <v>MVSAUDE</v>
      </c>
      <c r="C7684" s="2" t="str">
        <f t="shared" si="628"/>
        <v>PLANO</v>
      </c>
      <c r="D7684" s="2" t="str">
        <f t="shared" si="629"/>
        <v>MVS</v>
      </c>
      <c r="E7684" s="2" t="str">
        <f>"R_CONTRATOS_EMITIDOS"</f>
        <v>R_CONTRATOS_EMITIDOS</v>
      </c>
      <c r="F7684" s="2" t="str">
        <f>"R_CONTRATOS_EMITIDOS"</f>
        <v>R_CONTRATOS_EMITIDOS</v>
      </c>
      <c r="G7684" s="2" t="str">
        <f t="shared" ref="G7684:G7691" si="630">" ()"</f>
        <v xml:space="preserve"> ()</v>
      </c>
    </row>
    <row r="7685" spans="1:7" x14ac:dyDescent="0.3">
      <c r="A7685" s="1" t="s">
        <v>4</v>
      </c>
      <c r="B7685" s="2" t="str">
        <f t="shared" si="627"/>
        <v>MVSAUDE</v>
      </c>
      <c r="C7685" s="2" t="str">
        <f t="shared" si="628"/>
        <v>PLANO</v>
      </c>
      <c r="D7685" s="2" t="str">
        <f t="shared" si="629"/>
        <v>MVS</v>
      </c>
      <c r="E7685" s="2" t="str">
        <f>"P_GERMIND"</f>
        <v>P_GERMIND</v>
      </c>
      <c r="F7685" s="2" t="str">
        <f>"P_GERMIND"</f>
        <v>P_GERMIND</v>
      </c>
      <c r="G7685" s="2" t="str">
        <f t="shared" si="630"/>
        <v xml:space="preserve"> ()</v>
      </c>
    </row>
    <row r="7686" spans="1:7" x14ac:dyDescent="0.3">
      <c r="A7686" s="1" t="s">
        <v>4</v>
      </c>
      <c r="B7686" s="2" t="str">
        <f t="shared" si="627"/>
        <v>MVSAUDE</v>
      </c>
      <c r="C7686" s="2" t="str">
        <f t="shared" si="628"/>
        <v>PLANO</v>
      </c>
      <c r="D7686" s="2" t="str">
        <f t="shared" si="629"/>
        <v>MVS</v>
      </c>
      <c r="E7686" s="2" t="str">
        <f>"R_GUIA_UNIHOSP"</f>
        <v>R_GUIA_UNIHOSP</v>
      </c>
      <c r="F7686" s="2" t="str">
        <f>"R_GUIA_UNIHOSP"</f>
        <v>R_GUIA_UNIHOSP</v>
      </c>
      <c r="G7686" s="2" t="str">
        <f t="shared" si="630"/>
        <v xml:space="preserve"> ()</v>
      </c>
    </row>
    <row r="7687" spans="1:7" x14ac:dyDescent="0.3">
      <c r="A7687" s="1" t="s">
        <v>4</v>
      </c>
      <c r="B7687" s="2" t="str">
        <f t="shared" si="627"/>
        <v>MVSAUDE</v>
      </c>
      <c r="C7687" s="2" t="str">
        <f t="shared" si="628"/>
        <v>PLANO</v>
      </c>
      <c r="D7687" s="2" t="str">
        <f t="shared" si="629"/>
        <v>MVS</v>
      </c>
      <c r="E7687" s="2" t="str">
        <f>"REL. DE SOLICITACAO DE TRATAMENTO"</f>
        <v>REL. DE SOLICITACAO DE TRATAMENTO</v>
      </c>
      <c r="F7687" s="2" t="str">
        <f>"R_SOLIC_TRATAMENTO"</f>
        <v>R_SOLIC_TRATAMENTO</v>
      </c>
      <c r="G7687" s="2" t="str">
        <f t="shared" si="630"/>
        <v xml:space="preserve"> ()</v>
      </c>
    </row>
    <row r="7688" spans="1:7" x14ac:dyDescent="0.3">
      <c r="A7688" s="1" t="s">
        <v>4</v>
      </c>
      <c r="B7688" s="2" t="str">
        <f t="shared" si="627"/>
        <v>MVSAUDE</v>
      </c>
      <c r="C7688" s="2" t="str">
        <f t="shared" si="628"/>
        <v>PLANO</v>
      </c>
      <c r="D7688" s="2" t="str">
        <f t="shared" si="629"/>
        <v>MVS</v>
      </c>
      <c r="E7688" s="2" t="str">
        <f>"ADITIVO CONTRATUAL DE MUDANCA DE PLANO"</f>
        <v>ADITIVO CONTRATUAL DE MUDANCA DE PLANO</v>
      </c>
      <c r="F7688" s="2" t="str">
        <f>"R_ADITIVO_CONT_ALT_PLANO"</f>
        <v>R_ADITIVO_CONT_ALT_PLANO</v>
      </c>
      <c r="G7688" s="2" t="str">
        <f t="shared" si="630"/>
        <v xml:space="preserve"> ()</v>
      </c>
    </row>
    <row r="7689" spans="1:7" x14ac:dyDescent="0.3">
      <c r="A7689" s="1" t="s">
        <v>4</v>
      </c>
      <c r="B7689" s="2" t="str">
        <f t="shared" si="627"/>
        <v>MVSAUDE</v>
      </c>
      <c r="C7689" s="2" t="str">
        <f t="shared" si="628"/>
        <v>PLANO</v>
      </c>
      <c r="D7689" s="2" t="str">
        <f t="shared" si="629"/>
        <v>MVS</v>
      </c>
      <c r="E7689" s="2" t="str">
        <f>"R_MENS_VENCIDAS_COM_END"</f>
        <v>R_MENS_VENCIDAS_COM_END</v>
      </c>
      <c r="F7689" s="2" t="str">
        <f>"R_MENS_VENCIDAS_COM_END"</f>
        <v>R_MENS_VENCIDAS_COM_END</v>
      </c>
      <c r="G7689" s="2" t="str">
        <f t="shared" si="630"/>
        <v xml:space="preserve"> ()</v>
      </c>
    </row>
    <row r="7690" spans="1:7" x14ac:dyDescent="0.3">
      <c r="A7690" s="1" t="s">
        <v>4</v>
      </c>
      <c r="B7690" s="2" t="str">
        <f t="shared" si="627"/>
        <v>MVSAUDE</v>
      </c>
      <c r="C7690" s="2" t="str">
        <f t="shared" si="628"/>
        <v>PLANO</v>
      </c>
      <c r="D7690" s="2" t="str">
        <f t="shared" si="629"/>
        <v>MVS</v>
      </c>
      <c r="E7690" s="2" t="str">
        <f>"R_GUIA_INTERNACAO_SOROCABA"</f>
        <v>R_GUIA_INTERNACAO_SOROCABA</v>
      </c>
      <c r="F7690" s="2" t="str">
        <f>"R_GUIA_INTERNACAO_SOROCABA"</f>
        <v>R_GUIA_INTERNACAO_SOROCABA</v>
      </c>
      <c r="G7690" s="2" t="str">
        <f t="shared" si="630"/>
        <v xml:space="preserve"> ()</v>
      </c>
    </row>
    <row r="7691" spans="1:7" x14ac:dyDescent="0.3">
      <c r="A7691" s="1" t="s">
        <v>4</v>
      </c>
      <c r="B7691" s="2" t="str">
        <f t="shared" si="627"/>
        <v>MVSAUDE</v>
      </c>
      <c r="C7691" s="2" t="str">
        <f t="shared" si="628"/>
        <v>PLANO</v>
      </c>
      <c r="D7691" s="2" t="str">
        <f t="shared" si="629"/>
        <v>MVS</v>
      </c>
      <c r="E7691" s="2" t="str">
        <f>"SITUAÇÃO DA MENSALIDADE POR CONTRATRATO"</f>
        <v>SITUAÇÃO DA MENSALIDADE POR CONTRATRATO</v>
      </c>
      <c r="F7691" s="2" t="str">
        <f>"C_MENCON"</f>
        <v>C_MENCON</v>
      </c>
      <c r="G7691" s="2" t="str">
        <f t="shared" si="630"/>
        <v xml:space="preserve"> ()</v>
      </c>
    </row>
    <row r="7692" spans="1:7" x14ac:dyDescent="0.3">
      <c r="A7692" s="1" t="s">
        <v>4</v>
      </c>
      <c r="B7692" s="2" t="str">
        <f t="shared" si="627"/>
        <v>MVSAUDE</v>
      </c>
      <c r="C7692" s="2" t="str">
        <f t="shared" si="628"/>
        <v>PLANO</v>
      </c>
      <c r="D7692" s="2" t="str">
        <f t="shared" si="629"/>
        <v>MVS</v>
      </c>
      <c r="E7692" s="2" t="str">
        <f>"CADASTRO: PATOLOGIAS"</f>
        <v>CADASTRO: PATOLOGIAS</v>
      </c>
      <c r="F7692" s="2" t="str">
        <f>"M_PATOLOGIA"</f>
        <v>M_PATOLOGIA</v>
      </c>
      <c r="G7692" s="2" t="str">
        <f>"MVSaude / Configurações / Patologia (M_PATOLOGIA)"</f>
        <v>MVSaude / Configurações / Patologia (M_PATOLOGIA)</v>
      </c>
    </row>
    <row r="7693" spans="1:7" x14ac:dyDescent="0.3">
      <c r="A7693" s="1" t="s">
        <v>4</v>
      </c>
      <c r="B7693" s="2" t="str">
        <f t="shared" si="627"/>
        <v>MVSAUDE</v>
      </c>
      <c r="C7693" s="2" t="str">
        <f t="shared" si="628"/>
        <v>PLANO</v>
      </c>
      <c r="D7693" s="2" t="str">
        <f t="shared" si="629"/>
        <v>MVS</v>
      </c>
      <c r="E7693" s="2" t="str">
        <f>"CONSULTA DE LOTES DE CARTEIRAS EMITIDAS"</f>
        <v>CONSULTA DE LOTES DE CARTEIRAS EMITIDAS</v>
      </c>
      <c r="F7693" s="2" t="str">
        <f>"C_LOTE_CARTEIRA"</f>
        <v>C_LOTE_CARTEIRA</v>
      </c>
      <c r="G7693" s="2" t="str">
        <f t="shared" ref="G7693:G7713" si="631">" ()"</f>
        <v xml:space="preserve"> ()</v>
      </c>
    </row>
    <row r="7694" spans="1:7" x14ac:dyDescent="0.3">
      <c r="A7694" s="1" t="s">
        <v>4</v>
      </c>
      <c r="B7694" s="2" t="str">
        <f t="shared" si="627"/>
        <v>MVSAUDE</v>
      </c>
      <c r="C7694" s="2" t="str">
        <f t="shared" si="628"/>
        <v>PLANO</v>
      </c>
      <c r="D7694" s="2" t="str">
        <f t="shared" si="629"/>
        <v>MVS</v>
      </c>
      <c r="E7694" s="2" t="str">
        <f>"P_GERMENIND"</f>
        <v>P_GERMENIND</v>
      </c>
      <c r="F7694" s="2" t="str">
        <f>"P_GERMENIND"</f>
        <v>P_GERMENIND</v>
      </c>
      <c r="G7694" s="2" t="str">
        <f t="shared" si="631"/>
        <v xml:space="preserve"> ()</v>
      </c>
    </row>
    <row r="7695" spans="1:7" x14ac:dyDescent="0.3">
      <c r="A7695" s="1" t="s">
        <v>4</v>
      </c>
      <c r="B7695" s="2" t="str">
        <f t="shared" si="627"/>
        <v>MVSAUDE</v>
      </c>
      <c r="C7695" s="2" t="str">
        <f t="shared" si="628"/>
        <v>PLANO</v>
      </c>
      <c r="D7695" s="2" t="str">
        <f t="shared" si="629"/>
        <v>MVS</v>
      </c>
      <c r="E7695" s="2" t="str">
        <f>"FORM PARA IMPRESSAO DO BOLETO"</f>
        <v>FORM PARA IMPRESSAO DO BOLETO</v>
      </c>
      <c r="F7695" s="2" t="str">
        <f>"R_IMPBOLETO"</f>
        <v>R_IMPBOLETO</v>
      </c>
      <c r="G7695" s="2" t="str">
        <f t="shared" si="631"/>
        <v xml:space="preserve"> ()</v>
      </c>
    </row>
    <row r="7696" spans="1:7" x14ac:dyDescent="0.3">
      <c r="A7696" s="1" t="s">
        <v>4</v>
      </c>
      <c r="B7696" s="2" t="str">
        <f t="shared" si="627"/>
        <v>MVSAUDE</v>
      </c>
      <c r="C7696" s="2" t="str">
        <f t="shared" si="628"/>
        <v>PLANO</v>
      </c>
      <c r="D7696" s="2" t="str">
        <f t="shared" si="629"/>
        <v>MVS</v>
      </c>
      <c r="E7696" s="2" t="str">
        <f>"RELATORIO PARA IMPRESSAO DO BOLETO"</f>
        <v>RELATORIO PARA IMPRESSAO DO BOLETO</v>
      </c>
      <c r="F7696" s="2" t="str">
        <f>"R_BOLPRE_BANDEIRANTES"</f>
        <v>R_BOLPRE_BANDEIRANTES</v>
      </c>
      <c r="G7696" s="2" t="str">
        <f t="shared" si="631"/>
        <v xml:space="preserve"> ()</v>
      </c>
    </row>
    <row r="7697" spans="1:7" x14ac:dyDescent="0.3">
      <c r="A7697" s="1" t="s">
        <v>4</v>
      </c>
      <c r="B7697" s="2" t="str">
        <f t="shared" si="627"/>
        <v>MVSAUDE</v>
      </c>
      <c r="C7697" s="2" t="str">
        <f t="shared" si="628"/>
        <v>PLANO</v>
      </c>
      <c r="D7697" s="2" t="str">
        <f t="shared" si="629"/>
        <v>MVS</v>
      </c>
      <c r="E7697" s="2" t="str">
        <f>"SEGUNDA PACKAGE DO MV SAUDE"</f>
        <v>SEGUNDA PACKAGE DO MV SAUDE</v>
      </c>
      <c r="F7697" s="2" t="str">
        <f>"PACK_SGPS_2"</f>
        <v>PACK_SGPS_2</v>
      </c>
      <c r="G7697" s="2" t="str">
        <f t="shared" si="631"/>
        <v xml:space="preserve"> ()</v>
      </c>
    </row>
    <row r="7698" spans="1:7" x14ac:dyDescent="0.3">
      <c r="A7698" s="1" t="s">
        <v>4</v>
      </c>
      <c r="B7698" s="2" t="str">
        <f t="shared" si="627"/>
        <v>MVSAUDE</v>
      </c>
      <c r="C7698" s="2" t="str">
        <f t="shared" si="628"/>
        <v>PLANO</v>
      </c>
      <c r="D7698" s="2" t="str">
        <f t="shared" si="629"/>
        <v>MVS</v>
      </c>
      <c r="E7698" s="2" t="str">
        <f>"CARTEIRA PLANO NOVO STA. CASA SOROCABA"</f>
        <v>CARTEIRA PLANO NOVO STA. CASA SOROCABA</v>
      </c>
      <c r="F7698" s="2" t="str">
        <f>"R_EMICAR02_SOROCABA"</f>
        <v>R_EMICAR02_SOROCABA</v>
      </c>
      <c r="G7698" s="2" t="str">
        <f t="shared" si="631"/>
        <v xml:space="preserve"> ()</v>
      </c>
    </row>
    <row r="7699" spans="1:7" x14ac:dyDescent="0.3">
      <c r="A7699" s="1" t="s">
        <v>4</v>
      </c>
      <c r="B7699" s="2" t="str">
        <f t="shared" si="627"/>
        <v>MVSAUDE</v>
      </c>
      <c r="C7699" s="2" t="str">
        <f t="shared" si="628"/>
        <v>PLANO</v>
      </c>
      <c r="D7699" s="2" t="str">
        <f t="shared" si="629"/>
        <v>MVS</v>
      </c>
      <c r="E7699" s="2" t="str">
        <f>"CARTEIRA PLANO ANTIGO SANTA CASA SOROBA"</f>
        <v>CARTEIRA PLANO ANTIGO SANTA CASA SOROBA</v>
      </c>
      <c r="F7699" s="2" t="str">
        <f>"R_EMICAR01_SOROCABA"</f>
        <v>R_EMICAR01_SOROCABA</v>
      </c>
      <c r="G7699" s="2" t="str">
        <f t="shared" si="631"/>
        <v xml:space="preserve"> ()</v>
      </c>
    </row>
    <row r="7700" spans="1:7" x14ac:dyDescent="0.3">
      <c r="A7700" s="1" t="s">
        <v>4</v>
      </c>
      <c r="B7700" s="2" t="str">
        <f t="shared" si="627"/>
        <v>MVSAUDE</v>
      </c>
      <c r="C7700" s="2" t="str">
        <f t="shared" si="628"/>
        <v>PLANO</v>
      </c>
      <c r="D7700" s="2" t="str">
        <f t="shared" si="629"/>
        <v>MVS</v>
      </c>
      <c r="E7700" s="2" t="str">
        <f>"GUIA INTENAÇÃO (STA.CASA SOROCABA)"</f>
        <v>GUIA INTENAÇÃO (STA.CASA SOROCABA)</v>
      </c>
      <c r="F7700" s="2" t="str">
        <f>"R_GUIA_INTERNA_SOROCABA"</f>
        <v>R_GUIA_INTERNA_SOROCABA</v>
      </c>
      <c r="G7700" s="2" t="str">
        <f t="shared" si="631"/>
        <v xml:space="preserve"> ()</v>
      </c>
    </row>
    <row r="7701" spans="1:7" x14ac:dyDescent="0.3">
      <c r="A7701" s="1" t="s">
        <v>4</v>
      </c>
      <c r="B7701" s="2" t="str">
        <f t="shared" si="627"/>
        <v>MVSAUDE</v>
      </c>
      <c r="C7701" s="2" t="str">
        <f t="shared" si="628"/>
        <v>PLANO</v>
      </c>
      <c r="D7701" s="2" t="str">
        <f t="shared" si="629"/>
        <v>MVS</v>
      </c>
      <c r="E7701" s="2" t="str">
        <f>"GUIA DE CONSULTA (STA.CASA SOROCABA)"</f>
        <v>GUIA DE CONSULTA (STA.CASA SOROCABA)</v>
      </c>
      <c r="F7701" s="2" t="str">
        <f>"R_GUIA_CONSULTA_SOROCABA"</f>
        <v>R_GUIA_CONSULTA_SOROCABA</v>
      </c>
      <c r="G7701" s="2" t="str">
        <f t="shared" si="631"/>
        <v xml:space="preserve"> ()</v>
      </c>
    </row>
    <row r="7702" spans="1:7" x14ac:dyDescent="0.3">
      <c r="A7702" s="1" t="s">
        <v>4</v>
      </c>
      <c r="B7702" s="2" t="str">
        <f t="shared" si="627"/>
        <v>MVSAUDE</v>
      </c>
      <c r="C7702" s="2" t="str">
        <f t="shared" si="628"/>
        <v>PLANO</v>
      </c>
      <c r="D7702" s="2" t="str">
        <f t="shared" si="629"/>
        <v>MVS</v>
      </c>
      <c r="E7702" s="2" t="str">
        <f>"GUIA DE EXAME (STA.CASA SOROCABA)"</f>
        <v>GUIA DE EXAME (STA.CASA SOROCABA)</v>
      </c>
      <c r="F7702" s="2" t="str">
        <f>"R_GUIA_EXAME_SOROCABA"</f>
        <v>R_GUIA_EXAME_SOROCABA</v>
      </c>
      <c r="G7702" s="2" t="str">
        <f t="shared" si="631"/>
        <v xml:space="preserve"> ()</v>
      </c>
    </row>
    <row r="7703" spans="1:7" x14ac:dyDescent="0.3">
      <c r="A7703" s="1" t="s">
        <v>4</v>
      </c>
      <c r="B7703" s="2" t="str">
        <f t="shared" si="627"/>
        <v>MVSAUDE</v>
      </c>
      <c r="C7703" s="2" t="str">
        <f t="shared" si="628"/>
        <v>PLANO</v>
      </c>
      <c r="D7703" s="2" t="str">
        <f t="shared" si="629"/>
        <v>MVS</v>
      </c>
      <c r="E7703" s="2" t="str">
        <f>"O_GERA_ARQ_PGTO"</f>
        <v>O_GERA_ARQ_PGTO</v>
      </c>
      <c r="F7703" s="2" t="str">
        <f>"O_GERA_ARQ_PGTO"</f>
        <v>O_GERA_ARQ_PGTO</v>
      </c>
      <c r="G7703" s="2" t="str">
        <f t="shared" si="631"/>
        <v xml:space="preserve"> ()</v>
      </c>
    </row>
    <row r="7704" spans="1:7" x14ac:dyDescent="0.3">
      <c r="A7704" s="1" t="s">
        <v>4</v>
      </c>
      <c r="B7704" s="2" t="str">
        <f t="shared" si="627"/>
        <v>MVSAUDE</v>
      </c>
      <c r="C7704" s="2" t="str">
        <f t="shared" si="628"/>
        <v>PLANO</v>
      </c>
      <c r="D7704" s="2" t="str">
        <f t="shared" si="629"/>
        <v>MVS</v>
      </c>
      <c r="E7704" s="2" t="str">
        <f>"R_REP_SERV_ANA"</f>
        <v>R_REP_SERV_ANA</v>
      </c>
      <c r="F7704" s="2" t="str">
        <f>"R_REP_SERV_ANA"</f>
        <v>R_REP_SERV_ANA</v>
      </c>
      <c r="G7704" s="2" t="str">
        <f t="shared" si="631"/>
        <v xml:space="preserve"> ()</v>
      </c>
    </row>
    <row r="7705" spans="1:7" x14ac:dyDescent="0.3">
      <c r="A7705" s="1" t="s">
        <v>4</v>
      </c>
      <c r="B7705" s="2" t="str">
        <f t="shared" si="627"/>
        <v>MVSAUDE</v>
      </c>
      <c r="C7705" s="2" t="str">
        <f t="shared" si="628"/>
        <v>PLANO</v>
      </c>
      <c r="D7705" s="2" t="str">
        <f t="shared" si="629"/>
        <v>MVS</v>
      </c>
      <c r="E7705" s="2" t="str">
        <f>"R_PAT_CONT_CONT"</f>
        <v>R_PAT_CONT_CONT</v>
      </c>
      <c r="F7705" s="2" t="str">
        <f>"R_PAT_CONT_CONT"</f>
        <v>R_PAT_CONT_CONT</v>
      </c>
      <c r="G7705" s="2" t="str">
        <f t="shared" si="631"/>
        <v xml:space="preserve"> ()</v>
      </c>
    </row>
    <row r="7706" spans="1:7" x14ac:dyDescent="0.3">
      <c r="A7706" s="1" t="s">
        <v>4</v>
      </c>
      <c r="B7706" s="2" t="str">
        <f t="shared" si="627"/>
        <v>MVSAUDE</v>
      </c>
      <c r="C7706" s="2" t="str">
        <f t="shared" si="628"/>
        <v>PLANO</v>
      </c>
      <c r="D7706" s="2" t="str">
        <f t="shared" si="629"/>
        <v>MVS</v>
      </c>
      <c r="E7706" s="2" t="str">
        <f>"R_MENSCON"</f>
        <v>R_MENSCON</v>
      </c>
      <c r="F7706" s="2" t="str">
        <f>"R_MENSCON"</f>
        <v>R_MENSCON</v>
      </c>
      <c r="G7706" s="2" t="str">
        <f t="shared" si="631"/>
        <v xml:space="preserve"> ()</v>
      </c>
    </row>
    <row r="7707" spans="1:7" x14ac:dyDescent="0.3">
      <c r="A7707" s="1" t="s">
        <v>4</v>
      </c>
      <c r="B7707" s="2" t="str">
        <f t="shared" si="627"/>
        <v>MVSAUDE</v>
      </c>
      <c r="C7707" s="2" t="str">
        <f t="shared" si="628"/>
        <v>PLANO</v>
      </c>
      <c r="D7707" s="2" t="str">
        <f t="shared" si="629"/>
        <v>MVS</v>
      </c>
      <c r="E7707" s="2" t="str">
        <f>"M_CONT_INDIVIDUAL_CONSULTA"</f>
        <v>M_CONT_INDIVIDUAL_CONSULTA</v>
      </c>
      <c r="F7707" s="2" t="str">
        <f>"M_CONT_INDIVIDUAL_CONSULTA"</f>
        <v>M_CONT_INDIVIDUAL_CONSULTA</v>
      </c>
      <c r="G7707" s="2" t="str">
        <f t="shared" si="631"/>
        <v xml:space="preserve"> ()</v>
      </c>
    </row>
    <row r="7708" spans="1:7" x14ac:dyDescent="0.3">
      <c r="A7708" s="1" t="s">
        <v>4</v>
      </c>
      <c r="B7708" s="2" t="str">
        <f t="shared" si="627"/>
        <v>MVSAUDE</v>
      </c>
      <c r="C7708" s="2" t="str">
        <f t="shared" si="628"/>
        <v>PLANO</v>
      </c>
      <c r="D7708" s="2" t="str">
        <f t="shared" si="629"/>
        <v>MVS</v>
      </c>
      <c r="E7708" s="2" t="str">
        <f>"M_CONT_EMPRESA_CONSULTA"</f>
        <v>M_CONT_EMPRESA_CONSULTA</v>
      </c>
      <c r="F7708" s="2" t="str">
        <f>"M_CONT_EMPRESA_CONSULTA"</f>
        <v>M_CONT_EMPRESA_CONSULTA</v>
      </c>
      <c r="G7708" s="2" t="str">
        <f t="shared" si="631"/>
        <v xml:space="preserve"> ()</v>
      </c>
    </row>
    <row r="7709" spans="1:7" x14ac:dyDescent="0.3">
      <c r="A7709" s="1" t="s">
        <v>4</v>
      </c>
      <c r="B7709" s="2" t="str">
        <f t="shared" si="627"/>
        <v>MVSAUDE</v>
      </c>
      <c r="C7709" s="2" t="str">
        <f t="shared" si="628"/>
        <v>PLANO</v>
      </c>
      <c r="D7709" s="2" t="str">
        <f t="shared" si="629"/>
        <v>MVS</v>
      </c>
      <c r="E7709" s="2" t="str">
        <f>"R_DEMONSTRATIVO_CONTRIB_301"</f>
        <v>R_DEMONSTRATIVO_CONTRIB_301</v>
      </c>
      <c r="F7709" s="2" t="str">
        <f>"R_DEMONSTRATIVO_CONTRIB_301"</f>
        <v>R_DEMONSTRATIVO_CONTRIB_301</v>
      </c>
      <c r="G7709" s="2" t="str">
        <f t="shared" si="631"/>
        <v xml:space="preserve"> ()</v>
      </c>
    </row>
    <row r="7710" spans="1:7" x14ac:dyDescent="0.3">
      <c r="A7710" s="1" t="s">
        <v>4</v>
      </c>
      <c r="B7710" s="2" t="str">
        <f t="shared" si="627"/>
        <v>MVSAUDE</v>
      </c>
      <c r="C7710" s="2" t="str">
        <f t="shared" si="628"/>
        <v>PLANO</v>
      </c>
      <c r="D7710" s="2" t="str">
        <f t="shared" si="629"/>
        <v>MVS</v>
      </c>
      <c r="E7710" s="2" t="str">
        <f>"C_CONT_EMPRESA"</f>
        <v>C_CONT_EMPRESA</v>
      </c>
      <c r="F7710" s="2" t="str">
        <f>"C_CONT_EMPRESA"</f>
        <v>C_CONT_EMPRESA</v>
      </c>
      <c r="G7710" s="2" t="str">
        <f t="shared" si="631"/>
        <v xml:space="preserve"> ()</v>
      </c>
    </row>
    <row r="7711" spans="1:7" x14ac:dyDescent="0.3">
      <c r="A7711" s="1" t="s">
        <v>4</v>
      </c>
      <c r="B7711" s="2" t="str">
        <f t="shared" si="627"/>
        <v>MVSAUDE</v>
      </c>
      <c r="C7711" s="2" t="str">
        <f t="shared" si="628"/>
        <v>PLANO</v>
      </c>
      <c r="D7711" s="2" t="str">
        <f t="shared" si="629"/>
        <v>MVS</v>
      </c>
      <c r="E7711" s="2" t="str">
        <f>"C_CONT_INDIVIDUAL"</f>
        <v>C_CONT_INDIVIDUAL</v>
      </c>
      <c r="F7711" s="2" t="str">
        <f>"C_CONT_INDIVIDUAL"</f>
        <v>C_CONT_INDIVIDUAL</v>
      </c>
      <c r="G7711" s="2" t="str">
        <f t="shared" si="631"/>
        <v xml:space="preserve"> ()</v>
      </c>
    </row>
    <row r="7712" spans="1:7" x14ac:dyDescent="0.3">
      <c r="A7712" s="1" t="s">
        <v>4</v>
      </c>
      <c r="B7712" s="2" t="str">
        <f t="shared" si="627"/>
        <v>MVSAUDE</v>
      </c>
      <c r="C7712" s="2" t="str">
        <f t="shared" si="628"/>
        <v>PLANO</v>
      </c>
      <c r="D7712" s="2" t="str">
        <f t="shared" si="629"/>
        <v>MVS</v>
      </c>
      <c r="E7712" s="2" t="str">
        <f>"RELATÓRIO DE RECEITA CIDADE X VENDEDOR"</f>
        <v>RELATÓRIO DE RECEITA CIDADE X VENDEDOR</v>
      </c>
      <c r="F7712" s="2" t="str">
        <f>"R_RECEITA_CIDADE"</f>
        <v>R_RECEITA_CIDADE</v>
      </c>
      <c r="G7712" s="2" t="str">
        <f t="shared" si="631"/>
        <v xml:space="preserve"> ()</v>
      </c>
    </row>
    <row r="7713" spans="1:7" x14ac:dyDescent="0.3">
      <c r="A7713" s="1" t="s">
        <v>4</v>
      </c>
      <c r="B7713" s="2" t="str">
        <f t="shared" si="627"/>
        <v>MVSAUDE</v>
      </c>
      <c r="C7713" s="2" t="str">
        <f t="shared" si="628"/>
        <v>PLANO</v>
      </c>
      <c r="D7713" s="2" t="str">
        <f t="shared" si="629"/>
        <v>MVS</v>
      </c>
      <c r="E7713" s="2" t="str">
        <f>"R_EMICAR_PLAMIGO"</f>
        <v>R_EMICAR_PLAMIGO</v>
      </c>
      <c r="F7713" s="2" t="str">
        <f>"R_EMICAR_PLAMIGO"</f>
        <v>R_EMICAR_PLAMIGO</v>
      </c>
      <c r="G7713" s="2" t="str">
        <f t="shared" si="631"/>
        <v xml:space="preserve"> ()</v>
      </c>
    </row>
    <row r="7714" spans="1:7" x14ac:dyDescent="0.3">
      <c r="A7714" s="1" t="s">
        <v>4</v>
      </c>
      <c r="B7714" s="2" t="str">
        <f t="shared" si="627"/>
        <v>MVSAUDE</v>
      </c>
      <c r="C7714" s="2" t="str">
        <f t="shared" si="628"/>
        <v>PLANO</v>
      </c>
      <c r="D7714" s="2" t="str">
        <f t="shared" si="629"/>
        <v>MVS</v>
      </c>
      <c r="E7714" s="2" t="str">
        <f>"CANCELAMENTO DE REMESSAS AUDITADAS"</f>
        <v>CANCELAMENTO DE REMESSAS AUDITADAS</v>
      </c>
      <c r="F7714" s="2" t="str">
        <f>"O_CANCELAR_REMESSA_AUDITADA"</f>
        <v>O_CANCELAR_REMESSA_AUDITADA</v>
      </c>
      <c r="G7714" s="2" t="str">
        <f>"MVSaude / Contas Médicas / Cancelar auditoria Ambulatorial (O_CANCELAR_REMESSA_AUDITADA)"</f>
        <v>MVSaude / Contas Médicas / Cancelar auditoria Ambulatorial (O_CANCELAR_REMESSA_AUDITADA)</v>
      </c>
    </row>
    <row r="7715" spans="1:7" x14ac:dyDescent="0.3">
      <c r="A7715" s="1" t="s">
        <v>4</v>
      </c>
      <c r="B7715" s="2" t="str">
        <f t="shared" si="627"/>
        <v>MVSAUDE</v>
      </c>
      <c r="C7715" s="2" t="str">
        <f t="shared" si="628"/>
        <v>PLANO</v>
      </c>
      <c r="D7715" s="2" t="str">
        <f t="shared" si="629"/>
        <v>MVS</v>
      </c>
      <c r="E7715" s="2" t="str">
        <f>"R_ETQ_CONTRATO_301"</f>
        <v>R_ETQ_CONTRATO_301</v>
      </c>
      <c r="F7715" s="2" t="str">
        <f>"R_ETQ_CONTRATO_301"</f>
        <v>R_ETQ_CONTRATO_301</v>
      </c>
      <c r="G7715" s="2" t="str">
        <f t="shared" ref="G7715:G7747" si="632">" ()"</f>
        <v xml:space="preserve"> ()</v>
      </c>
    </row>
    <row r="7716" spans="1:7" x14ac:dyDescent="0.3">
      <c r="A7716" s="1" t="s">
        <v>4</v>
      </c>
      <c r="B7716" s="2" t="str">
        <f t="shared" si="627"/>
        <v>MVSAUDE</v>
      </c>
      <c r="C7716" s="2" t="str">
        <f t="shared" si="628"/>
        <v>PLANO</v>
      </c>
      <c r="D7716" s="2" t="str">
        <f t="shared" si="629"/>
        <v>MVS</v>
      </c>
      <c r="E7716" s="2" t="str">
        <f>"R_ETQ_CONTRATO_301.FMB"</f>
        <v>R_ETQ_CONTRATO_301.FMB</v>
      </c>
      <c r="F7716" s="2" t="str">
        <f>"R_ETQ_CONTRATO_301.FMB"</f>
        <v>R_ETQ_CONTRATO_301.FMB</v>
      </c>
      <c r="G7716" s="2" t="str">
        <f t="shared" si="632"/>
        <v xml:space="preserve"> ()</v>
      </c>
    </row>
    <row r="7717" spans="1:7" x14ac:dyDescent="0.3">
      <c r="A7717" s="1" t="s">
        <v>4</v>
      </c>
      <c r="B7717" s="2" t="str">
        <f t="shared" si="627"/>
        <v>MVSAUDE</v>
      </c>
      <c r="C7717" s="2" t="str">
        <f t="shared" si="628"/>
        <v>PLANO</v>
      </c>
      <c r="D7717" s="2" t="str">
        <f t="shared" si="629"/>
        <v>MVS</v>
      </c>
      <c r="E7717" s="2" t="str">
        <f>"MOVIMENTO DE EXCLUSÃO"</f>
        <v>MOVIMENTO DE EXCLUSÃO</v>
      </c>
      <c r="F7717" s="2" t="str">
        <f>"C_MOVIMENTO_EXCLUSAO_752"</f>
        <v>C_MOVIMENTO_EXCLUSAO_752</v>
      </c>
      <c r="G7717" s="2" t="str">
        <f t="shared" si="632"/>
        <v xml:space="preserve"> ()</v>
      </c>
    </row>
    <row r="7718" spans="1:7" x14ac:dyDescent="0.3">
      <c r="A7718" s="1" t="s">
        <v>4</v>
      </c>
      <c r="B7718" s="2" t="str">
        <f t="shared" si="627"/>
        <v>MVSAUDE</v>
      </c>
      <c r="C7718" s="2" t="str">
        <f t="shared" si="628"/>
        <v>PLANO</v>
      </c>
      <c r="D7718" s="2" t="str">
        <f t="shared" si="629"/>
        <v>MVS</v>
      </c>
      <c r="E7718" s="2" t="str">
        <f>"R_CARTEIRA_PVC_301"</f>
        <v>R_CARTEIRA_PVC_301</v>
      </c>
      <c r="F7718" s="2" t="str">
        <f>"R_CARTEIRA_PVC_301"</f>
        <v>R_CARTEIRA_PVC_301</v>
      </c>
      <c r="G7718" s="2" t="str">
        <f t="shared" si="632"/>
        <v xml:space="preserve"> ()</v>
      </c>
    </row>
    <row r="7719" spans="1:7" x14ac:dyDescent="0.3">
      <c r="A7719" s="1" t="s">
        <v>4</v>
      </c>
      <c r="B7719" s="2" t="str">
        <f t="shared" si="627"/>
        <v>MVSAUDE</v>
      </c>
      <c r="C7719" s="2" t="str">
        <f t="shared" si="628"/>
        <v>PLANO</v>
      </c>
      <c r="D7719" s="2" t="str">
        <f t="shared" si="629"/>
        <v>MVS</v>
      </c>
      <c r="E7719" s="2" t="str">
        <f>"R_REL_SERVICOS"</f>
        <v>R_REL_SERVICOS</v>
      </c>
      <c r="F7719" s="2" t="str">
        <f>"R_REL_SERVICOS"</f>
        <v>R_REL_SERVICOS</v>
      </c>
      <c r="G7719" s="2" t="str">
        <f t="shared" si="632"/>
        <v xml:space="preserve"> ()</v>
      </c>
    </row>
    <row r="7720" spans="1:7" x14ac:dyDescent="0.3">
      <c r="A7720" s="1" t="s">
        <v>4</v>
      </c>
      <c r="B7720" s="2" t="str">
        <f t="shared" si="627"/>
        <v>MVSAUDE</v>
      </c>
      <c r="C7720" s="2" t="str">
        <f t="shared" si="628"/>
        <v>PLANO</v>
      </c>
      <c r="D7720" s="2" t="str">
        <f t="shared" si="629"/>
        <v>MVS</v>
      </c>
      <c r="E7720" s="2" t="str">
        <f>"O_IMPBOLETO_1401"</f>
        <v>O_IMPBOLETO_1401</v>
      </c>
      <c r="F7720" s="2" t="str">
        <f>"O_IMPBOLETO_1401"</f>
        <v>O_IMPBOLETO_1401</v>
      </c>
      <c r="G7720" s="2" t="str">
        <f t="shared" si="632"/>
        <v xml:space="preserve"> ()</v>
      </c>
    </row>
    <row r="7721" spans="1:7" x14ac:dyDescent="0.3">
      <c r="A7721" s="1" t="s">
        <v>4</v>
      </c>
      <c r="B7721" s="2" t="str">
        <f t="shared" si="627"/>
        <v>MVSAUDE</v>
      </c>
      <c r="C7721" s="2" t="str">
        <f t="shared" si="628"/>
        <v>PLANO</v>
      </c>
      <c r="D7721" s="2" t="str">
        <f t="shared" si="629"/>
        <v>MVS</v>
      </c>
      <c r="E7721" s="2" t="str">
        <f>"R_USUARIO_INC_EXC_ALT"</f>
        <v>R_USUARIO_INC_EXC_ALT</v>
      </c>
      <c r="F7721" s="2" t="str">
        <f>"R_USUARIO_INC_EXC_ALT"</f>
        <v>R_USUARIO_INC_EXC_ALT</v>
      </c>
      <c r="G7721" s="2" t="str">
        <f t="shared" si="632"/>
        <v xml:space="preserve"> ()</v>
      </c>
    </row>
    <row r="7722" spans="1:7" x14ac:dyDescent="0.3">
      <c r="A7722" s="1" t="s">
        <v>4</v>
      </c>
      <c r="B7722" s="2" t="str">
        <f t="shared" si="627"/>
        <v>MVSAUDE</v>
      </c>
      <c r="C7722" s="2" t="str">
        <f t="shared" si="628"/>
        <v>PLANO</v>
      </c>
      <c r="D7722" s="2" t="str">
        <f t="shared" si="629"/>
        <v>MVS</v>
      </c>
      <c r="E7722" s="2" t="str">
        <f>"R_REP_PRETIPPRE_CONMEDH"</f>
        <v>R_REP_PRETIPPRE_CONMEDH</v>
      </c>
      <c r="F7722" s="2" t="str">
        <f>"R_REP_PRETIPPRE_CONMEDH"</f>
        <v>R_REP_PRETIPPRE_CONMEDH</v>
      </c>
      <c r="G7722" s="2" t="str">
        <f t="shared" si="632"/>
        <v xml:space="preserve"> ()</v>
      </c>
    </row>
    <row r="7723" spans="1:7" x14ac:dyDescent="0.3">
      <c r="A7723" s="1" t="s">
        <v>4</v>
      </c>
      <c r="B7723" s="2" t="str">
        <f t="shared" si="627"/>
        <v>MVSAUDE</v>
      </c>
      <c r="C7723" s="2" t="str">
        <f t="shared" si="628"/>
        <v>PLANO</v>
      </c>
      <c r="D7723" s="2" t="str">
        <f t="shared" si="629"/>
        <v>MVS</v>
      </c>
      <c r="E7723" s="2" t="str">
        <f>"R_ETQ_USUARIO_SOBRAL"</f>
        <v>R_ETQ_USUARIO_SOBRAL</v>
      </c>
      <c r="F7723" s="2" t="str">
        <f>"R_ETQ_USUARIO_SOBRAL"</f>
        <v>R_ETQ_USUARIO_SOBRAL</v>
      </c>
      <c r="G7723" s="2" t="str">
        <f t="shared" si="632"/>
        <v xml:space="preserve"> ()</v>
      </c>
    </row>
    <row r="7724" spans="1:7" x14ac:dyDescent="0.3">
      <c r="A7724" s="1" t="s">
        <v>4</v>
      </c>
      <c r="B7724" s="2" t="str">
        <f t="shared" si="627"/>
        <v>MVSAUDE</v>
      </c>
      <c r="C7724" s="2" t="str">
        <f t="shared" si="628"/>
        <v>PLANO</v>
      </c>
      <c r="D7724" s="2" t="str">
        <f t="shared" si="629"/>
        <v>MVS</v>
      </c>
      <c r="E7724" s="2" t="str">
        <f>"R_RECIBO_PAS"</f>
        <v>R_RECIBO_PAS</v>
      </c>
      <c r="F7724" s="2" t="str">
        <f>"R_RECIBO_PAS"</f>
        <v>R_RECIBO_PAS</v>
      </c>
      <c r="G7724" s="2" t="str">
        <f t="shared" si="632"/>
        <v xml:space="preserve"> ()</v>
      </c>
    </row>
    <row r="7725" spans="1:7" x14ac:dyDescent="0.3">
      <c r="A7725" s="1" t="s">
        <v>4</v>
      </c>
      <c r="B7725" s="2" t="str">
        <f t="shared" si="627"/>
        <v>MVSAUDE</v>
      </c>
      <c r="C7725" s="2" t="str">
        <f t="shared" si="628"/>
        <v>PLANO</v>
      </c>
      <c r="D7725" s="2" t="str">
        <f t="shared" si="629"/>
        <v>MVS</v>
      </c>
      <c r="E7725" s="2" t="str">
        <f>"R_REC_DES_TABELA_PRECO_301"</f>
        <v>R_REC_DES_TABELA_PRECO_301</v>
      </c>
      <c r="F7725" s="2" t="str">
        <f>"R_REC_DES_TABELA_PRECO_301"</f>
        <v>R_REC_DES_TABELA_PRECO_301</v>
      </c>
      <c r="G7725" s="2" t="str">
        <f t="shared" si="632"/>
        <v xml:space="preserve"> ()</v>
      </c>
    </row>
    <row r="7726" spans="1:7" x14ac:dyDescent="0.3">
      <c r="A7726" s="1" t="s">
        <v>4</v>
      </c>
      <c r="B7726" s="2" t="str">
        <f t="shared" si="627"/>
        <v>MVSAUDE</v>
      </c>
      <c r="C7726" s="2" t="str">
        <f t="shared" si="628"/>
        <v>PLANO</v>
      </c>
      <c r="D7726" s="2" t="str">
        <f t="shared" si="629"/>
        <v>MVS</v>
      </c>
      <c r="E7726" s="2" t="str">
        <f>"C_ESTIMATIVA_FATURAMENTO"</f>
        <v>C_ESTIMATIVA_FATURAMENTO</v>
      </c>
      <c r="F7726" s="2" t="str">
        <f>"C_ESTIMATIVA_FATURAMENTO"</f>
        <v>C_ESTIMATIVA_FATURAMENTO</v>
      </c>
      <c r="G7726" s="2" t="str">
        <f t="shared" si="632"/>
        <v xml:space="preserve"> ()</v>
      </c>
    </row>
    <row r="7727" spans="1:7" x14ac:dyDescent="0.3">
      <c r="A7727" s="1" t="s">
        <v>4</v>
      </c>
      <c r="B7727" s="2" t="str">
        <f t="shared" si="627"/>
        <v>MVSAUDE</v>
      </c>
      <c r="C7727" s="2" t="str">
        <f t="shared" si="628"/>
        <v>PLANO</v>
      </c>
      <c r="D7727" s="2" t="str">
        <f t="shared" si="629"/>
        <v>MVS</v>
      </c>
      <c r="E7727" s="2" t="str">
        <f>"R_RECIBO_PREST_SOBRAL"</f>
        <v>R_RECIBO_PREST_SOBRAL</v>
      </c>
      <c r="F7727" s="2" t="str">
        <f>"R_RECIBO_PREST_SOBRAL"</f>
        <v>R_RECIBO_PREST_SOBRAL</v>
      </c>
      <c r="G7727" s="2" t="str">
        <f t="shared" si="632"/>
        <v xml:space="preserve"> ()</v>
      </c>
    </row>
    <row r="7728" spans="1:7" x14ac:dyDescent="0.3">
      <c r="A7728" s="1" t="s">
        <v>4</v>
      </c>
      <c r="B7728" s="2" t="str">
        <f t="shared" si="627"/>
        <v>MVSAUDE</v>
      </c>
      <c r="C7728" s="2" t="str">
        <f t="shared" si="628"/>
        <v>PLANO</v>
      </c>
      <c r="D7728" s="2" t="str">
        <f t="shared" si="629"/>
        <v>MVS</v>
      </c>
      <c r="E7728" s="2" t="str">
        <f>"R_GUIA_SOROCABA"</f>
        <v>R_GUIA_SOROCABA</v>
      </c>
      <c r="F7728" s="2" t="str">
        <f>"R_GUIA_SOROCABA"</f>
        <v>R_GUIA_SOROCABA</v>
      </c>
      <c r="G7728" s="2" t="str">
        <f t="shared" si="632"/>
        <v xml:space="preserve"> ()</v>
      </c>
    </row>
    <row r="7729" spans="1:7" x14ac:dyDescent="0.3">
      <c r="A7729" s="1" t="s">
        <v>4</v>
      </c>
      <c r="B7729" s="2" t="str">
        <f t="shared" si="627"/>
        <v>MVSAUDE</v>
      </c>
      <c r="C7729" s="2" t="str">
        <f t="shared" si="628"/>
        <v>PLANO</v>
      </c>
      <c r="D7729" s="2" t="str">
        <f t="shared" si="629"/>
        <v>MVS</v>
      </c>
      <c r="E7729" s="2" t="str">
        <f>"SERVICO DE ATENDIMENTO AO CLIENTE"</f>
        <v>SERVICO DE ATENDIMENTO AO CLIENTE</v>
      </c>
      <c r="F7729" s="2" t="str">
        <f>"M_SAC"</f>
        <v>M_SAC</v>
      </c>
      <c r="G7729" s="2" t="str">
        <f t="shared" si="632"/>
        <v xml:space="preserve"> ()</v>
      </c>
    </row>
    <row r="7730" spans="1:7" x14ac:dyDescent="0.3">
      <c r="A7730" s="1" t="s">
        <v>4</v>
      </c>
      <c r="B7730" s="2" t="str">
        <f t="shared" si="627"/>
        <v>MVSAUDE</v>
      </c>
      <c r="C7730" s="2" t="str">
        <f t="shared" si="628"/>
        <v>PLANO</v>
      </c>
      <c r="D7730" s="2" t="str">
        <f t="shared" si="629"/>
        <v>MVS</v>
      </c>
      <c r="E7730" s="2" t="str">
        <f>"PROCEDIMENTOS COM FRANQUIA POR EMPRESA"</f>
        <v>PROCEDIMENTOS COM FRANQUIA POR EMPRESA</v>
      </c>
      <c r="F7730" s="2" t="str">
        <f>"R_VAL_FRANQUIA_EMP"</f>
        <v>R_VAL_FRANQUIA_EMP</v>
      </c>
      <c r="G7730" s="2" t="str">
        <f t="shared" si="632"/>
        <v xml:space="preserve"> ()</v>
      </c>
    </row>
    <row r="7731" spans="1:7" x14ac:dyDescent="0.3">
      <c r="A7731" s="1" t="s">
        <v>4</v>
      </c>
      <c r="B7731" s="2" t="str">
        <f t="shared" si="627"/>
        <v>MVSAUDE</v>
      </c>
      <c r="C7731" s="2" t="str">
        <f t="shared" si="628"/>
        <v>PLANO</v>
      </c>
      <c r="D7731" s="2" t="str">
        <f t="shared" si="629"/>
        <v>MVS</v>
      </c>
      <c r="E7731" s="2" t="str">
        <f>"R_PROC_USUARIO_LOTE"</f>
        <v>R_PROC_USUARIO_LOTE</v>
      </c>
      <c r="F7731" s="2" t="str">
        <f>"R_PROC_USUARIO_LOTE"</f>
        <v>R_PROC_USUARIO_LOTE</v>
      </c>
      <c r="G7731" s="2" t="str">
        <f t="shared" si="632"/>
        <v xml:space="preserve"> ()</v>
      </c>
    </row>
    <row r="7732" spans="1:7" x14ac:dyDescent="0.3">
      <c r="A7732" s="1" t="s">
        <v>4</v>
      </c>
      <c r="B7732" s="2" t="str">
        <f t="shared" si="627"/>
        <v>MVSAUDE</v>
      </c>
      <c r="C7732" s="2" t="str">
        <f t="shared" si="628"/>
        <v>PLANO</v>
      </c>
      <c r="D7732" s="2" t="str">
        <f t="shared" si="629"/>
        <v>MVS</v>
      </c>
      <c r="E7732" s="2" t="str">
        <f>"DEPARTAMENTOS"</f>
        <v>DEPARTAMENTOS</v>
      </c>
      <c r="F7732" s="2" t="str">
        <f>"M_DEPARTAMENTO"</f>
        <v>M_DEPARTAMENTO</v>
      </c>
      <c r="G7732" s="2" t="str">
        <f t="shared" si="632"/>
        <v xml:space="preserve"> ()</v>
      </c>
    </row>
    <row r="7733" spans="1:7" x14ac:dyDescent="0.3">
      <c r="A7733" s="1" t="s">
        <v>4</v>
      </c>
      <c r="B7733" s="2" t="str">
        <f t="shared" si="627"/>
        <v>MVSAUDE</v>
      </c>
      <c r="C7733" s="2" t="str">
        <f t="shared" si="628"/>
        <v>PLANO</v>
      </c>
      <c r="D7733" s="2" t="str">
        <f t="shared" si="629"/>
        <v>MVS</v>
      </c>
      <c r="E7733" s="2" t="str">
        <f>"TIPOS DE SERVICOS DO SAC"</f>
        <v>TIPOS DE SERVICOS DO SAC</v>
      </c>
      <c r="F7733" s="2" t="str">
        <f>"M_SERVICOS"</f>
        <v>M_SERVICOS</v>
      </c>
      <c r="G7733" s="2" t="str">
        <f t="shared" si="632"/>
        <v xml:space="preserve"> ()</v>
      </c>
    </row>
    <row r="7734" spans="1:7" x14ac:dyDescent="0.3">
      <c r="A7734" s="1" t="s">
        <v>4</v>
      </c>
      <c r="B7734" s="2" t="str">
        <f t="shared" si="627"/>
        <v>MVSAUDE</v>
      </c>
      <c r="C7734" s="2" t="str">
        <f t="shared" si="628"/>
        <v>PLANO</v>
      </c>
      <c r="D7734" s="2" t="str">
        <f t="shared" si="629"/>
        <v>MVS</v>
      </c>
      <c r="E7734" s="2" t="str">
        <f>"R_EST_PREST_ADM"</f>
        <v>R_EST_PREST_ADM</v>
      </c>
      <c r="F7734" s="2" t="str">
        <f>"R_EST_PREST_ADM"</f>
        <v>R_EST_PREST_ADM</v>
      </c>
      <c r="G7734" s="2" t="str">
        <f t="shared" si="632"/>
        <v xml:space="preserve"> ()</v>
      </c>
    </row>
    <row r="7735" spans="1:7" x14ac:dyDescent="0.3">
      <c r="A7735" s="1" t="s">
        <v>4</v>
      </c>
      <c r="B7735" s="2" t="str">
        <f t="shared" si="627"/>
        <v>MVSAUDE</v>
      </c>
      <c r="C7735" s="2" t="str">
        <f t="shared" si="628"/>
        <v>PLANO</v>
      </c>
      <c r="D7735" s="2" t="str">
        <f t="shared" si="629"/>
        <v>MVS</v>
      </c>
      <c r="E7735" s="2" t="str">
        <f>"R_CONTASH_AUDITADAS"</f>
        <v>R_CONTASH_AUDITADAS</v>
      </c>
      <c r="F7735" s="2" t="str">
        <f>"R_CONTASH_AUDITADAS"</f>
        <v>R_CONTASH_AUDITADAS</v>
      </c>
      <c r="G7735" s="2" t="str">
        <f t="shared" si="632"/>
        <v xml:space="preserve"> ()</v>
      </c>
    </row>
    <row r="7736" spans="1:7" x14ac:dyDescent="0.3">
      <c r="A7736" s="1" t="s">
        <v>4</v>
      </c>
      <c r="B7736" s="2" t="str">
        <f t="shared" si="627"/>
        <v>MVSAUDE</v>
      </c>
      <c r="C7736" s="2" t="str">
        <f t="shared" si="628"/>
        <v>PLANO</v>
      </c>
      <c r="D7736" s="2" t="str">
        <f t="shared" si="629"/>
        <v>MVS</v>
      </c>
      <c r="E7736" s="2" t="str">
        <f>"R_CONTASH_NAO_AUDITADAS"</f>
        <v>R_CONTASH_NAO_AUDITADAS</v>
      </c>
      <c r="F7736" s="2" t="str">
        <f>"R_CONTASH_NAO_AUDITADAS"</f>
        <v>R_CONTASH_NAO_AUDITADAS</v>
      </c>
      <c r="G7736" s="2" t="str">
        <f t="shared" si="632"/>
        <v xml:space="preserve"> ()</v>
      </c>
    </row>
    <row r="7737" spans="1:7" x14ac:dyDescent="0.3">
      <c r="A7737" s="1" t="s">
        <v>4</v>
      </c>
      <c r="B7737" s="2" t="str">
        <f t="shared" si="627"/>
        <v>MVSAUDE</v>
      </c>
      <c r="C7737" s="2" t="str">
        <f t="shared" si="628"/>
        <v>PLANO</v>
      </c>
      <c r="D7737" s="2" t="str">
        <f t="shared" si="629"/>
        <v>MVS</v>
      </c>
      <c r="E7737" s="2" t="str">
        <f>"R_DIGITACAO_NAO_AUDITADA"</f>
        <v>R_DIGITACAO_NAO_AUDITADA</v>
      </c>
      <c r="F7737" s="2" t="str">
        <f>"R_DIGITACAO_NAO_AUDITADA"</f>
        <v>R_DIGITACAO_NAO_AUDITADA</v>
      </c>
      <c r="G7737" s="2" t="str">
        <f t="shared" si="632"/>
        <v xml:space="preserve"> ()</v>
      </c>
    </row>
    <row r="7738" spans="1:7" x14ac:dyDescent="0.3">
      <c r="A7738" s="1" t="s">
        <v>4</v>
      </c>
      <c r="B7738" s="2" t="str">
        <f t="shared" si="627"/>
        <v>MVSAUDE</v>
      </c>
      <c r="C7738" s="2" t="str">
        <f t="shared" si="628"/>
        <v>PLANO</v>
      </c>
      <c r="D7738" s="2" t="str">
        <f t="shared" si="629"/>
        <v>MVS</v>
      </c>
      <c r="E7738" s="2" t="str">
        <f>"R_DIGITACAO_NAO_AUTIDATA"</f>
        <v>R_DIGITACAO_NAO_AUTIDATA</v>
      </c>
      <c r="F7738" s="2" t="str">
        <f>"R_DIGITACAO_NAO_AUTIDATA"</f>
        <v>R_DIGITACAO_NAO_AUTIDATA</v>
      </c>
      <c r="G7738" s="2" t="str">
        <f t="shared" si="632"/>
        <v xml:space="preserve"> ()</v>
      </c>
    </row>
    <row r="7739" spans="1:7" x14ac:dyDescent="0.3">
      <c r="A7739" s="1" t="s">
        <v>4</v>
      </c>
      <c r="B7739" s="2" t="str">
        <f t="shared" si="627"/>
        <v>MVSAUDE</v>
      </c>
      <c r="C7739" s="2" t="str">
        <f t="shared" si="628"/>
        <v>PLANO</v>
      </c>
      <c r="D7739" s="2" t="str">
        <f t="shared" si="629"/>
        <v>MVS</v>
      </c>
      <c r="E7739" s="2" t="str">
        <f>"O_REAJUSTE_MENS"</f>
        <v>O_REAJUSTE_MENS</v>
      </c>
      <c r="F7739" s="2" t="str">
        <f>"O_REAJUSTE_MENS"</f>
        <v>O_REAJUSTE_MENS</v>
      </c>
      <c r="G7739" s="2" t="str">
        <f t="shared" si="632"/>
        <v xml:space="preserve"> ()</v>
      </c>
    </row>
    <row r="7740" spans="1:7" x14ac:dyDescent="0.3">
      <c r="A7740" s="1" t="s">
        <v>4</v>
      </c>
      <c r="B7740" s="2" t="str">
        <f t="shared" si="627"/>
        <v>MVSAUDE</v>
      </c>
      <c r="C7740" s="2" t="str">
        <f t="shared" si="628"/>
        <v>PLANO</v>
      </c>
      <c r="D7740" s="2" t="str">
        <f t="shared" si="629"/>
        <v>MVS</v>
      </c>
      <c r="E7740" s="2" t="str">
        <f>"RELATÓRIO DAS ATIVIDADES MÉDICAS"</f>
        <v>RELATÓRIO DAS ATIVIDADES MÉDICAS</v>
      </c>
      <c r="F7740" s="2" t="str">
        <f>"R_ADESAO_USUARIOS_UNIHOSP"</f>
        <v>R_ADESAO_USUARIOS_UNIHOSP</v>
      </c>
      <c r="G7740" s="2" t="str">
        <f t="shared" si="632"/>
        <v xml:space="preserve"> ()</v>
      </c>
    </row>
    <row r="7741" spans="1:7" x14ac:dyDescent="0.3">
      <c r="A7741" s="1" t="s">
        <v>4</v>
      </c>
      <c r="B7741" s="2" t="str">
        <f t="shared" si="627"/>
        <v>MVSAUDE</v>
      </c>
      <c r="C7741" s="2" t="str">
        <f t="shared" si="628"/>
        <v>PLANO</v>
      </c>
      <c r="D7741" s="2" t="str">
        <f t="shared" si="629"/>
        <v>MVS</v>
      </c>
      <c r="E7741" s="2" t="str">
        <f>"UNIDADES DE CONVERSAO DE PROCEDIMENTOS"</f>
        <v>UNIDADES DE CONVERSAO DE PROCEDIMENTOS</v>
      </c>
      <c r="F7741" s="2" t="str">
        <f>"M_UNIDADES"</f>
        <v>M_UNIDADES</v>
      </c>
      <c r="G7741" s="2" t="str">
        <f t="shared" si="632"/>
        <v xml:space="preserve"> ()</v>
      </c>
    </row>
    <row r="7742" spans="1:7" x14ac:dyDescent="0.3">
      <c r="A7742" s="1" t="s">
        <v>4</v>
      </c>
      <c r="B7742" s="2" t="str">
        <f t="shared" si="627"/>
        <v>MVSAUDE</v>
      </c>
      <c r="C7742" s="2" t="str">
        <f t="shared" si="628"/>
        <v>PLANO</v>
      </c>
      <c r="D7742" s="2" t="str">
        <f t="shared" si="629"/>
        <v>MVS</v>
      </c>
      <c r="E7742" s="2" t="str">
        <f>"CONSULTA: REMESSA DE PRESTADORES"</f>
        <v>CONSULTA: REMESSA DE PRESTADORES</v>
      </c>
      <c r="F7742" s="2" t="str">
        <f>"C_CANCELAR_REMESSA_AUDITADA"</f>
        <v>C_CANCELAR_REMESSA_AUDITADA</v>
      </c>
      <c r="G7742" s="2" t="str">
        <f t="shared" si="632"/>
        <v xml:space="preserve"> ()</v>
      </c>
    </row>
    <row r="7743" spans="1:7" x14ac:dyDescent="0.3">
      <c r="A7743" s="1" t="s">
        <v>4</v>
      </c>
      <c r="B7743" s="2" t="str">
        <f t="shared" si="627"/>
        <v>MVSAUDE</v>
      </c>
      <c r="C7743" s="2" t="str">
        <f t="shared" si="628"/>
        <v>PLANO</v>
      </c>
      <c r="D7743" s="2" t="str">
        <f t="shared" si="629"/>
        <v>MVS</v>
      </c>
      <c r="E7743" s="2" t="str">
        <f>"R_PROCED_S_DIREITO_N_PAGO_SAMEL"</f>
        <v>R_PROCED_S_DIREITO_N_PAGO_SAMEL</v>
      </c>
      <c r="F7743" s="2" t="str">
        <f>"R_PROCED_S_DIREITO_N_PAGO_SAMEL"</f>
        <v>R_PROCED_S_DIREITO_N_PAGO_SAMEL</v>
      </c>
      <c r="G7743" s="2" t="str">
        <f t="shared" si="632"/>
        <v xml:space="preserve"> ()</v>
      </c>
    </row>
    <row r="7744" spans="1:7" x14ac:dyDescent="0.3">
      <c r="A7744" s="1" t="s">
        <v>4</v>
      </c>
      <c r="B7744" s="2" t="str">
        <f t="shared" ref="B7744:B7807" si="633">"MVSAUDE"</f>
        <v>MVSAUDE</v>
      </c>
      <c r="C7744" s="2" t="str">
        <f t="shared" ref="C7744:C7807" si="634">"PLANO"</f>
        <v>PLANO</v>
      </c>
      <c r="D7744" s="2" t="str">
        <f t="shared" ref="D7744:D7807" si="635">"MVS"</f>
        <v>MVS</v>
      </c>
      <c r="E7744" s="2" t="str">
        <f>"CONSULTAS E RETORNOS NAS EMPRESAS"</f>
        <v>CONSULTAS E RETORNOS NAS EMPRESAS</v>
      </c>
      <c r="F7744" s="2" t="str">
        <f>"R_CONSULTAS_RETORNO_SAMEL"</f>
        <v>R_CONSULTAS_RETORNO_SAMEL</v>
      </c>
      <c r="G7744" s="2" t="str">
        <f t="shared" si="632"/>
        <v xml:space="preserve"> ()</v>
      </c>
    </row>
    <row r="7745" spans="1:7" x14ac:dyDescent="0.3">
      <c r="A7745" s="1" t="s">
        <v>4</v>
      </c>
      <c r="B7745" s="2" t="str">
        <f t="shared" si="633"/>
        <v>MVSAUDE</v>
      </c>
      <c r="C7745" s="2" t="str">
        <f t="shared" si="634"/>
        <v>PLANO</v>
      </c>
      <c r="D7745" s="2" t="str">
        <f t="shared" si="635"/>
        <v>MVS</v>
      </c>
      <c r="E7745" s="2" t="str">
        <f>"R_CARTA_ATRASO_UNIHOSP"</f>
        <v>R_CARTA_ATRASO_UNIHOSP</v>
      </c>
      <c r="F7745" s="2" t="str">
        <f>"R_CARTA_ATRASO_UNIHOSP"</f>
        <v>R_CARTA_ATRASO_UNIHOSP</v>
      </c>
      <c r="G7745" s="2" t="str">
        <f t="shared" si="632"/>
        <v xml:space="preserve"> ()</v>
      </c>
    </row>
    <row r="7746" spans="1:7" x14ac:dyDescent="0.3">
      <c r="A7746" s="1" t="s">
        <v>4</v>
      </c>
      <c r="B7746" s="2" t="str">
        <f t="shared" si="633"/>
        <v>MVSAUDE</v>
      </c>
      <c r="C7746" s="2" t="str">
        <f t="shared" si="634"/>
        <v>PLANO</v>
      </c>
      <c r="D7746" s="2" t="str">
        <f t="shared" si="635"/>
        <v>MVS</v>
      </c>
      <c r="E7746" s="2" t="str">
        <f>"R_ETQ_ATRASO_UNIHOSP"</f>
        <v>R_ETQ_ATRASO_UNIHOSP</v>
      </c>
      <c r="F7746" s="2" t="str">
        <f>"R_ETQ_ATRASO_UNIHOSP"</f>
        <v>R_ETQ_ATRASO_UNIHOSP</v>
      </c>
      <c r="G7746" s="2" t="str">
        <f t="shared" si="632"/>
        <v xml:space="preserve"> ()</v>
      </c>
    </row>
    <row r="7747" spans="1:7" x14ac:dyDescent="0.3">
      <c r="A7747" s="1" t="s">
        <v>4</v>
      </c>
      <c r="B7747" s="2" t="str">
        <f t="shared" si="633"/>
        <v>MVSAUDE</v>
      </c>
      <c r="C7747" s="2" t="str">
        <f t="shared" si="634"/>
        <v>PLANO</v>
      </c>
      <c r="D7747" s="2" t="str">
        <f t="shared" si="635"/>
        <v>MVS</v>
      </c>
      <c r="E7747" s="2" t="str">
        <f>"R_PROC_USUARIO_CONMEDH"</f>
        <v>R_PROC_USUARIO_CONMEDH</v>
      </c>
      <c r="F7747" s="2" t="str">
        <f>"R_PROC_USUARIO_CONMEDH"</f>
        <v>R_PROC_USUARIO_CONMEDH</v>
      </c>
      <c r="G7747" s="2" t="str">
        <f t="shared" si="632"/>
        <v xml:space="preserve"> ()</v>
      </c>
    </row>
    <row r="7748" spans="1:7" x14ac:dyDescent="0.3">
      <c r="A7748" s="1" t="s">
        <v>4</v>
      </c>
      <c r="B7748" s="2" t="str">
        <f t="shared" si="633"/>
        <v>MVSAUDE</v>
      </c>
      <c r="C7748" s="2" t="str">
        <f t="shared" si="634"/>
        <v>PLANO</v>
      </c>
      <c r="D7748" s="2" t="str">
        <f t="shared" si="635"/>
        <v>MVS</v>
      </c>
      <c r="E7748" s="2" t="str">
        <f>"FASES POR ATENDIMENTO"</f>
        <v>FASES POR ATENDIMENTO</v>
      </c>
      <c r="F7748" s="2" t="str">
        <f>"R_FASES_POR_ATENDIMENTO"</f>
        <v>R_FASES_POR_ATENDIMENTO</v>
      </c>
      <c r="G7748" s="2" t="str">
        <f>"MVSaude / Relatórios / Atendimentos / SAC / Fases dos Atendimentos (R_FASES_POR_ATENDIMENTO)"</f>
        <v>MVSaude / Relatórios / Atendimentos / SAC / Fases dos Atendimentos (R_FASES_POR_ATENDIMENTO)</v>
      </c>
    </row>
    <row r="7749" spans="1:7" x14ac:dyDescent="0.3">
      <c r="A7749" s="1" t="s">
        <v>4</v>
      </c>
      <c r="B7749" s="2" t="str">
        <f t="shared" si="633"/>
        <v>MVSAUDE</v>
      </c>
      <c r="C7749" s="2" t="str">
        <f t="shared" si="634"/>
        <v>PLANO</v>
      </c>
      <c r="D7749" s="2" t="str">
        <f t="shared" si="635"/>
        <v>MVS</v>
      </c>
      <c r="E7749" s="2" t="str">
        <f>"R_REMESSAS_AUDITADAS"</f>
        <v>R_REMESSAS_AUDITADAS</v>
      </c>
      <c r="F7749" s="2" t="str">
        <f>"R_REMESSAS_AUDITADAS"</f>
        <v>R_REMESSAS_AUDITADAS</v>
      </c>
      <c r="G7749" s="2" t="str">
        <f t="shared" ref="G7749:G7757" si="636">" ()"</f>
        <v xml:space="preserve"> ()</v>
      </c>
    </row>
    <row r="7750" spans="1:7" x14ac:dyDescent="0.3">
      <c r="A7750" s="1" t="s">
        <v>4</v>
      </c>
      <c r="B7750" s="2" t="str">
        <f t="shared" si="633"/>
        <v>MVSAUDE</v>
      </c>
      <c r="C7750" s="2" t="str">
        <f t="shared" si="634"/>
        <v>PLANO</v>
      </c>
      <c r="D7750" s="2" t="str">
        <f t="shared" si="635"/>
        <v>MVS</v>
      </c>
      <c r="E7750" s="2" t="str">
        <f>"R_REMESSAS_NAO_AUDITADAS"</f>
        <v>R_REMESSAS_NAO_AUDITADAS</v>
      </c>
      <c r="F7750" s="2" t="str">
        <f>"R_REMESSAS_NAO_AUDITADAS"</f>
        <v>R_REMESSAS_NAO_AUDITADAS</v>
      </c>
      <c r="G7750" s="2" t="str">
        <f t="shared" si="636"/>
        <v xml:space="preserve"> ()</v>
      </c>
    </row>
    <row r="7751" spans="1:7" x14ac:dyDescent="0.3">
      <c r="A7751" s="1" t="s">
        <v>4</v>
      </c>
      <c r="B7751" s="2" t="str">
        <f t="shared" si="633"/>
        <v>MVSAUDE</v>
      </c>
      <c r="C7751" s="2" t="str">
        <f t="shared" si="634"/>
        <v>PLANO</v>
      </c>
      <c r="D7751" s="2" t="str">
        <f t="shared" si="635"/>
        <v>MVS</v>
      </c>
      <c r="E7751" s="2" t="str">
        <f>"RELATÓRIO DE CONTRÔLE DE CADASTRO NR."</f>
        <v>RELATÓRIO DE CONTRÔLE DE CADASTRO NR.</v>
      </c>
      <c r="F7751" s="2" t="str">
        <f>"R_CTRL_CADASTRO_SAMEL"</f>
        <v>R_CTRL_CADASTRO_SAMEL</v>
      </c>
      <c r="G7751" s="2" t="str">
        <f t="shared" si="636"/>
        <v xml:space="preserve"> ()</v>
      </c>
    </row>
    <row r="7752" spans="1:7" x14ac:dyDescent="0.3">
      <c r="A7752" s="1" t="s">
        <v>4</v>
      </c>
      <c r="B7752" s="2" t="str">
        <f t="shared" si="633"/>
        <v>MVSAUDE</v>
      </c>
      <c r="C7752" s="2" t="str">
        <f t="shared" si="634"/>
        <v>PLANO</v>
      </c>
      <c r="D7752" s="2" t="str">
        <f t="shared" si="635"/>
        <v>MVS</v>
      </c>
      <c r="E7752" s="2" t="str">
        <f>"R_PAT_CON"</f>
        <v>R_PAT_CON</v>
      </c>
      <c r="F7752" s="2" t="str">
        <f>"R_PAT_CON"</f>
        <v>R_PAT_CON</v>
      </c>
      <c r="G7752" s="2" t="str">
        <f t="shared" si="636"/>
        <v xml:space="preserve"> ()</v>
      </c>
    </row>
    <row r="7753" spans="1:7" x14ac:dyDescent="0.3">
      <c r="A7753" s="1" t="s">
        <v>4</v>
      </c>
      <c r="B7753" s="2" t="str">
        <f t="shared" si="633"/>
        <v>MVSAUDE</v>
      </c>
      <c r="C7753" s="2" t="str">
        <f t="shared" si="634"/>
        <v>PLANO</v>
      </c>
      <c r="D7753" s="2" t="str">
        <f t="shared" si="635"/>
        <v>MVS</v>
      </c>
      <c r="E7753" s="2" t="str">
        <f>"R_RECEITAS_DESPESAS_EMPRESA_ANA"</f>
        <v>R_RECEITAS_DESPESAS_EMPRESA_ANA</v>
      </c>
      <c r="F7753" s="2" t="str">
        <f>"R_RECEITAS_DESPESAS_EMPRESA_ANA"</f>
        <v>R_RECEITAS_DESPESAS_EMPRESA_ANA</v>
      </c>
      <c r="G7753" s="2" t="str">
        <f t="shared" si="636"/>
        <v xml:space="preserve"> ()</v>
      </c>
    </row>
    <row r="7754" spans="1:7" x14ac:dyDescent="0.3">
      <c r="A7754" s="1" t="s">
        <v>4</v>
      </c>
      <c r="B7754" s="2" t="str">
        <f t="shared" si="633"/>
        <v>MVSAUDE</v>
      </c>
      <c r="C7754" s="2" t="str">
        <f t="shared" si="634"/>
        <v>PLANO</v>
      </c>
      <c r="D7754" s="2" t="str">
        <f t="shared" si="635"/>
        <v>MVS</v>
      </c>
      <c r="E7754" s="2" t="str">
        <f>"NOTA FISCAL"</f>
        <v>NOTA FISCAL</v>
      </c>
      <c r="F7754" s="2" t="str">
        <f>"R_NOTAFISCAL_301"</f>
        <v>R_NOTAFISCAL_301</v>
      </c>
      <c r="G7754" s="2" t="str">
        <f t="shared" si="636"/>
        <v xml:space="preserve"> ()</v>
      </c>
    </row>
    <row r="7755" spans="1:7" x14ac:dyDescent="0.3">
      <c r="A7755" s="1" t="s">
        <v>4</v>
      </c>
      <c r="B7755" s="2" t="str">
        <f t="shared" si="633"/>
        <v>MVSAUDE</v>
      </c>
      <c r="C7755" s="2" t="str">
        <f t="shared" si="634"/>
        <v>PLANO</v>
      </c>
      <c r="D7755" s="2" t="str">
        <f t="shared" si="635"/>
        <v>MVS</v>
      </c>
      <c r="E7755" s="2" t="str">
        <f>"FN_INSTRUCOES"</f>
        <v>FN_INSTRUCOES</v>
      </c>
      <c r="F7755" s="2" t="str">
        <f>"FN_INSTRUCOES"</f>
        <v>FN_INSTRUCOES</v>
      </c>
      <c r="G7755" s="2" t="str">
        <f t="shared" si="636"/>
        <v xml:space="preserve"> ()</v>
      </c>
    </row>
    <row r="7756" spans="1:7" x14ac:dyDescent="0.3">
      <c r="A7756" s="1" t="s">
        <v>4</v>
      </c>
      <c r="B7756" s="2" t="str">
        <f t="shared" si="633"/>
        <v>MVSAUDE</v>
      </c>
      <c r="C7756" s="2" t="str">
        <f t="shared" si="634"/>
        <v>PLANO</v>
      </c>
      <c r="D7756" s="2" t="str">
        <f t="shared" si="635"/>
        <v>MVS</v>
      </c>
      <c r="E7756" s="2" t="str">
        <f>"O_IMPBANDO_301"</f>
        <v>O_IMPBANDO_301</v>
      </c>
      <c r="F7756" s="2" t="str">
        <f>"O_IMPBANDO_301"</f>
        <v>O_IMPBANDO_301</v>
      </c>
      <c r="G7756" s="2" t="str">
        <f t="shared" si="636"/>
        <v xml:space="preserve"> ()</v>
      </c>
    </row>
    <row r="7757" spans="1:7" x14ac:dyDescent="0.3">
      <c r="A7757" s="1" t="s">
        <v>4</v>
      </c>
      <c r="B7757" s="2" t="str">
        <f t="shared" si="633"/>
        <v>MVSAUDE</v>
      </c>
      <c r="C7757" s="2" t="str">
        <f t="shared" si="634"/>
        <v>PLANO</v>
      </c>
      <c r="D7757" s="2" t="str">
        <f t="shared" si="635"/>
        <v>MVS</v>
      </c>
      <c r="E7757" s="2" t="str">
        <f>"O_ATUALIZA_TABELA_CEP"</f>
        <v>O_ATUALIZA_TABELA_CEP</v>
      </c>
      <c r="F7757" s="2" t="str">
        <f>"O_ATUALIZA_TABELA_CEP"</f>
        <v>O_ATUALIZA_TABELA_CEP</v>
      </c>
      <c r="G7757" s="2" t="str">
        <f t="shared" si="636"/>
        <v xml:space="preserve"> ()</v>
      </c>
    </row>
    <row r="7758" spans="1:7" x14ac:dyDescent="0.3">
      <c r="A7758" s="1" t="s">
        <v>4</v>
      </c>
      <c r="B7758" s="2" t="str">
        <f t="shared" si="633"/>
        <v>MVSAUDE</v>
      </c>
      <c r="C7758" s="2" t="str">
        <f t="shared" si="634"/>
        <v>PLANO</v>
      </c>
      <c r="D7758" s="2" t="str">
        <f t="shared" si="635"/>
        <v>MVS</v>
      </c>
      <c r="E7758" s="2" t="str">
        <f>"WIN_PRINCIPAL - 01-HOSPITAL MV SISTEMAS"</f>
        <v>WIN_PRINCIPAL - 01-HOSPITAL MV SISTEMAS</v>
      </c>
      <c r="F7758" s="2" t="str">
        <f>"O_CANCELAR_CONTAH_AUDITADA"</f>
        <v>O_CANCELAR_CONTAH_AUDITADA</v>
      </c>
      <c r="G7758" s="2" t="str">
        <f>"MVSaude / Contas Médicas / Cancelar auditoria Hospitalar (O_CANCELAR_CONTAH_AUDITADA)"</f>
        <v>MVSaude / Contas Médicas / Cancelar auditoria Hospitalar (O_CANCELAR_CONTAH_AUDITADA)</v>
      </c>
    </row>
    <row r="7759" spans="1:7" x14ac:dyDescent="0.3">
      <c r="A7759" s="1" t="s">
        <v>4</v>
      </c>
      <c r="B7759" s="2" t="str">
        <f t="shared" si="633"/>
        <v>MVSAUDE</v>
      </c>
      <c r="C7759" s="2" t="str">
        <f t="shared" si="634"/>
        <v>PLANO</v>
      </c>
      <c r="D7759" s="2" t="str">
        <f t="shared" si="635"/>
        <v>MVS</v>
      </c>
      <c r="E7759" s="2" t="str">
        <f>"CADASTRO: GRUPOS DE DIREITO"</f>
        <v>CADASTRO: GRUPOS DE DIREITO</v>
      </c>
      <c r="F7759" s="2" t="str">
        <f>"M_ITEM_DESPESA"</f>
        <v>M_ITEM_DESPESA</v>
      </c>
      <c r="G7759" s="2" t="str">
        <f>"MVSaude / Contas Médicas / Tabelas / Itens de Despesa (M_ITEM_DESPESA)"</f>
        <v>MVSaude / Contas Médicas / Tabelas / Itens de Despesa (M_ITEM_DESPESA)</v>
      </c>
    </row>
    <row r="7760" spans="1:7" x14ac:dyDescent="0.3">
      <c r="A7760" s="1" t="s">
        <v>4</v>
      </c>
      <c r="B7760" s="2" t="str">
        <f t="shared" si="633"/>
        <v>MVSAUDE</v>
      </c>
      <c r="C7760" s="2" t="str">
        <f t="shared" si="634"/>
        <v>PLANO</v>
      </c>
      <c r="D7760" s="2" t="str">
        <f t="shared" si="635"/>
        <v>MVS</v>
      </c>
      <c r="E7760" s="2" t="str">
        <f>"R_USUEMPVALOR_SINT"</f>
        <v>R_USUEMPVALOR_SINT</v>
      </c>
      <c r="F7760" s="2" t="str">
        <f>"R_USUEMPVALOR_SINT"</f>
        <v>R_USUEMPVALOR_SINT</v>
      </c>
      <c r="G7760" s="2" t="str">
        <f t="shared" ref="G7760:G7789" si="637">" ()"</f>
        <v xml:space="preserve"> ()</v>
      </c>
    </row>
    <row r="7761" spans="1:7" x14ac:dyDescent="0.3">
      <c r="A7761" s="1" t="s">
        <v>4</v>
      </c>
      <c r="B7761" s="2" t="str">
        <f t="shared" si="633"/>
        <v>MVSAUDE</v>
      </c>
      <c r="C7761" s="2" t="str">
        <f t="shared" si="634"/>
        <v>PLANO</v>
      </c>
      <c r="D7761" s="2" t="str">
        <f t="shared" si="635"/>
        <v>MVS</v>
      </c>
      <c r="E7761" s="2" t="str">
        <f>"AUTORIZACAO_GUIA"</f>
        <v>AUTORIZACAO_GUIA</v>
      </c>
      <c r="F7761" s="2" t="str">
        <f>"AUTORIZACAO_GUIA"</f>
        <v>AUTORIZACAO_GUIA</v>
      </c>
      <c r="G7761" s="2" t="str">
        <f t="shared" si="637"/>
        <v xml:space="preserve"> ()</v>
      </c>
    </row>
    <row r="7762" spans="1:7" x14ac:dyDescent="0.3">
      <c r="A7762" s="1" t="s">
        <v>4</v>
      </c>
      <c r="B7762" s="2" t="str">
        <f t="shared" si="633"/>
        <v>MVSAUDE</v>
      </c>
      <c r="C7762" s="2" t="str">
        <f t="shared" si="634"/>
        <v>PLANO</v>
      </c>
      <c r="D7762" s="2" t="str">
        <f t="shared" si="635"/>
        <v>MVS</v>
      </c>
      <c r="E7762" s="2" t="str">
        <f>"ESTATÍSTICA DIÁRIA ( CONTRATOS / VIDAS )"</f>
        <v>ESTATÍSTICA DIÁRIA ( CONTRATOS / VIDAS )</v>
      </c>
      <c r="F7762" s="2" t="str">
        <f>"C_ESTAT_IDADE_FAM_752"</f>
        <v>C_ESTAT_IDADE_FAM_752</v>
      </c>
      <c r="G7762" s="2" t="str">
        <f t="shared" si="637"/>
        <v xml:space="preserve"> ()</v>
      </c>
    </row>
    <row r="7763" spans="1:7" x14ac:dyDescent="0.3">
      <c r="A7763" s="1" t="s">
        <v>4</v>
      </c>
      <c r="B7763" s="2" t="str">
        <f t="shared" si="633"/>
        <v>MVSAUDE</v>
      </c>
      <c r="C7763" s="2" t="str">
        <f t="shared" si="634"/>
        <v>PLANO</v>
      </c>
      <c r="D7763" s="2" t="str">
        <f t="shared" si="635"/>
        <v>MVS</v>
      </c>
      <c r="E7763" s="2" t="str">
        <f>"ESTATÍSTICA DIÁRIA ( CONTRATOS / VIDAS )"</f>
        <v>ESTATÍSTICA DIÁRIA ( CONTRATOS / VIDAS )</v>
      </c>
      <c r="F7763" s="2" t="str">
        <f>"C_ESTAT_IDADE_EMP_752"</f>
        <v>C_ESTAT_IDADE_EMP_752</v>
      </c>
      <c r="G7763" s="2" t="str">
        <f t="shared" si="637"/>
        <v xml:space="preserve"> ()</v>
      </c>
    </row>
    <row r="7764" spans="1:7" x14ac:dyDescent="0.3">
      <c r="A7764" s="1" t="s">
        <v>4</v>
      </c>
      <c r="B7764" s="2" t="str">
        <f t="shared" si="633"/>
        <v>MVSAUDE</v>
      </c>
      <c r="C7764" s="2" t="str">
        <f t="shared" si="634"/>
        <v>PLANO</v>
      </c>
      <c r="D7764" s="2" t="str">
        <f t="shared" si="635"/>
        <v>MVS</v>
      </c>
      <c r="E7764" s="2" t="str">
        <f>"R_EXAMES_RED_SOLIC_SEM_RESUMO"</f>
        <v>R_EXAMES_RED_SOLIC_SEM_RESUMO</v>
      </c>
      <c r="F7764" s="2" t="str">
        <f>"R_EXAMES_RED_SOLIC_SEM_RESUMO"</f>
        <v>R_EXAMES_RED_SOLIC_SEM_RESUMO</v>
      </c>
      <c r="G7764" s="2" t="str">
        <f t="shared" si="637"/>
        <v xml:space="preserve"> ()</v>
      </c>
    </row>
    <row r="7765" spans="1:7" x14ac:dyDescent="0.3">
      <c r="A7765" s="1" t="s">
        <v>4</v>
      </c>
      <c r="B7765" s="2" t="str">
        <f t="shared" si="633"/>
        <v>MVSAUDE</v>
      </c>
      <c r="C7765" s="2" t="str">
        <f t="shared" si="634"/>
        <v>PLANO</v>
      </c>
      <c r="D7765" s="2" t="str">
        <f t="shared" si="635"/>
        <v>MVS</v>
      </c>
      <c r="E7765" s="2" t="str">
        <f>"R_EMICAR_UNIHOSP"</f>
        <v>R_EMICAR_UNIHOSP</v>
      </c>
      <c r="F7765" s="2" t="str">
        <f>"R_EMICAR_UNIHOSP"</f>
        <v>R_EMICAR_UNIHOSP</v>
      </c>
      <c r="G7765" s="2" t="str">
        <f t="shared" si="637"/>
        <v xml:space="preserve"> ()</v>
      </c>
    </row>
    <row r="7766" spans="1:7" x14ac:dyDescent="0.3">
      <c r="A7766" s="1" t="s">
        <v>4</v>
      </c>
      <c r="B7766" s="2" t="str">
        <f t="shared" si="633"/>
        <v>MVSAUDE</v>
      </c>
      <c r="C7766" s="2" t="str">
        <f t="shared" si="634"/>
        <v>PLANO</v>
      </c>
      <c r="D7766" s="2" t="str">
        <f t="shared" si="635"/>
        <v>MVS</v>
      </c>
      <c r="E7766" s="2" t="str">
        <f>"R_USUEMPVALORNEW"</f>
        <v>R_USUEMPVALORNEW</v>
      </c>
      <c r="F7766" s="2" t="str">
        <f>"R_USUEMPVALORNEW"</f>
        <v>R_USUEMPVALORNEW</v>
      </c>
      <c r="G7766" s="2" t="str">
        <f t="shared" si="637"/>
        <v xml:space="preserve"> ()</v>
      </c>
    </row>
    <row r="7767" spans="1:7" x14ac:dyDescent="0.3">
      <c r="A7767" s="1" t="s">
        <v>4</v>
      </c>
      <c r="B7767" s="2" t="str">
        <f t="shared" si="633"/>
        <v>MVSAUDE</v>
      </c>
      <c r="C7767" s="2" t="str">
        <f t="shared" si="634"/>
        <v>PLANO</v>
      </c>
      <c r="D7767" s="2" t="str">
        <f t="shared" si="635"/>
        <v>MVS</v>
      </c>
      <c r="E7767" s="2" t="str">
        <f>"M_CONT_EMPRESARIAL"</f>
        <v>M_CONT_EMPRESARIAL</v>
      </c>
      <c r="F7767" s="2" t="str">
        <f>"M_CONT_EMPRESARIAL"</f>
        <v>M_CONT_EMPRESARIAL</v>
      </c>
      <c r="G7767" s="2" t="str">
        <f t="shared" si="637"/>
        <v xml:space="preserve"> ()</v>
      </c>
    </row>
    <row r="7768" spans="1:7" x14ac:dyDescent="0.3">
      <c r="A7768" s="1" t="s">
        <v>4</v>
      </c>
      <c r="B7768" s="2" t="str">
        <f t="shared" si="633"/>
        <v>MVSAUDE</v>
      </c>
      <c r="C7768" s="2" t="str">
        <f t="shared" si="634"/>
        <v>PLANO</v>
      </c>
      <c r="D7768" s="2" t="str">
        <f t="shared" si="635"/>
        <v>MVS</v>
      </c>
      <c r="E7768" s="2" t="str">
        <f>"C_VIDA_PREGUE"</f>
        <v>C_VIDA_PREGUE</v>
      </c>
      <c r="F7768" s="2" t="str">
        <f>"C_VIDA_PREGUE"</f>
        <v>C_VIDA_PREGUE</v>
      </c>
      <c r="G7768" s="2" t="str">
        <f t="shared" si="637"/>
        <v xml:space="preserve"> ()</v>
      </c>
    </row>
    <row r="7769" spans="1:7" x14ac:dyDescent="0.3">
      <c r="A7769" s="1" t="s">
        <v>4</v>
      </c>
      <c r="B7769" s="2" t="str">
        <f t="shared" si="633"/>
        <v>MVSAUDE</v>
      </c>
      <c r="C7769" s="2" t="str">
        <f t="shared" si="634"/>
        <v>PLANO</v>
      </c>
      <c r="D7769" s="2" t="str">
        <f t="shared" si="635"/>
        <v>MVS</v>
      </c>
      <c r="E7769" s="2" t="str">
        <f>"R_MAPA_DISTRIBUI_COMISSAO_EMP"</f>
        <v>R_MAPA_DISTRIBUI_COMISSAO_EMP</v>
      </c>
      <c r="F7769" s="2" t="str">
        <f>"R_MAPA_DISTRIBUI_COMISSAO_EMP"</f>
        <v>R_MAPA_DISTRIBUI_COMISSAO_EMP</v>
      </c>
      <c r="G7769" s="2" t="str">
        <f t="shared" si="637"/>
        <v xml:space="preserve"> ()</v>
      </c>
    </row>
    <row r="7770" spans="1:7" x14ac:dyDescent="0.3">
      <c r="A7770" s="1" t="s">
        <v>4</v>
      </c>
      <c r="B7770" s="2" t="str">
        <f t="shared" si="633"/>
        <v>MVSAUDE</v>
      </c>
      <c r="C7770" s="2" t="str">
        <f t="shared" si="634"/>
        <v>PLANO</v>
      </c>
      <c r="D7770" s="2" t="str">
        <f t="shared" si="635"/>
        <v>MVS</v>
      </c>
      <c r="E7770" s="2" t="str">
        <f>"R_GUIA_SOL_TRAT_SOROCABA"</f>
        <v>R_GUIA_SOL_TRAT_SOROCABA</v>
      </c>
      <c r="F7770" s="2" t="str">
        <f>"R_GUIA_SOL_TRAT_SOROCABA"</f>
        <v>R_GUIA_SOL_TRAT_SOROCABA</v>
      </c>
      <c r="G7770" s="2" t="str">
        <f t="shared" si="637"/>
        <v xml:space="preserve"> ()</v>
      </c>
    </row>
    <row r="7771" spans="1:7" x14ac:dyDescent="0.3">
      <c r="A7771" s="1" t="s">
        <v>4</v>
      </c>
      <c r="B7771" s="2" t="str">
        <f t="shared" si="633"/>
        <v>MVSAUDE</v>
      </c>
      <c r="C7771" s="2" t="str">
        <f t="shared" si="634"/>
        <v>PLANO</v>
      </c>
      <c r="D7771" s="2" t="str">
        <f t="shared" si="635"/>
        <v>MVS</v>
      </c>
      <c r="E7771" s="2" t="str">
        <f>"R_REP_PREST_PROCED_CONMEDH"</f>
        <v>R_REP_PREST_PROCED_CONMEDH</v>
      </c>
      <c r="F7771" s="2" t="str">
        <f>"R_REP_PREST_PROCED_CONMEDH"</f>
        <v>R_REP_PREST_PROCED_CONMEDH</v>
      </c>
      <c r="G7771" s="2" t="str">
        <f t="shared" si="637"/>
        <v xml:space="preserve"> ()</v>
      </c>
    </row>
    <row r="7772" spans="1:7" x14ac:dyDescent="0.3">
      <c r="A7772" s="1" t="s">
        <v>4</v>
      </c>
      <c r="B7772" s="2" t="str">
        <f t="shared" si="633"/>
        <v>MVSAUDE</v>
      </c>
      <c r="C7772" s="2" t="str">
        <f t="shared" si="634"/>
        <v>PLANO</v>
      </c>
      <c r="D7772" s="2" t="str">
        <f t="shared" si="635"/>
        <v>MVS</v>
      </c>
      <c r="E7772" s="2" t="str">
        <f>"RELATORIO DE GUIA DE USUARIOS POR EMPRES"</f>
        <v>RELATORIO DE GUIA DE USUARIOS POR EMPRES</v>
      </c>
      <c r="F7772" s="2" t="str">
        <f>"R_GUIA_POR_USUARIO_EMPRESA_SAMEL"</f>
        <v>R_GUIA_POR_USUARIO_EMPRESA_SAMEL</v>
      </c>
      <c r="G7772" s="2" t="str">
        <f t="shared" si="637"/>
        <v xml:space="preserve"> ()</v>
      </c>
    </row>
    <row r="7773" spans="1:7" x14ac:dyDescent="0.3">
      <c r="A7773" s="1" t="s">
        <v>4</v>
      </c>
      <c r="B7773" s="2" t="str">
        <f t="shared" si="633"/>
        <v>MVSAUDE</v>
      </c>
      <c r="C7773" s="2" t="str">
        <f t="shared" si="634"/>
        <v>PLANO</v>
      </c>
      <c r="D7773" s="2" t="str">
        <f t="shared" si="635"/>
        <v>MVS</v>
      </c>
      <c r="E7773" s="2" t="str">
        <f>"M_CONTRATOS_EMITIDOS"</f>
        <v>M_CONTRATOS_EMITIDOS</v>
      </c>
      <c r="F7773" s="2" t="str">
        <f>"M_CONTRATOS_EMITIDOS"</f>
        <v>M_CONTRATOS_EMITIDOS</v>
      </c>
      <c r="G7773" s="2" t="str">
        <f t="shared" si="637"/>
        <v xml:space="preserve"> ()</v>
      </c>
    </row>
    <row r="7774" spans="1:7" x14ac:dyDescent="0.3">
      <c r="A7774" s="1" t="s">
        <v>4</v>
      </c>
      <c r="B7774" s="2" t="str">
        <f t="shared" si="633"/>
        <v>MVSAUDE</v>
      </c>
      <c r="C7774" s="2" t="str">
        <f t="shared" si="634"/>
        <v>PLANO</v>
      </c>
      <c r="D7774" s="2" t="str">
        <f t="shared" si="635"/>
        <v>MVS</v>
      </c>
      <c r="E7774" s="2" t="str">
        <f>"TRIGGER DE ATUALIZAÇÃO DO CONTAS A RECEB"</f>
        <v>TRIGGER DE ATUALIZAÇÃO DO CONTAS A RECEB</v>
      </c>
      <c r="F7774" s="2" t="str">
        <f>"TRG_MENS_CONTA_REC"</f>
        <v>TRG_MENS_CONTA_REC</v>
      </c>
      <c r="G7774" s="2" t="str">
        <f t="shared" si="637"/>
        <v xml:space="preserve"> ()</v>
      </c>
    </row>
    <row r="7775" spans="1:7" x14ac:dyDescent="0.3">
      <c r="A7775" s="1" t="s">
        <v>4</v>
      </c>
      <c r="B7775" s="2" t="str">
        <f t="shared" si="633"/>
        <v>MVSAUDE</v>
      </c>
      <c r="C7775" s="2" t="str">
        <f t="shared" si="634"/>
        <v>PLANO</v>
      </c>
      <c r="D7775" s="2" t="str">
        <f t="shared" si="635"/>
        <v>MVS</v>
      </c>
      <c r="E7775" s="2" t="str">
        <f>"M_ATUALIZA_CR"</f>
        <v>M_ATUALIZA_CR</v>
      </c>
      <c r="F7775" s="2" t="str">
        <f>"M_ATUALIZA_CR"</f>
        <v>M_ATUALIZA_CR</v>
      </c>
      <c r="G7775" s="2" t="str">
        <f t="shared" si="637"/>
        <v xml:space="preserve"> ()</v>
      </c>
    </row>
    <row r="7776" spans="1:7" x14ac:dyDescent="0.3">
      <c r="A7776" s="1" t="s">
        <v>4</v>
      </c>
      <c r="B7776" s="2" t="str">
        <f t="shared" si="633"/>
        <v>MVSAUDE</v>
      </c>
      <c r="C7776" s="2" t="str">
        <f t="shared" si="634"/>
        <v>PLANO</v>
      </c>
      <c r="D7776" s="2" t="str">
        <f t="shared" si="635"/>
        <v>MVS</v>
      </c>
      <c r="E7776" s="2" t="str">
        <f>"R_EMICAR_SAMEL"</f>
        <v>R_EMICAR_SAMEL</v>
      </c>
      <c r="F7776" s="2" t="str">
        <f>"R_EMICAR_SAMEL"</f>
        <v>R_EMICAR_SAMEL</v>
      </c>
      <c r="G7776" s="2" t="str">
        <f t="shared" si="637"/>
        <v xml:space="preserve"> ()</v>
      </c>
    </row>
    <row r="7777" spans="1:7" x14ac:dyDescent="0.3">
      <c r="A7777" s="1" t="s">
        <v>4</v>
      </c>
      <c r="B7777" s="2" t="str">
        <f t="shared" si="633"/>
        <v>MVSAUDE</v>
      </c>
      <c r="C7777" s="2" t="str">
        <f t="shared" si="634"/>
        <v>PLANO</v>
      </c>
      <c r="D7777" s="2" t="str">
        <f t="shared" si="635"/>
        <v>MVS</v>
      </c>
      <c r="E7777" s="2" t="str">
        <f>"R_USU_EMP_INC_ATI_EXC"</f>
        <v>R_USU_EMP_INC_ATI_EXC</v>
      </c>
      <c r="F7777" s="2" t="str">
        <f>"R_USU_EMP_INC_ATI_EXC"</f>
        <v>R_USU_EMP_INC_ATI_EXC</v>
      </c>
      <c r="G7777" s="2" t="str">
        <f t="shared" si="637"/>
        <v xml:space="preserve"> ()</v>
      </c>
    </row>
    <row r="7778" spans="1:7" x14ac:dyDescent="0.3">
      <c r="A7778" s="1" t="s">
        <v>4</v>
      </c>
      <c r="B7778" s="2" t="str">
        <f t="shared" si="633"/>
        <v>MVSAUDE</v>
      </c>
      <c r="C7778" s="2" t="str">
        <f t="shared" si="634"/>
        <v>PLANO</v>
      </c>
      <c r="D7778" s="2" t="str">
        <f t="shared" si="635"/>
        <v>MVS</v>
      </c>
      <c r="E7778" s="2" t="str">
        <f>"CONTRATOS VENDIDOS  POR UNIDADE"</f>
        <v>CONTRATOS VENDIDOS  POR UNIDADE</v>
      </c>
      <c r="F7778" s="2" t="str">
        <f>"R_VENDAS_EMP_UNI"</f>
        <v>R_VENDAS_EMP_UNI</v>
      </c>
      <c r="G7778" s="2" t="str">
        <f t="shared" si="637"/>
        <v xml:space="preserve"> ()</v>
      </c>
    </row>
    <row r="7779" spans="1:7" x14ac:dyDescent="0.3">
      <c r="A7779" s="1" t="s">
        <v>4</v>
      </c>
      <c r="B7779" s="2" t="str">
        <f t="shared" si="633"/>
        <v>MVSAUDE</v>
      </c>
      <c r="C7779" s="2" t="str">
        <f t="shared" si="634"/>
        <v>PLANO</v>
      </c>
      <c r="D7779" s="2" t="str">
        <f t="shared" si="635"/>
        <v>MVS</v>
      </c>
      <c r="E7779" s="2" t="str">
        <f>"R_PROC_USUARIO_860"</f>
        <v>R_PROC_USUARIO_860</v>
      </c>
      <c r="F7779" s="2" t="str">
        <f>"R_PROC_USUARIO_860"</f>
        <v>R_PROC_USUARIO_860</v>
      </c>
      <c r="G7779" s="2" t="str">
        <f t="shared" si="637"/>
        <v xml:space="preserve"> ()</v>
      </c>
    </row>
    <row r="7780" spans="1:7" x14ac:dyDescent="0.3">
      <c r="A7780" s="1" t="s">
        <v>4</v>
      </c>
      <c r="B7780" s="2" t="str">
        <f t="shared" si="633"/>
        <v>MVSAUDE</v>
      </c>
      <c r="C7780" s="2" t="str">
        <f t="shared" si="634"/>
        <v>PLANO</v>
      </c>
      <c r="D7780" s="2" t="str">
        <f t="shared" si="635"/>
        <v>MVS</v>
      </c>
      <c r="E7780" s="2" t="str">
        <f>"REL. DE INTERNAÇÕES"</f>
        <v>REL. DE INTERNAÇÕES</v>
      </c>
      <c r="F7780" s="2" t="str">
        <f>"R_INT_CONTA_HOSPITALAR"</f>
        <v>R_INT_CONTA_HOSPITALAR</v>
      </c>
      <c r="G7780" s="2" t="str">
        <f t="shared" si="637"/>
        <v xml:space="preserve"> ()</v>
      </c>
    </row>
    <row r="7781" spans="1:7" x14ac:dyDescent="0.3">
      <c r="A7781" s="1" t="s">
        <v>4</v>
      </c>
      <c r="B7781" s="2" t="str">
        <f t="shared" si="633"/>
        <v>MVSAUDE</v>
      </c>
      <c r="C7781" s="2" t="str">
        <f t="shared" si="634"/>
        <v>PLANO</v>
      </c>
      <c r="D7781" s="2" t="str">
        <f t="shared" si="635"/>
        <v>MVS</v>
      </c>
      <c r="E7781" s="2" t="str">
        <f>"R_BOLETO_BB_UNIHOSP.RDF"</f>
        <v>R_BOLETO_BB_UNIHOSP.RDF</v>
      </c>
      <c r="F7781" s="2" t="str">
        <f>"R_BOLETO_BB_UNIHOSP.RDF"</f>
        <v>R_BOLETO_BB_UNIHOSP.RDF</v>
      </c>
      <c r="G7781" s="2" t="str">
        <f t="shared" si="637"/>
        <v xml:space="preserve"> ()</v>
      </c>
    </row>
    <row r="7782" spans="1:7" x14ac:dyDescent="0.3">
      <c r="A7782" s="1" t="s">
        <v>4</v>
      </c>
      <c r="B7782" s="2" t="str">
        <f t="shared" si="633"/>
        <v>MVSAUDE</v>
      </c>
      <c r="C7782" s="2" t="str">
        <f t="shared" si="634"/>
        <v>PLANO</v>
      </c>
      <c r="D7782" s="2" t="str">
        <f t="shared" si="635"/>
        <v>MVS</v>
      </c>
      <c r="E7782" s="2" t="str">
        <f>"REL. DE EXMAES SOLICITADOR POR REMESSA"</f>
        <v>REL. DE EXMAES SOLICITADOR POR REMESSA</v>
      </c>
      <c r="F7782" s="2" t="str">
        <f>"R_EXAMES_RED_SOLIC"</f>
        <v>R_EXAMES_RED_SOLIC</v>
      </c>
      <c r="G7782" s="2" t="str">
        <f t="shared" si="637"/>
        <v xml:space="preserve"> ()</v>
      </c>
    </row>
    <row r="7783" spans="1:7" x14ac:dyDescent="0.3">
      <c r="A7783" s="1" t="s">
        <v>4</v>
      </c>
      <c r="B7783" s="2" t="str">
        <f t="shared" si="633"/>
        <v>MVSAUDE</v>
      </c>
      <c r="C7783" s="2" t="str">
        <f t="shared" si="634"/>
        <v>PLANO</v>
      </c>
      <c r="D7783" s="2" t="str">
        <f t="shared" si="635"/>
        <v>MVS</v>
      </c>
      <c r="E7783" s="2" t="str">
        <f>"REL DE PROC. COM REDUCAO POR REMESSA"</f>
        <v>REL DE PROC. COM REDUCAO POR REMESSA</v>
      </c>
      <c r="F7783" s="2" t="str">
        <f>"R_PROCED_RED_REMESSA"</f>
        <v>R_PROCED_RED_REMESSA</v>
      </c>
      <c r="G7783" s="2" t="str">
        <f t="shared" si="637"/>
        <v xml:space="preserve"> ()</v>
      </c>
    </row>
    <row r="7784" spans="1:7" x14ac:dyDescent="0.3">
      <c r="A7784" s="1" t="s">
        <v>4</v>
      </c>
      <c r="B7784" s="2" t="str">
        <f t="shared" si="633"/>
        <v>MVSAUDE</v>
      </c>
      <c r="C7784" s="2" t="str">
        <f t="shared" si="634"/>
        <v>PLANO</v>
      </c>
      <c r="D7784" s="2" t="str">
        <f t="shared" si="635"/>
        <v>MVS</v>
      </c>
      <c r="E7784" s="2" t="str">
        <f>"R_SIT_MENSALIDADE_COMPETENCIA"</f>
        <v>R_SIT_MENSALIDADE_COMPETENCIA</v>
      </c>
      <c r="F7784" s="2" t="str">
        <f>"R_SIT_MENSALIDADE_COMPETENCIA"</f>
        <v>R_SIT_MENSALIDADE_COMPETENCIA</v>
      </c>
      <c r="G7784" s="2" t="str">
        <f t="shared" si="637"/>
        <v xml:space="preserve"> ()</v>
      </c>
    </row>
    <row r="7785" spans="1:7" x14ac:dyDescent="0.3">
      <c r="A7785" s="1" t="s">
        <v>4</v>
      </c>
      <c r="B7785" s="2" t="str">
        <f t="shared" si="633"/>
        <v>MVSAUDE</v>
      </c>
      <c r="C7785" s="2" t="str">
        <f t="shared" si="634"/>
        <v>PLANO</v>
      </c>
      <c r="D7785" s="2" t="str">
        <f t="shared" si="635"/>
        <v>MVS</v>
      </c>
      <c r="E7785" s="2" t="str">
        <f>"R_EMPRESA_PRESTADORES"</f>
        <v>R_EMPRESA_PRESTADORES</v>
      </c>
      <c r="F7785" s="2" t="str">
        <f>"R_EMPRESA_PRESTADORES"</f>
        <v>R_EMPRESA_PRESTADORES</v>
      </c>
      <c r="G7785" s="2" t="str">
        <f t="shared" si="637"/>
        <v xml:space="preserve"> ()</v>
      </c>
    </row>
    <row r="7786" spans="1:7" x14ac:dyDescent="0.3">
      <c r="A7786" s="1" t="s">
        <v>4</v>
      </c>
      <c r="B7786" s="2" t="str">
        <f t="shared" si="633"/>
        <v>MVSAUDE</v>
      </c>
      <c r="C7786" s="2" t="str">
        <f t="shared" si="634"/>
        <v>PLANO</v>
      </c>
      <c r="D7786" s="2" t="str">
        <f t="shared" si="635"/>
        <v>MVS</v>
      </c>
      <c r="E7786" s="2" t="str">
        <f>"ASSOCIADO EMPRESA"</f>
        <v>ASSOCIADO EMPRESA</v>
      </c>
      <c r="F7786" s="2" t="str">
        <f>"M_CONS_FUNC_SOROCABA"</f>
        <v>M_CONS_FUNC_SOROCABA</v>
      </c>
      <c r="G7786" s="2" t="str">
        <f t="shared" si="637"/>
        <v xml:space="preserve"> ()</v>
      </c>
    </row>
    <row r="7787" spans="1:7" x14ac:dyDescent="0.3">
      <c r="A7787" s="1" t="s">
        <v>4</v>
      </c>
      <c r="B7787" s="2" t="str">
        <f t="shared" si="633"/>
        <v>MVSAUDE</v>
      </c>
      <c r="C7787" s="2" t="str">
        <f t="shared" si="634"/>
        <v>PLANO</v>
      </c>
      <c r="D7787" s="2" t="str">
        <f t="shared" si="635"/>
        <v>MVS</v>
      </c>
      <c r="E7787" s="2" t="str">
        <f>"PESQUISA - CONTRATO FAMILIAR"</f>
        <v>PESQUISA - CONTRATO FAMILIAR</v>
      </c>
      <c r="F7787" s="2" t="str">
        <f>"C_CONT_FAMILIAR_SOROCABA"</f>
        <v>C_CONT_FAMILIAR_SOROCABA</v>
      </c>
      <c r="G7787" s="2" t="str">
        <f t="shared" si="637"/>
        <v xml:space="preserve"> ()</v>
      </c>
    </row>
    <row r="7788" spans="1:7" x14ac:dyDescent="0.3">
      <c r="A7788" s="1" t="s">
        <v>4</v>
      </c>
      <c r="B7788" s="2" t="str">
        <f t="shared" si="633"/>
        <v>MVSAUDE</v>
      </c>
      <c r="C7788" s="2" t="str">
        <f t="shared" si="634"/>
        <v>PLANO</v>
      </c>
      <c r="D7788" s="2" t="str">
        <f t="shared" si="635"/>
        <v>MVS</v>
      </c>
      <c r="E7788" s="2" t="str">
        <f>"R_MAPA_DISTRIBUICAO_COMISSAO"</f>
        <v>R_MAPA_DISTRIBUICAO_COMISSAO</v>
      </c>
      <c r="F7788" s="2" t="str">
        <f>"R_MAPA_DISTRIBUICAO_COMISSAO"</f>
        <v>R_MAPA_DISTRIBUICAO_COMISSAO</v>
      </c>
      <c r="G7788" s="2" t="str">
        <f t="shared" si="637"/>
        <v xml:space="preserve"> ()</v>
      </c>
    </row>
    <row r="7789" spans="1:7" x14ac:dyDescent="0.3">
      <c r="A7789" s="1" t="s">
        <v>4</v>
      </c>
      <c r="B7789" s="2" t="str">
        <f t="shared" si="633"/>
        <v>MVSAUDE</v>
      </c>
      <c r="C7789" s="2" t="str">
        <f t="shared" si="634"/>
        <v>PLANO</v>
      </c>
      <c r="D7789" s="2" t="str">
        <f t="shared" si="635"/>
        <v>MVS</v>
      </c>
      <c r="E7789" s="2" t="str">
        <f>" R_ADESAO_USUARIO_UNIHOSP"</f>
        <v xml:space="preserve"> R_ADESAO_USUARIO_UNIHOSP</v>
      </c>
      <c r="F7789" s="2" t="str">
        <f>" R_ADESAO_USUARIO_UNIHOSP"</f>
        <v xml:space="preserve"> R_ADESAO_USUARIO_UNIHOSP</v>
      </c>
      <c r="G7789" s="2" t="str">
        <f t="shared" si="637"/>
        <v xml:space="preserve"> ()</v>
      </c>
    </row>
    <row r="7790" spans="1:7" x14ac:dyDescent="0.3">
      <c r="A7790" s="1" t="s">
        <v>4</v>
      </c>
      <c r="B7790" s="2" t="str">
        <f t="shared" si="633"/>
        <v>MVSAUDE</v>
      </c>
      <c r="C7790" s="2" t="str">
        <f t="shared" si="634"/>
        <v>PLANO</v>
      </c>
      <c r="D7790" s="2" t="str">
        <f t="shared" si="635"/>
        <v>MVS</v>
      </c>
      <c r="E7790" s="2" t="str">
        <f>"DESMONSTRATIVO DE PAGAMENTO PROVISIONADO"</f>
        <v>DESMONSTRATIVO DE PAGAMENTO PROVISIONADO</v>
      </c>
      <c r="F7790" s="2" t="str">
        <f>"R_RAZAO_PRESTADOR_PROVISIONADO"</f>
        <v>R_RAZAO_PRESTADOR_PROVISIONADO</v>
      </c>
      <c r="G7790" s="2" t="str">
        <f>"MVSaude / Relatórios / Contas Médicas / Provisão de Pagamento (R_RAZAO_PRESTADOR_PROVISIONADO)"</f>
        <v>MVSaude / Relatórios / Contas Médicas / Provisão de Pagamento (R_RAZAO_PRESTADOR_PROVISIONADO)</v>
      </c>
    </row>
    <row r="7791" spans="1:7" x14ac:dyDescent="0.3">
      <c r="A7791" s="1" t="s">
        <v>4</v>
      </c>
      <c r="B7791" s="2" t="str">
        <f t="shared" si="633"/>
        <v>MVSAUDE</v>
      </c>
      <c r="C7791" s="2" t="str">
        <f t="shared" si="634"/>
        <v>PLANO</v>
      </c>
      <c r="D7791" s="2" t="str">
        <f t="shared" si="635"/>
        <v>MVS</v>
      </c>
      <c r="E7791" s="2" t="str">
        <f>"C_ESTIMATIVA_FATURAMENTO_752"</f>
        <v>C_ESTIMATIVA_FATURAMENTO_752</v>
      </c>
      <c r="F7791" s="2" t="str">
        <f>"C_ESTIMATIVA_FATURAMENTO_752"</f>
        <v>C_ESTIMATIVA_FATURAMENTO_752</v>
      </c>
      <c r="G7791" s="2" t="str">
        <f>" ()"</f>
        <v xml:space="preserve"> ()</v>
      </c>
    </row>
    <row r="7792" spans="1:7" x14ac:dyDescent="0.3">
      <c r="A7792" s="1" t="s">
        <v>4</v>
      </c>
      <c r="B7792" s="2" t="str">
        <f t="shared" si="633"/>
        <v>MVSAUDE</v>
      </c>
      <c r="C7792" s="2" t="str">
        <f t="shared" si="634"/>
        <v>PLANO</v>
      </c>
      <c r="D7792" s="2" t="str">
        <f t="shared" si="635"/>
        <v>MVS</v>
      </c>
      <c r="E7792" s="2" t="str">
        <f>"M_RESTRICAO"</f>
        <v>M_RESTRICAO</v>
      </c>
      <c r="F7792" s="2" t="str">
        <f>"M_RESTRICAO"</f>
        <v>M_RESTRICAO</v>
      </c>
      <c r="G7792" s="2" t="str">
        <f>"MVSaude / Configurações / Configurar Restrições de Procedimentos (M_RESTRICAO)"</f>
        <v>MVSaude / Configurações / Configurar Restrições de Procedimentos (M_RESTRICAO)</v>
      </c>
    </row>
    <row r="7793" spans="1:7" x14ac:dyDescent="0.3">
      <c r="A7793" s="1" t="s">
        <v>4</v>
      </c>
      <c r="B7793" s="2" t="str">
        <f t="shared" si="633"/>
        <v>MVSAUDE</v>
      </c>
      <c r="C7793" s="2" t="str">
        <f t="shared" si="634"/>
        <v>PLANO</v>
      </c>
      <c r="D7793" s="2" t="str">
        <f t="shared" si="635"/>
        <v>MVS</v>
      </c>
      <c r="E7793" s="2" t="str">
        <f>"ANÁLISE DA CARTEIRA"</f>
        <v>ANÁLISE DA CARTEIRA</v>
      </c>
      <c r="F7793" s="2" t="str">
        <f>"C_CARTEIRA"</f>
        <v>C_CARTEIRA</v>
      </c>
      <c r="G7793" s="2" t="str">
        <f>" ()"</f>
        <v xml:space="preserve"> ()</v>
      </c>
    </row>
    <row r="7794" spans="1:7" x14ac:dyDescent="0.3">
      <c r="A7794" s="1" t="s">
        <v>4</v>
      </c>
      <c r="B7794" s="2" t="str">
        <f t="shared" si="633"/>
        <v>MVSAUDE</v>
      </c>
      <c r="C7794" s="2" t="str">
        <f t="shared" si="634"/>
        <v>PLANO</v>
      </c>
      <c r="D7794" s="2" t="str">
        <f t="shared" si="635"/>
        <v>MVS</v>
      </c>
      <c r="E7794" s="2" t="str">
        <f>"INCONSISTÊNCIAS DE PROTOCOLO"</f>
        <v>INCONSISTÊNCIAS DE PROTOCOLO</v>
      </c>
      <c r="F7794" s="2" t="str">
        <f>"R_INCONSISTENCIAS_PROTOCOLO"</f>
        <v>R_INCONSISTENCIAS_PROTOCOLO</v>
      </c>
      <c r="G7794" s="2" t="str">
        <f>" ()"</f>
        <v xml:space="preserve"> ()</v>
      </c>
    </row>
    <row r="7795" spans="1:7" x14ac:dyDescent="0.3">
      <c r="A7795" s="1" t="s">
        <v>4</v>
      </c>
      <c r="B7795" s="2" t="str">
        <f t="shared" si="633"/>
        <v>MVSAUDE</v>
      </c>
      <c r="C7795" s="2" t="str">
        <f t="shared" si="634"/>
        <v>PLANO</v>
      </c>
      <c r="D7795" s="2" t="str">
        <f t="shared" si="635"/>
        <v>MVS</v>
      </c>
      <c r="E7795" s="2" t="str">
        <f>"TIPOS DE KITS"</f>
        <v>TIPOS DE KITS</v>
      </c>
      <c r="F7795" s="2" t="str">
        <f>"M_KIT_MVSAUDE"</f>
        <v>M_KIT_MVSAUDE</v>
      </c>
      <c r="G7795" s="2" t="str">
        <f>" ()"</f>
        <v xml:space="preserve"> ()</v>
      </c>
    </row>
    <row r="7796" spans="1:7" x14ac:dyDescent="0.3">
      <c r="A7796" s="1" t="s">
        <v>4</v>
      </c>
      <c r="B7796" s="2" t="str">
        <f t="shared" si="633"/>
        <v>MVSAUDE</v>
      </c>
      <c r="C7796" s="2" t="str">
        <f t="shared" si="634"/>
        <v>PLANO</v>
      </c>
      <c r="D7796" s="2" t="str">
        <f t="shared" si="635"/>
        <v>MVS</v>
      </c>
      <c r="E7796" s="2" t="str">
        <f>"RELATÓRIO DA RN Nº 96 - ANEXO IV"</f>
        <v>RELATÓRIO DA RN Nº 96 - ANEXO IV</v>
      </c>
      <c r="F7796" s="2" t="str">
        <f>"R_RN96_ANEXO_IV"</f>
        <v>R_RN96_ANEXO_IV</v>
      </c>
      <c r="G7796" s="2" t="str">
        <f>"MVSaude / ANS / SIP / Até 2009 / Anexo IV (R_RN96_ANEXO_IV)"</f>
        <v>MVSaude / ANS / SIP / Até 2009 / Anexo IV (R_RN96_ANEXO_IV)</v>
      </c>
    </row>
    <row r="7797" spans="1:7" x14ac:dyDescent="0.3">
      <c r="A7797" s="1" t="s">
        <v>4</v>
      </c>
      <c r="B7797" s="2" t="str">
        <f t="shared" si="633"/>
        <v>MVSAUDE</v>
      </c>
      <c r="C7797" s="2" t="str">
        <f t="shared" si="634"/>
        <v>PLANO</v>
      </c>
      <c r="D7797" s="2" t="str">
        <f t="shared" si="635"/>
        <v>MVS</v>
      </c>
      <c r="E7797" s="2" t="str">
        <f>"RELATÓRIO DA Nº RN 96 - ANEXO III"</f>
        <v>RELATÓRIO DA Nº RN 96 - ANEXO III</v>
      </c>
      <c r="F7797" s="2" t="str">
        <f>"R_RN96_ANEXO_III"</f>
        <v>R_RN96_ANEXO_III</v>
      </c>
      <c r="G7797" s="2" t="str">
        <f>"MVSaude / ANS / SIP / Até 2009 / Anexo III (R_RN96_ANEXO_III)"</f>
        <v>MVSaude / ANS / SIP / Até 2009 / Anexo III (R_RN96_ANEXO_III)</v>
      </c>
    </row>
    <row r="7798" spans="1:7" x14ac:dyDescent="0.3">
      <c r="A7798" s="1" t="s">
        <v>4</v>
      </c>
      <c r="B7798" s="2" t="str">
        <f t="shared" si="633"/>
        <v>MVSAUDE</v>
      </c>
      <c r="C7798" s="2" t="str">
        <f t="shared" si="634"/>
        <v>PLANO</v>
      </c>
      <c r="D7798" s="2" t="str">
        <f t="shared" si="635"/>
        <v>MVS</v>
      </c>
      <c r="E7798" s="2" t="str">
        <f>"EXTRATO DE UTILIZACAO DO BENEFICIARIO"</f>
        <v>EXTRATO DE UTILIZACAO DO BENEFICIARIO</v>
      </c>
      <c r="F7798" s="2" t="str">
        <f>"C_VIDA_USUARIO"</f>
        <v>C_VIDA_USUARIO</v>
      </c>
      <c r="G7798" s="2" t="str">
        <f>"MVSaude / Consultas / Extrato de Utilização do Beneficiário (C_VIDA_USUARIO)"</f>
        <v>MVSaude / Consultas / Extrato de Utilização do Beneficiário (C_VIDA_USUARIO)</v>
      </c>
    </row>
    <row r="7799" spans="1:7" x14ac:dyDescent="0.3">
      <c r="A7799" s="1" t="s">
        <v>4</v>
      </c>
      <c r="B7799" s="2" t="str">
        <f t="shared" si="633"/>
        <v>MVSAUDE</v>
      </c>
      <c r="C7799" s="2" t="str">
        <f t="shared" si="634"/>
        <v>PLANO</v>
      </c>
      <c r="D7799" s="2" t="str">
        <f t="shared" si="635"/>
        <v>MVS</v>
      </c>
      <c r="E7799" s="2" t="str">
        <f>"BALANCETE DE RECEITAS E DESPESAS"</f>
        <v>BALANCETE DE RECEITAS E DESPESAS</v>
      </c>
      <c r="F7799" s="2" t="str">
        <f>"R_MVS_BALANCETE_CTABIL"</f>
        <v>R_MVS_BALANCETE_CTABIL</v>
      </c>
      <c r="G7799" s="2" t="str">
        <f>"MVSaude / ANS / DIOPS / Balancete de Receitas e Despesas (R_MVS_BALANCETE_CTABIL)"</f>
        <v>MVSaude / ANS / DIOPS / Balancete de Receitas e Despesas (R_MVS_BALANCETE_CTABIL)</v>
      </c>
    </row>
    <row r="7800" spans="1:7" x14ac:dyDescent="0.3">
      <c r="A7800" s="1" t="s">
        <v>4</v>
      </c>
      <c r="B7800" s="2" t="str">
        <f t="shared" si="633"/>
        <v>MVSAUDE</v>
      </c>
      <c r="C7800" s="2" t="str">
        <f t="shared" si="634"/>
        <v>PLANO</v>
      </c>
      <c r="D7800" s="2" t="str">
        <f t="shared" si="635"/>
        <v>MVS</v>
      </c>
      <c r="E7800" s="2" t="str">
        <f>"REGISROS AUXILIARES CONTABEIS"</f>
        <v>REGISROS AUXILIARES CONTABEIS</v>
      </c>
      <c r="F7800" s="2" t="str">
        <f>"M_REG_AUX_CONTABIL"</f>
        <v>M_REG_AUX_CONTABIL</v>
      </c>
      <c r="G7800" s="2" t="str">
        <f>" ()"</f>
        <v xml:space="preserve"> ()</v>
      </c>
    </row>
    <row r="7801" spans="1:7" x14ac:dyDescent="0.3">
      <c r="A7801" s="1" t="s">
        <v>4</v>
      </c>
      <c r="B7801" s="2" t="str">
        <f t="shared" si="633"/>
        <v>MVSAUDE</v>
      </c>
      <c r="C7801" s="2" t="str">
        <f t="shared" si="634"/>
        <v>PLANO</v>
      </c>
      <c r="D7801" s="2" t="str">
        <f t="shared" si="635"/>
        <v>MVS</v>
      </c>
      <c r="E7801" s="2" t="str">
        <f>"GERACAO DE RECEITA AVULSA"</f>
        <v>GERACAO DE RECEITA AVULSA</v>
      </c>
      <c r="F7801" s="2" t="str">
        <f>"O_MENSALIDADE_AVULSA"</f>
        <v>O_MENSALIDADE_AVULSA</v>
      </c>
      <c r="G7801" s="2" t="str">
        <f>"MVSaude / Faturamento / Geração de Receita Avulsa (O_MENSALIDADE_AVULSA)"</f>
        <v>MVSaude / Faturamento / Geração de Receita Avulsa (O_MENSALIDADE_AVULSA)</v>
      </c>
    </row>
    <row r="7802" spans="1:7" x14ac:dyDescent="0.3">
      <c r="A7802" s="1" t="s">
        <v>4</v>
      </c>
      <c r="B7802" s="2" t="str">
        <f t="shared" si="633"/>
        <v>MVSAUDE</v>
      </c>
      <c r="C7802" s="2" t="str">
        <f t="shared" si="634"/>
        <v>PLANO</v>
      </c>
      <c r="D7802" s="2" t="str">
        <f t="shared" si="635"/>
        <v>MVS</v>
      </c>
      <c r="E7802" s="2" t="str">
        <f>"DESLIGAMENTO DE SERVICOS DE USUARIOS"</f>
        <v>DESLIGAMENTO DE SERVICOS DE USUARIOS</v>
      </c>
      <c r="F7802" s="2" t="str">
        <f>"M_DESLIGA_SERVICO"</f>
        <v>M_DESLIGA_SERVICO</v>
      </c>
      <c r="G7802" s="2" t="str">
        <f>"MVSaude / Cadastros / Desligamento / Reativação / Serviço (M_DESLIGA_SERVICO)"</f>
        <v>MVSaude / Cadastros / Desligamento / Reativação / Serviço (M_DESLIGA_SERVICO)</v>
      </c>
    </row>
    <row r="7803" spans="1:7" x14ac:dyDescent="0.3">
      <c r="A7803" s="1" t="s">
        <v>4</v>
      </c>
      <c r="B7803" s="2" t="str">
        <f t="shared" si="633"/>
        <v>MVSAUDE</v>
      </c>
      <c r="C7803" s="2" t="str">
        <f t="shared" si="634"/>
        <v>PLANO</v>
      </c>
      <c r="D7803" s="2" t="str">
        <f t="shared" si="635"/>
        <v>MVS</v>
      </c>
      <c r="E7803" s="2" t="str">
        <f>"R_DESPESA_CONTRATO_FATURA"</f>
        <v>R_DESPESA_CONTRATO_FATURA</v>
      </c>
      <c r="F7803" s="2" t="str">
        <f>"R_DESPESA_CONTRATO_FATURA"</f>
        <v>R_DESPESA_CONTRATO_FATURA</v>
      </c>
      <c r="G7803" s="2" t="str">
        <f>"MVSaude / Relatórios / Administrativos / Contratos / Despesas por Fatura (R_DESPESA_CONTRATO_FATURA)"</f>
        <v>MVSaude / Relatórios / Administrativos / Contratos / Despesas por Fatura (R_DESPESA_CONTRATO_FATURA)</v>
      </c>
    </row>
    <row r="7804" spans="1:7" x14ac:dyDescent="0.3">
      <c r="A7804" s="1" t="s">
        <v>4</v>
      </c>
      <c r="B7804" s="2" t="str">
        <f t="shared" si="633"/>
        <v>MVSAUDE</v>
      </c>
      <c r="C7804" s="2" t="str">
        <f t="shared" si="634"/>
        <v>PLANO</v>
      </c>
      <c r="D7804" s="2" t="str">
        <f t="shared" si="635"/>
        <v>MVS</v>
      </c>
      <c r="E7804" s="2" t="str">
        <f>"RELATÓRIO DA TABELA DE FATURAS"</f>
        <v>RELATÓRIO DA TABELA DE FATURAS</v>
      </c>
      <c r="F7804" s="2" t="str">
        <f>"R_FATURA_MVS"</f>
        <v>R_FATURA_MVS</v>
      </c>
      <c r="G7804" s="2" t="str">
        <f>"MVSaude / Relatórios / Tabelas / Faturamento / Cadastro de Fatura (R_FATURA_MVS)"</f>
        <v>MVSaude / Relatórios / Tabelas / Faturamento / Cadastro de Fatura (R_FATURA_MVS)</v>
      </c>
    </row>
    <row r="7805" spans="1:7" x14ac:dyDescent="0.3">
      <c r="A7805" s="1" t="s">
        <v>4</v>
      </c>
      <c r="B7805" s="2" t="str">
        <f t="shared" si="633"/>
        <v>MVSAUDE</v>
      </c>
      <c r="C7805" s="2" t="str">
        <f t="shared" si="634"/>
        <v>PLANO</v>
      </c>
      <c r="D7805" s="2" t="str">
        <f t="shared" si="635"/>
        <v>MVS</v>
      </c>
      <c r="E7805" s="2" t="str">
        <f>"CADASTRO: PROCEDIMENTOS"</f>
        <v>CADASTRO: PROCEDIMENTOS</v>
      </c>
      <c r="F7805" s="2" t="str">
        <f>"C_PROCEDI"</f>
        <v>C_PROCEDI</v>
      </c>
      <c r="G7805" s="2" t="str">
        <f>" ()"</f>
        <v xml:space="preserve"> ()</v>
      </c>
    </row>
    <row r="7806" spans="1:7" x14ac:dyDescent="0.3">
      <c r="A7806" s="1" t="s">
        <v>4</v>
      </c>
      <c r="B7806" s="2" t="str">
        <f t="shared" si="633"/>
        <v>MVSAUDE</v>
      </c>
      <c r="C7806" s="2" t="str">
        <f t="shared" si="634"/>
        <v>PLANO</v>
      </c>
      <c r="D7806" s="2" t="str">
        <f t="shared" si="635"/>
        <v>MVS</v>
      </c>
      <c r="E7806" s="2" t="str">
        <f>"CONFIGURAÇÕES POR TIPO DE CONTRATO"</f>
        <v>CONFIGURAÇÕES POR TIPO DE CONTRATO</v>
      </c>
      <c r="F7806" s="2" t="str">
        <f>"M_CFG_TIPO_CONTRATO"</f>
        <v>M_CFG_TIPO_CONTRATO</v>
      </c>
      <c r="G7806" s="2" t="str">
        <f>"MVSaude / Configurações / Tipos de Contrato (M_CFG_TIPO_CONTRATO)"</f>
        <v>MVSaude / Configurações / Tipos de Contrato (M_CFG_TIPO_CONTRATO)</v>
      </c>
    </row>
    <row r="7807" spans="1:7" x14ac:dyDescent="0.3">
      <c r="A7807" s="1" t="s">
        <v>4</v>
      </c>
      <c r="B7807" s="2" t="str">
        <f t="shared" si="633"/>
        <v>MVSAUDE</v>
      </c>
      <c r="C7807" s="2" t="str">
        <f t="shared" si="634"/>
        <v>PLANO</v>
      </c>
      <c r="D7807" s="2" t="str">
        <f t="shared" si="635"/>
        <v>MVS</v>
      </c>
      <c r="E7807" s="2" t="str">
        <f>"UNIDADES DE TEMPO DE DOENÇA"</f>
        <v>UNIDADES DE TEMPO DE DOENÇA</v>
      </c>
      <c r="F7807" s="2" t="str">
        <f>"M_UNIDADE_TEMPO_DOENCA"</f>
        <v>M_UNIDADE_TEMPO_DOENCA</v>
      </c>
      <c r="G7807" s="2" t="str">
        <f>"MVSaude / ANS / TISS / Tabelas de Domínio / Unidades de Tempo de Doença (M_UNIDADE_TEMPO_DOENCA)"</f>
        <v>MVSaude / ANS / TISS / Tabelas de Domínio / Unidades de Tempo de Doença (M_UNIDADE_TEMPO_DOENCA)</v>
      </c>
    </row>
    <row r="7808" spans="1:7" x14ac:dyDescent="0.3">
      <c r="A7808" s="1" t="s">
        <v>4</v>
      </c>
      <c r="B7808" s="2" t="str">
        <f t="shared" ref="B7808:B7871" si="638">"MVSAUDE"</f>
        <v>MVSAUDE</v>
      </c>
      <c r="C7808" s="2" t="str">
        <f t="shared" ref="C7808:C7871" si="639">"PLANO"</f>
        <v>PLANO</v>
      </c>
      <c r="D7808" s="2" t="str">
        <f t="shared" ref="D7808:D7871" si="640">"MVS"</f>
        <v>MVS</v>
      </c>
      <c r="E7808" s="2" t="str">
        <f>"TIPO DE FATURAMENTO"</f>
        <v>TIPO DE FATURAMENTO</v>
      </c>
      <c r="F7808" s="2" t="str">
        <f>"M_TIPO_FATURAMENTO"</f>
        <v>M_TIPO_FATURAMENTO</v>
      </c>
      <c r="G7808" s="2" t="str">
        <f>"MVSaude / ANS / TISS / Tabelas de Domínio / Tipos de Faturamento (M_TIPO_FATURAMENTO)"</f>
        <v>MVSaude / ANS / TISS / Tabelas de Domínio / Tipos de Faturamento (M_TIPO_FATURAMENTO)</v>
      </c>
    </row>
    <row r="7809" spans="1:7" x14ac:dyDescent="0.3">
      <c r="A7809" s="1" t="s">
        <v>4</v>
      </c>
      <c r="B7809" s="2" t="str">
        <f t="shared" si="638"/>
        <v>MVSAUDE</v>
      </c>
      <c r="C7809" s="2" t="str">
        <f t="shared" si="639"/>
        <v>PLANO</v>
      </c>
      <c r="D7809" s="2" t="str">
        <f t="shared" si="640"/>
        <v>MVS</v>
      </c>
      <c r="E7809" s="2" t="str">
        <f>"TIPO DE DOENÇA"</f>
        <v>TIPO DE DOENÇA</v>
      </c>
      <c r="F7809" s="2" t="str">
        <f>"M_TIPO_DOENCA"</f>
        <v>M_TIPO_DOENCA</v>
      </c>
      <c r="G7809" s="2" t="str">
        <f>"MVSaude / ANS / TISS / Tabelas de Domínio / Tipos de Doencas (M_TIPO_DOENCA)"</f>
        <v>MVSaude / ANS / TISS / Tabelas de Domínio / Tipos de Doencas (M_TIPO_DOENCA)</v>
      </c>
    </row>
    <row r="7810" spans="1:7" x14ac:dyDescent="0.3">
      <c r="A7810" s="1" t="s">
        <v>4</v>
      </c>
      <c r="B7810" s="2" t="str">
        <f t="shared" si="638"/>
        <v>MVSAUDE</v>
      </c>
      <c r="C7810" s="2" t="str">
        <f t="shared" si="639"/>
        <v>PLANO</v>
      </c>
      <c r="D7810" s="2" t="str">
        <f t="shared" si="640"/>
        <v>MVS</v>
      </c>
      <c r="E7810" s="2" t="str">
        <f>"TÉCNICA UTILIZADA"</f>
        <v>TÉCNICA UTILIZADA</v>
      </c>
      <c r="F7810" s="2" t="str">
        <f>"M_TECNICA_UTILIZADA"</f>
        <v>M_TECNICA_UTILIZADA</v>
      </c>
      <c r="G7810" s="2" t="str">
        <f>"MVSaude / ANS / TISS / Tabelas de Domínio / Tecnicas Utilizadas (M_TECNICA_UTILIZADA)"</f>
        <v>MVSaude / ANS / TISS / Tabelas de Domínio / Tecnicas Utilizadas (M_TECNICA_UTILIZADA)</v>
      </c>
    </row>
    <row r="7811" spans="1:7" x14ac:dyDescent="0.3">
      <c r="A7811" s="1" t="s">
        <v>4</v>
      </c>
      <c r="B7811" s="2" t="str">
        <f t="shared" si="638"/>
        <v>MVSAUDE</v>
      </c>
      <c r="C7811" s="2" t="str">
        <f t="shared" si="639"/>
        <v>PLANO</v>
      </c>
      <c r="D7811" s="2" t="str">
        <f t="shared" si="640"/>
        <v>MVS</v>
      </c>
      <c r="E7811" s="2" t="str">
        <f>"RPC - REAJUSTE DE PLANOS COLETIVOS"</f>
        <v>RPC - REAJUSTE DE PLANOS COLETIVOS</v>
      </c>
      <c r="F7811" s="2" t="str">
        <f>"R_RPC"</f>
        <v>R_RPC</v>
      </c>
      <c r="G7811" s="2" t="str">
        <f>"MVSaude / ANS / RPC (R_RPC)"</f>
        <v>MVSaude / ANS / RPC (R_RPC)</v>
      </c>
    </row>
    <row r="7812" spans="1:7" x14ac:dyDescent="0.3">
      <c r="A7812" s="1" t="s">
        <v>4</v>
      </c>
      <c r="B7812" s="2" t="str">
        <f t="shared" si="638"/>
        <v>MVSAUDE</v>
      </c>
      <c r="C7812" s="2" t="str">
        <f t="shared" si="639"/>
        <v>PLANO</v>
      </c>
      <c r="D7812" s="2" t="str">
        <f t="shared" si="640"/>
        <v>MVS</v>
      </c>
      <c r="E7812" s="2" t="str">
        <f>"ENVIOS"</f>
        <v>ENVIOS</v>
      </c>
      <c r="F7812" s="2" t="str">
        <f>"M_SIP_PERIODO"</f>
        <v>M_SIP_PERIODO</v>
      </c>
      <c r="G7812" s="2" t="str">
        <f>"MVSaude / ANS / SIP / SIP - XML / Envios (M_SIP_PERIODO)"</f>
        <v>MVSaude / ANS / SIP / SIP - XML / Envios (M_SIP_PERIODO)</v>
      </c>
    </row>
    <row r="7813" spans="1:7" x14ac:dyDescent="0.3">
      <c r="A7813" s="1" t="s">
        <v>4</v>
      </c>
      <c r="B7813" s="2" t="str">
        <f t="shared" si="638"/>
        <v>MVSAUDE</v>
      </c>
      <c r="C7813" s="2" t="str">
        <f t="shared" si="639"/>
        <v>PLANO</v>
      </c>
      <c r="D7813" s="2" t="str">
        <f t="shared" si="640"/>
        <v>MVS</v>
      </c>
      <c r="E7813" s="2" t="str">
        <f>"RELATÓRIO RN Nº 86 - ANEXO I"</f>
        <v>RELATÓRIO RN Nº 86 - ANEXO I</v>
      </c>
      <c r="F7813" s="2" t="str">
        <f>"R_RN96_ANEXO_I"</f>
        <v>R_RN96_ANEXO_I</v>
      </c>
      <c r="G7813" s="2" t="str">
        <f>"MVSaude / ANS / SIP / Até 2009 / Anexo I (R_RN96_ANEXO_I)"</f>
        <v>MVSaude / ANS / SIP / Até 2009 / Anexo I (R_RN96_ANEXO_I)</v>
      </c>
    </row>
    <row r="7814" spans="1:7" x14ac:dyDescent="0.3">
      <c r="A7814" s="1" t="s">
        <v>4</v>
      </c>
      <c r="B7814" s="2" t="str">
        <f t="shared" si="638"/>
        <v>MVSAUDE</v>
      </c>
      <c r="C7814" s="2" t="str">
        <f t="shared" si="639"/>
        <v>PLANO</v>
      </c>
      <c r="D7814" s="2" t="str">
        <f t="shared" si="640"/>
        <v>MVS</v>
      </c>
      <c r="E7814" s="2" t="str">
        <f>"PEONA"</f>
        <v>PEONA</v>
      </c>
      <c r="F7814" s="2" t="str">
        <f>"R_PEONA"</f>
        <v>R_PEONA</v>
      </c>
      <c r="G7814" s="2" t="str">
        <f>"MVSaude / ANS / PEONA (R_PEONA)"</f>
        <v>MVSaude / ANS / PEONA (R_PEONA)</v>
      </c>
    </row>
    <row r="7815" spans="1:7" x14ac:dyDescent="0.3">
      <c r="A7815" s="1" t="s">
        <v>4</v>
      </c>
      <c r="B7815" s="2" t="str">
        <f t="shared" si="638"/>
        <v>MVSAUDE</v>
      </c>
      <c r="C7815" s="2" t="str">
        <f t="shared" si="639"/>
        <v>PLANO</v>
      </c>
      <c r="D7815" s="2" t="str">
        <f t="shared" si="640"/>
        <v>MVS</v>
      </c>
      <c r="E7815" s="2" t="str">
        <f>"SIP - ITENS ASSISTENCIAIS"</f>
        <v>SIP - ITENS ASSISTENCIAIS</v>
      </c>
      <c r="F7815" s="2" t="str">
        <f>"M_ITEM_ASSIST"</f>
        <v>M_ITEM_ASSIST</v>
      </c>
      <c r="G7815" s="2" t="str">
        <f>"MVSaude / ANS / SIP / SIP - XML / Itens Assistenciais (M_ITEM_ASSIST)"</f>
        <v>MVSaude / ANS / SIP / SIP - XML / Itens Assistenciais (M_ITEM_ASSIST)</v>
      </c>
    </row>
    <row r="7816" spans="1:7" x14ac:dyDescent="0.3">
      <c r="A7816" s="1" t="s">
        <v>4</v>
      </c>
      <c r="B7816" s="2" t="str">
        <f t="shared" si="638"/>
        <v>MVSAUDE</v>
      </c>
      <c r="C7816" s="2" t="str">
        <f t="shared" si="639"/>
        <v>PLANO</v>
      </c>
      <c r="D7816" s="2" t="str">
        <f t="shared" si="640"/>
        <v>MVS</v>
      </c>
      <c r="E7816" s="2" t="str">
        <f>"R_BENEFICIARIO_ATIVO"</f>
        <v>R_BENEFICIARIO_ATIVO</v>
      </c>
      <c r="F7816" s="2" t="str">
        <f>"R_BENEFICIARIO_ATIVO"</f>
        <v>R_BENEFICIARIO_ATIVO</v>
      </c>
      <c r="G7816" s="2" t="str">
        <f>"MVSaude / Relatórios / Administrativos / Contratos / Beneficiários Ativos (R_BENEFICIARIO_ATIVO)"</f>
        <v>MVSaude / Relatórios / Administrativos / Contratos / Beneficiários Ativos (R_BENEFICIARIO_ATIVO)</v>
      </c>
    </row>
    <row r="7817" spans="1:7" x14ac:dyDescent="0.3">
      <c r="A7817" s="1" t="s">
        <v>4</v>
      </c>
      <c r="B7817" s="2" t="str">
        <f t="shared" si="638"/>
        <v>MVSAUDE</v>
      </c>
      <c r="C7817" s="2" t="str">
        <f t="shared" si="639"/>
        <v>PLANO</v>
      </c>
      <c r="D7817" s="2" t="str">
        <f t="shared" si="640"/>
        <v>MVS</v>
      </c>
      <c r="E7817" s="2" t="str">
        <f>"R_BENEFICIARIO_ATIVO"</f>
        <v>R_BENEFICIARIO_ATIVO</v>
      </c>
      <c r="F7817" s="2" t="str">
        <f>"R_BENEFICIARIO_ATIVO"</f>
        <v>R_BENEFICIARIO_ATIVO</v>
      </c>
      <c r="G7817" s="2" t="str">
        <f>"MVSaude / Relatórios / Administrativos / Contratos / Beneficiários Ativos (R_BENEFICIARIO_ATIVO)"</f>
        <v>MVSaude / Relatórios / Administrativos / Contratos / Beneficiários Ativos (R_BENEFICIARIO_ATIVO)</v>
      </c>
    </row>
    <row r="7818" spans="1:7" x14ac:dyDescent="0.3">
      <c r="A7818" s="1" t="s">
        <v>4</v>
      </c>
      <c r="B7818" s="2" t="str">
        <f t="shared" si="638"/>
        <v>MVSAUDE</v>
      </c>
      <c r="C7818" s="2" t="str">
        <f t="shared" si="639"/>
        <v>PLANO</v>
      </c>
      <c r="D7818" s="2" t="str">
        <f t="shared" si="640"/>
        <v>MVS</v>
      </c>
      <c r="E7818" s="2" t="str">
        <f>"BENEFICIÁRIO"</f>
        <v>BENEFICIÁRIO</v>
      </c>
      <c r="F7818" s="2" t="str">
        <f>"M_USUARIO_MVSAUDE"</f>
        <v>M_USUARIO_MVSAUDE</v>
      </c>
      <c r="G7818" s="2" t="str">
        <f>"MVSaude / Consultas / Beneficiários (M_USUARIO_MVSAUDE)"</f>
        <v>MVSaude / Consultas / Beneficiários (M_USUARIO_MVSAUDE)</v>
      </c>
    </row>
    <row r="7819" spans="1:7" x14ac:dyDescent="0.3">
      <c r="A7819" s="1" t="s">
        <v>4</v>
      </c>
      <c r="B7819" s="2" t="str">
        <f t="shared" si="638"/>
        <v>MVSAUDE</v>
      </c>
      <c r="C7819" s="2" t="str">
        <f t="shared" si="639"/>
        <v>PLANO</v>
      </c>
      <c r="D7819" s="2" t="str">
        <f t="shared" si="640"/>
        <v>MVS</v>
      </c>
      <c r="E7819" s="2" t="str">
        <f>"O_GERA_PROCESS_CB_NOTA_FISCAL"</f>
        <v>O_GERA_PROCESS_CB_NOTA_FISCAL</v>
      </c>
      <c r="F7819" s="2" t="str">
        <f>"1024255"</f>
        <v>1024255</v>
      </c>
      <c r="G7819" s="2" t="str">
        <f t="shared" ref="G7819:G7824" si="641">" ()"</f>
        <v xml:space="preserve"> ()</v>
      </c>
    </row>
    <row r="7820" spans="1:7" x14ac:dyDescent="0.3">
      <c r="A7820" s="1" t="s">
        <v>4</v>
      </c>
      <c r="B7820" s="2" t="str">
        <f t="shared" si="638"/>
        <v>MVSAUDE</v>
      </c>
      <c r="C7820" s="2" t="str">
        <f t="shared" si="639"/>
        <v>PLANO</v>
      </c>
      <c r="D7820" s="2" t="str">
        <f t="shared" si="640"/>
        <v>MVS</v>
      </c>
      <c r="E7820" s="2" t="str">
        <f>"R_EVENTOS_RESSARCIDOS_RESUMIDO"</f>
        <v>R_EVENTOS_RESSARCIDOS_RESUMIDO</v>
      </c>
      <c r="F7820" s="2" t="str">
        <f>"R_EVENTOS_RESSARCIDOS_RESUMIDO"</f>
        <v>R_EVENTOS_RESSARCIDOS_RESUMIDO</v>
      </c>
      <c r="G7820" s="2" t="str">
        <f t="shared" si="641"/>
        <v xml:space="preserve"> ()</v>
      </c>
    </row>
    <row r="7821" spans="1:7" x14ac:dyDescent="0.3">
      <c r="A7821" s="1" t="s">
        <v>4</v>
      </c>
      <c r="B7821" s="2" t="str">
        <f t="shared" si="638"/>
        <v>MVSAUDE</v>
      </c>
      <c r="C7821" s="2" t="str">
        <f t="shared" si="639"/>
        <v>PLANO</v>
      </c>
      <c r="D7821" s="2" t="str">
        <f t="shared" si="640"/>
        <v>MVS</v>
      </c>
      <c r="E7821" s="2" t="str">
        <f>"R_EVENTOS_RESSARCIDOS"</f>
        <v>R_EVENTOS_RESSARCIDOS</v>
      </c>
      <c r="F7821" s="2" t="str">
        <f>"R_EVENTOS_RESSARCIDOS"</f>
        <v>R_EVENTOS_RESSARCIDOS</v>
      </c>
      <c r="G7821" s="2" t="str">
        <f t="shared" si="641"/>
        <v xml:space="preserve"> ()</v>
      </c>
    </row>
    <row r="7822" spans="1:7" x14ac:dyDescent="0.3">
      <c r="A7822" s="1" t="s">
        <v>4</v>
      </c>
      <c r="B7822" s="2" t="str">
        <f t="shared" si="638"/>
        <v>MVSAUDE</v>
      </c>
      <c r="C7822" s="2" t="str">
        <f t="shared" si="639"/>
        <v>PLANO</v>
      </c>
      <c r="D7822" s="2" t="str">
        <f t="shared" si="640"/>
        <v>MVS</v>
      </c>
      <c r="E7822" s="2" t="str">
        <f>"O_IMPBOLETO_GRAFICA_336.FMB"</f>
        <v>O_IMPBOLETO_GRAFICA_336.FMB</v>
      </c>
      <c r="F7822" s="2" t="str">
        <f>"O_IMPBOLETO_GRAFICA_336.FMB"</f>
        <v>O_IMPBOLETO_GRAFICA_336.FMB</v>
      </c>
      <c r="G7822" s="2" t="str">
        <f t="shared" si="641"/>
        <v xml:space="preserve"> ()</v>
      </c>
    </row>
    <row r="7823" spans="1:7" x14ac:dyDescent="0.3">
      <c r="A7823" s="1" t="s">
        <v>4</v>
      </c>
      <c r="B7823" s="2" t="str">
        <f t="shared" si="638"/>
        <v>MVSAUDE</v>
      </c>
      <c r="C7823" s="2" t="str">
        <f t="shared" si="639"/>
        <v>PLANO</v>
      </c>
      <c r="D7823" s="2" t="str">
        <f t="shared" si="640"/>
        <v>MVS</v>
      </c>
      <c r="E7823" s="2" t="str">
        <f>"O_GERAPS"</f>
        <v>O_GERAPS</v>
      </c>
      <c r="F7823" s="2" t="str">
        <f>"O_GERAPS"</f>
        <v>O_GERAPS</v>
      </c>
      <c r="G7823" s="2" t="str">
        <f t="shared" si="641"/>
        <v xml:space="preserve"> ()</v>
      </c>
    </row>
    <row r="7824" spans="1:7" x14ac:dyDescent="0.3">
      <c r="A7824" s="1" t="s">
        <v>4</v>
      </c>
      <c r="B7824" s="2" t="str">
        <f t="shared" si="638"/>
        <v>MVSAUDE</v>
      </c>
      <c r="C7824" s="2" t="str">
        <f t="shared" si="639"/>
        <v>PLANO</v>
      </c>
      <c r="D7824" s="2" t="str">
        <f t="shared" si="640"/>
        <v>MVS</v>
      </c>
      <c r="E7824" s="2" t="str">
        <f>"RELATÓRIO PER CAPITA POR EMPRESA"</f>
        <v>RELATÓRIO PER CAPITA POR EMPRESA</v>
      </c>
      <c r="F7824" s="2" t="str">
        <f>"R_PERCAPITA_301"</f>
        <v>R_PERCAPITA_301</v>
      </c>
      <c r="G7824" s="2" t="str">
        <f t="shared" si="641"/>
        <v xml:space="preserve"> ()</v>
      </c>
    </row>
    <row r="7825" spans="1:7" x14ac:dyDescent="0.3">
      <c r="A7825" s="1" t="s">
        <v>4</v>
      </c>
      <c r="B7825" s="2" t="str">
        <f t="shared" si="638"/>
        <v>MVSAUDE</v>
      </c>
      <c r="C7825" s="2" t="str">
        <f t="shared" si="639"/>
        <v>PLANO</v>
      </c>
      <c r="D7825" s="2" t="str">
        <f t="shared" si="640"/>
        <v>MVS</v>
      </c>
      <c r="E7825" s="2" t="str">
        <f>"R_DISTR_ATENDIMENTOS_SAC"</f>
        <v>R_DISTR_ATENDIMENTOS_SAC</v>
      </c>
      <c r="F7825" s="2" t="str">
        <f>"R_DISTR_ATENDIMENTOS_SAC"</f>
        <v>R_DISTR_ATENDIMENTOS_SAC</v>
      </c>
      <c r="G7825" s="2" t="str">
        <f>"MVSaude / Relatórios / Atendimentos / SAC / Distribuição dos Atendimentos (R_DISTR_ATENDIMENTOS_SAC)"</f>
        <v>MVSaude / Relatórios / Atendimentos / SAC / Distribuição dos Atendimentos (R_DISTR_ATENDIMENTOS_SAC)</v>
      </c>
    </row>
    <row r="7826" spans="1:7" x14ac:dyDescent="0.3">
      <c r="A7826" s="1" t="s">
        <v>4</v>
      </c>
      <c r="B7826" s="2" t="str">
        <f t="shared" si="638"/>
        <v>MVSAUDE</v>
      </c>
      <c r="C7826" s="2" t="str">
        <f t="shared" si="639"/>
        <v>PLANO</v>
      </c>
      <c r="D7826" s="2" t="str">
        <f t="shared" si="640"/>
        <v>MVS</v>
      </c>
      <c r="E7826" s="2" t="str">
        <f>"RELATÓRIO MOVIMENTO DE EXCLUSÃO"</f>
        <v>RELATÓRIO MOVIMENTO DE EXCLUSÃO</v>
      </c>
      <c r="F7826" s="2" t="str">
        <f>"R_MOVIMENTO_DE_EXCLUSAO"</f>
        <v>R_MOVIMENTO_DE_EXCLUSAO</v>
      </c>
      <c r="G7826" s="2" t="str">
        <f t="shared" ref="G7826:G7837" si="642">" ()"</f>
        <v xml:space="preserve"> ()</v>
      </c>
    </row>
    <row r="7827" spans="1:7" x14ac:dyDescent="0.3">
      <c r="A7827" s="1" t="s">
        <v>4</v>
      </c>
      <c r="B7827" s="2" t="str">
        <f t="shared" si="638"/>
        <v>MVSAUDE</v>
      </c>
      <c r="C7827" s="2" t="str">
        <f t="shared" si="639"/>
        <v>PLANO</v>
      </c>
      <c r="D7827" s="2" t="str">
        <f t="shared" si="640"/>
        <v>MVS</v>
      </c>
      <c r="E7827" s="2" t="str">
        <f>"R_USUARIO_CATEG_FAIXA_ETARIA"</f>
        <v>R_USUARIO_CATEG_FAIXA_ETARIA</v>
      </c>
      <c r="F7827" s="2" t="str">
        <f>"R_USUARIO_CATEG_FAIXA_ETARIA"</f>
        <v>R_USUARIO_CATEG_FAIXA_ETARIA</v>
      </c>
      <c r="G7827" s="2" t="str">
        <f t="shared" si="642"/>
        <v xml:space="preserve"> ()</v>
      </c>
    </row>
    <row r="7828" spans="1:7" x14ac:dyDescent="0.3">
      <c r="A7828" s="1" t="s">
        <v>4</v>
      </c>
      <c r="B7828" s="2" t="str">
        <f t="shared" si="638"/>
        <v>MVSAUDE</v>
      </c>
      <c r="C7828" s="2" t="str">
        <f t="shared" si="639"/>
        <v>PLANO</v>
      </c>
      <c r="D7828" s="2" t="str">
        <f t="shared" si="640"/>
        <v>MVS</v>
      </c>
      <c r="E7828" s="2" t="str">
        <f>"RELATÓRIO ATENDIMENTOS X ESPECIALIDADES"</f>
        <v>RELATÓRIO ATENDIMENTOS X ESPECIALIDADES</v>
      </c>
      <c r="F7828" s="2" t="str">
        <f>"R_ESPECIALIDADE_301"</f>
        <v>R_ESPECIALIDADE_301</v>
      </c>
      <c r="G7828" s="2" t="str">
        <f t="shared" si="642"/>
        <v xml:space="preserve"> ()</v>
      </c>
    </row>
    <row r="7829" spans="1:7" x14ac:dyDescent="0.3">
      <c r="A7829" s="1" t="s">
        <v>4</v>
      </c>
      <c r="B7829" s="2" t="str">
        <f t="shared" si="638"/>
        <v>MVSAUDE</v>
      </c>
      <c r="C7829" s="2" t="str">
        <f t="shared" si="639"/>
        <v>PLANO</v>
      </c>
      <c r="D7829" s="2" t="str">
        <f t="shared" si="640"/>
        <v>MVS</v>
      </c>
      <c r="E7829" s="2" t="str">
        <f>"ETIQUETAS DE CARTEIRINHAS PROVISÓRIAS"</f>
        <v>ETIQUETAS DE CARTEIRINHAS PROVISÓRIAS</v>
      </c>
      <c r="F7829" s="2" t="str">
        <f>"R_EMICAR_PROVISORIA_1401"</f>
        <v>R_EMICAR_PROVISORIA_1401</v>
      </c>
      <c r="G7829" s="2" t="str">
        <f t="shared" si="642"/>
        <v xml:space="preserve"> ()</v>
      </c>
    </row>
    <row r="7830" spans="1:7" x14ac:dyDescent="0.3">
      <c r="A7830" s="1" t="s">
        <v>4</v>
      </c>
      <c r="B7830" s="2" t="str">
        <f t="shared" si="638"/>
        <v>MVSAUDE</v>
      </c>
      <c r="C7830" s="2" t="str">
        <f t="shared" si="639"/>
        <v>PLANO</v>
      </c>
      <c r="D7830" s="2" t="str">
        <f t="shared" si="640"/>
        <v>MVS</v>
      </c>
      <c r="E7830" s="2" t="str">
        <f>"R_EMPRESA_ADESAO_1401"</f>
        <v>R_EMPRESA_ADESAO_1401</v>
      </c>
      <c r="F7830" s="2" t="str">
        <f>"R_EMPRESA_ADESAO_1401"</f>
        <v>R_EMPRESA_ADESAO_1401</v>
      </c>
      <c r="G7830" s="2" t="str">
        <f t="shared" si="642"/>
        <v xml:space="preserve"> ()</v>
      </c>
    </row>
    <row r="7831" spans="1:7" x14ac:dyDescent="0.3">
      <c r="A7831" s="1" t="s">
        <v>4</v>
      </c>
      <c r="B7831" s="2" t="str">
        <f t="shared" si="638"/>
        <v>MVSAUDE</v>
      </c>
      <c r="C7831" s="2" t="str">
        <f t="shared" si="639"/>
        <v>PLANO</v>
      </c>
      <c r="D7831" s="2" t="str">
        <f t="shared" si="640"/>
        <v>MVS</v>
      </c>
      <c r="E7831" s="2" t="str">
        <f>"R_REC_DES_TABELA_PRECO"</f>
        <v>R_REC_DES_TABELA_PRECO</v>
      </c>
      <c r="F7831" s="2" t="str">
        <f>"R_REC_DES_TABELA_PRECO"</f>
        <v>R_REC_DES_TABELA_PRECO</v>
      </c>
      <c r="G7831" s="2" t="str">
        <f t="shared" si="642"/>
        <v xml:space="preserve"> ()</v>
      </c>
    </row>
    <row r="7832" spans="1:7" x14ac:dyDescent="0.3">
      <c r="A7832" s="1" t="s">
        <v>4</v>
      </c>
      <c r="B7832" s="2" t="str">
        <f t="shared" si="638"/>
        <v>MVSAUDE</v>
      </c>
      <c r="C7832" s="2" t="str">
        <f t="shared" si="639"/>
        <v>PLANO</v>
      </c>
      <c r="D7832" s="2" t="str">
        <f t="shared" si="640"/>
        <v>MVS</v>
      </c>
      <c r="E7832" s="2" t="str">
        <f>"M_REGRA_DEP_AGREG"</f>
        <v>M_REGRA_DEP_AGREG</v>
      </c>
      <c r="F7832" s="2" t="str">
        <f>"M_REGRA_DEP_AGREG"</f>
        <v>M_REGRA_DEP_AGREG</v>
      </c>
      <c r="G7832" s="2" t="str">
        <f t="shared" si="642"/>
        <v xml:space="preserve"> ()</v>
      </c>
    </row>
    <row r="7833" spans="1:7" x14ac:dyDescent="0.3">
      <c r="A7833" s="1" t="s">
        <v>4</v>
      </c>
      <c r="B7833" s="2" t="str">
        <f t="shared" si="638"/>
        <v>MVSAUDE</v>
      </c>
      <c r="C7833" s="2" t="str">
        <f t="shared" si="639"/>
        <v>PLANO</v>
      </c>
      <c r="D7833" s="2" t="str">
        <f t="shared" si="640"/>
        <v>MVS</v>
      </c>
      <c r="E7833" s="2" t="str">
        <f>"O_GERARQMS_336.FMX"</f>
        <v>O_GERARQMS_336.FMX</v>
      </c>
      <c r="F7833" s="2" t="str">
        <f>"O_GERARQMS_336.FMX"</f>
        <v>O_GERARQMS_336.FMX</v>
      </c>
      <c r="G7833" s="2" t="str">
        <f t="shared" si="642"/>
        <v xml:space="preserve"> ()</v>
      </c>
    </row>
    <row r="7834" spans="1:7" x14ac:dyDescent="0.3">
      <c r="A7834" s="1" t="s">
        <v>4</v>
      </c>
      <c r="B7834" s="2" t="str">
        <f t="shared" si="638"/>
        <v>MVSAUDE</v>
      </c>
      <c r="C7834" s="2" t="str">
        <f t="shared" si="639"/>
        <v>PLANO</v>
      </c>
      <c r="D7834" s="2" t="str">
        <f t="shared" si="640"/>
        <v>MVS</v>
      </c>
      <c r="E7834" s="2" t="str">
        <f>"ACRÉSCIMO OU DESCONTO NAS MENSALIDADES"</f>
        <v>ACRÉSCIMO OU DESCONTO NAS MENSALIDADES</v>
      </c>
      <c r="F7834" s="2" t="str">
        <f>"M_CONTRATO_ACRES_DESC"</f>
        <v>M_CONTRATO_ACRES_DESC</v>
      </c>
      <c r="G7834" s="2" t="str">
        <f t="shared" si="642"/>
        <v xml:space="preserve"> ()</v>
      </c>
    </row>
    <row r="7835" spans="1:7" x14ac:dyDescent="0.3">
      <c r="A7835" s="1" t="s">
        <v>4</v>
      </c>
      <c r="B7835" s="2" t="str">
        <f t="shared" si="638"/>
        <v>MVSAUDE</v>
      </c>
      <c r="C7835" s="2" t="str">
        <f t="shared" si="639"/>
        <v>PLANO</v>
      </c>
      <c r="D7835" s="2" t="str">
        <f t="shared" si="640"/>
        <v>MVS</v>
      </c>
      <c r="E7835" s="2" t="str">
        <f>"O_CALCULA_EXPOSTO"</f>
        <v>O_CALCULA_EXPOSTO</v>
      </c>
      <c r="F7835" s="2" t="str">
        <f>"O_CALCULA_EXPOSTO"</f>
        <v>O_CALCULA_EXPOSTO</v>
      </c>
      <c r="G7835" s="2" t="str">
        <f t="shared" si="642"/>
        <v xml:space="preserve"> ()</v>
      </c>
    </row>
    <row r="7836" spans="1:7" x14ac:dyDescent="0.3">
      <c r="A7836" s="1" t="s">
        <v>4</v>
      </c>
      <c r="B7836" s="2" t="str">
        <f t="shared" si="638"/>
        <v>MVSAUDE</v>
      </c>
      <c r="C7836" s="2" t="str">
        <f t="shared" si="639"/>
        <v>PLANO</v>
      </c>
      <c r="D7836" s="2" t="str">
        <f t="shared" si="640"/>
        <v>MVS</v>
      </c>
      <c r="E7836" s="2" t="str">
        <f>"R_VENDAS_EMP_UNI_VEND"</f>
        <v>R_VENDAS_EMP_UNI_VEND</v>
      </c>
      <c r="F7836" s="2" t="str">
        <f>"R_VENDAS_EMP_UNI_VEND"</f>
        <v>R_VENDAS_EMP_UNI_VEND</v>
      </c>
      <c r="G7836" s="2" t="str">
        <f t="shared" si="642"/>
        <v xml:space="preserve"> ()</v>
      </c>
    </row>
    <row r="7837" spans="1:7" x14ac:dyDescent="0.3">
      <c r="A7837" s="1" t="s">
        <v>4</v>
      </c>
      <c r="B7837" s="2" t="str">
        <f t="shared" si="638"/>
        <v>MVSAUDE</v>
      </c>
      <c r="C7837" s="2" t="str">
        <f t="shared" si="639"/>
        <v>PLANO</v>
      </c>
      <c r="D7837" s="2" t="str">
        <f t="shared" si="640"/>
        <v>MVS</v>
      </c>
      <c r="E7837" s="2" t="str">
        <f>"WIN_PRINCIPAL"</f>
        <v>WIN_PRINCIPAL</v>
      </c>
      <c r="F7837" s="2" t="str">
        <f>"M_ASSISTENTE_PLACTA_RECEITA"</f>
        <v>M_ASSISTENTE_PLACTA_RECEITA</v>
      </c>
      <c r="G7837" s="2" t="str">
        <f t="shared" si="642"/>
        <v xml:space="preserve"> ()</v>
      </c>
    </row>
    <row r="7838" spans="1:7" x14ac:dyDescent="0.3">
      <c r="A7838" s="1" t="s">
        <v>4</v>
      </c>
      <c r="B7838" s="2" t="str">
        <f t="shared" si="638"/>
        <v>MVSAUDE</v>
      </c>
      <c r="C7838" s="2" t="str">
        <f t="shared" si="639"/>
        <v>PLANO</v>
      </c>
      <c r="D7838" s="2" t="str">
        <f t="shared" si="640"/>
        <v>MVS</v>
      </c>
      <c r="E7838" s="2" t="str">
        <f>"FATURA DO CONTRATO EMPRESARIAL"</f>
        <v>FATURA DO CONTRATO EMPRESARIAL</v>
      </c>
      <c r="F7838" s="2" t="str">
        <f>"R_DMED"</f>
        <v>R_DMED</v>
      </c>
      <c r="G7838" s="2" t="str">
        <f>"MVSaude / Relatórios / Faturamento / DMED - Declaração de Serviços Médicos (R_DMED)"</f>
        <v>MVSaude / Relatórios / Faturamento / DMED - Declaração de Serviços Médicos (R_DMED)</v>
      </c>
    </row>
    <row r="7839" spans="1:7" x14ac:dyDescent="0.3">
      <c r="A7839" s="1" t="s">
        <v>4</v>
      </c>
      <c r="B7839" s="2" t="str">
        <f t="shared" si="638"/>
        <v>MVSAUDE</v>
      </c>
      <c r="C7839" s="2" t="str">
        <f t="shared" si="639"/>
        <v>PLANO</v>
      </c>
      <c r="D7839" s="2" t="str">
        <f t="shared" si="640"/>
        <v>MVS</v>
      </c>
      <c r="E7839" s="2" t="str">
        <f>"RESUMO DE RECEITAS POR PERÍODO"</f>
        <v>RESUMO DE RECEITAS POR PERÍODO</v>
      </c>
      <c r="F7839" s="2" t="str">
        <f>"R_RESUMO_RECEITAS"</f>
        <v>R_RESUMO_RECEITAS</v>
      </c>
      <c r="G7839" s="2" t="str">
        <f>"MVSaude / Relatórios / Faturamento / Resumo de Receitas por Período (R_RESUMO_RECEITAS)"</f>
        <v>MVSaude / Relatórios / Faturamento / Resumo de Receitas por Período (R_RESUMO_RECEITAS)</v>
      </c>
    </row>
    <row r="7840" spans="1:7" x14ac:dyDescent="0.3">
      <c r="A7840" s="1" t="s">
        <v>4</v>
      </c>
      <c r="B7840" s="2" t="str">
        <f t="shared" si="638"/>
        <v>MVSAUDE</v>
      </c>
      <c r="C7840" s="2" t="str">
        <f t="shared" si="639"/>
        <v>PLANO</v>
      </c>
      <c r="D7840" s="2" t="str">
        <f t="shared" si="640"/>
        <v>MVS</v>
      </c>
      <c r="E7840" s="2" t="str">
        <f>"R_ESTAT_TP_ATEND"</f>
        <v>R_ESTAT_TP_ATEND</v>
      </c>
      <c r="F7840" s="2" t="str">
        <f>"R_ESTAT_TP_ATEND"</f>
        <v>R_ESTAT_TP_ATEND</v>
      </c>
      <c r="G7840" s="2" t="str">
        <f>"MVSaude / Relatórios / Gerenciais / Estatisticos / Por Tipo de Atendimento (R_ESTAT_TP_ATEND)"</f>
        <v>MVSaude / Relatórios / Gerenciais / Estatisticos / Por Tipo de Atendimento (R_ESTAT_TP_ATEND)</v>
      </c>
    </row>
    <row r="7841" spans="1:7" x14ac:dyDescent="0.3">
      <c r="A7841" s="1" t="s">
        <v>4</v>
      </c>
      <c r="B7841" s="2" t="str">
        <f t="shared" si="638"/>
        <v>MVSAUDE</v>
      </c>
      <c r="C7841" s="2" t="str">
        <f t="shared" si="639"/>
        <v>PLANO</v>
      </c>
      <c r="D7841" s="2" t="str">
        <f t="shared" si="640"/>
        <v>MVS</v>
      </c>
      <c r="E7841" s="2" t="str">
        <f>"R_DEMO_PGT_GTO"</f>
        <v>R_DEMO_PGT_GTO</v>
      </c>
      <c r="F7841" s="2" t="str">
        <f>"R_DEMO_PGT_GTO"</f>
        <v>R_DEMO_PGT_GTO</v>
      </c>
      <c r="G7841" s="2" t="str">
        <f>"MVSaude / Relatórios / Contas Médicas / Repasse dos Prestadores / Demosntrativo de Pagamento (Odontologico) (R_DEMO_PGT_GTO)"</f>
        <v>MVSaude / Relatórios / Contas Médicas / Repasse dos Prestadores / Demosntrativo de Pagamento (Odontologico) (R_DEMO_PGT_GTO)</v>
      </c>
    </row>
    <row r="7842" spans="1:7" x14ac:dyDescent="0.3">
      <c r="A7842" s="1" t="s">
        <v>4</v>
      </c>
      <c r="B7842" s="2" t="str">
        <f t="shared" si="638"/>
        <v>MVSAUDE</v>
      </c>
      <c r="C7842" s="2" t="str">
        <f t="shared" si="639"/>
        <v>PLANO</v>
      </c>
      <c r="D7842" s="2" t="str">
        <f t="shared" si="640"/>
        <v>MVS</v>
      </c>
      <c r="E7842" s="2" t="str">
        <f>"RELATÓRIO DE DEMONSTRATIVOS DE ANÁLISE"</f>
        <v>RELATÓRIO DE DEMONSTRATIVOS DE ANÁLISE</v>
      </c>
      <c r="F7842" s="2" t="str">
        <f>"R_DEMONS_ANA"</f>
        <v>R_DEMONS_ANA</v>
      </c>
      <c r="G7842" s="2" t="str">
        <f>"MVSaude / Relatórios / Contas Médicas / Repasse dos Prestadores / Demonstrativos (Medico-Hospitalar) (R_DEMONS_ANA)"</f>
        <v>MVSaude / Relatórios / Contas Médicas / Repasse dos Prestadores / Demonstrativos (Medico-Hospitalar) (R_DEMONS_ANA)</v>
      </c>
    </row>
    <row r="7843" spans="1:7" x14ac:dyDescent="0.3">
      <c r="A7843" s="1" t="s">
        <v>4</v>
      </c>
      <c r="B7843" s="2" t="str">
        <f t="shared" si="638"/>
        <v>MVSAUDE</v>
      </c>
      <c r="C7843" s="2" t="str">
        <f t="shared" si="639"/>
        <v>PLANO</v>
      </c>
      <c r="D7843" s="2" t="str">
        <f t="shared" si="640"/>
        <v>MVS</v>
      </c>
      <c r="E7843" s="2" t="str">
        <f>"R_REP_PREST_TPPREST"</f>
        <v>R_REP_PREST_TPPREST</v>
      </c>
      <c r="F7843" s="2" t="str">
        <f>"R_REP_PREST_TPPREST"</f>
        <v>R_REP_PREST_TPPREST</v>
      </c>
      <c r="G7843" s="2" t="str">
        <f>"MVSaude / Relatórios / Contas Médicas / Repasse dos Prestadores / Por Tipos de Prestadores (R_REP_PREST_TPPREST)"</f>
        <v>MVSaude / Relatórios / Contas Médicas / Repasse dos Prestadores / Por Tipos de Prestadores (R_REP_PREST_TPPREST)</v>
      </c>
    </row>
    <row r="7844" spans="1:7" x14ac:dyDescent="0.3">
      <c r="A7844" s="1" t="s">
        <v>4</v>
      </c>
      <c r="B7844" s="2" t="str">
        <f t="shared" si="638"/>
        <v>MVSAUDE</v>
      </c>
      <c r="C7844" s="2" t="str">
        <f t="shared" si="639"/>
        <v>PLANO</v>
      </c>
      <c r="D7844" s="2" t="str">
        <f t="shared" si="640"/>
        <v>MVS</v>
      </c>
      <c r="E7844" s="2" t="str">
        <f>"R_RECEITA_301"</f>
        <v>R_RECEITA_301</v>
      </c>
      <c r="F7844" s="2" t="str">
        <f>"R_RECEITA_301"</f>
        <v>R_RECEITA_301</v>
      </c>
      <c r="G7844" s="2" t="str">
        <f>" ()"</f>
        <v xml:space="preserve"> ()</v>
      </c>
    </row>
    <row r="7845" spans="1:7" x14ac:dyDescent="0.3">
      <c r="A7845" s="1" t="s">
        <v>4</v>
      </c>
      <c r="B7845" s="2" t="str">
        <f t="shared" si="638"/>
        <v>MVSAUDE</v>
      </c>
      <c r="C7845" s="2" t="str">
        <f t="shared" si="639"/>
        <v>PLANO</v>
      </c>
      <c r="D7845" s="2" t="str">
        <f t="shared" si="640"/>
        <v>MVS</v>
      </c>
      <c r="E7845" s="2" t="str">
        <f>"R_USUARIO_INC_ALT_EXC"</f>
        <v>R_USUARIO_INC_ALT_EXC</v>
      </c>
      <c r="F7845" s="2" t="str">
        <f>"R_USUARIO_INC_ALT_EXC"</f>
        <v>R_USUARIO_INC_ALT_EXC</v>
      </c>
      <c r="G7845" s="2" t="str">
        <f>" ()"</f>
        <v xml:space="preserve"> ()</v>
      </c>
    </row>
    <row r="7846" spans="1:7" x14ac:dyDescent="0.3">
      <c r="A7846" s="1" t="s">
        <v>4</v>
      </c>
      <c r="B7846" s="2" t="str">
        <f t="shared" si="638"/>
        <v>MVSAUDE</v>
      </c>
      <c r="C7846" s="2" t="str">
        <f t="shared" si="639"/>
        <v>PLANO</v>
      </c>
      <c r="D7846" s="2" t="str">
        <f t="shared" si="640"/>
        <v>MVS</v>
      </c>
      <c r="E7846" s="2" t="str">
        <f>"DEMONSTRATIVO DE PAGAMENTO POR PRESTADOR"</f>
        <v>DEMONSTRATIVO DE PAGAMENTO POR PRESTADOR</v>
      </c>
      <c r="F7846" s="2" t="str">
        <f>"R_RAZAO_PRESTADOR_CON"</f>
        <v>R_RAZAO_PRESTADOR_CON</v>
      </c>
      <c r="G7846" s="2" t="str">
        <f>" ()"</f>
        <v xml:space="preserve"> ()</v>
      </c>
    </row>
    <row r="7847" spans="1:7" x14ac:dyDescent="0.3">
      <c r="A7847" s="1" t="s">
        <v>4</v>
      </c>
      <c r="B7847" s="2" t="str">
        <f t="shared" si="638"/>
        <v>MVSAUDE</v>
      </c>
      <c r="C7847" s="2" t="str">
        <f t="shared" si="639"/>
        <v>PLANO</v>
      </c>
      <c r="D7847" s="2" t="str">
        <f t="shared" si="640"/>
        <v>MVS</v>
      </c>
      <c r="E7847" s="2" t="str">
        <f>"RELATÓRIO DE EXTRATO DE FRANQUIAS"</f>
        <v>RELATÓRIO DE EXTRATO DE FRANQUIAS</v>
      </c>
      <c r="F7847" s="2" t="str">
        <f>"R_EXTRATO_FRANQUIA"</f>
        <v>R_EXTRATO_FRANQUIA</v>
      </c>
      <c r="G7847" s="2" t="str">
        <f>"MVSaude / Relatórios / Contas Médicas / Extrato de Franquias (R_EXTRATO_FRANQUIA)"</f>
        <v>MVSaude / Relatórios / Contas Médicas / Extrato de Franquias (R_EXTRATO_FRANQUIA)</v>
      </c>
    </row>
    <row r="7848" spans="1:7" x14ac:dyDescent="0.3">
      <c r="A7848" s="1" t="s">
        <v>4</v>
      </c>
      <c r="B7848" s="2" t="str">
        <f t="shared" si="638"/>
        <v>MVSAUDE</v>
      </c>
      <c r="C7848" s="2" t="str">
        <f t="shared" si="639"/>
        <v>PLANO</v>
      </c>
      <c r="D7848" s="2" t="str">
        <f t="shared" si="640"/>
        <v>MVS</v>
      </c>
      <c r="E7848" s="2" t="str">
        <f>"DESPESAS ASSISTENCIAIS"</f>
        <v>DESPESAS ASSISTENCIAIS</v>
      </c>
      <c r="F7848" s="2" t="str">
        <f>"R_CTB_DESPESAS"</f>
        <v>R_CTB_DESPESAS</v>
      </c>
      <c r="G7848" s="2" t="str">
        <f>"MVSaude / Relatórios / Contabilidade / Despesas Assistenciais (R_CTB_DESPESAS)"</f>
        <v>MVSaude / Relatórios / Contabilidade / Despesas Assistenciais (R_CTB_DESPESAS)</v>
      </c>
    </row>
    <row r="7849" spans="1:7" x14ac:dyDescent="0.3">
      <c r="A7849" s="1" t="s">
        <v>4</v>
      </c>
      <c r="B7849" s="2" t="str">
        <f t="shared" si="638"/>
        <v>MVSAUDE</v>
      </c>
      <c r="C7849" s="2" t="str">
        <f t="shared" si="639"/>
        <v>PLANO</v>
      </c>
      <c r="D7849" s="2" t="str">
        <f t="shared" si="640"/>
        <v>MVS</v>
      </c>
      <c r="E7849" s="2" t="str">
        <f>"RECEITAS POR CONTA CONTÁBIL"</f>
        <v>RECEITAS POR CONTA CONTÁBIL</v>
      </c>
      <c r="F7849" s="2" t="str">
        <f>"R_RECEITA_CTACTB"</f>
        <v>R_RECEITA_CTACTB</v>
      </c>
      <c r="G7849" s="2" t="str">
        <f>"MVSaude / Relatórios / Contabilidade / Receitas por Conta Contabil (R_RECEITA_CTACTB)"</f>
        <v>MVSaude / Relatórios / Contabilidade / Receitas por Conta Contabil (R_RECEITA_CTACTB)</v>
      </c>
    </row>
    <row r="7850" spans="1:7" x14ac:dyDescent="0.3">
      <c r="A7850" s="1" t="s">
        <v>4</v>
      </c>
      <c r="B7850" s="2" t="str">
        <f t="shared" si="638"/>
        <v>MVSAUDE</v>
      </c>
      <c r="C7850" s="2" t="str">
        <f t="shared" si="639"/>
        <v>PLANO</v>
      </c>
      <c r="D7850" s="2" t="str">
        <f t="shared" si="640"/>
        <v>MVS</v>
      </c>
      <c r="E7850" s="2" t="str">
        <f>"R_CTA_PROVISAO_REC"</f>
        <v>R_CTA_PROVISAO_REC</v>
      </c>
      <c r="F7850" s="2" t="str">
        <f>"R_CTA_PROVISAO_REC"</f>
        <v>R_CTA_PROVISAO_REC</v>
      </c>
      <c r="G7850" s="2" t="str">
        <f>"MVSaude / Relatórios / Contabilidade / Provisão / Cancelamento de Receitas (R_CTA_PROVISAO_REC)"</f>
        <v>MVSaude / Relatórios / Contabilidade / Provisão / Cancelamento de Receitas (R_CTA_PROVISAO_REC)</v>
      </c>
    </row>
    <row r="7851" spans="1:7" x14ac:dyDescent="0.3">
      <c r="A7851" s="1" t="s">
        <v>4</v>
      </c>
      <c r="B7851" s="2" t="str">
        <f t="shared" si="638"/>
        <v>MVSAUDE</v>
      </c>
      <c r="C7851" s="2" t="str">
        <f t="shared" si="639"/>
        <v>PLANO</v>
      </c>
      <c r="D7851" s="2" t="str">
        <f t="shared" si="640"/>
        <v>MVS</v>
      </c>
      <c r="E7851" s="2" t="str">
        <f>"FATURAMENTO ANTECIPADO"</f>
        <v>FATURAMENTO ANTECIPADO</v>
      </c>
      <c r="F7851" s="2" t="str">
        <f>"R_FAT_ANTEC"</f>
        <v>R_FAT_ANTEC</v>
      </c>
      <c r="G7851" s="2" t="str">
        <f>"MVSaude / Relatórios / Contabilidade / Faturamento Antecipado (R_FAT_ANTEC)"</f>
        <v>MVSaude / Relatórios / Contabilidade / Faturamento Antecipado (R_FAT_ANTEC)</v>
      </c>
    </row>
    <row r="7852" spans="1:7" x14ac:dyDescent="0.3">
      <c r="A7852" s="1" t="s">
        <v>4</v>
      </c>
      <c r="B7852" s="2" t="str">
        <f t="shared" si="638"/>
        <v>MVSAUDE</v>
      </c>
      <c r="C7852" s="2" t="str">
        <f t="shared" si="639"/>
        <v>PLANO</v>
      </c>
      <c r="D7852" s="2" t="str">
        <f t="shared" si="640"/>
        <v>MVS</v>
      </c>
      <c r="E7852" s="2" t="str">
        <f>"RELATÓRIO DE VIDAS ATIVAS"</f>
        <v>RELATÓRIO DE VIDAS ATIVAS</v>
      </c>
      <c r="F7852" s="2" t="str">
        <f>"R_VIDAS"</f>
        <v>R_VIDAS</v>
      </c>
      <c r="G7852" s="2" t="str">
        <f>"MVSaude / Relatórios / Cadastros / Número de Vidas (R_VIDAS)"</f>
        <v>MVSaude / Relatórios / Cadastros / Número de Vidas (R_VIDAS)</v>
      </c>
    </row>
    <row r="7853" spans="1:7" x14ac:dyDescent="0.3">
      <c r="A7853" s="1" t="s">
        <v>4</v>
      </c>
      <c r="B7853" s="2" t="str">
        <f t="shared" si="638"/>
        <v>MVSAUDE</v>
      </c>
      <c r="C7853" s="2" t="str">
        <f t="shared" si="639"/>
        <v>PLANO</v>
      </c>
      <c r="D7853" s="2" t="str">
        <f t="shared" si="640"/>
        <v>MVS</v>
      </c>
      <c r="E7853" s="2" t="str">
        <f>"R_MOV_CADASTRAL"</f>
        <v>R_MOV_CADASTRAL</v>
      </c>
      <c r="F7853" s="2" t="str">
        <f>"R_MOV_CADASTRAL"</f>
        <v>R_MOV_CADASTRAL</v>
      </c>
      <c r="G7853" s="2" t="str">
        <f>"MVSaude / Relatórios / Cadastros / Movimento Cadastral de Beneficiarios (R_MOV_CADASTRAL)"</f>
        <v>MVSaude / Relatórios / Cadastros / Movimento Cadastral de Beneficiarios (R_MOV_CADASTRAL)</v>
      </c>
    </row>
    <row r="7854" spans="1:7" x14ac:dyDescent="0.3">
      <c r="A7854" s="1" t="s">
        <v>4</v>
      </c>
      <c r="B7854" s="2" t="str">
        <f t="shared" si="638"/>
        <v>MVSAUDE</v>
      </c>
      <c r="C7854" s="2" t="str">
        <f t="shared" si="639"/>
        <v>PLANO</v>
      </c>
      <c r="D7854" s="2" t="str">
        <f t="shared" si="640"/>
        <v>MVS</v>
      </c>
      <c r="E7854" s="2" t="str">
        <f>"R_DISTR_ATEND_MOT_SAC"</f>
        <v>R_DISTR_ATEND_MOT_SAC</v>
      </c>
      <c r="F7854" s="2" t="str">
        <f>"R_DISTR_ATEND_MOT_SAC"</f>
        <v>R_DISTR_ATEND_MOT_SAC</v>
      </c>
      <c r="G7854" s="2" t="str">
        <f>"MVSaude / Relatórios / Atendimentos / SAC / Distribuição dos Atendimentos por Motivo (R_DISTR_ATEND_MOT_SAC)"</f>
        <v>MVSaude / Relatórios / Atendimentos / SAC / Distribuição dos Atendimentos por Motivo (R_DISTR_ATEND_MOT_SAC)</v>
      </c>
    </row>
    <row r="7855" spans="1:7" x14ac:dyDescent="0.3">
      <c r="A7855" s="1" t="s">
        <v>4</v>
      </c>
      <c r="B7855" s="2" t="str">
        <f t="shared" si="638"/>
        <v>MVSAUDE</v>
      </c>
      <c r="C7855" s="2" t="str">
        <f t="shared" si="639"/>
        <v>PLANO</v>
      </c>
      <c r="D7855" s="2" t="str">
        <f t="shared" si="640"/>
        <v>MVS</v>
      </c>
      <c r="E7855" s="2" t="str">
        <f>"LOTES DE DESLIGAMENTO"</f>
        <v>LOTES DE DESLIGAMENTO</v>
      </c>
      <c r="F7855" s="2" t="str">
        <f>"O_LOTE_DESLIGAMENTO"</f>
        <v>O_LOTE_DESLIGAMENTO</v>
      </c>
      <c r="G7855" s="2" t="str">
        <f>"MVSaude / Cadastros / Desligamento / Reativação / Lotes de Desligamento (O_LOTE_DESLIGAMENTO)"</f>
        <v>MVSaude / Cadastros / Desligamento / Reativação / Lotes de Desligamento (O_LOTE_DESLIGAMENTO)</v>
      </c>
    </row>
    <row r="7856" spans="1:7" x14ac:dyDescent="0.3">
      <c r="A7856" s="1" t="s">
        <v>4</v>
      </c>
      <c r="B7856" s="2" t="str">
        <f t="shared" si="638"/>
        <v>MVSAUDE</v>
      </c>
      <c r="C7856" s="2" t="str">
        <f t="shared" si="639"/>
        <v>PLANO</v>
      </c>
      <c r="D7856" s="2" t="str">
        <f t="shared" si="640"/>
        <v>MVS</v>
      </c>
      <c r="E7856" s="2" t="str">
        <f>"TIPO DE INTERNAÇÃO"</f>
        <v>TIPO DE INTERNAÇÃO</v>
      </c>
      <c r="F7856" s="2" t="str">
        <f>"M_TIPO_INTERNACAO"</f>
        <v>M_TIPO_INTERNACAO</v>
      </c>
      <c r="G7856" s="2" t="str">
        <f>"MVSaude / ANS / TISS / Tabelas de Domínio / Tipos de Internação (M_TIPO_INTERNACAO)"</f>
        <v>MVSaude / ANS / TISS / Tabelas de Domínio / Tipos de Internação (M_TIPO_INTERNACAO)</v>
      </c>
    </row>
    <row r="7857" spans="1:7" x14ac:dyDescent="0.3">
      <c r="A7857" s="1" t="s">
        <v>4</v>
      </c>
      <c r="B7857" s="2" t="str">
        <f t="shared" si="638"/>
        <v>MVSAUDE</v>
      </c>
      <c r="C7857" s="2" t="str">
        <f t="shared" si="639"/>
        <v>PLANO</v>
      </c>
      <c r="D7857" s="2" t="str">
        <f t="shared" si="640"/>
        <v>MVS</v>
      </c>
      <c r="E7857" s="2" t="str">
        <f>"VIAS DE ACESSO"</f>
        <v>VIAS DE ACESSO</v>
      </c>
      <c r="F7857" s="2" t="str">
        <f>"M_CONFIG_TISS"</f>
        <v>M_CONFIG_TISS</v>
      </c>
      <c r="G7857" s="2" t="str">
        <f>"MVSaude / ANS / TISS / Configurações (M_CONFIG_TISS)"</f>
        <v>MVSaude / ANS / TISS / Configurações (M_CONFIG_TISS)</v>
      </c>
    </row>
    <row r="7858" spans="1:7" x14ac:dyDescent="0.3">
      <c r="A7858" s="1" t="s">
        <v>4</v>
      </c>
      <c r="B7858" s="2" t="str">
        <f t="shared" si="638"/>
        <v>MVSAUDE</v>
      </c>
      <c r="C7858" s="2" t="str">
        <f t="shared" si="639"/>
        <v>PLANO</v>
      </c>
      <c r="D7858" s="2" t="str">
        <f t="shared" si="640"/>
        <v>MVS</v>
      </c>
      <c r="E7858" s="2" t="str">
        <f>"GRUPO DE FAIXA DE VIDAS"</f>
        <v>GRUPO DE FAIXA DE VIDAS</v>
      </c>
      <c r="F7858" s="2" t="str">
        <f>"M_FAIXA_VIDAS"</f>
        <v>M_FAIXA_VIDAS</v>
      </c>
      <c r="G7858" s="2" t="str">
        <f>"MVSaude / Cadastros / Faixas de Vidas (M_FAIXA_VIDAS)"</f>
        <v>MVSaude / Cadastros / Faixas de Vidas (M_FAIXA_VIDAS)</v>
      </c>
    </row>
    <row r="7859" spans="1:7" x14ac:dyDescent="0.3">
      <c r="A7859" s="1" t="s">
        <v>4</v>
      </c>
      <c r="B7859" s="2" t="str">
        <f t="shared" si="638"/>
        <v>MVSAUDE</v>
      </c>
      <c r="C7859" s="2" t="str">
        <f t="shared" si="639"/>
        <v>PLANO</v>
      </c>
      <c r="D7859" s="2" t="str">
        <f t="shared" si="640"/>
        <v>MVS</v>
      </c>
      <c r="E7859" s="2" t="str">
        <f>"CADASTRO: MOTIVOS DE ALTA"</f>
        <v>CADASTRO: MOTIVOS DE ALTA</v>
      </c>
      <c r="F7859" s="2" t="str">
        <f>"M_CONSELHO_PROFISSIONAL"</f>
        <v>M_CONSELHO_PROFISSIONAL</v>
      </c>
      <c r="G7859" s="2" t="str">
        <f>"MVSaude / ANS / TISS / Tabelas de Domínio / Conselho Profissional (M_CONSELHO_PROFISSIONAL)"</f>
        <v>MVSaude / ANS / TISS / Tabelas de Domínio / Conselho Profissional (M_CONSELHO_PROFISSIONAL)</v>
      </c>
    </row>
    <row r="7860" spans="1:7" x14ac:dyDescent="0.3">
      <c r="A7860" s="1" t="s">
        <v>4</v>
      </c>
      <c r="B7860" s="2" t="str">
        <f t="shared" si="638"/>
        <v>MVSAUDE</v>
      </c>
      <c r="C7860" s="2" t="str">
        <f t="shared" si="639"/>
        <v>PLANO</v>
      </c>
      <c r="D7860" s="2" t="str">
        <f t="shared" si="640"/>
        <v>MVS</v>
      </c>
      <c r="E7860" s="2" t="str">
        <f>"GRAUS DE PARTICIPAÇÃO"</f>
        <v>GRAUS DE PARTICIPAÇÃO</v>
      </c>
      <c r="F7860" s="2" t="str">
        <f>"M_GRAU_PARTICIPACAO"</f>
        <v>M_GRAU_PARTICIPACAO</v>
      </c>
      <c r="G7860" s="2" t="str">
        <f>"MVSaude / ANS / TISS / Tabelas de Domínio / Grau de Participação (M_GRAU_PARTICIPACAO)"</f>
        <v>MVSaude / ANS / TISS / Tabelas de Domínio / Grau de Participação (M_GRAU_PARTICIPACAO)</v>
      </c>
    </row>
    <row r="7861" spans="1:7" x14ac:dyDescent="0.3">
      <c r="A7861" s="1" t="s">
        <v>4</v>
      </c>
      <c r="B7861" s="2" t="str">
        <f t="shared" si="638"/>
        <v>MVSAUDE</v>
      </c>
      <c r="C7861" s="2" t="str">
        <f t="shared" si="639"/>
        <v>PLANO</v>
      </c>
      <c r="D7861" s="2" t="str">
        <f t="shared" si="640"/>
        <v>MVS</v>
      </c>
      <c r="E7861" s="2" t="str">
        <f>"WIN_PRINCIPAL"</f>
        <v>WIN_PRINCIPAL</v>
      </c>
      <c r="F7861" s="2" t="str">
        <f>"M_CFG_USUARIOS_SGU_MVSAUDE"</f>
        <v>M_CFG_USUARIOS_SGU_MVSAUDE</v>
      </c>
      <c r="G7861" s="2" t="str">
        <f>"MVSaude / Configurações / Usuários do Sistema (M_CFG_USUARIOS_SGU_MVSAUDE)"</f>
        <v>MVSaude / Configurações / Usuários do Sistema (M_CFG_USUARIOS_SGU_MVSAUDE)</v>
      </c>
    </row>
    <row r="7862" spans="1:7" x14ac:dyDescent="0.3">
      <c r="A7862" s="1" t="s">
        <v>4</v>
      </c>
      <c r="B7862" s="2" t="str">
        <f t="shared" si="638"/>
        <v>MVSAUDE</v>
      </c>
      <c r="C7862" s="2" t="str">
        <f t="shared" si="639"/>
        <v>PLANO</v>
      </c>
      <c r="D7862" s="2" t="str">
        <f t="shared" si="640"/>
        <v>MVS</v>
      </c>
      <c r="E7862" s="2" t="str">
        <f>"C_GRUPO_FRANQUIA"</f>
        <v>C_GRUPO_FRANQUIA</v>
      </c>
      <c r="F7862" s="2" t="str">
        <f>"C_GRUPO_FRANQUIA"</f>
        <v>C_GRUPO_FRANQUIA</v>
      </c>
      <c r="G7862" s="2" t="str">
        <f>" ()"</f>
        <v xml:space="preserve"> ()</v>
      </c>
    </row>
    <row r="7863" spans="1:7" x14ac:dyDescent="0.3">
      <c r="A7863" s="1" t="s">
        <v>4</v>
      </c>
      <c r="B7863" s="2" t="str">
        <f t="shared" si="638"/>
        <v>MVSAUDE</v>
      </c>
      <c r="C7863" s="2" t="str">
        <f t="shared" si="639"/>
        <v>PLANO</v>
      </c>
      <c r="D7863" s="2" t="str">
        <f t="shared" si="640"/>
        <v>MVS</v>
      </c>
      <c r="E7863" s="2" t="str">
        <f>"TIPO DE SAÍDA DA GUIA DE CONSULTA"</f>
        <v>TIPO DE SAÍDA DA GUIA DE CONSULTA</v>
      </c>
      <c r="F7863" s="2" t="str">
        <f>"M_TIPO_SAIDA_GUIA_CONSULTA"</f>
        <v>M_TIPO_SAIDA_GUIA_CONSULTA</v>
      </c>
      <c r="G7863" s="2" t="str">
        <f>"MVSaude / ANS / TISS / Tabelas de Domínio / Tipos de Saida das Guias de Consulta (M_TIPO_SAIDA_GUIA_CONSULTA)"</f>
        <v>MVSaude / ANS / TISS / Tabelas de Domínio / Tipos de Saida das Guias de Consulta (M_TIPO_SAIDA_GUIA_CONSULTA)</v>
      </c>
    </row>
    <row r="7864" spans="1:7" x14ac:dyDescent="0.3">
      <c r="A7864" s="1" t="s">
        <v>4</v>
      </c>
      <c r="B7864" s="2" t="str">
        <f t="shared" si="638"/>
        <v>MVSAUDE</v>
      </c>
      <c r="C7864" s="2" t="str">
        <f t="shared" si="639"/>
        <v>PLANO</v>
      </c>
      <c r="D7864" s="2" t="str">
        <f t="shared" si="640"/>
        <v>MVS</v>
      </c>
      <c r="E7864" s="2" t="str">
        <f>"TIPOS DE SAÍDA DAS GUIAS DE SADT"</f>
        <v>TIPOS DE SAÍDA DAS GUIAS DE SADT</v>
      </c>
      <c r="F7864" s="2" t="str">
        <f>"M_TIPO_SAIDA_GUIA_SADT"</f>
        <v>M_TIPO_SAIDA_GUIA_SADT</v>
      </c>
      <c r="G7864" s="2" t="str">
        <f>"MVSaude / ANS / TISS / Tabelas de Domínio / Tipos de Saída das Guias SADT (M_TIPO_SAIDA_GUIA_SADT)"</f>
        <v>MVSaude / ANS / TISS / Tabelas de Domínio / Tipos de Saída das Guias SADT (M_TIPO_SAIDA_GUIA_SADT)</v>
      </c>
    </row>
    <row r="7865" spans="1:7" x14ac:dyDescent="0.3">
      <c r="A7865" s="1" t="s">
        <v>4</v>
      </c>
      <c r="B7865" s="2" t="str">
        <f t="shared" si="638"/>
        <v>MVSAUDE</v>
      </c>
      <c r="C7865" s="2" t="str">
        <f t="shared" si="639"/>
        <v>PLANO</v>
      </c>
      <c r="D7865" s="2" t="str">
        <f t="shared" si="640"/>
        <v>MVS</v>
      </c>
      <c r="E7865" s="2" t="str">
        <f>"GRUPOS/SUBGRUPOS DE DESPESA"</f>
        <v>GRUPOS/SUBGRUPOS DE DESPESA</v>
      </c>
      <c r="F7865" s="2" t="str">
        <f>"M_GRUPO_DESPESA"</f>
        <v>M_GRUPO_DESPESA</v>
      </c>
      <c r="G7865" s="2" t="str">
        <f>"MVSaude / Contas Médicas / Tabelas / Grupos / Subgrupos de Despesas (M_GRUPO_DESPESA)"</f>
        <v>MVSaude / Contas Médicas / Tabelas / Grupos / Subgrupos de Despesas (M_GRUPO_DESPESA)</v>
      </c>
    </row>
    <row r="7866" spans="1:7" x14ac:dyDescent="0.3">
      <c r="A7866" s="1" t="s">
        <v>4</v>
      </c>
      <c r="B7866" s="2" t="str">
        <f t="shared" si="638"/>
        <v>MVSAUDE</v>
      </c>
      <c r="C7866" s="2" t="str">
        <f t="shared" si="639"/>
        <v>PLANO</v>
      </c>
      <c r="D7866" s="2" t="str">
        <f t="shared" si="640"/>
        <v>MVS</v>
      </c>
      <c r="E7866" s="2" t="str">
        <f>"R_CONTAS_MEDICAS"</f>
        <v>R_CONTAS_MEDICAS</v>
      </c>
      <c r="F7866" s="2" t="str">
        <f>"R_CONTAS_MEDICAS"</f>
        <v>R_CONTAS_MEDICAS</v>
      </c>
      <c r="G7866" s="2" t="str">
        <f>"MVSaude / Relatórios / Contas Médicas / Geral (R_CONTAS_MEDICAS)"</f>
        <v>MVSaude / Relatórios / Contas Médicas / Geral (R_CONTAS_MEDICAS)</v>
      </c>
    </row>
    <row r="7867" spans="1:7" x14ac:dyDescent="0.3">
      <c r="A7867" s="1" t="s">
        <v>4</v>
      </c>
      <c r="B7867" s="2" t="str">
        <f t="shared" si="638"/>
        <v>MVSAUDE</v>
      </c>
      <c r="C7867" s="2" t="str">
        <f t="shared" si="639"/>
        <v>PLANO</v>
      </c>
      <c r="D7867" s="2" t="str">
        <f t="shared" si="640"/>
        <v>MVS</v>
      </c>
      <c r="E7867" s="2" t="str">
        <f>"R_CONSULTAS_SERVICOS"</f>
        <v>R_CONSULTAS_SERVICOS</v>
      </c>
      <c r="F7867" s="2" t="str">
        <f>"R_CONSULTAS_SERVICOS"</f>
        <v>R_CONSULTAS_SERVICOS</v>
      </c>
      <c r="G7867" s="2" t="str">
        <f>"MVSaude / Relatórios / Contas Médicas / Resumo de Consultas / Serviços Ambulatoriais (R_CONSULTAS_SERVICOS)"</f>
        <v>MVSaude / Relatórios / Contas Médicas / Resumo de Consultas / Serviços Ambulatoriais (R_CONSULTAS_SERVICOS)</v>
      </c>
    </row>
    <row r="7868" spans="1:7" x14ac:dyDescent="0.3">
      <c r="A7868" s="1" t="s">
        <v>4</v>
      </c>
      <c r="B7868" s="2" t="str">
        <f t="shared" si="638"/>
        <v>MVSAUDE</v>
      </c>
      <c r="C7868" s="2" t="str">
        <f t="shared" si="639"/>
        <v>PLANO</v>
      </c>
      <c r="D7868" s="2" t="str">
        <f t="shared" si="640"/>
        <v>MVS</v>
      </c>
      <c r="E7868" s="2" t="str">
        <f>"VIAS DE ACESSO"</f>
        <v>VIAS DE ACESSO</v>
      </c>
      <c r="F7868" s="2" t="str">
        <f>"M_VIA_ACESSO"</f>
        <v>M_VIA_ACESSO</v>
      </c>
      <c r="G7868" s="2" t="str">
        <f>"MVSaude / ANS / TISS / Tabelas de Domínio / Vias de Acesso (M_VIA_ACESSO)"</f>
        <v>MVSaude / ANS / TISS / Tabelas de Domínio / Vias de Acesso (M_VIA_ACESSO)</v>
      </c>
    </row>
    <row r="7869" spans="1:7" x14ac:dyDescent="0.3">
      <c r="A7869" s="1" t="s">
        <v>4</v>
      </c>
      <c r="B7869" s="2" t="str">
        <f t="shared" si="638"/>
        <v>MVSAUDE</v>
      </c>
      <c r="C7869" s="2" t="str">
        <f t="shared" si="639"/>
        <v>PLANO</v>
      </c>
      <c r="D7869" s="2" t="str">
        <f t="shared" si="640"/>
        <v>MVS</v>
      </c>
      <c r="E7869" s="2" t="str">
        <f>"APRESENTAÇÃO DOS PROCEDIMENTOS"</f>
        <v>APRESENTAÇÃO DOS PROCEDIMENTOS</v>
      </c>
      <c r="F7869" s="2" t="str">
        <f>"M_APRESENTACAO_PROCEDIMENTO"</f>
        <v>M_APRESENTACAO_PROCEDIMENTO</v>
      </c>
      <c r="G7869" s="2" t="str">
        <f>"MVSaude / Contas Médicas / Tabelas / Apresentação dos Procedimentos (M_APRESENTACAO_PROCEDIMENTO)"</f>
        <v>MVSaude / Contas Médicas / Tabelas / Apresentação dos Procedimentos (M_APRESENTACAO_PROCEDIMENTO)</v>
      </c>
    </row>
    <row r="7870" spans="1:7" x14ac:dyDescent="0.3">
      <c r="A7870" s="1" t="s">
        <v>4</v>
      </c>
      <c r="B7870" s="2" t="str">
        <f t="shared" si="638"/>
        <v>MVSAUDE</v>
      </c>
      <c r="C7870" s="2" t="str">
        <f t="shared" si="639"/>
        <v>PLANO</v>
      </c>
      <c r="D7870" s="2" t="str">
        <f t="shared" si="640"/>
        <v>MVS</v>
      </c>
      <c r="E7870" s="2" t="str">
        <f>"O_IMP_ARQ_CAP_MORCELI_720"</f>
        <v>O_IMP_ARQ_CAP_MORCELI_720</v>
      </c>
      <c r="F7870" s="2" t="str">
        <f>"O_IMP_ARQ_CAP_MORCELI_720"</f>
        <v>O_IMP_ARQ_CAP_MORCELI_720</v>
      </c>
      <c r="G7870" s="2" t="str">
        <f>" ()"</f>
        <v xml:space="preserve"> ()</v>
      </c>
    </row>
    <row r="7871" spans="1:7" x14ac:dyDescent="0.3">
      <c r="A7871" s="1" t="s">
        <v>4</v>
      </c>
      <c r="B7871" s="2" t="str">
        <f t="shared" si="638"/>
        <v>MVSAUDE</v>
      </c>
      <c r="C7871" s="2" t="str">
        <f t="shared" si="639"/>
        <v>PLANO</v>
      </c>
      <c r="D7871" s="2" t="str">
        <f t="shared" si="640"/>
        <v>MVS</v>
      </c>
      <c r="E7871" s="2" t="str">
        <f>"INDICADOR DE ACIDANTE"</f>
        <v>INDICADOR DE ACIDANTE</v>
      </c>
      <c r="F7871" s="2" t="str">
        <f>"M_INDICADOR_ACIDENTE"</f>
        <v>M_INDICADOR_ACIDENTE</v>
      </c>
      <c r="G7871" s="2" t="str">
        <f>"MVSaude / ANS / TISS / Tabelas de Domínio / Indicadores de Acidente (M_INDICADOR_ACIDENTE)"</f>
        <v>MVSaude / ANS / TISS / Tabelas de Domínio / Indicadores de Acidente (M_INDICADOR_ACIDENTE)</v>
      </c>
    </row>
    <row r="7872" spans="1:7" x14ac:dyDescent="0.3">
      <c r="A7872" s="1" t="s">
        <v>4</v>
      </c>
      <c r="B7872" s="2" t="str">
        <f t="shared" ref="B7872:B7906" si="643">"MVSAUDE"</f>
        <v>MVSAUDE</v>
      </c>
      <c r="C7872" s="2" t="str">
        <f t="shared" ref="C7872:C7906" si="644">"PLANO"</f>
        <v>PLANO</v>
      </c>
      <c r="D7872" s="2" t="str">
        <f t="shared" ref="D7872:D7906" si="645">"MVS"</f>
        <v>MVS</v>
      </c>
      <c r="E7872" s="2" t="str">
        <f>"LOTES DE CARTEIRAS"</f>
        <v>LOTES DE CARTEIRAS</v>
      </c>
      <c r="F7872" s="2" t="str">
        <f>"M_EMISSAO_CARTEIRA"</f>
        <v>M_EMISSAO_CARTEIRA</v>
      </c>
      <c r="G7872" s="2" t="str">
        <f>"MVSaude / Cadastros / Lotes de Carteiras (M_EMISSAO_CARTEIRA)"</f>
        <v>MVSaude / Cadastros / Lotes de Carteiras (M_EMISSAO_CARTEIRA)</v>
      </c>
    </row>
    <row r="7873" spans="1:7" x14ac:dyDescent="0.3">
      <c r="A7873" s="1" t="s">
        <v>4</v>
      </c>
      <c r="B7873" s="2" t="str">
        <f t="shared" si="643"/>
        <v>MVSAUDE</v>
      </c>
      <c r="C7873" s="2" t="str">
        <f t="shared" si="644"/>
        <v>PLANO</v>
      </c>
      <c r="D7873" s="2" t="str">
        <f t="shared" si="645"/>
        <v>MVS</v>
      </c>
      <c r="E7873" s="2" t="str">
        <f>"CONTRATOS"</f>
        <v>CONTRATOS</v>
      </c>
      <c r="F7873" s="2" t="str">
        <f>"M_ATUALIZA_MUNICIPIO"</f>
        <v>M_ATUALIZA_MUNICIPIO</v>
      </c>
      <c r="G7873" s="2" t="str">
        <f>"MVSaude / Configurações / Atualização do Município (M_ATUALIZA_MUNICIPIO)"</f>
        <v>MVSaude / Configurações / Atualização do Município (M_ATUALIZA_MUNICIPIO)</v>
      </c>
    </row>
    <row r="7874" spans="1:7" x14ac:dyDescent="0.3">
      <c r="A7874" s="1" t="s">
        <v>4</v>
      </c>
      <c r="B7874" s="2" t="str">
        <f t="shared" si="643"/>
        <v>MVSAUDE</v>
      </c>
      <c r="C7874" s="2" t="str">
        <f t="shared" si="644"/>
        <v>PLANO</v>
      </c>
      <c r="D7874" s="2" t="str">
        <f t="shared" si="645"/>
        <v>MVS</v>
      </c>
      <c r="E7874" s="2" t="str">
        <f>"PERGUNTAS E RESPOSTAS"</f>
        <v>PERGUNTAS E RESPOSTAS</v>
      </c>
      <c r="F7874" s="2" t="str">
        <f>"M_PERGUNTAS_REPOSTAS"</f>
        <v>M_PERGUNTAS_REPOSTAS</v>
      </c>
      <c r="G7874" s="2" t="str">
        <f>" ()"</f>
        <v xml:space="preserve"> ()</v>
      </c>
    </row>
    <row r="7875" spans="1:7" x14ac:dyDescent="0.3">
      <c r="A7875" s="1" t="s">
        <v>4</v>
      </c>
      <c r="B7875" s="2" t="str">
        <f t="shared" si="643"/>
        <v>MVSAUDE</v>
      </c>
      <c r="C7875" s="2" t="str">
        <f t="shared" si="644"/>
        <v>PLANO</v>
      </c>
      <c r="D7875" s="2" t="str">
        <f t="shared" si="645"/>
        <v>MVS</v>
      </c>
      <c r="E7875" s="2" t="str">
        <f>"CONTRATOS"</f>
        <v>CONTRATOS</v>
      </c>
      <c r="F7875" s="2" t="str">
        <f>"C_CONTRATO"</f>
        <v>C_CONTRATO</v>
      </c>
      <c r="G7875" s="2" t="str">
        <f>"MVSaude / Consultas / Contratos (C_CONTRATO)"</f>
        <v>MVSaude / Consultas / Contratos (C_CONTRATO)</v>
      </c>
    </row>
    <row r="7876" spans="1:7" x14ac:dyDescent="0.3">
      <c r="A7876" s="1" t="s">
        <v>4</v>
      </c>
      <c r="B7876" s="2" t="str">
        <f t="shared" si="643"/>
        <v>MVSAUDE</v>
      </c>
      <c r="C7876" s="2" t="str">
        <f t="shared" si="644"/>
        <v>PLANO</v>
      </c>
      <c r="D7876" s="2" t="str">
        <f t="shared" si="645"/>
        <v>MVS</v>
      </c>
      <c r="E7876" s="2" t="str">
        <f>"DESPESAS COM COMISSÕES DE VENDAS"</f>
        <v>DESPESAS COM COMISSÕES DE VENDAS</v>
      </c>
      <c r="F7876" s="2" t="str">
        <f>"R_TP_COMISSAO"</f>
        <v>R_TP_COMISSAO</v>
      </c>
      <c r="G7876" s="2" t="str">
        <f>"MVSaude / Relatórios / Contabilidade / Despesas com Comissões de Vendas (R_TP_COMISSAO)"</f>
        <v>MVSaude / Relatórios / Contabilidade / Despesas com Comissões de Vendas (R_TP_COMISSAO)</v>
      </c>
    </row>
    <row r="7877" spans="1:7" x14ac:dyDescent="0.3">
      <c r="A7877" s="1" t="s">
        <v>4</v>
      </c>
      <c r="B7877" s="2" t="str">
        <f t="shared" si="643"/>
        <v>MVSAUDE</v>
      </c>
      <c r="C7877" s="2" t="str">
        <f t="shared" si="644"/>
        <v>PLANO</v>
      </c>
      <c r="D7877" s="2" t="str">
        <f t="shared" si="645"/>
        <v>MVS</v>
      </c>
      <c r="E7877" s="2" t="str">
        <f>"REPASSE DOS PRESTADORES"</f>
        <v>REPASSE DOS PRESTADORES</v>
      </c>
      <c r="F7877" s="2" t="str">
        <f>"M_REPASSE_PRESTADOR"</f>
        <v>M_REPASSE_PRESTADOR</v>
      </c>
      <c r="G7877" s="2" t="str">
        <f>"MVSaude / Contas Médicas / Repasses dos Prestadores (M_REPASSE_PRESTADOR)"</f>
        <v>MVSaude / Contas Médicas / Repasses dos Prestadores (M_REPASSE_PRESTADOR)</v>
      </c>
    </row>
    <row r="7878" spans="1:7" x14ac:dyDescent="0.3">
      <c r="A7878" s="1" t="s">
        <v>4</v>
      </c>
      <c r="B7878" s="2" t="str">
        <f t="shared" si="643"/>
        <v>MVSAUDE</v>
      </c>
      <c r="C7878" s="2" t="str">
        <f t="shared" si="644"/>
        <v>PLANO</v>
      </c>
      <c r="D7878" s="2" t="str">
        <f t="shared" si="645"/>
        <v>MVS</v>
      </c>
      <c r="E7878" s="2" t="str">
        <f>"CADASTRO: MOTIVOS DE ALTA"</f>
        <v>CADASTRO: MOTIVOS DE ALTA</v>
      </c>
      <c r="F7878" s="2" t="str">
        <f>"O_PROTOCOLO_CTAMED"</f>
        <v>O_PROTOCOLO_CTAMED</v>
      </c>
      <c r="G7878" s="2" t="str">
        <f>"MVSaude / Contas Médicas / Protocolo (O_PROTOCOLO_CTAMED)"</f>
        <v>MVSaude / Contas Médicas / Protocolo (O_PROTOCOLO_CTAMED)</v>
      </c>
    </row>
    <row r="7879" spans="1:7" x14ac:dyDescent="0.3">
      <c r="A7879" s="1" t="s">
        <v>4</v>
      </c>
      <c r="B7879" s="2" t="str">
        <f t="shared" si="643"/>
        <v>MVSAUDE</v>
      </c>
      <c r="C7879" s="2" t="str">
        <f t="shared" si="644"/>
        <v>PLANO</v>
      </c>
      <c r="D7879" s="2" t="str">
        <f t="shared" si="645"/>
        <v>MVS</v>
      </c>
      <c r="E7879" s="2" t="str">
        <f>"CONTAS AMBULATORIAIS AUDITADAS"</f>
        <v>CONTAS AMBULATORIAIS AUDITADAS</v>
      </c>
      <c r="F7879" s="2" t="str">
        <f>"C_CONTA_AMBULATORIAL"</f>
        <v>C_CONTA_AMBULATORIAL</v>
      </c>
      <c r="G7879" s="2" t="str">
        <f>"MVSaude / Consultas / Contas Ambulatoriais Auditadas (C_CONTA_AMBULATORIAL)"</f>
        <v>MVSaude / Consultas / Contas Ambulatoriais Auditadas (C_CONTA_AMBULATORIAL)</v>
      </c>
    </row>
    <row r="7880" spans="1:7" x14ac:dyDescent="0.3">
      <c r="A7880" s="1" t="s">
        <v>4</v>
      </c>
      <c r="B7880" s="2" t="str">
        <f t="shared" si="643"/>
        <v>MVSAUDE</v>
      </c>
      <c r="C7880" s="2" t="str">
        <f t="shared" si="644"/>
        <v>PLANO</v>
      </c>
      <c r="D7880" s="2" t="str">
        <f t="shared" si="645"/>
        <v>MVS</v>
      </c>
      <c r="E7880" s="2" t="str">
        <f>"R_CONS_RET_PRESTADOR_SAMEL"</f>
        <v>R_CONS_RET_PRESTADOR_SAMEL</v>
      </c>
      <c r="F7880" s="2" t="str">
        <f>"R_CONS_RET_PRESTADOR_SAMEL"</f>
        <v>R_CONS_RET_PRESTADOR_SAMEL</v>
      </c>
      <c r="G7880" s="2" t="str">
        <f>" ()"</f>
        <v xml:space="preserve"> ()</v>
      </c>
    </row>
    <row r="7881" spans="1:7" x14ac:dyDescent="0.3">
      <c r="A7881" s="1" t="s">
        <v>4</v>
      </c>
      <c r="B7881" s="2" t="str">
        <f t="shared" si="643"/>
        <v>MVSAUDE</v>
      </c>
      <c r="C7881" s="2" t="str">
        <f t="shared" si="644"/>
        <v>PLANO</v>
      </c>
      <c r="D7881" s="2" t="str">
        <f t="shared" si="645"/>
        <v>MVS</v>
      </c>
      <c r="E7881" s="2" t="str">
        <f>"RELAÇÃO DE USUÁRIOS ( CONTA CORRENTE )"</f>
        <v>RELAÇÃO DE USUÁRIOS ( CONTA CORRENTE )</v>
      </c>
      <c r="F7881" s="2" t="str">
        <f>"R_USUARIOS_CONTA_CORRENTE_UNIHOSP"</f>
        <v>R_USUARIOS_CONTA_CORRENTE_UNIHOSP</v>
      </c>
      <c r="G7881" s="2" t="str">
        <f>" ()"</f>
        <v xml:space="preserve"> ()</v>
      </c>
    </row>
    <row r="7882" spans="1:7" x14ac:dyDescent="0.3">
      <c r="A7882" s="1" t="s">
        <v>4</v>
      </c>
      <c r="B7882" s="2" t="str">
        <f t="shared" si="643"/>
        <v>MVSAUDE</v>
      </c>
      <c r="C7882" s="2" t="str">
        <f t="shared" si="644"/>
        <v>PLANO</v>
      </c>
      <c r="D7882" s="2" t="str">
        <f t="shared" si="645"/>
        <v>MVS</v>
      </c>
      <c r="E7882" s="2" t="str">
        <f>"R_BOLPRE_UNIBANCO"</f>
        <v>R_BOLPRE_UNIBANCO</v>
      </c>
      <c r="F7882" s="2" t="str">
        <f>"R_BOLPRE_UNIBANCO"</f>
        <v>R_BOLPRE_UNIBANCO</v>
      </c>
      <c r="G7882" s="2" t="str">
        <f>" ()"</f>
        <v xml:space="preserve"> ()</v>
      </c>
    </row>
    <row r="7883" spans="1:7" x14ac:dyDescent="0.3">
      <c r="A7883" s="1" t="s">
        <v>4</v>
      </c>
      <c r="B7883" s="2" t="str">
        <f t="shared" si="643"/>
        <v>MVSAUDE</v>
      </c>
      <c r="C7883" s="2" t="str">
        <f t="shared" si="644"/>
        <v>PLANO</v>
      </c>
      <c r="D7883" s="2" t="str">
        <f t="shared" si="645"/>
        <v>MVS</v>
      </c>
      <c r="E7883" s="2" t="str">
        <f>"R_REG_AUX_CONTABIL"</f>
        <v>R_REG_AUX_CONTABIL</v>
      </c>
      <c r="F7883" s="2" t="str">
        <f>"R_REG_AUX_CONTABIL"</f>
        <v>R_REG_AUX_CONTABIL</v>
      </c>
      <c r="G7883" s="2" t="str">
        <f>"MVSaude / ANS / DIOPS / Registros Auxiliares Contábeis (R_REG_AUX_CONTABIL)"</f>
        <v>MVSaude / ANS / DIOPS / Registros Auxiliares Contábeis (R_REG_AUX_CONTABIL)</v>
      </c>
    </row>
    <row r="7884" spans="1:7" x14ac:dyDescent="0.3">
      <c r="A7884" s="1" t="s">
        <v>4</v>
      </c>
      <c r="B7884" s="2" t="str">
        <f t="shared" si="643"/>
        <v>MVSAUDE</v>
      </c>
      <c r="C7884" s="2" t="str">
        <f t="shared" si="644"/>
        <v>PLANO</v>
      </c>
      <c r="D7884" s="2" t="str">
        <f t="shared" si="645"/>
        <v>MVS</v>
      </c>
      <c r="E7884" s="2" t="str">
        <f>"R_CART_EMITIDAS"</f>
        <v>R_CART_EMITIDAS</v>
      </c>
      <c r="F7884" s="2" t="str">
        <f>"R_CART_EMITIDAS"</f>
        <v>R_CART_EMITIDAS</v>
      </c>
      <c r="G7884" s="2" t="str">
        <f>" ()"</f>
        <v xml:space="preserve"> ()</v>
      </c>
    </row>
    <row r="7885" spans="1:7" x14ac:dyDescent="0.3">
      <c r="A7885" s="1" t="s">
        <v>4</v>
      </c>
      <c r="B7885" s="2" t="str">
        <f t="shared" si="643"/>
        <v>MVSAUDE</v>
      </c>
      <c r="C7885" s="2" t="str">
        <f t="shared" si="644"/>
        <v>PLANO</v>
      </c>
      <c r="D7885" s="2" t="str">
        <f t="shared" si="645"/>
        <v>MVS</v>
      </c>
      <c r="E7885" s="2" t="str">
        <f>"PESQUISA - CONTRATO EMPRESARIAL"</f>
        <v>PESQUISA - CONTRATO EMPRESARIAL</v>
      </c>
      <c r="F7885" s="2" t="str">
        <f>"C_CONT_FUNC_SOROCABA"</f>
        <v>C_CONT_FUNC_SOROCABA</v>
      </c>
      <c r="G7885" s="2" t="str">
        <f>" ()"</f>
        <v xml:space="preserve"> ()</v>
      </c>
    </row>
    <row r="7886" spans="1:7" x14ac:dyDescent="0.3">
      <c r="A7886" s="1" t="s">
        <v>4</v>
      </c>
      <c r="B7886" s="2" t="str">
        <f t="shared" si="643"/>
        <v>MVSAUDE</v>
      </c>
      <c r="C7886" s="2" t="str">
        <f t="shared" si="644"/>
        <v>PLANO</v>
      </c>
      <c r="D7886" s="2" t="str">
        <f t="shared" si="645"/>
        <v>MVS</v>
      </c>
      <c r="E7886" s="2" t="str">
        <f>"R_EMP_UNI"</f>
        <v>R_EMP_UNI</v>
      </c>
      <c r="F7886" s="2" t="str">
        <f>"R_EMP_UNI"</f>
        <v>R_EMP_UNI</v>
      </c>
      <c r="G7886" s="2" t="str">
        <f>"MVSaude / Relatórios / Vendas / Empresas x Unidades (R_EMP_UNI)"</f>
        <v>MVSaude / Relatórios / Vendas / Empresas x Unidades (R_EMP_UNI)</v>
      </c>
    </row>
    <row r="7887" spans="1:7" x14ac:dyDescent="0.3">
      <c r="A7887" s="1" t="s">
        <v>4</v>
      </c>
      <c r="B7887" s="2" t="str">
        <f t="shared" si="643"/>
        <v>MVSAUDE</v>
      </c>
      <c r="C7887" s="2" t="str">
        <f t="shared" si="644"/>
        <v>PLANO</v>
      </c>
      <c r="D7887" s="2" t="str">
        <f t="shared" si="645"/>
        <v>MVS</v>
      </c>
      <c r="E7887" s="2" t="str">
        <f>"RELATÓRIO DAS REGRAS DAS COMISSÕES"</f>
        <v>RELATÓRIO DAS REGRAS DAS COMISSÕES</v>
      </c>
      <c r="F7887" s="2" t="str">
        <f>"R_REGRA_COMISSAO"</f>
        <v>R_REGRA_COMISSAO</v>
      </c>
      <c r="G7887" s="2" t="str">
        <f>"MVSaude / Relatórios / Vendas / Regra de Comissão (R_REGRA_COMISSAO)"</f>
        <v>MVSaude / Relatórios / Vendas / Regra de Comissão (R_REGRA_COMISSAO)</v>
      </c>
    </row>
    <row r="7888" spans="1:7" x14ac:dyDescent="0.3">
      <c r="A7888" s="1" t="s">
        <v>4</v>
      </c>
      <c r="B7888" s="2" t="str">
        <f t="shared" si="643"/>
        <v>MVSAUDE</v>
      </c>
      <c r="C7888" s="2" t="str">
        <f t="shared" si="644"/>
        <v>PLANO</v>
      </c>
      <c r="D7888" s="2" t="str">
        <f t="shared" si="645"/>
        <v>MVS</v>
      </c>
      <c r="E7888" s="2" t="str">
        <f>"RELATÓRIO DE EMPRESAS VENDEDORAS"</f>
        <v>RELATÓRIO DE EMPRESAS VENDEDORAS</v>
      </c>
      <c r="F7888" s="2" t="str">
        <f>"R_LOTE_COMISSAO"</f>
        <v>R_LOTE_COMISSAO</v>
      </c>
      <c r="G7888" s="2" t="str">
        <f>"MVSaude / Relatórios / Vendas / Lotes de Comissionamento (R_LOTE_COMISSAO)"</f>
        <v>MVSaude / Relatórios / Vendas / Lotes de Comissionamento (R_LOTE_COMISSAO)</v>
      </c>
    </row>
    <row r="7889" spans="1:7" x14ac:dyDescent="0.3">
      <c r="A7889" s="1" t="s">
        <v>4</v>
      </c>
      <c r="B7889" s="2" t="str">
        <f t="shared" si="643"/>
        <v>MVSAUDE</v>
      </c>
      <c r="C7889" s="2" t="str">
        <f t="shared" si="644"/>
        <v>PLANO</v>
      </c>
      <c r="D7889" s="2" t="str">
        <f t="shared" si="645"/>
        <v>MVS</v>
      </c>
      <c r="E7889" s="2" t="str">
        <f>"GRAVA_GUIA"</f>
        <v>GRAVA_GUIA</v>
      </c>
      <c r="F7889" s="2" t="str">
        <f>"GRAVA_GUIA"</f>
        <v>GRAVA_GUIA</v>
      </c>
      <c r="G7889" s="2" t="str">
        <f t="shared" ref="G7889:G7902" si="646">" ()"</f>
        <v xml:space="preserve"> ()</v>
      </c>
    </row>
    <row r="7890" spans="1:7" x14ac:dyDescent="0.3">
      <c r="A7890" s="1" t="s">
        <v>4</v>
      </c>
      <c r="B7890" s="2" t="str">
        <f t="shared" si="643"/>
        <v>MVSAUDE</v>
      </c>
      <c r="C7890" s="2" t="str">
        <f t="shared" si="644"/>
        <v>PLANO</v>
      </c>
      <c r="D7890" s="2" t="str">
        <f t="shared" si="645"/>
        <v>MVS</v>
      </c>
      <c r="E7890" s="2" t="str">
        <f>"ETIQUETAS PARA BOLETO"</f>
        <v>ETIQUETAS PARA BOLETO</v>
      </c>
      <c r="F7890" s="2" t="str">
        <f>"R_ETQ_BOLETO_UNIHOSP"</f>
        <v>R_ETQ_BOLETO_UNIHOSP</v>
      </c>
      <c r="G7890" s="2" t="str">
        <f t="shared" si="646"/>
        <v xml:space="preserve"> ()</v>
      </c>
    </row>
    <row r="7891" spans="1:7" x14ac:dyDescent="0.3">
      <c r="A7891" s="1" t="s">
        <v>4</v>
      </c>
      <c r="B7891" s="2" t="str">
        <f t="shared" si="643"/>
        <v>MVSAUDE</v>
      </c>
      <c r="C7891" s="2" t="str">
        <f t="shared" si="644"/>
        <v>PLANO</v>
      </c>
      <c r="D7891" s="2" t="str">
        <f t="shared" si="645"/>
        <v>MVS</v>
      </c>
      <c r="E7891" s="2" t="str">
        <f>"C_CONT_EMPRESA_SOROCABA"</f>
        <v>C_CONT_EMPRESA_SOROCABA</v>
      </c>
      <c r="F7891" s="2" t="str">
        <f>"C_CONT_EMPRESA_SOROCABA"</f>
        <v>C_CONT_EMPRESA_SOROCABA</v>
      </c>
      <c r="G7891" s="2" t="str">
        <f t="shared" si="646"/>
        <v xml:space="preserve"> ()</v>
      </c>
    </row>
    <row r="7892" spans="1:7" x14ac:dyDescent="0.3">
      <c r="A7892" s="1" t="s">
        <v>4</v>
      </c>
      <c r="B7892" s="2" t="str">
        <f t="shared" si="643"/>
        <v>MVSAUDE</v>
      </c>
      <c r="C7892" s="2" t="str">
        <f t="shared" si="644"/>
        <v>PLANO</v>
      </c>
      <c r="D7892" s="2" t="str">
        <f t="shared" si="645"/>
        <v>MVS</v>
      </c>
      <c r="E7892" s="2" t="str">
        <f>"FASES DO ATENDIMENTO - SAC"</f>
        <v>FASES DO ATENDIMENTO - SAC</v>
      </c>
      <c r="F7892" s="2" t="str">
        <f>"M_FASES_SAC"</f>
        <v>M_FASES_SAC</v>
      </c>
      <c r="G7892" s="2" t="str">
        <f t="shared" si="646"/>
        <v xml:space="preserve"> ()</v>
      </c>
    </row>
    <row r="7893" spans="1:7" x14ac:dyDescent="0.3">
      <c r="A7893" s="1" t="s">
        <v>4</v>
      </c>
      <c r="B7893" s="2" t="str">
        <f t="shared" si="643"/>
        <v>MVSAUDE</v>
      </c>
      <c r="C7893" s="2" t="str">
        <f t="shared" si="644"/>
        <v>PLANO</v>
      </c>
      <c r="D7893" s="2" t="str">
        <f t="shared" si="645"/>
        <v>MVS</v>
      </c>
      <c r="E7893" s="2" t="str">
        <f>"MOTIVOS DE ATENDIMENTO - SAC"</f>
        <v>MOTIVOS DE ATENDIMENTO - SAC</v>
      </c>
      <c r="F7893" s="2" t="str">
        <f>"M_MOTIVOS_SAC"</f>
        <v>M_MOTIVOS_SAC</v>
      </c>
      <c r="G7893" s="2" t="str">
        <f t="shared" si="646"/>
        <v xml:space="preserve"> ()</v>
      </c>
    </row>
    <row r="7894" spans="1:7" x14ac:dyDescent="0.3">
      <c r="A7894" s="1" t="s">
        <v>4</v>
      </c>
      <c r="B7894" s="2" t="str">
        <f t="shared" si="643"/>
        <v>MVSAUDE</v>
      </c>
      <c r="C7894" s="2" t="str">
        <f t="shared" si="644"/>
        <v>PLANO</v>
      </c>
      <c r="D7894" s="2" t="str">
        <f t="shared" si="645"/>
        <v>MVS</v>
      </c>
      <c r="E7894" s="2" t="str">
        <f>"LISTA DE SERVICOS - SAC"</f>
        <v>LISTA DE SERVICOS - SAC</v>
      </c>
      <c r="F7894" s="2" t="str">
        <f>"M_SERVICOS_SAC"</f>
        <v>M_SERVICOS_SAC</v>
      </c>
      <c r="G7894" s="2" t="str">
        <f t="shared" si="646"/>
        <v xml:space="preserve"> ()</v>
      </c>
    </row>
    <row r="7895" spans="1:7" x14ac:dyDescent="0.3">
      <c r="A7895" s="1" t="s">
        <v>4</v>
      </c>
      <c r="B7895" s="2" t="str">
        <f t="shared" si="643"/>
        <v>MVSAUDE</v>
      </c>
      <c r="C7895" s="2" t="str">
        <f t="shared" si="644"/>
        <v>PLANO</v>
      </c>
      <c r="D7895" s="2" t="str">
        <f t="shared" si="645"/>
        <v>MVS</v>
      </c>
      <c r="E7895" s="2" t="str">
        <f>"R_ETIQUETA_CONTRATO_CHAR_SOROC"</f>
        <v>R_ETIQUETA_CONTRATO_CHAR_SOROC</v>
      </c>
      <c r="F7895" s="2" t="str">
        <f>"R_ETIQUETA_CONTRATO_CHAR_SOROC"</f>
        <v>R_ETIQUETA_CONTRATO_CHAR_SOROC</v>
      </c>
      <c r="G7895" s="2" t="str">
        <f t="shared" si="646"/>
        <v xml:space="preserve"> ()</v>
      </c>
    </row>
    <row r="7896" spans="1:7" x14ac:dyDescent="0.3">
      <c r="A7896" s="1" t="s">
        <v>4</v>
      </c>
      <c r="B7896" s="2" t="str">
        <f t="shared" si="643"/>
        <v>MVSAUDE</v>
      </c>
      <c r="C7896" s="2" t="str">
        <f t="shared" si="644"/>
        <v>PLANO</v>
      </c>
      <c r="D7896" s="2" t="str">
        <f t="shared" si="645"/>
        <v>MVS</v>
      </c>
      <c r="E7896" s="2" t="str">
        <f>"ETIQUETAS DE ANIVERSARIANTES DUAS COL."</f>
        <v>ETIQUETAS DE ANIVERSARIANTES DUAS COL.</v>
      </c>
      <c r="F7896" s="2" t="str">
        <f>"R_ETQ_ANIVERSARIO_UNI"</f>
        <v>R_ETQ_ANIVERSARIO_UNI</v>
      </c>
      <c r="G7896" s="2" t="str">
        <f t="shared" si="646"/>
        <v xml:space="preserve"> ()</v>
      </c>
    </row>
    <row r="7897" spans="1:7" x14ac:dyDescent="0.3">
      <c r="A7897" s="1" t="s">
        <v>4</v>
      </c>
      <c r="B7897" s="2" t="str">
        <f t="shared" si="643"/>
        <v>MVSAUDE</v>
      </c>
      <c r="C7897" s="2" t="str">
        <f t="shared" si="644"/>
        <v>PLANO</v>
      </c>
      <c r="D7897" s="2" t="str">
        <f t="shared" si="645"/>
        <v>MVS</v>
      </c>
      <c r="E7897" s="2" t="str">
        <f>"ETIQ. PARA QUEM  MUDARÁ DE FAIXA ETARIA"</f>
        <v>ETIQ. PARA QUEM  MUDARÁ DE FAIXA ETARIA</v>
      </c>
      <c r="F7897" s="2" t="str">
        <f>"R_ETQ_MUDA_FAIXA_UNIHOSP"</f>
        <v>R_ETQ_MUDA_FAIXA_UNIHOSP</v>
      </c>
      <c r="G7897" s="2" t="str">
        <f t="shared" si="646"/>
        <v xml:space="preserve"> ()</v>
      </c>
    </row>
    <row r="7898" spans="1:7" x14ac:dyDescent="0.3">
      <c r="A7898" s="1" t="s">
        <v>4</v>
      </c>
      <c r="B7898" s="2" t="str">
        <f t="shared" si="643"/>
        <v>MVSAUDE</v>
      </c>
      <c r="C7898" s="2" t="str">
        <f t="shared" si="644"/>
        <v>PLANO</v>
      </c>
      <c r="D7898" s="2" t="str">
        <f t="shared" si="645"/>
        <v>MVS</v>
      </c>
      <c r="E7898" s="2" t="str">
        <f>"GUIAS"</f>
        <v>GUIAS</v>
      </c>
      <c r="F7898" s="2" t="str">
        <f>"R_INF_GUIAS"</f>
        <v>R_INF_GUIAS</v>
      </c>
      <c r="G7898" s="2" t="str">
        <f t="shared" si="646"/>
        <v xml:space="preserve"> ()</v>
      </c>
    </row>
    <row r="7899" spans="1:7" x14ac:dyDescent="0.3">
      <c r="A7899" s="1" t="s">
        <v>4</v>
      </c>
      <c r="B7899" s="2" t="str">
        <f t="shared" si="643"/>
        <v>MVSAUDE</v>
      </c>
      <c r="C7899" s="2" t="str">
        <f t="shared" si="644"/>
        <v>PLANO</v>
      </c>
      <c r="D7899" s="2" t="str">
        <f t="shared" si="645"/>
        <v>MVS</v>
      </c>
      <c r="E7899" s="2" t="str">
        <f>"USUARIOS PJ SAMEL"</f>
        <v>USUARIOS PJ SAMEL</v>
      </c>
      <c r="F7899" s="2" t="str">
        <f>"R_GUIA_USUARIO_EMP_VAL_SAMEL"</f>
        <v>R_GUIA_USUARIO_EMP_VAL_SAMEL</v>
      </c>
      <c r="G7899" s="2" t="str">
        <f t="shared" si="646"/>
        <v xml:space="preserve"> ()</v>
      </c>
    </row>
    <row r="7900" spans="1:7" x14ac:dyDescent="0.3">
      <c r="A7900" s="1" t="s">
        <v>4</v>
      </c>
      <c r="B7900" s="2" t="str">
        <f t="shared" si="643"/>
        <v>MVSAUDE</v>
      </c>
      <c r="C7900" s="2" t="str">
        <f t="shared" si="644"/>
        <v>PLANO</v>
      </c>
      <c r="D7900" s="2" t="str">
        <f t="shared" si="645"/>
        <v>MVS</v>
      </c>
      <c r="E7900" s="2" t="str">
        <f>"R_USUEMPVALORNEW_SINT"</f>
        <v>R_USUEMPVALORNEW_SINT</v>
      </c>
      <c r="F7900" s="2" t="str">
        <f>"R_USUEMPVALORNEW_SINT"</f>
        <v>R_USUEMPVALORNEW_SINT</v>
      </c>
      <c r="G7900" s="2" t="str">
        <f t="shared" si="646"/>
        <v xml:space="preserve"> ()</v>
      </c>
    </row>
    <row r="7901" spans="1:7" x14ac:dyDescent="0.3">
      <c r="A7901" s="1" t="s">
        <v>4</v>
      </c>
      <c r="B7901" s="2" t="str">
        <f t="shared" si="643"/>
        <v>MVSAUDE</v>
      </c>
      <c r="C7901" s="2" t="str">
        <f t="shared" si="644"/>
        <v>PLANO</v>
      </c>
      <c r="D7901" s="2" t="str">
        <f t="shared" si="645"/>
        <v>MVS</v>
      </c>
      <c r="E7901" s="2" t="str">
        <f>"O_COLETIVO_ADESAO"</f>
        <v>O_COLETIVO_ADESAO</v>
      </c>
      <c r="F7901" s="2" t="str">
        <f>"O_COLETIVO_ADESAO"</f>
        <v>O_COLETIVO_ADESAO</v>
      </c>
      <c r="G7901" s="2" t="str">
        <f t="shared" si="646"/>
        <v xml:space="preserve"> ()</v>
      </c>
    </row>
    <row r="7902" spans="1:7" x14ac:dyDescent="0.3">
      <c r="A7902" s="1" t="s">
        <v>4</v>
      </c>
      <c r="B7902" s="2" t="str">
        <f t="shared" si="643"/>
        <v>MVSAUDE</v>
      </c>
      <c r="C7902" s="2" t="str">
        <f t="shared" si="644"/>
        <v>PLANO</v>
      </c>
      <c r="D7902" s="2" t="str">
        <f t="shared" si="645"/>
        <v>MVS</v>
      </c>
      <c r="E7902" s="2" t="str">
        <f>"R_EMICAR_UNIHOSP_PRE_IMP"</f>
        <v>R_EMICAR_UNIHOSP_PRE_IMP</v>
      </c>
      <c r="F7902" s="2" t="str">
        <f>"R_EMICAR_UNIHOSP_PRE_IMP"</f>
        <v>R_EMICAR_UNIHOSP_PRE_IMP</v>
      </c>
      <c r="G7902" s="2" t="str">
        <f t="shared" si="646"/>
        <v xml:space="preserve"> ()</v>
      </c>
    </row>
    <row r="7903" spans="1:7" x14ac:dyDescent="0.3">
      <c r="A7903" s="1" t="s">
        <v>4</v>
      </c>
      <c r="B7903" s="2" t="str">
        <f t="shared" si="643"/>
        <v>MVSAUDE</v>
      </c>
      <c r="C7903" s="2" t="str">
        <f t="shared" si="644"/>
        <v>PLANO</v>
      </c>
      <c r="D7903" s="2" t="str">
        <f t="shared" si="645"/>
        <v>MVS</v>
      </c>
      <c r="E7903" s="2" t="str">
        <f>"CONFIGURAÇÃO DE CADASTROS"</f>
        <v>CONFIGURAÇÃO DE CADASTROS</v>
      </c>
      <c r="F7903" s="2" t="str">
        <f>"M_CONFIGURA_TABELAS"</f>
        <v>M_CONFIGURA_TABELAS</v>
      </c>
      <c r="G7903" s="2" t="str">
        <f>"MVSaude / Configurações / Configurar Cadastros (M_CONFIGURA_TABELAS)"</f>
        <v>MVSaude / Configurações / Configurar Cadastros (M_CONFIGURA_TABELAS)</v>
      </c>
    </row>
    <row r="7904" spans="1:7" x14ac:dyDescent="0.3">
      <c r="A7904" s="1" t="s">
        <v>4</v>
      </c>
      <c r="B7904" s="2" t="str">
        <f t="shared" si="643"/>
        <v>MVSAUDE</v>
      </c>
      <c r="C7904" s="2" t="str">
        <f t="shared" si="644"/>
        <v>PLANO</v>
      </c>
      <c r="D7904" s="2" t="str">
        <f t="shared" si="645"/>
        <v>MVS</v>
      </c>
      <c r="E7904" s="2" t="str">
        <f>"ORÇAMENTO DE PROCEDIMENTOS"</f>
        <v>ORÇAMENTO DE PROCEDIMENTOS</v>
      </c>
      <c r="F7904" s="2" t="str">
        <f>"M_ORCAMENTO_PROCED"</f>
        <v>M_ORCAMENTO_PROCED</v>
      </c>
      <c r="G7904" s="2" t="str">
        <f>" ()"</f>
        <v xml:space="preserve"> ()</v>
      </c>
    </row>
    <row r="7905" spans="1:7" x14ac:dyDescent="0.3">
      <c r="A7905" s="1" t="s">
        <v>4</v>
      </c>
      <c r="B7905" s="2" t="str">
        <f t="shared" si="643"/>
        <v>MVSAUDE</v>
      </c>
      <c r="C7905" s="2" t="str">
        <f t="shared" si="644"/>
        <v>PLANO</v>
      </c>
      <c r="D7905" s="2" t="str">
        <f t="shared" si="645"/>
        <v>MVS</v>
      </c>
      <c r="E7905" s="2" t="str">
        <f>"CONSULTA ÀS RESPOSTAS DE ELEGIBILIDADE"</f>
        <v>CONSULTA ÀS RESPOSTAS DE ELEGIBILIDADE</v>
      </c>
      <c r="F7905" s="2" t="str">
        <f>"C_TISS_ELEGIBILIDADE"</f>
        <v>C_TISS_ELEGIBILIDADE</v>
      </c>
      <c r="G7905" s="2" t="str">
        <f>"MVSaude / Atendimento / Consultar Elegibilidade (C_TISS_ELEGIBILIDADE)"</f>
        <v>MVSaude / Atendimento / Consultar Elegibilidade (C_TISS_ELEGIBILIDADE)</v>
      </c>
    </row>
    <row r="7906" spans="1:7" x14ac:dyDescent="0.3">
      <c r="A7906" s="1" t="s">
        <v>4</v>
      </c>
      <c r="B7906" s="2" t="str">
        <f t="shared" si="643"/>
        <v>MVSAUDE</v>
      </c>
      <c r="C7906" s="2" t="str">
        <f t="shared" si="644"/>
        <v>PLANO</v>
      </c>
      <c r="D7906" s="2" t="str">
        <f t="shared" si="645"/>
        <v>MVS</v>
      </c>
      <c r="E7906" s="2" t="str">
        <f>"IMPORTAÇÃO DE USUÁRIOS"</f>
        <v>IMPORTAÇÃO DE USUÁRIOS</v>
      </c>
      <c r="F7906" s="2" t="str">
        <f>"M_CADASTRAR_USUARIOS"</f>
        <v>M_CADASTRAR_USUARIOS</v>
      </c>
      <c r="G7906" s="2" t="str">
        <f>"MVSaude / Cadastros / Efetivar / Rejeitar Cadastros (M_CADASTRAR_USUARIOS)"</f>
        <v>MVSaude / Cadastros / Efetivar / Rejeitar Cadastros (M_CADASTRAR_USUARIOS)</v>
      </c>
    </row>
    <row r="7907" spans="1:7" x14ac:dyDescent="0.3">
      <c r="A7907" s="1" t="s">
        <v>4</v>
      </c>
      <c r="B7907" s="2" t="str">
        <f>"SIST. DE ACOLH. E CLASSIFICAÇÃO DE RISCO"</f>
        <v>SIST. DE ACOLH. E CLASSIFICAÇÃO DE RISCO</v>
      </c>
      <c r="C7907" s="2" t="str">
        <f>"CLASRISCO"</f>
        <v>CLASRISCO</v>
      </c>
      <c r="D7907" s="2" t="str">
        <f>"MVSACR"</f>
        <v>MVSACR</v>
      </c>
      <c r="E7907" s="2" t="str">
        <f>"ABORDAGEM INICIAL ¿ SACR"</f>
        <v>ABORDAGEM INICIAL ¿ SACR</v>
      </c>
      <c r="F7907" s="2" t="str">
        <f>"MVSACR_ABORDAGEMINICIAL"</f>
        <v>MVSACR_ABORDAGEMINICIAL</v>
      </c>
      <c r="G7907" s="2" t="str">
        <f>" ()"</f>
        <v xml:space="preserve"> ()</v>
      </c>
    </row>
    <row r="7908" spans="1:7" x14ac:dyDescent="0.3">
      <c r="A7908" s="1" t="s">
        <v>4</v>
      </c>
      <c r="B7908" s="2" t="str">
        <f>"SIST. DE ACOLH. E CLASSIFICAÇÃO DE RISCO"</f>
        <v>SIST. DE ACOLH. E CLASSIFICAÇÃO DE RISCO</v>
      </c>
      <c r="C7908" s="2" t="str">
        <f>"CLASRISCO"</f>
        <v>CLASRISCO</v>
      </c>
      <c r="D7908" s="2" t="str">
        <f>"MVSACR"</f>
        <v>MVSACR</v>
      </c>
      <c r="E7908" s="2" t="str">
        <f>"LISTA DE PACIENTES"</f>
        <v>LISTA DE PACIENTES</v>
      </c>
      <c r="F7908" s="2" t="str">
        <f>"MVPEP_CONFIG_LISTA_PACIENTES"</f>
        <v>MVPEP_CONFIG_LISTA_PACIENTES</v>
      </c>
      <c r="G7908" s="2" t="str">
        <f>" ()"</f>
        <v xml:space="preserve"> ()</v>
      </c>
    </row>
    <row r="7909" spans="1:7" x14ac:dyDescent="0.3">
      <c r="A7909" s="1" t="s">
        <v>4</v>
      </c>
      <c r="B7909" s="2" t="str">
        <f>""</f>
        <v/>
      </c>
      <c r="C7909" s="2" t="str">
        <f>""</f>
        <v/>
      </c>
      <c r="D7909" s="2" t="str">
        <f>"MVSGER"</f>
        <v>MVSGER</v>
      </c>
      <c r="E7909" s="2" t="str">
        <f>"C_RECEITAS_MENSALIDADES"</f>
        <v>C_RECEITAS_MENSALIDADES</v>
      </c>
      <c r="F7909" s="2" t="str">
        <f>"C_RECEITAS_MENSALIDADES"</f>
        <v>C_RECEITAS_MENSALIDADES</v>
      </c>
      <c r="G7909" s="2" t="str">
        <f>" ()"</f>
        <v xml:space="preserve"> ()</v>
      </c>
    </row>
    <row r="7910" spans="1:7" x14ac:dyDescent="0.3">
      <c r="A7910" s="1" t="s">
        <v>4</v>
      </c>
      <c r="B7910" s="2" t="str">
        <f>""</f>
        <v/>
      </c>
      <c r="C7910" s="2" t="str">
        <f>""</f>
        <v/>
      </c>
      <c r="D7910" s="2" t="str">
        <f>"MVSGER"</f>
        <v>MVSGER</v>
      </c>
      <c r="E7910" s="2" t="str">
        <f>"O_IMPBOLETO_PRE_IMPRESSO"</f>
        <v>O_IMPBOLETO_PRE_IMPRESSO</v>
      </c>
      <c r="F7910" s="2" t="str">
        <f>"O_IMPBOLETO_PRE_IMPRESSO"</f>
        <v>O_IMPBOLETO_PRE_IMPRESSO</v>
      </c>
      <c r="G7910" s="2" t="str">
        <f>" ()"</f>
        <v xml:space="preserve"> ()</v>
      </c>
    </row>
    <row r="7911" spans="1:7" x14ac:dyDescent="0.3">
      <c r="A7911" s="1" t="s">
        <v>4</v>
      </c>
      <c r="B7911" s="2" t="str">
        <f>""</f>
        <v/>
      </c>
      <c r="C7911" s="2" t="str">
        <f>""</f>
        <v/>
      </c>
      <c r="D7911" s="2" t="str">
        <f>"MVSGER"</f>
        <v>MVSGER</v>
      </c>
      <c r="E7911" s="2" t="str">
        <f>"R_EMP_FAT"</f>
        <v>R_EMP_FAT</v>
      </c>
      <c r="F7911" s="2" t="str">
        <f>"R_EMP_FAT"</f>
        <v>R_EMP_FAT</v>
      </c>
      <c r="G7911" s="2" t="str">
        <f>" ()"</f>
        <v xml:space="preserve"> ()</v>
      </c>
    </row>
    <row r="7912" spans="1:7" x14ac:dyDescent="0.3">
      <c r="A7912" s="1" t="s">
        <v>4</v>
      </c>
      <c r="B7912" s="2" t="str">
        <f>""</f>
        <v/>
      </c>
      <c r="C7912" s="2" t="str">
        <f>""</f>
        <v/>
      </c>
      <c r="D7912" s="2" t="str">
        <f>"MVSGER"</f>
        <v>MVSGER</v>
      </c>
      <c r="E7912" s="2" t="str">
        <f>"M_GRUCAR"</f>
        <v>M_GRUCAR</v>
      </c>
      <c r="F7912" s="2" t="str">
        <f>"M_GRUCAR"</f>
        <v>M_GRUCAR</v>
      </c>
      <c r="G7912" s="2" t="str">
        <f>"MVSaude / Contas Médicas / Tabelas / Grupos de Carência (M_GRUCAR)"</f>
        <v>MVSaude / Contas Médicas / Tabelas / Grupos de Carência (M_GRUCAR)</v>
      </c>
    </row>
    <row r="7913" spans="1:7" x14ac:dyDescent="0.3">
      <c r="A7913" s="1" t="s">
        <v>4</v>
      </c>
      <c r="B7913" s="2" t="str">
        <f t="shared" ref="B7913:B7976" si="647">"SISTEMA DE URGÊNCIA E EMERGÊNCIA"</f>
        <v>SISTEMA DE URGÊNCIA E EMERGÊNCIA</v>
      </c>
      <c r="C7913" s="2" t="str">
        <f t="shared" ref="C7913:C7976" si="648">"ATEND"</f>
        <v>ATEND</v>
      </c>
      <c r="D7913" s="2" t="str">
        <f t="shared" ref="D7913:D7976" si="649">"PAEU"</f>
        <v>PAEU</v>
      </c>
      <c r="E7913" s="2" t="str">
        <f>"ATENDIMENTO DE URGÊNCIA / EMERGÊNCIA"</f>
        <v>ATENDIMENTO DE URGÊNCIA / EMERGÊNCIA</v>
      </c>
      <c r="F7913" s="2" t="str">
        <f>"ATEURG_PAEU"</f>
        <v>ATEURG_PAEU</v>
      </c>
      <c r="G7913" s="2" t="str">
        <f>"Atendimento / Urgência e Emergência / Atendimento / Atendimento (ATEURG_PAEU)"</f>
        <v>Atendimento / Urgência e Emergência / Atendimento / Atendimento (ATEURG_PAEU)</v>
      </c>
    </row>
    <row r="7914" spans="1:7" x14ac:dyDescent="0.3">
      <c r="A7914" s="1" t="s">
        <v>4</v>
      </c>
      <c r="B7914" s="2" t="str">
        <f t="shared" si="647"/>
        <v>SISTEMA DE URGÊNCIA E EMERGÊNCIA</v>
      </c>
      <c r="C7914" s="2" t="str">
        <f t="shared" si="648"/>
        <v>ATEND</v>
      </c>
      <c r="D7914" s="2" t="str">
        <f t="shared" si="649"/>
        <v>PAEU</v>
      </c>
      <c r="E7914" s="2" t="str">
        <f>"WIN_PRINCIPAL"</f>
        <v>WIN_PRINCIPAL</v>
      </c>
      <c r="F7914" s="2" t="str">
        <f>"M_LIBERA_CONTA"</f>
        <v>M_LIBERA_CONTA</v>
      </c>
      <c r="G7914" s="2" t="str">
        <f>"Atendimento / Urgência e Emergência / Faturamento / Liberação de Fichas de Atendimento (M_LIBERA_CONTA)"</f>
        <v>Atendimento / Urgência e Emergência / Faturamento / Liberação de Fichas de Atendimento (M_LIBERA_CONTA)</v>
      </c>
    </row>
    <row r="7915" spans="1:7" x14ac:dyDescent="0.3">
      <c r="A7915" s="1" t="s">
        <v>4</v>
      </c>
      <c r="B7915" s="2" t="str">
        <f t="shared" si="647"/>
        <v>SISTEMA DE URGÊNCIA E EMERGÊNCIA</v>
      </c>
      <c r="C7915" s="2" t="str">
        <f t="shared" si="648"/>
        <v>ATEND</v>
      </c>
      <c r="D7915" s="2" t="str">
        <f t="shared" si="649"/>
        <v>PAEU</v>
      </c>
      <c r="E7915" s="2" t="str">
        <f>"REL DE FICHA DE ATENDIMENTO DA URGENCIA"</f>
        <v>REL DE FICHA DE ATENDIMENTO DA URGENCIA</v>
      </c>
      <c r="F7915" s="2" t="str">
        <f>"R_FICHA_ATEND_URG755"</f>
        <v>R_FICHA_ATEND_URG755</v>
      </c>
      <c r="G7915" s="2" t="str">
        <f>" ()"</f>
        <v xml:space="preserve"> ()</v>
      </c>
    </row>
    <row r="7916" spans="1:7" x14ac:dyDescent="0.3">
      <c r="A7916" s="1" t="s">
        <v>4</v>
      </c>
      <c r="B7916" s="2" t="str">
        <f t="shared" si="647"/>
        <v>SISTEMA DE URGÊNCIA E EMERGÊNCIA</v>
      </c>
      <c r="C7916" s="2" t="str">
        <f t="shared" si="648"/>
        <v>ATEND</v>
      </c>
      <c r="D7916" s="2" t="str">
        <f t="shared" si="649"/>
        <v>PAEU</v>
      </c>
      <c r="E7916" s="2" t="str">
        <f>"MOVIMENTAÇÃO DO PACIENTE"</f>
        <v>MOVIMENTAÇÃO DO PACIENTE</v>
      </c>
      <c r="F7916" s="2" t="str">
        <f>"MOV_HOSP"</f>
        <v>MOV_HOSP</v>
      </c>
      <c r="G7916" s="2" t="str">
        <f>"Atendimento / Urgência e Emergência / Atendimento / Situação de Paciente (MOV_HOSP)"</f>
        <v>Atendimento / Urgência e Emergência / Atendimento / Situação de Paciente (MOV_HOSP)</v>
      </c>
    </row>
    <row r="7917" spans="1:7" x14ac:dyDescent="0.3">
      <c r="A7917" s="1" t="s">
        <v>4</v>
      </c>
      <c r="B7917" s="2" t="str">
        <f t="shared" si="647"/>
        <v>SISTEMA DE URGÊNCIA E EMERGÊNCIA</v>
      </c>
      <c r="C7917" s="2" t="str">
        <f t="shared" si="648"/>
        <v>ATEND</v>
      </c>
      <c r="D7917" s="2" t="str">
        <f t="shared" si="649"/>
        <v>PAEU</v>
      </c>
      <c r="E7917" s="2" t="str">
        <f>"ETIQUETA DE ATENDIMENTO DO PAEU"</f>
        <v>ETIQUETA DE ATENDIMENTO DO PAEU</v>
      </c>
      <c r="F7917" s="2" t="str">
        <f>"R_ETIQUETA_ATENDE_PAEU_860"</f>
        <v>R_ETIQUETA_ATENDE_PAEU_860</v>
      </c>
      <c r="G7917" s="2" t="str">
        <f>" ()"</f>
        <v xml:space="preserve"> ()</v>
      </c>
    </row>
    <row r="7918" spans="1:7" x14ac:dyDescent="0.3">
      <c r="A7918" s="1" t="s">
        <v>4</v>
      </c>
      <c r="B7918" s="2" t="str">
        <f t="shared" si="647"/>
        <v>SISTEMA DE URGÊNCIA E EMERGÊNCIA</v>
      </c>
      <c r="C7918" s="2" t="str">
        <f t="shared" si="648"/>
        <v>ATEND</v>
      </c>
      <c r="D7918" s="2" t="str">
        <f t="shared" si="649"/>
        <v>PAEU</v>
      </c>
      <c r="E7918" s="2" t="str">
        <f>"CON_TABELA_IMPORTACAO_451.FMX"</f>
        <v>CON_TABELA_IMPORTACAO_451.FMX</v>
      </c>
      <c r="F7918" s="2" t="str">
        <f>"CON_TABELA_IMPORTACAO_451.FMX"</f>
        <v>CON_TABELA_IMPORTACAO_451.FMX</v>
      </c>
      <c r="G7918" s="2" t="str">
        <f>" ()"</f>
        <v xml:space="preserve"> ()</v>
      </c>
    </row>
    <row r="7919" spans="1:7" x14ac:dyDescent="0.3">
      <c r="A7919" s="1" t="s">
        <v>4</v>
      </c>
      <c r="B7919" s="2" t="str">
        <f t="shared" si="647"/>
        <v>SISTEMA DE URGÊNCIA E EMERGÊNCIA</v>
      </c>
      <c r="C7919" s="2" t="str">
        <f t="shared" si="648"/>
        <v>ATEND</v>
      </c>
      <c r="D7919" s="2" t="str">
        <f t="shared" si="649"/>
        <v>PAEU</v>
      </c>
      <c r="E7919" s="2" t="str">
        <f>"Pré-atendimento"</f>
        <v>Pré-atendimento</v>
      </c>
      <c r="F7919" s="2" t="str">
        <f>"M_PRE_ATEURG"</f>
        <v>M_PRE_ATEURG</v>
      </c>
      <c r="G7919" s="2" t="str">
        <f>" ()"</f>
        <v xml:space="preserve"> ()</v>
      </c>
    </row>
    <row r="7920" spans="1:7" x14ac:dyDescent="0.3">
      <c r="A7920" s="1" t="s">
        <v>4</v>
      </c>
      <c r="B7920" s="2" t="str">
        <f t="shared" si="647"/>
        <v>SISTEMA DE URGÊNCIA E EMERGÊNCIA</v>
      </c>
      <c r="C7920" s="2" t="str">
        <f t="shared" si="648"/>
        <v>ATEND</v>
      </c>
      <c r="D7920" s="2" t="str">
        <f t="shared" si="649"/>
        <v>PAEU</v>
      </c>
      <c r="E7920" s="2" t="str">
        <f>"TRIAGEM BY ILESSNAU"</f>
        <v>TRIAGEM BY ILESSNAU</v>
      </c>
      <c r="F7920" s="2" t="str">
        <f>"ECL_TRIAGEM"</f>
        <v>ECL_TRIAGEM</v>
      </c>
      <c r="G7920" s="2" t="str">
        <f>"Triagem - Lessnau (ECL_TRIAGEM)"</f>
        <v>Triagem - Lessnau (ECL_TRIAGEM)</v>
      </c>
    </row>
    <row r="7921" spans="1:7" x14ac:dyDescent="0.3">
      <c r="A7921" s="1" t="s">
        <v>4</v>
      </c>
      <c r="B7921" s="2" t="str">
        <f t="shared" si="647"/>
        <v>SISTEMA DE URGÊNCIA E EMERGÊNCIA</v>
      </c>
      <c r="C7921" s="2" t="str">
        <f t="shared" si="648"/>
        <v>ATEND</v>
      </c>
      <c r="D7921" s="2" t="str">
        <f t="shared" si="649"/>
        <v>PAEU</v>
      </c>
      <c r="E7921" s="2" t="str">
        <f>"Relatório de monitoramento do paciente"</f>
        <v>Relatório de monitoramento do paciente</v>
      </c>
      <c r="F7921" s="2" t="str">
        <f>"R_MONITORAMENTO_PACIENTES"</f>
        <v>R_MONITORAMENTO_PACIENTES</v>
      </c>
      <c r="G7921" s="2" t="str">
        <f>" ()"</f>
        <v xml:space="preserve"> ()</v>
      </c>
    </row>
    <row r="7922" spans="1:7" x14ac:dyDescent="0.3">
      <c r="A7922" s="1" t="s">
        <v>4</v>
      </c>
      <c r="B7922" s="2" t="str">
        <f t="shared" si="647"/>
        <v>SISTEMA DE URGÊNCIA E EMERGÊNCIA</v>
      </c>
      <c r="C7922" s="2" t="str">
        <f t="shared" si="648"/>
        <v>ATEND</v>
      </c>
      <c r="D7922" s="2" t="str">
        <f t="shared" si="649"/>
        <v>PAEU</v>
      </c>
      <c r="E7922" s="2" t="str">
        <f>"Relatório da Ficha do Paciente"</f>
        <v>Relatório da Ficha do Paciente</v>
      </c>
      <c r="F7922" s="2" t="str">
        <f>"R_FICHA_PACIENTE_LEITO"</f>
        <v>R_FICHA_PACIENTE_LEITO</v>
      </c>
      <c r="G7922" s="2" t="str">
        <f>" ()"</f>
        <v xml:space="preserve"> ()</v>
      </c>
    </row>
    <row r="7923" spans="1:7" x14ac:dyDescent="0.3">
      <c r="A7923" s="1" t="s">
        <v>4</v>
      </c>
      <c r="B7923" s="2" t="str">
        <f t="shared" si="647"/>
        <v>SISTEMA DE URGÊNCIA E EMERGÊNCIA</v>
      </c>
      <c r="C7923" s="2" t="str">
        <f t="shared" si="648"/>
        <v>ATEND</v>
      </c>
      <c r="D7923" s="2" t="str">
        <f t="shared" si="649"/>
        <v>PAEU</v>
      </c>
      <c r="E7923" s="2" t="str">
        <f>"Censo Diario (Kanban)"</f>
        <v>Censo Diario (Kanban)</v>
      </c>
      <c r="F7923" s="2" t="str">
        <f>"M_MONITORAMENTO_PACIENTES"</f>
        <v>M_MONITORAMENTO_PACIENTES</v>
      </c>
      <c r="G7923" s="2" t="str">
        <f>"Triagem - Lessnau / Acompanhamento de Urgências (SOS Emergência) (M_MONITORAMENTO_PACIENTES)"</f>
        <v>Triagem - Lessnau / Acompanhamento de Urgências (SOS Emergência) (M_MONITORAMENTO_PACIENTES)</v>
      </c>
    </row>
    <row r="7924" spans="1:7" x14ac:dyDescent="0.3">
      <c r="A7924" s="1" t="s">
        <v>4</v>
      </c>
      <c r="B7924" s="2" t="str">
        <f t="shared" si="647"/>
        <v>SISTEMA DE URGÊNCIA E EMERGÊNCIA</v>
      </c>
      <c r="C7924" s="2" t="str">
        <f t="shared" si="648"/>
        <v>ATEND</v>
      </c>
      <c r="D7924" s="2" t="str">
        <f t="shared" si="649"/>
        <v>PAEU</v>
      </c>
      <c r="E7924" s="2" t="str">
        <f>"Cadastro de Motivos de Permanencia"</f>
        <v>Cadastro de Motivos de Permanencia</v>
      </c>
      <c r="F7924" s="2" t="str">
        <f>"M_ATENDIME_PROGRAMA"</f>
        <v>M_ATENDIME_PROGRAMA</v>
      </c>
      <c r="G7924" s="2" t="str">
        <f>" ()"</f>
        <v xml:space="preserve"> ()</v>
      </c>
    </row>
    <row r="7925" spans="1:7" x14ac:dyDescent="0.3">
      <c r="A7925" s="1" t="s">
        <v>4</v>
      </c>
      <c r="B7925" s="2" t="str">
        <f t="shared" si="647"/>
        <v>SISTEMA DE URGÊNCIA E EMERGÊNCIA</v>
      </c>
      <c r="C7925" s="2" t="str">
        <f t="shared" si="648"/>
        <v>ATEND</v>
      </c>
      <c r="D7925" s="2" t="str">
        <f t="shared" si="649"/>
        <v>PAEU</v>
      </c>
      <c r="E7925" s="2" t="str">
        <f>"RELATÓRIO DE TIPOS DE SITUAÇÃO"</f>
        <v>RELATÓRIO DE TIPOS DE SITUAÇÃO</v>
      </c>
      <c r="F7925" s="2" t="str">
        <f>"R_TIPO_SITUACAO.RDF"</f>
        <v>R_TIPO_SITUACAO.RDF</v>
      </c>
      <c r="G7925" s="2" t="str">
        <f>" ()"</f>
        <v xml:space="preserve"> ()</v>
      </c>
    </row>
    <row r="7926" spans="1:7" x14ac:dyDescent="0.3">
      <c r="A7926" s="1" t="s">
        <v>4</v>
      </c>
      <c r="B7926" s="2" t="str">
        <f t="shared" si="647"/>
        <v>SISTEMA DE URGÊNCIA E EMERGÊNCIA</v>
      </c>
      <c r="C7926" s="2" t="str">
        <f t="shared" si="648"/>
        <v>ATEND</v>
      </c>
      <c r="D7926" s="2" t="str">
        <f t="shared" si="649"/>
        <v>PAEU</v>
      </c>
      <c r="E7926" s="2" t="str">
        <f>"REL. SINTÉTICO DE ATENDIMENTOS"</f>
        <v>REL. SINTÉTICO DE ATENDIMENTOS</v>
      </c>
      <c r="F7926" s="2" t="str">
        <f>"R_SINT_ATE_360"</f>
        <v>R_SINT_ATE_360</v>
      </c>
      <c r="G7926" s="2" t="str">
        <f>" ()"</f>
        <v xml:space="preserve"> ()</v>
      </c>
    </row>
    <row r="7927" spans="1:7" x14ac:dyDescent="0.3">
      <c r="A7927" s="1" t="s">
        <v>4</v>
      </c>
      <c r="B7927" s="2" t="str">
        <f t="shared" si="647"/>
        <v>SISTEMA DE URGÊNCIA E EMERGÊNCIA</v>
      </c>
      <c r="C7927" s="2" t="str">
        <f t="shared" si="648"/>
        <v>ATEND</v>
      </c>
      <c r="D7927" s="2" t="str">
        <f t="shared" si="649"/>
        <v>PAEU</v>
      </c>
      <c r="E7927" s="2" t="str">
        <f>"CONSULTA: IMPORTAÇÃO DE ARQUIVOS"</f>
        <v>CONSULTA: IMPORTAÇÃO DE ARQUIVOS</v>
      </c>
      <c r="F7927" s="2" t="str">
        <f>"CON_TABELA_IMPORTACAO"</f>
        <v>CON_TABELA_IMPORTACAO</v>
      </c>
      <c r="G7927" s="2" t="str">
        <f>" ()"</f>
        <v xml:space="preserve"> ()</v>
      </c>
    </row>
    <row r="7928" spans="1:7" x14ac:dyDescent="0.3">
      <c r="A7928" s="1" t="s">
        <v>4</v>
      </c>
      <c r="B7928" s="2" t="str">
        <f t="shared" si="647"/>
        <v>SISTEMA DE URGÊNCIA E EMERGÊNCIA</v>
      </c>
      <c r="C7928" s="2" t="str">
        <f t="shared" si="648"/>
        <v>ATEND</v>
      </c>
      <c r="D7928" s="2" t="str">
        <f t="shared" si="649"/>
        <v>PAEU</v>
      </c>
      <c r="E7928" s="2" t="str">
        <f>"AGENDAMENTO DE CONSULTAS"</f>
        <v>AGENDAMENTO DE CONSULTAS</v>
      </c>
      <c r="F7928" s="2" t="str">
        <f>"CONSULTORIO_PAEU"</f>
        <v>CONSULTORIO_PAEU</v>
      </c>
      <c r="G7928" s="2" t="str">
        <f>"Atendimento / Urgência e Emergência / Atendimento / Consultório (CONSULTORIO_PAEU)"</f>
        <v>Atendimento / Urgência e Emergência / Atendimento / Consultório (CONSULTORIO_PAEU)</v>
      </c>
    </row>
    <row r="7929" spans="1:7" x14ac:dyDescent="0.3">
      <c r="A7929" s="1" t="s">
        <v>4</v>
      </c>
      <c r="B7929" s="2" t="str">
        <f t="shared" si="647"/>
        <v>SISTEMA DE URGÊNCIA E EMERGÊNCIA</v>
      </c>
      <c r="C7929" s="2" t="str">
        <f t="shared" si="648"/>
        <v>ATEND</v>
      </c>
      <c r="D7929" s="2" t="str">
        <f t="shared" si="649"/>
        <v>PAEU</v>
      </c>
      <c r="E7929" s="2" t="str">
        <f>"CADASTRO: TIPOS DE SITUAÇÃO DE PACIENTE"</f>
        <v>CADASTRO: TIPOS DE SITUAÇÃO DE PACIENTE</v>
      </c>
      <c r="F7929" s="2" t="str">
        <f>"TIP_SITUACAO"</f>
        <v>TIP_SITUACAO</v>
      </c>
      <c r="G7929" s="2" t="str">
        <f>"Atendimento / Urgência e Emergência / Tabelas / Tipos de Situação (TIP_SITUACAO)"</f>
        <v>Atendimento / Urgência e Emergência / Tabelas / Tipos de Situação (TIP_SITUACAO)</v>
      </c>
    </row>
    <row r="7930" spans="1:7" x14ac:dyDescent="0.3">
      <c r="A7930" s="1" t="s">
        <v>4</v>
      </c>
      <c r="B7930" s="2" t="str">
        <f t="shared" si="647"/>
        <v>SISTEMA DE URGÊNCIA E EMERGÊNCIA</v>
      </c>
      <c r="C7930" s="2" t="str">
        <f t="shared" si="648"/>
        <v>ATEND</v>
      </c>
      <c r="D7930" s="2" t="str">
        <f t="shared" si="649"/>
        <v>PAEU</v>
      </c>
      <c r="E7930" s="2" t="str">
        <f>"REL DE ETIQUETA DA URGENCIA/EMERGENCIA"</f>
        <v>REL DE ETIQUETA DA URGENCIA/EMERGENCIA</v>
      </c>
      <c r="F7930" s="2" t="str">
        <f>"R_ETIQUETA_URG755"</f>
        <v>R_ETIQUETA_URG755</v>
      </c>
      <c r="G7930" s="2" t="str">
        <f>" ()"</f>
        <v xml:space="preserve"> ()</v>
      </c>
    </row>
    <row r="7931" spans="1:7" x14ac:dyDescent="0.3">
      <c r="A7931" s="1" t="s">
        <v>4</v>
      </c>
      <c r="B7931" s="2" t="str">
        <f t="shared" si="647"/>
        <v>SISTEMA DE URGÊNCIA E EMERGÊNCIA</v>
      </c>
      <c r="C7931" s="2" t="str">
        <f t="shared" si="648"/>
        <v>ATEND</v>
      </c>
      <c r="D7931" s="2" t="str">
        <f t="shared" si="649"/>
        <v>PAEU</v>
      </c>
      <c r="E7931" s="2" t="str">
        <f>"REL DE BOLETIM DIARIO"</f>
        <v>REL DE BOLETIM DIARIO</v>
      </c>
      <c r="F7931" s="2" t="str">
        <f>"R_BOLETIM_DIARIO"</f>
        <v>R_BOLETIM_DIARIO</v>
      </c>
      <c r="G7931" s="2" t="str">
        <f>" ()"</f>
        <v xml:space="preserve"> ()</v>
      </c>
    </row>
    <row r="7932" spans="1:7" x14ac:dyDescent="0.3">
      <c r="A7932" s="1" t="s">
        <v>4</v>
      </c>
      <c r="B7932" s="2" t="str">
        <f t="shared" si="647"/>
        <v>SISTEMA DE URGÊNCIA E EMERGÊNCIA</v>
      </c>
      <c r="C7932" s="2" t="str">
        <f t="shared" si="648"/>
        <v>ATEND</v>
      </c>
      <c r="D7932" s="2" t="str">
        <f t="shared" si="649"/>
        <v>PAEU</v>
      </c>
      <c r="E7932" s="2" t="str">
        <f>"GRAFICO PADRAO EM BARRAS DO PAEU"</f>
        <v>GRAFICO PADRAO EM BARRAS DO PAEU</v>
      </c>
      <c r="F7932" s="2" t="str">
        <f>"G_BARRA_PAEU"</f>
        <v>G_BARRA_PAEU</v>
      </c>
      <c r="G7932" s="2" t="str">
        <f>" ()"</f>
        <v xml:space="preserve"> ()</v>
      </c>
    </row>
    <row r="7933" spans="1:7" x14ac:dyDescent="0.3">
      <c r="A7933" s="1" t="s">
        <v>4</v>
      </c>
      <c r="B7933" s="2" t="str">
        <f t="shared" si="647"/>
        <v>SISTEMA DE URGÊNCIA E EMERGÊNCIA</v>
      </c>
      <c r="C7933" s="2" t="str">
        <f t="shared" si="648"/>
        <v>ATEND</v>
      </c>
      <c r="D7933" s="2" t="str">
        <f t="shared" si="649"/>
        <v>PAEU</v>
      </c>
      <c r="E7933" s="2" t="str">
        <f>"EVOLUÇÃO DE ATENDIMENTOS POR CONVÊNIO"</f>
        <v>EVOLUÇÃO DE ATENDIMENTOS POR CONVÊNIO</v>
      </c>
      <c r="F7933" s="2" t="str">
        <f>"R_LEVANTAMENTO_CONVENIO"</f>
        <v>R_LEVANTAMENTO_CONVENIO</v>
      </c>
      <c r="G7933" s="2" t="str">
        <f>"Atendimento / Urgência e Emergência / Relatórios / Gerenciais / Evolução por Convênio (R_LEVANTAMENTO_CONVENIO)"</f>
        <v>Atendimento / Urgência e Emergência / Relatórios / Gerenciais / Evolução por Convênio (R_LEVANTAMENTO_CONVENIO)</v>
      </c>
    </row>
    <row r="7934" spans="1:7" x14ac:dyDescent="0.3">
      <c r="A7934" s="1" t="s">
        <v>4</v>
      </c>
      <c r="B7934" s="2" t="str">
        <f t="shared" si="647"/>
        <v>SISTEMA DE URGÊNCIA E EMERGÊNCIA</v>
      </c>
      <c r="C7934" s="2" t="str">
        <f t="shared" si="648"/>
        <v>ATEND</v>
      </c>
      <c r="D7934" s="2" t="str">
        <f t="shared" si="649"/>
        <v>PAEU</v>
      </c>
      <c r="E7934" s="2" t="str">
        <f>"SITUAÇÕES DO PACIENTE"</f>
        <v>SITUAÇÕES DO PACIENTE</v>
      </c>
      <c r="F7934" s="2" t="str">
        <f>"M_TRIAGEM"</f>
        <v>M_TRIAGEM</v>
      </c>
      <c r="G7934" s="2" t="str">
        <f>"Atendimento / Urgência e Emergência / Atendimento / Triagem (M_TRIAGEM)"</f>
        <v>Atendimento / Urgência e Emergência / Atendimento / Triagem (M_TRIAGEM)</v>
      </c>
    </row>
    <row r="7935" spans="1:7" x14ac:dyDescent="0.3">
      <c r="A7935" s="1" t="s">
        <v>4</v>
      </c>
      <c r="B7935" s="2" t="str">
        <f t="shared" si="647"/>
        <v>SISTEMA DE URGÊNCIA E EMERGÊNCIA</v>
      </c>
      <c r="C7935" s="2" t="str">
        <f t="shared" si="648"/>
        <v>ATEND</v>
      </c>
      <c r="D7935" s="2" t="str">
        <f t="shared" si="649"/>
        <v>PAEU</v>
      </c>
      <c r="E7935" s="2" t="str">
        <f>"WIN_PRINCIPAL"</f>
        <v>WIN_PRINCIPAL</v>
      </c>
      <c r="F7935" s="2" t="str">
        <f>"M_ESC_DIA_EXT"</f>
        <v>M_ESC_DIA_EXT</v>
      </c>
      <c r="G7935" s="2" t="str">
        <f>"MVSaude / Vendas / Internação / Tabelas / Escalas de Plantão (M_ESC_DIA_EXT)"</f>
        <v>MVSaude / Vendas / Internação / Tabelas / Escalas de Plantão (M_ESC_DIA_EXT)</v>
      </c>
    </row>
    <row r="7936" spans="1:7" x14ac:dyDescent="0.3">
      <c r="A7936" s="1" t="s">
        <v>4</v>
      </c>
      <c r="B7936" s="2" t="str">
        <f t="shared" si="647"/>
        <v>SISTEMA DE URGÊNCIA E EMERGÊNCIA</v>
      </c>
      <c r="C7936" s="2" t="str">
        <f t="shared" si="648"/>
        <v>ATEND</v>
      </c>
      <c r="D7936" s="2" t="str">
        <f t="shared" si="649"/>
        <v>PAEU</v>
      </c>
      <c r="E7936" s="2" t="str">
        <f>"WIN_PRINCIPAL"</f>
        <v>WIN_PRINCIPAL</v>
      </c>
      <c r="F7936" s="2" t="str">
        <f>"M_ESC_DIA_EXT"</f>
        <v>M_ESC_DIA_EXT</v>
      </c>
      <c r="G7936" s="2" t="str">
        <f>"MVSaude / Atendimento / Autorizações de Guias / Internação / Tabelas / Escalas de Plantão (M_ESC_DIA_EXT)"</f>
        <v>MVSaude / Atendimento / Autorizações de Guias / Internação / Tabelas / Escalas de Plantão (M_ESC_DIA_EXT)</v>
      </c>
    </row>
    <row r="7937" spans="1:7" x14ac:dyDescent="0.3">
      <c r="A7937" s="1" t="s">
        <v>4</v>
      </c>
      <c r="B7937" s="2" t="str">
        <f t="shared" si="647"/>
        <v>SISTEMA DE URGÊNCIA E EMERGÊNCIA</v>
      </c>
      <c r="C7937" s="2" t="str">
        <f t="shared" si="648"/>
        <v>ATEND</v>
      </c>
      <c r="D7937" s="2" t="str">
        <f t="shared" si="649"/>
        <v>PAEU</v>
      </c>
      <c r="E7937" s="2" t="str">
        <f>"WIN_PRINCIPAL"</f>
        <v>WIN_PRINCIPAL</v>
      </c>
      <c r="F7937" s="2" t="str">
        <f>"M_ESC_DIA_EXT"</f>
        <v>M_ESC_DIA_EXT</v>
      </c>
      <c r="G7937" s="2" t="str">
        <f>"Atendimento / Urgência e Emergência / Tabelas / Escalas de Plantão (M_ESC_DIA_EXT)"</f>
        <v>Atendimento / Urgência e Emergência / Tabelas / Escalas de Plantão (M_ESC_DIA_EXT)</v>
      </c>
    </row>
    <row r="7938" spans="1:7" x14ac:dyDescent="0.3">
      <c r="A7938" s="1" t="s">
        <v>4</v>
      </c>
      <c r="B7938" s="2" t="str">
        <f t="shared" si="647"/>
        <v>SISTEMA DE URGÊNCIA E EMERGÊNCIA</v>
      </c>
      <c r="C7938" s="2" t="str">
        <f t="shared" si="648"/>
        <v>ATEND</v>
      </c>
      <c r="D7938" s="2" t="str">
        <f t="shared" si="649"/>
        <v>PAEU</v>
      </c>
      <c r="E7938" s="2" t="str">
        <f>"DUMMY"</f>
        <v>DUMMY</v>
      </c>
      <c r="F7938" s="2" t="str">
        <f>"M_CONFIG_PAEU"</f>
        <v>M_CONFIG_PAEU</v>
      </c>
      <c r="G7938" s="2" t="str">
        <f>"Atendimento / Urgência e Emergência / Configurações / Parâmetros (M_CONFIG_PAEU)"</f>
        <v>Atendimento / Urgência e Emergência / Configurações / Parâmetros (M_CONFIG_PAEU)</v>
      </c>
    </row>
    <row r="7939" spans="1:7" x14ac:dyDescent="0.3">
      <c r="A7939" s="1" t="s">
        <v>4</v>
      </c>
      <c r="B7939" s="2" t="str">
        <f t="shared" si="647"/>
        <v>SISTEMA DE URGÊNCIA E EMERGÊNCIA</v>
      </c>
      <c r="C7939" s="2" t="str">
        <f t="shared" si="648"/>
        <v>ATEND</v>
      </c>
      <c r="D7939" s="2" t="str">
        <f t="shared" si="649"/>
        <v>PAEU</v>
      </c>
      <c r="E7939" s="2" t="str">
        <f>"R_ETIQUETA_URG"</f>
        <v>R_ETIQUETA_URG</v>
      </c>
      <c r="F7939" s="2" t="str">
        <f>"R_ETIQUETA_URG"</f>
        <v>R_ETIQUETA_URG</v>
      </c>
      <c r="G7939" s="2" t="str">
        <f>"Atendimento / Urgência e Emergência / Relatórios / Operacionais / Etiquetas de Atendimentos (R_ETIQUETA_URG)"</f>
        <v>Atendimento / Urgência e Emergência / Relatórios / Operacionais / Etiquetas de Atendimentos (R_ETIQUETA_URG)</v>
      </c>
    </row>
    <row r="7940" spans="1:7" x14ac:dyDescent="0.3">
      <c r="A7940" s="1" t="s">
        <v>4</v>
      </c>
      <c r="B7940" s="2" t="str">
        <f t="shared" si="647"/>
        <v>SISTEMA DE URGÊNCIA E EMERGÊNCIA</v>
      </c>
      <c r="C7940" s="2" t="str">
        <f t="shared" si="648"/>
        <v>ATEND</v>
      </c>
      <c r="D7940" s="2" t="str">
        <f t="shared" si="649"/>
        <v>PAEU</v>
      </c>
      <c r="E7940" s="2" t="str">
        <f>"GRAFICO PADRAO EM BARRAS DO PAEU Nº 2"</f>
        <v>GRAFICO PADRAO EM BARRAS DO PAEU Nº 2</v>
      </c>
      <c r="F7940" s="2" t="str">
        <f>"G_BARRA_PAEU2"</f>
        <v>G_BARRA_PAEU2</v>
      </c>
      <c r="G7940" s="2" t="str">
        <f>" ()"</f>
        <v xml:space="preserve"> ()</v>
      </c>
    </row>
    <row r="7941" spans="1:7" x14ac:dyDescent="0.3">
      <c r="A7941" s="1" t="s">
        <v>4</v>
      </c>
      <c r="B7941" s="2" t="str">
        <f t="shared" si="647"/>
        <v>SISTEMA DE URGÊNCIA E EMERGÊNCIA</v>
      </c>
      <c r="C7941" s="2" t="str">
        <f t="shared" si="648"/>
        <v>ATEND</v>
      </c>
      <c r="D7941" s="2" t="str">
        <f t="shared" si="649"/>
        <v>PAEU</v>
      </c>
      <c r="E7941" s="2" t="str">
        <f>"REL.EST. ATENDIMENTOS X PROFISSIONAIS"</f>
        <v>REL.EST. ATENDIMENTOS X PROFISSIONAIS</v>
      </c>
      <c r="F7941" s="2" t="str">
        <f>"R_EST_ATEN_PROF_PAEU"</f>
        <v>R_EST_ATEN_PROF_PAEU</v>
      </c>
      <c r="G7941" s="2" t="str">
        <f>"Atendimento / Urgência e Emergência / Relatórios / Estatísticos / Atendimentos por / Médico (R_EST_ATEN_PROF_PAEU)"</f>
        <v>Atendimento / Urgência e Emergência / Relatórios / Estatísticos / Atendimentos por / Médico (R_EST_ATEN_PROF_PAEU)</v>
      </c>
    </row>
    <row r="7942" spans="1:7" x14ac:dyDescent="0.3">
      <c r="A7942" s="1" t="s">
        <v>4</v>
      </c>
      <c r="B7942" s="2" t="str">
        <f t="shared" si="647"/>
        <v>SISTEMA DE URGÊNCIA E EMERGÊNCIA</v>
      </c>
      <c r="C7942" s="2" t="str">
        <f t="shared" si="648"/>
        <v>ATEND</v>
      </c>
      <c r="D7942" s="2" t="str">
        <f t="shared" si="649"/>
        <v>PAEU</v>
      </c>
      <c r="E7942" s="2" t="str">
        <f t="shared" ref="E7942:E7949" si="650">"CONTA PARTICULAR"</f>
        <v>CONTA PARTICULAR</v>
      </c>
      <c r="F7942" s="2" t="str">
        <f t="shared" ref="F7942:F7949" si="651">"M_LAN_AMB_PART_OUTROS_EXTRA"</f>
        <v>M_LAN_AMB_PART_OUTROS_EXTRA</v>
      </c>
      <c r="G7942" s="2" t="str">
        <f>"Faturamento Distribuído de Convênios e Particulares / Lançamentos / Conta Ambulatorial / Conta Extra (M_LAN_AMB_PART_OUTROS_EXTRA)"</f>
        <v>Faturamento Distribuído de Convênios e Particulares / Lançamentos / Conta Ambulatorial / Conta Extra (M_LAN_AMB_PART_OUTROS_EXTRA)</v>
      </c>
    </row>
    <row r="7943" spans="1:7" x14ac:dyDescent="0.3">
      <c r="A7943" s="1" t="s">
        <v>4</v>
      </c>
      <c r="B7943" s="2" t="str">
        <f t="shared" si="647"/>
        <v>SISTEMA DE URGÊNCIA E EMERGÊNCIA</v>
      </c>
      <c r="C7943" s="2" t="str">
        <f t="shared" si="648"/>
        <v>ATEND</v>
      </c>
      <c r="D7943" s="2" t="str">
        <f t="shared" si="649"/>
        <v>PAEU</v>
      </c>
      <c r="E7943" s="2" t="str">
        <f t="shared" si="650"/>
        <v>CONTA PARTICULAR</v>
      </c>
      <c r="F7943" s="2" t="str">
        <f t="shared" si="651"/>
        <v>M_LAN_AMB_PART_OUTROS_EXTRA</v>
      </c>
      <c r="G7943" s="2" t="str">
        <f>"Controladoria / Caixa / Faturamento / Conta extra (M_LAN_AMB_PART_OUTROS_EXTRA)"</f>
        <v>Controladoria / Caixa / Faturamento / Conta extra (M_LAN_AMB_PART_OUTROS_EXTRA)</v>
      </c>
    </row>
    <row r="7944" spans="1:7" x14ac:dyDescent="0.3">
      <c r="A7944" s="1" t="s">
        <v>4</v>
      </c>
      <c r="B7944" s="2" t="str">
        <f t="shared" si="647"/>
        <v>SISTEMA DE URGÊNCIA E EMERGÊNCIA</v>
      </c>
      <c r="C7944" s="2" t="str">
        <f t="shared" si="648"/>
        <v>ATEND</v>
      </c>
      <c r="D7944" s="2" t="str">
        <f t="shared" si="649"/>
        <v>PAEU</v>
      </c>
      <c r="E7944" s="2" t="str">
        <f t="shared" si="650"/>
        <v>CONTA PARTICULAR</v>
      </c>
      <c r="F7944" s="2" t="str">
        <f t="shared" si="651"/>
        <v>M_LAN_AMB_PART_OUTROS_EXTRA</v>
      </c>
      <c r="G7944" s="2" t="str">
        <f>"Controladoria / Tesouraria / Tesouraria / Conta extra (M_LAN_AMB_PART_OUTROS_EXTRA)"</f>
        <v>Controladoria / Tesouraria / Tesouraria / Conta extra (M_LAN_AMB_PART_OUTROS_EXTRA)</v>
      </c>
    </row>
    <row r="7945" spans="1:7" x14ac:dyDescent="0.3">
      <c r="A7945" s="1" t="s">
        <v>4</v>
      </c>
      <c r="B7945" s="2" t="str">
        <f t="shared" si="647"/>
        <v>SISTEMA DE URGÊNCIA E EMERGÊNCIA</v>
      </c>
      <c r="C7945" s="2" t="str">
        <f t="shared" si="648"/>
        <v>ATEND</v>
      </c>
      <c r="D7945" s="2" t="str">
        <f t="shared" si="649"/>
        <v>PAEU</v>
      </c>
      <c r="E7945" s="2" t="str">
        <f t="shared" si="650"/>
        <v>CONTA PARTICULAR</v>
      </c>
      <c r="F7945" s="2" t="str">
        <f t="shared" si="651"/>
        <v>M_LAN_AMB_PART_OUTROS_EXTRA</v>
      </c>
      <c r="G7945" s="2" t="str">
        <f>"Diagnóstico e Terapia / Laboratório de Análises Clínicas / Faturamento / Conta extra (M_LAN_AMB_PART_OUTROS_EXTRA)"</f>
        <v>Diagnóstico e Terapia / Laboratório de Análises Clínicas / Faturamento / Conta extra (M_LAN_AMB_PART_OUTROS_EXTRA)</v>
      </c>
    </row>
    <row r="7946" spans="1:7" x14ac:dyDescent="0.3">
      <c r="A7946" s="1" t="s">
        <v>4</v>
      </c>
      <c r="B7946" s="2" t="str">
        <f t="shared" si="647"/>
        <v>SISTEMA DE URGÊNCIA E EMERGÊNCIA</v>
      </c>
      <c r="C7946" s="2" t="str">
        <f t="shared" si="648"/>
        <v>ATEND</v>
      </c>
      <c r="D7946" s="2" t="str">
        <f t="shared" si="649"/>
        <v>PAEU</v>
      </c>
      <c r="E7946" s="2" t="str">
        <f t="shared" si="650"/>
        <v>CONTA PARTICULAR</v>
      </c>
      <c r="F7946" s="2" t="str">
        <f t="shared" si="651"/>
        <v>M_LAN_AMB_PART_OUTROS_EXTRA</v>
      </c>
      <c r="G7946" s="2" t="str">
        <f>"Diagnóstico e Terapia / Diagnóstico por Imagem / Faturamento / Conta extra (M_LAN_AMB_PART_OUTROS_EXTRA)"</f>
        <v>Diagnóstico e Terapia / Diagnóstico por Imagem / Faturamento / Conta extra (M_LAN_AMB_PART_OUTROS_EXTRA)</v>
      </c>
    </row>
    <row r="7947" spans="1:7" x14ac:dyDescent="0.3">
      <c r="A7947" s="1" t="s">
        <v>4</v>
      </c>
      <c r="B7947" s="2" t="str">
        <f t="shared" si="647"/>
        <v>SISTEMA DE URGÊNCIA E EMERGÊNCIA</v>
      </c>
      <c r="C7947" s="2" t="str">
        <f t="shared" si="648"/>
        <v>ATEND</v>
      </c>
      <c r="D7947" s="2" t="str">
        <f t="shared" si="649"/>
        <v>PAEU</v>
      </c>
      <c r="E7947" s="2" t="str">
        <f t="shared" si="650"/>
        <v>CONTA PARTICULAR</v>
      </c>
      <c r="F7947" s="2" t="str">
        <f t="shared" si="651"/>
        <v>M_LAN_AMB_PART_OUTROS_EXTRA</v>
      </c>
      <c r="G7947" s="2" t="str">
        <f>"Atendimento / Urgência e Emergência / Faturamento / Conta Extra (M_LAN_AMB_PART_OUTROS_EXTRA)"</f>
        <v>Atendimento / Urgência e Emergência / Faturamento / Conta Extra (M_LAN_AMB_PART_OUTROS_EXTRA)</v>
      </c>
    </row>
    <row r="7948" spans="1:7" x14ac:dyDescent="0.3">
      <c r="A7948" s="1" t="s">
        <v>4</v>
      </c>
      <c r="B7948" s="2" t="str">
        <f t="shared" si="647"/>
        <v>SISTEMA DE URGÊNCIA E EMERGÊNCIA</v>
      </c>
      <c r="C7948" s="2" t="str">
        <f t="shared" si="648"/>
        <v>ATEND</v>
      </c>
      <c r="D7948" s="2" t="str">
        <f t="shared" si="649"/>
        <v>PAEU</v>
      </c>
      <c r="E7948" s="2" t="str">
        <f t="shared" si="650"/>
        <v>CONTA PARTICULAR</v>
      </c>
      <c r="F7948" s="2" t="str">
        <f t="shared" si="651"/>
        <v>M_LAN_AMB_PART_OUTROS_EXTRA</v>
      </c>
      <c r="G7948" s="2" t="str">
        <f>"Atendimento / Ambulatório / Faturamento / Conta extra (M_LAN_AMB_PART_OUTROS_EXTRA)"</f>
        <v>Atendimento / Ambulatório / Faturamento / Conta extra (M_LAN_AMB_PART_OUTROS_EXTRA)</v>
      </c>
    </row>
    <row r="7949" spans="1:7" x14ac:dyDescent="0.3">
      <c r="A7949" s="1" t="s">
        <v>4</v>
      </c>
      <c r="B7949" s="2" t="str">
        <f t="shared" si="647"/>
        <v>SISTEMA DE URGÊNCIA E EMERGÊNCIA</v>
      </c>
      <c r="C7949" s="2" t="str">
        <f t="shared" si="648"/>
        <v>ATEND</v>
      </c>
      <c r="D7949" s="2" t="str">
        <f t="shared" si="649"/>
        <v>PAEU</v>
      </c>
      <c r="E7949" s="2" t="str">
        <f t="shared" si="650"/>
        <v>CONTA PARTICULAR</v>
      </c>
      <c r="F7949" s="2" t="str">
        <f t="shared" si="651"/>
        <v>M_LAN_AMB_PART_OUTROS_EXTRA</v>
      </c>
      <c r="G7949" s="2" t="str">
        <f>"Faturamento / Faturamento de Convênios e Particulares / Lançamentos / Distribuído / Conta Ambulatorial / Conta Extra (M_LAN_AMB_PART_OUTROS_EXTRA)"</f>
        <v>Faturamento / Faturamento de Convênios e Particulares / Lançamentos / Distribuído / Conta Ambulatorial / Conta Extra (M_LAN_AMB_PART_OUTROS_EXTRA)</v>
      </c>
    </row>
    <row r="7950" spans="1:7" x14ac:dyDescent="0.3">
      <c r="A7950" s="1" t="s">
        <v>4</v>
      </c>
      <c r="B7950" s="2" t="str">
        <f t="shared" si="647"/>
        <v>SISTEMA DE URGÊNCIA E EMERGÊNCIA</v>
      </c>
      <c r="C7950" s="2" t="str">
        <f t="shared" si="648"/>
        <v>ATEND</v>
      </c>
      <c r="D7950" s="2" t="str">
        <f t="shared" si="649"/>
        <v>PAEU</v>
      </c>
      <c r="E7950" s="2" t="str">
        <f>"R_PAC_ATEND_360"</f>
        <v>R_PAC_ATEND_360</v>
      </c>
      <c r="F7950" s="2" t="str">
        <f>"R_PAC_ATEND_360"</f>
        <v>R_PAC_ATEND_360</v>
      </c>
      <c r="G7950" s="2" t="str">
        <f t="shared" ref="G7950:G7957" si="652">" ()"</f>
        <v xml:space="preserve"> ()</v>
      </c>
    </row>
    <row r="7951" spans="1:7" x14ac:dyDescent="0.3">
      <c r="A7951" s="1" t="s">
        <v>4</v>
      </c>
      <c r="B7951" s="2" t="str">
        <f t="shared" si="647"/>
        <v>SISTEMA DE URGÊNCIA E EMERGÊNCIA</v>
      </c>
      <c r="C7951" s="2" t="str">
        <f t="shared" si="648"/>
        <v>ATEND</v>
      </c>
      <c r="D7951" s="2" t="str">
        <f t="shared" si="649"/>
        <v>PAEU</v>
      </c>
      <c r="E7951" s="2" t="str">
        <f>"REL EST. DE ATENDE POR DESTINO"</f>
        <v>REL EST. DE ATENDE POR DESTINO</v>
      </c>
      <c r="F7951" s="2" t="str">
        <f>"R_ESTDESATE"</f>
        <v>R_ESTDESATE</v>
      </c>
      <c r="G7951" s="2" t="str">
        <f t="shared" si="652"/>
        <v xml:space="preserve"> ()</v>
      </c>
    </row>
    <row r="7952" spans="1:7" x14ac:dyDescent="0.3">
      <c r="A7952" s="1" t="s">
        <v>4</v>
      </c>
      <c r="B7952" s="2" t="str">
        <f t="shared" si="647"/>
        <v>SISTEMA DE URGÊNCIA E EMERGÊNCIA</v>
      </c>
      <c r="C7952" s="2" t="str">
        <f t="shared" si="648"/>
        <v>ATEND</v>
      </c>
      <c r="D7952" s="2" t="str">
        <f t="shared" si="649"/>
        <v>PAEU</v>
      </c>
      <c r="E7952" s="2" t="str">
        <f>"MENU DO PAEU"</f>
        <v>MENU DO PAEU</v>
      </c>
      <c r="F7952" s="2" t="str">
        <f>"M_PAEU"</f>
        <v>M_PAEU</v>
      </c>
      <c r="G7952" s="2" t="str">
        <f t="shared" si="652"/>
        <v xml:space="preserve"> ()</v>
      </c>
    </row>
    <row r="7953" spans="1:7" x14ac:dyDescent="0.3">
      <c r="A7953" s="1" t="s">
        <v>4</v>
      </c>
      <c r="B7953" s="2" t="str">
        <f t="shared" si="647"/>
        <v>SISTEMA DE URGÊNCIA E EMERGÊNCIA</v>
      </c>
      <c r="C7953" s="2" t="str">
        <f t="shared" si="648"/>
        <v>ATEND</v>
      </c>
      <c r="D7953" s="2" t="str">
        <f t="shared" si="649"/>
        <v>PAEU</v>
      </c>
      <c r="E7953" s="2" t="str">
        <f>"R_ATEN_MOTIVO"</f>
        <v>R_ATEN_MOTIVO</v>
      </c>
      <c r="F7953" s="2" t="str">
        <f>"R_ATEN_MOTIVO"</f>
        <v>R_ATEN_MOTIVO</v>
      </c>
      <c r="G7953" s="2" t="str">
        <f t="shared" si="652"/>
        <v xml:space="preserve"> ()</v>
      </c>
    </row>
    <row r="7954" spans="1:7" x14ac:dyDescent="0.3">
      <c r="A7954" s="1" t="s">
        <v>4</v>
      </c>
      <c r="B7954" s="2" t="str">
        <f t="shared" si="647"/>
        <v>SISTEMA DE URGÊNCIA E EMERGÊNCIA</v>
      </c>
      <c r="C7954" s="2" t="str">
        <f t="shared" si="648"/>
        <v>ATEND</v>
      </c>
      <c r="D7954" s="2" t="str">
        <f t="shared" si="649"/>
        <v>PAEU</v>
      </c>
      <c r="E7954" s="2" t="str">
        <f>"MENU SISTEMA DE URGÊNCIA"</f>
        <v>MENU SISTEMA DE URGÊNCIA</v>
      </c>
      <c r="F7954" s="2" t="str">
        <f>"PAEU"</f>
        <v>PAEU</v>
      </c>
      <c r="G7954" s="2" t="str">
        <f t="shared" si="652"/>
        <v xml:space="preserve"> ()</v>
      </c>
    </row>
    <row r="7955" spans="1:7" x14ac:dyDescent="0.3">
      <c r="A7955" s="1" t="s">
        <v>4</v>
      </c>
      <c r="B7955" s="2" t="str">
        <f t="shared" si="647"/>
        <v>SISTEMA DE URGÊNCIA E EMERGÊNCIA</v>
      </c>
      <c r="C7955" s="2" t="str">
        <f t="shared" si="648"/>
        <v>ATEND</v>
      </c>
      <c r="D7955" s="2" t="str">
        <f t="shared" si="649"/>
        <v>PAEU</v>
      </c>
      <c r="E7955" s="2" t="str">
        <f>"R_EST_ATEN_PROF_"</f>
        <v>R_EST_ATEN_PROF_</v>
      </c>
      <c r="F7955" s="2" t="str">
        <f>"R_EST_ATEN_PROF_"</f>
        <v>R_EST_ATEN_PROF_</v>
      </c>
      <c r="G7955" s="2" t="str">
        <f t="shared" si="652"/>
        <v xml:space="preserve"> ()</v>
      </c>
    </row>
    <row r="7956" spans="1:7" x14ac:dyDescent="0.3">
      <c r="A7956" s="1" t="s">
        <v>4</v>
      </c>
      <c r="B7956" s="2" t="str">
        <f t="shared" si="647"/>
        <v>SISTEMA DE URGÊNCIA E EMERGÊNCIA</v>
      </c>
      <c r="C7956" s="2" t="str">
        <f t="shared" si="648"/>
        <v>ATEND</v>
      </c>
      <c r="D7956" s="2" t="str">
        <f t="shared" si="649"/>
        <v>PAEU</v>
      </c>
      <c r="E7956" s="2" t="str">
        <f>"REL.EST. DE OCORRENCIAS DE PLANTÕES"</f>
        <v>REL.EST. DE OCORRENCIAS DE PLANTÕES</v>
      </c>
      <c r="F7956" s="2" t="str">
        <f>"R_OCORRENCIA_PLANTAO"</f>
        <v>R_OCORRENCIA_PLANTAO</v>
      </c>
      <c r="G7956" s="2" t="str">
        <f t="shared" si="652"/>
        <v xml:space="preserve"> ()</v>
      </c>
    </row>
    <row r="7957" spans="1:7" x14ac:dyDescent="0.3">
      <c r="A7957" s="1" t="s">
        <v>4</v>
      </c>
      <c r="B7957" s="2" t="str">
        <f t="shared" si="647"/>
        <v>SISTEMA DE URGÊNCIA E EMERGÊNCIA</v>
      </c>
      <c r="C7957" s="2" t="str">
        <f t="shared" si="648"/>
        <v>ATEND</v>
      </c>
      <c r="D7957" s="2" t="str">
        <f t="shared" si="649"/>
        <v>PAEU</v>
      </c>
      <c r="E7957" s="2" t="str">
        <f>"RELATORIO DE LEVANTAMENTOS DE CONVENIOS"</f>
        <v>RELATORIO DE LEVANTAMENTOS DE CONVENIOS</v>
      </c>
      <c r="F7957" s="2" t="str">
        <f>"R_LEVANTAMENTO_CONVENIOS"</f>
        <v>R_LEVANTAMENTO_CONVENIOS</v>
      </c>
      <c r="G7957" s="2" t="str">
        <f t="shared" si="652"/>
        <v xml:space="preserve"> ()</v>
      </c>
    </row>
    <row r="7958" spans="1:7" x14ac:dyDescent="0.3">
      <c r="A7958" s="1" t="s">
        <v>4</v>
      </c>
      <c r="B7958" s="2" t="str">
        <f t="shared" si="647"/>
        <v>SISTEMA DE URGÊNCIA E EMERGÊNCIA</v>
      </c>
      <c r="C7958" s="2" t="str">
        <f t="shared" si="648"/>
        <v>ATEND</v>
      </c>
      <c r="D7958" s="2" t="str">
        <f t="shared" si="649"/>
        <v>PAEU</v>
      </c>
      <c r="E7958" s="2" t="str">
        <f>"WIN_PRINCIPAL"</f>
        <v>WIN_PRINCIPAL</v>
      </c>
      <c r="F7958" s="2" t="str">
        <f>"M_RESGATA_CONTA"</f>
        <v>M_RESGATA_CONTA</v>
      </c>
      <c r="G7958" s="2" t="str">
        <f>"Atendimento / Urgência e Emergência / Faturamento / Resgate de Fichas de Atendimento (M_RESGATA_CONTA)"</f>
        <v>Atendimento / Urgência e Emergência / Faturamento / Resgate de Fichas de Atendimento (M_RESGATA_CONTA)</v>
      </c>
    </row>
    <row r="7959" spans="1:7" x14ac:dyDescent="0.3">
      <c r="A7959" s="1" t="s">
        <v>4</v>
      </c>
      <c r="B7959" s="2" t="str">
        <f t="shared" si="647"/>
        <v>SISTEMA DE URGÊNCIA E EMERGÊNCIA</v>
      </c>
      <c r="C7959" s="2" t="str">
        <f t="shared" si="648"/>
        <v>ATEND</v>
      </c>
      <c r="D7959" s="2" t="str">
        <f t="shared" si="649"/>
        <v>PAEU</v>
      </c>
      <c r="E7959" s="2" t="str">
        <f>"WIN_PRINCIPAL"</f>
        <v>WIN_PRINCIPAL</v>
      </c>
      <c r="F7959" s="2" t="str">
        <f>"M_TEXTOS_PAD_OCORRENCIA"</f>
        <v>M_TEXTOS_PAD_OCORRENCIA</v>
      </c>
      <c r="G7959" s="2" t="str">
        <f>"Atendimento / Urgência e Emergência / Tabelas / Texto Padrão de Ocorrências (M_TEXTOS_PAD_OCORRENCIA)"</f>
        <v>Atendimento / Urgência e Emergência / Tabelas / Texto Padrão de Ocorrências (M_TEXTOS_PAD_OCORRENCIA)</v>
      </c>
    </row>
    <row r="7960" spans="1:7" x14ac:dyDescent="0.3">
      <c r="A7960" s="1" t="s">
        <v>4</v>
      </c>
      <c r="B7960" s="2" t="str">
        <f t="shared" si="647"/>
        <v>SISTEMA DE URGÊNCIA E EMERGÊNCIA</v>
      </c>
      <c r="C7960" s="2" t="str">
        <f t="shared" si="648"/>
        <v>ATEND</v>
      </c>
      <c r="D7960" s="2" t="str">
        <f t="shared" si="649"/>
        <v>PAEU</v>
      </c>
      <c r="E7960" s="2" t="str">
        <f>"OCORRENCIAS DO PLANTAO"</f>
        <v>OCORRENCIAS DO PLANTAO</v>
      </c>
      <c r="F7960" s="2" t="str">
        <f>"M_OCORRENCIA_PLANTAO"</f>
        <v>M_OCORRENCIA_PLANTAO</v>
      </c>
      <c r="G7960" s="2" t="str">
        <f>" ()"</f>
        <v xml:space="preserve"> ()</v>
      </c>
    </row>
    <row r="7961" spans="1:7" x14ac:dyDescent="0.3">
      <c r="A7961" s="1" t="s">
        <v>4</v>
      </c>
      <c r="B7961" s="2" t="str">
        <f t="shared" si="647"/>
        <v>SISTEMA DE URGÊNCIA E EMERGÊNCIA</v>
      </c>
      <c r="C7961" s="2" t="str">
        <f t="shared" si="648"/>
        <v>ATEND</v>
      </c>
      <c r="D7961" s="2" t="str">
        <f t="shared" si="649"/>
        <v>PAEU</v>
      </c>
      <c r="E7961" s="2" t="str">
        <f>"REL DE ANAMNESE DO PAEU"</f>
        <v>REL DE ANAMNESE DO PAEU</v>
      </c>
      <c r="F7961" s="2" t="str">
        <f>"R_ANM_PAEU759"</f>
        <v>R_ANM_PAEU759</v>
      </c>
      <c r="G7961" s="2" t="str">
        <f>" ()"</f>
        <v xml:space="preserve"> ()</v>
      </c>
    </row>
    <row r="7962" spans="1:7" x14ac:dyDescent="0.3">
      <c r="A7962" s="1" t="s">
        <v>4</v>
      </c>
      <c r="B7962" s="2" t="str">
        <f t="shared" si="647"/>
        <v>SISTEMA DE URGÊNCIA E EMERGÊNCIA</v>
      </c>
      <c r="C7962" s="2" t="str">
        <f t="shared" si="648"/>
        <v>ATEND</v>
      </c>
      <c r="D7962" s="2" t="str">
        <f t="shared" si="649"/>
        <v>PAEU</v>
      </c>
      <c r="E7962" s="2" t="str">
        <f>"REL DE FICHA DE ATENDIMENTO DE URGENCIA"</f>
        <v>REL DE FICHA DE ATENDIMENTO DE URGENCIA</v>
      </c>
      <c r="F7962" s="2" t="str">
        <f>"R_FICHA_ATENDE_URG755"</f>
        <v>R_FICHA_ATENDE_URG755</v>
      </c>
      <c r="G7962" s="2" t="str">
        <f>" ()"</f>
        <v xml:space="preserve"> ()</v>
      </c>
    </row>
    <row r="7963" spans="1:7" x14ac:dyDescent="0.3">
      <c r="A7963" s="1" t="s">
        <v>4</v>
      </c>
      <c r="B7963" s="2" t="str">
        <f t="shared" si="647"/>
        <v>SISTEMA DE URGÊNCIA E EMERGÊNCIA</v>
      </c>
      <c r="C7963" s="2" t="str">
        <f t="shared" si="648"/>
        <v>ATEND</v>
      </c>
      <c r="D7963" s="2" t="str">
        <f t="shared" si="649"/>
        <v>PAEU</v>
      </c>
      <c r="E7963" s="2" t="str">
        <f>"RELATORIO MOTIVOS DO ATENDIMENTO"</f>
        <v>RELATORIO MOTIVOS DO ATENDIMENTO</v>
      </c>
      <c r="F7963" s="2" t="str">
        <f>"R_MOTATD"</f>
        <v>R_MOTATD</v>
      </c>
      <c r="G7963" s="2" t="str">
        <f>"Atendimento / Urgência e Emergência / Relatórios / Tabelas / Motivos do Atendimento (R_MOTATD)"</f>
        <v>Atendimento / Urgência e Emergência / Relatórios / Tabelas / Motivos do Atendimento (R_MOTATD)</v>
      </c>
    </row>
    <row r="7964" spans="1:7" x14ac:dyDescent="0.3">
      <c r="A7964" s="1" t="s">
        <v>4</v>
      </c>
      <c r="B7964" s="2" t="str">
        <f t="shared" si="647"/>
        <v>SISTEMA DE URGÊNCIA E EMERGÊNCIA</v>
      </c>
      <c r="C7964" s="2" t="str">
        <f t="shared" si="648"/>
        <v>ATEND</v>
      </c>
      <c r="D7964" s="2" t="str">
        <f t="shared" si="649"/>
        <v>PAEU</v>
      </c>
      <c r="E7964" s="2" t="str">
        <f>"PERSONALIZADOS DO PAEU"</f>
        <v>PERSONALIZADOS DO PAEU</v>
      </c>
      <c r="F7964" s="2" t="str">
        <f>"R_PERSON_PAEU"</f>
        <v>R_PERSON_PAEU</v>
      </c>
      <c r="G7964" s="2" t="str">
        <f>"Atendimento / Urgência e Emergência / Relatórios / Personalizados (R_PERSON_PAEU)"</f>
        <v>Atendimento / Urgência e Emergência / Relatórios / Personalizados (R_PERSON_PAEU)</v>
      </c>
    </row>
    <row r="7965" spans="1:7" x14ac:dyDescent="0.3">
      <c r="A7965" s="1" t="s">
        <v>4</v>
      </c>
      <c r="B7965" s="2" t="str">
        <f t="shared" si="647"/>
        <v>SISTEMA DE URGÊNCIA E EMERGÊNCIA</v>
      </c>
      <c r="C7965" s="2" t="str">
        <f t="shared" si="648"/>
        <v>ATEND</v>
      </c>
      <c r="D7965" s="2" t="str">
        <f t="shared" si="649"/>
        <v>PAEU</v>
      </c>
      <c r="E7965" s="2" t="str">
        <f t="shared" ref="E7965:E7970" si="653">"RELATORIO DE ATENDIMENTO P/FAIXA ETARIA"</f>
        <v>RELATORIO DE ATENDIMENTO P/FAIXA ETARIA</v>
      </c>
      <c r="F7965" s="2" t="str">
        <f t="shared" ref="F7965:F7970" si="654">"R_ESTFETARIA"</f>
        <v>R_ESTFETARIA</v>
      </c>
      <c r="G7965" s="2" t="str">
        <f>"Atendimento / Internação / Relatórios / Estatísticos / Atendimentos / Por Faixa Etária (R_ESTFETARIA)"</f>
        <v>Atendimento / Internação / Relatórios / Estatísticos / Atendimentos / Por Faixa Etária (R_ESTFETARIA)</v>
      </c>
    </row>
    <row r="7966" spans="1:7" x14ac:dyDescent="0.3">
      <c r="A7966" s="1" t="s">
        <v>4</v>
      </c>
      <c r="B7966" s="2" t="str">
        <f t="shared" si="647"/>
        <v>SISTEMA DE URGÊNCIA E EMERGÊNCIA</v>
      </c>
      <c r="C7966" s="2" t="str">
        <f t="shared" si="648"/>
        <v>ATEND</v>
      </c>
      <c r="D7966" s="2" t="str">
        <f t="shared" si="649"/>
        <v>PAEU</v>
      </c>
      <c r="E7966" s="2" t="str">
        <f t="shared" si="653"/>
        <v>RELATORIO DE ATENDIMENTO P/FAIXA ETARIA</v>
      </c>
      <c r="F7966" s="2" t="str">
        <f t="shared" si="654"/>
        <v>R_ESTFETARIA</v>
      </c>
      <c r="G7966" s="2" t="str">
        <f>"Atendimento / Ambulatório / Relatórios / Estatísticos / Atendimentos por Faixa Etária (R_ESTFETARIA)"</f>
        <v>Atendimento / Ambulatório / Relatórios / Estatísticos / Atendimentos por Faixa Etária (R_ESTFETARIA)</v>
      </c>
    </row>
    <row r="7967" spans="1:7" x14ac:dyDescent="0.3">
      <c r="A7967" s="1" t="s">
        <v>4</v>
      </c>
      <c r="B7967" s="2" t="str">
        <f t="shared" si="647"/>
        <v>SISTEMA DE URGÊNCIA E EMERGÊNCIA</v>
      </c>
      <c r="C7967" s="2" t="str">
        <f t="shared" si="648"/>
        <v>ATEND</v>
      </c>
      <c r="D7967" s="2" t="str">
        <f t="shared" si="649"/>
        <v>PAEU</v>
      </c>
      <c r="E7967" s="2" t="str">
        <f t="shared" si="653"/>
        <v>RELATORIO DE ATENDIMENTO P/FAIXA ETARIA</v>
      </c>
      <c r="F7967" s="2" t="str">
        <f t="shared" si="654"/>
        <v>R_ESTFETARIA</v>
      </c>
      <c r="G7967" s="2" t="str">
        <f>"Serviços de Apoio / Serviço Arquivo Médico / Relatórios / Estatísticos / Atendimentos / Por Faixa Etária (R_ESTFETARIA)"</f>
        <v>Serviços de Apoio / Serviço Arquivo Médico / Relatórios / Estatísticos / Atendimentos / Por Faixa Etária (R_ESTFETARIA)</v>
      </c>
    </row>
    <row r="7968" spans="1:7" x14ac:dyDescent="0.3">
      <c r="A7968" s="1" t="s">
        <v>4</v>
      </c>
      <c r="B7968" s="2" t="str">
        <f t="shared" si="647"/>
        <v>SISTEMA DE URGÊNCIA E EMERGÊNCIA</v>
      </c>
      <c r="C7968" s="2" t="str">
        <f t="shared" si="648"/>
        <v>ATEND</v>
      </c>
      <c r="D7968" s="2" t="str">
        <f t="shared" si="649"/>
        <v>PAEU</v>
      </c>
      <c r="E7968" s="2" t="str">
        <f t="shared" si="653"/>
        <v>RELATORIO DE ATENDIMENTO P/FAIXA ETARIA</v>
      </c>
      <c r="F7968" s="2" t="str">
        <f t="shared" si="654"/>
        <v>R_ESTFETARIA</v>
      </c>
      <c r="G7968" s="2" t="str">
        <f>"Atendimento / Urgência e Emergência / Relatórios / Estatísticos / Atendimentos por / Faixa Etária (R_ESTFETARIA)"</f>
        <v>Atendimento / Urgência e Emergência / Relatórios / Estatísticos / Atendimentos por / Faixa Etária (R_ESTFETARIA)</v>
      </c>
    </row>
    <row r="7969" spans="1:7" x14ac:dyDescent="0.3">
      <c r="A7969" s="1" t="s">
        <v>4</v>
      </c>
      <c r="B7969" s="2" t="str">
        <f t="shared" si="647"/>
        <v>SISTEMA DE URGÊNCIA E EMERGÊNCIA</v>
      </c>
      <c r="C7969" s="2" t="str">
        <f t="shared" si="648"/>
        <v>ATEND</v>
      </c>
      <c r="D7969" s="2" t="str">
        <f t="shared" si="649"/>
        <v>PAEU</v>
      </c>
      <c r="E7969" s="2" t="str">
        <f t="shared" si="653"/>
        <v>RELATORIO DE ATENDIMENTO P/FAIXA ETARIA</v>
      </c>
      <c r="F7969" s="2" t="str">
        <f t="shared" si="654"/>
        <v>R_ESTFETARIA</v>
      </c>
      <c r="G7969" s="2" t="str">
        <f>"MVSaude / Vendas / Internação / Relatórios / Estatísticos / Atendimentos / Por Faixa Etária (R_ESTFETARIA)"</f>
        <v>MVSaude / Vendas / Internação / Relatórios / Estatísticos / Atendimentos / Por Faixa Etária (R_ESTFETARIA)</v>
      </c>
    </row>
    <row r="7970" spans="1:7" x14ac:dyDescent="0.3">
      <c r="A7970" s="1" t="s">
        <v>4</v>
      </c>
      <c r="B7970" s="2" t="str">
        <f t="shared" si="647"/>
        <v>SISTEMA DE URGÊNCIA E EMERGÊNCIA</v>
      </c>
      <c r="C7970" s="2" t="str">
        <f t="shared" si="648"/>
        <v>ATEND</v>
      </c>
      <c r="D7970" s="2" t="str">
        <f t="shared" si="649"/>
        <v>PAEU</v>
      </c>
      <c r="E7970" s="2" t="str">
        <f t="shared" si="653"/>
        <v>RELATORIO DE ATENDIMENTO P/FAIXA ETARIA</v>
      </c>
      <c r="F7970" s="2" t="str">
        <f t="shared" si="654"/>
        <v>R_ESTFETARIA</v>
      </c>
      <c r="G7970" s="2" t="str">
        <f>"MVSaude / Atendimento / Autorizações de Guias / Internação / Relatórios / Estatísticos / Atendimentos / Por Faixa Etária (R_ESTFETARIA)"</f>
        <v>MVSaude / Atendimento / Autorizações de Guias / Internação / Relatórios / Estatísticos / Atendimentos / Por Faixa Etária (R_ESTFETARIA)</v>
      </c>
    </row>
    <row r="7971" spans="1:7" x14ac:dyDescent="0.3">
      <c r="A7971" s="1" t="s">
        <v>4</v>
      </c>
      <c r="B7971" s="2" t="str">
        <f t="shared" si="647"/>
        <v>SISTEMA DE URGÊNCIA E EMERGÊNCIA</v>
      </c>
      <c r="C7971" s="2" t="str">
        <f t="shared" si="648"/>
        <v>ATEND</v>
      </c>
      <c r="D7971" s="2" t="str">
        <f t="shared" si="649"/>
        <v>PAEU</v>
      </c>
      <c r="E7971" s="2" t="str">
        <f>"RELATORIO DE ATENDIMENTO POR HORARIO"</f>
        <v>RELATORIO DE ATENDIMENTO POR HORARIO</v>
      </c>
      <c r="F7971" s="2" t="str">
        <f>"R_ESTHORARIO"</f>
        <v>R_ESTHORARIO</v>
      </c>
      <c r="G7971" s="2" t="str">
        <f>"Atendimento / Urgência e Emergência / Relatórios / Estatísticos / Atendimentos por / Fluxo de Horário x Destino (R_ESTHORARIO)"</f>
        <v>Atendimento / Urgência e Emergência / Relatórios / Estatísticos / Atendimentos por / Fluxo de Horário x Destino (R_ESTHORARIO)</v>
      </c>
    </row>
    <row r="7972" spans="1:7" x14ac:dyDescent="0.3">
      <c r="A7972" s="1" t="s">
        <v>4</v>
      </c>
      <c r="B7972" s="2" t="str">
        <f t="shared" si="647"/>
        <v>SISTEMA DE URGÊNCIA E EMERGÊNCIA</v>
      </c>
      <c r="C7972" s="2" t="str">
        <f t="shared" si="648"/>
        <v>ATEND</v>
      </c>
      <c r="D7972" s="2" t="str">
        <f t="shared" si="649"/>
        <v>PAEU</v>
      </c>
      <c r="E7972" s="2" t="str">
        <f>"REL.ATENDIMENTOS X ORIGEM"</f>
        <v>REL.ATENDIMENTOS X ORIGEM</v>
      </c>
      <c r="F7972" s="2" t="str">
        <f>"R_ESTINTORI"</f>
        <v>R_ESTINTORI</v>
      </c>
      <c r="G7972" s="2" t="str">
        <f>"Atendimento / Urgência e Emergência / Relatórios / Estatísticos / Atendimentos por / Origem Urgência/Emergência (R_ESTINTORI)"</f>
        <v>Atendimento / Urgência e Emergência / Relatórios / Estatísticos / Atendimentos por / Origem Urgência/Emergência (R_ESTINTORI)</v>
      </c>
    </row>
    <row r="7973" spans="1:7" x14ac:dyDescent="0.3">
      <c r="A7973" s="1" t="s">
        <v>4</v>
      </c>
      <c r="B7973" s="2" t="str">
        <f t="shared" si="647"/>
        <v>SISTEMA DE URGÊNCIA E EMERGÊNCIA</v>
      </c>
      <c r="C7973" s="2" t="str">
        <f t="shared" si="648"/>
        <v>ATEND</v>
      </c>
      <c r="D7973" s="2" t="str">
        <f t="shared" si="649"/>
        <v>PAEU</v>
      </c>
      <c r="E7973" s="2" t="str">
        <f>"RELATORIO DE MOTIVOS DE ATENDIMENTO"</f>
        <v>RELATORIO DE MOTIVOS DE ATENDIMENTO</v>
      </c>
      <c r="F7973" s="2" t="str">
        <f>"R_ESTMOTENT"</f>
        <v>R_ESTMOTENT</v>
      </c>
      <c r="G7973" s="2" t="str">
        <f>"Atendimento / Urgência e Emergência / Relatórios / Estatísticos / Atendimentos por / Motivo de Atendimento (R_ESTMOTENT)"</f>
        <v>Atendimento / Urgência e Emergência / Relatórios / Estatísticos / Atendimentos por / Motivo de Atendimento (R_ESTMOTENT)</v>
      </c>
    </row>
    <row r="7974" spans="1:7" x14ac:dyDescent="0.3">
      <c r="A7974" s="1" t="s">
        <v>4</v>
      </c>
      <c r="B7974" s="2" t="str">
        <f t="shared" si="647"/>
        <v>SISTEMA DE URGÊNCIA E EMERGÊNCIA</v>
      </c>
      <c r="C7974" s="2" t="str">
        <f t="shared" si="648"/>
        <v>ATEND</v>
      </c>
      <c r="D7974" s="2" t="str">
        <f t="shared" si="649"/>
        <v>PAEU</v>
      </c>
      <c r="E7974" s="2" t="str">
        <f>"RELATORIO ATENDIMENTO POR DESTINO"</f>
        <v>RELATORIO ATENDIMENTO POR DESTINO</v>
      </c>
      <c r="F7974" s="2" t="str">
        <f>"R_ESTDESTATE"</f>
        <v>R_ESTDESTATE</v>
      </c>
      <c r="G7974" s="2" t="str">
        <f>"Atendimento / Urgência e Emergência / Relatórios / Estatísticos / Atendimentos por / Destino (R_ESTDESTATE)"</f>
        <v>Atendimento / Urgência e Emergência / Relatórios / Estatísticos / Atendimentos por / Destino (R_ESTDESTATE)</v>
      </c>
    </row>
    <row r="7975" spans="1:7" x14ac:dyDescent="0.3">
      <c r="A7975" s="1" t="s">
        <v>4</v>
      </c>
      <c r="B7975" s="2" t="str">
        <f t="shared" si="647"/>
        <v>SISTEMA DE URGÊNCIA E EMERGÊNCIA</v>
      </c>
      <c r="C7975" s="2" t="str">
        <f t="shared" si="648"/>
        <v>ATEND</v>
      </c>
      <c r="D7975" s="2" t="str">
        <f t="shared" si="649"/>
        <v>PAEU</v>
      </c>
      <c r="E7975" s="2" t="str">
        <f>"RELATORIO PACIENTES ATENDIDOS NO DIA"</f>
        <v>RELATORIO PACIENTES ATENDIDOS NO DIA</v>
      </c>
      <c r="F7975" s="2" t="str">
        <f>"R_PACATE"</f>
        <v>R_PACATE</v>
      </c>
      <c r="G7975" s="2" t="str">
        <f>"Controladoria / Tesouraria / Relatórios / Urgência / Emergência / Pacientes Atendidos no Dia (R_PACATE)"</f>
        <v>Controladoria / Tesouraria / Relatórios / Urgência / Emergência / Pacientes Atendidos no Dia (R_PACATE)</v>
      </c>
    </row>
    <row r="7976" spans="1:7" x14ac:dyDescent="0.3">
      <c r="A7976" s="1" t="s">
        <v>4</v>
      </c>
      <c r="B7976" s="2" t="str">
        <f t="shared" si="647"/>
        <v>SISTEMA DE URGÊNCIA E EMERGÊNCIA</v>
      </c>
      <c r="C7976" s="2" t="str">
        <f t="shared" si="648"/>
        <v>ATEND</v>
      </c>
      <c r="D7976" s="2" t="str">
        <f t="shared" si="649"/>
        <v>PAEU</v>
      </c>
      <c r="E7976" s="2" t="str">
        <f>"RELATORIO PACIENTES ATENDIDOS NO DIA"</f>
        <v>RELATORIO PACIENTES ATENDIDOS NO DIA</v>
      </c>
      <c r="F7976" s="2" t="str">
        <f>"R_PACATE"</f>
        <v>R_PACATE</v>
      </c>
      <c r="G7976" s="2" t="str">
        <f>"Atendimento / Urgência e Emergência / Relatórios / Administrativos / Pacientes Atendidos no Dia (R_PACATE)"</f>
        <v>Atendimento / Urgência e Emergência / Relatórios / Administrativos / Pacientes Atendidos no Dia (R_PACATE)</v>
      </c>
    </row>
    <row r="7977" spans="1:7" x14ac:dyDescent="0.3">
      <c r="A7977" s="1" t="s">
        <v>4</v>
      </c>
      <c r="B7977" s="2" t="str">
        <f t="shared" ref="B7977:B8040" si="655">"SISTEMA DE URGÊNCIA E EMERGÊNCIA"</f>
        <v>SISTEMA DE URGÊNCIA E EMERGÊNCIA</v>
      </c>
      <c r="C7977" s="2" t="str">
        <f t="shared" ref="C7977:C8040" si="656">"ATEND"</f>
        <v>ATEND</v>
      </c>
      <c r="D7977" s="2" t="str">
        <f t="shared" ref="D7977:D8040" si="657">"PAEU"</f>
        <v>PAEU</v>
      </c>
      <c r="E7977" s="2" t="str">
        <f>"COMPLEMENTO DO ATENDIMENTO"</f>
        <v>COMPLEMENTO DO ATENDIMENTO</v>
      </c>
      <c r="F7977" s="2" t="str">
        <f>"ATE_COMPL"</f>
        <v>ATE_COMPL</v>
      </c>
      <c r="G7977" s="2" t="str">
        <f>"Atendimento / Urgência e Emergência / Atendimento / Diagnóstico do Atendimento / Confirmação (ATE_COMPL)"</f>
        <v>Atendimento / Urgência e Emergência / Atendimento / Diagnóstico do Atendimento / Confirmação (ATE_COMPL)</v>
      </c>
    </row>
    <row r="7978" spans="1:7" x14ac:dyDescent="0.3">
      <c r="A7978" s="1" t="s">
        <v>4</v>
      </c>
      <c r="B7978" s="2" t="str">
        <f t="shared" si="655"/>
        <v>SISTEMA DE URGÊNCIA E EMERGÊNCIA</v>
      </c>
      <c r="C7978" s="2" t="str">
        <f t="shared" si="656"/>
        <v>ATEND</v>
      </c>
      <c r="D7978" s="2" t="str">
        <f t="shared" si="657"/>
        <v>PAEU</v>
      </c>
      <c r="E7978" s="2" t="str">
        <f>"COMPLEMENTO DO ATENDIMENTO"</f>
        <v>COMPLEMENTO DO ATENDIMENTO</v>
      </c>
      <c r="F7978" s="2" t="str">
        <f>"ATE_COMPL"</f>
        <v>ATE_COMPL</v>
      </c>
      <c r="G7978" s="2" t="str">
        <f>"Outros / Fusam / Atendimentos / Diagnóstico do Atendimento (ATE_COMPL)"</f>
        <v>Outros / Fusam / Atendimentos / Diagnóstico do Atendimento (ATE_COMPL)</v>
      </c>
    </row>
    <row r="7979" spans="1:7" x14ac:dyDescent="0.3">
      <c r="A7979" s="1" t="s">
        <v>4</v>
      </c>
      <c r="B7979" s="2" t="str">
        <f t="shared" si="655"/>
        <v>SISTEMA DE URGÊNCIA E EMERGÊNCIA</v>
      </c>
      <c r="C7979" s="2" t="str">
        <f t="shared" si="656"/>
        <v>ATEND</v>
      </c>
      <c r="D7979" s="2" t="str">
        <f t="shared" si="657"/>
        <v>PAEU</v>
      </c>
      <c r="E7979" s="2" t="str">
        <f>"CADASTRO DE OCORRENCIAS URGENCIA"</f>
        <v>CADASTRO DE OCORRENCIAS URGENCIA</v>
      </c>
      <c r="F7979" s="2" t="str">
        <f>"ATEOCO"</f>
        <v>ATEOCO</v>
      </c>
      <c r="G7979" s="2" t="str">
        <f>"Atendimento / Urgência e Emergência / Atendimento / Ocorrências (ATEOCO)"</f>
        <v>Atendimento / Urgência e Emergência / Atendimento / Ocorrências (ATEOCO)</v>
      </c>
    </row>
    <row r="7980" spans="1:7" x14ac:dyDescent="0.3">
      <c r="A7980" s="1" t="s">
        <v>4</v>
      </c>
      <c r="B7980" s="2" t="str">
        <f t="shared" si="655"/>
        <v>SISTEMA DE URGÊNCIA E EMERGÊNCIA</v>
      </c>
      <c r="C7980" s="2" t="str">
        <f t="shared" si="656"/>
        <v>ATEND</v>
      </c>
      <c r="D7980" s="2" t="str">
        <f t="shared" si="657"/>
        <v>PAEU</v>
      </c>
      <c r="E7980" s="2" t="str">
        <f>"INFORMAÇÃO DE OBITO URGENCIA EMERGENCIA"</f>
        <v>INFORMAÇÃO DE OBITO URGENCIA EMERGENCIA</v>
      </c>
      <c r="F7980" s="2" t="str">
        <f>"OBITO_PAC"</f>
        <v>OBITO_PAC</v>
      </c>
      <c r="G7980" s="2" t="str">
        <f>" ()"</f>
        <v xml:space="preserve"> ()</v>
      </c>
    </row>
    <row r="7981" spans="1:7" x14ac:dyDescent="0.3">
      <c r="A7981" s="1" t="s">
        <v>4</v>
      </c>
      <c r="B7981" s="2" t="str">
        <f t="shared" si="655"/>
        <v>SISTEMA DE URGÊNCIA E EMERGÊNCIA</v>
      </c>
      <c r="C7981" s="2" t="str">
        <f t="shared" si="656"/>
        <v>ATEND</v>
      </c>
      <c r="D7981" s="2" t="str">
        <f t="shared" si="657"/>
        <v>PAEU</v>
      </c>
      <c r="E7981" s="2" t="str">
        <f>"ATENDIMENTO DE URGENCIA - EMERGENCIA"</f>
        <v>ATENDIMENTO DE URGENCIA - EMERGENCIA</v>
      </c>
      <c r="F7981" s="2" t="str">
        <f>"ATEURG"</f>
        <v>ATEURG</v>
      </c>
      <c r="G7981" s="2" t="str">
        <f>"Outros / Fusam / Atendimentos / Alteração de Atendimento (ATEURG)"</f>
        <v>Outros / Fusam / Atendimentos / Alteração de Atendimento (ATEURG)</v>
      </c>
    </row>
    <row r="7982" spans="1:7" x14ac:dyDescent="0.3">
      <c r="A7982" s="1" t="s">
        <v>4</v>
      </c>
      <c r="B7982" s="2" t="str">
        <f t="shared" si="655"/>
        <v>SISTEMA DE URGÊNCIA E EMERGÊNCIA</v>
      </c>
      <c r="C7982" s="2" t="str">
        <f t="shared" si="656"/>
        <v>ATEND</v>
      </c>
      <c r="D7982" s="2" t="str">
        <f t="shared" si="657"/>
        <v>PAEU</v>
      </c>
      <c r="E7982" s="2" t="str">
        <f>"ATENDIMENTO DE URGENCIA - EMERGENCIA"</f>
        <v>ATENDIMENTO DE URGENCIA - EMERGENCIA</v>
      </c>
      <c r="F7982" s="2" t="str">
        <f>"ATEURG"</f>
        <v>ATEURG</v>
      </c>
      <c r="G7982" s="2" t="str">
        <f>"Outros / Fusam / Atendimentos / Não Agendados (ATEURG)"</f>
        <v>Outros / Fusam / Atendimentos / Não Agendados (ATEURG)</v>
      </c>
    </row>
    <row r="7983" spans="1:7" x14ac:dyDescent="0.3">
      <c r="A7983" s="1" t="s">
        <v>4</v>
      </c>
      <c r="B7983" s="2" t="str">
        <f t="shared" si="655"/>
        <v>SISTEMA DE URGÊNCIA E EMERGÊNCIA</v>
      </c>
      <c r="C7983" s="2" t="str">
        <f t="shared" si="656"/>
        <v>ATEND</v>
      </c>
      <c r="D7983" s="2" t="str">
        <f t="shared" si="657"/>
        <v>PAEU</v>
      </c>
      <c r="E7983" s="2" t="str">
        <f>"R_ETIQUETA_PACI_967"</f>
        <v>R_ETIQUETA_PACI_967</v>
      </c>
      <c r="F7983" s="2" t="str">
        <f>"R_ETIQUETA_PACI_967"</f>
        <v>R_ETIQUETA_PACI_967</v>
      </c>
      <c r="G7983" s="2" t="str">
        <f t="shared" ref="G7983:G7997" si="658">" ()"</f>
        <v xml:space="preserve"> ()</v>
      </c>
    </row>
    <row r="7984" spans="1:7" x14ac:dyDescent="0.3">
      <c r="A7984" s="1" t="s">
        <v>4</v>
      </c>
      <c r="B7984" s="2" t="str">
        <f t="shared" si="655"/>
        <v>SISTEMA DE URGÊNCIA E EMERGÊNCIA</v>
      </c>
      <c r="C7984" s="2" t="str">
        <f t="shared" si="656"/>
        <v>ATEND</v>
      </c>
      <c r="D7984" s="2" t="str">
        <f t="shared" si="657"/>
        <v>PAEU</v>
      </c>
      <c r="E7984" s="2" t="str">
        <f>"M_TABELA_IMPORTACAO_451"</f>
        <v>M_TABELA_IMPORTACAO_451</v>
      </c>
      <c r="F7984" s="2" t="str">
        <f>"M_TABELA_IMPORTACAO_451"</f>
        <v>M_TABELA_IMPORTACAO_451</v>
      </c>
      <c r="G7984" s="2" t="str">
        <f t="shared" si="658"/>
        <v xml:space="preserve"> ()</v>
      </c>
    </row>
    <row r="7985" spans="1:7" x14ac:dyDescent="0.3">
      <c r="A7985" s="1" t="s">
        <v>4</v>
      </c>
      <c r="B7985" s="2" t="str">
        <f t="shared" si="655"/>
        <v>SISTEMA DE URGÊNCIA E EMERGÊNCIA</v>
      </c>
      <c r="C7985" s="2" t="str">
        <f t="shared" si="656"/>
        <v>ATEND</v>
      </c>
      <c r="D7985" s="2" t="str">
        <f t="shared" si="657"/>
        <v>PAEU</v>
      </c>
      <c r="E7985" s="2" t="str">
        <f>"M_CONFIG_IMPORTACAO_451"</f>
        <v>M_CONFIG_IMPORTACAO_451</v>
      </c>
      <c r="F7985" s="2" t="str">
        <f>"M_CONFIG_IMPORTACAO_451"</f>
        <v>M_CONFIG_IMPORTACAO_451</v>
      </c>
      <c r="G7985" s="2" t="str">
        <f t="shared" si="658"/>
        <v xml:space="preserve"> ()</v>
      </c>
    </row>
    <row r="7986" spans="1:7" x14ac:dyDescent="0.3">
      <c r="A7986" s="1" t="s">
        <v>4</v>
      </c>
      <c r="B7986" s="2" t="str">
        <f t="shared" si="655"/>
        <v>SISTEMA DE URGÊNCIA E EMERGÊNCIA</v>
      </c>
      <c r="C7986" s="2" t="str">
        <f t="shared" si="656"/>
        <v>ATEND</v>
      </c>
      <c r="D7986" s="2" t="str">
        <f t="shared" si="657"/>
        <v>PAEU</v>
      </c>
      <c r="E7986" s="2" t="str">
        <f>"CON_TABELA_IMPORTACAO_451"</f>
        <v>CON_TABELA_IMPORTACAO_451</v>
      </c>
      <c r="F7986" s="2" t="str">
        <f>"CON_TABELA_IMPORTACAO_451"</f>
        <v>CON_TABELA_IMPORTACAO_451</v>
      </c>
      <c r="G7986" s="2" t="str">
        <f t="shared" si="658"/>
        <v xml:space="preserve"> ()</v>
      </c>
    </row>
    <row r="7987" spans="1:7" x14ac:dyDescent="0.3">
      <c r="A7987" s="1" t="s">
        <v>4</v>
      </c>
      <c r="B7987" s="2" t="str">
        <f t="shared" si="655"/>
        <v>SISTEMA DE URGÊNCIA E EMERGÊNCIA</v>
      </c>
      <c r="C7987" s="2" t="str">
        <f t="shared" si="656"/>
        <v>ATEND</v>
      </c>
      <c r="D7987" s="2" t="str">
        <f t="shared" si="657"/>
        <v>PAEU</v>
      </c>
      <c r="E7987" s="2" t="str">
        <f>"R_PAC_ATEND_1302"</f>
        <v>R_PAC_ATEND_1302</v>
      </c>
      <c r="F7987" s="2" t="str">
        <f>"R_PAC_ATEND_1302"</f>
        <v>R_PAC_ATEND_1302</v>
      </c>
      <c r="G7987" s="2" t="str">
        <f t="shared" si="658"/>
        <v xml:space="preserve"> ()</v>
      </c>
    </row>
    <row r="7988" spans="1:7" x14ac:dyDescent="0.3">
      <c r="A7988" s="1" t="s">
        <v>4</v>
      </c>
      <c r="B7988" s="2" t="str">
        <f t="shared" si="655"/>
        <v>SISTEMA DE URGÊNCIA E EMERGÊNCIA</v>
      </c>
      <c r="C7988" s="2" t="str">
        <f t="shared" si="656"/>
        <v>ATEND</v>
      </c>
      <c r="D7988" s="2" t="str">
        <f t="shared" si="657"/>
        <v>PAEU</v>
      </c>
      <c r="E7988" s="2" t="str">
        <f>"R_ETIQUETA_ATEND_PAEU_970"</f>
        <v>R_ETIQUETA_ATEND_PAEU_970</v>
      </c>
      <c r="F7988" s="2" t="str">
        <f>"R_ETIQUETA_ATEND_PAEU_970"</f>
        <v>R_ETIQUETA_ATEND_PAEU_970</v>
      </c>
      <c r="G7988" s="2" t="str">
        <f t="shared" si="658"/>
        <v xml:space="preserve"> ()</v>
      </c>
    </row>
    <row r="7989" spans="1:7" x14ac:dyDescent="0.3">
      <c r="A7989" s="1" t="s">
        <v>4</v>
      </c>
      <c r="B7989" s="2" t="str">
        <f t="shared" si="655"/>
        <v>SISTEMA DE URGÊNCIA E EMERGÊNCIA</v>
      </c>
      <c r="C7989" s="2" t="str">
        <f t="shared" si="656"/>
        <v>ATEND</v>
      </c>
      <c r="D7989" s="2" t="str">
        <f t="shared" si="657"/>
        <v>PAEU</v>
      </c>
      <c r="E7989" s="2" t="str">
        <f>"TERMOS E DECLARAÇÕES"</f>
        <v>TERMOS E DECLARAÇÕES</v>
      </c>
      <c r="F7989" s="2" t="str">
        <f>"R_TERMO_URG_410"</f>
        <v>R_TERMO_URG_410</v>
      </c>
      <c r="G7989" s="2" t="str">
        <f t="shared" si="658"/>
        <v xml:space="preserve"> ()</v>
      </c>
    </row>
    <row r="7990" spans="1:7" x14ac:dyDescent="0.3">
      <c r="A7990" s="1" t="s">
        <v>4</v>
      </c>
      <c r="B7990" s="2" t="str">
        <f t="shared" si="655"/>
        <v>SISTEMA DE URGÊNCIA E EMERGÊNCIA</v>
      </c>
      <c r="C7990" s="2" t="str">
        <f t="shared" si="656"/>
        <v>ATEND</v>
      </c>
      <c r="D7990" s="2" t="str">
        <f t="shared" si="657"/>
        <v>PAEU</v>
      </c>
      <c r="E7990" s="2" t="str">
        <f>"PACIENTES ATEND. POR MOTIVO DE ATEND."</f>
        <v>PACIENTES ATEND. POR MOTIVO DE ATEND.</v>
      </c>
      <c r="F7990" s="2" t="str">
        <f>"R_PAC_ATEND_MOTIVO.RDF"</f>
        <v>R_PAC_ATEND_MOTIVO.RDF</v>
      </c>
      <c r="G7990" s="2" t="str">
        <f t="shared" si="658"/>
        <v xml:space="preserve"> ()</v>
      </c>
    </row>
    <row r="7991" spans="1:7" x14ac:dyDescent="0.3">
      <c r="A7991" s="1" t="s">
        <v>4</v>
      </c>
      <c r="B7991" s="2" t="str">
        <f t="shared" si="655"/>
        <v>SISTEMA DE URGÊNCIA E EMERGÊNCIA</v>
      </c>
      <c r="C7991" s="2" t="str">
        <f t="shared" si="656"/>
        <v>ATEND</v>
      </c>
      <c r="D7991" s="2" t="str">
        <f t="shared" si="657"/>
        <v>PAEU</v>
      </c>
      <c r="E7991" s="2" t="str">
        <f>"ATENDIM. POR FLUXO DE HORÁRIOS X DESTINO"</f>
        <v>ATENDIM. POR FLUXO DE HORÁRIOS X DESTINO</v>
      </c>
      <c r="F7991" s="2" t="str">
        <f>"R_ESTHORARIO.RDF"</f>
        <v>R_ESTHORARIO.RDF</v>
      </c>
      <c r="G7991" s="2" t="str">
        <f t="shared" si="658"/>
        <v xml:space="preserve"> ()</v>
      </c>
    </row>
    <row r="7992" spans="1:7" x14ac:dyDescent="0.3">
      <c r="A7992" s="1" t="s">
        <v>4</v>
      </c>
      <c r="B7992" s="2" t="str">
        <f t="shared" si="655"/>
        <v>SISTEMA DE URGÊNCIA E EMERGÊNCIA</v>
      </c>
      <c r="C7992" s="2" t="str">
        <f t="shared" si="656"/>
        <v>ATEND</v>
      </c>
      <c r="D7992" s="2" t="str">
        <f t="shared" si="657"/>
        <v>PAEU</v>
      </c>
      <c r="E7992" s="2" t="str">
        <f>"RELAT. FAIXA ETÁRIA X MOTIVO ATENDIMENTO"</f>
        <v>RELAT. FAIXA ETÁRIA X MOTIVO ATENDIMENTO</v>
      </c>
      <c r="F7992" s="2" t="str">
        <f>"R_ESTFETARIA_MOTIVO.RDF"</f>
        <v>R_ESTFETARIA_MOTIVO.RDF</v>
      </c>
      <c r="G7992" s="2" t="str">
        <f t="shared" si="658"/>
        <v xml:space="preserve"> ()</v>
      </c>
    </row>
    <row r="7993" spans="1:7" x14ac:dyDescent="0.3">
      <c r="A7993" s="1" t="s">
        <v>4</v>
      </c>
      <c r="B7993" s="2" t="str">
        <f t="shared" si="655"/>
        <v>SISTEMA DE URGÊNCIA E EMERGÊNCIA</v>
      </c>
      <c r="C7993" s="2" t="str">
        <f t="shared" si="656"/>
        <v>ATEND</v>
      </c>
      <c r="D7993" s="2" t="str">
        <f t="shared" si="657"/>
        <v>PAEU</v>
      </c>
      <c r="E7993" s="2" t="str">
        <f>"DISTRITO SANITÁRIO X MOTIVO ATENDIMENTO"</f>
        <v>DISTRITO SANITÁRIO X MOTIVO ATENDIMENTO</v>
      </c>
      <c r="F7993" s="2" t="str">
        <f>"R_EST_DISTRITO_MOTIVO.RDF"</f>
        <v>R_EST_DISTRITO_MOTIVO.RDF</v>
      </c>
      <c r="G7993" s="2" t="str">
        <f t="shared" si="658"/>
        <v xml:space="preserve"> ()</v>
      </c>
    </row>
    <row r="7994" spans="1:7" x14ac:dyDescent="0.3">
      <c r="A7994" s="1" t="s">
        <v>4</v>
      </c>
      <c r="B7994" s="2" t="str">
        <f t="shared" si="655"/>
        <v>SISTEMA DE URGÊNCIA E EMERGÊNCIA</v>
      </c>
      <c r="C7994" s="2" t="str">
        <f t="shared" si="656"/>
        <v>ATEND</v>
      </c>
      <c r="D7994" s="2" t="str">
        <f t="shared" si="657"/>
        <v>PAEU</v>
      </c>
      <c r="E7994" s="2" t="str">
        <f>"RELATÓRIO MOVIMENTAÇÃO DIÁRIA DA TRIAGEM"</f>
        <v>RELATÓRIO MOVIMENTAÇÃO DIÁRIA DA TRIAGEM</v>
      </c>
      <c r="F7994" s="2" t="str">
        <f>"R_MOV_TRIAGEM.RDF"</f>
        <v>R_MOV_TRIAGEM.RDF</v>
      </c>
      <c r="G7994" s="2" t="str">
        <f t="shared" si="658"/>
        <v xml:space="preserve"> ()</v>
      </c>
    </row>
    <row r="7995" spans="1:7" x14ac:dyDescent="0.3">
      <c r="A7995" s="1" t="s">
        <v>4</v>
      </c>
      <c r="B7995" s="2" t="str">
        <f t="shared" si="655"/>
        <v>SISTEMA DE URGÊNCIA E EMERGÊNCIA</v>
      </c>
      <c r="C7995" s="2" t="str">
        <f t="shared" si="656"/>
        <v>ATEND</v>
      </c>
      <c r="D7995" s="2" t="str">
        <f t="shared" si="657"/>
        <v>PAEU</v>
      </c>
      <c r="E7995" s="2" t="str">
        <f>"RELATÓRIO DE ETIQUETA DE MALA DIRETA"</f>
        <v>RELATÓRIO DE ETIQUETA DE MALA DIRETA</v>
      </c>
      <c r="F7995" s="2" t="str">
        <f>"R_ETIQUETA_MALA_DIRETA.RDF"</f>
        <v>R_ETIQUETA_MALA_DIRETA.RDF</v>
      </c>
      <c r="G7995" s="2" t="str">
        <f t="shared" si="658"/>
        <v xml:space="preserve"> ()</v>
      </c>
    </row>
    <row r="7996" spans="1:7" x14ac:dyDescent="0.3">
      <c r="A7996" s="1" t="s">
        <v>4</v>
      </c>
      <c r="B7996" s="2" t="str">
        <f t="shared" si="655"/>
        <v>SISTEMA DE URGÊNCIA E EMERGÊNCIA</v>
      </c>
      <c r="C7996" s="2" t="str">
        <f t="shared" si="656"/>
        <v>ATEND</v>
      </c>
      <c r="D7996" s="2" t="str">
        <f t="shared" si="657"/>
        <v>PAEU</v>
      </c>
      <c r="E7996" s="2" t="str">
        <f>"RELATÓRIO DE ATENDIMENTOS POR PERÍODO"</f>
        <v>RELATÓRIO DE ATENDIMENTOS POR PERÍODO</v>
      </c>
      <c r="F7996" s="2" t="str">
        <f>"R_LISTA_ATENDE_PERIODO.RDF"</f>
        <v>R_LISTA_ATENDE_PERIODO.RDF</v>
      </c>
      <c r="G7996" s="2" t="str">
        <f t="shared" si="658"/>
        <v xml:space="preserve"> ()</v>
      </c>
    </row>
    <row r="7997" spans="1:7" x14ac:dyDescent="0.3">
      <c r="A7997" s="1" t="s">
        <v>4</v>
      </c>
      <c r="B7997" s="2" t="str">
        <f t="shared" si="655"/>
        <v>SISTEMA DE URGÊNCIA E EMERGÊNCIA</v>
      </c>
      <c r="C7997" s="2" t="str">
        <f t="shared" si="656"/>
        <v>ATEND</v>
      </c>
      <c r="D7997" s="2" t="str">
        <f t="shared" si="657"/>
        <v>PAEU</v>
      </c>
      <c r="E7997" s="2" t="str">
        <f>"RELATÓRIO DE ETIQUETAS DE ATENDIMENTOS"</f>
        <v>RELATÓRIO DE ETIQUETAS DE ATENDIMENTOS</v>
      </c>
      <c r="F7997" s="2" t="str">
        <f>"R_ETIQUETA_URG.RDF"</f>
        <v>R_ETIQUETA_URG.RDF</v>
      </c>
      <c r="G7997" s="2" t="str">
        <f t="shared" si="658"/>
        <v xml:space="preserve"> ()</v>
      </c>
    </row>
    <row r="7998" spans="1:7" x14ac:dyDescent="0.3">
      <c r="A7998" s="1" t="s">
        <v>4</v>
      </c>
      <c r="B7998" s="2" t="str">
        <f t="shared" si="655"/>
        <v>SISTEMA DE URGÊNCIA E EMERGÊNCIA</v>
      </c>
      <c r="C7998" s="2" t="str">
        <f t="shared" si="656"/>
        <v>ATEND</v>
      </c>
      <c r="D7998" s="2" t="str">
        <f t="shared" si="657"/>
        <v>PAEU</v>
      </c>
      <c r="E7998" s="2" t="str">
        <f>"ETIQUETA  DE MALA DIRETA"</f>
        <v>ETIQUETA  DE MALA DIRETA</v>
      </c>
      <c r="F7998" s="2" t="str">
        <f>"R_ETIQUETA_MALA_DIRETA661"</f>
        <v>R_ETIQUETA_MALA_DIRETA661</v>
      </c>
      <c r="G7998" s="2" t="str">
        <f>"MVSaude / Vendas / Internação / Relatórios / Operacionais / Etiquetas Mala Direta (R_ETIQUETA_MALA_DIRETA661)"</f>
        <v>MVSaude / Vendas / Internação / Relatórios / Operacionais / Etiquetas Mala Direta (R_ETIQUETA_MALA_DIRETA661)</v>
      </c>
    </row>
    <row r="7999" spans="1:7" x14ac:dyDescent="0.3">
      <c r="A7999" s="1" t="s">
        <v>4</v>
      </c>
      <c r="B7999" s="2" t="str">
        <f t="shared" si="655"/>
        <v>SISTEMA DE URGÊNCIA E EMERGÊNCIA</v>
      </c>
      <c r="C7999" s="2" t="str">
        <f t="shared" si="656"/>
        <v>ATEND</v>
      </c>
      <c r="D7999" s="2" t="str">
        <f t="shared" si="657"/>
        <v>PAEU</v>
      </c>
      <c r="E7999" s="2" t="str">
        <f>"ETIQUETA  DE MALA DIRETA"</f>
        <v>ETIQUETA  DE MALA DIRETA</v>
      </c>
      <c r="F7999" s="2" t="str">
        <f>"R_ETIQUETA_MALA_DIRETA661"</f>
        <v>R_ETIQUETA_MALA_DIRETA661</v>
      </c>
      <c r="G7999" s="2" t="str">
        <f>"Atendimento / Internação / Relatórios / Operacionais / Etiquetas Mala Direta (R_ETIQUETA_MALA_DIRETA661)"</f>
        <v>Atendimento / Internação / Relatórios / Operacionais / Etiquetas Mala Direta (R_ETIQUETA_MALA_DIRETA661)</v>
      </c>
    </row>
    <row r="8000" spans="1:7" x14ac:dyDescent="0.3">
      <c r="A8000" s="1" t="s">
        <v>4</v>
      </c>
      <c r="B8000" s="2" t="str">
        <f t="shared" si="655"/>
        <v>SISTEMA DE URGÊNCIA E EMERGÊNCIA</v>
      </c>
      <c r="C8000" s="2" t="str">
        <f t="shared" si="656"/>
        <v>ATEND</v>
      </c>
      <c r="D8000" s="2" t="str">
        <f t="shared" si="657"/>
        <v>PAEU</v>
      </c>
      <c r="E8000" s="2" t="str">
        <f>"ETIQUETA  DE MALA DIRETA"</f>
        <v>ETIQUETA  DE MALA DIRETA</v>
      </c>
      <c r="F8000" s="2" t="str">
        <f>"R_ETIQUETA_MALA_DIRETA661"</f>
        <v>R_ETIQUETA_MALA_DIRETA661</v>
      </c>
      <c r="G8000" s="2" t="str">
        <f>"MVSaude / Atendimento / Autorizações de Guias / Internação / Relatórios / Operacionais / Etiquetas Mala Direta (R_ETIQUETA_MALA_DIRETA661)"</f>
        <v>MVSaude / Atendimento / Autorizações de Guias / Internação / Relatórios / Operacionais / Etiquetas Mala Direta (R_ETIQUETA_MALA_DIRETA661)</v>
      </c>
    </row>
    <row r="8001" spans="1:7" x14ac:dyDescent="0.3">
      <c r="A8001" s="1" t="s">
        <v>4</v>
      </c>
      <c r="B8001" s="2" t="str">
        <f t="shared" si="655"/>
        <v>SISTEMA DE URGÊNCIA E EMERGÊNCIA</v>
      </c>
      <c r="C8001" s="2" t="str">
        <f t="shared" si="656"/>
        <v>ATEND</v>
      </c>
      <c r="D8001" s="2" t="str">
        <f t="shared" si="657"/>
        <v>PAEU</v>
      </c>
      <c r="E8001" s="2" t="str">
        <f>"RELATÓRIO DE ATENDIMENTOS POR PLANTÃO"</f>
        <v>RELATÓRIO DE ATENDIMENTOS POR PLANTÃO</v>
      </c>
      <c r="F8001" s="2" t="str">
        <f>"R_ATEN_PLANTAO"</f>
        <v>R_ATEN_PLANTAO</v>
      </c>
      <c r="G8001" s="2" t="str">
        <f>"Atendimento / Urgência e Emergência / Relatórios / Administrativos / Plantão por Médico (R_ATEN_PLANTAO)"</f>
        <v>Atendimento / Urgência e Emergência / Relatórios / Administrativos / Plantão por Médico (R_ATEN_PLANTAO)</v>
      </c>
    </row>
    <row r="8002" spans="1:7" x14ac:dyDescent="0.3">
      <c r="A8002" s="1" t="s">
        <v>4</v>
      </c>
      <c r="B8002" s="2" t="str">
        <f t="shared" si="655"/>
        <v>SISTEMA DE URGÊNCIA E EMERGÊNCIA</v>
      </c>
      <c r="C8002" s="2" t="str">
        <f t="shared" si="656"/>
        <v>ATEND</v>
      </c>
      <c r="D8002" s="2" t="str">
        <f t="shared" si="657"/>
        <v>PAEU</v>
      </c>
      <c r="E8002" s="2" t="str">
        <f>"R_ESTHORARIO_ANA"</f>
        <v>R_ESTHORARIO_ANA</v>
      </c>
      <c r="F8002" s="2" t="str">
        <f>"R_ESTHORARIO_ANA"</f>
        <v>R_ESTHORARIO_ANA</v>
      </c>
      <c r="G8002" s="2" t="str">
        <f>" ()"</f>
        <v xml:space="preserve"> ()</v>
      </c>
    </row>
    <row r="8003" spans="1:7" x14ac:dyDescent="0.3">
      <c r="A8003" s="1" t="s">
        <v>4</v>
      </c>
      <c r="B8003" s="2" t="str">
        <f t="shared" si="655"/>
        <v>SISTEMA DE URGÊNCIA E EMERGÊNCIA</v>
      </c>
      <c r="C8003" s="2" t="str">
        <f t="shared" si="656"/>
        <v>ATEND</v>
      </c>
      <c r="D8003" s="2" t="str">
        <f t="shared" si="657"/>
        <v>PAEU</v>
      </c>
      <c r="E8003" s="2" t="str">
        <f>"R_ESTFETARIA_MOTIVO"</f>
        <v>R_ESTFETARIA_MOTIVO</v>
      </c>
      <c r="F8003" s="2" t="str">
        <f>"R_ESTFETARIA_MOTIVO"</f>
        <v>R_ESTFETARIA_MOTIVO</v>
      </c>
      <c r="G8003" s="2" t="str">
        <f>"Atendimento / Urgência e Emergência / Relatórios / Estatísticos / Atendimentos por / Faixa Etária x Motivo de Atendimento (R_ESTFETARIA_MOTIVO)"</f>
        <v>Atendimento / Urgência e Emergência / Relatórios / Estatísticos / Atendimentos por / Faixa Etária x Motivo de Atendimento (R_ESTFETARIA_MOTIVO)</v>
      </c>
    </row>
    <row r="8004" spans="1:7" x14ac:dyDescent="0.3">
      <c r="A8004" s="1" t="s">
        <v>4</v>
      </c>
      <c r="B8004" s="2" t="str">
        <f t="shared" si="655"/>
        <v>SISTEMA DE URGÊNCIA E EMERGÊNCIA</v>
      </c>
      <c r="C8004" s="2" t="str">
        <f t="shared" si="656"/>
        <v>ATEND</v>
      </c>
      <c r="D8004" s="2" t="str">
        <f t="shared" si="657"/>
        <v>PAEU</v>
      </c>
      <c r="E8004" s="2" t="str">
        <f>"MENU ESPECIFICO DO PAEU PARA SAMEL"</f>
        <v>MENU ESPECIFICO DO PAEU PARA SAMEL</v>
      </c>
      <c r="F8004" s="2" t="str">
        <f>"SAMEL"</f>
        <v>SAMEL</v>
      </c>
      <c r="G8004" s="2" t="str">
        <f>" ()"</f>
        <v xml:space="preserve"> ()</v>
      </c>
    </row>
    <row r="8005" spans="1:7" x14ac:dyDescent="0.3">
      <c r="A8005" s="1" t="s">
        <v>4</v>
      </c>
      <c r="B8005" s="2" t="str">
        <f t="shared" si="655"/>
        <v>SISTEMA DE URGÊNCIA E EMERGÊNCIA</v>
      </c>
      <c r="C8005" s="2" t="str">
        <f t="shared" si="656"/>
        <v>ATEND</v>
      </c>
      <c r="D8005" s="2" t="str">
        <f t="shared" si="657"/>
        <v>PAEU</v>
      </c>
      <c r="E8005" s="2" t="str">
        <f t="shared" ref="E8005:E8010" si="659">"REL. PACIENTES ATENDIDOS POR MOTIVO"</f>
        <v>REL. PACIENTES ATENDIDOS POR MOTIVO</v>
      </c>
      <c r="F8005" s="2" t="str">
        <f t="shared" ref="F8005:F8010" si="660">"R_PAC_ATEND_MOTIVO"</f>
        <v>R_PAC_ATEND_MOTIVO</v>
      </c>
      <c r="G8005" s="2" t="str">
        <f>"MVSaude / Vendas / Internação / Relatórios / Operacionais / Pacientes / Atendidos por Motivo de Atendimento (R_PAC_ATEND_MOTIVO)"</f>
        <v>MVSaude / Vendas / Internação / Relatórios / Operacionais / Pacientes / Atendidos por Motivo de Atendimento (R_PAC_ATEND_MOTIVO)</v>
      </c>
    </row>
    <row r="8006" spans="1:7" x14ac:dyDescent="0.3">
      <c r="A8006" s="1" t="s">
        <v>4</v>
      </c>
      <c r="B8006" s="2" t="str">
        <f t="shared" si="655"/>
        <v>SISTEMA DE URGÊNCIA E EMERGÊNCIA</v>
      </c>
      <c r="C8006" s="2" t="str">
        <f t="shared" si="656"/>
        <v>ATEND</v>
      </c>
      <c r="D8006" s="2" t="str">
        <f t="shared" si="657"/>
        <v>PAEU</v>
      </c>
      <c r="E8006" s="2" t="str">
        <f t="shared" si="659"/>
        <v>REL. PACIENTES ATENDIDOS POR MOTIVO</v>
      </c>
      <c r="F8006" s="2" t="str">
        <f t="shared" si="660"/>
        <v>R_PAC_ATEND_MOTIVO</v>
      </c>
      <c r="G8006" s="2" t="str">
        <f>"Atendimento / Urgência e Emergência / Relatórios / Administrativos / Pacientes Atendidos por Motivo de Atendimento (R_PAC_ATEND_MOTIVO)"</f>
        <v>Atendimento / Urgência e Emergência / Relatórios / Administrativos / Pacientes Atendidos por Motivo de Atendimento (R_PAC_ATEND_MOTIVO)</v>
      </c>
    </row>
    <row r="8007" spans="1:7" x14ac:dyDescent="0.3">
      <c r="A8007" s="1" t="s">
        <v>4</v>
      </c>
      <c r="B8007" s="2" t="str">
        <f t="shared" si="655"/>
        <v>SISTEMA DE URGÊNCIA E EMERGÊNCIA</v>
      </c>
      <c r="C8007" s="2" t="str">
        <f t="shared" si="656"/>
        <v>ATEND</v>
      </c>
      <c r="D8007" s="2" t="str">
        <f t="shared" si="657"/>
        <v>PAEU</v>
      </c>
      <c r="E8007" s="2" t="str">
        <f t="shared" si="659"/>
        <v>REL. PACIENTES ATENDIDOS POR MOTIVO</v>
      </c>
      <c r="F8007" s="2" t="str">
        <f t="shared" si="660"/>
        <v>R_PAC_ATEND_MOTIVO</v>
      </c>
      <c r="G8007" s="2" t="str">
        <f>"Atendimento / Internação / Relatórios / Operacionais / Pacientes / Atendidos por Motivo de Atendimento (R_PAC_ATEND_MOTIVO)"</f>
        <v>Atendimento / Internação / Relatórios / Operacionais / Pacientes / Atendidos por Motivo de Atendimento (R_PAC_ATEND_MOTIVO)</v>
      </c>
    </row>
    <row r="8008" spans="1:7" x14ac:dyDescent="0.3">
      <c r="A8008" s="1" t="s">
        <v>4</v>
      </c>
      <c r="B8008" s="2" t="str">
        <f t="shared" si="655"/>
        <v>SISTEMA DE URGÊNCIA E EMERGÊNCIA</v>
      </c>
      <c r="C8008" s="2" t="str">
        <f t="shared" si="656"/>
        <v>ATEND</v>
      </c>
      <c r="D8008" s="2" t="str">
        <f t="shared" si="657"/>
        <v>PAEU</v>
      </c>
      <c r="E8008" s="2" t="str">
        <f t="shared" si="659"/>
        <v>REL. PACIENTES ATENDIDOS POR MOTIVO</v>
      </c>
      <c r="F8008" s="2" t="str">
        <f t="shared" si="660"/>
        <v>R_PAC_ATEND_MOTIVO</v>
      </c>
      <c r="G8008" s="2" t="str">
        <f>"Atendimento / Ambulatório / Relatórios / Operacionais / Pacientes Atendidos por Motivo de Atendimento (R_PAC_ATEND_MOTIVO)"</f>
        <v>Atendimento / Ambulatório / Relatórios / Operacionais / Pacientes Atendidos por Motivo de Atendimento (R_PAC_ATEND_MOTIVO)</v>
      </c>
    </row>
    <row r="8009" spans="1:7" x14ac:dyDescent="0.3">
      <c r="A8009" s="1" t="s">
        <v>4</v>
      </c>
      <c r="B8009" s="2" t="str">
        <f t="shared" si="655"/>
        <v>SISTEMA DE URGÊNCIA E EMERGÊNCIA</v>
      </c>
      <c r="C8009" s="2" t="str">
        <f t="shared" si="656"/>
        <v>ATEND</v>
      </c>
      <c r="D8009" s="2" t="str">
        <f t="shared" si="657"/>
        <v>PAEU</v>
      </c>
      <c r="E8009" s="2" t="str">
        <f t="shared" si="659"/>
        <v>REL. PACIENTES ATENDIDOS POR MOTIVO</v>
      </c>
      <c r="F8009" s="2" t="str">
        <f t="shared" si="660"/>
        <v>R_PAC_ATEND_MOTIVO</v>
      </c>
      <c r="G8009" s="2" t="str">
        <f>"Serviços de Apoio / Serviço Arquivo Médico / Relatórios / Operacionais / Pacientes / Atendidos por Motivo de Atendimento (R_PAC_ATEND_MOTIVO)"</f>
        <v>Serviços de Apoio / Serviço Arquivo Médico / Relatórios / Operacionais / Pacientes / Atendidos por Motivo de Atendimento (R_PAC_ATEND_MOTIVO)</v>
      </c>
    </row>
    <row r="8010" spans="1:7" x14ac:dyDescent="0.3">
      <c r="A8010" s="1" t="s">
        <v>4</v>
      </c>
      <c r="B8010" s="2" t="str">
        <f t="shared" si="655"/>
        <v>SISTEMA DE URGÊNCIA E EMERGÊNCIA</v>
      </c>
      <c r="C8010" s="2" t="str">
        <f t="shared" si="656"/>
        <v>ATEND</v>
      </c>
      <c r="D8010" s="2" t="str">
        <f t="shared" si="657"/>
        <v>PAEU</v>
      </c>
      <c r="E8010" s="2" t="str">
        <f t="shared" si="659"/>
        <v>REL. PACIENTES ATENDIDOS POR MOTIVO</v>
      </c>
      <c r="F8010" s="2" t="str">
        <f t="shared" si="660"/>
        <v>R_PAC_ATEND_MOTIVO</v>
      </c>
      <c r="G8010" s="2" t="str">
        <f>"MVSaude / Atendimento / Autorizações de Guias / Internação / Relatórios / Operacionais / Pacientes / Atendidos por Motivo de Atendimento (R_PAC_ATEND_MOTIVO)"</f>
        <v>MVSaude / Atendimento / Autorizações de Guias / Internação / Relatórios / Operacionais / Pacientes / Atendidos por Motivo de Atendimento (R_PAC_ATEND_MOTIVO)</v>
      </c>
    </row>
    <row r="8011" spans="1:7" x14ac:dyDescent="0.3">
      <c r="A8011" s="1" t="s">
        <v>4</v>
      </c>
      <c r="B8011" s="2" t="str">
        <f t="shared" si="655"/>
        <v>SISTEMA DE URGÊNCIA E EMERGÊNCIA</v>
      </c>
      <c r="C8011" s="2" t="str">
        <f t="shared" si="656"/>
        <v>ATEND</v>
      </c>
      <c r="D8011" s="2" t="str">
        <f t="shared" si="657"/>
        <v>PAEU</v>
      </c>
      <c r="E8011" s="2" t="str">
        <f>"RELATÓRIO DE ATENDIMENTOS POR CONVÊNIO"</f>
        <v>RELATÓRIO DE ATENDIMENTOS POR CONVÊNIO</v>
      </c>
      <c r="F8011" s="2" t="str">
        <f>"R_MOV_TRIAGEM"</f>
        <v>R_MOV_TRIAGEM</v>
      </c>
      <c r="G8011" s="2" t="str">
        <f>"Atendimento / Urgência e Emergência / Relatórios / Administrativos / Movimentação Diária da Triagem (R_MOV_TRIAGEM)"</f>
        <v>Atendimento / Urgência e Emergência / Relatórios / Administrativos / Movimentação Diária da Triagem (R_MOV_TRIAGEM)</v>
      </c>
    </row>
    <row r="8012" spans="1:7" x14ac:dyDescent="0.3">
      <c r="A8012" s="1" t="s">
        <v>4</v>
      </c>
      <c r="B8012" s="2" t="str">
        <f t="shared" si="655"/>
        <v>SISTEMA DE URGÊNCIA E EMERGÊNCIA</v>
      </c>
      <c r="C8012" s="2" t="str">
        <f t="shared" si="656"/>
        <v>ATEND</v>
      </c>
      <c r="D8012" s="2" t="str">
        <f t="shared" si="657"/>
        <v>PAEU</v>
      </c>
      <c r="E8012" s="2" t="str">
        <f>"ALTERAÇÃO DE ATENDIMENTO EXTERNO"</f>
        <v>ALTERAÇÃO DE ATENDIMENTO EXTERNO</v>
      </c>
      <c r="F8012" s="2" t="str">
        <f>"ALT_ATE_EXT"</f>
        <v>ALT_ATE_EXT</v>
      </c>
      <c r="G8012" s="2" t="str">
        <f>" ()"</f>
        <v xml:space="preserve"> ()</v>
      </c>
    </row>
    <row r="8013" spans="1:7" x14ac:dyDescent="0.3">
      <c r="A8013" s="1" t="s">
        <v>4</v>
      </c>
      <c r="B8013" s="2" t="str">
        <f t="shared" si="655"/>
        <v>SISTEMA DE URGÊNCIA E EMERGÊNCIA</v>
      </c>
      <c r="C8013" s="2" t="str">
        <f t="shared" si="656"/>
        <v>ATEND</v>
      </c>
      <c r="D8013" s="2" t="str">
        <f t="shared" si="657"/>
        <v>PAEU</v>
      </c>
      <c r="E8013" s="2" t="str">
        <f>"EXCLUSÃO DE ATENDIMENTO"</f>
        <v>EXCLUSÃO DE ATENDIMENTO</v>
      </c>
      <c r="F8013" s="2" t="str">
        <f>"ALT_ATE"</f>
        <v>ALT_ATE</v>
      </c>
      <c r="G8013" s="2" t="str">
        <f>"Atendimento / Urgência e Emergência / Atendimento / Alteração do Tipo de Atendimento (ALT_ATE)"</f>
        <v>Atendimento / Urgência e Emergência / Atendimento / Alteração do Tipo de Atendimento (ALT_ATE)</v>
      </c>
    </row>
    <row r="8014" spans="1:7" x14ac:dyDescent="0.3">
      <c r="A8014" s="1" t="s">
        <v>4</v>
      </c>
      <c r="B8014" s="2" t="str">
        <f t="shared" si="655"/>
        <v>SISTEMA DE URGÊNCIA E EMERGÊNCIA</v>
      </c>
      <c r="C8014" s="2" t="str">
        <f t="shared" si="656"/>
        <v>ATEND</v>
      </c>
      <c r="D8014" s="2" t="str">
        <f t="shared" si="657"/>
        <v>PAEU</v>
      </c>
      <c r="E8014" s="2" t="s">
        <v>40</v>
      </c>
      <c r="F8014" s="2" t="s">
        <v>41</v>
      </c>
      <c r="G8014" s="2" t="str">
        <f>"R_EST_ATEN_CONV_DEST"</f>
        <v>R_EST_ATEN_CONV_DEST</v>
      </c>
    </row>
    <row r="8015" spans="1:7" x14ac:dyDescent="0.3">
      <c r="A8015" s="1" t="s">
        <v>4</v>
      </c>
      <c r="B8015" s="2" t="str">
        <f t="shared" si="655"/>
        <v>SISTEMA DE URGÊNCIA E EMERGÊNCIA</v>
      </c>
      <c r="C8015" s="2" t="str">
        <f t="shared" si="656"/>
        <v>ATEND</v>
      </c>
      <c r="D8015" s="2" t="str">
        <f t="shared" si="657"/>
        <v>PAEU</v>
      </c>
      <c r="E8015" s="2" t="str">
        <f>"REL ESTAT. DE ATEND. POR CONV X DESTINOS"</f>
        <v>REL ESTAT. DE ATEND. POR CONV X DESTINOS</v>
      </c>
      <c r="F8015" s="2" t="str">
        <f>"R_EST_ATEN_CONV_SERV"</f>
        <v>R_EST_ATEN_CONV_SERV</v>
      </c>
      <c r="G8015" s="2" t="str">
        <f>" ()"</f>
        <v xml:space="preserve"> ()</v>
      </c>
    </row>
    <row r="8016" spans="1:7" x14ac:dyDescent="0.3">
      <c r="A8016" s="1" t="s">
        <v>4</v>
      </c>
      <c r="B8016" s="2" t="str">
        <f t="shared" si="655"/>
        <v>SISTEMA DE URGÊNCIA E EMERGÊNCIA</v>
      </c>
      <c r="C8016" s="2" t="str">
        <f t="shared" si="656"/>
        <v>ATEND</v>
      </c>
      <c r="D8016" s="2" t="str">
        <f t="shared" si="657"/>
        <v>PAEU</v>
      </c>
      <c r="E8016" s="2" t="str">
        <f>"R_ETIQ_URG755"</f>
        <v>R_ETIQ_URG755</v>
      </c>
      <c r="F8016" s="2" t="str">
        <f>"R_ETIQ_URG755"</f>
        <v>R_ETIQ_URG755</v>
      </c>
      <c r="G8016" s="2" t="str">
        <f>" ()"</f>
        <v xml:space="preserve"> ()</v>
      </c>
    </row>
    <row r="8017" spans="1:7" x14ac:dyDescent="0.3">
      <c r="A8017" s="1" t="s">
        <v>4</v>
      </c>
      <c r="B8017" s="2" t="str">
        <f t="shared" si="655"/>
        <v>SISTEMA DE URGÊNCIA E EMERGÊNCIA</v>
      </c>
      <c r="C8017" s="2" t="str">
        <f t="shared" si="656"/>
        <v>ATEND</v>
      </c>
      <c r="D8017" s="2" t="str">
        <f t="shared" si="657"/>
        <v>PAEU</v>
      </c>
      <c r="E8017" s="2" t="str">
        <f>"F_PROCEDIMENTOS_POR_ORIGEM"</f>
        <v>F_PROCEDIMENTOS_POR_ORIGEM</v>
      </c>
      <c r="F8017" s="2" t="str">
        <f>"F_PROCEDIMENTOS_POR_ORIGEM"</f>
        <v>F_PROCEDIMENTOS_POR_ORIGEM</v>
      </c>
      <c r="G8017" s="2" t="str">
        <f>" ()"</f>
        <v xml:space="preserve"> ()</v>
      </c>
    </row>
    <row r="8018" spans="1:7" x14ac:dyDescent="0.3">
      <c r="A8018" s="1" t="s">
        <v>4</v>
      </c>
      <c r="B8018" s="2" t="str">
        <f t="shared" si="655"/>
        <v>SISTEMA DE URGÊNCIA E EMERGÊNCIA</v>
      </c>
      <c r="C8018" s="2" t="str">
        <f t="shared" si="656"/>
        <v>ATEND</v>
      </c>
      <c r="D8018" s="2" t="str">
        <f t="shared" si="657"/>
        <v>PAEU</v>
      </c>
      <c r="E8018" s="2" t="str">
        <f>"R_ETIQUETA_URG750"</f>
        <v>R_ETIQUETA_URG750</v>
      </c>
      <c r="F8018" s="2" t="str">
        <f>"R_ETIQUETA_URG750"</f>
        <v>R_ETIQUETA_URG750</v>
      </c>
      <c r="G8018" s="2" t="str">
        <f>" ()"</f>
        <v xml:space="preserve"> ()</v>
      </c>
    </row>
    <row r="8019" spans="1:7" x14ac:dyDescent="0.3">
      <c r="A8019" s="1" t="s">
        <v>4</v>
      </c>
      <c r="B8019" s="2" t="str">
        <f t="shared" si="655"/>
        <v>SISTEMA DE URGÊNCIA E EMERGÊNCIA</v>
      </c>
      <c r="C8019" s="2" t="str">
        <f t="shared" si="656"/>
        <v>ATEND</v>
      </c>
      <c r="D8019" s="2" t="str">
        <f t="shared" si="657"/>
        <v>PAEU</v>
      </c>
      <c r="E8019" s="2" t="str">
        <f>"RELATÓRIO DE ESCALAS DE MEDICOS DO PA"</f>
        <v>RELATÓRIO DE ESCALAS DE MEDICOS DO PA</v>
      </c>
      <c r="F8019" s="2" t="str">
        <f>"R_ESCALAS_PRESTADOR_PAEU"</f>
        <v>R_ESCALAS_PRESTADOR_PAEU</v>
      </c>
      <c r="G8019" s="2" t="str">
        <f>"Atendimento / Urgência e Emergência / Relatórios / Tabelas / Escalas de Plantão (R_ESCALAS_PRESTADOR_PAEU)"</f>
        <v>Atendimento / Urgência e Emergência / Relatórios / Tabelas / Escalas de Plantão (R_ESCALAS_PRESTADOR_PAEU)</v>
      </c>
    </row>
    <row r="8020" spans="1:7" x14ac:dyDescent="0.3">
      <c r="A8020" s="1" t="s">
        <v>4</v>
      </c>
      <c r="B8020" s="2" t="str">
        <f t="shared" si="655"/>
        <v>SISTEMA DE URGÊNCIA E EMERGÊNCIA</v>
      </c>
      <c r="C8020" s="2" t="str">
        <f t="shared" si="656"/>
        <v>ATEND</v>
      </c>
      <c r="D8020" s="2" t="str">
        <f t="shared" si="657"/>
        <v>PAEU</v>
      </c>
      <c r="E8020" s="2" t="str">
        <f>"TIPOS DE RESULTADOS DE PACIENTE"</f>
        <v>TIPOS DE RESULTADOS DE PACIENTE</v>
      </c>
      <c r="F8020" s="2" t="str">
        <f>"TIP_RESULTADO"</f>
        <v>TIP_RESULTADO</v>
      </c>
      <c r="G8020" s="2" t="str">
        <f>" ()"</f>
        <v xml:space="preserve"> ()</v>
      </c>
    </row>
    <row r="8021" spans="1:7" x14ac:dyDescent="0.3">
      <c r="A8021" s="1" t="s">
        <v>4</v>
      </c>
      <c r="B8021" s="2" t="str">
        <f t="shared" si="655"/>
        <v>SISTEMA DE URGÊNCIA E EMERGÊNCIA</v>
      </c>
      <c r="C8021" s="2" t="str">
        <f t="shared" si="656"/>
        <v>ATEND</v>
      </c>
      <c r="D8021" s="2" t="str">
        <f t="shared" si="657"/>
        <v>PAEU</v>
      </c>
      <c r="E8021" s="2" t="str">
        <f>"R_PACATE_612"</f>
        <v>R_PACATE_612</v>
      </c>
      <c r="F8021" s="2" t="str">
        <f>"R_PACATE_612"</f>
        <v>R_PACATE_612</v>
      </c>
      <c r="G8021" s="2" t="str">
        <f>" ()"</f>
        <v xml:space="preserve"> ()</v>
      </c>
    </row>
    <row r="8022" spans="1:7" x14ac:dyDescent="0.3">
      <c r="A8022" s="1" t="s">
        <v>4</v>
      </c>
      <c r="B8022" s="2" t="str">
        <f t="shared" si="655"/>
        <v>SISTEMA DE URGÊNCIA E EMERGÊNCIA</v>
      </c>
      <c r="C8022" s="2" t="str">
        <f t="shared" si="656"/>
        <v>ATEND</v>
      </c>
      <c r="D8022" s="2" t="str">
        <f t="shared" si="657"/>
        <v>PAEU</v>
      </c>
      <c r="E8022" s="2" t="str">
        <f>"R_ANM_URG"</f>
        <v>R_ANM_URG</v>
      </c>
      <c r="F8022" s="2" t="str">
        <f>"R_ANM_URG"</f>
        <v>R_ANM_URG</v>
      </c>
      <c r="G8022" s="2" t="str">
        <f>" ()"</f>
        <v xml:space="preserve"> ()</v>
      </c>
    </row>
    <row r="8023" spans="1:7" x14ac:dyDescent="0.3">
      <c r="A8023" s="1" t="s">
        <v>4</v>
      </c>
      <c r="B8023" s="2" t="str">
        <f t="shared" si="655"/>
        <v>SISTEMA DE URGÊNCIA E EMERGÊNCIA</v>
      </c>
      <c r="C8023" s="2" t="str">
        <f t="shared" si="656"/>
        <v>ATEND</v>
      </c>
      <c r="D8023" s="2" t="str">
        <f t="shared" si="657"/>
        <v>PAEU</v>
      </c>
      <c r="E8023" s="2" t="str">
        <f>"R_ETIQUETA_ATENDIMENTO_749"</f>
        <v>R_ETIQUETA_ATENDIMENTO_749</v>
      </c>
      <c r="F8023" s="2" t="str">
        <f>"R_ETIQUETA_ATENDIMENTO_749"</f>
        <v>R_ETIQUETA_ATENDIMENTO_749</v>
      </c>
      <c r="G8023" s="2" t="str">
        <f>" ()"</f>
        <v xml:space="preserve"> ()</v>
      </c>
    </row>
    <row r="8024" spans="1:7" x14ac:dyDescent="0.3">
      <c r="A8024" s="1" t="s">
        <v>4</v>
      </c>
      <c r="B8024" s="2" t="str">
        <f t="shared" si="655"/>
        <v>SISTEMA DE URGÊNCIA E EMERGÊNCIA</v>
      </c>
      <c r="C8024" s="2" t="str">
        <f t="shared" si="656"/>
        <v>ATEND</v>
      </c>
      <c r="D8024" s="2" t="str">
        <f t="shared" si="657"/>
        <v>PAEU</v>
      </c>
      <c r="E8024" s="2" t="str">
        <f>"FORAM AVALIZADOS TODO O REPORT E FO"</f>
        <v>FORAM AVALIZADOS TODO O REPORT E FO</v>
      </c>
      <c r="F8024" s="2" t="str">
        <f>"FORAM AVALIZADOS TODO O REPORT E FO"</f>
        <v>FORAM AVALIZADOS TODO O REPORT E FO</v>
      </c>
      <c r="G8024" s="2" t="str">
        <f>" ()"</f>
        <v xml:space="preserve"> ()</v>
      </c>
    </row>
    <row r="8025" spans="1:7" x14ac:dyDescent="0.3">
      <c r="A8025" s="1" t="s">
        <v>4</v>
      </c>
      <c r="B8025" s="2" t="str">
        <f t="shared" si="655"/>
        <v>SISTEMA DE URGÊNCIA E EMERGÊNCIA</v>
      </c>
      <c r="C8025" s="2" t="str">
        <f t="shared" si="656"/>
        <v>ATEND</v>
      </c>
      <c r="D8025" s="2" t="str">
        <f t="shared" si="657"/>
        <v>PAEU</v>
      </c>
      <c r="E8025" s="2" t="str">
        <f>"PROCEDIMENTOS POR ORIGEM"</f>
        <v>PROCEDIMENTOS POR ORIGEM</v>
      </c>
      <c r="F8025" s="2" t="str">
        <f>"F_PROCEDIMENTOS_ORIGEM"</f>
        <v>F_PROCEDIMENTOS_ORIGEM</v>
      </c>
      <c r="G8025" s="2" t="str">
        <f>"Atendimento / Urgência e Emergência / Relatórios / Administrativos / Procedimentos por Origem (F_PROCEDIMENTOS_ORIGEM)"</f>
        <v>Atendimento / Urgência e Emergência / Relatórios / Administrativos / Procedimentos por Origem (F_PROCEDIMENTOS_ORIGEM)</v>
      </c>
    </row>
    <row r="8026" spans="1:7" x14ac:dyDescent="0.3">
      <c r="A8026" s="1" t="s">
        <v>4</v>
      </c>
      <c r="B8026" s="2" t="str">
        <f t="shared" si="655"/>
        <v>SISTEMA DE URGÊNCIA E EMERGÊNCIA</v>
      </c>
      <c r="C8026" s="2" t="str">
        <f t="shared" si="656"/>
        <v>ATEND</v>
      </c>
      <c r="D8026" s="2" t="str">
        <f t="shared" si="657"/>
        <v>PAEU</v>
      </c>
      <c r="E8026" s="2" t="str">
        <f>"ETIQUETA DE MALA DIRETA"</f>
        <v>ETIQUETA DE MALA DIRETA</v>
      </c>
      <c r="F8026" s="2" t="str">
        <f>"R_ETIQUETA_MALA_DIRETA"</f>
        <v>R_ETIQUETA_MALA_DIRETA</v>
      </c>
      <c r="G8026" s="2" t="str">
        <f>"Atendimento / Urgência e Emergência / Relatórios / Administrativos / Etiqueta de Mala Direta (R_ETIQUETA_MALA_DIRETA)"</f>
        <v>Atendimento / Urgência e Emergência / Relatórios / Administrativos / Etiqueta de Mala Direta (R_ETIQUETA_MALA_DIRETA)</v>
      </c>
    </row>
    <row r="8027" spans="1:7" x14ac:dyDescent="0.3">
      <c r="A8027" s="1" t="s">
        <v>4</v>
      </c>
      <c r="B8027" s="2" t="str">
        <f t="shared" si="655"/>
        <v>SISTEMA DE URGÊNCIA E EMERGÊNCIA</v>
      </c>
      <c r="C8027" s="2" t="str">
        <f t="shared" si="656"/>
        <v>ATEND</v>
      </c>
      <c r="D8027" s="2" t="str">
        <f t="shared" si="657"/>
        <v>PAEU</v>
      </c>
      <c r="E8027" s="2" t="str">
        <f>"ETIQUETA DE MALA DIRETA"</f>
        <v>ETIQUETA DE MALA DIRETA</v>
      </c>
      <c r="F8027" s="2" t="str">
        <f>"R_ETIQUETA_MALA_DIRETA"</f>
        <v>R_ETIQUETA_MALA_DIRETA</v>
      </c>
      <c r="G8027" s="2" t="str">
        <f>"Atendimento / Ambulatório / Relatórios / Administrativos / Etiquetas Mala Direta (R_ETIQUETA_MALA_DIRETA)"</f>
        <v>Atendimento / Ambulatório / Relatórios / Administrativos / Etiquetas Mala Direta (R_ETIQUETA_MALA_DIRETA)</v>
      </c>
    </row>
    <row r="8028" spans="1:7" x14ac:dyDescent="0.3">
      <c r="A8028" s="1" t="s">
        <v>4</v>
      </c>
      <c r="B8028" s="2" t="str">
        <f t="shared" si="655"/>
        <v>SISTEMA DE URGÊNCIA E EMERGÊNCIA</v>
      </c>
      <c r="C8028" s="2" t="str">
        <f t="shared" si="656"/>
        <v>ATEND</v>
      </c>
      <c r="D8028" s="2" t="str">
        <f t="shared" si="657"/>
        <v>PAEU</v>
      </c>
      <c r="E8028" s="2" t="str">
        <f>"REGISTRO DE ATENDIMENTO EMERGENCIAL"</f>
        <v>REGISTRO DE ATENDIMENTO EMERGENCIAL</v>
      </c>
      <c r="F8028" s="2" t="str">
        <f>"M_REG_ATE_EMER_860"</f>
        <v>M_REG_ATE_EMER_860</v>
      </c>
      <c r="G8028" s="2" t="str">
        <f>" ()"</f>
        <v xml:space="preserve"> ()</v>
      </c>
    </row>
    <row r="8029" spans="1:7" x14ac:dyDescent="0.3">
      <c r="A8029" s="1" t="s">
        <v>4</v>
      </c>
      <c r="B8029" s="2" t="str">
        <f t="shared" si="655"/>
        <v>SISTEMA DE URGÊNCIA E EMERGÊNCIA</v>
      </c>
      <c r="C8029" s="2" t="str">
        <f t="shared" si="656"/>
        <v>ATEND</v>
      </c>
      <c r="D8029" s="2" t="str">
        <f t="shared" si="657"/>
        <v>PAEU</v>
      </c>
      <c r="E8029" s="2" t="str">
        <f>"EST.  DISTRITO SANITÁRIO X MOTIVO"</f>
        <v>EST.  DISTRITO SANITÁRIO X MOTIVO</v>
      </c>
      <c r="F8029" s="2" t="str">
        <f>"R_EST_DISTRITO_MOTIVO"</f>
        <v>R_EST_DISTRITO_MOTIVO</v>
      </c>
      <c r="G8029" s="2" t="str">
        <f>"Atendimento / Urgência e Emergência / Relatórios / Estatísticos / Atendimentos por / Distrito Sanitário X Motivo de Atendimento (R_EST_DISTRITO_MOTIVO)"</f>
        <v>Atendimento / Urgência e Emergência / Relatórios / Estatísticos / Atendimentos por / Distrito Sanitário X Motivo de Atendimento (R_EST_DISTRITO_MOTIVO)</v>
      </c>
    </row>
    <row r="8030" spans="1:7" x14ac:dyDescent="0.3">
      <c r="A8030" s="1" t="s">
        <v>4</v>
      </c>
      <c r="B8030" s="2" t="str">
        <f t="shared" si="655"/>
        <v>SISTEMA DE URGÊNCIA E EMERGÊNCIA</v>
      </c>
      <c r="C8030" s="2" t="str">
        <f t="shared" si="656"/>
        <v>ATEND</v>
      </c>
      <c r="D8030" s="2" t="str">
        <f t="shared" si="657"/>
        <v>PAEU</v>
      </c>
      <c r="E8030" s="2" t="str">
        <f>"M_ATENDI_SOS_ATUAL"</f>
        <v>M_ATENDI_SOS_ATUAL</v>
      </c>
      <c r="F8030" s="2" t="str">
        <f>"M_ATENDI_SOS_ATUAL"</f>
        <v>M_ATENDI_SOS_ATUAL</v>
      </c>
      <c r="G8030" s="2" t="str">
        <f>" ()"</f>
        <v xml:space="preserve"> ()</v>
      </c>
    </row>
    <row r="8031" spans="1:7" x14ac:dyDescent="0.3">
      <c r="A8031" s="1" t="s">
        <v>4</v>
      </c>
      <c r="B8031" s="2" t="str">
        <f t="shared" si="655"/>
        <v>SISTEMA DE URGÊNCIA E EMERGÊNCIA</v>
      </c>
      <c r="C8031" s="2" t="str">
        <f t="shared" si="656"/>
        <v>ATEND</v>
      </c>
      <c r="D8031" s="2" t="str">
        <f t="shared" si="657"/>
        <v>PAEU</v>
      </c>
      <c r="E8031" s="2" t="str">
        <f>"LEVANTAMENTO DE CONVENIO POR PERIODO"</f>
        <v>LEVANTAMENTO DE CONVENIO POR PERIODO</v>
      </c>
      <c r="F8031" s="2" t="str">
        <f>"R_LEVANTAMENTO_CONVENIO_PER"</f>
        <v>R_LEVANTAMENTO_CONVENIO_PER</v>
      </c>
      <c r="G8031" s="2" t="str">
        <f>" ()"</f>
        <v xml:space="preserve"> ()</v>
      </c>
    </row>
    <row r="8032" spans="1:7" x14ac:dyDescent="0.3">
      <c r="A8032" s="1" t="s">
        <v>4</v>
      </c>
      <c r="B8032" s="2" t="str">
        <f t="shared" si="655"/>
        <v>SISTEMA DE URGÊNCIA E EMERGÊNCIA</v>
      </c>
      <c r="C8032" s="2" t="str">
        <f t="shared" si="656"/>
        <v>ATEND</v>
      </c>
      <c r="D8032" s="2" t="str">
        <f t="shared" si="657"/>
        <v>PAEU</v>
      </c>
      <c r="E8032" s="2" t="str">
        <f>"R_COMP_MOV_HOSP"</f>
        <v>R_COMP_MOV_HOSP</v>
      </c>
      <c r="F8032" s="2" t="str">
        <f>"R_COMP_MOV_HOSP"</f>
        <v>R_COMP_MOV_HOSP</v>
      </c>
      <c r="G8032" s="2" t="str">
        <f>" ()"</f>
        <v xml:space="preserve"> ()</v>
      </c>
    </row>
    <row r="8033" spans="1:7" x14ac:dyDescent="0.3">
      <c r="A8033" s="1" t="s">
        <v>4</v>
      </c>
      <c r="B8033" s="2" t="str">
        <f t="shared" si="655"/>
        <v>SISTEMA DE URGÊNCIA E EMERGÊNCIA</v>
      </c>
      <c r="C8033" s="2" t="str">
        <f t="shared" si="656"/>
        <v>ATEND</v>
      </c>
      <c r="D8033" s="2" t="str">
        <f t="shared" si="657"/>
        <v>PAEU</v>
      </c>
      <c r="E8033" s="2" t="str">
        <f>"ESCOLHA DA EMPRESA DE TRABALHO"</f>
        <v>ESCOLHA DA EMPRESA DE TRABALHO</v>
      </c>
      <c r="F8033" s="2" t="str">
        <f>"ESC_EMP"</f>
        <v>ESC_EMP</v>
      </c>
      <c r="G8033" s="2" t="str">
        <f>" ()"</f>
        <v xml:space="preserve"> ()</v>
      </c>
    </row>
    <row r="8034" spans="1:7" x14ac:dyDescent="0.3">
      <c r="A8034" s="1" t="s">
        <v>4</v>
      </c>
      <c r="B8034" s="2" t="str">
        <f t="shared" si="655"/>
        <v>SISTEMA DE URGÊNCIA E EMERGÊNCIA</v>
      </c>
      <c r="C8034" s="2" t="str">
        <f t="shared" si="656"/>
        <v>ATEND</v>
      </c>
      <c r="D8034" s="2" t="str">
        <f t="shared" si="657"/>
        <v>PAEU</v>
      </c>
      <c r="E8034" s="2" t="str">
        <f>"RELATÓRIO DE ATENDIMENTOS POR PERÍODO"</f>
        <v>RELATÓRIO DE ATENDIMENTOS POR PERÍODO</v>
      </c>
      <c r="F8034" s="2" t="str">
        <f>"R_ATEND_TP_RES"</f>
        <v>R_ATEND_TP_RES</v>
      </c>
      <c r="G8034" s="2" t="str">
        <f>"Atendimento / Urgência e Emergência / Relatórios / Administrativos / Atendimentos por Tipo de Resultados (R_ATEND_TP_RES)"</f>
        <v>Atendimento / Urgência e Emergência / Relatórios / Administrativos / Atendimentos por Tipo de Resultados (R_ATEND_TP_RES)</v>
      </c>
    </row>
    <row r="8035" spans="1:7" x14ac:dyDescent="0.3">
      <c r="A8035" s="1" t="s">
        <v>4</v>
      </c>
      <c r="B8035" s="2" t="str">
        <f t="shared" si="655"/>
        <v>SISTEMA DE URGÊNCIA E EMERGÊNCIA</v>
      </c>
      <c r="C8035" s="2" t="str">
        <f t="shared" si="656"/>
        <v>ATEND</v>
      </c>
      <c r="D8035" s="2" t="str">
        <f t="shared" si="657"/>
        <v>PAEU</v>
      </c>
      <c r="E8035" s="2" t="str">
        <f>"RELATÓRIO DE ATENDIMENTOS POR PERÍODO"</f>
        <v>RELATÓRIO DE ATENDIMENTOS POR PERÍODO</v>
      </c>
      <c r="F8035" s="2" t="str">
        <f>"R_ATENDIMENTOS_TIPO_RESULTADOS"</f>
        <v>R_ATENDIMENTOS_TIPO_RESULTADOS</v>
      </c>
      <c r="G8035" s="2" t="str">
        <f>" ()"</f>
        <v xml:space="preserve"> ()</v>
      </c>
    </row>
    <row r="8036" spans="1:7" x14ac:dyDescent="0.3">
      <c r="A8036" s="1" t="s">
        <v>4</v>
      </c>
      <c r="B8036" s="2" t="str">
        <f t="shared" si="655"/>
        <v>SISTEMA DE URGÊNCIA E EMERGÊNCIA</v>
      </c>
      <c r="C8036" s="2" t="str">
        <f t="shared" si="656"/>
        <v>ATEND</v>
      </c>
      <c r="D8036" s="2" t="str">
        <f t="shared" si="657"/>
        <v>PAEU</v>
      </c>
      <c r="E8036" s="2" t="str">
        <f>"M_CANCELA_DIAGNOSTICO"</f>
        <v>M_CANCELA_DIAGNOSTICO</v>
      </c>
      <c r="F8036" s="2" t="str">
        <f>"M_CANCELA_DIAGNOSTICO"</f>
        <v>M_CANCELA_DIAGNOSTICO</v>
      </c>
      <c r="G8036" s="2" t="str">
        <f>"Atendimento / Urgência e Emergência / Atendimento / Diagnóstico do Atendimento / Cancelamento (M_CANCELA_DIAGNOSTICO)"</f>
        <v>Atendimento / Urgência e Emergência / Atendimento / Diagnóstico do Atendimento / Cancelamento (M_CANCELA_DIAGNOSTICO)</v>
      </c>
    </row>
    <row r="8037" spans="1:7" x14ac:dyDescent="0.3">
      <c r="A8037" s="1" t="s">
        <v>4</v>
      </c>
      <c r="B8037" s="2" t="str">
        <f t="shared" si="655"/>
        <v>SISTEMA DE URGÊNCIA E EMERGÊNCIA</v>
      </c>
      <c r="C8037" s="2" t="str">
        <f t="shared" si="656"/>
        <v>ATEND</v>
      </c>
      <c r="D8037" s="2" t="str">
        <f t="shared" si="657"/>
        <v>PAEU</v>
      </c>
      <c r="E8037" s="2" t="str">
        <f>"CONTROLE DE VISITA"</f>
        <v>CONTROLE DE VISITA</v>
      </c>
      <c r="F8037" s="2" t="str">
        <f>"M_ENCAMINHA_OBSERVACAO"</f>
        <v>M_ENCAMINHA_OBSERVACAO</v>
      </c>
      <c r="G8037" s="2" t="str">
        <f>"Atendimento / Urgência e Emergência / Atendimento / Observação / Encaminhamento (M_ENCAMINHA_OBSERVACAO)"</f>
        <v>Atendimento / Urgência e Emergência / Atendimento / Observação / Encaminhamento (M_ENCAMINHA_OBSERVACAO)</v>
      </c>
    </row>
    <row r="8038" spans="1:7" x14ac:dyDescent="0.3">
      <c r="A8038" s="1" t="s">
        <v>4</v>
      </c>
      <c r="B8038" s="2" t="str">
        <f t="shared" si="655"/>
        <v>SISTEMA DE URGÊNCIA E EMERGÊNCIA</v>
      </c>
      <c r="C8038" s="2" t="str">
        <f t="shared" si="656"/>
        <v>ATEND</v>
      </c>
      <c r="D8038" s="2" t="str">
        <f t="shared" si="657"/>
        <v>PAEU</v>
      </c>
      <c r="E8038" s="2" t="str">
        <f>"CON_ATEND_URG"</f>
        <v>CON_ATEND_URG</v>
      </c>
      <c r="F8038" s="2" t="str">
        <f>"CON_ATEND_URG"</f>
        <v>CON_ATEND_URG</v>
      </c>
      <c r="G8038" s="2" t="str">
        <f>"Atendimento / Urgência e Emergência / Consultas / Pacientes Atendidos na Urgência/Emergência (CON_ATEND_URG)"</f>
        <v>Atendimento / Urgência e Emergência / Consultas / Pacientes Atendidos na Urgência/Emergência (CON_ATEND_URG)</v>
      </c>
    </row>
    <row r="8039" spans="1:7" x14ac:dyDescent="0.3">
      <c r="A8039" s="1" t="s">
        <v>4</v>
      </c>
      <c r="B8039" s="2" t="str">
        <f t="shared" si="655"/>
        <v>SISTEMA DE URGÊNCIA E EMERGÊNCIA</v>
      </c>
      <c r="C8039" s="2" t="str">
        <f t="shared" si="656"/>
        <v>ATEND</v>
      </c>
      <c r="D8039" s="2" t="str">
        <f t="shared" si="657"/>
        <v>PAEU</v>
      </c>
      <c r="E8039" s="2" t="str">
        <f>"REL.EST.ATENDIMENTOS  X CONVÊNIO"</f>
        <v>REL.EST.ATENDIMENTOS  X CONVÊNIO</v>
      </c>
      <c r="F8039" s="2" t="str">
        <f>"R_CONV"</f>
        <v>R_CONV</v>
      </c>
      <c r="G8039" s="2" t="str">
        <f>"Atendimento / Ambulatório / Relatórios / Estatísticos / Atendimentos por Convênio (R_CONV)"</f>
        <v>Atendimento / Ambulatório / Relatórios / Estatísticos / Atendimentos por Convênio (R_CONV)</v>
      </c>
    </row>
    <row r="8040" spans="1:7" x14ac:dyDescent="0.3">
      <c r="A8040" s="1" t="s">
        <v>4</v>
      </c>
      <c r="B8040" s="2" t="str">
        <f t="shared" si="655"/>
        <v>SISTEMA DE URGÊNCIA E EMERGÊNCIA</v>
      </c>
      <c r="C8040" s="2" t="str">
        <f t="shared" si="656"/>
        <v>ATEND</v>
      </c>
      <c r="D8040" s="2" t="str">
        <f t="shared" si="657"/>
        <v>PAEU</v>
      </c>
      <c r="E8040" s="2" t="str">
        <f>"REL.EST.ATENDIMENTOS  X CONVÊNIO"</f>
        <v>REL.EST.ATENDIMENTOS  X CONVÊNIO</v>
      </c>
      <c r="F8040" s="2" t="str">
        <f>"R_CONV"</f>
        <v>R_CONV</v>
      </c>
      <c r="G8040" s="2" t="str">
        <f>"Atendimento / Urgência e Emergência / Relatórios / Estatísticos / Atendimentos por / Convênio (R_CONV)"</f>
        <v>Atendimento / Urgência e Emergência / Relatórios / Estatísticos / Atendimentos por / Convênio (R_CONV)</v>
      </c>
    </row>
    <row r="8041" spans="1:7" x14ac:dyDescent="0.3">
      <c r="A8041" s="1" t="s">
        <v>4</v>
      </c>
      <c r="B8041" s="2" t="str">
        <f t="shared" ref="B8041:B8104" si="661">"SISTEMA DE URGÊNCIA E EMERGÊNCIA"</f>
        <v>SISTEMA DE URGÊNCIA E EMERGÊNCIA</v>
      </c>
      <c r="C8041" s="2" t="str">
        <f t="shared" ref="C8041:C8104" si="662">"ATEND"</f>
        <v>ATEND</v>
      </c>
      <c r="D8041" s="2" t="str">
        <f t="shared" ref="D8041:D8104" si="663">"PAEU"</f>
        <v>PAEU</v>
      </c>
      <c r="E8041" s="2" t="str">
        <f>"REL.EST.ATENDIMENTOS  X CONVÊNIO"</f>
        <v>REL.EST.ATENDIMENTOS  X CONVÊNIO</v>
      </c>
      <c r="F8041" s="2" t="str">
        <f>"R_CONV"</f>
        <v>R_CONV</v>
      </c>
      <c r="G8041" s="2" t="str">
        <f>"Outros / Fusam / Relatórios / Estatísticos / Atendimentos por Convênio (R_CONV)"</f>
        <v>Outros / Fusam / Relatórios / Estatísticos / Atendimentos por Convênio (R_CONV)</v>
      </c>
    </row>
    <row r="8042" spans="1:7" x14ac:dyDescent="0.3">
      <c r="A8042" s="1" t="s">
        <v>4</v>
      </c>
      <c r="B8042" s="2" t="str">
        <f t="shared" si="661"/>
        <v>SISTEMA DE URGÊNCIA E EMERGÊNCIA</v>
      </c>
      <c r="C8042" s="2" t="str">
        <f t="shared" si="662"/>
        <v>ATEND</v>
      </c>
      <c r="D8042" s="2" t="str">
        <f t="shared" si="663"/>
        <v>PAEU</v>
      </c>
      <c r="E8042" s="2" t="str">
        <f>"RELATORIO ESTAT.ATENDIMENTO X CID"</f>
        <v>RELATORIO ESTAT.ATENDIMENTO X CID</v>
      </c>
      <c r="F8042" s="2" t="str">
        <f>"R_CIDP"</f>
        <v>R_CIDP</v>
      </c>
      <c r="G8042" s="2" t="str">
        <f>"Atendimento / Ambulatório / Relatórios / Estatísticos / Atendimentos por CID Principal (R_CIDP)"</f>
        <v>Atendimento / Ambulatório / Relatórios / Estatísticos / Atendimentos por CID Principal (R_CIDP)</v>
      </c>
    </row>
    <row r="8043" spans="1:7" x14ac:dyDescent="0.3">
      <c r="A8043" s="1" t="s">
        <v>4</v>
      </c>
      <c r="B8043" s="2" t="str">
        <f t="shared" si="661"/>
        <v>SISTEMA DE URGÊNCIA E EMERGÊNCIA</v>
      </c>
      <c r="C8043" s="2" t="str">
        <f t="shared" si="662"/>
        <v>ATEND</v>
      </c>
      <c r="D8043" s="2" t="str">
        <f t="shared" si="663"/>
        <v>PAEU</v>
      </c>
      <c r="E8043" s="2" t="str">
        <f>"RELATORIO ESTAT.ATENDIMENTO X CID"</f>
        <v>RELATORIO ESTAT.ATENDIMENTO X CID</v>
      </c>
      <c r="F8043" s="2" t="str">
        <f>"R_CIDP"</f>
        <v>R_CIDP</v>
      </c>
      <c r="G8043" s="2" t="str">
        <f>"Atendimento / Urgência e Emergência / Relatórios / Estatísticos / Atendimentos por / CID Principal (R_CIDP)"</f>
        <v>Atendimento / Urgência e Emergência / Relatórios / Estatísticos / Atendimentos por / CID Principal (R_CIDP)</v>
      </c>
    </row>
    <row r="8044" spans="1:7" x14ac:dyDescent="0.3">
      <c r="A8044" s="1" t="s">
        <v>4</v>
      </c>
      <c r="B8044" s="2" t="str">
        <f t="shared" si="661"/>
        <v>SISTEMA DE URGÊNCIA E EMERGÊNCIA</v>
      </c>
      <c r="C8044" s="2" t="str">
        <f t="shared" si="662"/>
        <v>ATEND</v>
      </c>
      <c r="D8044" s="2" t="str">
        <f t="shared" si="663"/>
        <v>PAEU</v>
      </c>
      <c r="E8044" s="2" t="str">
        <f>"RELATORIO ESTAT.ATENDIMENTO X CID"</f>
        <v>RELATORIO ESTAT.ATENDIMENTO X CID</v>
      </c>
      <c r="F8044" s="2" t="str">
        <f>"R_CIDP"</f>
        <v>R_CIDP</v>
      </c>
      <c r="G8044" s="2" t="str">
        <f>"Outros / Fusam / Relatórios / Estatísticos / Atendimentos por CID Principal (R_CIDP)"</f>
        <v>Outros / Fusam / Relatórios / Estatísticos / Atendimentos por CID Principal (R_CIDP)</v>
      </c>
    </row>
    <row r="8045" spans="1:7" x14ac:dyDescent="0.3">
      <c r="A8045" s="1" t="s">
        <v>4</v>
      </c>
      <c r="B8045" s="2" t="str">
        <f t="shared" si="661"/>
        <v>SISTEMA DE URGÊNCIA E EMERGÊNCIA</v>
      </c>
      <c r="C8045" s="2" t="str">
        <f t="shared" si="662"/>
        <v>ATEND</v>
      </c>
      <c r="D8045" s="2" t="str">
        <f t="shared" si="663"/>
        <v>PAEU</v>
      </c>
      <c r="E8045" s="2" t="str">
        <f t="shared" ref="E8045:E8051" si="664">"REL.EST.ATENDIMEND. X DISTRITO SANITÁRIO"</f>
        <v>REL.EST.ATENDIMEND. X DISTRITO SANITÁRIO</v>
      </c>
      <c r="F8045" s="2" t="str">
        <f t="shared" ref="F8045:F8051" si="665">"R_DIST"</f>
        <v>R_DIST</v>
      </c>
      <c r="G8045" s="2" t="str">
        <f>"Atendimento / Internação / Relatórios / Estatísticos / Atendimentos / Por Distrito Sanitário (R_DIST)"</f>
        <v>Atendimento / Internação / Relatórios / Estatísticos / Atendimentos / Por Distrito Sanitário (R_DIST)</v>
      </c>
    </row>
    <row r="8046" spans="1:7" x14ac:dyDescent="0.3">
      <c r="A8046" s="1" t="s">
        <v>4</v>
      </c>
      <c r="B8046" s="2" t="str">
        <f t="shared" si="661"/>
        <v>SISTEMA DE URGÊNCIA E EMERGÊNCIA</v>
      </c>
      <c r="C8046" s="2" t="str">
        <f t="shared" si="662"/>
        <v>ATEND</v>
      </c>
      <c r="D8046" s="2" t="str">
        <f t="shared" si="663"/>
        <v>PAEU</v>
      </c>
      <c r="E8046" s="2" t="str">
        <f t="shared" si="664"/>
        <v>REL.EST.ATENDIMEND. X DISTRITO SANITÁRIO</v>
      </c>
      <c r="F8046" s="2" t="str">
        <f t="shared" si="665"/>
        <v>R_DIST</v>
      </c>
      <c r="G8046" s="2" t="str">
        <f>"Atendimento / Ambulatório / Relatórios / Estatísticos / Atendimentos por Distrito Sanitário (R_DIST)"</f>
        <v>Atendimento / Ambulatório / Relatórios / Estatísticos / Atendimentos por Distrito Sanitário (R_DIST)</v>
      </c>
    </row>
    <row r="8047" spans="1:7" x14ac:dyDescent="0.3">
      <c r="A8047" s="1" t="s">
        <v>4</v>
      </c>
      <c r="B8047" s="2" t="str">
        <f t="shared" si="661"/>
        <v>SISTEMA DE URGÊNCIA E EMERGÊNCIA</v>
      </c>
      <c r="C8047" s="2" t="str">
        <f t="shared" si="662"/>
        <v>ATEND</v>
      </c>
      <c r="D8047" s="2" t="str">
        <f t="shared" si="663"/>
        <v>PAEU</v>
      </c>
      <c r="E8047" s="2" t="str">
        <f t="shared" si="664"/>
        <v>REL.EST.ATENDIMEND. X DISTRITO SANITÁRIO</v>
      </c>
      <c r="F8047" s="2" t="str">
        <f t="shared" si="665"/>
        <v>R_DIST</v>
      </c>
      <c r="G8047" s="2" t="str">
        <f>"Atendimento / Urgência e Emergência / Relatórios / Estatísticos / Atendimentos por / Distrito Sanitário (R_DIST)"</f>
        <v>Atendimento / Urgência e Emergência / Relatórios / Estatísticos / Atendimentos por / Distrito Sanitário (R_DIST)</v>
      </c>
    </row>
    <row r="8048" spans="1:7" x14ac:dyDescent="0.3">
      <c r="A8048" s="1" t="s">
        <v>4</v>
      </c>
      <c r="B8048" s="2" t="str">
        <f t="shared" si="661"/>
        <v>SISTEMA DE URGÊNCIA E EMERGÊNCIA</v>
      </c>
      <c r="C8048" s="2" t="str">
        <f t="shared" si="662"/>
        <v>ATEND</v>
      </c>
      <c r="D8048" s="2" t="str">
        <f t="shared" si="663"/>
        <v>PAEU</v>
      </c>
      <c r="E8048" s="2" t="str">
        <f t="shared" si="664"/>
        <v>REL.EST.ATENDIMEND. X DISTRITO SANITÁRIO</v>
      </c>
      <c r="F8048" s="2" t="str">
        <f t="shared" si="665"/>
        <v>R_DIST</v>
      </c>
      <c r="G8048" s="2" t="str">
        <f>"Serviços de Apoio / Serviço Arquivo Médico / Relatórios / Estatísticos / Atendimentos / Por Distrito Sanitário (R_DIST)"</f>
        <v>Serviços de Apoio / Serviço Arquivo Médico / Relatórios / Estatísticos / Atendimentos / Por Distrito Sanitário (R_DIST)</v>
      </c>
    </row>
    <row r="8049" spans="1:7" x14ac:dyDescent="0.3">
      <c r="A8049" s="1" t="s">
        <v>4</v>
      </c>
      <c r="B8049" s="2" t="str">
        <f t="shared" si="661"/>
        <v>SISTEMA DE URGÊNCIA E EMERGÊNCIA</v>
      </c>
      <c r="C8049" s="2" t="str">
        <f t="shared" si="662"/>
        <v>ATEND</v>
      </c>
      <c r="D8049" s="2" t="str">
        <f t="shared" si="663"/>
        <v>PAEU</v>
      </c>
      <c r="E8049" s="2" t="str">
        <f t="shared" si="664"/>
        <v>REL.EST.ATENDIMEND. X DISTRITO SANITÁRIO</v>
      </c>
      <c r="F8049" s="2" t="str">
        <f t="shared" si="665"/>
        <v>R_DIST</v>
      </c>
      <c r="G8049" s="2" t="str">
        <f>"MVSaude / Vendas / Internação / Relatórios / Estatísticos / Atendimentos / Por Distrito Sanitário (R_DIST)"</f>
        <v>MVSaude / Vendas / Internação / Relatórios / Estatísticos / Atendimentos / Por Distrito Sanitário (R_DIST)</v>
      </c>
    </row>
    <row r="8050" spans="1:7" x14ac:dyDescent="0.3">
      <c r="A8050" s="1" t="s">
        <v>4</v>
      </c>
      <c r="B8050" s="2" t="str">
        <f t="shared" si="661"/>
        <v>SISTEMA DE URGÊNCIA E EMERGÊNCIA</v>
      </c>
      <c r="C8050" s="2" t="str">
        <f t="shared" si="662"/>
        <v>ATEND</v>
      </c>
      <c r="D8050" s="2" t="str">
        <f t="shared" si="663"/>
        <v>PAEU</v>
      </c>
      <c r="E8050" s="2" t="str">
        <f t="shared" si="664"/>
        <v>REL.EST.ATENDIMEND. X DISTRITO SANITÁRIO</v>
      </c>
      <c r="F8050" s="2" t="str">
        <f t="shared" si="665"/>
        <v>R_DIST</v>
      </c>
      <c r="G8050" s="2" t="str">
        <f>"Outros / Fusam / Relatórios / Estatísticos / Atendimentos por Distríto Sanitário (R_DIST)"</f>
        <v>Outros / Fusam / Relatórios / Estatísticos / Atendimentos por Distríto Sanitário (R_DIST)</v>
      </c>
    </row>
    <row r="8051" spans="1:7" x14ac:dyDescent="0.3">
      <c r="A8051" s="1" t="s">
        <v>4</v>
      </c>
      <c r="B8051" s="2" t="str">
        <f t="shared" si="661"/>
        <v>SISTEMA DE URGÊNCIA E EMERGÊNCIA</v>
      </c>
      <c r="C8051" s="2" t="str">
        <f t="shared" si="662"/>
        <v>ATEND</v>
      </c>
      <c r="D8051" s="2" t="str">
        <f t="shared" si="663"/>
        <v>PAEU</v>
      </c>
      <c r="E8051" s="2" t="str">
        <f t="shared" si="664"/>
        <v>REL.EST.ATENDIMEND. X DISTRITO SANITÁRIO</v>
      </c>
      <c r="F8051" s="2" t="str">
        <f t="shared" si="665"/>
        <v>R_DIST</v>
      </c>
      <c r="G8051" s="2" t="str">
        <f>"MVSaude / Atendimento / Autorizações de Guias / Internação / Relatórios / Estatísticos / Atendimentos / Por Distrito Sanitário (R_DIST)"</f>
        <v>MVSaude / Atendimento / Autorizações de Guias / Internação / Relatórios / Estatísticos / Atendimentos / Por Distrito Sanitário (R_DIST)</v>
      </c>
    </row>
    <row r="8052" spans="1:7" x14ac:dyDescent="0.3">
      <c r="A8052" s="1" t="s">
        <v>4</v>
      </c>
      <c r="B8052" s="2" t="str">
        <f t="shared" si="661"/>
        <v>SISTEMA DE URGÊNCIA E EMERGÊNCIA</v>
      </c>
      <c r="C8052" s="2" t="str">
        <f t="shared" si="662"/>
        <v>ATEND</v>
      </c>
      <c r="D8052" s="2" t="str">
        <f t="shared" si="663"/>
        <v>PAEU</v>
      </c>
      <c r="E8052" s="2" t="str">
        <f>"MOTIVOS DO ATENDIMENTO URGENCIA EMERGENC"</f>
        <v>MOTIVOS DO ATENDIMENTO URGENCIA EMERGENC</v>
      </c>
      <c r="F8052" s="2" t="str">
        <f>"MOTATE"</f>
        <v>MOTATE</v>
      </c>
      <c r="G8052" s="2" t="str">
        <f>"Atendimento / Urgência e Emergência / Tabelas / Motivos do Atendimento (MOTATE)"</f>
        <v>Atendimento / Urgência e Emergência / Tabelas / Motivos do Atendimento (MOTATE)</v>
      </c>
    </row>
    <row r="8053" spans="1:7" x14ac:dyDescent="0.3">
      <c r="A8053" s="1" t="s">
        <v>4</v>
      </c>
      <c r="B8053" s="2" t="str">
        <f t="shared" si="661"/>
        <v>SISTEMA DE URGÊNCIA E EMERGÊNCIA</v>
      </c>
      <c r="C8053" s="2" t="str">
        <f t="shared" si="662"/>
        <v>ATEND</v>
      </c>
      <c r="D8053" s="2" t="str">
        <f t="shared" si="663"/>
        <v>PAEU</v>
      </c>
      <c r="E8053" s="2" t="str">
        <f>"DESTINO DO ATENDIMENTO URGENCIA EMERGENC"</f>
        <v>DESTINO DO ATENDIMENTO URGENCIA EMERGENC</v>
      </c>
      <c r="F8053" s="2" t="str">
        <f>"DESATE"</f>
        <v>DESATE</v>
      </c>
      <c r="G8053" s="2" t="str">
        <f>"Atendimento / Urgência e Emergência / Tabelas / Destino do Atendimento (DESATE)"</f>
        <v>Atendimento / Urgência e Emergência / Tabelas / Destino do Atendimento (DESATE)</v>
      </c>
    </row>
    <row r="8054" spans="1:7" x14ac:dyDescent="0.3">
      <c r="A8054" s="1" t="s">
        <v>4</v>
      </c>
      <c r="B8054" s="2" t="str">
        <f t="shared" si="661"/>
        <v>SISTEMA DE URGÊNCIA E EMERGÊNCIA</v>
      </c>
      <c r="C8054" s="2" t="str">
        <f t="shared" si="662"/>
        <v>ATEND</v>
      </c>
      <c r="D8054" s="2" t="str">
        <f t="shared" si="663"/>
        <v>PAEU</v>
      </c>
      <c r="E8054" s="2" t="str">
        <f>"ALTERAÇÃO DE ATENDIMENTO DE URGÊNCIA"</f>
        <v>ALTERAÇÃO DE ATENDIMENTO DE URGÊNCIA</v>
      </c>
      <c r="F8054" s="2" t="str">
        <f>"ALT_ATEURG"</f>
        <v>ALT_ATEURG</v>
      </c>
      <c r="G8054" s="2" t="str">
        <f>" ()"</f>
        <v xml:space="preserve"> ()</v>
      </c>
    </row>
    <row r="8055" spans="1:7" x14ac:dyDescent="0.3">
      <c r="A8055" s="1" t="s">
        <v>4</v>
      </c>
      <c r="B8055" s="2" t="str">
        <f t="shared" si="661"/>
        <v>SISTEMA DE URGÊNCIA E EMERGÊNCIA</v>
      </c>
      <c r="C8055" s="2" t="str">
        <f t="shared" si="662"/>
        <v>ATEND</v>
      </c>
      <c r="D8055" s="2" t="str">
        <f t="shared" si="663"/>
        <v>PAEU</v>
      </c>
      <c r="E8055" s="2" t="str">
        <f>"R_EST_ATEN_TPRESULTADO"</f>
        <v>R_EST_ATEN_TPRESULTADO</v>
      </c>
      <c r="F8055" s="2" t="str">
        <f>"R_EST_ATEN_TPRESULTADO"</f>
        <v>R_EST_ATEN_TPRESULTADO</v>
      </c>
      <c r="G8055" s="2" t="str">
        <f>"Atendimento / Urgência e Emergência / Relatórios / Estatísticos / Atendimentos por / Tipo de Resultado (R_EST_ATEN_TPRESULTADO)"</f>
        <v>Atendimento / Urgência e Emergência / Relatórios / Estatísticos / Atendimentos por / Tipo de Resultado (R_EST_ATEN_TPRESULTADO)</v>
      </c>
    </row>
    <row r="8056" spans="1:7" x14ac:dyDescent="0.3">
      <c r="A8056" s="1" t="s">
        <v>4</v>
      </c>
      <c r="B8056" s="2" t="str">
        <f t="shared" si="661"/>
        <v>SISTEMA DE URGÊNCIA E EMERGÊNCIA</v>
      </c>
      <c r="C8056" s="2" t="str">
        <f t="shared" si="662"/>
        <v>ATEND</v>
      </c>
      <c r="D8056" s="2" t="str">
        <f t="shared" si="663"/>
        <v>PAEU</v>
      </c>
      <c r="E8056" s="2" t="str">
        <f t="shared" ref="E8056:E8064" si="666">"REL.ATENDIMENTOS POR ORIGEM"</f>
        <v>REL.ATENDIMENTOS POR ORIGEM</v>
      </c>
      <c r="F8056" s="2" t="str">
        <f t="shared" ref="F8056:F8064" si="667">"R_PAC_ATEND"</f>
        <v>R_PAC_ATEND</v>
      </c>
      <c r="G8056" s="2" t="str">
        <f>"MVSaude / Vendas / Internação / Relatórios / Operacionais / Atendimentos / Por Origem (R_PAC_ATEND)"</f>
        <v>MVSaude / Vendas / Internação / Relatórios / Operacionais / Atendimentos / Por Origem (R_PAC_ATEND)</v>
      </c>
    </row>
    <row r="8057" spans="1:7" x14ac:dyDescent="0.3">
      <c r="A8057" s="1" t="s">
        <v>4</v>
      </c>
      <c r="B8057" s="2" t="str">
        <f t="shared" si="661"/>
        <v>SISTEMA DE URGÊNCIA E EMERGÊNCIA</v>
      </c>
      <c r="C8057" s="2" t="str">
        <f t="shared" si="662"/>
        <v>ATEND</v>
      </c>
      <c r="D8057" s="2" t="str">
        <f t="shared" si="663"/>
        <v>PAEU</v>
      </c>
      <c r="E8057" s="2" t="str">
        <f t="shared" si="666"/>
        <v>REL.ATENDIMENTOS POR ORIGEM</v>
      </c>
      <c r="F8057" s="2" t="str">
        <f t="shared" si="667"/>
        <v>R_PAC_ATEND</v>
      </c>
      <c r="G8057" s="2" t="str">
        <f>"Atendimento / Internação / Relatórios / Operacionais / Atendimentos / Por Origem (R_PAC_ATEND)"</f>
        <v>Atendimento / Internação / Relatórios / Operacionais / Atendimentos / Por Origem (R_PAC_ATEND)</v>
      </c>
    </row>
    <row r="8058" spans="1:7" x14ac:dyDescent="0.3">
      <c r="A8058" s="1" t="s">
        <v>4</v>
      </c>
      <c r="B8058" s="2" t="str">
        <f t="shared" si="661"/>
        <v>SISTEMA DE URGÊNCIA E EMERGÊNCIA</v>
      </c>
      <c r="C8058" s="2" t="str">
        <f t="shared" si="662"/>
        <v>ATEND</v>
      </c>
      <c r="D8058" s="2" t="str">
        <f t="shared" si="663"/>
        <v>PAEU</v>
      </c>
      <c r="E8058" s="2" t="str">
        <f t="shared" si="666"/>
        <v>REL.ATENDIMENTOS POR ORIGEM</v>
      </c>
      <c r="F8058" s="2" t="str">
        <f t="shared" si="667"/>
        <v>R_PAC_ATEND</v>
      </c>
      <c r="G8058" s="2" t="str">
        <f>"Atendimento / Ambulatório / Relatórios / Operacionais / Pacientes Atendidos por Origem (R_PAC_ATEND)"</f>
        <v>Atendimento / Ambulatório / Relatórios / Operacionais / Pacientes Atendidos por Origem (R_PAC_ATEND)</v>
      </c>
    </row>
    <row r="8059" spans="1:7" x14ac:dyDescent="0.3">
      <c r="A8059" s="1" t="s">
        <v>4</v>
      </c>
      <c r="B8059" s="2" t="str">
        <f t="shared" si="661"/>
        <v>SISTEMA DE URGÊNCIA E EMERGÊNCIA</v>
      </c>
      <c r="C8059" s="2" t="str">
        <f t="shared" si="662"/>
        <v>ATEND</v>
      </c>
      <c r="D8059" s="2" t="str">
        <f t="shared" si="663"/>
        <v>PAEU</v>
      </c>
      <c r="E8059" s="2" t="str">
        <f t="shared" si="666"/>
        <v>REL.ATENDIMENTOS POR ORIGEM</v>
      </c>
      <c r="F8059" s="2" t="str">
        <f t="shared" si="667"/>
        <v>R_PAC_ATEND</v>
      </c>
      <c r="G8059" s="2" t="str">
        <f>"Controladoria / Tesouraria / Relatórios / Urgência / Emergência / Pacientes Atendidos por Origem (R_PAC_ATEND)"</f>
        <v>Controladoria / Tesouraria / Relatórios / Urgência / Emergência / Pacientes Atendidos por Origem (R_PAC_ATEND)</v>
      </c>
    </row>
    <row r="8060" spans="1:7" x14ac:dyDescent="0.3">
      <c r="A8060" s="1" t="s">
        <v>4</v>
      </c>
      <c r="B8060" s="2" t="str">
        <f t="shared" si="661"/>
        <v>SISTEMA DE URGÊNCIA E EMERGÊNCIA</v>
      </c>
      <c r="C8060" s="2" t="str">
        <f t="shared" si="662"/>
        <v>ATEND</v>
      </c>
      <c r="D8060" s="2" t="str">
        <f t="shared" si="663"/>
        <v>PAEU</v>
      </c>
      <c r="E8060" s="2" t="str">
        <f t="shared" si="666"/>
        <v>REL.ATENDIMENTOS POR ORIGEM</v>
      </c>
      <c r="F8060" s="2" t="str">
        <f t="shared" si="667"/>
        <v>R_PAC_ATEND</v>
      </c>
      <c r="G8060" s="2" t="str">
        <f>"Atendimento / Urgência e Emergência / Relatórios / Administrativos / Pacientes Atendidos por Origem (R_PAC_ATEND)"</f>
        <v>Atendimento / Urgência e Emergência / Relatórios / Administrativos / Pacientes Atendidos por Origem (R_PAC_ATEND)</v>
      </c>
    </row>
    <row r="8061" spans="1:7" x14ac:dyDescent="0.3">
      <c r="A8061" s="1" t="s">
        <v>4</v>
      </c>
      <c r="B8061" s="2" t="str">
        <f t="shared" si="661"/>
        <v>SISTEMA DE URGÊNCIA E EMERGÊNCIA</v>
      </c>
      <c r="C8061" s="2" t="str">
        <f t="shared" si="662"/>
        <v>ATEND</v>
      </c>
      <c r="D8061" s="2" t="str">
        <f t="shared" si="663"/>
        <v>PAEU</v>
      </c>
      <c r="E8061" s="2" t="str">
        <f t="shared" si="666"/>
        <v>REL.ATENDIMENTOS POR ORIGEM</v>
      </c>
      <c r="F8061" s="2" t="str">
        <f t="shared" si="667"/>
        <v>R_PAC_ATEND</v>
      </c>
      <c r="G8061" s="2" t="str">
        <f>"Serviços de Apoio / Serviço Arquivo Médico / Relatórios / Operacionais / Atendimentos / Por Origem (R_PAC_ATEND)"</f>
        <v>Serviços de Apoio / Serviço Arquivo Médico / Relatórios / Operacionais / Atendimentos / Por Origem (R_PAC_ATEND)</v>
      </c>
    </row>
    <row r="8062" spans="1:7" x14ac:dyDescent="0.3">
      <c r="A8062" s="1" t="s">
        <v>4</v>
      </c>
      <c r="B8062" s="2" t="str">
        <f t="shared" si="661"/>
        <v>SISTEMA DE URGÊNCIA E EMERGÊNCIA</v>
      </c>
      <c r="C8062" s="2" t="str">
        <f t="shared" si="662"/>
        <v>ATEND</v>
      </c>
      <c r="D8062" s="2" t="str">
        <f t="shared" si="663"/>
        <v>PAEU</v>
      </c>
      <c r="E8062" s="2" t="str">
        <f t="shared" si="666"/>
        <v>REL.ATENDIMENTOS POR ORIGEM</v>
      </c>
      <c r="F8062" s="2" t="str">
        <f t="shared" si="667"/>
        <v>R_PAC_ATEND</v>
      </c>
      <c r="G8062" s="2" t="str">
        <f>"Atendimento / Internação Domiciliar (Home Care) / Relatórios / Operacionais / Atendimentos por Origem (R_PAC_ATEND)"</f>
        <v>Atendimento / Internação Domiciliar (Home Care) / Relatórios / Operacionais / Atendimentos por Origem (R_PAC_ATEND)</v>
      </c>
    </row>
    <row r="8063" spans="1:7" x14ac:dyDescent="0.3">
      <c r="A8063" s="1" t="s">
        <v>4</v>
      </c>
      <c r="B8063" s="2" t="str">
        <f t="shared" si="661"/>
        <v>SISTEMA DE URGÊNCIA E EMERGÊNCIA</v>
      </c>
      <c r="C8063" s="2" t="str">
        <f t="shared" si="662"/>
        <v>ATEND</v>
      </c>
      <c r="D8063" s="2" t="str">
        <f t="shared" si="663"/>
        <v>PAEU</v>
      </c>
      <c r="E8063" s="2" t="str">
        <f t="shared" si="666"/>
        <v>REL.ATENDIMENTOS POR ORIGEM</v>
      </c>
      <c r="F8063" s="2" t="str">
        <f t="shared" si="667"/>
        <v>R_PAC_ATEND</v>
      </c>
      <c r="G8063" s="2" t="str">
        <f>"Outros / Fusam / Relatórios / Operacionais / Pacientes Atendidos por Origem (R_PAC_ATEND)"</f>
        <v>Outros / Fusam / Relatórios / Operacionais / Pacientes Atendidos por Origem (R_PAC_ATEND)</v>
      </c>
    </row>
    <row r="8064" spans="1:7" x14ac:dyDescent="0.3">
      <c r="A8064" s="1" t="s">
        <v>4</v>
      </c>
      <c r="B8064" s="2" t="str">
        <f t="shared" si="661"/>
        <v>SISTEMA DE URGÊNCIA E EMERGÊNCIA</v>
      </c>
      <c r="C8064" s="2" t="str">
        <f t="shared" si="662"/>
        <v>ATEND</v>
      </c>
      <c r="D8064" s="2" t="str">
        <f t="shared" si="663"/>
        <v>PAEU</v>
      </c>
      <c r="E8064" s="2" t="str">
        <f t="shared" si="666"/>
        <v>REL.ATENDIMENTOS POR ORIGEM</v>
      </c>
      <c r="F8064" s="2" t="str">
        <f t="shared" si="667"/>
        <v>R_PAC_ATEND</v>
      </c>
      <c r="G8064" s="2" t="str">
        <f>"MVSaude / Atendimento / Autorizações de Guias / Internação / Relatórios / Operacionais / Atendimentos / Por Origem (R_PAC_ATEND)"</f>
        <v>MVSaude / Atendimento / Autorizações de Guias / Internação / Relatórios / Operacionais / Atendimentos / Por Origem (R_PAC_ATEND)</v>
      </c>
    </row>
    <row r="8065" spans="1:7" x14ac:dyDescent="0.3">
      <c r="A8065" s="1" t="s">
        <v>4</v>
      </c>
      <c r="B8065" s="2" t="str">
        <f t="shared" si="661"/>
        <v>SISTEMA DE URGÊNCIA E EMERGÊNCIA</v>
      </c>
      <c r="C8065" s="2" t="str">
        <f t="shared" si="662"/>
        <v>ATEND</v>
      </c>
      <c r="D8065" s="2" t="str">
        <f t="shared" si="663"/>
        <v>PAEU</v>
      </c>
      <c r="E8065" s="2" t="str">
        <f>"CADASTRO DE LOCAIS DE PROCEDÊNCIA"</f>
        <v>CADASTRO DE LOCAIS DE PROCEDÊNCIA</v>
      </c>
      <c r="F8065" s="2" t="str">
        <f>"M_LOC_PROC"</f>
        <v>M_LOC_PROC</v>
      </c>
      <c r="G8065" s="2" t="str">
        <f>"Atendimento / Urgência e Emergência / Tabelas / Locais de Procedência (M_LOC_PROC)"</f>
        <v>Atendimento / Urgência e Emergência / Tabelas / Locais de Procedência (M_LOC_PROC)</v>
      </c>
    </row>
    <row r="8066" spans="1:7" x14ac:dyDescent="0.3">
      <c r="A8066" s="1" t="s">
        <v>4</v>
      </c>
      <c r="B8066" s="2" t="str">
        <f t="shared" si="661"/>
        <v>SISTEMA DE URGÊNCIA E EMERGÊNCIA</v>
      </c>
      <c r="C8066" s="2" t="str">
        <f t="shared" si="662"/>
        <v>ATEND</v>
      </c>
      <c r="D8066" s="2" t="str">
        <f t="shared" si="663"/>
        <v>PAEU</v>
      </c>
      <c r="E8066" s="2" t="str">
        <f>"RELATÓRIO ESTATÍSTICO DE ALTAS"</f>
        <v>RELATÓRIO ESTATÍSTICO DE ALTAS</v>
      </c>
      <c r="F8066" s="2" t="str">
        <f>"R_EST_CONVENIO_DESTINO"</f>
        <v>R_EST_CONVENIO_DESTINO</v>
      </c>
      <c r="G8066" s="2" t="str">
        <f>" ()"</f>
        <v xml:space="preserve"> ()</v>
      </c>
    </row>
    <row r="8067" spans="1:7" x14ac:dyDescent="0.3">
      <c r="A8067" s="1" t="s">
        <v>4</v>
      </c>
      <c r="B8067" s="2" t="str">
        <f t="shared" si="661"/>
        <v>SISTEMA DE URGÊNCIA E EMERGÊNCIA</v>
      </c>
      <c r="C8067" s="2" t="str">
        <f t="shared" si="662"/>
        <v>ATEND</v>
      </c>
      <c r="D8067" s="2" t="str">
        <f t="shared" si="663"/>
        <v>PAEU</v>
      </c>
      <c r="E8067" s="2" t="str">
        <f>"GRÁFICO DE PIZZA PADRAO"</f>
        <v>GRÁFICO DE PIZZA PADRAO</v>
      </c>
      <c r="F8067" s="2" t="str">
        <f>"G_PIZZA"</f>
        <v>G_PIZZA</v>
      </c>
      <c r="G8067" s="2" t="str">
        <f>" ()"</f>
        <v xml:space="preserve"> ()</v>
      </c>
    </row>
    <row r="8068" spans="1:7" x14ac:dyDescent="0.3">
      <c r="A8068" s="1" t="s">
        <v>4</v>
      </c>
      <c r="B8068" s="2" t="str">
        <f t="shared" si="661"/>
        <v>SISTEMA DE URGÊNCIA E EMERGÊNCIA</v>
      </c>
      <c r="C8068" s="2" t="str">
        <f t="shared" si="662"/>
        <v>ATEND</v>
      </c>
      <c r="D8068" s="2" t="str">
        <f t="shared" si="663"/>
        <v>PAEU</v>
      </c>
      <c r="E8068" s="2" t="str">
        <f>"RELATORIO DESTINO DE ATENDIMENTO"</f>
        <v>RELATORIO DESTINO DE ATENDIMENTO</v>
      </c>
      <c r="F8068" s="2" t="str">
        <f>"R_DESATE"</f>
        <v>R_DESATE</v>
      </c>
      <c r="G8068" s="2" t="str">
        <f>"Atendimento / Urgência e Emergência / Relatórios / Tabelas / Destino do Atendimento (R_DESATE)"</f>
        <v>Atendimento / Urgência e Emergência / Relatórios / Tabelas / Destino do Atendimento (R_DESATE)</v>
      </c>
    </row>
    <row r="8069" spans="1:7" x14ac:dyDescent="0.3">
      <c r="A8069" s="1" t="s">
        <v>4</v>
      </c>
      <c r="B8069" s="2" t="str">
        <f t="shared" si="661"/>
        <v>SISTEMA DE URGÊNCIA E EMERGÊNCIA</v>
      </c>
      <c r="C8069" s="2" t="str">
        <f t="shared" si="662"/>
        <v>ATEND</v>
      </c>
      <c r="D8069" s="2" t="str">
        <f t="shared" si="663"/>
        <v>PAEU</v>
      </c>
      <c r="E8069" s="2" t="str">
        <f>"CLASSIFICAÇÃO DE RISCO - URGÊNCIA"</f>
        <v>CLASSIFICAÇÃO DE RISCO - URGÊNCIA</v>
      </c>
      <c r="F8069" s="2" t="str">
        <f>"M_ATEND_C_RISCO"</f>
        <v>M_ATEND_C_RISCO</v>
      </c>
      <c r="G8069" s="2" t="str">
        <f>"Atendimento / Urgência e Emergência / Atendimento / Pré-Atendimento / Classificação de Risco (M_ATEND_C_RISCO)"</f>
        <v>Atendimento / Urgência e Emergência / Atendimento / Pré-Atendimento / Classificação de Risco (M_ATEND_C_RISCO)</v>
      </c>
    </row>
    <row r="8070" spans="1:7" x14ac:dyDescent="0.3">
      <c r="A8070" s="1" t="s">
        <v>4</v>
      </c>
      <c r="B8070" s="2" t="str">
        <f t="shared" si="661"/>
        <v>SISTEMA DE URGÊNCIA E EMERGÊNCIA</v>
      </c>
      <c r="C8070" s="2" t="str">
        <f t="shared" si="662"/>
        <v>ATEND</v>
      </c>
      <c r="D8070" s="2" t="str">
        <f t="shared" si="663"/>
        <v>PAEU</v>
      </c>
      <c r="E8070" s="2" t="str">
        <f>"R_REG_REJEITADO_451"</f>
        <v>R_REG_REJEITADO_451</v>
      </c>
      <c r="F8070" s="2" t="str">
        <f>"R_REG_REJEITADO_451"</f>
        <v>R_REG_REJEITADO_451</v>
      </c>
      <c r="G8070" s="2" t="str">
        <f>" ()"</f>
        <v xml:space="preserve"> ()</v>
      </c>
    </row>
    <row r="8071" spans="1:7" x14ac:dyDescent="0.3">
      <c r="A8071" s="1" t="s">
        <v>4</v>
      </c>
      <c r="B8071" s="2" t="str">
        <f t="shared" si="661"/>
        <v>SISTEMA DE URGÊNCIA E EMERGÊNCIA</v>
      </c>
      <c r="C8071" s="2" t="str">
        <f t="shared" si="662"/>
        <v>ATEND</v>
      </c>
      <c r="D8071" s="2" t="str">
        <f t="shared" si="663"/>
        <v>PAEU</v>
      </c>
      <c r="E8071" s="2" t="str">
        <f>"ADMED"</f>
        <v>ADMED</v>
      </c>
      <c r="F8071" s="2" t="str">
        <f>"ADMED"</f>
        <v>ADMED</v>
      </c>
      <c r="G8071" s="2" t="str">
        <f>" ()"</f>
        <v xml:space="preserve"> ()</v>
      </c>
    </row>
    <row r="8072" spans="1:7" x14ac:dyDescent="0.3">
      <c r="A8072" s="1" t="s">
        <v>4</v>
      </c>
      <c r="B8072" s="2" t="str">
        <f t="shared" si="661"/>
        <v>SISTEMA DE URGÊNCIA E EMERGÊNCIA</v>
      </c>
      <c r="C8072" s="2" t="str">
        <f t="shared" si="662"/>
        <v>ATEND</v>
      </c>
      <c r="D8072" s="2" t="str">
        <f t="shared" si="663"/>
        <v>PAEU</v>
      </c>
      <c r="E8072" s="2" t="str">
        <f>"FICHA DA TRIAGEM - EMERGÊNCIA"</f>
        <v>FICHA DA TRIAGEM - EMERGÊNCIA</v>
      </c>
      <c r="F8072" s="2" t="str">
        <f>"R_TRIAGEM"</f>
        <v>R_TRIAGEM</v>
      </c>
      <c r="G8072" s="2" t="str">
        <f>" ()"</f>
        <v xml:space="preserve"> ()</v>
      </c>
    </row>
    <row r="8073" spans="1:7" x14ac:dyDescent="0.3">
      <c r="A8073" s="1" t="s">
        <v>4</v>
      </c>
      <c r="B8073" s="2" t="str">
        <f t="shared" si="661"/>
        <v>SISTEMA DE URGÊNCIA E EMERGÊNCIA</v>
      </c>
      <c r="C8073" s="2" t="str">
        <f t="shared" si="662"/>
        <v>ATEND</v>
      </c>
      <c r="D8073" s="2" t="str">
        <f t="shared" si="663"/>
        <v>PAEU</v>
      </c>
      <c r="E8073" s="2" t="str">
        <f>"ANAMNESE DA URGÊNCIA/EMERGÊNCIA"</f>
        <v>ANAMNESE DA URGÊNCIA/EMERGÊNCIA</v>
      </c>
      <c r="F8073" s="2" t="str">
        <f>"R_ANM_PAEU_900"</f>
        <v>R_ANM_PAEU_900</v>
      </c>
      <c r="G8073" s="2" t="str">
        <f>" ()"</f>
        <v xml:space="preserve"> ()</v>
      </c>
    </row>
    <row r="8074" spans="1:7" x14ac:dyDescent="0.3">
      <c r="A8074" s="1" t="s">
        <v>4</v>
      </c>
      <c r="B8074" s="2" t="str">
        <f t="shared" si="661"/>
        <v>SISTEMA DE URGÊNCIA E EMERGÊNCIA</v>
      </c>
      <c r="C8074" s="2" t="str">
        <f t="shared" si="662"/>
        <v>ATEND</v>
      </c>
      <c r="D8074" s="2" t="str">
        <f t="shared" si="663"/>
        <v>PAEU</v>
      </c>
      <c r="E8074" s="2" t="str">
        <f>"CENSO HOSPITALAR - HOSPITAL MV SISTEMAS"</f>
        <v>CENSO HOSPITALAR - HOSPITAL MV SISTEMAS</v>
      </c>
      <c r="F8074" s="2" t="str">
        <f>"R_CENSO_PAEU"</f>
        <v>R_CENSO_PAEU</v>
      </c>
      <c r="G8074" s="2" t="str">
        <f>"Atendimento / Urgência e Emergência / Relatórios / Operacionais / Censo de Urgência e Emergência (R_CENSO_PAEU)"</f>
        <v>Atendimento / Urgência e Emergência / Relatórios / Operacionais / Censo de Urgência e Emergência (R_CENSO_PAEU)</v>
      </c>
    </row>
    <row r="8075" spans="1:7" x14ac:dyDescent="0.3">
      <c r="A8075" s="1" t="s">
        <v>4</v>
      </c>
      <c r="B8075" s="2" t="str">
        <f t="shared" si="661"/>
        <v>SISTEMA DE URGÊNCIA E EMERGÊNCIA</v>
      </c>
      <c r="C8075" s="2" t="str">
        <f t="shared" si="662"/>
        <v>ATEND</v>
      </c>
      <c r="D8075" s="2" t="str">
        <f t="shared" si="663"/>
        <v>PAEU</v>
      </c>
      <c r="E8075" s="2" t="str">
        <f>"RELATÓRIO DE TIPOS DE SITUAÇÃO"</f>
        <v>RELATÓRIO DE TIPOS DE SITUAÇÃO</v>
      </c>
      <c r="F8075" s="2" t="str">
        <f>"R_TIPO_SITUACAO"</f>
        <v>R_TIPO_SITUACAO</v>
      </c>
      <c r="G8075" s="2" t="str">
        <f>"Atendimento / Ambulatório / Relatórios / Tabelas / Tipos de Situação (R_TIPO_SITUACAO)"</f>
        <v>Atendimento / Ambulatório / Relatórios / Tabelas / Tipos de Situação (R_TIPO_SITUACAO)</v>
      </c>
    </row>
    <row r="8076" spans="1:7" x14ac:dyDescent="0.3">
      <c r="A8076" s="1" t="s">
        <v>4</v>
      </c>
      <c r="B8076" s="2" t="str">
        <f t="shared" si="661"/>
        <v>SISTEMA DE URGÊNCIA E EMERGÊNCIA</v>
      </c>
      <c r="C8076" s="2" t="str">
        <f t="shared" si="662"/>
        <v>ATEND</v>
      </c>
      <c r="D8076" s="2" t="str">
        <f t="shared" si="663"/>
        <v>PAEU</v>
      </c>
      <c r="E8076" s="2" t="str">
        <f>"RELATÓRIO DE TIPOS DE SITUAÇÃO"</f>
        <v>RELATÓRIO DE TIPOS DE SITUAÇÃO</v>
      </c>
      <c r="F8076" s="2" t="str">
        <f>"R_TIPO_SITUACAO"</f>
        <v>R_TIPO_SITUACAO</v>
      </c>
      <c r="G8076" s="2" t="str">
        <f>"Atendimento / Urgência e Emergência / Relatórios / Tabelas / Tipos de Situação (R_TIPO_SITUACAO)"</f>
        <v>Atendimento / Urgência e Emergência / Relatórios / Tabelas / Tipos de Situação (R_TIPO_SITUACAO)</v>
      </c>
    </row>
    <row r="8077" spans="1:7" x14ac:dyDescent="0.3">
      <c r="A8077" s="1" t="s">
        <v>4</v>
      </c>
      <c r="B8077" s="2" t="str">
        <f t="shared" si="661"/>
        <v>SISTEMA DE URGÊNCIA E EMERGÊNCIA</v>
      </c>
      <c r="C8077" s="2" t="str">
        <f t="shared" si="662"/>
        <v>ATEND</v>
      </c>
      <c r="D8077" s="2" t="str">
        <f t="shared" si="663"/>
        <v>PAEU</v>
      </c>
      <c r="E8077" s="2" t="str">
        <f>"RELATÓRIO DE ATENDIMENTOS POR PERÍODO"</f>
        <v>RELATÓRIO DE ATENDIMENTOS POR PERÍODO</v>
      </c>
      <c r="F8077" s="2" t="str">
        <f>"R_LISTA_ATENDE_PERIODO"</f>
        <v>R_LISTA_ATENDE_PERIODO</v>
      </c>
      <c r="G8077" s="2" t="str">
        <f>"MVSaude / Vendas / Internação / Relatórios / Operacionais / Atendimentos / Por Período (R_LISTA_ATENDE_PERIODO)"</f>
        <v>MVSaude / Vendas / Internação / Relatórios / Operacionais / Atendimentos / Por Período (R_LISTA_ATENDE_PERIODO)</v>
      </c>
    </row>
    <row r="8078" spans="1:7" x14ac:dyDescent="0.3">
      <c r="A8078" s="1" t="s">
        <v>4</v>
      </c>
      <c r="B8078" s="2" t="str">
        <f t="shared" si="661"/>
        <v>SISTEMA DE URGÊNCIA E EMERGÊNCIA</v>
      </c>
      <c r="C8078" s="2" t="str">
        <f t="shared" si="662"/>
        <v>ATEND</v>
      </c>
      <c r="D8078" s="2" t="str">
        <f t="shared" si="663"/>
        <v>PAEU</v>
      </c>
      <c r="E8078" s="2" t="str">
        <f>"RELATÓRIO DE ATENDIMENTOS POR PERÍODO"</f>
        <v>RELATÓRIO DE ATENDIMENTOS POR PERÍODO</v>
      </c>
      <c r="F8078" s="2" t="str">
        <f>"R_LISTA_ATENDE_PERIODO"</f>
        <v>R_LISTA_ATENDE_PERIODO</v>
      </c>
      <c r="G8078" s="2" t="str">
        <f>"Atendimento / Internação / Relatórios / Operacionais / Atendimentos / Por Período (R_LISTA_ATENDE_PERIODO)"</f>
        <v>Atendimento / Internação / Relatórios / Operacionais / Atendimentos / Por Período (R_LISTA_ATENDE_PERIODO)</v>
      </c>
    </row>
    <row r="8079" spans="1:7" x14ac:dyDescent="0.3">
      <c r="A8079" s="1" t="s">
        <v>4</v>
      </c>
      <c r="B8079" s="2" t="str">
        <f t="shared" si="661"/>
        <v>SISTEMA DE URGÊNCIA E EMERGÊNCIA</v>
      </c>
      <c r="C8079" s="2" t="str">
        <f t="shared" si="662"/>
        <v>ATEND</v>
      </c>
      <c r="D8079" s="2" t="str">
        <f t="shared" si="663"/>
        <v>PAEU</v>
      </c>
      <c r="E8079" s="2" t="str">
        <f>"RELATÓRIO DE ATENDIMENTOS POR PERÍODO"</f>
        <v>RELATÓRIO DE ATENDIMENTOS POR PERÍODO</v>
      </c>
      <c r="F8079" s="2" t="str">
        <f>"R_LISTA_ATENDE_PERIODO"</f>
        <v>R_LISTA_ATENDE_PERIODO</v>
      </c>
      <c r="G8079" s="2" t="str">
        <f>"Atendimento / Ambulatório / Relatórios / Operacionais / Atendimentos por Período (R_LISTA_ATENDE_PERIODO)"</f>
        <v>Atendimento / Ambulatório / Relatórios / Operacionais / Atendimentos por Período (R_LISTA_ATENDE_PERIODO)</v>
      </c>
    </row>
    <row r="8080" spans="1:7" x14ac:dyDescent="0.3">
      <c r="A8080" s="1" t="s">
        <v>4</v>
      </c>
      <c r="B8080" s="2" t="str">
        <f t="shared" si="661"/>
        <v>SISTEMA DE URGÊNCIA E EMERGÊNCIA</v>
      </c>
      <c r="C8080" s="2" t="str">
        <f t="shared" si="662"/>
        <v>ATEND</v>
      </c>
      <c r="D8080" s="2" t="str">
        <f t="shared" si="663"/>
        <v>PAEU</v>
      </c>
      <c r="E8080" s="2" t="str">
        <f>"RELATÓRIO DE ATENDIMENTOS POR PERÍODO"</f>
        <v>RELATÓRIO DE ATENDIMENTOS POR PERÍODO</v>
      </c>
      <c r="F8080" s="2" t="str">
        <f>"R_LISTA_ATENDE_PERIODO"</f>
        <v>R_LISTA_ATENDE_PERIODO</v>
      </c>
      <c r="G8080" s="2" t="str">
        <f>"Atendimento / Urgência e Emergência / Relatórios / Administrativos / Atendimentos por Período (R_LISTA_ATENDE_PERIODO)"</f>
        <v>Atendimento / Urgência e Emergência / Relatórios / Administrativos / Atendimentos por Período (R_LISTA_ATENDE_PERIODO)</v>
      </c>
    </row>
    <row r="8081" spans="1:7" x14ac:dyDescent="0.3">
      <c r="A8081" s="1" t="s">
        <v>4</v>
      </c>
      <c r="B8081" s="2" t="str">
        <f t="shared" si="661"/>
        <v>SISTEMA DE URGÊNCIA E EMERGÊNCIA</v>
      </c>
      <c r="C8081" s="2" t="str">
        <f t="shared" si="662"/>
        <v>ATEND</v>
      </c>
      <c r="D8081" s="2" t="str">
        <f t="shared" si="663"/>
        <v>PAEU</v>
      </c>
      <c r="E8081" s="2" t="str">
        <f>"RELATÓRIO DE ATENDIMENTOS POR PERÍODO"</f>
        <v>RELATÓRIO DE ATENDIMENTOS POR PERÍODO</v>
      </c>
      <c r="F8081" s="2" t="str">
        <f>"R_LISTA_ATENDE_PERIODO"</f>
        <v>R_LISTA_ATENDE_PERIODO</v>
      </c>
      <c r="G8081" s="2" t="str">
        <f>"MVSaude / Atendimento / Autorizações de Guias / Internação / Relatórios / Operacionais / Atendimentos / Por Período (R_LISTA_ATENDE_PERIODO)"</f>
        <v>MVSaude / Atendimento / Autorizações de Guias / Internação / Relatórios / Operacionais / Atendimentos / Por Período (R_LISTA_ATENDE_PERIODO)</v>
      </c>
    </row>
    <row r="8082" spans="1:7" x14ac:dyDescent="0.3">
      <c r="A8082" s="1" t="s">
        <v>4</v>
      </c>
      <c r="B8082" s="2" t="str">
        <f t="shared" si="661"/>
        <v>SISTEMA DE URGÊNCIA E EMERGÊNCIA</v>
      </c>
      <c r="C8082" s="2" t="str">
        <f t="shared" si="662"/>
        <v>ATEND</v>
      </c>
      <c r="D8082" s="2" t="str">
        <f t="shared" si="663"/>
        <v>PAEU</v>
      </c>
      <c r="E8082" s="2" t="str">
        <f>"CONFIGURAÇÃO: DADOS DA IMPORTAÇÃO"</f>
        <v>CONFIGURAÇÃO: DADOS DA IMPORTAÇÃO</v>
      </c>
      <c r="F8082" s="2" t="str">
        <f>"M_CONFIG_IMPORTACAO"</f>
        <v>M_CONFIG_IMPORTACAO</v>
      </c>
      <c r="G8082" s="2" t="str">
        <f t="shared" ref="G8082:G8091" si="668">" ()"</f>
        <v xml:space="preserve"> ()</v>
      </c>
    </row>
    <row r="8083" spans="1:7" x14ac:dyDescent="0.3">
      <c r="A8083" s="1" t="s">
        <v>4</v>
      </c>
      <c r="B8083" s="2" t="str">
        <f t="shared" si="661"/>
        <v>SISTEMA DE URGÊNCIA E EMERGÊNCIA</v>
      </c>
      <c r="C8083" s="2" t="str">
        <f t="shared" si="662"/>
        <v>ATEND</v>
      </c>
      <c r="D8083" s="2" t="str">
        <f t="shared" si="663"/>
        <v>PAEU</v>
      </c>
      <c r="E8083" s="2" t="str">
        <f>"M_PRESTADOR_UC_451.FMX"</f>
        <v>M_PRESTADOR_UC_451.FMX</v>
      </c>
      <c r="F8083" s="2" t="str">
        <f>"M_PRESTADOR_UC_451.FMX"</f>
        <v>M_PRESTADOR_UC_451.FMX</v>
      </c>
      <c r="G8083" s="2" t="str">
        <f t="shared" si="668"/>
        <v xml:space="preserve"> ()</v>
      </c>
    </row>
    <row r="8084" spans="1:7" x14ac:dyDescent="0.3">
      <c r="A8084" s="1" t="s">
        <v>4</v>
      </c>
      <c r="B8084" s="2" t="str">
        <f t="shared" si="661"/>
        <v>SISTEMA DE URGÊNCIA E EMERGÊNCIA</v>
      </c>
      <c r="C8084" s="2" t="str">
        <f t="shared" si="662"/>
        <v>ATEND</v>
      </c>
      <c r="D8084" s="2" t="str">
        <f t="shared" si="663"/>
        <v>PAEU</v>
      </c>
      <c r="E8084" s="2" t="str">
        <f>"M_CONVENIO_PLANO_UC_451.FMX"</f>
        <v>M_CONVENIO_PLANO_UC_451.FMX</v>
      </c>
      <c r="F8084" s="2" t="str">
        <f>"M_CONVENIO_PLANO_UC_451.FMX"</f>
        <v>M_CONVENIO_PLANO_UC_451.FMX</v>
      </c>
      <c r="G8084" s="2" t="str">
        <f t="shared" si="668"/>
        <v xml:space="preserve"> ()</v>
      </c>
    </row>
    <row r="8085" spans="1:7" x14ac:dyDescent="0.3">
      <c r="A8085" s="1" t="s">
        <v>4</v>
      </c>
      <c r="B8085" s="2" t="str">
        <f t="shared" si="661"/>
        <v>SISTEMA DE URGÊNCIA E EMERGÊNCIA</v>
      </c>
      <c r="C8085" s="2" t="str">
        <f t="shared" si="662"/>
        <v>ATEND</v>
      </c>
      <c r="D8085" s="2" t="str">
        <f t="shared" si="663"/>
        <v>PAEU</v>
      </c>
      <c r="E8085" s="2" t="str">
        <f>"M_TABELA_IMPORTACAO_451.FMX"</f>
        <v>M_TABELA_IMPORTACAO_451.FMX</v>
      </c>
      <c r="F8085" s="2" t="str">
        <f>"M_TABELA_IMPORTACAO_451.FMX"</f>
        <v>M_TABELA_IMPORTACAO_451.FMX</v>
      </c>
      <c r="G8085" s="2" t="str">
        <f t="shared" si="668"/>
        <v xml:space="preserve"> ()</v>
      </c>
    </row>
    <row r="8086" spans="1:7" x14ac:dyDescent="0.3">
      <c r="A8086" s="1" t="s">
        <v>4</v>
      </c>
      <c r="B8086" s="2" t="str">
        <f t="shared" si="661"/>
        <v>SISTEMA DE URGÊNCIA E EMERGÊNCIA</v>
      </c>
      <c r="C8086" s="2" t="str">
        <f t="shared" si="662"/>
        <v>ATEND</v>
      </c>
      <c r="D8086" s="2" t="str">
        <f t="shared" si="663"/>
        <v>PAEU</v>
      </c>
      <c r="E8086" s="2" t="str">
        <f>"M_CONFIG_IMPORTACAO_451.FMX"</f>
        <v>M_CONFIG_IMPORTACAO_451.FMX</v>
      </c>
      <c r="F8086" s="2" t="str">
        <f>"M_CONFIG_IMPORTACAO_451.FMX"</f>
        <v>M_CONFIG_IMPORTACAO_451.FMX</v>
      </c>
      <c r="G8086" s="2" t="str">
        <f t="shared" si="668"/>
        <v xml:space="preserve"> ()</v>
      </c>
    </row>
    <row r="8087" spans="1:7" x14ac:dyDescent="0.3">
      <c r="A8087" s="1" t="s">
        <v>4</v>
      </c>
      <c r="B8087" s="2" t="str">
        <f t="shared" si="661"/>
        <v>SISTEMA DE URGÊNCIA E EMERGÊNCIA</v>
      </c>
      <c r="C8087" s="2" t="str">
        <f t="shared" si="662"/>
        <v>ATEND</v>
      </c>
      <c r="D8087" s="2" t="str">
        <f t="shared" si="663"/>
        <v>PAEU</v>
      </c>
      <c r="E8087" s="2" t="str">
        <f>"PAEU451.FMX"</f>
        <v>PAEU451.FMX</v>
      </c>
      <c r="F8087" s="2" t="str">
        <f>"PAEU451.FMX"</f>
        <v>PAEU451.FMX</v>
      </c>
      <c r="G8087" s="2" t="str">
        <f t="shared" si="668"/>
        <v xml:space="preserve"> ()</v>
      </c>
    </row>
    <row r="8088" spans="1:7" x14ac:dyDescent="0.3">
      <c r="A8088" s="1" t="s">
        <v>4</v>
      </c>
      <c r="B8088" s="2" t="str">
        <f t="shared" si="661"/>
        <v>SISTEMA DE URGÊNCIA E EMERGÊNCIA</v>
      </c>
      <c r="C8088" s="2" t="str">
        <f t="shared" si="662"/>
        <v>ATEND</v>
      </c>
      <c r="D8088" s="2" t="str">
        <f t="shared" si="663"/>
        <v>PAEU</v>
      </c>
      <c r="E8088" s="2" t="str">
        <f>"PAEU451.MMX"</f>
        <v>PAEU451.MMX</v>
      </c>
      <c r="F8088" s="2" t="str">
        <f>"PAEU451.MMX"</f>
        <v>PAEU451.MMX</v>
      </c>
      <c r="G8088" s="2" t="str">
        <f t="shared" si="668"/>
        <v xml:space="preserve"> ()</v>
      </c>
    </row>
    <row r="8089" spans="1:7" x14ac:dyDescent="0.3">
      <c r="A8089" s="1" t="s">
        <v>4</v>
      </c>
      <c r="B8089" s="2" t="str">
        <f t="shared" si="661"/>
        <v>SISTEMA DE URGÊNCIA E EMERGÊNCIA</v>
      </c>
      <c r="C8089" s="2" t="str">
        <f t="shared" si="662"/>
        <v>ATEND</v>
      </c>
      <c r="D8089" s="2" t="str">
        <f t="shared" si="663"/>
        <v>PAEU</v>
      </c>
      <c r="E8089" s="2" t="str">
        <f>"PAEU451"</f>
        <v>PAEU451</v>
      </c>
      <c r="F8089" s="2" t="str">
        <f>"PAEU451"</f>
        <v>PAEU451</v>
      </c>
      <c r="G8089" s="2" t="str">
        <f t="shared" si="668"/>
        <v xml:space="preserve"> ()</v>
      </c>
    </row>
    <row r="8090" spans="1:7" x14ac:dyDescent="0.3">
      <c r="A8090" s="1" t="s">
        <v>4</v>
      </c>
      <c r="B8090" s="2" t="str">
        <f t="shared" si="661"/>
        <v>SISTEMA DE URGÊNCIA E EMERGÊNCIA</v>
      </c>
      <c r="C8090" s="2" t="str">
        <f t="shared" si="662"/>
        <v>ATEND</v>
      </c>
      <c r="D8090" s="2" t="str">
        <f t="shared" si="663"/>
        <v>PAEU</v>
      </c>
      <c r="E8090" s="2" t="str">
        <f>"CADASTRO: TIPOS DE SITUAÇÃO DE PACIENTE"</f>
        <v>CADASTRO: TIPOS DE SITUAÇÃO DE PACIENTE</v>
      </c>
      <c r="F8090" s="2" t="str">
        <f>"M_LISTA_ESPERA"</f>
        <v>M_LISTA_ESPERA</v>
      </c>
      <c r="G8090" s="2" t="str">
        <f t="shared" si="668"/>
        <v xml:space="preserve"> ()</v>
      </c>
    </row>
    <row r="8091" spans="1:7" x14ac:dyDescent="0.3">
      <c r="A8091" s="1" t="s">
        <v>4</v>
      </c>
      <c r="B8091" s="2" t="str">
        <f t="shared" si="661"/>
        <v>SISTEMA DE URGÊNCIA E EMERGÊNCIA</v>
      </c>
      <c r="C8091" s="2" t="str">
        <f t="shared" si="662"/>
        <v>ATEND</v>
      </c>
      <c r="D8091" s="2" t="str">
        <f t="shared" si="663"/>
        <v>PAEU</v>
      </c>
      <c r="E8091" s="2" t="str">
        <f>"R_ETIQUETA_URG_ARGOX_757"</f>
        <v>R_ETIQUETA_URG_ARGOX_757</v>
      </c>
      <c r="F8091" s="2" t="str">
        <f>"R_ETIQUETA_URG_ARGOX_757"</f>
        <v>R_ETIQUETA_URG_ARGOX_757</v>
      </c>
      <c r="G8091" s="2" t="str">
        <f t="shared" si="668"/>
        <v xml:space="preserve"> ()</v>
      </c>
    </row>
    <row r="8092" spans="1:7" x14ac:dyDescent="0.3">
      <c r="A8092" s="1" t="s">
        <v>4</v>
      </c>
      <c r="B8092" s="2" t="str">
        <f t="shared" si="661"/>
        <v>SISTEMA DE URGÊNCIA E EMERGÊNCIA</v>
      </c>
      <c r="C8092" s="2" t="str">
        <f t="shared" si="662"/>
        <v>ATEND</v>
      </c>
      <c r="D8092" s="2" t="str">
        <f t="shared" si="663"/>
        <v>PAEU</v>
      </c>
      <c r="E8092" s="2" t="str">
        <f>"REL. ESTATÍSTICO ATEND. X CIDADE"</f>
        <v>REL. ESTATÍSTICO ATEND. X CIDADE</v>
      </c>
      <c r="F8092" s="2" t="str">
        <f>"R_CIDA"</f>
        <v>R_CIDA</v>
      </c>
      <c r="G8092" s="2" t="str">
        <f>"Atendimento / Ambulatório / Relatórios / Estatísticos / Atendimentos por Cidade (R_CIDA)"</f>
        <v>Atendimento / Ambulatório / Relatórios / Estatísticos / Atendimentos por Cidade (R_CIDA)</v>
      </c>
    </row>
    <row r="8093" spans="1:7" x14ac:dyDescent="0.3">
      <c r="A8093" s="1" t="s">
        <v>4</v>
      </c>
      <c r="B8093" s="2" t="str">
        <f t="shared" si="661"/>
        <v>SISTEMA DE URGÊNCIA E EMERGÊNCIA</v>
      </c>
      <c r="C8093" s="2" t="str">
        <f t="shared" si="662"/>
        <v>ATEND</v>
      </c>
      <c r="D8093" s="2" t="str">
        <f t="shared" si="663"/>
        <v>PAEU</v>
      </c>
      <c r="E8093" s="2" t="str">
        <f>"REL. ESTATÍSTICO ATEND. X CIDADE"</f>
        <v>REL. ESTATÍSTICO ATEND. X CIDADE</v>
      </c>
      <c r="F8093" s="2" t="str">
        <f>"R_CIDA"</f>
        <v>R_CIDA</v>
      </c>
      <c r="G8093" s="2" t="str">
        <f>"Atendimento / Urgência e Emergência / Relatórios / Estatísticos / Atendimentos por / Cidade (R_CIDA)"</f>
        <v>Atendimento / Urgência e Emergência / Relatórios / Estatísticos / Atendimentos por / Cidade (R_CIDA)</v>
      </c>
    </row>
    <row r="8094" spans="1:7" x14ac:dyDescent="0.3">
      <c r="A8094" s="1" t="s">
        <v>4</v>
      </c>
      <c r="B8094" s="2" t="str">
        <f t="shared" si="661"/>
        <v>SISTEMA DE URGÊNCIA E EMERGÊNCIA</v>
      </c>
      <c r="C8094" s="2" t="str">
        <f t="shared" si="662"/>
        <v>ATEND</v>
      </c>
      <c r="D8094" s="2" t="str">
        <f t="shared" si="663"/>
        <v>PAEU</v>
      </c>
      <c r="E8094" s="2" t="str">
        <f>"REL. ESTATÍSTICO ATEND. X CIDADE"</f>
        <v>REL. ESTATÍSTICO ATEND. X CIDADE</v>
      </c>
      <c r="F8094" s="2" t="str">
        <f>"R_CIDA"</f>
        <v>R_CIDA</v>
      </c>
      <c r="G8094" s="2" t="str">
        <f>"Outros / Fusam / Relatórios / Estatísticos / Atendimentos por Cidade (R_CIDA)"</f>
        <v>Outros / Fusam / Relatórios / Estatísticos / Atendimentos por Cidade (R_CIDA)</v>
      </c>
    </row>
    <row r="8095" spans="1:7" x14ac:dyDescent="0.3">
      <c r="A8095" s="1" t="s">
        <v>4</v>
      </c>
      <c r="B8095" s="2" t="str">
        <f t="shared" si="661"/>
        <v>SISTEMA DE URGÊNCIA E EMERGÊNCIA</v>
      </c>
      <c r="C8095" s="2" t="str">
        <f t="shared" si="662"/>
        <v>ATEND</v>
      </c>
      <c r="D8095" s="2" t="str">
        <f t="shared" si="663"/>
        <v>PAEU</v>
      </c>
      <c r="E8095" s="2" t="str">
        <f>"RELATORIO DE ANAMNESE DE URGENCIA"</f>
        <v>RELATORIO DE ANAMNESE DE URGENCIA</v>
      </c>
      <c r="F8095" s="2" t="str">
        <f>"R_ANM_PAEU"</f>
        <v>R_ANM_PAEU</v>
      </c>
      <c r="G8095" s="2" t="str">
        <f>" ()"</f>
        <v xml:space="preserve"> ()</v>
      </c>
    </row>
    <row r="8096" spans="1:7" x14ac:dyDescent="0.3">
      <c r="A8096" s="1" t="s">
        <v>4</v>
      </c>
      <c r="B8096" s="2" t="str">
        <f t="shared" si="661"/>
        <v>SISTEMA DE URGÊNCIA E EMERGÊNCIA</v>
      </c>
      <c r="C8096" s="2" t="str">
        <f t="shared" si="662"/>
        <v>ATEND</v>
      </c>
      <c r="D8096" s="2" t="str">
        <f t="shared" si="663"/>
        <v>PAEU</v>
      </c>
      <c r="E8096" s="2" t="str">
        <f>"RELATÓRIO DE EVOLUÇÃO POR CONVÊNIO"</f>
        <v>RELATÓRIO DE EVOLUÇÃO POR CONVÊNIO</v>
      </c>
      <c r="F8096" s="2" t="str">
        <f>"R_LEVANTAMENTO_CONVENIO.RDF"</f>
        <v>R_LEVANTAMENTO_CONVENIO.RDF</v>
      </c>
      <c r="G8096" s="2" t="str">
        <f>" ()"</f>
        <v xml:space="preserve"> ()</v>
      </c>
    </row>
    <row r="8097" spans="1:7" x14ac:dyDescent="0.3">
      <c r="A8097" s="1" t="s">
        <v>4</v>
      </c>
      <c r="B8097" s="2" t="str">
        <f t="shared" si="661"/>
        <v>SISTEMA DE URGÊNCIA E EMERGÊNCIA</v>
      </c>
      <c r="C8097" s="2" t="str">
        <f t="shared" si="662"/>
        <v>ATEND</v>
      </c>
      <c r="D8097" s="2" t="str">
        <f t="shared" si="663"/>
        <v>PAEU</v>
      </c>
      <c r="E8097" s="2" t="str">
        <f>"ALTERACAO DE ATENDIMENTO URGENCIA"</f>
        <v>ALTERACAO DE ATENDIMENTO URGENCIA</v>
      </c>
      <c r="F8097" s="2" t="str">
        <f>"ATEURG_ALTERA_PAEU"</f>
        <v>ATEURG_ALTERA_PAEU</v>
      </c>
      <c r="G8097" s="2" t="str">
        <f>"Atendimento / Urgência e Emergência / Atendimento / Alteração de Atendimento (ATEURG_ALTERA_PAEU)"</f>
        <v>Atendimento / Urgência e Emergência / Atendimento / Alteração de Atendimento (ATEURG_ALTERA_PAEU)</v>
      </c>
    </row>
    <row r="8098" spans="1:7" x14ac:dyDescent="0.3">
      <c r="A8098" s="1" t="s">
        <v>4</v>
      </c>
      <c r="B8098" s="2" t="str">
        <f t="shared" si="661"/>
        <v>SISTEMA DE URGÊNCIA E EMERGÊNCIA</v>
      </c>
      <c r="C8098" s="2" t="str">
        <f t="shared" si="662"/>
        <v>ATEND</v>
      </c>
      <c r="D8098" s="2" t="str">
        <f t="shared" si="663"/>
        <v>PAEU</v>
      </c>
      <c r="E8098" s="2" t="str">
        <f>"ATENDIMENTO POR ATENDIMENTO X CONVÊNIO"</f>
        <v>ATENDIMENTO POR ATENDIMENTO X CONVÊNIO</v>
      </c>
      <c r="F8098" s="2" t="str">
        <f>"R_TIPOS_INTERNACAO_X_CONVENIOS.RDF"</f>
        <v>R_TIPOS_INTERNACAO_X_CONVENIOS.RDF</v>
      </c>
      <c r="G8098" s="2" t="str">
        <f>" ()"</f>
        <v xml:space="preserve"> ()</v>
      </c>
    </row>
    <row r="8099" spans="1:7" x14ac:dyDescent="0.3">
      <c r="A8099" s="1" t="s">
        <v>4</v>
      </c>
      <c r="B8099" s="2" t="str">
        <f t="shared" si="661"/>
        <v>SISTEMA DE URGÊNCIA E EMERGÊNCIA</v>
      </c>
      <c r="C8099" s="2" t="str">
        <f t="shared" si="662"/>
        <v>ATEND</v>
      </c>
      <c r="D8099" s="2" t="str">
        <f t="shared" si="663"/>
        <v>PAEU</v>
      </c>
      <c r="E8099" s="2" t="str">
        <f>"RELATORIO DE PROCEDIMENTOS POR ORIGEM"</f>
        <v>RELATORIO DE PROCEDIMENTOS POR ORIGEM</v>
      </c>
      <c r="F8099" s="2" t="str">
        <f>"F_PROCEDIMENTOS_ORIGEM.RDF"</f>
        <v>F_PROCEDIMENTOS_ORIGEM.RDF</v>
      </c>
      <c r="G8099" s="2" t="str">
        <f>" ()"</f>
        <v xml:space="preserve"> ()</v>
      </c>
    </row>
    <row r="8100" spans="1:7" x14ac:dyDescent="0.3">
      <c r="A8100" s="1" t="s">
        <v>4</v>
      </c>
      <c r="B8100" s="2" t="str">
        <f t="shared" si="661"/>
        <v>SISTEMA DE URGÊNCIA E EMERGÊNCIA</v>
      </c>
      <c r="C8100" s="2" t="str">
        <f t="shared" si="662"/>
        <v>ATEND</v>
      </c>
      <c r="D8100" s="2" t="str">
        <f t="shared" si="663"/>
        <v>PAEU</v>
      </c>
      <c r="E8100" s="2" t="str">
        <f>"RELATÓRIO DE PLANTÃO POR MÉDICO"</f>
        <v>RELATÓRIO DE PLANTÃO POR MÉDICO</v>
      </c>
      <c r="F8100" s="2" t="str">
        <f>"R_ATEN_PLANTAO.RDF"</f>
        <v>R_ATEN_PLANTAO.RDF</v>
      </c>
      <c r="G8100" s="2" t="str">
        <f>" ()"</f>
        <v xml:space="preserve"> ()</v>
      </c>
    </row>
    <row r="8101" spans="1:7" x14ac:dyDescent="0.3">
      <c r="A8101" s="1" t="s">
        <v>4</v>
      </c>
      <c r="B8101" s="2" t="str">
        <f t="shared" si="661"/>
        <v>SISTEMA DE URGÊNCIA E EMERGÊNCIA</v>
      </c>
      <c r="C8101" s="2" t="str">
        <f t="shared" si="662"/>
        <v>ATEND</v>
      </c>
      <c r="D8101" s="2" t="str">
        <f t="shared" si="663"/>
        <v>PAEU</v>
      </c>
      <c r="E8101" s="2" t="str">
        <f>"REL. SINT.ATENDIMENTOS POR FAIXA ETÁRIA"</f>
        <v>REL. SINT.ATENDIMENTOS POR FAIXA ETÁRIA</v>
      </c>
      <c r="F8101" s="2" t="str">
        <f>"R_ESTFETARIA_SINT"</f>
        <v>R_ESTFETARIA_SINT</v>
      </c>
      <c r="G8101" s="2" t="str">
        <f>" ()"</f>
        <v xml:space="preserve"> ()</v>
      </c>
    </row>
    <row r="8102" spans="1:7" x14ac:dyDescent="0.3">
      <c r="A8102" s="1" t="s">
        <v>4</v>
      </c>
      <c r="B8102" s="2" t="str">
        <f t="shared" si="661"/>
        <v>SISTEMA DE URGÊNCIA E EMERGÊNCIA</v>
      </c>
      <c r="C8102" s="2" t="str">
        <f t="shared" si="662"/>
        <v>ATEND</v>
      </c>
      <c r="D8102" s="2" t="str">
        <f t="shared" si="663"/>
        <v>PAEU</v>
      </c>
      <c r="E8102" s="2" t="str">
        <f>"RELATÓRIO DE SENSO HOSPITALAR"</f>
        <v>RELATÓRIO DE SENSO HOSPITALAR</v>
      </c>
      <c r="F8102" s="2" t="str">
        <f>"R_CENSO_PAEU.RDF"</f>
        <v>R_CENSO_PAEU.RDF</v>
      </c>
      <c r="G8102" s="2" t="str">
        <f>" ()"</f>
        <v xml:space="preserve"> ()</v>
      </c>
    </row>
    <row r="8103" spans="1:7" x14ac:dyDescent="0.3">
      <c r="A8103" s="1" t="s">
        <v>4</v>
      </c>
      <c r="B8103" s="2" t="str">
        <f t="shared" si="661"/>
        <v>SISTEMA DE URGÊNCIA E EMERGÊNCIA</v>
      </c>
      <c r="C8103" s="2" t="str">
        <f t="shared" si="662"/>
        <v>ATEND</v>
      </c>
      <c r="D8103" s="2" t="str">
        <f t="shared" si="663"/>
        <v>PAEU</v>
      </c>
      <c r="E8103" s="2" t="str">
        <f>"RELATÓRIO DE ATENDIMENTOS POR PACIENTE"</f>
        <v>RELATÓRIO DE ATENDIMENTOS POR PACIENTE</v>
      </c>
      <c r="F8103" s="2" t="str">
        <f>"R_PAC_TRANSF_EXTERNO"</f>
        <v>R_PAC_TRANSF_EXTERNO</v>
      </c>
      <c r="G8103" s="2" t="str">
        <f>"Atendimento / Urgência e Emergência / Relatórios / Administrativos / Pacientes Transferidos do Hospital (R_PAC_TRANSF_EXTERNO)"</f>
        <v>Atendimento / Urgência e Emergência / Relatórios / Administrativos / Pacientes Transferidos do Hospital (R_PAC_TRANSF_EXTERNO)</v>
      </c>
    </row>
    <row r="8104" spans="1:7" x14ac:dyDescent="0.3">
      <c r="A8104" s="1" t="s">
        <v>4</v>
      </c>
      <c r="B8104" s="2" t="str">
        <f t="shared" si="661"/>
        <v>SISTEMA DE URGÊNCIA E EMERGÊNCIA</v>
      </c>
      <c r="C8104" s="2" t="str">
        <f t="shared" si="662"/>
        <v>ATEND</v>
      </c>
      <c r="D8104" s="2" t="str">
        <f t="shared" si="663"/>
        <v>PAEU</v>
      </c>
      <c r="E8104" s="2" t="str">
        <f>"R_EST_ATEN_USUARIO"</f>
        <v>R_EST_ATEN_USUARIO</v>
      </c>
      <c r="F8104" s="2" t="str">
        <f>"R_EST_ATEN_USUARIO"</f>
        <v>R_EST_ATEN_USUARIO</v>
      </c>
      <c r="G8104" s="2" t="str">
        <f>" ()"</f>
        <v xml:space="preserve"> ()</v>
      </c>
    </row>
    <row r="8105" spans="1:7" x14ac:dyDescent="0.3">
      <c r="A8105" s="1" t="s">
        <v>4</v>
      </c>
      <c r="B8105" s="2" t="str">
        <f t="shared" ref="B8105:B8111" si="669">"SISTEMA DE URGÊNCIA E EMERGÊNCIA"</f>
        <v>SISTEMA DE URGÊNCIA E EMERGÊNCIA</v>
      </c>
      <c r="C8105" s="2" t="str">
        <f t="shared" ref="C8105:C8111" si="670">"ATEND"</f>
        <v>ATEND</v>
      </c>
      <c r="D8105" s="2" t="str">
        <f t="shared" ref="D8105:D8111" si="671">"PAEU"</f>
        <v>PAEU</v>
      </c>
      <c r="E8105" s="2" t="str">
        <f>"ATENDIMENTOS POR TIPO DE RESULTADO"</f>
        <v>ATENDIMENTOS POR TIPO DE RESULTADO</v>
      </c>
      <c r="F8105" s="2" t="str">
        <f>"R_ATEND_TP_RES.RDF"</f>
        <v>R_ATEND_TP_RES.RDF</v>
      </c>
      <c r="G8105" s="2" t="str">
        <f>" ()"</f>
        <v xml:space="preserve"> ()</v>
      </c>
    </row>
    <row r="8106" spans="1:7" x14ac:dyDescent="0.3">
      <c r="A8106" s="1" t="s">
        <v>4</v>
      </c>
      <c r="B8106" s="2" t="str">
        <f t="shared" si="669"/>
        <v>SISTEMA DE URGÊNCIA E EMERGÊNCIA</v>
      </c>
      <c r="C8106" s="2" t="str">
        <f t="shared" si="670"/>
        <v>ATEND</v>
      </c>
      <c r="D8106" s="2" t="str">
        <f t="shared" si="671"/>
        <v>PAEU</v>
      </c>
      <c r="E8106" s="2" t="str">
        <f>"CADASTRO DE PACIENTE - URGENCIA"</f>
        <v>CADASTRO DE PACIENTE - URGENCIA</v>
      </c>
      <c r="F8106" s="2" t="str">
        <f>"CAD_PAC_PAEU"</f>
        <v>CAD_PAC_PAEU</v>
      </c>
      <c r="G8106" s="2" t="str">
        <f>"Atendimento / Urgência e Emergência / Atendimento / Cadastro Paciente (CAD_PAC_PAEU)"</f>
        <v>Atendimento / Urgência e Emergência / Atendimento / Cadastro Paciente (CAD_PAC_PAEU)</v>
      </c>
    </row>
    <row r="8107" spans="1:7" x14ac:dyDescent="0.3">
      <c r="A8107" s="1" t="s">
        <v>4</v>
      </c>
      <c r="B8107" s="2" t="str">
        <f t="shared" si="669"/>
        <v>SISTEMA DE URGÊNCIA E EMERGÊNCIA</v>
      </c>
      <c r="C8107" s="2" t="str">
        <f t="shared" si="670"/>
        <v>ATEND</v>
      </c>
      <c r="D8107" s="2" t="str">
        <f t="shared" si="671"/>
        <v>PAEU</v>
      </c>
      <c r="E8107" s="2" t="str">
        <f>"CADASTRO DE LEITOS - URGÊNCIA"</f>
        <v>CADASTRO DE LEITOS - URGÊNCIA</v>
      </c>
      <c r="F8107" s="2" t="str">
        <f>"CAD_LEI_PAEU"</f>
        <v>CAD_LEI_PAEU</v>
      </c>
      <c r="G8107" s="2" t="str">
        <f>"Atendimento / Urgência e Emergência / Tabelas / Leitos (CAD_LEI_PAEU)"</f>
        <v>Atendimento / Urgência e Emergência / Tabelas / Leitos (CAD_LEI_PAEU)</v>
      </c>
    </row>
    <row r="8108" spans="1:7" x14ac:dyDescent="0.3">
      <c r="A8108" s="1" t="s">
        <v>4</v>
      </c>
      <c r="B8108" s="2" t="str">
        <f t="shared" si="669"/>
        <v>SISTEMA DE URGÊNCIA E EMERGÊNCIA</v>
      </c>
      <c r="C8108" s="2" t="str">
        <f t="shared" si="670"/>
        <v>ATEND</v>
      </c>
      <c r="D8108" s="2" t="str">
        <f t="shared" si="671"/>
        <v>PAEU</v>
      </c>
      <c r="E8108" s="2" t="str">
        <f>"DIAGNOSTICO DO ATENDIMENTO"</f>
        <v>DIAGNOSTICO DO ATENDIMENTO</v>
      </c>
      <c r="F8108" s="2" t="str">
        <f>"ATE_COMPL_PAEU"</f>
        <v>ATE_COMPL_PAEU</v>
      </c>
      <c r="G8108" s="2" t="str">
        <f>" ()"</f>
        <v xml:space="preserve"> ()</v>
      </c>
    </row>
    <row r="8109" spans="1:7" x14ac:dyDescent="0.3">
      <c r="A8109" s="1" t="s">
        <v>4</v>
      </c>
      <c r="B8109" s="2" t="str">
        <f t="shared" si="669"/>
        <v>SISTEMA DE URGÊNCIA E EMERGÊNCIA</v>
      </c>
      <c r="C8109" s="2" t="str">
        <f t="shared" si="670"/>
        <v>ATEND</v>
      </c>
      <c r="D8109" s="2" t="str">
        <f t="shared" si="671"/>
        <v>PAEU</v>
      </c>
      <c r="E8109" s="2" t="str">
        <f>"CANCELA DIAGNOSTICO"</f>
        <v>CANCELA DIAGNOSTICO</v>
      </c>
      <c r="F8109" s="2" t="str">
        <f>"M_CANCELA_DIAGNOSTICO_PAEU"</f>
        <v>M_CANCELA_DIAGNOSTICO_PAEU</v>
      </c>
      <c r="G8109" s="2" t="str">
        <f>" ()"</f>
        <v xml:space="preserve"> ()</v>
      </c>
    </row>
    <row r="8110" spans="1:7" x14ac:dyDescent="0.3">
      <c r="A8110" s="1" t="s">
        <v>4</v>
      </c>
      <c r="B8110" s="2" t="str">
        <f t="shared" si="669"/>
        <v>SISTEMA DE URGÊNCIA E EMERGÊNCIA</v>
      </c>
      <c r="C8110" s="2" t="str">
        <f t="shared" si="670"/>
        <v>ATEND</v>
      </c>
      <c r="D8110" s="2" t="str">
        <f t="shared" si="671"/>
        <v>PAEU</v>
      </c>
      <c r="E8110" s="2" t="str">
        <f>"DEPOSITO ANTECIPADO"</f>
        <v>DEPOSITO ANTECIPADO</v>
      </c>
      <c r="F8110" s="2" t="str">
        <f>"M_CAUCAO_PAEU"</f>
        <v>M_CAUCAO_PAEU</v>
      </c>
      <c r="G8110" s="2" t="str">
        <f>"Atendimento / Urgência e Emergência / Atendimento / Manutenção do Depósito de Pagamento Antecipado / Manutenção (M_CAUCAO_PAEU)"</f>
        <v>Atendimento / Urgência e Emergência / Atendimento / Manutenção do Depósito de Pagamento Antecipado / Manutenção (M_CAUCAO_PAEU)</v>
      </c>
    </row>
    <row r="8111" spans="1:7" x14ac:dyDescent="0.3">
      <c r="A8111" s="1" t="s">
        <v>4</v>
      </c>
      <c r="B8111" s="2" t="str">
        <f t="shared" si="669"/>
        <v>SISTEMA DE URGÊNCIA E EMERGÊNCIA</v>
      </c>
      <c r="C8111" s="2" t="str">
        <f t="shared" si="670"/>
        <v>ATEND</v>
      </c>
      <c r="D8111" s="2" t="str">
        <f t="shared" si="671"/>
        <v>PAEU</v>
      </c>
      <c r="E8111" s="2" t="str">
        <f>"TRANSFERÊNCIA DE LEITO URGÊNCIA"</f>
        <v>TRANSFERÊNCIA DE LEITO URGÊNCIA</v>
      </c>
      <c r="F8111" s="2" t="str">
        <f>"MOV_INT_PAEU"</f>
        <v>MOV_INT_PAEU</v>
      </c>
      <c r="G8111" s="2" t="str">
        <f>"Atendimento / Urgência e Emergência / Atendimento / Observação / Transferência de Leito (MOV_INT_PAEU)"</f>
        <v>Atendimento / Urgência e Emergência / Atendimento / Observação / Transferência de Leito (MOV_INT_PAEU)</v>
      </c>
    </row>
    <row r="8112" spans="1:7" x14ac:dyDescent="0.3">
      <c r="A8112" s="1" t="s">
        <v>4</v>
      </c>
      <c r="B8112" s="2" t="str">
        <f t="shared" ref="B8112:B8175" si="672">"SISTEMA DE GERENCIAMENTO DA UNIDADE"</f>
        <v>SISTEMA DE GERENCIAMENTO DA UNIDADE</v>
      </c>
      <c r="C8112" s="2" t="str">
        <f t="shared" ref="C8112:D8131" si="673">"PAGU"</f>
        <v>PAGU</v>
      </c>
      <c r="D8112" s="2" t="str">
        <f t="shared" si="673"/>
        <v>PAGU</v>
      </c>
      <c r="E8112" s="2" t="str">
        <f>"REL. SOLICITAÇÕES DE MATERIAIS POR TIPO"</f>
        <v>REL. SOLICITAÇÕES DE MATERIAIS POR TIPO</v>
      </c>
      <c r="F8112" s="2" t="str">
        <f>"R_SOLIC_TIPO_SOLIC.RDF"</f>
        <v>R_SOLIC_TIPO_SOLIC.RDF</v>
      </c>
      <c r="G8112" s="2" t="str">
        <f>" ()"</f>
        <v xml:space="preserve"> ()</v>
      </c>
    </row>
    <row r="8113" spans="1:7" x14ac:dyDescent="0.3">
      <c r="A8113" s="1" t="s">
        <v>17</v>
      </c>
      <c r="B8113" s="2" t="str">
        <f t="shared" si="672"/>
        <v>SISTEMA DE GERENCIAMENTO DA UNIDADE</v>
      </c>
      <c r="C8113" s="2" t="str">
        <f t="shared" si="673"/>
        <v>PAGU</v>
      </c>
      <c r="D8113" s="2" t="str">
        <f t="shared" si="673"/>
        <v>PAGU</v>
      </c>
      <c r="E8113" s="2" t="str">
        <f>"CADASTRO DE JUSTIFICATIVA DE PREPARO"</f>
        <v>CADASTRO DE JUSTIFICATIVA DE PREPARO</v>
      </c>
      <c r="F8113" s="2" t="str">
        <f>"M_PREPARO_JUSTIFICATIVA"</f>
        <v>M_PREPARO_JUSTIFICATIVA</v>
      </c>
      <c r="G8113" s="2" t="str">
        <f>" ()"</f>
        <v xml:space="preserve"> ()</v>
      </c>
    </row>
    <row r="8114" spans="1:7" x14ac:dyDescent="0.3">
      <c r="A8114" s="1" t="s">
        <v>17</v>
      </c>
      <c r="B8114" s="2" t="str">
        <f t="shared" si="672"/>
        <v>SISTEMA DE GERENCIAMENTO DA UNIDADE</v>
      </c>
      <c r="C8114" s="2" t="str">
        <f t="shared" si="673"/>
        <v>PAGU</v>
      </c>
      <c r="D8114" s="2" t="str">
        <f t="shared" si="673"/>
        <v>PAGU</v>
      </c>
      <c r="E8114" s="2" t="str">
        <f>"MANUTENCAO PLANO DE CUIDADO"</f>
        <v>MANUTENCAO PLANO DE CUIDADO</v>
      </c>
      <c r="F8114" s="2" t="str">
        <f>"M_MANUTENCAO_PLANO_CUIDADO"</f>
        <v>M_MANUTENCAO_PLANO_CUIDADO</v>
      </c>
      <c r="G8114" s="2" t="str">
        <f>" ()"</f>
        <v xml:space="preserve"> ()</v>
      </c>
    </row>
    <row r="8115" spans="1:7" x14ac:dyDescent="0.3">
      <c r="A8115" s="1" t="s">
        <v>17</v>
      </c>
      <c r="B8115" s="2" t="str">
        <f t="shared" si="672"/>
        <v>SISTEMA DE GERENCIAMENTO DA UNIDADE</v>
      </c>
      <c r="C8115" s="2" t="str">
        <f t="shared" si="673"/>
        <v>PAGU</v>
      </c>
      <c r="D8115" s="2" t="str">
        <f t="shared" si="673"/>
        <v>PAGU</v>
      </c>
      <c r="E8115" s="2" t="str">
        <f>"CONFIG. MARCADORES TUMORAIS"</f>
        <v>CONFIG. MARCADORES TUMORAIS</v>
      </c>
      <c r="F8115" s="2" t="str">
        <f>"M_MARCADORES_TUMORAIS"</f>
        <v>M_MARCADORES_TUMORAIS</v>
      </c>
      <c r="G8115" s="2" t="str">
        <f>" ()"</f>
        <v xml:space="preserve"> ()</v>
      </c>
    </row>
    <row r="8116" spans="1:7" x14ac:dyDescent="0.3">
      <c r="A8116" s="1" t="s">
        <v>17</v>
      </c>
      <c r="B8116" s="2" t="str">
        <f t="shared" si="672"/>
        <v>SISTEMA DE GERENCIAMENTO DA UNIDADE</v>
      </c>
      <c r="C8116" s="2" t="str">
        <f t="shared" si="673"/>
        <v>PAGU</v>
      </c>
      <c r="D8116" s="2" t="str">
        <f t="shared" si="673"/>
        <v>PAGU</v>
      </c>
      <c r="E8116" s="2" t="str">
        <f>"SUGESTOES DE PROTOCOLOS"</f>
        <v>SUGESTOES DE PROTOCOLOS</v>
      </c>
      <c r="F8116" s="2" t="str">
        <f>"M_SUGES_PROTOCOLO"</f>
        <v>M_SUGES_PROTOCOLO</v>
      </c>
      <c r="G8116" s="2" t="str">
        <f>"Clínica e Assistencial / Gerenciamento de Unidades / Configuração / Tabelas / PEP / Oncologia / Sugestão de Protocolo (M_SUGES_PROTOCOLO)"</f>
        <v>Clínica e Assistencial / Gerenciamento de Unidades / Configuração / Tabelas / PEP / Oncologia / Sugestão de Protocolo (M_SUGES_PROTOCOLO)</v>
      </c>
    </row>
    <row r="8117" spans="1:7" x14ac:dyDescent="0.3">
      <c r="A8117" s="1" t="s">
        <v>4</v>
      </c>
      <c r="B8117" s="2" t="str">
        <f t="shared" si="672"/>
        <v>SISTEMA DE GERENCIAMENTO DA UNIDADE</v>
      </c>
      <c r="C8117" s="2" t="str">
        <f t="shared" si="673"/>
        <v>PAGU</v>
      </c>
      <c r="D8117" s="2" t="str">
        <f t="shared" si="673"/>
        <v>PAGU</v>
      </c>
      <c r="E8117" s="2" t="str">
        <f>"RELAT. DE PRESCRICAO QUIMIO POR CICLO"</f>
        <v>RELAT. DE PRESCRICAO QUIMIO POR CICLO</v>
      </c>
      <c r="F8117" s="2" t="str">
        <f>"MVPEP_REL_PRESCTRAT_CICLO"</f>
        <v>MVPEP_REL_PRESCTRAT_CICLO</v>
      </c>
      <c r="G8117" s="2" t="str">
        <f>" ()"</f>
        <v xml:space="preserve"> ()</v>
      </c>
    </row>
    <row r="8118" spans="1:7" x14ac:dyDescent="0.3">
      <c r="A8118" s="1" t="s">
        <v>17</v>
      </c>
      <c r="B8118" s="2" t="str">
        <f t="shared" si="672"/>
        <v>SISTEMA DE GERENCIAMENTO DA UNIDADE</v>
      </c>
      <c r="C8118" s="2" t="str">
        <f t="shared" si="673"/>
        <v>PAGU</v>
      </c>
      <c r="D8118" s="2" t="str">
        <f t="shared" si="673"/>
        <v>PAGU</v>
      </c>
      <c r="E8118" s="2" t="str">
        <f>"Configurar Prestadores"</f>
        <v>Configurar Prestadores</v>
      </c>
      <c r="F8118" s="2" t="str">
        <f>"M_CONFIG_PRESTADOR"</f>
        <v>M_CONFIG_PRESTADOR</v>
      </c>
      <c r="G8118" s="2" t="str">
        <f>" ()"</f>
        <v xml:space="preserve"> ()</v>
      </c>
    </row>
    <row r="8119" spans="1:7" x14ac:dyDescent="0.3">
      <c r="A8119" s="1" t="s">
        <v>17</v>
      </c>
      <c r="B8119" s="2" t="str">
        <f t="shared" si="672"/>
        <v>SISTEMA DE GERENCIAMENTO DA UNIDADE</v>
      </c>
      <c r="C8119" s="2" t="str">
        <f t="shared" si="673"/>
        <v>PAGU</v>
      </c>
      <c r="D8119" s="2" t="str">
        <f t="shared" si="673"/>
        <v>PAGU</v>
      </c>
      <c r="E8119" s="2" t="str">
        <f>"HISTORICO DOS STATUS DOS PROCESSOS"</f>
        <v>HISTORICO DOS STATUS DOS PROCESSOS</v>
      </c>
      <c r="F8119" s="2" t="str">
        <f>"C_HISTORICO_STATUS_PROCESSO"</f>
        <v>C_HISTORICO_STATUS_PROCESSO</v>
      </c>
      <c r="G8119" s="2" t="str">
        <f>" ()"</f>
        <v xml:space="preserve"> ()</v>
      </c>
    </row>
    <row r="8120" spans="1:7" x14ac:dyDescent="0.3">
      <c r="A8120" s="1" t="s">
        <v>17</v>
      </c>
      <c r="B8120" s="2" t="str">
        <f t="shared" si="672"/>
        <v>SISTEMA DE GERENCIAMENTO DA UNIDADE</v>
      </c>
      <c r="C8120" s="2" t="str">
        <f t="shared" si="673"/>
        <v>PAGU</v>
      </c>
      <c r="D8120" s="2" t="str">
        <f t="shared" si="673"/>
        <v>PAGU</v>
      </c>
      <c r="E8120" s="2" t="str">
        <f>"REDUCAO X ITENS"</f>
        <v>REDUCAO X ITENS</v>
      </c>
      <c r="F8120" s="2" t="str">
        <f>"M_CONFIG_ITEM_REDUCAO"</f>
        <v>M_CONFIG_ITEM_REDUCAO</v>
      </c>
      <c r="G8120" s="2" t="str">
        <f>"Clínica e Assistencial / Gerenciamento de Unidades / Configuração / Tabelas / PEP / Oncologia / Redução x Itens (M_CONFIG_ITEM_REDUCAO)"</f>
        <v>Clínica e Assistencial / Gerenciamento de Unidades / Configuração / Tabelas / PEP / Oncologia / Redução x Itens (M_CONFIG_ITEM_REDUCAO)</v>
      </c>
    </row>
    <row r="8121" spans="1:7" x14ac:dyDescent="0.3">
      <c r="A8121" s="1" t="s">
        <v>4</v>
      </c>
      <c r="B8121" s="2" t="str">
        <f t="shared" si="672"/>
        <v>SISTEMA DE GERENCIAMENTO DA UNIDADE</v>
      </c>
      <c r="C8121" s="2" t="str">
        <f t="shared" si="673"/>
        <v>PAGU</v>
      </c>
      <c r="D8121" s="2" t="str">
        <f t="shared" si="673"/>
        <v>PAGU</v>
      </c>
      <c r="E8121" s="2" t="str">
        <f>"Relatório de Solicitação por Turno"</f>
        <v>Relatório de Solicitação por Turno</v>
      </c>
      <c r="F8121" s="2" t="str">
        <f>"R_SOLSAI_TURNO"</f>
        <v>R_SOLSAI_TURNO</v>
      </c>
      <c r="G8121" s="2" t="str">
        <f t="shared" ref="G8121:G8146" si="674">" ()"</f>
        <v xml:space="preserve"> ()</v>
      </c>
    </row>
    <row r="8122" spans="1:7" x14ac:dyDescent="0.3">
      <c r="A8122" s="1" t="s">
        <v>4</v>
      </c>
      <c r="B8122" s="2" t="str">
        <f t="shared" si="672"/>
        <v>SISTEMA DE GERENCIAMENTO DA UNIDADE</v>
      </c>
      <c r="C8122" s="2" t="str">
        <f t="shared" si="673"/>
        <v>PAGU</v>
      </c>
      <c r="D8122" s="2" t="str">
        <f t="shared" si="673"/>
        <v>PAGU</v>
      </c>
      <c r="E8122" s="2" t="str">
        <f>"Relatório de Solicitação de Exames"</f>
        <v>Relatório de Solicitação de Exames</v>
      </c>
      <c r="F8122" s="2" t="str">
        <f>"R_SOLICITACAO_EXAMES"</f>
        <v>R_SOLICITACAO_EXAMES</v>
      </c>
      <c r="G8122" s="2" t="str">
        <f t="shared" si="674"/>
        <v xml:space="preserve"> ()</v>
      </c>
    </row>
    <row r="8123" spans="1:7" x14ac:dyDescent="0.3">
      <c r="A8123" s="1" t="s">
        <v>4</v>
      </c>
      <c r="B8123" s="2" t="str">
        <f t="shared" si="672"/>
        <v>SISTEMA DE GERENCIAMENTO DA UNIDADE</v>
      </c>
      <c r="C8123" s="2" t="str">
        <f t="shared" si="673"/>
        <v>PAGU</v>
      </c>
      <c r="D8123" s="2" t="str">
        <f t="shared" si="673"/>
        <v>PAGU</v>
      </c>
      <c r="E8123" s="2" t="str">
        <f>"Resumo de lançamentos SNOMED-CT"</f>
        <v>Resumo de lançamentos SNOMED-CT</v>
      </c>
      <c r="F8123" s="2" t="str">
        <f>"R_SNOMED_PACIENTE"</f>
        <v>R_SNOMED_PACIENTE</v>
      </c>
      <c r="G8123" s="2" t="str">
        <f t="shared" si="674"/>
        <v xml:space="preserve"> ()</v>
      </c>
    </row>
    <row r="8124" spans="1:7" x14ac:dyDescent="0.3">
      <c r="A8124" s="1" t="s">
        <v>4</v>
      </c>
      <c r="B8124" s="2" t="str">
        <f t="shared" si="672"/>
        <v>SISTEMA DE GERENCIAMENTO DA UNIDADE</v>
      </c>
      <c r="C8124" s="2" t="str">
        <f t="shared" si="673"/>
        <v>PAGU</v>
      </c>
      <c r="D8124" s="2" t="str">
        <f t="shared" si="673"/>
        <v>PAGU</v>
      </c>
      <c r="E8124" s="2" t="str">
        <f>"Relatório de Setores de Exames Padrão"</f>
        <v>Relatório de Setores de Exames Padrão</v>
      </c>
      <c r="F8124" s="2" t="str">
        <f>"R_SET_EXA_PADRAO"</f>
        <v>R_SET_EXA_PADRAO</v>
      </c>
      <c r="G8124" s="2" t="str">
        <f t="shared" si="674"/>
        <v xml:space="preserve"> ()</v>
      </c>
    </row>
    <row r="8125" spans="1:7" x14ac:dyDescent="0.3">
      <c r="A8125" s="1" t="s">
        <v>4</v>
      </c>
      <c r="B8125" s="2" t="str">
        <f t="shared" si="672"/>
        <v>SISTEMA DE GERENCIAMENTO DA UNIDADE</v>
      </c>
      <c r="C8125" s="2" t="str">
        <f t="shared" si="673"/>
        <v>PAGU</v>
      </c>
      <c r="D8125" s="2" t="str">
        <f t="shared" si="673"/>
        <v>PAGU</v>
      </c>
      <c r="E8125" s="2" t="str">
        <f>"Relatório de Ficha de Reagendamento"</f>
        <v>Relatório de Ficha de Reagendamento</v>
      </c>
      <c r="F8125" s="2" t="str">
        <f>"R_REAGENDAMENTO"</f>
        <v>R_REAGENDAMENTO</v>
      </c>
      <c r="G8125" s="2" t="str">
        <f t="shared" si="674"/>
        <v xml:space="preserve"> ()</v>
      </c>
    </row>
    <row r="8126" spans="1:7" x14ac:dyDescent="0.3">
      <c r="A8126" s="1" t="s">
        <v>4</v>
      </c>
      <c r="B8126" s="2" t="str">
        <f t="shared" si="672"/>
        <v>SISTEMA DE GERENCIAMENTO DA UNIDADE</v>
      </c>
      <c r="C8126" s="2" t="str">
        <f t="shared" si="673"/>
        <v>PAGU</v>
      </c>
      <c r="D8126" s="2" t="str">
        <f t="shared" si="673"/>
        <v>PAGU</v>
      </c>
      <c r="E8126" s="2" t="str">
        <f>"Relatório de Prescrição Médica"</f>
        <v>Relatório de Prescrição Médica</v>
      </c>
      <c r="F8126" s="2" t="str">
        <f>"R_PREMED_GET"</f>
        <v>R_PREMED_GET</v>
      </c>
      <c r="G8126" s="2" t="str">
        <f t="shared" si="674"/>
        <v xml:space="preserve"> ()</v>
      </c>
    </row>
    <row r="8127" spans="1:7" x14ac:dyDescent="0.3">
      <c r="A8127" s="1" t="s">
        <v>4</v>
      </c>
      <c r="B8127" s="2" t="str">
        <f t="shared" si="672"/>
        <v>SISTEMA DE GERENCIAMENTO DA UNIDADE</v>
      </c>
      <c r="C8127" s="2" t="str">
        <f t="shared" si="673"/>
        <v>PAGU</v>
      </c>
      <c r="D8127" s="2" t="str">
        <f t="shared" si="673"/>
        <v>PAGU</v>
      </c>
      <c r="E8127" s="2" t="str">
        <f>"Relatório de Prescrição Médica"</f>
        <v>Relatório de Prescrição Médica</v>
      </c>
      <c r="F8127" s="2" t="str">
        <f>"R_PMED"</f>
        <v>R_PMED</v>
      </c>
      <c r="G8127" s="2" t="str">
        <f t="shared" si="674"/>
        <v xml:space="preserve"> ()</v>
      </c>
    </row>
    <row r="8128" spans="1:7" x14ac:dyDescent="0.3">
      <c r="A8128" s="1" t="s">
        <v>4</v>
      </c>
      <c r="B8128" s="2" t="str">
        <f t="shared" si="672"/>
        <v>SISTEMA DE GERENCIAMENTO DA UNIDADE</v>
      </c>
      <c r="C8128" s="2" t="str">
        <f t="shared" si="673"/>
        <v>PAGU</v>
      </c>
      <c r="D8128" s="2" t="str">
        <f t="shared" si="673"/>
        <v>PAGU</v>
      </c>
      <c r="E8128" s="2" t="str">
        <f>"Relatório de pacientes em pesquisa"</f>
        <v>Relatório de pacientes em pesquisa</v>
      </c>
      <c r="F8128" s="2" t="str">
        <f>"R_PESQUISA_PACIENTE"</f>
        <v>R_PESQUISA_PACIENTE</v>
      </c>
      <c r="G8128" s="2" t="str">
        <f t="shared" si="674"/>
        <v xml:space="preserve"> ()</v>
      </c>
    </row>
    <row r="8129" spans="1:7" x14ac:dyDescent="0.3">
      <c r="A8129" s="1" t="s">
        <v>4</v>
      </c>
      <c r="B8129" s="2" t="str">
        <f t="shared" si="672"/>
        <v>SISTEMA DE GERENCIAMENTO DA UNIDADE</v>
      </c>
      <c r="C8129" s="2" t="str">
        <f t="shared" si="673"/>
        <v>PAGU</v>
      </c>
      <c r="D8129" s="2" t="str">
        <f t="shared" si="673"/>
        <v>PAGU</v>
      </c>
      <c r="E8129" s="2" t="str">
        <f>"Rel de paciente de critério pesq científ"</f>
        <v>Rel de paciente de critério pesq científ</v>
      </c>
      <c r="F8129" s="2" t="str">
        <f>"R_PESQUISA_CRTE_SAIDA"</f>
        <v>R_PESQUISA_CRTE_SAIDA</v>
      </c>
      <c r="G8129" s="2" t="str">
        <f t="shared" si="674"/>
        <v xml:space="preserve"> ()</v>
      </c>
    </row>
    <row r="8130" spans="1:7" x14ac:dyDescent="0.3">
      <c r="A8130" s="1" t="s">
        <v>4</v>
      </c>
      <c r="B8130" s="2" t="str">
        <f t="shared" si="672"/>
        <v>SISTEMA DE GERENCIAMENTO DA UNIDADE</v>
      </c>
      <c r="C8130" s="2" t="str">
        <f t="shared" si="673"/>
        <v>PAGU</v>
      </c>
      <c r="D8130" s="2" t="str">
        <f t="shared" si="673"/>
        <v>PAGU</v>
      </c>
      <c r="E8130" s="2" t="str">
        <f>"Rel de paciente de critério pesq científ"</f>
        <v>Rel de paciente de critério pesq científ</v>
      </c>
      <c r="F8130" s="2" t="str">
        <f>"R_PESQUISA_CRTE_ENTRADA"</f>
        <v>R_PESQUISA_CRTE_ENTRADA</v>
      </c>
      <c r="G8130" s="2" t="str">
        <f t="shared" si="674"/>
        <v xml:space="preserve"> ()</v>
      </c>
    </row>
    <row r="8131" spans="1:7" x14ac:dyDescent="0.3">
      <c r="A8131" s="1" t="s">
        <v>4</v>
      </c>
      <c r="B8131" s="2" t="str">
        <f t="shared" si="672"/>
        <v>SISTEMA DE GERENCIAMENTO DA UNIDADE</v>
      </c>
      <c r="C8131" s="2" t="str">
        <f t="shared" si="673"/>
        <v>PAGU</v>
      </c>
      <c r="D8131" s="2" t="str">
        <f t="shared" si="673"/>
        <v>PAGU</v>
      </c>
      <c r="E8131" s="2" t="str">
        <f>"Rel de paciente Status de aceite da pesq"</f>
        <v>Rel de paciente Status de aceite da pesq</v>
      </c>
      <c r="F8131" s="2" t="str">
        <f>"R_PESQUISA_CRTE_ACEITE"</f>
        <v>R_PESQUISA_CRTE_ACEITE</v>
      </c>
      <c r="G8131" s="2" t="str">
        <f t="shared" si="674"/>
        <v xml:space="preserve"> ()</v>
      </c>
    </row>
    <row r="8132" spans="1:7" x14ac:dyDescent="0.3">
      <c r="A8132" s="1" t="s">
        <v>4</v>
      </c>
      <c r="B8132" s="2" t="str">
        <f t="shared" si="672"/>
        <v>SISTEMA DE GERENCIAMENTO DA UNIDADE</v>
      </c>
      <c r="C8132" s="2" t="str">
        <f t="shared" ref="C8132:D8151" si="675">"PAGU"</f>
        <v>PAGU</v>
      </c>
      <c r="D8132" s="2" t="str">
        <f t="shared" si="675"/>
        <v>PAGU</v>
      </c>
      <c r="E8132" s="2" t="str">
        <f>"Relatório de Solicitação de Produtos"</f>
        <v>Relatório de Solicitação de Produtos</v>
      </c>
      <c r="F8132" s="2" t="str">
        <f>"R_LIVRO_REG_ESPEC"</f>
        <v>R_LIVRO_REG_ESPEC</v>
      </c>
      <c r="G8132" s="2" t="str">
        <f t="shared" si="674"/>
        <v xml:space="preserve"> ()</v>
      </c>
    </row>
    <row r="8133" spans="1:7" x14ac:dyDescent="0.3">
      <c r="A8133" s="1" t="s">
        <v>4</v>
      </c>
      <c r="B8133" s="2" t="str">
        <f t="shared" si="672"/>
        <v>SISTEMA DE GERENCIAMENTO DA UNIDADE</v>
      </c>
      <c r="C8133" s="2" t="str">
        <f t="shared" si="675"/>
        <v>PAGU</v>
      </c>
      <c r="D8133" s="2" t="str">
        <f t="shared" si="675"/>
        <v>PAGU</v>
      </c>
      <c r="E8133" s="2" t="str">
        <f>"Relatório dos Itens Prescritos"</f>
        <v>Relatório dos Itens Prescritos</v>
      </c>
      <c r="F8133" s="2" t="str">
        <f>"R_ITENS_PRESC"</f>
        <v>R_ITENS_PRESC</v>
      </c>
      <c r="G8133" s="2" t="str">
        <f t="shared" si="674"/>
        <v xml:space="preserve"> ()</v>
      </c>
    </row>
    <row r="8134" spans="1:7" x14ac:dyDescent="0.3">
      <c r="A8134" s="1" t="s">
        <v>4</v>
      </c>
      <c r="B8134" s="2" t="str">
        <f t="shared" si="672"/>
        <v>SISTEMA DE GERENCIAMENTO DA UNIDADE</v>
      </c>
      <c r="C8134" s="2" t="str">
        <f t="shared" si="675"/>
        <v>PAGU</v>
      </c>
      <c r="D8134" s="2" t="str">
        <f t="shared" si="675"/>
        <v>PAGU</v>
      </c>
      <c r="E8134" s="2" t="str">
        <f>"Rel. das Interações Medicamentosas Sint"</f>
        <v>Rel. das Interações Medicamentosas Sint</v>
      </c>
      <c r="F8134" s="2" t="str">
        <f>"R_INTERACAO_SINTETICA"</f>
        <v>R_INTERACAO_SINTETICA</v>
      </c>
      <c r="G8134" s="2" t="str">
        <f t="shared" si="674"/>
        <v xml:space="preserve"> ()</v>
      </c>
    </row>
    <row r="8135" spans="1:7" x14ac:dyDescent="0.3">
      <c r="A8135" s="1" t="s">
        <v>4</v>
      </c>
      <c r="B8135" s="2" t="str">
        <f t="shared" si="672"/>
        <v>SISTEMA DE GERENCIAMENTO DA UNIDADE</v>
      </c>
      <c r="C8135" s="2" t="str">
        <f t="shared" si="675"/>
        <v>PAGU</v>
      </c>
      <c r="D8135" s="2" t="str">
        <f t="shared" si="675"/>
        <v>PAGU</v>
      </c>
      <c r="E8135" s="2" t="str">
        <f>"Relatório de Devolucao Médicas"</f>
        <v>Relatório de Devolucao Médicas</v>
      </c>
      <c r="F8135" s="2" t="str">
        <f>"R_DEV_PRE"</f>
        <v>R_DEV_PRE</v>
      </c>
      <c r="G8135" s="2" t="str">
        <f t="shared" si="674"/>
        <v xml:space="preserve"> ()</v>
      </c>
    </row>
    <row r="8136" spans="1:7" x14ac:dyDescent="0.3">
      <c r="A8136" s="1" t="s">
        <v>4</v>
      </c>
      <c r="B8136" s="2" t="str">
        <f t="shared" si="672"/>
        <v>SISTEMA DE GERENCIAMENTO DA UNIDADE</v>
      </c>
      <c r="C8136" s="2" t="str">
        <f t="shared" si="675"/>
        <v>PAGU</v>
      </c>
      <c r="D8136" s="2" t="str">
        <f t="shared" si="675"/>
        <v>PAGU</v>
      </c>
      <c r="E8136" s="2" t="str">
        <f>"Relatório de Devolucao de Exames"</f>
        <v>Relatório de Devolucao de Exames</v>
      </c>
      <c r="F8136" s="2" t="str">
        <f>"R_DEV_ESOL"</f>
        <v>R_DEV_ESOL</v>
      </c>
      <c r="G8136" s="2" t="str">
        <f t="shared" si="674"/>
        <v xml:space="preserve"> ()</v>
      </c>
    </row>
    <row r="8137" spans="1:7" x14ac:dyDescent="0.3">
      <c r="A8137" s="1" t="s">
        <v>4</v>
      </c>
      <c r="B8137" s="2" t="str">
        <f t="shared" si="672"/>
        <v>SISTEMA DE GERENCIAMENTO DA UNIDADE</v>
      </c>
      <c r="C8137" s="2" t="str">
        <f t="shared" si="675"/>
        <v>PAGU</v>
      </c>
      <c r="D8137" s="2" t="str">
        <f t="shared" si="675"/>
        <v>PAGU</v>
      </c>
      <c r="E8137" s="2" t="str">
        <f>"Relatório de Avaliação"</f>
        <v>Relatório de Avaliação</v>
      </c>
      <c r="F8137" s="2" t="str">
        <f>"R_AVAL_ATEND"</f>
        <v>R_AVAL_ATEND</v>
      </c>
      <c r="G8137" s="2" t="str">
        <f t="shared" si="674"/>
        <v xml:space="preserve"> ()</v>
      </c>
    </row>
    <row r="8138" spans="1:7" x14ac:dyDescent="0.3">
      <c r="A8138" s="1" t="s">
        <v>4</v>
      </c>
      <c r="B8138" s="2" t="str">
        <f t="shared" si="672"/>
        <v>SISTEMA DE GERENCIAMENTO DA UNIDADE</v>
      </c>
      <c r="C8138" s="2" t="str">
        <f t="shared" si="675"/>
        <v>PAGU</v>
      </c>
      <c r="D8138" s="2" t="str">
        <f t="shared" si="675"/>
        <v>PAGU</v>
      </c>
      <c r="E8138" s="2" t="str">
        <f>"Relatorio de Alertas de Paciente"</f>
        <v>Relatorio de Alertas de Paciente</v>
      </c>
      <c r="F8138" s="2" t="str">
        <f>"R_ALERTAS_PRESC"</f>
        <v>R_ALERTAS_PRESC</v>
      </c>
      <c r="G8138" s="2" t="str">
        <f t="shared" si="674"/>
        <v xml:space="preserve"> ()</v>
      </c>
    </row>
    <row r="8139" spans="1:7" x14ac:dyDescent="0.3">
      <c r="A8139" s="1" t="s">
        <v>4</v>
      </c>
      <c r="B8139" s="2" t="str">
        <f t="shared" si="672"/>
        <v>SISTEMA DE GERENCIAMENTO DA UNIDADE</v>
      </c>
      <c r="C8139" s="2" t="str">
        <f t="shared" si="675"/>
        <v>PAGU</v>
      </c>
      <c r="D8139" s="2" t="str">
        <f t="shared" si="675"/>
        <v>PAGU</v>
      </c>
      <c r="E8139" s="2" t="str">
        <f>"Relatório de Admissão por Unidade"</f>
        <v>Relatório de Admissão por Unidade</v>
      </c>
      <c r="F8139" s="2" t="str">
        <f>"R_ADMISSAO_UNID"</f>
        <v>R_ADMISSAO_UNID</v>
      </c>
      <c r="G8139" s="2" t="str">
        <f t="shared" si="674"/>
        <v xml:space="preserve"> ()</v>
      </c>
    </row>
    <row r="8140" spans="1:7" x14ac:dyDescent="0.3">
      <c r="A8140" s="1" t="s">
        <v>4</v>
      </c>
      <c r="B8140" s="2" t="str">
        <f t="shared" si="672"/>
        <v>SISTEMA DE GERENCIAMENTO DA UNIDADE</v>
      </c>
      <c r="C8140" s="2" t="str">
        <f t="shared" si="675"/>
        <v>PAGU</v>
      </c>
      <c r="D8140" s="2" t="str">
        <f t="shared" si="675"/>
        <v>PAGU</v>
      </c>
      <c r="E8140" s="2" t="str">
        <f>"Relatório de Receita por Convênio"</f>
        <v>Relatório de Receita por Convênio</v>
      </c>
      <c r="F8140" s="2" t="str">
        <f>"R_FAT_CONV_MVPEP"</f>
        <v>R_FAT_CONV_MVPEP</v>
      </c>
      <c r="G8140" s="2" t="str">
        <f t="shared" si="674"/>
        <v xml:space="preserve"> ()</v>
      </c>
    </row>
    <row r="8141" spans="1:7" x14ac:dyDescent="0.3">
      <c r="A8141" s="1" t="s">
        <v>4</v>
      </c>
      <c r="B8141" s="2" t="str">
        <f t="shared" si="672"/>
        <v>SISTEMA DE GERENCIAMENTO DA UNIDADE</v>
      </c>
      <c r="C8141" s="2" t="str">
        <f t="shared" si="675"/>
        <v>PAGU</v>
      </c>
      <c r="D8141" s="2" t="str">
        <f t="shared" si="675"/>
        <v>PAGU</v>
      </c>
      <c r="E8141" s="2" t="str">
        <f>"Tipos de Pendência de Prontuário"</f>
        <v>Tipos de Pendência de Prontuário</v>
      </c>
      <c r="F8141" s="2" t="str">
        <f>"M_TIPO_PENDENCIA_AUDITORIA"</f>
        <v>M_TIPO_PENDENCIA_AUDITORIA</v>
      </c>
      <c r="G8141" s="2" t="str">
        <f t="shared" si="674"/>
        <v xml:space="preserve"> ()</v>
      </c>
    </row>
    <row r="8142" spans="1:7" x14ac:dyDescent="0.3">
      <c r="A8142" s="1" t="s">
        <v>4</v>
      </c>
      <c r="B8142" s="2" t="str">
        <f t="shared" si="672"/>
        <v>SISTEMA DE GERENCIAMENTO DA UNIDADE</v>
      </c>
      <c r="C8142" s="2" t="str">
        <f t="shared" si="675"/>
        <v>PAGU</v>
      </c>
      <c r="D8142" s="2" t="str">
        <f t="shared" si="675"/>
        <v>PAGU</v>
      </c>
      <c r="E8142" s="2" t="str">
        <f>"Registros de CID"</f>
        <v>Registros de CID</v>
      </c>
      <c r="F8142" s="2" t="str">
        <f>"M_PATOLOGIA_CID"</f>
        <v>M_PATOLOGIA_CID</v>
      </c>
      <c r="G8142" s="2" t="str">
        <f t="shared" si="674"/>
        <v xml:space="preserve"> ()</v>
      </c>
    </row>
    <row r="8143" spans="1:7" x14ac:dyDescent="0.3">
      <c r="A8143" s="1" t="s">
        <v>4</v>
      </c>
      <c r="B8143" s="2" t="str">
        <f t="shared" si="672"/>
        <v>SISTEMA DE GERENCIAMENTO DA UNIDADE</v>
      </c>
      <c r="C8143" s="2" t="str">
        <f t="shared" si="675"/>
        <v>PAGU</v>
      </c>
      <c r="D8143" s="2" t="str">
        <f t="shared" si="675"/>
        <v>PAGU</v>
      </c>
      <c r="E8143" s="2" t="str">
        <f>"Cadastro de Equipamentos"</f>
        <v>Cadastro de Equipamentos</v>
      </c>
      <c r="F8143" s="2" t="str">
        <f>"M_EQUIPAMENTO"</f>
        <v>M_EQUIPAMENTO</v>
      </c>
      <c r="G8143" s="2" t="str">
        <f t="shared" si="674"/>
        <v xml:space="preserve"> ()</v>
      </c>
    </row>
    <row r="8144" spans="1:7" x14ac:dyDescent="0.3">
      <c r="A8144" s="1" t="s">
        <v>4</v>
      </c>
      <c r="B8144" s="2" t="str">
        <f t="shared" si="672"/>
        <v>SISTEMA DE GERENCIAMENTO DA UNIDADE</v>
      </c>
      <c r="C8144" s="2" t="str">
        <f t="shared" si="675"/>
        <v>PAGU</v>
      </c>
      <c r="D8144" s="2" t="str">
        <f t="shared" si="675"/>
        <v>PAGU</v>
      </c>
      <c r="E8144" s="2" t="str">
        <f>"Itens de prescrição"</f>
        <v>Itens de prescrição</v>
      </c>
      <c r="F8144" s="2" t="str">
        <f>"M_CONFIG_PEND_AUD_ITEM_PRESCRICAO"</f>
        <v>M_CONFIG_PEND_AUD_ITEM_PRESCRICAO</v>
      </c>
      <c r="G8144" s="2" t="str">
        <f t="shared" si="674"/>
        <v xml:space="preserve"> ()</v>
      </c>
    </row>
    <row r="8145" spans="1:7" x14ac:dyDescent="0.3">
      <c r="A8145" s="1" t="s">
        <v>4</v>
      </c>
      <c r="B8145" s="2" t="str">
        <f t="shared" si="672"/>
        <v>SISTEMA DE GERENCIAMENTO DA UNIDADE</v>
      </c>
      <c r="C8145" s="2" t="str">
        <f t="shared" si="675"/>
        <v>PAGU</v>
      </c>
      <c r="D8145" s="2" t="str">
        <f t="shared" si="675"/>
        <v>PAGU</v>
      </c>
      <c r="E8145" s="2" t="str">
        <f>"Cadastro de Benefícios"</f>
        <v>Cadastro de Benefícios</v>
      </c>
      <c r="F8145" s="2" t="str">
        <f>"M_CAD_PREST_GES"</f>
        <v>M_CAD_PREST_GES</v>
      </c>
      <c r="G8145" s="2" t="str">
        <f t="shared" si="674"/>
        <v xml:space="preserve"> ()</v>
      </c>
    </row>
    <row r="8146" spans="1:7" x14ac:dyDescent="0.3">
      <c r="A8146" s="1" t="s">
        <v>4</v>
      </c>
      <c r="B8146" s="2" t="str">
        <f t="shared" si="672"/>
        <v>SISTEMA DE GERENCIAMENTO DA UNIDADE</v>
      </c>
      <c r="C8146" s="2" t="str">
        <f t="shared" si="675"/>
        <v>PAGU</v>
      </c>
      <c r="D8146" s="2" t="str">
        <f t="shared" si="675"/>
        <v>PAGU</v>
      </c>
      <c r="E8146" s="2" t="str">
        <f>"CHECAGEM DE ENFERMAGEM"</f>
        <v>CHECAGEM DE ENFERMAGEM</v>
      </c>
      <c r="F8146" s="2" t="str">
        <f>"M_CHECAGEM"</f>
        <v>M_CHECAGEM</v>
      </c>
      <c r="G8146" s="2" t="str">
        <f t="shared" si="674"/>
        <v xml:space="preserve"> ()</v>
      </c>
    </row>
    <row r="8147" spans="1:7" x14ac:dyDescent="0.3">
      <c r="A8147" s="1" t="s">
        <v>17</v>
      </c>
      <c r="B8147" s="2" t="str">
        <f t="shared" si="672"/>
        <v>SISTEMA DE GERENCIAMENTO DA UNIDADE</v>
      </c>
      <c r="C8147" s="2" t="str">
        <f t="shared" si="675"/>
        <v>PAGU</v>
      </c>
      <c r="D8147" s="2" t="str">
        <f t="shared" si="675"/>
        <v>PAGU</v>
      </c>
      <c r="E8147" s="2" t="str">
        <f>"FORMULA PADRAO"</f>
        <v>FORMULA PADRAO</v>
      </c>
      <c r="F8147" s="2" t="str">
        <f>"M_PADRAO_FORMULA"</f>
        <v>M_PADRAO_FORMULA</v>
      </c>
      <c r="G8147" s="2" t="str">
        <f>"Clínica e Assistencial / Gerenciamento de Unidades / Configuração / Tabelas / PEP / Formula Padrão (M_PADRAO_FORMULA)"</f>
        <v>Clínica e Assistencial / Gerenciamento de Unidades / Configuração / Tabelas / PEP / Formula Padrão (M_PADRAO_FORMULA)</v>
      </c>
    </row>
    <row r="8148" spans="1:7" x14ac:dyDescent="0.3">
      <c r="A8148" s="1" t="s">
        <v>4</v>
      </c>
      <c r="B8148" s="2" t="str">
        <f t="shared" si="672"/>
        <v>SISTEMA DE GERENCIAMENTO DA UNIDADE</v>
      </c>
      <c r="C8148" s="2" t="str">
        <f t="shared" si="675"/>
        <v>PAGU</v>
      </c>
      <c r="D8148" s="2" t="str">
        <f t="shared" si="675"/>
        <v>PAGU</v>
      </c>
      <c r="E8148" s="2" t="str">
        <f>"EVOLUCAO MEDICA"</f>
        <v>EVOLUCAO MEDICA</v>
      </c>
      <c r="F8148" s="2" t="str">
        <f>"C_EVOMED"</f>
        <v>C_EVOMED</v>
      </c>
      <c r="G8148" s="2" t="str">
        <f>" ()"</f>
        <v xml:space="preserve"> ()</v>
      </c>
    </row>
    <row r="8149" spans="1:7" x14ac:dyDescent="0.3">
      <c r="A8149" s="1" t="s">
        <v>4</v>
      </c>
      <c r="B8149" s="2" t="str">
        <f t="shared" si="672"/>
        <v>SISTEMA DE GERENCIAMENTO DA UNIDADE</v>
      </c>
      <c r="C8149" s="2" t="str">
        <f t="shared" si="675"/>
        <v>PAGU</v>
      </c>
      <c r="D8149" s="2" t="str">
        <f t="shared" si="675"/>
        <v>PAGU</v>
      </c>
      <c r="E8149" s="2" t="str">
        <f>"M_DOCUMENTO_GRUPO_PERGUNTA"</f>
        <v>M_DOCUMENTO_GRUPO_PERGUNTA</v>
      </c>
      <c r="F8149" s="2" t="str">
        <f>"M_DOCUMENTO_GRUPO_PERGUNTA"</f>
        <v>M_DOCUMENTO_GRUPO_PERGUNTA</v>
      </c>
      <c r="G8149" s="2" t="str">
        <f>"Clínica e Assistencial / Gerenciamento de Unidades / Configuração / Documentos / Documentos (M_DOCUMENTO_GRUPO_PERGUNTA)"</f>
        <v>Clínica e Assistencial / Gerenciamento de Unidades / Configuração / Documentos / Documentos (M_DOCUMENTO_GRUPO_PERGUNTA)</v>
      </c>
    </row>
    <row r="8150" spans="1:7" x14ac:dyDescent="0.3">
      <c r="A8150" s="1" t="s">
        <v>4</v>
      </c>
      <c r="B8150" s="2" t="str">
        <f t="shared" si="672"/>
        <v>SISTEMA DE GERENCIAMENTO DA UNIDADE</v>
      </c>
      <c r="C8150" s="2" t="str">
        <f t="shared" si="675"/>
        <v>PAGU</v>
      </c>
      <c r="D8150" s="2" t="str">
        <f t="shared" si="675"/>
        <v>PAGU</v>
      </c>
      <c r="E8150" s="2" t="str">
        <f>"ACESSO AOS  DOCUMENTOS"</f>
        <v>ACESSO AOS  DOCUMENTOS</v>
      </c>
      <c r="F8150" s="2" t="str">
        <f>"M_ACESSO_DOCUMENTO"</f>
        <v>M_ACESSO_DOCUMENTO</v>
      </c>
      <c r="G8150" s="2" t="str">
        <f>"Clínica e Assistencial / Gerenciamento de Unidades / Configuração / Documentos / Acesso aos Documentos (M_ACESSO_DOCUMENTO)"</f>
        <v>Clínica e Assistencial / Gerenciamento de Unidades / Configuração / Documentos / Acesso aos Documentos (M_ACESSO_DOCUMENTO)</v>
      </c>
    </row>
    <row r="8151" spans="1:7" x14ac:dyDescent="0.3">
      <c r="A8151" s="1" t="s">
        <v>4</v>
      </c>
      <c r="B8151" s="2" t="str">
        <f t="shared" si="672"/>
        <v>SISTEMA DE GERENCIAMENTO DA UNIDADE</v>
      </c>
      <c r="C8151" s="2" t="str">
        <f t="shared" si="675"/>
        <v>PAGU</v>
      </c>
      <c r="D8151" s="2" t="str">
        <f t="shared" si="675"/>
        <v>PAGU</v>
      </c>
      <c r="E8151" s="2" t="str">
        <f>"RELATORIO DE SOLICITACAO DE EXAMES"</f>
        <v>RELATORIO DE SOLICITACAO DE EXAMES</v>
      </c>
      <c r="F8151" s="2" t="str">
        <f>"R_ESOL"</f>
        <v>R_ESOL</v>
      </c>
      <c r="G8151" s="2" t="str">
        <f>"Clínica e Assistencial / Gerenciamento de Unidades / Relatórios / Prescrição / Exames Solicitados (R_ESOL)"</f>
        <v>Clínica e Assistencial / Gerenciamento de Unidades / Relatórios / Prescrição / Exames Solicitados (R_ESOL)</v>
      </c>
    </row>
    <row r="8152" spans="1:7" x14ac:dyDescent="0.3">
      <c r="A8152" s="1" t="s">
        <v>17</v>
      </c>
      <c r="B8152" s="2" t="str">
        <f t="shared" si="672"/>
        <v>SISTEMA DE GERENCIAMENTO DA UNIDADE</v>
      </c>
      <c r="C8152" s="2" t="str">
        <f t="shared" ref="C8152:D8171" si="676">"PAGU"</f>
        <v>PAGU</v>
      </c>
      <c r="D8152" s="2" t="str">
        <f t="shared" si="676"/>
        <v>PAGU</v>
      </c>
      <c r="E8152" s="2" t="str">
        <f>"CONFIGURAÇÕES DE ANEXO POR SISTEMA"</f>
        <v>CONFIGURAÇÕES DE ANEXO POR SISTEMA</v>
      </c>
      <c r="F8152" s="2" t="str">
        <f>"M_CONFIG_SISTEMA_ACESSO_ANEXO"</f>
        <v>M_CONFIG_SISTEMA_ACESSO_ANEXO</v>
      </c>
      <c r="G8152" s="2" t="str">
        <f>"Clínica e Assistencial / Gerenciamento de Unidades / Configuração / Configurações de Anexo por Sistema (M_CONFIG_SISTEMA_ACESSO_ANEXO)"</f>
        <v>Clínica e Assistencial / Gerenciamento de Unidades / Configuração / Configurações de Anexo por Sistema (M_CONFIG_SISTEMA_ACESSO_ANEXO)</v>
      </c>
    </row>
    <row r="8153" spans="1:7" x14ac:dyDescent="0.3">
      <c r="A8153" s="1" t="s">
        <v>17</v>
      </c>
      <c r="B8153" s="2" t="str">
        <f t="shared" si="672"/>
        <v>SISTEMA DE GERENCIAMENTO DA UNIDADE</v>
      </c>
      <c r="C8153" s="2" t="str">
        <f t="shared" si="676"/>
        <v>PAGU</v>
      </c>
      <c r="D8153" s="2" t="str">
        <f t="shared" si="676"/>
        <v>PAGU</v>
      </c>
      <c r="E8153" s="2" t="str">
        <f>"DIAS DE AUT. POR CONVENIO X PROTOCOLO"</f>
        <v>DIAS DE AUT. POR CONVENIO X PROTOCOLO</v>
      </c>
      <c r="F8153" s="2" t="str">
        <f>"M_AUT_CONVENIO_PROTOCOLO"</f>
        <v>M_AUT_CONVENIO_PROTOCOLO</v>
      </c>
      <c r="G8153" s="2" t="str">
        <f>"Clínica e Assistencial / Gerenciamento de Unidades / Configuração / Tabelas / PEP / Oncologia / Tempo de Autorização: Convênio X Protocolo (M_AUT_CONVENIO_PROTOCOLO)"</f>
        <v>Clínica e Assistencial / Gerenciamento de Unidades / Configuração / Tabelas / PEP / Oncologia / Tempo de Autorização: Convênio X Protocolo (M_AUT_CONVENIO_PROTOCOLO)</v>
      </c>
    </row>
    <row r="8154" spans="1:7" x14ac:dyDescent="0.3">
      <c r="A8154" s="1" t="s">
        <v>4</v>
      </c>
      <c r="B8154" s="2" t="str">
        <f t="shared" si="672"/>
        <v>SISTEMA DE GERENCIAMENTO DA UNIDADE</v>
      </c>
      <c r="C8154" s="2" t="str">
        <f t="shared" si="676"/>
        <v>PAGU</v>
      </c>
      <c r="D8154" s="2" t="str">
        <f t="shared" si="676"/>
        <v>PAGU</v>
      </c>
      <c r="E8154" s="2" t="str">
        <f>"Motivo de Nota de Crédito e Débito."</f>
        <v>Motivo de Nota de Crédito e Débito.</v>
      </c>
      <c r="F8154" s="2" t="str">
        <f>"M_MOTIVO_NOTA_CRED_DEB"</f>
        <v>M_MOTIVO_NOTA_CRED_DEB</v>
      </c>
      <c r="G8154" s="2" t="str">
        <f>"Faturamento / Faturamento de Convênios e Particulares / Tabelas / Gerais / Motivo de Nota de Crédito e Débito (M_MOTIVO_NOTA_CRED_DEB)"</f>
        <v>Faturamento / Faturamento de Convênios e Particulares / Tabelas / Gerais / Motivo de Nota de Crédito e Débito (M_MOTIVO_NOTA_CRED_DEB)</v>
      </c>
    </row>
    <row r="8155" spans="1:7" x14ac:dyDescent="0.3">
      <c r="A8155" s="1" t="s">
        <v>4</v>
      </c>
      <c r="B8155" s="2" t="str">
        <f t="shared" si="672"/>
        <v>SISTEMA DE GERENCIAMENTO DA UNIDADE</v>
      </c>
      <c r="C8155" s="2" t="str">
        <f t="shared" si="676"/>
        <v>PAGU</v>
      </c>
      <c r="D8155" s="2" t="str">
        <f t="shared" si="676"/>
        <v>PAGU</v>
      </c>
      <c r="E8155" s="2" t="str">
        <f>"Tipos de Notas Fiscais de Créd. e Déb."</f>
        <v>Tipos de Notas Fiscais de Créd. e Déb.</v>
      </c>
      <c r="F8155" s="2" t="str">
        <f>"M_TIPO_NOTA_CRED_DEB"</f>
        <v>M_TIPO_NOTA_CRED_DEB</v>
      </c>
      <c r="G8155" s="2" t="str">
        <f>"Faturamento / Faturamento de Convênios e Particulares / Tabelas / Gerais / Tipos de Notas Fiscais de Crédito e Débito (M_TIPO_NOTA_CRED_DEB)"</f>
        <v>Faturamento / Faturamento de Convênios e Particulares / Tabelas / Gerais / Tipos de Notas Fiscais de Crédito e Débito (M_TIPO_NOTA_CRED_DEB)</v>
      </c>
    </row>
    <row r="8156" spans="1:7" x14ac:dyDescent="0.3">
      <c r="A8156" s="1" t="s">
        <v>17</v>
      </c>
      <c r="B8156" s="2" t="str">
        <f t="shared" si="672"/>
        <v>SISTEMA DE GERENCIAMENTO DA UNIDADE</v>
      </c>
      <c r="C8156" s="2" t="str">
        <f t="shared" si="676"/>
        <v>PAGU</v>
      </c>
      <c r="D8156" s="2" t="str">
        <f t="shared" si="676"/>
        <v>PAGU</v>
      </c>
      <c r="E8156" s="2" t="str">
        <f>"ALERTA PROTOCOLO"</f>
        <v>ALERTA PROTOCOLO</v>
      </c>
      <c r="F8156" s="2" t="str">
        <f>"M_ALERTA_PROTOCOLO"</f>
        <v>M_ALERTA_PROTOCOLO</v>
      </c>
      <c r="G8156" s="2" t="str">
        <f>"Clínica e Assistencial / Gerenciamento de Unidades / Configuração / Tabelas / PEP / Alertas de Protocolos (M_ALERTA_PROTOCOLO)"</f>
        <v>Clínica e Assistencial / Gerenciamento de Unidades / Configuração / Tabelas / PEP / Alertas de Protocolos (M_ALERTA_PROTOCOLO)</v>
      </c>
    </row>
    <row r="8157" spans="1:7" x14ac:dyDescent="0.3">
      <c r="A8157" s="1" t="s">
        <v>17</v>
      </c>
      <c r="B8157" s="2" t="str">
        <f t="shared" si="672"/>
        <v>SISTEMA DE GERENCIAMENTO DA UNIDADE</v>
      </c>
      <c r="C8157" s="2" t="str">
        <f t="shared" si="676"/>
        <v>PAGU</v>
      </c>
      <c r="D8157" s="2" t="str">
        <f t="shared" si="676"/>
        <v>PAGU</v>
      </c>
      <c r="E8157" s="2" t="str">
        <f>"UNIDADE DA FORMULA"</f>
        <v>UNIDADE DA FORMULA</v>
      </c>
      <c r="F8157" s="2" t="str">
        <f>"M_UNIDADE_FORMULA"</f>
        <v>M_UNIDADE_FORMULA</v>
      </c>
      <c r="G8157" s="2" t="str">
        <f>"Clínica e Assistencial / Gerenciamento de Unidades / Configuração / Avaliações / Unidade da Fórmula (M_UNIDADE_FORMULA)"</f>
        <v>Clínica e Assistencial / Gerenciamento de Unidades / Configuração / Avaliações / Unidade da Fórmula (M_UNIDADE_FORMULA)</v>
      </c>
    </row>
    <row r="8158" spans="1:7" x14ac:dyDescent="0.3">
      <c r="A8158" s="1" t="s">
        <v>17</v>
      </c>
      <c r="B8158" s="2" t="str">
        <f t="shared" si="672"/>
        <v>SISTEMA DE GERENCIAMENTO DA UNIDADE</v>
      </c>
      <c r="C8158" s="2" t="str">
        <f t="shared" si="676"/>
        <v>PAGU</v>
      </c>
      <c r="D8158" s="2" t="str">
        <f t="shared" si="676"/>
        <v>PAGU</v>
      </c>
      <c r="E8158" s="2" t="str">
        <f>"PENDNCIA FECHAMENTO POR TIPO DOCUMENTO"</f>
        <v>PENDNCIA FECHAMENTO POR TIPO DOCUMENTO</v>
      </c>
      <c r="F8158" s="2" t="str">
        <f>"M_PENDENCIA_FECHAMENTO_TIPO_DOC"</f>
        <v>M_PENDENCIA_FECHAMENTO_TIPO_DOC</v>
      </c>
      <c r="G8158" s="2" t="str">
        <f>"Clínica e Assistencial / Gerenciamento de Unidades / Configuração / Tabelas / PEP / Pendências de Fechamento por Tipo de Documento (M_PENDENCIA_FECHAMENTO_TIPO_DOC)"</f>
        <v>Clínica e Assistencial / Gerenciamento de Unidades / Configuração / Tabelas / PEP / Pendências de Fechamento por Tipo de Documento (M_PENDENCIA_FECHAMENTO_TIPO_DOC)</v>
      </c>
    </row>
    <row r="8159" spans="1:7" x14ac:dyDescent="0.3">
      <c r="A8159" s="1" t="s">
        <v>17</v>
      </c>
      <c r="B8159" s="2" t="str">
        <f t="shared" si="672"/>
        <v>SISTEMA DE GERENCIAMENTO DA UNIDADE</v>
      </c>
      <c r="C8159" s="2" t="str">
        <f t="shared" si="676"/>
        <v>PAGU</v>
      </c>
      <c r="D8159" s="2" t="str">
        <f t="shared" si="676"/>
        <v>PAGU</v>
      </c>
      <c r="E8159" s="2" t="str">
        <f>"CONFIGURAO DAS COLUNAS DO CABEALHO"</f>
        <v>CONFIGURAO DAS COLUNAS DO CABEALHO</v>
      </c>
      <c r="F8159" s="2" t="str">
        <f>"M_CONFIG_CABECALHO_COLUNA"</f>
        <v>M_CONFIG_CABECALHO_COLUNA</v>
      </c>
      <c r="G8159" s="2" t="str">
        <f>"Clínica e Assistencial / Gerenciamento de Unidades / Configuração / Descrições de Configuração das Colunas do Cabeçalho (M_CONFIG_CABECALHO_COLUNA)"</f>
        <v>Clínica e Assistencial / Gerenciamento de Unidades / Configuração / Descrições de Configuração das Colunas do Cabeçalho (M_CONFIG_CABECALHO_COLUNA)</v>
      </c>
    </row>
    <row r="8160" spans="1:7" x14ac:dyDescent="0.3">
      <c r="A8160" s="1" t="s">
        <v>17</v>
      </c>
      <c r="B8160" s="2" t="str">
        <f t="shared" si="672"/>
        <v>SISTEMA DE GERENCIAMENTO DA UNIDADE</v>
      </c>
      <c r="C8160" s="2" t="str">
        <f t="shared" si="676"/>
        <v>PAGU</v>
      </c>
      <c r="D8160" s="2" t="str">
        <f t="shared" si="676"/>
        <v>PAGU</v>
      </c>
      <c r="E8160" s="2" t="str">
        <f>"DESCRICAOO DO COMPONENTE"</f>
        <v>DESCRICAOO DO COMPONENTE</v>
      </c>
      <c r="F8160" s="2" t="str">
        <f>"M_DESCRICAO_COMP"</f>
        <v>M_DESCRICAO_COMP</v>
      </c>
      <c r="G8160" s="2" t="str">
        <f>"Clínica e Assistencial / Gerenciamento de Unidades / Configuração / Tabelas / Descrições de componentes (M_DESCRICAO_COMP)"</f>
        <v>Clínica e Assistencial / Gerenciamento de Unidades / Configuração / Tabelas / Descrições de componentes (M_DESCRICAO_COMP)</v>
      </c>
    </row>
    <row r="8161" spans="1:7" x14ac:dyDescent="0.3">
      <c r="A8161" s="1" t="s">
        <v>17</v>
      </c>
      <c r="B8161" s="2" t="str">
        <f t="shared" si="672"/>
        <v>SISTEMA DE GERENCIAMENTO DA UNIDADE</v>
      </c>
      <c r="C8161" s="2" t="str">
        <f t="shared" si="676"/>
        <v>PAGU</v>
      </c>
      <c r="D8161" s="2" t="str">
        <f t="shared" si="676"/>
        <v>PAGU</v>
      </c>
      <c r="E8161" s="2" t="str">
        <f>"CONFIGURAO DE EXIBICAO"</f>
        <v>CONFIGURAO DE EXIBICAO</v>
      </c>
      <c r="F8161" s="2" t="str">
        <f>"M_EXIBICAO_TIPPRE"</f>
        <v>M_EXIBICAO_TIPPRE</v>
      </c>
      <c r="G8161" s="2" t="str">
        <f>"Clínica e Assistencial / Gerenciamento de Unidades / Configuração / Tabelas / Exibição do item de prescrição (M_EXIBICAO_TIPPRE)"</f>
        <v>Clínica e Assistencial / Gerenciamento de Unidades / Configuração / Tabelas / Exibição do item de prescrição (M_EXIBICAO_TIPPRE)</v>
      </c>
    </row>
    <row r="8162" spans="1:7" x14ac:dyDescent="0.3">
      <c r="A8162" s="1" t="s">
        <v>17</v>
      </c>
      <c r="B8162" s="2" t="str">
        <f t="shared" si="672"/>
        <v>SISTEMA DE GERENCIAMENTO DA UNIDADE</v>
      </c>
      <c r="C8162" s="2" t="str">
        <f t="shared" si="676"/>
        <v>PAGU</v>
      </c>
      <c r="D8162" s="2" t="str">
        <f t="shared" si="676"/>
        <v>PAGU</v>
      </c>
      <c r="E8162" s="2" t="str">
        <f>"REL. FICHA_CAPILAR"</f>
        <v>REL. FICHA_CAPILAR</v>
      </c>
      <c r="F8162" s="2" t="str">
        <f>"R_FICHA_CAPILAR"</f>
        <v>R_FICHA_CAPILAR</v>
      </c>
      <c r="G8162" s="2" t="str">
        <f>"Clínica e Assistencial / Gerenciamento de Unidades / Relatórios / Ficha Capilar (R_FICHA_CAPILAR)"</f>
        <v>Clínica e Assistencial / Gerenciamento de Unidades / Relatórios / Ficha Capilar (R_FICHA_CAPILAR)</v>
      </c>
    </row>
    <row r="8163" spans="1:7" x14ac:dyDescent="0.3">
      <c r="A8163" s="1" t="s">
        <v>17</v>
      </c>
      <c r="B8163" s="2" t="str">
        <f t="shared" si="672"/>
        <v>SISTEMA DE GERENCIAMENTO DA UNIDADE</v>
      </c>
      <c r="C8163" s="2" t="str">
        <f t="shared" si="676"/>
        <v>PAGU</v>
      </c>
      <c r="D8163" s="2" t="str">
        <f t="shared" si="676"/>
        <v>PAGU</v>
      </c>
      <c r="E8163" s="2" t="str">
        <f>"REL. INTERVENCAO DA AVAFAR"</f>
        <v>REL. INTERVENCAO DA AVAFAR</v>
      </c>
      <c r="F8163" s="2" t="str">
        <f>"R_TIPO_AVAFAR"</f>
        <v>R_TIPO_AVAFAR</v>
      </c>
      <c r="G8163" s="2" t="str">
        <f>"Clínica e Assistencial / Gerenciamento de Unidades / Relatórios / Tabelas / Tipo de intervenção farmacêutica (R_TIPO_AVAFAR)"</f>
        <v>Clínica e Assistencial / Gerenciamento de Unidades / Relatórios / Tabelas / Tipo de intervenção farmacêutica (R_TIPO_AVAFAR)</v>
      </c>
    </row>
    <row r="8164" spans="1:7" x14ac:dyDescent="0.3">
      <c r="A8164" s="1" t="s">
        <v>17</v>
      </c>
      <c r="B8164" s="2" t="str">
        <f t="shared" si="672"/>
        <v>SISTEMA DE GERENCIAMENTO DA UNIDADE</v>
      </c>
      <c r="C8164" s="2" t="str">
        <f t="shared" si="676"/>
        <v>PAGU</v>
      </c>
      <c r="D8164" s="2" t="str">
        <f t="shared" si="676"/>
        <v>PAGU</v>
      </c>
      <c r="E8164" s="2" t="str">
        <f>"INTERVENCAO DA AVAFAR"</f>
        <v>INTERVENCAO DA AVAFAR</v>
      </c>
      <c r="F8164" s="2" t="str">
        <f>"M_TIPO_AVAFAR"</f>
        <v>M_TIPO_AVAFAR</v>
      </c>
      <c r="G8164" s="2" t="str">
        <f>"Clínica e Assistencial / Gerenciamento de Unidades / Configuração / Tabelas / PEP / Cadastro de tipo de intervenção farmacêutica (M_TIPO_AVAFAR)"</f>
        <v>Clínica e Assistencial / Gerenciamento de Unidades / Configuração / Tabelas / PEP / Cadastro de tipo de intervenção farmacêutica (M_TIPO_AVAFAR)</v>
      </c>
    </row>
    <row r="8165" spans="1:7" x14ac:dyDescent="0.3">
      <c r="A8165" s="1" t="s">
        <v>17</v>
      </c>
      <c r="B8165" s="2" t="str">
        <f t="shared" si="672"/>
        <v>SISTEMA DE GERENCIAMENTO DA UNIDADE</v>
      </c>
      <c r="C8165" s="2" t="str">
        <f t="shared" si="676"/>
        <v>PAGU</v>
      </c>
      <c r="D8165" s="2" t="str">
        <f t="shared" si="676"/>
        <v>PAGU</v>
      </c>
      <c r="E8165" s="2" t="str">
        <f>"CONTROLE DE FICHA CAPILAR"</f>
        <v>CONTROLE DE FICHA CAPILAR</v>
      </c>
      <c r="F8165" s="2" t="str">
        <f>"M_FICHA_CAPILAR"</f>
        <v>M_FICHA_CAPILAR</v>
      </c>
      <c r="G8165" s="2" t="str">
        <f>"Clínica e Assistencial / Gerenciamento de Unidades / Configuração / Tabelas / PEP / Dialisadores / Controle de ficha capilar (M_FICHA_CAPILAR)"</f>
        <v>Clínica e Assistencial / Gerenciamento de Unidades / Configuração / Tabelas / PEP / Dialisadores / Controle de ficha capilar (M_FICHA_CAPILAR)</v>
      </c>
    </row>
    <row r="8166" spans="1:7" x14ac:dyDescent="0.3">
      <c r="A8166" s="1" t="s">
        <v>17</v>
      </c>
      <c r="B8166" s="2" t="str">
        <f t="shared" si="672"/>
        <v>SISTEMA DE GERENCIAMENTO DA UNIDADE</v>
      </c>
      <c r="C8166" s="2" t="str">
        <f t="shared" si="676"/>
        <v>PAGU</v>
      </c>
      <c r="D8166" s="2" t="str">
        <f t="shared" si="676"/>
        <v>PAGU</v>
      </c>
      <c r="E8166" s="2" t="str">
        <f>" LISTA TODOS OS TERMOS SNOMED-CT"</f>
        <v xml:space="preserve"> LISTA TODOS OS TERMOS SNOMED-CT</v>
      </c>
      <c r="F8166" s="2" t="str">
        <f>"M_JUSTIFICATIVA_MOBILE"</f>
        <v>M_JUSTIFICATIVA_MOBILE</v>
      </c>
      <c r="G8166" s="2" t="str">
        <f>"Clínica e Assistencial / Gerenciamento de Unidades / Relatórios / Tabelas / Justificativa de Checagem Mobile (M_JUSTIFICATIVA_MOBILE)"</f>
        <v>Clínica e Assistencial / Gerenciamento de Unidades / Relatórios / Tabelas / Justificativa de Checagem Mobile (M_JUSTIFICATIVA_MOBILE)</v>
      </c>
    </row>
    <row r="8167" spans="1:7" x14ac:dyDescent="0.3">
      <c r="A8167" s="1" t="s">
        <v>17</v>
      </c>
      <c r="B8167" s="2" t="str">
        <f t="shared" si="672"/>
        <v>SISTEMA DE GERENCIAMENTO DA UNIDADE</v>
      </c>
      <c r="C8167" s="2" t="str">
        <f t="shared" si="676"/>
        <v>PAGU</v>
      </c>
      <c r="D8167" s="2" t="str">
        <f t="shared" si="676"/>
        <v>PAGU</v>
      </c>
      <c r="E8167" s="2" t="str">
        <f>" LISTA TODOS OS TERMOS SNOMED-CT"</f>
        <v xml:space="preserve"> LISTA TODOS OS TERMOS SNOMED-CT</v>
      </c>
      <c r="F8167" s="2" t="str">
        <f>"M_SNOMED_PACIENTE"</f>
        <v>M_SNOMED_PACIENTE</v>
      </c>
      <c r="G8167" s="2" t="str">
        <f>"Clínica e Assistencial / Gerenciamento de Unidades / Consultas / Resumo de lançamentos SNOMED-CT (M_SNOMED_PACIENTE)"</f>
        <v>Clínica e Assistencial / Gerenciamento de Unidades / Consultas / Resumo de lançamentos SNOMED-CT (M_SNOMED_PACIENTE)</v>
      </c>
    </row>
    <row r="8168" spans="1:7" x14ac:dyDescent="0.3">
      <c r="A8168" s="1" t="s">
        <v>17</v>
      </c>
      <c r="B8168" s="2" t="str">
        <f t="shared" si="672"/>
        <v>SISTEMA DE GERENCIAMENTO DA UNIDADE</v>
      </c>
      <c r="C8168" s="2" t="str">
        <f t="shared" si="676"/>
        <v>PAGU</v>
      </c>
      <c r="D8168" s="2" t="str">
        <f t="shared" si="676"/>
        <v>PAGU</v>
      </c>
      <c r="E8168" s="2" t="str">
        <f>" MAPEAMENTO DO SNOMED-CT"</f>
        <v xml:space="preserve"> MAPEAMENTO DO SNOMED-CT</v>
      </c>
      <c r="F8168" s="2" t="str">
        <f>"M_MAPEAMENTO_SNOMED"</f>
        <v>M_MAPEAMENTO_SNOMED</v>
      </c>
      <c r="G8168" s="2" t="str">
        <f>"Clínica e Assistencial / Gerenciamento de Unidades / Configuração / Tabelas / PEP / Mapeamento SNOMED-CT (M_MAPEAMENTO_SNOMED)"</f>
        <v>Clínica e Assistencial / Gerenciamento de Unidades / Configuração / Tabelas / PEP / Mapeamento SNOMED-CT (M_MAPEAMENTO_SNOMED)</v>
      </c>
    </row>
    <row r="8169" spans="1:7" x14ac:dyDescent="0.3">
      <c r="A8169" s="1" t="s">
        <v>17</v>
      </c>
      <c r="B8169" s="2" t="str">
        <f t="shared" si="672"/>
        <v>SISTEMA DE GERENCIAMENTO DA UNIDADE</v>
      </c>
      <c r="C8169" s="2" t="str">
        <f t="shared" si="676"/>
        <v>PAGU</v>
      </c>
      <c r="D8169" s="2" t="str">
        <f t="shared" si="676"/>
        <v>PAGU</v>
      </c>
      <c r="E8169" s="2" t="str">
        <f>"CADASTRO DOS TERMOS SNOMED-CT"</f>
        <v>CADASTRO DOS TERMOS SNOMED-CT</v>
      </c>
      <c r="F8169" s="2" t="str">
        <f>"M_CONCEITOS_SNOMED"</f>
        <v>M_CONCEITOS_SNOMED</v>
      </c>
      <c r="G8169" s="2" t="str">
        <f>"Clínica e Assistencial / Gerenciamento de Unidades / Configuração / Tabelas / Terminologia SNOMED-CT (M_CONCEITOS_SNOMED)"</f>
        <v>Clínica e Assistencial / Gerenciamento de Unidades / Configuração / Tabelas / Terminologia SNOMED-CT (M_CONCEITOS_SNOMED)</v>
      </c>
    </row>
    <row r="8170" spans="1:7" x14ac:dyDescent="0.3">
      <c r="A8170" s="1" t="s">
        <v>17</v>
      </c>
      <c r="B8170" s="2" t="str">
        <f t="shared" si="672"/>
        <v>SISTEMA DE GERENCIAMENTO DA UNIDADE</v>
      </c>
      <c r="C8170" s="2" t="str">
        <f t="shared" si="676"/>
        <v>PAGU</v>
      </c>
      <c r="D8170" s="2" t="str">
        <f t="shared" si="676"/>
        <v>PAGU</v>
      </c>
      <c r="E8170" s="2" t="str">
        <f>"CADASTRO DOS TERMOS SNOMED-CT"</f>
        <v>CADASTRO DOS TERMOS SNOMED-CT</v>
      </c>
      <c r="F8170" s="2" t="str">
        <f>"M_CONCEITOS_SNOMED"</f>
        <v>M_CONCEITOS_SNOMED</v>
      </c>
      <c r="G8170" s="2" t="str">
        <f>"Clínica e Assistencial / Gerenciamento de Unidades / Configuração / Tabelas / PEP / Terminologia SNOMED-CT (M_CONCEITOS_SNOMED)"</f>
        <v>Clínica e Assistencial / Gerenciamento de Unidades / Configuração / Tabelas / PEP / Terminologia SNOMED-CT (M_CONCEITOS_SNOMED)</v>
      </c>
    </row>
    <row r="8171" spans="1:7" x14ac:dyDescent="0.3">
      <c r="A8171" s="1" t="s">
        <v>17</v>
      </c>
      <c r="B8171" s="2" t="str">
        <f t="shared" si="672"/>
        <v>SISTEMA DE GERENCIAMENTO DA UNIDADE</v>
      </c>
      <c r="C8171" s="2" t="str">
        <f t="shared" si="676"/>
        <v>PAGU</v>
      </c>
      <c r="D8171" s="2" t="str">
        <f t="shared" si="676"/>
        <v>PAGU</v>
      </c>
      <c r="E8171" s="2" t="str">
        <f>"CADASTRO PAINEL CLNICO"</f>
        <v>CADASTRO PAINEL CLNICO</v>
      </c>
      <c r="F8171" s="2" t="str">
        <f>"M_PAINEL_CLINICO"</f>
        <v>M_PAINEL_CLINICO</v>
      </c>
      <c r="G8171" s="2" t="str">
        <f>"Clínica e Assistencial / Gerenciamento de Unidades / Configuração / Tabelas / PEP / Painel Clínico (M_PAINEL_CLINICO)"</f>
        <v>Clínica e Assistencial / Gerenciamento de Unidades / Configuração / Tabelas / PEP / Painel Clínico (M_PAINEL_CLINICO)</v>
      </c>
    </row>
    <row r="8172" spans="1:7" x14ac:dyDescent="0.3">
      <c r="A8172" s="1" t="s">
        <v>17</v>
      </c>
      <c r="B8172" s="2" t="str">
        <f t="shared" si="672"/>
        <v>SISTEMA DE GERENCIAMENTO DA UNIDADE</v>
      </c>
      <c r="C8172" s="2" t="str">
        <f t="shared" ref="C8172:D8191" si="677">"PAGU"</f>
        <v>PAGU</v>
      </c>
      <c r="D8172" s="2" t="str">
        <f t="shared" si="677"/>
        <v>PAGU</v>
      </c>
      <c r="E8172" s="2" t="str">
        <f>"ORDEM DE GRUPOS DE EXAME"</f>
        <v>ORDEM DE GRUPOS DE EXAME</v>
      </c>
      <c r="F8172" s="2" t="str">
        <f>"M_ORDEM_GRUPO_EXAME"</f>
        <v>M_ORDEM_GRUPO_EXAME</v>
      </c>
      <c r="G8172" s="2" t="str">
        <f>"Clínica e Assistencial / Gerenciamento de Unidades / Configuração / Tabelas / PEP / Ordem de Grupo de Exame (M_ORDEM_GRUPO_EXAME)"</f>
        <v>Clínica e Assistencial / Gerenciamento de Unidades / Configuração / Tabelas / PEP / Ordem de Grupo de Exame (M_ORDEM_GRUPO_EXAME)</v>
      </c>
    </row>
    <row r="8173" spans="1:7" x14ac:dyDescent="0.3">
      <c r="A8173" s="1" t="s">
        <v>17</v>
      </c>
      <c r="B8173" s="2" t="str">
        <f t="shared" si="672"/>
        <v>SISTEMA DE GERENCIAMENTO DA UNIDADE</v>
      </c>
      <c r="C8173" s="2" t="str">
        <f t="shared" si="677"/>
        <v>PAGU</v>
      </c>
      <c r="D8173" s="2" t="str">
        <f t="shared" si="677"/>
        <v>PAGU</v>
      </c>
      <c r="E8173" s="2" t="str">
        <f>"PREPARACAO DE MEDICAMENTO"</f>
        <v>PREPARACAO DE MEDICAMENTO</v>
      </c>
      <c r="F8173" s="2" t="str">
        <f>"M_PREPARACAO_MEDICAMENTO"</f>
        <v>M_PREPARACAO_MEDICAMENTO</v>
      </c>
      <c r="G8173" s="2" t="str">
        <f>"Clínica e Assistencial / Gerenciamento de Unidades / Enfermagem / Preparação de medicamentos / Preparação de medicamentos (M_PREPARACAO_MEDICAMENTO)"</f>
        <v>Clínica e Assistencial / Gerenciamento de Unidades / Enfermagem / Preparação de medicamentos / Preparação de medicamentos (M_PREPARACAO_MEDICAMENTO)</v>
      </c>
    </row>
    <row r="8174" spans="1:7" x14ac:dyDescent="0.3">
      <c r="A8174" s="1" t="s">
        <v>17</v>
      </c>
      <c r="B8174" s="2" t="str">
        <f t="shared" si="672"/>
        <v>SISTEMA DE GERENCIAMENTO DA UNIDADE</v>
      </c>
      <c r="C8174" s="2" t="str">
        <f t="shared" si="677"/>
        <v>PAGU</v>
      </c>
      <c r="D8174" s="2" t="str">
        <f t="shared" si="677"/>
        <v>PAGU</v>
      </c>
      <c r="E8174" s="2" t="str">
        <f>"LISTA DE TRABALHO"</f>
        <v>LISTA DE TRABALHO</v>
      </c>
      <c r="F8174" s="2" t="str">
        <f>"C_LISTA_PREPARACAO_MEDICAMENTO"</f>
        <v>C_LISTA_PREPARACAO_MEDICAMENTO</v>
      </c>
      <c r="G8174" s="2" t="str">
        <f>"Clínica e Assistencial / Gerenciamento de Unidades / Enfermagem / Preparação de medicamentos / Lista de trabalho (C_LISTA_PREPARACAO_MEDICAMENTO)"</f>
        <v>Clínica e Assistencial / Gerenciamento de Unidades / Enfermagem / Preparação de medicamentos / Lista de trabalho (C_LISTA_PREPARACAO_MEDICAMENTO)</v>
      </c>
    </row>
    <row r="8175" spans="1:7" x14ac:dyDescent="0.3">
      <c r="A8175" s="1" t="s">
        <v>17</v>
      </c>
      <c r="B8175" s="2" t="str">
        <f t="shared" si="672"/>
        <v>SISTEMA DE GERENCIAMENTO DA UNIDADE</v>
      </c>
      <c r="C8175" s="2" t="str">
        <f t="shared" si="677"/>
        <v>PAGU</v>
      </c>
      <c r="D8175" s="2" t="str">
        <f t="shared" si="677"/>
        <v>PAGU</v>
      </c>
      <c r="E8175" s="2" t="str">
        <f>"ORDEM DE PROTOCOLO"</f>
        <v>ORDEM DE PROTOCOLO</v>
      </c>
      <c r="F8175" s="2" t="str">
        <f>"M_ORDEM_PROTOCOLO"</f>
        <v>M_ORDEM_PROTOCOLO</v>
      </c>
      <c r="G8175" s="2" t="str">
        <f>"Clínica e Assistencial / Gerenciamento de Unidades / Configuração / Tabelas / PEP / Ordem do Protocolo (M_ORDEM_PROTOCOLO)"</f>
        <v>Clínica e Assistencial / Gerenciamento de Unidades / Configuração / Tabelas / PEP / Ordem do Protocolo (M_ORDEM_PROTOCOLO)</v>
      </c>
    </row>
    <row r="8176" spans="1:7" x14ac:dyDescent="0.3">
      <c r="A8176" s="1" t="s">
        <v>17</v>
      </c>
      <c r="B8176" s="2" t="str">
        <f t="shared" ref="B8176:B8239" si="678">"SISTEMA DE GERENCIAMENTO DA UNIDADE"</f>
        <v>SISTEMA DE GERENCIAMENTO DA UNIDADE</v>
      </c>
      <c r="C8176" s="2" t="str">
        <f t="shared" si="677"/>
        <v>PAGU</v>
      </c>
      <c r="D8176" s="2" t="str">
        <f t="shared" si="677"/>
        <v>PAGU</v>
      </c>
      <c r="E8176" s="2" t="str">
        <f>"CADASTRO LOCAL DE AFERICAO"</f>
        <v>CADASTRO LOCAL DE AFERICAO</v>
      </c>
      <c r="F8176" s="2" t="str">
        <f>"M_LOCAL_AFERICAO"</f>
        <v>M_LOCAL_AFERICAO</v>
      </c>
      <c r="G8176" s="2" t="str">
        <f>"Clínica e Assistencial / Gerenciamento de Unidades / Configuração / Tabelas / PEP / Manutenção de partes do corpo humano (M_LOCAL_AFERICAO)"</f>
        <v>Clínica e Assistencial / Gerenciamento de Unidades / Configuração / Tabelas / PEP / Manutenção de partes do corpo humano (M_LOCAL_AFERICAO)</v>
      </c>
    </row>
    <row r="8177" spans="1:7" x14ac:dyDescent="0.3">
      <c r="A8177" s="1" t="s">
        <v>17</v>
      </c>
      <c r="B8177" s="2" t="str">
        <f t="shared" si="678"/>
        <v>SISTEMA DE GERENCIAMENTO DA UNIDADE</v>
      </c>
      <c r="C8177" s="2" t="str">
        <f t="shared" si="677"/>
        <v>PAGU</v>
      </c>
      <c r="D8177" s="2" t="str">
        <f t="shared" si="677"/>
        <v>PAGU</v>
      </c>
      <c r="E8177" s="2" t="str">
        <f>"CADASTRO POSICAO DO PACIENTE"</f>
        <v>CADASTRO POSICAO DO PACIENTE</v>
      </c>
      <c r="F8177" s="2" t="str">
        <f>"M_POSICAO_PACIENTE"</f>
        <v>M_POSICAO_PACIENTE</v>
      </c>
      <c r="G8177" s="2" t="str">
        <f>"Clínica e Assistencial / Gerenciamento de Unidades / Configuração / Tabelas / PEP / Posições do paciente (M_POSICAO_PACIENTE)"</f>
        <v>Clínica e Assistencial / Gerenciamento de Unidades / Configuração / Tabelas / PEP / Posições do paciente (M_POSICAO_PACIENTE)</v>
      </c>
    </row>
    <row r="8178" spans="1:7" x14ac:dyDescent="0.3">
      <c r="A8178" s="1" t="s">
        <v>17</v>
      </c>
      <c r="B8178" s="2" t="str">
        <f t="shared" si="678"/>
        <v>SISTEMA DE GERENCIAMENTO DA UNIDADE</v>
      </c>
      <c r="C8178" s="2" t="str">
        <f t="shared" si="677"/>
        <v>PAGU</v>
      </c>
      <c r="D8178" s="2" t="str">
        <f t="shared" si="677"/>
        <v>PAGU</v>
      </c>
      <c r="E8178" s="2" t="str">
        <f>"TRANSPLANTE DO CAD_PAC"</f>
        <v>TRANSPLANTE DO CAD_PAC</v>
      </c>
      <c r="F8178" s="2" t="str">
        <f>"M_TRANSPLANTE"</f>
        <v>M_TRANSPLANTE</v>
      </c>
      <c r="G8178" s="2" t="str">
        <f>" ()"</f>
        <v xml:space="preserve"> ()</v>
      </c>
    </row>
    <row r="8179" spans="1:7" x14ac:dyDescent="0.3">
      <c r="A8179" s="1" t="s">
        <v>17</v>
      </c>
      <c r="B8179" s="2" t="str">
        <f t="shared" si="678"/>
        <v>SISTEMA DE GERENCIAMENTO DA UNIDADE</v>
      </c>
      <c r="C8179" s="2" t="str">
        <f t="shared" si="677"/>
        <v>PAGU</v>
      </c>
      <c r="D8179" s="2" t="str">
        <f t="shared" si="677"/>
        <v>PAGU</v>
      </c>
      <c r="E8179" s="2" t="str">
        <f>"CADASTRO DE DISPOSITIVO"</f>
        <v>CADASTRO DE DISPOSITIVO</v>
      </c>
      <c r="F8179" s="2" t="str">
        <f>"M_DISPOSITIVO"</f>
        <v>M_DISPOSITIVO</v>
      </c>
      <c r="G8179" s="2" t="str">
        <f>"Clínica e Assistencial / Gerenciamento de Unidades / Configuração / Tabelas / PEP / CADASTRO DE DISPOSITIVO (M_DISPOSITIVO)"</f>
        <v>Clínica e Assistencial / Gerenciamento de Unidades / Configuração / Tabelas / PEP / CADASTRO DE DISPOSITIVO (M_DISPOSITIVO)</v>
      </c>
    </row>
    <row r="8180" spans="1:7" x14ac:dyDescent="0.3">
      <c r="A8180" s="1" t="s">
        <v>17</v>
      </c>
      <c r="B8180" s="2" t="str">
        <f t="shared" si="678"/>
        <v>SISTEMA DE GERENCIAMENTO DA UNIDADE</v>
      </c>
      <c r="C8180" s="2" t="str">
        <f t="shared" si="677"/>
        <v>PAGU</v>
      </c>
      <c r="D8180" s="2" t="str">
        <f t="shared" si="677"/>
        <v>PAGU</v>
      </c>
      <c r="E8180" s="2" t="str">
        <f>"TIPO DA ESPECIALIDADE"</f>
        <v>TIPO DA ESPECIALIDADE</v>
      </c>
      <c r="F8180" s="2" t="str">
        <f>"M_TIPO_ESPECIALIDADE"</f>
        <v>M_TIPO_ESPECIALIDADE</v>
      </c>
      <c r="G8180" s="2" t="str">
        <f>"Clínica e Assistencial / Gerenciamento de Unidades / Configuração / Tabelas / PEP / Tipo da especialidade (M_TIPO_ESPECIALIDADE)"</f>
        <v>Clínica e Assistencial / Gerenciamento de Unidades / Configuração / Tabelas / PEP / Tipo da especialidade (M_TIPO_ESPECIALIDADE)</v>
      </c>
    </row>
    <row r="8181" spans="1:7" x14ac:dyDescent="0.3">
      <c r="A8181" s="1" t="s">
        <v>17</v>
      </c>
      <c r="B8181" s="2" t="str">
        <f t="shared" si="678"/>
        <v>SISTEMA DE GERENCIAMENTO DA UNIDADE</v>
      </c>
      <c r="C8181" s="2" t="str">
        <f t="shared" si="677"/>
        <v>PAGU</v>
      </c>
      <c r="D8181" s="2" t="str">
        <f t="shared" si="677"/>
        <v>PAGU</v>
      </c>
      <c r="E8181" s="2" t="str">
        <f>"ESPECIALIDADE X TIPO DE ATENDIMENTO"</f>
        <v>ESPECIALIDADE X TIPO DE ATENDIMENTO</v>
      </c>
      <c r="F8181" s="2" t="str">
        <f>"M_ESPECIALIDADE_ATENDIMENTO"</f>
        <v>M_ESPECIALIDADE_ATENDIMENTO</v>
      </c>
      <c r="G8181" s="2" t="str">
        <f>"Clínica e Assistencial / Gerenciamento de Unidades / Configuração / Tabelas / PEP / Especialidade X Tipo de Atendimento (M_ESPECIALIDADE_ATENDIMENTO)"</f>
        <v>Clínica e Assistencial / Gerenciamento de Unidades / Configuração / Tabelas / PEP / Especialidade X Tipo de Atendimento (M_ESPECIALIDADE_ATENDIMENTO)</v>
      </c>
    </row>
    <row r="8182" spans="1:7" x14ac:dyDescent="0.3">
      <c r="A8182" s="1" t="s">
        <v>17</v>
      </c>
      <c r="B8182" s="2" t="str">
        <f t="shared" si="678"/>
        <v>SISTEMA DE GERENCIAMENTO DA UNIDADE</v>
      </c>
      <c r="C8182" s="2" t="str">
        <f t="shared" si="677"/>
        <v>PAGU</v>
      </c>
      <c r="D8182" s="2" t="str">
        <f t="shared" si="677"/>
        <v>PAGU</v>
      </c>
      <c r="E8182" s="2" t="str">
        <f>"GERA SOLICITACAO POR TURNO"</f>
        <v>GERA SOLICITACAO POR TURNO</v>
      </c>
      <c r="F8182" s="2" t="str">
        <f>"M_GERA_SOLIC_TURNO"</f>
        <v>M_GERA_SOLIC_TURNO</v>
      </c>
      <c r="G8182" s="2" t="str">
        <f>"Clínica e Assistencial / Gerenciamento de Unidades / Solicitação por Turno / Gera Solicitação por Turno (M_GERA_SOLIC_TURNO)"</f>
        <v>Clínica e Assistencial / Gerenciamento de Unidades / Solicitação por Turno / Gera Solicitação por Turno (M_GERA_SOLIC_TURNO)</v>
      </c>
    </row>
    <row r="8183" spans="1:7" x14ac:dyDescent="0.3">
      <c r="A8183" s="1" t="s">
        <v>17</v>
      </c>
      <c r="B8183" s="2" t="str">
        <f t="shared" si="678"/>
        <v>SISTEMA DE GERENCIAMENTO DA UNIDADE</v>
      </c>
      <c r="C8183" s="2" t="str">
        <f t="shared" si="677"/>
        <v>PAGU</v>
      </c>
      <c r="D8183" s="2" t="str">
        <f t="shared" si="677"/>
        <v>PAGU</v>
      </c>
      <c r="E8183" s="2" t="str">
        <f>"CONFIG RESULT X INTERVENCOES ENFERMAGEM"</f>
        <v>CONFIG RESULT X INTERVENCOES ENFERMAGEM</v>
      </c>
      <c r="F8183" s="2" t="str">
        <f>"M_CONFIG_RESULT_INTERV_ENF"</f>
        <v>M_CONFIG_RESULT_INTERV_ENF</v>
      </c>
      <c r="G8183" s="2" t="str">
        <f>"Clínica e Assistencial / Gerenciamento de Unidades / Configuração / Tabelas / (SAE)-Diagnóstico de Enfermagem / Configurações Resultados X Intervenções (M_CONFIG_RESULT_INTERV_ENF)"</f>
        <v>Clínica e Assistencial / Gerenciamento de Unidades / Configuração / Tabelas / (SAE)-Diagnóstico de Enfermagem / Configurações Resultados X Intervenções (M_CONFIG_RESULT_INTERV_ENF)</v>
      </c>
    </row>
    <row r="8184" spans="1:7" x14ac:dyDescent="0.3">
      <c r="A8184" s="1" t="s">
        <v>17</v>
      </c>
      <c r="B8184" s="2" t="str">
        <f t="shared" si="678"/>
        <v>SISTEMA DE GERENCIAMENTO DA UNIDADE</v>
      </c>
      <c r="C8184" s="2" t="str">
        <f t="shared" si="677"/>
        <v>PAGU</v>
      </c>
      <c r="D8184" s="2" t="str">
        <f t="shared" si="677"/>
        <v>PAGU</v>
      </c>
      <c r="E8184" s="2" t="str">
        <f>"COBRANCA X TRANSPORTE ALTA MEDICA"</f>
        <v>COBRANCA X TRANSPORTE ALTA MEDICA</v>
      </c>
      <c r="F8184" s="2" t="str">
        <f>"M_COBRANCA_TRANSP_ALT_MED"</f>
        <v>M_COBRANCA_TRANSP_ALT_MED</v>
      </c>
      <c r="G8184" s="2" t="str">
        <f>"Clínica e Assistencial / Gerenciamento de Unidades / Configuração / Tabelas / PEP / Cobrança X Transporte Alta Médica (M_COBRANCA_TRANSP_ALT_MED)"</f>
        <v>Clínica e Assistencial / Gerenciamento de Unidades / Configuração / Tabelas / PEP / Cobrança X Transporte Alta Médica (M_COBRANCA_TRANSP_ALT_MED)</v>
      </c>
    </row>
    <row r="8185" spans="1:7" x14ac:dyDescent="0.3">
      <c r="A8185" s="1" t="s">
        <v>17</v>
      </c>
      <c r="B8185" s="2" t="str">
        <f t="shared" si="678"/>
        <v>SISTEMA DE GERENCIAMENTO DA UNIDADE</v>
      </c>
      <c r="C8185" s="2" t="str">
        <f t="shared" si="677"/>
        <v>PAGU</v>
      </c>
      <c r="D8185" s="2" t="str">
        <f t="shared" si="677"/>
        <v>PAGU</v>
      </c>
      <c r="E8185" s="2" t="str">
        <f>"GRUPO DE BALANCO HIDRICO"</f>
        <v>GRUPO DE BALANCO HIDRICO</v>
      </c>
      <c r="F8185" s="2" t="str">
        <f>"M_GRUPO_ITEM_BALANCO_HIDRICO"</f>
        <v>M_GRUPO_ITEM_BALANCO_HIDRICO</v>
      </c>
      <c r="G8185" s="2" t="str">
        <f>"Clínica e Assistencial / Gerenciamento de Unidades / Configuração / Tabelas / PEP / Grupo do Balanço Hídrico (M_GRUPO_ITEM_BALANCO_HIDRICO)"</f>
        <v>Clínica e Assistencial / Gerenciamento de Unidades / Configuração / Tabelas / PEP / Grupo do Balanço Hídrico (M_GRUPO_ITEM_BALANCO_HIDRICO)</v>
      </c>
    </row>
    <row r="8186" spans="1:7" x14ac:dyDescent="0.3">
      <c r="A8186" s="1" t="s">
        <v>17</v>
      </c>
      <c r="B8186" s="2" t="str">
        <f t="shared" si="678"/>
        <v>SISTEMA DE GERENCIAMENTO DA UNIDADE</v>
      </c>
      <c r="C8186" s="2" t="str">
        <f t="shared" si="677"/>
        <v>PAGU</v>
      </c>
      <c r="D8186" s="2" t="str">
        <f t="shared" si="677"/>
        <v>PAGU</v>
      </c>
      <c r="E8186" s="2" t="str">
        <f>"CONSULTA DE PRONTUARIO DISTRIBUIDO"</f>
        <v>CONSULTA DE PRONTUARIO DISTRIBUIDO</v>
      </c>
      <c r="F8186" s="2" t="str">
        <f>"C_PRONTUARIO_DISTRIBUIDO"</f>
        <v>C_PRONTUARIO_DISTRIBUIDO</v>
      </c>
      <c r="G8186" s="2" t="str">
        <f>"Clínica e Assistencial / Gerenciamento de Unidades / Configuração / Tabelas / PEP / Prontuário Distribuído / Consulta de Log (C_PRONTUARIO_DISTRIBUIDO)"</f>
        <v>Clínica e Assistencial / Gerenciamento de Unidades / Configuração / Tabelas / PEP / Prontuário Distribuído / Consulta de Log (C_PRONTUARIO_DISTRIBUIDO)</v>
      </c>
    </row>
    <row r="8187" spans="1:7" x14ac:dyDescent="0.3">
      <c r="A8187" s="1" t="s">
        <v>17</v>
      </c>
      <c r="B8187" s="2" t="str">
        <f t="shared" si="678"/>
        <v>SISTEMA DE GERENCIAMENTO DA UNIDADE</v>
      </c>
      <c r="C8187" s="2" t="str">
        <f t="shared" si="677"/>
        <v>PAGU</v>
      </c>
      <c r="D8187" s="2" t="str">
        <f t="shared" si="677"/>
        <v>PAGU</v>
      </c>
      <c r="E8187" s="2" t="str">
        <f>"CONFIGURACAO DE PRONTUARIO DISTRIBUIDO"</f>
        <v>CONFIGURACAO DE PRONTUARIO DISTRIBUIDO</v>
      </c>
      <c r="F8187" s="2" t="str">
        <f>"M_PRONTUARIO_DISTRIBUIDO"</f>
        <v>M_PRONTUARIO_DISTRIBUIDO</v>
      </c>
      <c r="G8187" s="2" t="str">
        <f>"Clínica e Assistencial / Gerenciamento de Unidades / Configuração / Tabelas / PEP / Prontuário Distribuído / Configuração (M_PRONTUARIO_DISTRIBUIDO)"</f>
        <v>Clínica e Assistencial / Gerenciamento de Unidades / Configuração / Tabelas / PEP / Prontuário Distribuído / Configuração (M_PRONTUARIO_DISTRIBUIDO)</v>
      </c>
    </row>
    <row r="8188" spans="1:7" x14ac:dyDescent="0.3">
      <c r="A8188" s="1" t="s">
        <v>17</v>
      </c>
      <c r="B8188" s="2" t="str">
        <f t="shared" si="678"/>
        <v>SISTEMA DE GERENCIAMENTO DA UNIDADE</v>
      </c>
      <c r="C8188" s="2" t="str">
        <f t="shared" si="677"/>
        <v>PAGU</v>
      </c>
      <c r="D8188" s="2" t="str">
        <f t="shared" si="677"/>
        <v>PAGU</v>
      </c>
      <c r="E8188" s="2" t="str">
        <f>"CONSULTA PATOLOGIA GES"</f>
        <v>CONSULTA PATOLOGIA GES</v>
      </c>
      <c r="F8188" s="2" t="str">
        <f>"M_CONSULTA_PATOLOGIA_GES"</f>
        <v>M_CONSULTA_PATOLOGIA_GES</v>
      </c>
      <c r="G8188" s="2" t="str">
        <f>"Clínica e Assistencial / Gerenciamento de Unidades / Consultas / Consulta Patologia GES (M_CONSULTA_PATOLOGIA_GES)"</f>
        <v>Clínica e Assistencial / Gerenciamento de Unidades / Consultas / Consulta Patologia GES (M_CONSULTA_PATOLOGIA_GES)</v>
      </c>
    </row>
    <row r="8189" spans="1:7" x14ac:dyDescent="0.3">
      <c r="A8189" s="1" t="s">
        <v>17</v>
      </c>
      <c r="B8189" s="2" t="str">
        <f t="shared" si="678"/>
        <v>SISTEMA DE GERENCIAMENTO DA UNIDADE</v>
      </c>
      <c r="C8189" s="2" t="str">
        <f t="shared" si="677"/>
        <v>PAGU</v>
      </c>
      <c r="D8189" s="2" t="str">
        <f t="shared" si="677"/>
        <v>PAGU</v>
      </c>
      <c r="E8189" s="2" t="str">
        <f>"PATOLOGIA GES"</f>
        <v>PATOLOGIA GES</v>
      </c>
      <c r="F8189" s="2" t="str">
        <f>"M_PATOLOGIA_GES"</f>
        <v>M_PATOLOGIA_GES</v>
      </c>
      <c r="G8189" s="2" t="str">
        <f>"Clínica e Assistencial / Gerenciamento de Unidades / Configuração / Tabelas / PEP / Patologia GES (M_PATOLOGIA_GES)"</f>
        <v>Clínica e Assistencial / Gerenciamento de Unidades / Configuração / Tabelas / PEP / Patologia GES (M_PATOLOGIA_GES)</v>
      </c>
    </row>
    <row r="8190" spans="1:7" x14ac:dyDescent="0.3">
      <c r="A8190" s="1" t="s">
        <v>17</v>
      </c>
      <c r="B8190" s="2" t="str">
        <f t="shared" si="678"/>
        <v>SISTEMA DE GERENCIAMENTO DA UNIDADE</v>
      </c>
      <c r="C8190" s="2" t="str">
        <f t="shared" si="677"/>
        <v>PAGU</v>
      </c>
      <c r="D8190" s="2" t="str">
        <f t="shared" si="677"/>
        <v>PAGU</v>
      </c>
      <c r="E8190" s="2" t="str">
        <f>"GRUPO DE PATOLOGIA GES"</f>
        <v>GRUPO DE PATOLOGIA GES</v>
      </c>
      <c r="F8190" s="2" t="str">
        <f>"M_GRUPO_PATOLOGIA_GES"</f>
        <v>M_GRUPO_PATOLOGIA_GES</v>
      </c>
      <c r="G8190" s="2" t="str">
        <f>"Clínica e Assistencial / Gerenciamento de Unidades / Configuração / Tabelas / PEP / Grupos de Patologias GES (M_GRUPO_PATOLOGIA_GES)"</f>
        <v>Clínica e Assistencial / Gerenciamento de Unidades / Configuração / Tabelas / PEP / Grupos de Patologias GES (M_GRUPO_PATOLOGIA_GES)</v>
      </c>
    </row>
    <row r="8191" spans="1:7" x14ac:dyDescent="0.3">
      <c r="A8191" s="1" t="s">
        <v>17</v>
      </c>
      <c r="B8191" s="2" t="str">
        <f t="shared" si="678"/>
        <v>SISTEMA DE GERENCIAMENTO DA UNIDADE</v>
      </c>
      <c r="C8191" s="2" t="str">
        <f t="shared" si="677"/>
        <v>PAGU</v>
      </c>
      <c r="D8191" s="2" t="str">
        <f t="shared" si="677"/>
        <v>PAGU</v>
      </c>
      <c r="E8191" s="2" t="str">
        <f>"CONFIGURACOES PROTOCOLO"</f>
        <v>CONFIGURACOES PROTOCOLO</v>
      </c>
      <c r="F8191" s="2" t="str">
        <f>"M_CONFIGURACOES_PROTOCOLO"</f>
        <v>M_CONFIGURACOES_PROTOCOLO</v>
      </c>
      <c r="G8191" s="2" t="str">
        <f>"Clínica e Assistencial / Gerenciamento de Unidades / Configuração / Tabelas / PEP / Configurações de Protocolos (M_CONFIGURACOES_PROTOCOLO)"</f>
        <v>Clínica e Assistencial / Gerenciamento de Unidades / Configuração / Tabelas / PEP / Configurações de Protocolos (M_CONFIGURACOES_PROTOCOLO)</v>
      </c>
    </row>
    <row r="8192" spans="1:7" x14ac:dyDescent="0.3">
      <c r="A8192" s="1" t="s">
        <v>17</v>
      </c>
      <c r="B8192" s="2" t="str">
        <f t="shared" si="678"/>
        <v>SISTEMA DE GERENCIAMENTO DA UNIDADE</v>
      </c>
      <c r="C8192" s="2" t="str">
        <f t="shared" ref="C8192:D8211" si="679">"PAGU"</f>
        <v>PAGU</v>
      </c>
      <c r="D8192" s="2" t="str">
        <f t="shared" si="679"/>
        <v>PAGU</v>
      </c>
      <c r="E8192" s="2" t="str">
        <f>"LIBERAR AVALIACAO"</f>
        <v>LIBERAR AVALIACAO</v>
      </c>
      <c r="F8192" s="2" t="str">
        <f>"M_LIBERAR_AVALIACAO"</f>
        <v>M_LIBERAR_AVALIACAO</v>
      </c>
      <c r="G8192" s="2" t="str">
        <f>"Clínica e Assistencial / Gerenciamento de Unidades / Configuração / Tabelas / PEP / Liberação de Avaliação (M_LIBERAR_AVALIACAO)"</f>
        <v>Clínica e Assistencial / Gerenciamento de Unidades / Configuração / Tabelas / PEP / Liberação de Avaliação (M_LIBERAR_AVALIACAO)</v>
      </c>
    </row>
    <row r="8193" spans="1:7" x14ac:dyDescent="0.3">
      <c r="A8193" s="1" t="s">
        <v>17</v>
      </c>
      <c r="B8193" s="2" t="str">
        <f t="shared" si="678"/>
        <v>SISTEMA DE GERENCIAMENTO DA UNIDADE</v>
      </c>
      <c r="C8193" s="2" t="str">
        <f t="shared" si="679"/>
        <v>PAGU</v>
      </c>
      <c r="D8193" s="2" t="str">
        <f t="shared" si="679"/>
        <v>PAGU</v>
      </c>
      <c r="E8193" s="2" t="str">
        <f>"FUNCAO MEDICA"</f>
        <v>FUNCAO MEDICA</v>
      </c>
      <c r="F8193" s="2" t="str">
        <f>"M_FUNCAO_MEDICA"</f>
        <v>M_FUNCAO_MEDICA</v>
      </c>
      <c r="G8193" s="2" t="str">
        <f>"Clínica e Assistencial / Gerenciamento de Unidades / Configuração / Função Médica (M_FUNCAO_MEDICA)"</f>
        <v>Clínica e Assistencial / Gerenciamento de Unidades / Configuração / Função Médica (M_FUNCAO_MEDICA)</v>
      </c>
    </row>
    <row r="8194" spans="1:7" x14ac:dyDescent="0.3">
      <c r="A8194" s="1" t="s">
        <v>17</v>
      </c>
      <c r="B8194" s="2" t="str">
        <f t="shared" si="678"/>
        <v>SISTEMA DE GERENCIAMENTO DA UNIDADE</v>
      </c>
      <c r="C8194" s="2" t="str">
        <f t="shared" si="679"/>
        <v>PAGU</v>
      </c>
      <c r="D8194" s="2" t="str">
        <f t="shared" si="679"/>
        <v>PAGU</v>
      </c>
      <c r="E8194" s="2" t="str">
        <f>"ALERTAS PRESCRICAO"</f>
        <v>ALERTAS PRESCRICAO</v>
      </c>
      <c r="F8194" s="2" t="str">
        <f>"M_ALERTAS_PRESCRICAO"</f>
        <v>M_ALERTAS_PRESCRICAO</v>
      </c>
      <c r="G8194" s="2" t="str">
        <f>"Clínica e Assistencial / Gerenciamento de Unidades / Configuração / Tabelas / PEP / Alertas Prescrição (M_ALERTAS_PRESCRICAO)"</f>
        <v>Clínica e Assistencial / Gerenciamento de Unidades / Configuração / Tabelas / PEP / Alertas Prescrição (M_ALERTAS_PRESCRICAO)</v>
      </c>
    </row>
    <row r="8195" spans="1:7" x14ac:dyDescent="0.3">
      <c r="A8195" s="1" t="s">
        <v>17</v>
      </c>
      <c r="B8195" s="2" t="str">
        <f t="shared" si="678"/>
        <v>SISTEMA DE GERENCIAMENTO DA UNIDADE</v>
      </c>
      <c r="C8195" s="2" t="str">
        <f t="shared" si="679"/>
        <v>PAGU</v>
      </c>
      <c r="D8195" s="2" t="str">
        <f t="shared" si="679"/>
        <v>PAGU</v>
      </c>
      <c r="E8195" s="2" t="str">
        <f>"INTEGRACAO MVPEP"</f>
        <v>INTEGRACAO MVPEP</v>
      </c>
      <c r="F8195" s="2" t="str">
        <f>"M_INTEGRACAO_MVPEP"</f>
        <v>M_INTEGRACAO_MVPEP</v>
      </c>
      <c r="G8195" s="2" t="str">
        <f>" ()"</f>
        <v xml:space="preserve"> ()</v>
      </c>
    </row>
    <row r="8196" spans="1:7" x14ac:dyDescent="0.3">
      <c r="A8196" s="1" t="s">
        <v>4</v>
      </c>
      <c r="B8196" s="2" t="str">
        <f t="shared" si="678"/>
        <v>SISTEMA DE GERENCIAMENTO DA UNIDADE</v>
      </c>
      <c r="C8196" s="2" t="str">
        <f t="shared" si="679"/>
        <v>PAGU</v>
      </c>
      <c r="D8196" s="2" t="str">
        <f t="shared" si="679"/>
        <v>PAGU</v>
      </c>
      <c r="E8196" s="2" t="str">
        <f>"RELAT. DE PRESCRICAO QUIMIO POR ITEM"</f>
        <v>RELAT. DE PRESCRICAO QUIMIO POR ITEM</v>
      </c>
      <c r="F8196" s="2" t="str">
        <f>"MVPEP_MRP_NAO_DELETAR"</f>
        <v>MVPEP_MRP_NAO_DELETAR</v>
      </c>
      <c r="G8196" s="2" t="str">
        <f>" ()"</f>
        <v xml:space="preserve"> ()</v>
      </c>
    </row>
    <row r="8197" spans="1:7" x14ac:dyDescent="0.3">
      <c r="A8197" s="1" t="s">
        <v>17</v>
      </c>
      <c r="B8197" s="2" t="str">
        <f t="shared" si="678"/>
        <v>SISTEMA DE GERENCIAMENTO DA UNIDADE</v>
      </c>
      <c r="C8197" s="2" t="str">
        <f t="shared" si="679"/>
        <v>PAGU</v>
      </c>
      <c r="D8197" s="2" t="str">
        <f t="shared" si="679"/>
        <v>PAGU</v>
      </c>
      <c r="E8197" s="2" t="str">
        <f>"COBRANCA X ENCAMINHAMENTO"</f>
        <v>COBRANCA X ENCAMINHAMENTO</v>
      </c>
      <c r="F8197" s="2" t="str">
        <f>"M_COBRANCA_ENCAMINHAMENTO"</f>
        <v>M_COBRANCA_ENCAMINHAMENTO</v>
      </c>
      <c r="G8197" s="2" t="str">
        <f>"Clínica e Assistencial / Gerenciamento de Unidades / Configuração / Tabelas / PEP / Cobrança X Encaminhamento (M_COBRANCA_ENCAMINHAMENTO)"</f>
        <v>Clínica e Assistencial / Gerenciamento de Unidades / Configuração / Tabelas / PEP / Cobrança X Encaminhamento (M_COBRANCA_ENCAMINHAMENTO)</v>
      </c>
    </row>
    <row r="8198" spans="1:7" x14ac:dyDescent="0.3">
      <c r="A8198" s="1" t="s">
        <v>17</v>
      </c>
      <c r="B8198" s="2" t="str">
        <f t="shared" si="678"/>
        <v>SISTEMA DE GERENCIAMENTO DA UNIDADE</v>
      </c>
      <c r="C8198" s="2" t="str">
        <f t="shared" si="679"/>
        <v>PAGU</v>
      </c>
      <c r="D8198" s="2" t="str">
        <f t="shared" si="679"/>
        <v>PAGU</v>
      </c>
      <c r="E8198" s="2" t="str">
        <f>"CONFIGURACAO DE SISTEMAS INTEGRADOS"</f>
        <v>CONFIGURACAO DE SISTEMAS INTEGRADOS</v>
      </c>
      <c r="F8198" s="2" t="str">
        <f>"M_SISTEMA_INTEGRADO_PAGU"</f>
        <v>M_SISTEMA_INTEGRADO_PAGU</v>
      </c>
      <c r="G8198" s="2" t="str">
        <f>"Clínica e Assistencial / Gerenciamento de Unidades / Configuração / Configurar Sistema Integrado (M_SISTEMA_INTEGRADO_PAGU)"</f>
        <v>Clínica e Assistencial / Gerenciamento de Unidades / Configuração / Configurar Sistema Integrado (M_SISTEMA_INTEGRADO_PAGU)</v>
      </c>
    </row>
    <row r="8199" spans="1:7" x14ac:dyDescent="0.3">
      <c r="A8199" s="1" t="s">
        <v>17</v>
      </c>
      <c r="B8199" s="2" t="str">
        <f t="shared" si="678"/>
        <v>SISTEMA DE GERENCIAMENTO DA UNIDADE</v>
      </c>
      <c r="C8199" s="2" t="str">
        <f t="shared" si="679"/>
        <v>PAGU</v>
      </c>
      <c r="D8199" s="2" t="str">
        <f t="shared" si="679"/>
        <v>PAGU</v>
      </c>
      <c r="E8199" s="2" t="str">
        <f>"AUTORIZACAO DE PENDENCIA DE ASSINATURA"</f>
        <v>AUTORIZACAO DE PENDENCIA DE ASSINATURA</v>
      </c>
      <c r="F8199" s="2" t="str">
        <f>"M_AUTORIZA_PENDENCIA_ASSINAT"</f>
        <v>M_AUTORIZA_PENDENCIA_ASSINAT</v>
      </c>
      <c r="G8199" s="2" t="str">
        <f>"Clínica e Assistencial / Gerenciamento de Unidades / Configuração / Tabelas / PEP / Assinatura Digital / Autorização de Pendência de Assinatura (M_AUTORIZA_PENDENCIA_ASSINAT)"</f>
        <v>Clínica e Assistencial / Gerenciamento de Unidades / Configuração / Tabelas / PEP / Assinatura Digital / Autorização de Pendência de Assinatura (M_AUTORIZA_PENDENCIA_ASSINAT)</v>
      </c>
    </row>
    <row r="8200" spans="1:7" x14ac:dyDescent="0.3">
      <c r="A8200" s="1" t="s">
        <v>17</v>
      </c>
      <c r="B8200" s="2" t="str">
        <f t="shared" si="678"/>
        <v>SISTEMA DE GERENCIAMENTO DA UNIDADE</v>
      </c>
      <c r="C8200" s="2" t="str">
        <f t="shared" si="679"/>
        <v>PAGU</v>
      </c>
      <c r="D8200" s="2" t="str">
        <f t="shared" si="679"/>
        <v>PAGU</v>
      </c>
      <c r="E8200" s="2" t="str">
        <f>"CRIPTOGRAFIA DE PROPERTIES DA APLICACAO"</f>
        <v>CRIPTOGRAFIA DE PROPERTIES DA APLICACAO</v>
      </c>
      <c r="F8200" s="2" t="str">
        <f>"M_CRIPTO_PROPERTIES"</f>
        <v>M_CRIPTO_PROPERTIES</v>
      </c>
      <c r="G8200" s="2" t="str">
        <f>"Clínica e Assistencial / Gerenciamento de Unidades / Configuração / Tabelas / Criptografia de Properties (M_CRIPTO_PROPERTIES)"</f>
        <v>Clínica e Assistencial / Gerenciamento de Unidades / Configuração / Tabelas / Criptografia de Properties (M_CRIPTO_PROPERTIES)</v>
      </c>
    </row>
    <row r="8201" spans="1:7" x14ac:dyDescent="0.3">
      <c r="A8201" s="1" t="s">
        <v>17</v>
      </c>
      <c r="B8201" s="2" t="str">
        <f t="shared" si="678"/>
        <v>SISTEMA DE GERENCIAMENTO DA UNIDADE</v>
      </c>
      <c r="C8201" s="2" t="str">
        <f t="shared" si="679"/>
        <v>PAGU</v>
      </c>
      <c r="D8201" s="2" t="str">
        <f t="shared" si="679"/>
        <v>PAGU</v>
      </c>
      <c r="E8201" s="2" t="str">
        <f>"STATUS DE DOCUMENTO"</f>
        <v>STATUS DE DOCUMENTO</v>
      </c>
      <c r="F8201" s="2" t="str">
        <f>"M_STATUS_ARQUIVO_ATENDIMENTO"</f>
        <v>M_STATUS_ARQUIVO_ATENDIMENTO</v>
      </c>
      <c r="G8201" s="2" t="str">
        <f>"Clínica e Assistencial / Gerenciamento de Unidades / Configuração / Tabelas / Status de Documento (M_STATUS_ARQUIVO_ATENDIMENTO)"</f>
        <v>Clínica e Assistencial / Gerenciamento de Unidades / Configuração / Tabelas / Status de Documento (M_STATUS_ARQUIVO_ATENDIMENTO)</v>
      </c>
    </row>
    <row r="8202" spans="1:7" x14ac:dyDescent="0.3">
      <c r="A8202" s="1" t="s">
        <v>17</v>
      </c>
      <c r="B8202" s="2" t="str">
        <f t="shared" si="678"/>
        <v>SISTEMA DE GERENCIAMENTO DA UNIDADE</v>
      </c>
      <c r="C8202" s="2" t="str">
        <f t="shared" si="679"/>
        <v>PAGU</v>
      </c>
      <c r="D8202" s="2" t="str">
        <f t="shared" si="679"/>
        <v>PAGU</v>
      </c>
      <c r="E8202" s="2" t="str">
        <f>"EDICAO DO REGISTRO DE PLANTAO"</f>
        <v>EDICAO DO REGISTRO DE PLANTAO</v>
      </c>
      <c r="F8202" s="2" t="str">
        <f>"M_REGISTRO_PLANTAO_EDITAR"</f>
        <v>M_REGISTRO_PLANTAO_EDITAR</v>
      </c>
      <c r="G8202" s="2" t="str">
        <f>"Clínica e Assistencial / Gerenciamento de Unidades / Configuração / Tabelas / PEP / Administra Registro de Plantão (M_REGISTRO_PLANTAO_EDITAR)"</f>
        <v>Clínica e Assistencial / Gerenciamento de Unidades / Configuração / Tabelas / PEP / Administra Registro de Plantão (M_REGISTRO_PLANTAO_EDITAR)</v>
      </c>
    </row>
    <row r="8203" spans="1:7" x14ac:dyDescent="0.3">
      <c r="A8203" s="1" t="s">
        <v>17</v>
      </c>
      <c r="B8203" s="2" t="str">
        <f t="shared" si="678"/>
        <v>SISTEMA DE GERENCIAMENTO DA UNIDADE</v>
      </c>
      <c r="C8203" s="2" t="str">
        <f t="shared" si="679"/>
        <v>PAGU</v>
      </c>
      <c r="D8203" s="2" t="str">
        <f t="shared" si="679"/>
        <v>PAGU</v>
      </c>
      <c r="E8203" s="2" t="str">
        <f>"REGISTRO DE PLANTAO"</f>
        <v>REGISTRO DE PLANTAO</v>
      </c>
      <c r="F8203" s="2" t="str">
        <f>"M_REGISTRO_PLANTAO"</f>
        <v>M_REGISTRO_PLANTAO</v>
      </c>
      <c r="G8203" s="2" t="str">
        <f>"Clínica e Assistencial / Gerenciamento de Unidades / Configuração / Tabelas / PEP / Registro de Plantão (M_REGISTRO_PLANTAO)"</f>
        <v>Clínica e Assistencial / Gerenciamento de Unidades / Configuração / Tabelas / PEP / Registro de Plantão (M_REGISTRO_PLANTAO)</v>
      </c>
    </row>
    <row r="8204" spans="1:7" x14ac:dyDescent="0.3">
      <c r="A8204" s="1" t="s">
        <v>17</v>
      </c>
      <c r="B8204" s="2" t="str">
        <f t="shared" si="678"/>
        <v>SISTEMA DE GERENCIAMENTO DA UNIDADE</v>
      </c>
      <c r="C8204" s="2" t="str">
        <f t="shared" si="679"/>
        <v>PAGU</v>
      </c>
      <c r="D8204" s="2" t="str">
        <f t="shared" si="679"/>
        <v>PAGU</v>
      </c>
      <c r="E8204" s="2" t="str">
        <f>"CADASTRO DE ICONES POR MODULOS"</f>
        <v>CADASTRO DE ICONES POR MODULOS</v>
      </c>
      <c r="F8204" s="2" t="str">
        <f>"M_ICONES_MENU"</f>
        <v>M_ICONES_MENU</v>
      </c>
      <c r="G8204" s="2" t="str">
        <f>"Clínica e Assistencial / Gerenciamento de Unidades / Configuração / Tabelas / PEP / Icones do Menu (M_ICONES_MENU)"</f>
        <v>Clínica e Assistencial / Gerenciamento de Unidades / Configuração / Tabelas / PEP / Icones do Menu (M_ICONES_MENU)</v>
      </c>
    </row>
    <row r="8205" spans="1:7" x14ac:dyDescent="0.3">
      <c r="A8205" s="1" t="s">
        <v>17</v>
      </c>
      <c r="B8205" s="2" t="str">
        <f t="shared" si="678"/>
        <v>SISTEMA DE GERENCIAMENTO DA UNIDADE</v>
      </c>
      <c r="C8205" s="2" t="str">
        <f t="shared" si="679"/>
        <v>PAGU</v>
      </c>
      <c r="D8205" s="2" t="str">
        <f t="shared" si="679"/>
        <v>PAGU</v>
      </c>
      <c r="E8205" s="2" t="str">
        <f>"AJUSTE DE LEGADO"</f>
        <v>AJUSTE DE LEGADO</v>
      </c>
      <c r="F8205" s="2" t="str">
        <f>"M_AJUSTE_LEGADO"</f>
        <v>M_AJUSTE_LEGADO</v>
      </c>
      <c r="G8205" s="2" t="str">
        <f>"Clínica e Assistencial / Gerenciamento de Unidades / Configuração / Tabelas / PEP / Ajuste de Legado (M_AJUSTE_LEGADO)"</f>
        <v>Clínica e Assistencial / Gerenciamento de Unidades / Configuração / Tabelas / PEP / Ajuste de Legado (M_AJUSTE_LEGADO)</v>
      </c>
    </row>
    <row r="8206" spans="1:7" x14ac:dyDescent="0.3">
      <c r="A8206" s="1" t="s">
        <v>17</v>
      </c>
      <c r="B8206" s="2" t="str">
        <f t="shared" si="678"/>
        <v>SISTEMA DE GERENCIAMENTO DA UNIDADE</v>
      </c>
      <c r="C8206" s="2" t="str">
        <f t="shared" si="679"/>
        <v>PAGU</v>
      </c>
      <c r="D8206" s="2" t="str">
        <f t="shared" si="679"/>
        <v>PAGU</v>
      </c>
      <c r="E8206" s="2" t="str">
        <f>"CONFIG ASSINATURA DIGITAL POR USUARIO"</f>
        <v>CONFIG ASSINATURA DIGITAL POR USUARIO</v>
      </c>
      <c r="F8206" s="2" t="str">
        <f>"M_CONFIG_ASSINATURA_DIGIT_USU_MVPEP"</f>
        <v>M_CONFIG_ASSINATURA_DIGIT_USU_MVPEP</v>
      </c>
      <c r="G8206" s="2" t="str">
        <f>"Clínica e Assistencial / Gerenciamento de Unidades / Configuração / Tabelas / PEP / Assinatura Digital / Assinatura de Usuário (M_CONFIG_ASSINATURA_DIGIT_USU_MVPEP)"</f>
        <v>Clínica e Assistencial / Gerenciamento de Unidades / Configuração / Tabelas / PEP / Assinatura Digital / Assinatura de Usuário (M_CONFIG_ASSINATURA_DIGIT_USU_MVPEP)</v>
      </c>
    </row>
    <row r="8207" spans="1:7" x14ac:dyDescent="0.3">
      <c r="A8207" s="1" t="s">
        <v>17</v>
      </c>
      <c r="B8207" s="2" t="str">
        <f t="shared" si="678"/>
        <v>SISTEMA DE GERENCIAMENTO DA UNIDADE</v>
      </c>
      <c r="C8207" s="2" t="str">
        <f t="shared" si="679"/>
        <v>PAGU</v>
      </c>
      <c r="D8207" s="2" t="str">
        <f t="shared" si="679"/>
        <v>PAGU</v>
      </c>
      <c r="E8207" s="2" t="str">
        <f>"CONFIG ASSINATURA DIGITAL POR EMPRESA"</f>
        <v>CONFIG ASSINATURA DIGITAL POR EMPRESA</v>
      </c>
      <c r="F8207" s="2" t="str">
        <f>"M_CONFIG_ASSINATURA_DIGIT_EMP_MVPEP"</f>
        <v>M_CONFIG_ASSINATURA_DIGIT_EMP_MVPEP</v>
      </c>
      <c r="G8207" s="2" t="str">
        <f>"Clínica e Assistencial / Gerenciamento de Unidades / Configuração / Tabelas / PEP / Assinatura Digital / Assinatura de Empresa (M_CONFIG_ASSINATURA_DIGIT_EMP_MVPEP)"</f>
        <v>Clínica e Assistencial / Gerenciamento de Unidades / Configuração / Tabelas / PEP / Assinatura Digital / Assinatura de Empresa (M_CONFIG_ASSINATURA_DIGIT_EMP_MVPEP)</v>
      </c>
    </row>
    <row r="8208" spans="1:7" x14ac:dyDescent="0.3">
      <c r="A8208" s="1" t="s">
        <v>17</v>
      </c>
      <c r="B8208" s="2" t="str">
        <f t="shared" si="678"/>
        <v>SISTEMA DE GERENCIAMENTO DA UNIDADE</v>
      </c>
      <c r="C8208" s="2" t="str">
        <f t="shared" si="679"/>
        <v>PAGU</v>
      </c>
      <c r="D8208" s="2" t="str">
        <f t="shared" si="679"/>
        <v>PAGU</v>
      </c>
      <c r="E8208" s="2" t="str">
        <f>"FATORES DE UNIDADES DE AFERICAO"</f>
        <v>FATORES DE UNIDADES DE AFERICAO</v>
      </c>
      <c r="F8208" s="2" t="str">
        <f>"M_FATOR_UNIDADE"</f>
        <v>M_FATOR_UNIDADE</v>
      </c>
      <c r="G8208" s="2" t="str">
        <f>"Clínica e Assistencial / Gerenciamento de Unidades / Configuração / Tabelas / PEP / Fatores de Unidade de Aferição (M_FATOR_UNIDADE)"</f>
        <v>Clínica e Assistencial / Gerenciamento de Unidades / Configuração / Tabelas / PEP / Fatores de Unidade de Aferição (M_FATOR_UNIDADE)</v>
      </c>
    </row>
    <row r="8209" spans="1:7" x14ac:dyDescent="0.3">
      <c r="A8209" s="1" t="s">
        <v>17</v>
      </c>
      <c r="B8209" s="2" t="str">
        <f t="shared" si="678"/>
        <v>SISTEMA DE GERENCIAMENTO DA UNIDADE</v>
      </c>
      <c r="C8209" s="2" t="str">
        <f t="shared" si="679"/>
        <v>PAGU</v>
      </c>
      <c r="D8209" s="2" t="str">
        <f t="shared" si="679"/>
        <v>PAGU</v>
      </c>
      <c r="E8209" s="2" t="str">
        <f>"GRAFICOS CLINICOS"</f>
        <v>GRAFICOS CLINICOS</v>
      </c>
      <c r="F8209" s="2" t="str">
        <f>"M_CURVA_CRESCIMENTO"</f>
        <v>M_CURVA_CRESCIMENTO</v>
      </c>
      <c r="G8209" s="2" t="str">
        <f>"Clínica e Assistencial / Gerenciamento de Unidades / Configuração / Tabelas / PEP / Gráficos Clínicos (M_CURVA_CRESCIMENTO)"</f>
        <v>Clínica e Assistencial / Gerenciamento de Unidades / Configuração / Tabelas / PEP / Gráficos Clínicos (M_CURVA_CRESCIMENTO)</v>
      </c>
    </row>
    <row r="8210" spans="1:7" x14ac:dyDescent="0.3">
      <c r="A8210" s="1" t="s">
        <v>4</v>
      </c>
      <c r="B8210" s="2" t="str">
        <f t="shared" si="678"/>
        <v>SISTEMA DE GERENCIAMENTO DA UNIDADE</v>
      </c>
      <c r="C8210" s="2" t="str">
        <f t="shared" si="679"/>
        <v>PAGU</v>
      </c>
      <c r="D8210" s="2" t="str">
        <f t="shared" si="679"/>
        <v>PAGU</v>
      </c>
      <c r="E8210" s="2" t="str">
        <f>"RELATORIO DE PRESCRICAO MEDICA HOME CARE"</f>
        <v>RELATORIO DE PRESCRICAO MEDICA HOME CARE</v>
      </c>
      <c r="F8210" s="2" t="str">
        <f>"R_PREMED_HCARE"</f>
        <v>R_PREMED_HCARE</v>
      </c>
      <c r="G8210" s="2" t="str">
        <f>" ()"</f>
        <v xml:space="preserve"> ()</v>
      </c>
    </row>
    <row r="8211" spans="1:7" x14ac:dyDescent="0.3">
      <c r="A8211" s="1" t="s">
        <v>17</v>
      </c>
      <c r="B8211" s="2" t="str">
        <f t="shared" si="678"/>
        <v>SISTEMA DE GERENCIAMENTO DA UNIDADE</v>
      </c>
      <c r="C8211" s="2" t="str">
        <f t="shared" si="679"/>
        <v>PAGU</v>
      </c>
      <c r="D8211" s="2" t="str">
        <f t="shared" si="679"/>
        <v>PAGU</v>
      </c>
      <c r="E8211" s="2" t="str">
        <f>"CADASTRO DE GRUPO DE CRITERIOS"</f>
        <v>CADASTRO DE GRUPO DE CRITERIOS</v>
      </c>
      <c r="F8211" s="2" t="str">
        <f>"M_CAD_CRITERIO"</f>
        <v>M_CAD_CRITERIO</v>
      </c>
      <c r="G8211" s="2" t="str">
        <f>"Clínica e Assistencial / Gerenciamento de Unidades / Configuração / Tabelas / Cadastro de Grupo de Critérios (M_CAD_CRITERIO)"</f>
        <v>Clínica e Assistencial / Gerenciamento de Unidades / Configuração / Tabelas / Cadastro de Grupo de Critérios (M_CAD_CRITERIO)</v>
      </c>
    </row>
    <row r="8212" spans="1:7" x14ac:dyDescent="0.3">
      <c r="A8212" s="1" t="s">
        <v>17</v>
      </c>
      <c r="B8212" s="2" t="str">
        <f t="shared" si="678"/>
        <v>SISTEMA DE GERENCIAMENTO DA UNIDADE</v>
      </c>
      <c r="C8212" s="2" t="str">
        <f t="shared" ref="C8212:D8231" si="680">"PAGU"</f>
        <v>PAGU</v>
      </c>
      <c r="D8212" s="2" t="str">
        <f t="shared" si="680"/>
        <v>PAGU</v>
      </c>
      <c r="E8212" s="2" t="str">
        <f>"MAQUINA X SETOR"</f>
        <v>MAQUINA X SETOR</v>
      </c>
      <c r="F8212" s="2" t="str">
        <f>"M_CAD_MAQUINA_SETOR_MVPEP"</f>
        <v>M_CAD_MAQUINA_SETOR_MVPEP</v>
      </c>
      <c r="G8212" s="2" t="str">
        <f>"Clínica e Assistencial / Gerenciamento de Unidades / Configuração / Tabelas / PEP / Máquina x Setor (M_CAD_MAQUINA_SETOR_MVPEP)"</f>
        <v>Clínica e Assistencial / Gerenciamento de Unidades / Configuração / Tabelas / PEP / Máquina x Setor (M_CAD_MAQUINA_SETOR_MVPEP)</v>
      </c>
    </row>
    <row r="8213" spans="1:7" x14ac:dyDescent="0.3">
      <c r="A8213" s="1" t="s">
        <v>4</v>
      </c>
      <c r="B8213" s="2" t="str">
        <f t="shared" si="678"/>
        <v>SISTEMA DE GERENCIAMENTO DA UNIDADE</v>
      </c>
      <c r="C8213" s="2" t="str">
        <f t="shared" si="680"/>
        <v>PAGU</v>
      </c>
      <c r="D8213" s="2" t="str">
        <f t="shared" si="680"/>
        <v>PAGU</v>
      </c>
      <c r="E8213" s="2" t="str">
        <f>"Cadastro Tipos de Itens de Aferição"</f>
        <v>Cadastro Tipos de Itens de Aferição</v>
      </c>
      <c r="F8213" s="2" t="str">
        <f>"M_CAD_NOVO_TIPO_AFERICAO"</f>
        <v>M_CAD_NOVO_TIPO_AFERICAO</v>
      </c>
      <c r="G8213" s="2" t="str">
        <f>"Cadastro Tipos de Itens de Aferi? (M_CAD_NOVO_TIPO_AFERICAO)"</f>
        <v>Cadastro Tipos de Itens de Aferi? (M_CAD_NOVO_TIPO_AFERICAO)</v>
      </c>
    </row>
    <row r="8214" spans="1:7" x14ac:dyDescent="0.3">
      <c r="A8214" s="1" t="s">
        <v>4</v>
      </c>
      <c r="B8214" s="2" t="str">
        <f t="shared" si="678"/>
        <v>SISTEMA DE GERENCIAMENTO DA UNIDADE</v>
      </c>
      <c r="C8214" s="2" t="str">
        <f t="shared" si="680"/>
        <v>PAGU</v>
      </c>
      <c r="D8214" s="2" t="str">
        <f t="shared" si="680"/>
        <v>PAGU</v>
      </c>
      <c r="E8214" s="2" t="str">
        <f>"Cadastro Tipos de Itens de Aferição"</f>
        <v>Cadastro Tipos de Itens de Aferição</v>
      </c>
      <c r="F8214" s="2" t="str">
        <f>"M_CAD_NOVO_TIPO_AFERICAO"</f>
        <v>M_CAD_NOVO_TIPO_AFERICAO</v>
      </c>
      <c r="G8214" s="2" t="str">
        <f>"Cadastro Tipos de Itens de Aferição (M_CAD_NOVO_TIPO_AFERICAO)"</f>
        <v>Cadastro Tipos de Itens de Aferição (M_CAD_NOVO_TIPO_AFERICAO)</v>
      </c>
    </row>
    <row r="8215" spans="1:7" x14ac:dyDescent="0.3">
      <c r="A8215" s="1" t="s">
        <v>17</v>
      </c>
      <c r="B8215" s="2" t="str">
        <f t="shared" si="678"/>
        <v>SISTEMA DE GERENCIAMENTO DA UNIDADE</v>
      </c>
      <c r="C8215" s="2" t="str">
        <f t="shared" si="680"/>
        <v>PAGU</v>
      </c>
      <c r="D8215" s="2" t="str">
        <f t="shared" si="680"/>
        <v>PAGU</v>
      </c>
      <c r="E8215" s="2" t="str">
        <f>"PAINEL CLINICO GRUPO"</f>
        <v>PAINEL CLINICO GRUPO</v>
      </c>
      <c r="F8215" s="2" t="str">
        <f>"M_PAINEL_CLINICO_GRUPO"</f>
        <v>M_PAINEL_CLINICO_GRUPO</v>
      </c>
      <c r="G8215" s="2" t="str">
        <f>"Clínica e Assistencial / Gerenciamento de Unidades / Configuração / Tabelas / PEP / Cadastro de Grupos Painel Clínico (M_PAINEL_CLINICO_GRUPO)"</f>
        <v>Clínica e Assistencial / Gerenciamento de Unidades / Configuração / Tabelas / PEP / Cadastro de Grupos Painel Clínico (M_PAINEL_CLINICO_GRUPO)</v>
      </c>
    </row>
    <row r="8216" spans="1:7" x14ac:dyDescent="0.3">
      <c r="A8216" s="1" t="s">
        <v>17</v>
      </c>
      <c r="B8216" s="2" t="str">
        <f t="shared" si="678"/>
        <v>SISTEMA DE GERENCIAMENTO DA UNIDADE</v>
      </c>
      <c r="C8216" s="2" t="str">
        <f t="shared" si="680"/>
        <v>PAGU</v>
      </c>
      <c r="D8216" s="2" t="str">
        <f t="shared" si="680"/>
        <v>PAGU</v>
      </c>
      <c r="E8216" s="2" t="str">
        <f>"Avaliação Farmacêutica"</f>
        <v>Avaliação Farmacêutica</v>
      </c>
      <c r="F8216" s="2" t="str">
        <f>"M_CONFIG_AVAL_FARMACIA"</f>
        <v>M_CONFIG_AVAL_FARMACIA</v>
      </c>
      <c r="G8216" s="2" t="str">
        <f>" ()"</f>
        <v xml:space="preserve"> ()</v>
      </c>
    </row>
    <row r="8217" spans="1:7" x14ac:dyDescent="0.3">
      <c r="A8217" s="1" t="s">
        <v>17</v>
      </c>
      <c r="B8217" s="2" t="str">
        <f t="shared" si="678"/>
        <v>SISTEMA DE GERENCIAMENTO DA UNIDADE</v>
      </c>
      <c r="C8217" s="2" t="str">
        <f t="shared" si="680"/>
        <v>PAGU</v>
      </c>
      <c r="D8217" s="2" t="str">
        <f t="shared" si="680"/>
        <v>PAGU</v>
      </c>
      <c r="E8217" s="2" t="str">
        <f>"CONFIG. LINHA DO TEMPO"</f>
        <v>CONFIG. LINHA DO TEMPO</v>
      </c>
      <c r="F8217" s="2" t="str">
        <f>"M_CONFIG_LINHA_TEMPO"</f>
        <v>M_CONFIG_LINHA_TEMPO</v>
      </c>
      <c r="G8217" s="2" t="str">
        <f>"Clínica e Assistencial / Gerenciamento de Unidades / Configuração / Tabelas / Configuração de Linha da vida (M_CONFIG_LINHA_TEMPO)"</f>
        <v>Clínica e Assistencial / Gerenciamento de Unidades / Configuração / Tabelas / Configuração de Linha da vida (M_CONFIG_LINHA_TEMPO)</v>
      </c>
    </row>
    <row r="8218" spans="1:7" x14ac:dyDescent="0.3">
      <c r="A8218" s="1" t="s">
        <v>17</v>
      </c>
      <c r="B8218" s="2" t="str">
        <f t="shared" si="678"/>
        <v>SISTEMA DE GERENCIAMENTO DA UNIDADE</v>
      </c>
      <c r="C8218" s="2" t="str">
        <f t="shared" si="680"/>
        <v>PAGU</v>
      </c>
      <c r="D8218" s="2" t="str">
        <f t="shared" si="680"/>
        <v>PAGU</v>
      </c>
      <c r="E8218" s="2" t="str">
        <f>"EQUIPE ASSISTENCIAL"</f>
        <v>EQUIPE ASSISTENCIAL</v>
      </c>
      <c r="F8218" s="2" t="str">
        <f>"M_EQUIPE_ASSISTENCIAL"</f>
        <v>M_EQUIPE_ASSISTENCIAL</v>
      </c>
      <c r="G8218" s="2" t="str">
        <f>"Clínica e Assistencial / Gerenciamento de Unidades / Configuração / Tabelas / Equipe Assistencial (M_EQUIPE_ASSISTENCIAL)"</f>
        <v>Clínica e Assistencial / Gerenciamento de Unidades / Configuração / Tabelas / Equipe Assistencial (M_EQUIPE_ASSISTENCIAL)</v>
      </c>
    </row>
    <row r="8219" spans="1:7" x14ac:dyDescent="0.3">
      <c r="A8219" s="1" t="s">
        <v>17</v>
      </c>
      <c r="B8219" s="2" t="str">
        <f t="shared" si="678"/>
        <v>SISTEMA DE GERENCIAMENTO DA UNIDADE</v>
      </c>
      <c r="C8219" s="2" t="str">
        <f t="shared" si="680"/>
        <v>PAGU</v>
      </c>
      <c r="D8219" s="2" t="str">
        <f t="shared" si="680"/>
        <v>PAGU</v>
      </c>
      <c r="E8219" s="2" t="str">
        <f>"PRESTADOR PADRAO CIRURGIA"</f>
        <v>PRESTADOR PADRAO CIRURGIA</v>
      </c>
      <c r="F8219" s="2" t="str">
        <f>"M_PRESTADOR_PADRAO_CIRURGIA"</f>
        <v>M_PRESTADOR_PADRAO_CIRURGIA</v>
      </c>
      <c r="G8219" s="2" t="str">
        <f>"Clínica e Assistencial / Gerenciamento de Unidades / Configuração / Tabelas / PEP / Prestador Padrão Cirurgia (M_PRESTADOR_PADRAO_CIRURGIA)"</f>
        <v>Clínica e Assistencial / Gerenciamento de Unidades / Configuração / Tabelas / PEP / Prestador Padrão Cirurgia (M_PRESTADOR_PADRAO_CIRURGIA)</v>
      </c>
    </row>
    <row r="8220" spans="1:7" x14ac:dyDescent="0.3">
      <c r="A8220" s="1" t="s">
        <v>17</v>
      </c>
      <c r="B8220" s="2" t="str">
        <f t="shared" si="678"/>
        <v>SISTEMA DE GERENCIAMENTO DA UNIDADE</v>
      </c>
      <c r="C8220" s="2" t="str">
        <f t="shared" si="680"/>
        <v>PAGU</v>
      </c>
      <c r="D8220" s="2" t="str">
        <f t="shared" si="680"/>
        <v>PAGU</v>
      </c>
      <c r="E8220" s="2" t="str">
        <f>"CONSULTA DE PACIENTES X PESQUISA"</f>
        <v>CONSULTA DE PACIENTES X PESQUISA</v>
      </c>
      <c r="F8220" s="2" t="str">
        <f>"C_PACIENTES_PESQUISA_ONCO"</f>
        <v>C_PACIENTES_PESQUISA_ONCO</v>
      </c>
      <c r="G8220" s="2" t="str">
        <f>"Clínica e Assistencial / Gerenciamento de Unidades / Configuração / Tabelas / PEP / Oncologia / Consulta de paciente elegível à pesquisa científica (C_PACIENTES_PESQUISA_ONCO)"</f>
        <v>Clínica e Assistencial / Gerenciamento de Unidades / Configuração / Tabelas / PEP / Oncologia / Consulta de paciente elegível à pesquisa científica (C_PACIENTES_PESQUISA_ONCO)</v>
      </c>
    </row>
    <row r="8221" spans="1:7" x14ac:dyDescent="0.3">
      <c r="A8221" s="1" t="s">
        <v>17</v>
      </c>
      <c r="B8221" s="2" t="str">
        <f t="shared" si="678"/>
        <v>SISTEMA DE GERENCIAMENTO DA UNIDADE</v>
      </c>
      <c r="C8221" s="2" t="str">
        <f t="shared" si="680"/>
        <v>PAGU</v>
      </c>
      <c r="D8221" s="2" t="str">
        <f t="shared" si="680"/>
        <v>PAGU</v>
      </c>
      <c r="E8221" s="2" t="str">
        <f>"CONFIG. PESQUISA ONCOLOGICA"</f>
        <v>CONFIG. PESQUISA ONCOLOGICA</v>
      </c>
      <c r="F8221" s="2" t="str">
        <f>"M_CONFIG_PESQUISA_ONCO"</f>
        <v>M_CONFIG_PESQUISA_ONCO</v>
      </c>
      <c r="G8221" s="2" t="str">
        <f>"Clínica e Assistencial / Gerenciamento de Unidades / Configuração / Tabelas / PEP / Oncologia / Configuração de pesquisa científica (M_CONFIG_PESQUISA_ONCO)"</f>
        <v>Clínica e Assistencial / Gerenciamento de Unidades / Configuração / Tabelas / PEP / Oncologia / Configuração de pesquisa científica (M_CONFIG_PESQUISA_ONCO)</v>
      </c>
    </row>
    <row r="8222" spans="1:7" x14ac:dyDescent="0.3">
      <c r="A8222" s="1" t="s">
        <v>17</v>
      </c>
      <c r="B8222" s="2" t="str">
        <f t="shared" si="678"/>
        <v>SISTEMA DE GERENCIAMENTO DA UNIDADE</v>
      </c>
      <c r="C8222" s="2" t="str">
        <f t="shared" si="680"/>
        <v>PAGU</v>
      </c>
      <c r="D8222" s="2" t="str">
        <f t="shared" si="680"/>
        <v>PAGU</v>
      </c>
      <c r="E8222" s="2" t="str">
        <f>"CENTRAL DE CHAM. DA ASSIST. DOMICILIAR"</f>
        <v>CENTRAL DE CHAM. DA ASSIST. DOMICILIAR</v>
      </c>
      <c r="F8222" s="2" t="str">
        <f>"M_CENTRAL_CHAMADO_DOMICILIAR"</f>
        <v>M_CENTRAL_CHAMADO_DOMICILIAR</v>
      </c>
      <c r="G8222" s="2" t="str">
        <f>"Clínica e Assistencial / Gerenciamento de Unidades / Assistência Domiciliar / Central Cham. Assist. Domic. (M_CENTRAL_CHAMADO_DOMICILIAR)"</f>
        <v>Clínica e Assistencial / Gerenciamento de Unidades / Assistência Domiciliar / Central Cham. Assist. Domic. (M_CENTRAL_CHAMADO_DOMICILIAR)</v>
      </c>
    </row>
    <row r="8223" spans="1:7" x14ac:dyDescent="0.3">
      <c r="A8223" s="1" t="s">
        <v>17</v>
      </c>
      <c r="B8223" s="2" t="str">
        <f t="shared" si="678"/>
        <v>SISTEMA DE GERENCIAMENTO DA UNIDADE</v>
      </c>
      <c r="C8223" s="2" t="str">
        <f t="shared" si="680"/>
        <v>PAGU</v>
      </c>
      <c r="D8223" s="2" t="str">
        <f t="shared" si="680"/>
        <v>PAGU</v>
      </c>
      <c r="E8223" s="2" t="str">
        <f>"CHAMADO DA ASSISTENCIA DOMICILIAR"</f>
        <v>CHAMADO DA ASSISTENCIA DOMICILIAR</v>
      </c>
      <c r="F8223" s="2" t="str">
        <f>"M_ENTRADA_CHAMADO_DOMICILIAR"</f>
        <v>M_ENTRADA_CHAMADO_DOMICILIAR</v>
      </c>
      <c r="G8223" s="2" t="str">
        <f>" ()"</f>
        <v xml:space="preserve"> ()</v>
      </c>
    </row>
    <row r="8224" spans="1:7" x14ac:dyDescent="0.3">
      <c r="A8224" s="1" t="s">
        <v>17</v>
      </c>
      <c r="B8224" s="2" t="str">
        <f t="shared" si="678"/>
        <v>SISTEMA DE GERENCIAMENTO DA UNIDADE</v>
      </c>
      <c r="C8224" s="2" t="str">
        <f t="shared" si="680"/>
        <v>PAGU</v>
      </c>
      <c r="D8224" s="2" t="str">
        <f t="shared" si="680"/>
        <v>PAGU</v>
      </c>
      <c r="E8224" s="2" t="str">
        <f>"AGENDA DA ASSISTENCIA DOMICILIAR"</f>
        <v>AGENDA DA ASSISTENCIA DOMICILIAR</v>
      </c>
      <c r="F8224" s="2" t="str">
        <f>"M_AGD_ASSISTENCIA_DOMICILIAR"</f>
        <v>M_AGD_ASSISTENCIA_DOMICILIAR</v>
      </c>
      <c r="G8224" s="2" t="str">
        <f>"Clínica e Assistencial / Gerenciamento de Unidades / Assistência Domiciliar / Tabelas / Agenda da Assistência Domiciliar (M_AGD_ASSISTENCIA_DOMICILIAR)"</f>
        <v>Clínica e Assistencial / Gerenciamento de Unidades / Assistência Domiciliar / Tabelas / Agenda da Assistência Domiciliar (M_AGD_ASSISTENCIA_DOMICILIAR)</v>
      </c>
    </row>
    <row r="8225" spans="1:7" x14ac:dyDescent="0.3">
      <c r="A8225" s="1" t="s">
        <v>17</v>
      </c>
      <c r="B8225" s="2" t="str">
        <f t="shared" si="678"/>
        <v>SISTEMA DE GERENCIAMENTO DA UNIDADE</v>
      </c>
      <c r="C8225" s="2" t="str">
        <f t="shared" si="680"/>
        <v>PAGU</v>
      </c>
      <c r="D8225" s="2" t="str">
        <f t="shared" si="680"/>
        <v>PAGU</v>
      </c>
      <c r="E8225" s="2" t="str">
        <f>"RELATORIO DE CHAM. DA ASSIST. DOMICILIAR"</f>
        <v>RELATORIO DE CHAM. DA ASSIST. DOMICILIAR</v>
      </c>
      <c r="F8225" s="2" t="str">
        <f>"R_CHAMADO_DOMICILIAR"</f>
        <v>R_CHAMADO_DOMICILIAR</v>
      </c>
      <c r="G8225" s="2" t="str">
        <f>"Clínica e Assistencial / Gerenciamento de Unidades / Assistência Domiciliar / Relatórios / Chamados de Assistência Domiciliar (R_CHAMADO_DOMICILIAR)"</f>
        <v>Clínica e Assistencial / Gerenciamento de Unidades / Assistência Domiciliar / Relatórios / Chamados de Assistência Domiciliar (R_CHAMADO_DOMICILIAR)</v>
      </c>
    </row>
    <row r="8226" spans="1:7" x14ac:dyDescent="0.3">
      <c r="A8226" s="1" t="s">
        <v>17</v>
      </c>
      <c r="B8226" s="2" t="str">
        <f t="shared" si="678"/>
        <v>SISTEMA DE GERENCIAMENTO DA UNIDADE</v>
      </c>
      <c r="C8226" s="2" t="str">
        <f t="shared" si="680"/>
        <v>PAGU</v>
      </c>
      <c r="D8226" s="2" t="str">
        <f t="shared" si="680"/>
        <v>PAGU</v>
      </c>
      <c r="E8226" s="2" t="str">
        <f>"GERACAO DE AGENDA DA ASSIST. DOMICILIAR"</f>
        <v>GERACAO DE AGENDA DA ASSIST. DOMICILIAR</v>
      </c>
      <c r="F8226" s="2" t="str">
        <f>"M_GERA_AGD_ASSIST_DOMICILIAR"</f>
        <v>M_GERA_AGD_ASSIST_DOMICILIAR</v>
      </c>
      <c r="G8226" s="2" t="str">
        <f>"Clínica e Assistencial / Gerenciamento de Unidades / Assistência Domiciliar / Geração da Agenda (M_GERA_AGD_ASSIST_DOMICILIAR)"</f>
        <v>Clínica e Assistencial / Gerenciamento de Unidades / Assistência Domiciliar / Geração da Agenda (M_GERA_AGD_ASSIST_DOMICILIAR)</v>
      </c>
    </row>
    <row r="8227" spans="1:7" x14ac:dyDescent="0.3">
      <c r="A8227" s="1" t="s">
        <v>17</v>
      </c>
      <c r="B8227" s="2" t="str">
        <f t="shared" si="678"/>
        <v>SISTEMA DE GERENCIAMENTO DA UNIDADE</v>
      </c>
      <c r="C8227" s="2" t="str">
        <f t="shared" si="680"/>
        <v>PAGU</v>
      </c>
      <c r="D8227" s="2" t="str">
        <f t="shared" si="680"/>
        <v>PAGU</v>
      </c>
      <c r="E8227" s="2" t="str">
        <f>"AREA DOMICILIAR X PRESTADOR"</f>
        <v>AREA DOMICILIAR X PRESTADOR</v>
      </c>
      <c r="F8227" s="2" t="str">
        <f>"M_AREA_PRESTADOR_DOMICILIAR"</f>
        <v>M_AREA_PRESTADOR_DOMICILIAR</v>
      </c>
      <c r="G8227" s="2" t="str">
        <f>"Clínica e Assistencial / Gerenciamento de Unidades / Assistência Domiciliar / Tabelas / Área Domiciliar X Prestador (M_AREA_PRESTADOR_DOMICILIAR)"</f>
        <v>Clínica e Assistencial / Gerenciamento de Unidades / Assistência Domiciliar / Tabelas / Área Domiciliar X Prestador (M_AREA_PRESTADOR_DOMICILIAR)</v>
      </c>
    </row>
    <row r="8228" spans="1:7" x14ac:dyDescent="0.3">
      <c r="A8228" s="1" t="s">
        <v>17</v>
      </c>
      <c r="B8228" s="2" t="str">
        <f t="shared" si="678"/>
        <v>SISTEMA DE GERENCIAMENTO DA UNIDADE</v>
      </c>
      <c r="C8228" s="2" t="str">
        <f t="shared" si="680"/>
        <v>PAGU</v>
      </c>
      <c r="D8228" s="2" t="str">
        <f t="shared" si="680"/>
        <v>PAGU</v>
      </c>
      <c r="E8228" s="2" t="str">
        <f>"AREA DOMICILIAR X PRESTADOR"</f>
        <v>AREA DOMICILIAR X PRESTADOR</v>
      </c>
      <c r="F8228" s="2" t="str">
        <f>"M_AREA_PRESTADOR_DOMICILIAR"</f>
        <v>M_AREA_PRESTADOR_DOMICILIAR</v>
      </c>
      <c r="G8228" s="2" t="str">
        <f>"Área Domiciliar X Prestador (M_AREA_PRESTADOR_DOMICILIAR)"</f>
        <v>Área Domiciliar X Prestador (M_AREA_PRESTADOR_DOMICILIAR)</v>
      </c>
    </row>
    <row r="8229" spans="1:7" x14ac:dyDescent="0.3">
      <c r="A8229" s="1" t="s">
        <v>17</v>
      </c>
      <c r="B8229" s="2" t="str">
        <f t="shared" si="678"/>
        <v>SISTEMA DE GERENCIAMENTO DA UNIDADE</v>
      </c>
      <c r="C8229" s="2" t="str">
        <f t="shared" si="680"/>
        <v>PAGU</v>
      </c>
      <c r="D8229" s="2" t="str">
        <f t="shared" si="680"/>
        <v>PAGU</v>
      </c>
      <c r="E8229" s="2" t="str">
        <f>"USUARIO COM PRIV. DE SELEC. PRESTADOR"</f>
        <v>USUARIO COM PRIV. DE SELEC. PRESTADOR</v>
      </c>
      <c r="F8229" s="2" t="str">
        <f>"M_PRIVILEGIO_USUARIO_DOMICIL"</f>
        <v>M_PRIVILEGIO_USUARIO_DOMICIL</v>
      </c>
      <c r="G8229" s="2" t="str">
        <f>"Clínica e Assistencial / Gerenciamento de Unidades / Assistência Domiciliar / Tabelas / Usuário com Privilégios de Seleção de Prestador (M_PRIVILEGIO_USUARIO_DOMICIL)"</f>
        <v>Clínica e Assistencial / Gerenciamento de Unidades / Assistência Domiciliar / Tabelas / Usuário com Privilégios de Seleção de Prestador (M_PRIVILEGIO_USUARIO_DOMICIL)</v>
      </c>
    </row>
    <row r="8230" spans="1:7" x14ac:dyDescent="0.3">
      <c r="A8230" s="1" t="s">
        <v>17</v>
      </c>
      <c r="B8230" s="2" t="str">
        <f t="shared" si="678"/>
        <v>SISTEMA DE GERENCIAMENTO DA UNIDADE</v>
      </c>
      <c r="C8230" s="2" t="str">
        <f t="shared" si="680"/>
        <v>PAGU</v>
      </c>
      <c r="D8230" s="2" t="str">
        <f t="shared" si="680"/>
        <v>PAGU</v>
      </c>
      <c r="E8230" s="2" t="str">
        <f>"TIPO DE CHAMADO DA ASSIST. DOMICILIAR"</f>
        <v>TIPO DE CHAMADO DA ASSIST. DOMICILIAR</v>
      </c>
      <c r="F8230" s="2" t="str">
        <f>"M_TIPO_CHAMADO_DOMICILIAR"</f>
        <v>M_TIPO_CHAMADO_DOMICILIAR</v>
      </c>
      <c r="G8230" s="2" t="str">
        <f>"Clínica e Assistencial / Gerenciamento de Unidades / Assistência Domiciliar / Tabelas / Tipo de Chamado (M_TIPO_CHAMADO_DOMICILIAR)"</f>
        <v>Clínica e Assistencial / Gerenciamento de Unidades / Assistência Domiciliar / Tabelas / Tipo de Chamado (M_TIPO_CHAMADO_DOMICILIAR)</v>
      </c>
    </row>
    <row r="8231" spans="1:7" x14ac:dyDescent="0.3">
      <c r="A8231" s="1" t="s">
        <v>17</v>
      </c>
      <c r="B8231" s="2" t="str">
        <f t="shared" si="678"/>
        <v>SISTEMA DE GERENCIAMENTO DA UNIDADE</v>
      </c>
      <c r="C8231" s="2" t="str">
        <f t="shared" si="680"/>
        <v>PAGU</v>
      </c>
      <c r="D8231" s="2" t="str">
        <f t="shared" si="680"/>
        <v>PAGU</v>
      </c>
      <c r="E8231" s="2" t="str">
        <f>"MOTIVOS DE NAO ASSISTENCIA DOMICILIAR"</f>
        <v>MOTIVOS DE NAO ASSISTENCIA DOMICILIAR</v>
      </c>
      <c r="F8231" s="2" t="str">
        <f>"M_MOT_ASSISTENCIA_DOMICILIAR"</f>
        <v>M_MOT_ASSISTENCIA_DOMICILIAR</v>
      </c>
      <c r="G8231" s="2" t="str">
        <f>"Clínica e Assistencial / Gerenciamento de Unidades / Assistência Domiciliar / Tabelas / Motivos de não Assistência Domiciliar (M_MOT_ASSISTENCIA_DOMICILIAR)"</f>
        <v>Clínica e Assistencial / Gerenciamento de Unidades / Assistência Domiciliar / Tabelas / Motivos de não Assistência Domiciliar (M_MOT_ASSISTENCIA_DOMICILIAR)</v>
      </c>
    </row>
    <row r="8232" spans="1:7" x14ac:dyDescent="0.3">
      <c r="A8232" s="1" t="s">
        <v>17</v>
      </c>
      <c r="B8232" s="2" t="str">
        <f t="shared" si="678"/>
        <v>SISTEMA DE GERENCIAMENTO DA UNIDADE</v>
      </c>
      <c r="C8232" s="2" t="str">
        <f t="shared" ref="C8232:D8251" si="681">"PAGU"</f>
        <v>PAGU</v>
      </c>
      <c r="D8232" s="2" t="str">
        <f t="shared" si="681"/>
        <v>PAGU</v>
      </c>
      <c r="E8232" s="2" t="str">
        <f>"ESCALA DA ASSISTENCIA DOMICILIAR"</f>
        <v>ESCALA DA ASSISTENCIA DOMICILIAR</v>
      </c>
      <c r="F8232" s="2" t="str">
        <f>"M_ESC_ASSISTENCIA_DOMICILIAR"</f>
        <v>M_ESC_ASSISTENCIA_DOMICILIAR</v>
      </c>
      <c r="G8232" s="2" t="str">
        <f>"Clínica e Assistencial / Gerenciamento de Unidades / Assistência Domiciliar / Tabelas / Escala da Assistência Domiciliar (M_ESC_ASSISTENCIA_DOMICILIAR)"</f>
        <v>Clínica e Assistencial / Gerenciamento de Unidades / Assistência Domiciliar / Tabelas / Escala da Assistência Domiciliar (M_ESC_ASSISTENCIA_DOMICILIAR)</v>
      </c>
    </row>
    <row r="8233" spans="1:7" x14ac:dyDescent="0.3">
      <c r="A8233" s="1" t="s">
        <v>17</v>
      </c>
      <c r="B8233" s="2" t="str">
        <f t="shared" si="678"/>
        <v>SISTEMA DE GERENCIAMENTO DA UNIDADE</v>
      </c>
      <c r="C8233" s="2" t="str">
        <f t="shared" si="681"/>
        <v>PAGU</v>
      </c>
      <c r="D8233" s="2" t="str">
        <f t="shared" si="681"/>
        <v>PAGU</v>
      </c>
      <c r="E8233" s="2" t="str">
        <f>"AUDITORIA PRONTUARIO VIP"</f>
        <v>AUDITORIA PRONTUARIO VIP</v>
      </c>
      <c r="F8233" s="2" t="str">
        <f>"M_AUDITORIA_PRONTUARIO_VIP"</f>
        <v>M_AUDITORIA_PRONTUARIO_VIP</v>
      </c>
      <c r="G8233" s="2" t="str">
        <f>"Clínica e Assistencial / Gerenciamento de Unidades / Configuração / Tabelas / PEP / Prontuário VIP / Auditoria de Prontuário Vip (M_AUDITORIA_PRONTUARIO_VIP)"</f>
        <v>Clínica e Assistencial / Gerenciamento de Unidades / Configuração / Tabelas / PEP / Prontuário VIP / Auditoria de Prontuário Vip (M_AUDITORIA_PRONTUARIO_VIP)</v>
      </c>
    </row>
    <row r="8234" spans="1:7" x14ac:dyDescent="0.3">
      <c r="A8234" s="1" t="s">
        <v>17</v>
      </c>
      <c r="B8234" s="2" t="str">
        <f t="shared" si="678"/>
        <v>SISTEMA DE GERENCIAMENTO DA UNIDADE</v>
      </c>
      <c r="C8234" s="2" t="str">
        <f t="shared" si="681"/>
        <v>PAGU</v>
      </c>
      <c r="D8234" s="2" t="str">
        <f t="shared" si="681"/>
        <v>PAGU</v>
      </c>
      <c r="E8234" s="2" t="str">
        <f>"AUDITORIA PRONTUARIO VIP"</f>
        <v>AUDITORIA PRONTUARIO VIP</v>
      </c>
      <c r="F8234" s="2" t="str">
        <f>"M_AUDITORIA_PRONTUARIO_VIP"</f>
        <v>M_AUDITORIA_PRONTUARIO_VIP</v>
      </c>
      <c r="G8234" s="2" t="str">
        <f>"Clínica e Assistencial / Gerenciamento de Unidades / Configuração / Tabelas / PEP / Prontuário Protegido / Central de Autorizações de Prontuário Protegido (M_AUDITORIA_PRONTUARIO_VIP)"</f>
        <v>Clínica e Assistencial / Gerenciamento de Unidades / Configuração / Tabelas / PEP / Prontuário Protegido / Central de Autorizações de Prontuário Protegido (M_AUDITORIA_PRONTUARIO_VIP)</v>
      </c>
    </row>
    <row r="8235" spans="1:7" x14ac:dyDescent="0.3">
      <c r="A8235" s="1" t="s">
        <v>17</v>
      </c>
      <c r="B8235" s="2" t="str">
        <f t="shared" si="678"/>
        <v>SISTEMA DE GERENCIAMENTO DA UNIDADE</v>
      </c>
      <c r="C8235" s="2" t="str">
        <f t="shared" si="681"/>
        <v>PAGU</v>
      </c>
      <c r="D8235" s="2" t="str">
        <f t="shared" si="681"/>
        <v>PAGU</v>
      </c>
      <c r="E8235" s="2" t="str">
        <f>"CENTRAL PRONTUARIO VIP"</f>
        <v>CENTRAL PRONTUARIO VIP</v>
      </c>
      <c r="F8235" s="2" t="str">
        <f>"M_CENTRAL_PRONTUARIO_VIP"</f>
        <v>M_CENTRAL_PRONTUARIO_VIP</v>
      </c>
      <c r="G8235" s="2" t="str">
        <f>"Clínica e Assistencial / Gerenciamento de Unidades / Configuração / Tabelas / PEP / Prontuário VIP / Central de Autorizações de Prontuário Vip (M_CENTRAL_PRONTUARIO_VIP)"</f>
        <v>Clínica e Assistencial / Gerenciamento de Unidades / Configuração / Tabelas / PEP / Prontuário VIP / Central de Autorizações de Prontuário Vip (M_CENTRAL_PRONTUARIO_VIP)</v>
      </c>
    </row>
    <row r="8236" spans="1:7" x14ac:dyDescent="0.3">
      <c r="A8236" s="1" t="s">
        <v>17</v>
      </c>
      <c r="B8236" s="2" t="str">
        <f t="shared" si="678"/>
        <v>SISTEMA DE GERENCIAMENTO DA UNIDADE</v>
      </c>
      <c r="C8236" s="2" t="str">
        <f t="shared" si="681"/>
        <v>PAGU</v>
      </c>
      <c r="D8236" s="2" t="str">
        <f t="shared" si="681"/>
        <v>PAGU</v>
      </c>
      <c r="E8236" s="2" t="str">
        <f>"CENTRAL PRONTUARIO VIP"</f>
        <v>CENTRAL PRONTUARIO VIP</v>
      </c>
      <c r="F8236" s="2" t="str">
        <f>"M_CENTRAL_PRONTUARIO_VIP"</f>
        <v>M_CENTRAL_PRONTUARIO_VIP</v>
      </c>
      <c r="G8236" s="2" t="str">
        <f>"Clínica e Assistencial / Gerenciamento de Unidades / Configuração / Tabelas / PEP / Prontuário Protegido / Central de Autorizações de Prontuário Vip (M_CENTRAL_PRONTUARIO_VIP)"</f>
        <v>Clínica e Assistencial / Gerenciamento de Unidades / Configuração / Tabelas / PEP / Prontuário Protegido / Central de Autorizações de Prontuário Vip (M_CENTRAL_PRONTUARIO_VIP)</v>
      </c>
    </row>
    <row r="8237" spans="1:7" x14ac:dyDescent="0.3">
      <c r="A8237" s="1" t="s">
        <v>17</v>
      </c>
      <c r="B8237" s="2" t="str">
        <f t="shared" si="678"/>
        <v>SISTEMA DE GERENCIAMENTO DA UNIDADE</v>
      </c>
      <c r="C8237" s="2" t="str">
        <f t="shared" si="681"/>
        <v>PAGU</v>
      </c>
      <c r="D8237" s="2" t="str">
        <f t="shared" si="681"/>
        <v>PAGU</v>
      </c>
      <c r="E8237" s="2" t="str">
        <f>"CADASTRO DE EQUIPE ASSISTENCIAL"</f>
        <v>CADASTRO DE EQUIPE ASSISTENCIAL</v>
      </c>
      <c r="F8237" s="2" t="str">
        <f>"M_EQUIPE_PRONTUARIO_VIP"</f>
        <v>M_EQUIPE_PRONTUARIO_VIP</v>
      </c>
      <c r="G8237" s="2" t="str">
        <f>"Clínica e Assistencial / Gerenciamento de Unidades / Configuração / Tabelas / PEP / Prontuário VIP / Cadastro de Equipe Assistencial Vip (M_EQUIPE_PRONTUARIO_VIP)"</f>
        <v>Clínica e Assistencial / Gerenciamento de Unidades / Configuração / Tabelas / PEP / Prontuário VIP / Cadastro de Equipe Assistencial Vip (M_EQUIPE_PRONTUARIO_VIP)</v>
      </c>
    </row>
    <row r="8238" spans="1:7" x14ac:dyDescent="0.3">
      <c r="A8238" s="1" t="s">
        <v>17</v>
      </c>
      <c r="B8238" s="2" t="str">
        <f t="shared" si="678"/>
        <v>SISTEMA DE GERENCIAMENTO DA UNIDADE</v>
      </c>
      <c r="C8238" s="2" t="str">
        <f t="shared" si="681"/>
        <v>PAGU</v>
      </c>
      <c r="D8238" s="2" t="str">
        <f t="shared" si="681"/>
        <v>PAGU</v>
      </c>
      <c r="E8238" s="2" t="str">
        <f>"CADASTRO DE EQUIPE ASSISTENCIAL"</f>
        <v>CADASTRO DE EQUIPE ASSISTENCIAL</v>
      </c>
      <c r="F8238" s="2" t="str">
        <f>"M_EQUIPE_PRONTUARIO_VIP"</f>
        <v>M_EQUIPE_PRONTUARIO_VIP</v>
      </c>
      <c r="G8238" s="2" t="str">
        <f>"Clínica e Assistencial / Gerenciamento de Unidades / Configuração / Tabelas / PEP / Prontuário Protegido / Cadastro de Equipe Assistencial (M_EQUIPE_PRONTUARIO_VIP)"</f>
        <v>Clínica e Assistencial / Gerenciamento de Unidades / Configuração / Tabelas / PEP / Prontuário Protegido / Cadastro de Equipe Assistencial (M_EQUIPE_PRONTUARIO_VIP)</v>
      </c>
    </row>
    <row r="8239" spans="1:7" x14ac:dyDescent="0.3">
      <c r="A8239" s="1" t="s">
        <v>17</v>
      </c>
      <c r="B8239" s="2" t="str">
        <f t="shared" si="678"/>
        <v>SISTEMA DE GERENCIAMENTO DA UNIDADE</v>
      </c>
      <c r="C8239" s="2" t="str">
        <f t="shared" si="681"/>
        <v>PAGU</v>
      </c>
      <c r="D8239" s="2" t="str">
        <f t="shared" si="681"/>
        <v>PAGU</v>
      </c>
      <c r="E8239" s="2" t="str">
        <f>"CADASTRO DE JUSTIFICATIVAS"</f>
        <v>CADASTRO DE JUSTIFICATIVAS</v>
      </c>
      <c r="F8239" s="2" t="str">
        <f>"M_JUSTIFICATIVA_PRONTUARIO_VIP"</f>
        <v>M_JUSTIFICATIVA_PRONTUARIO_VIP</v>
      </c>
      <c r="G8239" s="2" t="str">
        <f>"Clínica e Assistencial / Gerenciamento de Unidades / Configuração / Tabelas / PEP / Prontuário VIP / Cadastro de Justificativa (M_JUSTIFICATIVA_PRONTUARIO_VIP)"</f>
        <v>Clínica e Assistencial / Gerenciamento de Unidades / Configuração / Tabelas / PEP / Prontuário VIP / Cadastro de Justificativa (M_JUSTIFICATIVA_PRONTUARIO_VIP)</v>
      </c>
    </row>
    <row r="8240" spans="1:7" x14ac:dyDescent="0.3">
      <c r="A8240" s="1" t="s">
        <v>17</v>
      </c>
      <c r="B8240" s="2" t="str">
        <f t="shared" ref="B8240:B8303" si="682">"SISTEMA DE GERENCIAMENTO DA UNIDADE"</f>
        <v>SISTEMA DE GERENCIAMENTO DA UNIDADE</v>
      </c>
      <c r="C8240" s="2" t="str">
        <f t="shared" si="681"/>
        <v>PAGU</v>
      </c>
      <c r="D8240" s="2" t="str">
        <f t="shared" si="681"/>
        <v>PAGU</v>
      </c>
      <c r="E8240" s="2" t="str">
        <f>"CADASTRO DE JUSTIFICATIVAS"</f>
        <v>CADASTRO DE JUSTIFICATIVAS</v>
      </c>
      <c r="F8240" s="2" t="str">
        <f>"M_JUSTIFICATIVA_PRONTUARIO_VIP"</f>
        <v>M_JUSTIFICATIVA_PRONTUARIO_VIP</v>
      </c>
      <c r="G8240" s="2" t="str">
        <f>"Clínica e Assistencial / Gerenciamento de Unidades / Configuração / Tabelas / PEP / Prontuário Protegido / Cadastro de Justificativa (M_JUSTIFICATIVA_PRONTUARIO_VIP)"</f>
        <v>Clínica e Assistencial / Gerenciamento de Unidades / Configuração / Tabelas / PEP / Prontuário Protegido / Cadastro de Justificativa (M_JUSTIFICATIVA_PRONTUARIO_VIP)</v>
      </c>
    </row>
    <row r="8241" spans="1:7" x14ac:dyDescent="0.3">
      <c r="A8241" s="1" t="s">
        <v>17</v>
      </c>
      <c r="B8241" s="2" t="str">
        <f t="shared" si="682"/>
        <v>SISTEMA DE GERENCIAMENTO DA UNIDADE</v>
      </c>
      <c r="C8241" s="2" t="str">
        <f t="shared" si="681"/>
        <v>PAGU</v>
      </c>
      <c r="D8241" s="2" t="str">
        <f t="shared" si="681"/>
        <v>PAGU</v>
      </c>
      <c r="E8241" s="2" t="str">
        <f>"CADASTRO DE ALIMENTOS"</f>
        <v>CADASTRO DE ALIMENTOS</v>
      </c>
      <c r="F8241" s="2" t="str">
        <f>"M_CAD_ALIMENTOS"</f>
        <v>M_CAD_ALIMENTOS</v>
      </c>
      <c r="G8241" s="2" t="str">
        <f>"Clínica e Assistencial / Gerenciamento de Unidades / Configuração / Tabelas / PEP / Cadastro de Alimentos (M_CAD_ALIMENTOS)"</f>
        <v>Clínica e Assistencial / Gerenciamento de Unidades / Configuração / Tabelas / PEP / Cadastro de Alimentos (M_CAD_ALIMENTOS)</v>
      </c>
    </row>
    <row r="8242" spans="1:7" x14ac:dyDescent="0.3">
      <c r="A8242" s="1" t="s">
        <v>17</v>
      </c>
      <c r="B8242" s="2" t="str">
        <f t="shared" si="682"/>
        <v>SISTEMA DE GERENCIAMENTO DA UNIDADE</v>
      </c>
      <c r="C8242" s="2" t="str">
        <f t="shared" si="681"/>
        <v>PAGU</v>
      </c>
      <c r="D8242" s="2" t="str">
        <f t="shared" si="681"/>
        <v>PAGU</v>
      </c>
      <c r="E8242" s="2" t="str">
        <f>"EVENTOS ADVERSOS"</f>
        <v>EVENTOS ADVERSOS</v>
      </c>
      <c r="F8242" s="2" t="str">
        <f>"M_EVENTOS_ADVERSOS"</f>
        <v>M_EVENTOS_ADVERSOS</v>
      </c>
      <c r="G8242" s="2" t="str">
        <f>"Clínica e Assistencial / Gerenciamento de Unidades / Configuração / Tabelas / PEP / Eventos Adversos (M_EVENTOS_ADVERSOS)"</f>
        <v>Clínica e Assistencial / Gerenciamento de Unidades / Configuração / Tabelas / PEP / Eventos Adversos (M_EVENTOS_ADVERSOS)</v>
      </c>
    </row>
    <row r="8243" spans="1:7" x14ac:dyDescent="0.3">
      <c r="A8243" s="1" t="s">
        <v>4</v>
      </c>
      <c r="B8243" s="2" t="str">
        <f t="shared" si="682"/>
        <v>SISTEMA DE GERENCIAMENTO DA UNIDADE</v>
      </c>
      <c r="C8243" s="2" t="str">
        <f t="shared" si="681"/>
        <v>PAGU</v>
      </c>
      <c r="D8243" s="2" t="str">
        <f t="shared" si="681"/>
        <v>PAGU</v>
      </c>
      <c r="E8243" s="2" t="str">
        <f>"RELAT. DE PRESCRICAO QUIMIO POR ITEM"</f>
        <v>RELAT. DE PRESCRICAO QUIMIO POR ITEM</v>
      </c>
      <c r="F8243" s="2" t="str">
        <f>"MVPEP_REL_PRESCTRAT_ITEM"</f>
        <v>MVPEP_REL_PRESCTRAT_ITEM</v>
      </c>
      <c r="G8243" s="2" t="str">
        <f>" ()"</f>
        <v xml:space="preserve"> ()</v>
      </c>
    </row>
    <row r="8244" spans="1:7" x14ac:dyDescent="0.3">
      <c r="A8244" s="1" t="s">
        <v>4</v>
      </c>
      <c r="B8244" s="2" t="str">
        <f t="shared" si="682"/>
        <v>SISTEMA DE GERENCIAMENTO DA UNIDADE</v>
      </c>
      <c r="C8244" s="2" t="str">
        <f t="shared" si="681"/>
        <v>PAGU</v>
      </c>
      <c r="D8244" s="2" t="str">
        <f t="shared" si="681"/>
        <v>PAGU</v>
      </c>
      <c r="E8244" s="2" t="str">
        <f>"RELAT. DE PRESCRICAO QUIMIO POR SESSAO"</f>
        <v>RELAT. DE PRESCRICAO QUIMIO POR SESSAO</v>
      </c>
      <c r="F8244" s="2" t="str">
        <f>"MVPEP_REL_PRESCTRAT_SESSAO"</f>
        <v>MVPEP_REL_PRESCTRAT_SESSAO</v>
      </c>
      <c r="G8244" s="2" t="str">
        <f>" ()"</f>
        <v xml:space="preserve"> ()</v>
      </c>
    </row>
    <row r="8245" spans="1:7" x14ac:dyDescent="0.3">
      <c r="A8245" s="1" t="s">
        <v>17</v>
      </c>
      <c r="B8245" s="2" t="str">
        <f t="shared" si="682"/>
        <v>SISTEMA DE GERENCIAMENTO DA UNIDADE</v>
      </c>
      <c r="C8245" s="2" t="str">
        <f t="shared" si="681"/>
        <v>PAGU</v>
      </c>
      <c r="D8245" s="2" t="str">
        <f t="shared" si="681"/>
        <v>PAGU</v>
      </c>
      <c r="E8245" s="2" t="str">
        <f>"CONFIGURACAO NOTIFICACOES"</f>
        <v>CONFIGURACAO NOTIFICACOES</v>
      </c>
      <c r="F8245" s="2" t="str">
        <f>"M_CONFIG_NOTIFICACAO"</f>
        <v>M_CONFIG_NOTIFICACAO</v>
      </c>
      <c r="G8245" s="2" t="str">
        <f>"Clínica e Assistencial / Gerenciamento de Unidades / Configuração / Tabelas / PEP / Notificações (M_CONFIG_NOTIFICACAO)"</f>
        <v>Clínica e Assistencial / Gerenciamento de Unidades / Configuração / Tabelas / PEP / Notificações (M_CONFIG_NOTIFICACAO)</v>
      </c>
    </row>
    <row r="8246" spans="1:7" x14ac:dyDescent="0.3">
      <c r="A8246" s="1" t="s">
        <v>17</v>
      </c>
      <c r="B8246" s="2" t="str">
        <f t="shared" si="682"/>
        <v>SISTEMA DE GERENCIAMENTO DA UNIDADE</v>
      </c>
      <c r="C8246" s="2" t="str">
        <f t="shared" si="681"/>
        <v>PAGU</v>
      </c>
      <c r="D8246" s="2" t="str">
        <f t="shared" si="681"/>
        <v>PAGU</v>
      </c>
      <c r="E8246" s="2" t="str">
        <f>"CONFIGURACAO DE NOTIFICACOES"</f>
        <v>CONFIGURACAO DE NOTIFICACOES</v>
      </c>
      <c r="F8246" s="2" t="str">
        <f>"M_LISTAR_CONFIGURACAO"</f>
        <v>M_LISTAR_CONFIGURACAO</v>
      </c>
      <c r="G8246" s="2" t="str">
        <f>" ()"</f>
        <v xml:space="preserve"> ()</v>
      </c>
    </row>
    <row r="8247" spans="1:7" x14ac:dyDescent="0.3">
      <c r="A8247" s="1" t="s">
        <v>4</v>
      </c>
      <c r="B8247" s="2" t="str">
        <f t="shared" si="682"/>
        <v>SISTEMA DE GERENCIAMENTO DA UNIDADE</v>
      </c>
      <c r="C8247" s="2" t="str">
        <f t="shared" si="681"/>
        <v>PAGU</v>
      </c>
      <c r="D8247" s="2" t="str">
        <f t="shared" si="681"/>
        <v>PAGU</v>
      </c>
      <c r="E8247" s="2" t="str">
        <f>"LogAuditoria PEP"</f>
        <v>LogAuditoria PEP</v>
      </c>
      <c r="F8247" s="2" t="str">
        <f>"C_AUDITORIA_LOG"</f>
        <v>C_AUDITORIA_LOG</v>
      </c>
      <c r="G8247" s="2" t="str">
        <f>"Clínica e Assistencial / Gerenciamento de Unidades / Consultas / Consultar Registros de Log (C_AUDITORIA_LOG)"</f>
        <v>Clínica e Assistencial / Gerenciamento de Unidades / Consultas / Consultar Registros de Log (C_AUDITORIA_LOG)</v>
      </c>
    </row>
    <row r="8248" spans="1:7" x14ac:dyDescent="0.3">
      <c r="A8248" s="1" t="s">
        <v>4</v>
      </c>
      <c r="B8248" s="2" t="str">
        <f t="shared" si="682"/>
        <v>SISTEMA DE GERENCIAMENTO DA UNIDADE</v>
      </c>
      <c r="C8248" s="2" t="str">
        <f t="shared" si="681"/>
        <v>PAGU</v>
      </c>
      <c r="D8248" s="2" t="str">
        <f t="shared" si="681"/>
        <v>PAGU</v>
      </c>
      <c r="E8248" s="2" t="str">
        <f>"R_UNID_INT_PROD"</f>
        <v>R_UNID_INT_PROD</v>
      </c>
      <c r="F8248" s="2" t="str">
        <f>"R_UNID_INT_PROD"</f>
        <v>R_UNID_INT_PROD</v>
      </c>
      <c r="G8248" s="2" t="str">
        <f>"Clínica e Assistencial / Gerenciamento de Unidades / Relatórios / Tabelas / Estoque por Unidade de Internação (R_UNID_INT_PROD)"</f>
        <v>Clínica e Assistencial / Gerenciamento de Unidades / Relatórios / Tabelas / Estoque por Unidade de Internação (R_UNID_INT_PROD)</v>
      </c>
    </row>
    <row r="8249" spans="1:7" x14ac:dyDescent="0.3">
      <c r="A8249" s="1" t="s">
        <v>4</v>
      </c>
      <c r="B8249" s="2" t="str">
        <f t="shared" si="682"/>
        <v>SISTEMA DE GERENCIAMENTO DA UNIDADE</v>
      </c>
      <c r="C8249" s="2" t="str">
        <f t="shared" si="681"/>
        <v>PAGU</v>
      </c>
      <c r="D8249" s="2" t="str">
        <f t="shared" si="681"/>
        <v>PAGU</v>
      </c>
      <c r="E8249" s="2" t="str">
        <f>"RELATORIO DE TIPOS DE PRESTADORES"</f>
        <v>RELATORIO DE TIPOS DE PRESTADORES</v>
      </c>
      <c r="F8249" s="2" t="str">
        <f>"R_TIPPRE"</f>
        <v>R_TIPPRE</v>
      </c>
      <c r="G8249" s="2" t="str">
        <f>"MVSaude / Relatórios / Tabelas / Prestadores / Tipos de Prestador (R_TIPPRE)"</f>
        <v>MVSaude / Relatórios / Tabelas / Prestadores / Tipos de Prestador (R_TIPPRE)</v>
      </c>
    </row>
    <row r="8250" spans="1:7" x14ac:dyDescent="0.3">
      <c r="A8250" s="1" t="s">
        <v>17</v>
      </c>
      <c r="B8250" s="2" t="str">
        <f t="shared" si="682"/>
        <v>SISTEMA DE GERENCIAMENTO DA UNIDADE</v>
      </c>
      <c r="C8250" s="2" t="str">
        <f t="shared" si="681"/>
        <v>PAGU</v>
      </c>
      <c r="D8250" s="2" t="str">
        <f t="shared" si="681"/>
        <v>PAGU</v>
      </c>
      <c r="E8250" s="2" t="str">
        <f>"INDICACAO PACIENTE"</f>
        <v>INDICACAO PACIENTE</v>
      </c>
      <c r="F8250" s="2" t="str">
        <f>"M_INDICACAO_PACIENTE"</f>
        <v>M_INDICACAO_PACIENTE</v>
      </c>
      <c r="G8250" s="2" t="str">
        <f>"Clínica e Assistencial / Gerenciamento de Unidades / Configuração / Tabelas / PEP / Indicação Paciente (M_INDICACAO_PACIENTE)"</f>
        <v>Clínica e Assistencial / Gerenciamento de Unidades / Configuração / Tabelas / PEP / Indicação Paciente (M_INDICACAO_PACIENTE)</v>
      </c>
    </row>
    <row r="8251" spans="1:7" x14ac:dyDescent="0.3">
      <c r="A8251" s="1" t="s">
        <v>17</v>
      </c>
      <c r="B8251" s="2" t="str">
        <f t="shared" si="682"/>
        <v>SISTEMA DE GERENCIAMENTO DA UNIDADE</v>
      </c>
      <c r="C8251" s="2" t="str">
        <f t="shared" si="681"/>
        <v>PAGU</v>
      </c>
      <c r="D8251" s="2" t="str">
        <f t="shared" si="681"/>
        <v>PAGU</v>
      </c>
      <c r="E8251" s="2" t="str">
        <f>"INTERPRETACAO DE AVALIACAO"</f>
        <v>INTERPRETACAO DE AVALIACAO</v>
      </c>
      <c r="F8251" s="2" t="str">
        <f>"M_PAGU_FORMULA_INTERPRETACAO"</f>
        <v>M_PAGU_FORMULA_INTERPRETACAO</v>
      </c>
      <c r="G8251" s="2" t="str">
        <f>"Clínica e Assistencial / Gerenciamento de Unidades / Configuração / Avaliações / Interpretação (M_PAGU_FORMULA_INTERPRETACAO)"</f>
        <v>Clínica e Assistencial / Gerenciamento de Unidades / Configuração / Avaliações / Interpretação (M_PAGU_FORMULA_INTERPRETACAO)</v>
      </c>
    </row>
    <row r="8252" spans="1:7" x14ac:dyDescent="0.3">
      <c r="A8252" s="1" t="s">
        <v>4</v>
      </c>
      <c r="B8252" s="2" t="str">
        <f t="shared" si="682"/>
        <v>SISTEMA DE GERENCIAMENTO DA UNIDADE</v>
      </c>
      <c r="C8252" s="2" t="str">
        <f t="shared" ref="C8252:D8271" si="683">"PAGU"</f>
        <v>PAGU</v>
      </c>
      <c r="D8252" s="2" t="str">
        <f t="shared" si="683"/>
        <v>PAGU</v>
      </c>
      <c r="E8252" s="2" t="str">
        <f>"TRANSCRICAO DE EXAMES"</f>
        <v>TRANSCRICAO DE EXAMES</v>
      </c>
      <c r="F8252" s="2" t="str">
        <f>"M_RES_TRANSC_EXAMES"</f>
        <v>M_RES_TRANSC_EXAMES</v>
      </c>
      <c r="G8252" s="2" t="str">
        <f>" ()"</f>
        <v xml:space="preserve"> ()</v>
      </c>
    </row>
    <row r="8253" spans="1:7" x14ac:dyDescent="0.3">
      <c r="A8253" s="1" t="s">
        <v>4</v>
      </c>
      <c r="B8253" s="2" t="str">
        <f t="shared" si="682"/>
        <v>SISTEMA DE GERENCIAMENTO DA UNIDADE</v>
      </c>
      <c r="C8253" s="2" t="str">
        <f t="shared" si="683"/>
        <v>PAGU</v>
      </c>
      <c r="D8253" s="2" t="str">
        <f t="shared" si="683"/>
        <v>PAGU</v>
      </c>
      <c r="E8253" s="2" t="str">
        <f>"CADASTRO DE EXAMES COMPARATIVO"</f>
        <v>CADASTRO DE EXAMES COMPARATIVO</v>
      </c>
      <c r="F8253" s="2" t="str">
        <f>"M_CAD_EXAMES_COMPARATIVO"</f>
        <v>M_CAD_EXAMES_COMPARATIVO</v>
      </c>
      <c r="G8253" s="2" t="str">
        <f>" ()"</f>
        <v xml:space="preserve"> ()</v>
      </c>
    </row>
    <row r="8254" spans="1:7" x14ac:dyDescent="0.3">
      <c r="A8254" s="1" t="s">
        <v>4</v>
      </c>
      <c r="B8254" s="2" t="str">
        <f t="shared" si="682"/>
        <v>SISTEMA DE GERENCIAMENTO DA UNIDADE</v>
      </c>
      <c r="C8254" s="2" t="str">
        <f t="shared" si="683"/>
        <v>PAGU</v>
      </c>
      <c r="D8254" s="2" t="str">
        <f t="shared" si="683"/>
        <v>PAGU</v>
      </c>
      <c r="E8254" s="2" t="str">
        <f>"EDICAO DE CATEGORIA"</f>
        <v>EDICAO DE CATEGORIA</v>
      </c>
      <c r="F8254" s="2" t="str">
        <f>"M_EDICAO_CATEGORIA"</f>
        <v>M_EDICAO_CATEGORIA</v>
      </c>
      <c r="G8254" s="2" t="str">
        <f>"Clínica e Assistencial / Gerenciamento de Unidades / Configuração / Tabelas / PEP / Categorias (Paciente) (M_EDICAO_CATEGORIA)"</f>
        <v>Clínica e Assistencial / Gerenciamento de Unidades / Configuração / Tabelas / PEP / Categorias (Paciente) (M_EDICAO_CATEGORIA)</v>
      </c>
    </row>
    <row r="8255" spans="1:7" x14ac:dyDescent="0.3">
      <c r="A8255" s="1" t="s">
        <v>4</v>
      </c>
      <c r="B8255" s="2" t="str">
        <f t="shared" si="682"/>
        <v>SISTEMA DE GERENCIAMENTO DA UNIDADE</v>
      </c>
      <c r="C8255" s="2" t="str">
        <f t="shared" si="683"/>
        <v>PAGU</v>
      </c>
      <c r="D8255" s="2" t="str">
        <f t="shared" si="683"/>
        <v>PAGU</v>
      </c>
      <c r="E8255" s="2" t="str">
        <f>"AGRUPAMENTO DE SOLICITAÇÕES POR TURNO"</f>
        <v>AGRUPAMENTO DE SOLICITAÇÕES POR TURNO</v>
      </c>
      <c r="F8255" s="2" t="str">
        <f>"R_SOLSAI_PRO_TURNO"</f>
        <v>R_SOLSAI_PRO_TURNO</v>
      </c>
      <c r="G8255" s="2" t="str">
        <f>"Materiais e Logística / Almoxarifado / Relatórios / Operacionais / Agrupamento de Solicitações por Turno (R_SOLSAI_PRO_TURNO)"</f>
        <v>Materiais e Logística / Almoxarifado / Relatórios / Operacionais / Agrupamento de Solicitações por Turno (R_SOLSAI_PRO_TURNO)</v>
      </c>
    </row>
    <row r="8256" spans="1:7" x14ac:dyDescent="0.3">
      <c r="A8256" s="1" t="s">
        <v>4</v>
      </c>
      <c r="B8256" s="2" t="str">
        <f t="shared" si="682"/>
        <v>SISTEMA DE GERENCIAMENTO DA UNIDADE</v>
      </c>
      <c r="C8256" s="2" t="str">
        <f t="shared" si="683"/>
        <v>PAGU</v>
      </c>
      <c r="D8256" s="2" t="str">
        <f t="shared" si="683"/>
        <v>PAGU</v>
      </c>
      <c r="E8256" s="2" t="str">
        <f>"WIN_PRINCIPAL"</f>
        <v>WIN_PRINCIPAL</v>
      </c>
      <c r="F8256" s="2" t="str">
        <f>"M_SINAIS_VITAIS"</f>
        <v>M_SINAIS_VITAIS</v>
      </c>
      <c r="G8256" s="2" t="str">
        <f>"Clínica e Assistencial / Gerenciamento de Unidades / Configuração / Tabelas / Sinais Vitais (M_SINAIS_VITAIS)"</f>
        <v>Clínica e Assistencial / Gerenciamento de Unidades / Configuração / Tabelas / Sinais Vitais (M_SINAIS_VITAIS)</v>
      </c>
    </row>
    <row r="8257" spans="1:7" x14ac:dyDescent="0.3">
      <c r="A8257" s="1" t="s">
        <v>4</v>
      </c>
      <c r="B8257" s="2" t="str">
        <f t="shared" si="682"/>
        <v>SISTEMA DE GERENCIAMENTO DA UNIDADE</v>
      </c>
      <c r="C8257" s="2" t="str">
        <f t="shared" si="683"/>
        <v>PAGU</v>
      </c>
      <c r="D8257" s="2" t="str">
        <f t="shared" si="683"/>
        <v>PAGU</v>
      </c>
      <c r="E8257" s="2" t="str">
        <f>"COLETA DE SINAIS VITAIS"</f>
        <v>COLETA DE SINAIS VITAIS</v>
      </c>
      <c r="F8257" s="2" t="str">
        <f>"M_COLETA_SINAIS_VITAIS"</f>
        <v>M_COLETA_SINAIS_VITAIS</v>
      </c>
      <c r="G8257" s="2" t="str">
        <f>" ()"</f>
        <v xml:space="preserve"> ()</v>
      </c>
    </row>
    <row r="8258" spans="1:7" x14ac:dyDescent="0.3">
      <c r="A8258" s="1" t="s">
        <v>4</v>
      </c>
      <c r="B8258" s="2" t="str">
        <f t="shared" si="682"/>
        <v>SISTEMA DE GERENCIAMENTO DA UNIDADE</v>
      </c>
      <c r="C8258" s="2" t="str">
        <f t="shared" si="683"/>
        <v>PAGU</v>
      </c>
      <c r="D8258" s="2" t="str">
        <f t="shared" si="683"/>
        <v>PAGU</v>
      </c>
      <c r="E8258" s="2" t="str">
        <f>"PARECER MÉDICO"</f>
        <v>PARECER MÉDICO</v>
      </c>
      <c r="F8258" s="2" t="str">
        <f>"C_PARMED_PEND"</f>
        <v>C_PARMED_PEND</v>
      </c>
      <c r="G8258" s="2" t="str">
        <f>" ()"</f>
        <v xml:space="preserve"> ()</v>
      </c>
    </row>
    <row r="8259" spans="1:7" x14ac:dyDescent="0.3">
      <c r="A8259" s="1" t="s">
        <v>4</v>
      </c>
      <c r="B8259" s="2" t="str">
        <f t="shared" si="682"/>
        <v>SISTEMA DE GERENCIAMENTO DA UNIDADE</v>
      </c>
      <c r="C8259" s="2" t="str">
        <f t="shared" si="683"/>
        <v>PAGU</v>
      </c>
      <c r="D8259" s="2" t="str">
        <f t="shared" si="683"/>
        <v>PAGU</v>
      </c>
      <c r="E8259" s="2" t="str">
        <f>"DOCUMENTOS ELETRÔNICOS"</f>
        <v>DOCUMENTOS ELETRÔNICOS</v>
      </c>
      <c r="F8259" s="2" t="str">
        <f>"REGISTRO_RESPOSTA"</f>
        <v>REGISTRO_RESPOSTA</v>
      </c>
      <c r="G8259" s="2" t="str">
        <f>"Atendimento / Centro Cirúrgico e Obstétrico / Centro Cirúrgico / Documentos do Centro Cirúrgico / Anestesista (REGISTRO_RESPOSTA)"</f>
        <v>Atendimento / Centro Cirúrgico e Obstétrico / Centro Cirúrgico / Documentos do Centro Cirúrgico / Anestesista (REGISTRO_RESPOSTA)</v>
      </c>
    </row>
    <row r="8260" spans="1:7" x14ac:dyDescent="0.3">
      <c r="A8260" s="1" t="s">
        <v>4</v>
      </c>
      <c r="B8260" s="2" t="str">
        <f t="shared" si="682"/>
        <v>SISTEMA DE GERENCIAMENTO DA UNIDADE</v>
      </c>
      <c r="C8260" s="2" t="str">
        <f t="shared" si="683"/>
        <v>PAGU</v>
      </c>
      <c r="D8260" s="2" t="str">
        <f t="shared" si="683"/>
        <v>PAGU</v>
      </c>
      <c r="E8260" s="2" t="str">
        <f>"DOCUMENTOS ELETRÔNICOS"</f>
        <v>DOCUMENTOS ELETRÔNICOS</v>
      </c>
      <c r="F8260" s="2" t="str">
        <f>"REGISTRO_RESPOSTA"</f>
        <v>REGISTRO_RESPOSTA</v>
      </c>
      <c r="G8260" s="2" t="str">
        <f>"Atendimento / Centro Cirúrgico e Obstétrico / Centro Cirúrgico / Documentos do Centro Cirúrgico / Cirurgião (REGISTRO_RESPOSTA)"</f>
        <v>Atendimento / Centro Cirúrgico e Obstétrico / Centro Cirúrgico / Documentos do Centro Cirúrgico / Cirurgião (REGISTRO_RESPOSTA)</v>
      </c>
    </row>
    <row r="8261" spans="1:7" x14ac:dyDescent="0.3">
      <c r="A8261" s="1" t="s">
        <v>4</v>
      </c>
      <c r="B8261" s="2" t="str">
        <f t="shared" si="682"/>
        <v>SISTEMA DE GERENCIAMENTO DA UNIDADE</v>
      </c>
      <c r="C8261" s="2" t="str">
        <f t="shared" si="683"/>
        <v>PAGU</v>
      </c>
      <c r="D8261" s="2" t="str">
        <f t="shared" si="683"/>
        <v>PAGU</v>
      </c>
      <c r="E8261" s="2" t="str">
        <f>"R_PREMED_ENFER"</f>
        <v>R_PREMED_ENFER</v>
      </c>
      <c r="F8261" s="2" t="str">
        <f>"R_PREMED_ENFER"</f>
        <v>R_PREMED_ENFER</v>
      </c>
      <c r="G8261" s="2" t="str">
        <f>" ()"</f>
        <v xml:space="preserve"> ()</v>
      </c>
    </row>
    <row r="8262" spans="1:7" x14ac:dyDescent="0.3">
      <c r="A8262" s="1" t="s">
        <v>4</v>
      </c>
      <c r="B8262" s="2" t="str">
        <f t="shared" si="682"/>
        <v>SISTEMA DE GERENCIAMENTO DA UNIDADE</v>
      </c>
      <c r="C8262" s="2" t="str">
        <f t="shared" si="683"/>
        <v>PAGU</v>
      </c>
      <c r="D8262" s="2" t="str">
        <f t="shared" si="683"/>
        <v>PAGU</v>
      </c>
      <c r="E8262" s="2" t="str">
        <f>"CENTRAL DE DEVOLUÇÃO"</f>
        <v>CENTRAL DE DEVOLUÇÃO</v>
      </c>
      <c r="F8262" s="2" t="str">
        <f>"M_DEV_PRE"</f>
        <v>M_DEV_PRE</v>
      </c>
      <c r="G8262" s="2" t="str">
        <f>" ()"</f>
        <v xml:space="preserve"> ()</v>
      </c>
    </row>
    <row r="8263" spans="1:7" x14ac:dyDescent="0.3">
      <c r="A8263" s="1" t="s">
        <v>4</v>
      </c>
      <c r="B8263" s="2" t="str">
        <f t="shared" si="682"/>
        <v>SISTEMA DE GERENCIAMENTO DA UNIDADE</v>
      </c>
      <c r="C8263" s="2" t="str">
        <f t="shared" si="683"/>
        <v>PAGU</v>
      </c>
      <c r="D8263" s="2" t="str">
        <f t="shared" si="683"/>
        <v>PAGU</v>
      </c>
      <c r="E8263" s="2" t="str">
        <f>"PERGUNTAS PARA AVALIAÇÃO"</f>
        <v>PERGUNTAS PARA AVALIAÇÃO</v>
      </c>
      <c r="F8263" s="2" t="str">
        <f>"M_PAGU_PERGUNTA"</f>
        <v>M_PAGU_PERGUNTA</v>
      </c>
      <c r="G8263" s="2" t="str">
        <f>"Clínica e Assistencial / Gerenciamento de Unidades / Configuração / Avaliações / Pergunta (M_PAGU_PERGUNTA)"</f>
        <v>Clínica e Assistencial / Gerenciamento de Unidades / Configuração / Avaliações / Pergunta (M_PAGU_PERGUNTA)</v>
      </c>
    </row>
    <row r="8264" spans="1:7" x14ac:dyDescent="0.3">
      <c r="A8264" s="1" t="s">
        <v>4</v>
      </c>
      <c r="B8264" s="2" t="str">
        <f t="shared" si="682"/>
        <v>SISTEMA DE GERENCIAMENTO DA UNIDADE</v>
      </c>
      <c r="C8264" s="2" t="str">
        <f t="shared" si="683"/>
        <v>PAGU</v>
      </c>
      <c r="D8264" s="2" t="str">
        <f t="shared" si="683"/>
        <v>PAGU</v>
      </c>
      <c r="E8264" s="2" t="str">
        <f>"M_CONFIG_PAGU"</f>
        <v>M_CONFIG_PAGU</v>
      </c>
      <c r="F8264" s="2" t="str">
        <f>"M_CONFIG_PAGU"</f>
        <v>M_CONFIG_PAGU</v>
      </c>
      <c r="G8264" s="2" t="str">
        <f>"Clínica e Assistencial / Gerenciamento de Unidades / Configuração / Configurações (M_CONFIG_PAGU)"</f>
        <v>Clínica e Assistencial / Gerenciamento de Unidades / Configuração / Configurações (M_CONFIG_PAGU)</v>
      </c>
    </row>
    <row r="8265" spans="1:7" x14ac:dyDescent="0.3">
      <c r="A8265" s="1" t="s">
        <v>4</v>
      </c>
      <c r="B8265" s="2" t="str">
        <f t="shared" si="682"/>
        <v>SISTEMA DE GERENCIAMENTO DA UNIDADE</v>
      </c>
      <c r="C8265" s="2" t="str">
        <f t="shared" si="683"/>
        <v>PAGU</v>
      </c>
      <c r="D8265" s="2" t="str">
        <f t="shared" si="683"/>
        <v>PAGU</v>
      </c>
      <c r="E8265" s="2" t="str">
        <f>"PRESCRIÇÃO MÉDICA"</f>
        <v>PRESCRIÇÃO MÉDICA</v>
      </c>
      <c r="F8265" s="2" t="str">
        <f>"M_PREMED_ENFER"</f>
        <v>M_PREMED_ENFER</v>
      </c>
      <c r="G8265" s="2" t="str">
        <f>" ()"</f>
        <v xml:space="preserve"> ()</v>
      </c>
    </row>
    <row r="8266" spans="1:7" x14ac:dyDescent="0.3">
      <c r="A8266" s="1" t="s">
        <v>4</v>
      </c>
      <c r="B8266" s="2" t="str">
        <f t="shared" si="682"/>
        <v>SISTEMA DE GERENCIAMENTO DA UNIDADE</v>
      </c>
      <c r="C8266" s="2" t="str">
        <f t="shared" si="683"/>
        <v>PAGU</v>
      </c>
      <c r="D8266" s="2" t="str">
        <f t="shared" si="683"/>
        <v>PAGU</v>
      </c>
      <c r="E8266" s="2" t="str">
        <f>"CONSULTA DE ITENS PRESCRITOS"</f>
        <v>CONSULTA DE ITENS PRESCRITOS</v>
      </c>
      <c r="F8266" s="2" t="str">
        <f>"C_ITENS_PRESC"</f>
        <v>C_ITENS_PRESC</v>
      </c>
      <c r="G8266" s="2" t="str">
        <f>"Clínica e Assistencial / Gerenciamento de Unidades / Consultas / Prescrições Médicas / Itens Prescritos (C_ITENS_PRESC)"</f>
        <v>Clínica e Assistencial / Gerenciamento de Unidades / Consultas / Prescrições Médicas / Itens Prescritos (C_ITENS_PRESC)</v>
      </c>
    </row>
    <row r="8267" spans="1:7" x14ac:dyDescent="0.3">
      <c r="A8267" s="1" t="s">
        <v>4</v>
      </c>
      <c r="B8267" s="2" t="str">
        <f t="shared" si="682"/>
        <v>SISTEMA DE GERENCIAMENTO DA UNIDADE</v>
      </c>
      <c r="C8267" s="2" t="str">
        <f t="shared" si="683"/>
        <v>PAGU</v>
      </c>
      <c r="D8267" s="2" t="str">
        <f t="shared" si="683"/>
        <v>PAGU</v>
      </c>
      <c r="E8267" s="2" t="str">
        <f>"CONSULTA DE ITENS PRESCRITOS"</f>
        <v>CONSULTA DE ITENS PRESCRITOS</v>
      </c>
      <c r="F8267" s="2" t="str">
        <f>"C_ITENS_PRESC"</f>
        <v>C_ITENS_PRESC</v>
      </c>
      <c r="G8267" s="2" t="str">
        <f>"Serviços de Apoio / Nutrição e Dietética / Consultas / Prescrições Médicas / Itens Prescritos (C_ITENS_PRESC)"</f>
        <v>Serviços de Apoio / Nutrição e Dietética / Consultas / Prescrições Médicas / Itens Prescritos (C_ITENS_PRESC)</v>
      </c>
    </row>
    <row r="8268" spans="1:7" x14ac:dyDescent="0.3">
      <c r="A8268" s="1" t="s">
        <v>4</v>
      </c>
      <c r="B8268" s="2" t="str">
        <f t="shared" si="682"/>
        <v>SISTEMA DE GERENCIAMENTO DA UNIDADE</v>
      </c>
      <c r="C8268" s="2" t="str">
        <f t="shared" si="683"/>
        <v>PAGU</v>
      </c>
      <c r="D8268" s="2" t="str">
        <f t="shared" si="683"/>
        <v>PAGU</v>
      </c>
      <c r="E8268" s="2" t="str">
        <f>"Solicitação de Transferência de Paciente"</f>
        <v>Solicitação de Transferência de Paciente</v>
      </c>
      <c r="F8268" s="2" t="str">
        <f>"M_MON_SOLIC_TRANSF_PAGU"</f>
        <v>M_MON_SOLIC_TRANSF_PAGU</v>
      </c>
      <c r="G8268" s="2" t="str">
        <f>" ()"</f>
        <v xml:space="preserve"> ()</v>
      </c>
    </row>
    <row r="8269" spans="1:7" x14ac:dyDescent="0.3">
      <c r="A8269" s="1" t="s">
        <v>4</v>
      </c>
      <c r="B8269" s="2" t="str">
        <f t="shared" si="682"/>
        <v>SISTEMA DE GERENCIAMENTO DA UNIDADE</v>
      </c>
      <c r="C8269" s="2" t="str">
        <f t="shared" si="683"/>
        <v>PAGU</v>
      </c>
      <c r="D8269" s="2" t="str">
        <f t="shared" si="683"/>
        <v>PAGU</v>
      </c>
      <c r="E8269" s="2" t="str">
        <f>"PERSONALIZADOS DO PAGU"</f>
        <v>PERSONALIZADOS DO PAGU</v>
      </c>
      <c r="F8269" s="2" t="str">
        <f>"R_PERSON_PAGU"</f>
        <v>R_PERSON_PAGU</v>
      </c>
      <c r="G8269" s="2" t="str">
        <f>"Clínica e Assistencial / Gerenciamento de Unidades / Relatórios / Personalizados (R_PERSON_PAGU)"</f>
        <v>Clínica e Assistencial / Gerenciamento de Unidades / Relatórios / Personalizados (R_PERSON_PAGU)</v>
      </c>
    </row>
    <row r="8270" spans="1:7" x14ac:dyDescent="0.3">
      <c r="A8270" s="1" t="s">
        <v>4</v>
      </c>
      <c r="B8270" s="2" t="str">
        <f t="shared" si="682"/>
        <v>SISTEMA DE GERENCIAMENTO DA UNIDADE</v>
      </c>
      <c r="C8270" s="2" t="str">
        <f t="shared" si="683"/>
        <v>PAGU</v>
      </c>
      <c r="D8270" s="2" t="str">
        <f t="shared" si="683"/>
        <v>PAGU</v>
      </c>
      <c r="E8270" s="2" t="str">
        <f>"TEXTOS PARA EVOLUCAO"</f>
        <v>TEXTOS PARA EVOLUCAO</v>
      </c>
      <c r="F8270" s="2" t="str">
        <f>"M_TEXEVO"</f>
        <v>M_TEXEVO</v>
      </c>
      <c r="G8270" s="2" t="str">
        <f>"Clínica e Assistencial / Gerenciamento de Unidades / Configuração / Tabelas / Textos Padrões (M_TEXEVO)"</f>
        <v>Clínica e Assistencial / Gerenciamento de Unidades / Configuração / Tabelas / Textos Padrões (M_TEXEVO)</v>
      </c>
    </row>
    <row r="8271" spans="1:7" x14ac:dyDescent="0.3">
      <c r="A8271" s="1" t="s">
        <v>4</v>
      </c>
      <c r="B8271" s="2" t="str">
        <f t="shared" si="682"/>
        <v>SISTEMA DE GERENCIAMENTO DA UNIDADE</v>
      </c>
      <c r="C8271" s="2" t="str">
        <f t="shared" si="683"/>
        <v>PAGU</v>
      </c>
      <c r="D8271" s="2" t="str">
        <f t="shared" si="683"/>
        <v>PAGU</v>
      </c>
      <c r="E8271" s="2" t="str">
        <f>"TEXTOS PARA EVOLUCAO"</f>
        <v>TEXTOS PARA EVOLUCAO</v>
      </c>
      <c r="F8271" s="2" t="str">
        <f>"M_TEXEVO"</f>
        <v>M_TEXEVO</v>
      </c>
      <c r="G8271" s="2" t="str">
        <f>"Atendimento / Internação Domiciliar (Home Care) / Enfermagem / Tabelas / Textos para Evolução (M_TEXEVO)"</f>
        <v>Atendimento / Internação Domiciliar (Home Care) / Enfermagem / Tabelas / Textos para Evolução (M_TEXEVO)</v>
      </c>
    </row>
    <row r="8272" spans="1:7" x14ac:dyDescent="0.3">
      <c r="A8272" s="1" t="s">
        <v>4</v>
      </c>
      <c r="B8272" s="2" t="str">
        <f t="shared" si="682"/>
        <v>SISTEMA DE GERENCIAMENTO DA UNIDADE</v>
      </c>
      <c r="C8272" s="2" t="str">
        <f t="shared" ref="C8272:D8291" si="684">"PAGU"</f>
        <v>PAGU</v>
      </c>
      <c r="D8272" s="2" t="str">
        <f t="shared" si="684"/>
        <v>PAGU</v>
      </c>
      <c r="E8272" s="2" t="str">
        <f>"FORMAS DE APLICACOES"</f>
        <v>FORMAS DE APLICACOES</v>
      </c>
      <c r="F8272" s="2" t="str">
        <f>"M_FORAPLI"</f>
        <v>M_FORAPLI</v>
      </c>
      <c r="G8272" s="2" t="str">
        <f>"Clínica e Assistencial / Gerenciamento de Unidades / Configuração / Tabelas / Forma de Aplicação (M_FORAPLI)"</f>
        <v>Clínica e Assistencial / Gerenciamento de Unidades / Configuração / Tabelas / Forma de Aplicação (M_FORAPLI)</v>
      </c>
    </row>
    <row r="8273" spans="1:7" x14ac:dyDescent="0.3">
      <c r="A8273" s="1" t="s">
        <v>4</v>
      </c>
      <c r="B8273" s="2" t="str">
        <f t="shared" si="682"/>
        <v>SISTEMA DE GERENCIAMENTO DA UNIDADE</v>
      </c>
      <c r="C8273" s="2" t="str">
        <f t="shared" si="684"/>
        <v>PAGU</v>
      </c>
      <c r="D8273" s="2" t="str">
        <f t="shared" si="684"/>
        <v>PAGU</v>
      </c>
      <c r="E8273" s="2" t="str">
        <f>"FORMAS DE APLICACOES"</f>
        <v>FORMAS DE APLICACOES</v>
      </c>
      <c r="F8273" s="2" t="str">
        <f>"M_FORAPLI"</f>
        <v>M_FORAPLI</v>
      </c>
      <c r="G8273" s="2" t="str">
        <f>"Atendimento / Internação Domiciliar (Home Care) / Enfermagem / Tabelas / Formas de Aplicação (M_FORAPLI)"</f>
        <v>Atendimento / Internação Domiciliar (Home Care) / Enfermagem / Tabelas / Formas de Aplicação (M_FORAPLI)</v>
      </c>
    </row>
    <row r="8274" spans="1:7" x14ac:dyDescent="0.3">
      <c r="A8274" s="1" t="s">
        <v>4</v>
      </c>
      <c r="B8274" s="2" t="str">
        <f t="shared" si="682"/>
        <v>SISTEMA DE GERENCIAMENTO DA UNIDADE</v>
      </c>
      <c r="C8274" s="2" t="str">
        <f t="shared" si="684"/>
        <v>PAGU</v>
      </c>
      <c r="D8274" s="2" t="str">
        <f t="shared" si="684"/>
        <v>PAGU</v>
      </c>
      <c r="E8274" s="2" t="str">
        <f>"TIPOS DE FREQUENCIA"</f>
        <v>TIPOS DE FREQUENCIA</v>
      </c>
      <c r="F8274" s="2" t="str">
        <f>"M_FREMED"</f>
        <v>M_FREMED</v>
      </c>
      <c r="G8274" s="2" t="str">
        <f>"Clínica e Assistencial / Gerenciamento de Unidades / Configuração / Tabelas / Frequência (M_FREMED)"</f>
        <v>Clínica e Assistencial / Gerenciamento de Unidades / Configuração / Tabelas / Frequência (M_FREMED)</v>
      </c>
    </row>
    <row r="8275" spans="1:7" x14ac:dyDescent="0.3">
      <c r="A8275" s="1" t="s">
        <v>4</v>
      </c>
      <c r="B8275" s="2" t="str">
        <f t="shared" si="682"/>
        <v>SISTEMA DE GERENCIAMENTO DA UNIDADE</v>
      </c>
      <c r="C8275" s="2" t="str">
        <f t="shared" si="684"/>
        <v>PAGU</v>
      </c>
      <c r="D8275" s="2" t="str">
        <f t="shared" si="684"/>
        <v>PAGU</v>
      </c>
      <c r="E8275" s="2" t="str">
        <f>"TIPOS DE FREQUENCIA"</f>
        <v>TIPOS DE FREQUENCIA</v>
      </c>
      <c r="F8275" s="2" t="str">
        <f>"M_FREMED"</f>
        <v>M_FREMED</v>
      </c>
      <c r="G8275" s="2" t="str">
        <f>"Atendimento / Internação Domiciliar (Home Care) / Enfermagem / Tabelas / Frequência (M_FREMED)"</f>
        <v>Atendimento / Internação Domiciliar (Home Care) / Enfermagem / Tabelas / Frequência (M_FREMED)</v>
      </c>
    </row>
    <row r="8276" spans="1:7" x14ac:dyDescent="0.3">
      <c r="A8276" s="1" t="s">
        <v>4</v>
      </c>
      <c r="B8276" s="2" t="str">
        <f t="shared" si="682"/>
        <v>SISTEMA DE GERENCIAMENTO DA UNIDADE</v>
      </c>
      <c r="C8276" s="2" t="str">
        <f t="shared" si="684"/>
        <v>PAGU</v>
      </c>
      <c r="D8276" s="2" t="str">
        <f t="shared" si="684"/>
        <v>PAGU</v>
      </c>
      <c r="E8276" s="2" t="str">
        <f>"CADASTRO: EVOLUÇÃO DA ENFERMAGEM"</f>
        <v>CADASTRO: EVOLUÇÃO DA ENFERMAGEM</v>
      </c>
      <c r="F8276" s="2" t="str">
        <f>"M_EENF"</f>
        <v>M_EENF</v>
      </c>
      <c r="G8276" s="2" t="str">
        <f>" ()"</f>
        <v xml:space="preserve"> ()</v>
      </c>
    </row>
    <row r="8277" spans="1:7" x14ac:dyDescent="0.3">
      <c r="A8277" s="1" t="s">
        <v>4</v>
      </c>
      <c r="B8277" s="2" t="str">
        <f t="shared" si="682"/>
        <v>SISTEMA DE GERENCIAMENTO DA UNIDADE</v>
      </c>
      <c r="C8277" s="2" t="str">
        <f t="shared" si="684"/>
        <v>PAGU</v>
      </c>
      <c r="D8277" s="2" t="str">
        <f t="shared" si="684"/>
        <v>PAGU</v>
      </c>
      <c r="E8277" s="2" t="str">
        <f>"RELAT. DE EVOLUÇÃO DE ENFERMAGEM"</f>
        <v>RELAT. DE EVOLUÇÃO DE ENFERMAGEM</v>
      </c>
      <c r="F8277" s="2" t="str">
        <f>"R_EVOENF"</f>
        <v>R_EVOENF</v>
      </c>
      <c r="G8277" s="2" t="str">
        <f>"Clínica e Assistencial / Gerenciamento de Unidades / Relatórios / Evoluções/Anotações do Paciente / Enfermagem (R_EVOENF)"</f>
        <v>Clínica e Assistencial / Gerenciamento de Unidades / Relatórios / Evoluções/Anotações do Paciente / Enfermagem (R_EVOENF)</v>
      </c>
    </row>
    <row r="8278" spans="1:7" x14ac:dyDescent="0.3">
      <c r="A8278" s="1" t="s">
        <v>4</v>
      </c>
      <c r="B8278" s="2" t="str">
        <f t="shared" si="682"/>
        <v>SISTEMA DE GERENCIAMENTO DA UNIDADE</v>
      </c>
      <c r="C8278" s="2" t="str">
        <f t="shared" si="684"/>
        <v>PAGU</v>
      </c>
      <c r="D8278" s="2" t="str">
        <f t="shared" si="684"/>
        <v>PAGU</v>
      </c>
      <c r="E8278" s="2" t="str">
        <f>"OCORRÊNCIAS DO PLANTÃO"</f>
        <v>OCORRÊNCIAS DO PLANTÃO</v>
      </c>
      <c r="F8278" s="2" t="str">
        <f>"R_TROPLA_PAGU"</f>
        <v>R_TROPLA_PAGU</v>
      </c>
      <c r="G8278" s="2" t="str">
        <f>"Clínica e Assistencial / Gerenciamento de Unidades / Relatórios / Operacionais / Ocorrências do Plantão (R_TROPLA_PAGU)"</f>
        <v>Clínica e Assistencial / Gerenciamento de Unidades / Relatórios / Operacionais / Ocorrências do Plantão (R_TROPLA_PAGU)</v>
      </c>
    </row>
    <row r="8279" spans="1:7" x14ac:dyDescent="0.3">
      <c r="A8279" s="1" t="s">
        <v>4</v>
      </c>
      <c r="B8279" s="2" t="str">
        <f t="shared" si="682"/>
        <v>SISTEMA DE GERENCIAMENTO DA UNIDADE</v>
      </c>
      <c r="C8279" s="2" t="str">
        <f t="shared" si="684"/>
        <v>PAGU</v>
      </c>
      <c r="D8279" s="2" t="str">
        <f t="shared" si="684"/>
        <v>PAGU</v>
      </c>
      <c r="E8279" s="2" t="str">
        <f>"CADASTRO DE DOCUMENTO EXTERNO"</f>
        <v>CADASTRO DE DOCUMENTO EXTERNO</v>
      </c>
      <c r="F8279" s="2" t="str">
        <f>"M_ANEXO_PACIENTE"</f>
        <v>M_ANEXO_PACIENTE</v>
      </c>
      <c r="G8279" s="2" t="str">
        <f>"Serviços de Apoio / Global / Auxiliares / Cadastro de Documento Externo(Anexo) (M_ANEXO_PACIENTE)"</f>
        <v>Serviços de Apoio / Global / Auxiliares / Cadastro de Documento Externo(Anexo) (M_ANEXO_PACIENTE)</v>
      </c>
    </row>
    <row r="8280" spans="1:7" x14ac:dyDescent="0.3">
      <c r="A8280" s="1" t="s">
        <v>4</v>
      </c>
      <c r="B8280" s="2" t="str">
        <f t="shared" si="682"/>
        <v>SISTEMA DE GERENCIAMENTO DA UNIDADE</v>
      </c>
      <c r="C8280" s="2" t="str">
        <f t="shared" si="684"/>
        <v>PAGU</v>
      </c>
      <c r="D8280" s="2" t="str">
        <f t="shared" si="684"/>
        <v>PAGU</v>
      </c>
      <c r="E8280" s="2" t="str">
        <f>"CADASTRO DE DOCUMENTO EXTERNO"</f>
        <v>CADASTRO DE DOCUMENTO EXTERNO</v>
      </c>
      <c r="F8280" s="2" t="str">
        <f>"M_ANEXO_PACIENTE"</f>
        <v>M_ANEXO_PACIENTE</v>
      </c>
      <c r="G8280" s="2" t="str">
        <f>"Clínica e Assistencial / Gerenciamento de Unidades / Secretaria / Cadastro de Documento Externo(Anexo) (M_ANEXO_PACIENTE)"</f>
        <v>Clínica e Assistencial / Gerenciamento de Unidades / Secretaria / Cadastro de Documento Externo(Anexo) (M_ANEXO_PACIENTE)</v>
      </c>
    </row>
    <row r="8281" spans="1:7" x14ac:dyDescent="0.3">
      <c r="A8281" s="1" t="s">
        <v>17</v>
      </c>
      <c r="B8281" s="2" t="str">
        <f t="shared" si="682"/>
        <v>SISTEMA DE GERENCIAMENTO DA UNIDADE</v>
      </c>
      <c r="C8281" s="2" t="str">
        <f t="shared" si="684"/>
        <v>PAGU</v>
      </c>
      <c r="D8281" s="2" t="str">
        <f t="shared" si="684"/>
        <v>PAGU</v>
      </c>
      <c r="E8281" s="2" t="str">
        <f>"TERMO DE CONSENTIMENTO PADRAO"</f>
        <v>TERMO DE CONSENTIMENTO PADRAO</v>
      </c>
      <c r="F8281" s="2" t="str">
        <f>"M_CONSENTIMENTO_PADRAO"</f>
        <v>M_CONSENTIMENTO_PADRAO</v>
      </c>
      <c r="G8281" s="2" t="str">
        <f>"Clínica e Assistencial / Gerenciamento de Unidades / Configuração / Tabelas / PEP / Termo de Consentimento Padrão (M_CONSENTIMENTO_PADRAO)"</f>
        <v>Clínica e Assistencial / Gerenciamento de Unidades / Configuração / Tabelas / PEP / Termo de Consentimento Padrão (M_CONSENTIMENTO_PADRAO)</v>
      </c>
    </row>
    <row r="8282" spans="1:7" x14ac:dyDescent="0.3">
      <c r="A8282" s="1" t="s">
        <v>17</v>
      </c>
      <c r="B8282" s="2" t="str">
        <f t="shared" si="682"/>
        <v>SISTEMA DE GERENCIAMENTO DA UNIDADE</v>
      </c>
      <c r="C8282" s="2" t="str">
        <f t="shared" si="684"/>
        <v>PAGU</v>
      </c>
      <c r="D8282" s="2" t="str">
        <f t="shared" si="684"/>
        <v>PAGU</v>
      </c>
      <c r="E8282" s="2" t="str">
        <f>"DOSES E VACINAS"</f>
        <v>DOSES E VACINAS</v>
      </c>
      <c r="F8282" s="2" t="str">
        <f>"M_DOSE_VACINA"</f>
        <v>M_DOSE_VACINA</v>
      </c>
      <c r="G8282" s="2" t="str">
        <f>"Clínica e Assistencial / Gerenciamento de Unidades / Configuração / Tabelas / PEP / Doses e Vacinas (M_DOSE_VACINA)"</f>
        <v>Clínica e Assistencial / Gerenciamento de Unidades / Configuração / Tabelas / PEP / Doses e Vacinas (M_DOSE_VACINA)</v>
      </c>
    </row>
    <row r="8283" spans="1:7" x14ac:dyDescent="0.3">
      <c r="A8283" s="1" t="s">
        <v>17</v>
      </c>
      <c r="B8283" s="2" t="str">
        <f t="shared" si="682"/>
        <v>SISTEMA DE GERENCIAMENTO DA UNIDADE</v>
      </c>
      <c r="C8283" s="2" t="str">
        <f t="shared" si="684"/>
        <v>PAGU</v>
      </c>
      <c r="D8283" s="2" t="str">
        <f t="shared" si="684"/>
        <v>PAGU</v>
      </c>
      <c r="E8283" s="2" t="str">
        <f>"ITENS DE AFERICAO"</f>
        <v>ITENS DE AFERICAO</v>
      </c>
      <c r="F8283" s="2" t="str">
        <f>"M_CAD_ITENS_AFERICAO"</f>
        <v>M_CAD_ITENS_AFERICAO</v>
      </c>
      <c r="G8283" s="2" t="str">
        <f>"Clínica e Assistencial / Gerenciamento de Unidades / Configuração / Tabelas / PEP / Itens de Aferição (M_CAD_ITENS_AFERICAO)"</f>
        <v>Clínica e Assistencial / Gerenciamento de Unidades / Configuração / Tabelas / PEP / Itens de Aferição (M_CAD_ITENS_AFERICAO)</v>
      </c>
    </row>
    <row r="8284" spans="1:7" x14ac:dyDescent="0.3">
      <c r="A8284" s="1" t="s">
        <v>17</v>
      </c>
      <c r="B8284" s="2" t="str">
        <f t="shared" si="682"/>
        <v>SISTEMA DE GERENCIAMENTO DA UNIDADE</v>
      </c>
      <c r="C8284" s="2" t="str">
        <f t="shared" si="684"/>
        <v>PAGU</v>
      </c>
      <c r="D8284" s="2" t="str">
        <f t="shared" si="684"/>
        <v>PAGU</v>
      </c>
      <c r="E8284" s="2" t="str">
        <f>"INSTRUMENTO DE AFERICAO"</f>
        <v>INSTRUMENTO DE AFERICAO</v>
      </c>
      <c r="F8284" s="2" t="str">
        <f>"M_INSTRUMENTO_AFERICAO"</f>
        <v>M_INSTRUMENTO_AFERICAO</v>
      </c>
      <c r="G8284" s="2" t="str">
        <f>"Clínica e Assistencial / Gerenciamento de Unidades / Configuração / Tabelas / PEP / Instrumento de Aferição (M_INSTRUMENTO_AFERICAO)"</f>
        <v>Clínica e Assistencial / Gerenciamento de Unidades / Configuração / Tabelas / PEP / Instrumento de Aferição (M_INSTRUMENTO_AFERICAO)</v>
      </c>
    </row>
    <row r="8285" spans="1:7" x14ac:dyDescent="0.3">
      <c r="A8285" s="1" t="s">
        <v>17</v>
      </c>
      <c r="B8285" s="2" t="str">
        <f t="shared" si="682"/>
        <v>SISTEMA DE GERENCIAMENTO DA UNIDADE</v>
      </c>
      <c r="C8285" s="2" t="str">
        <f t="shared" si="684"/>
        <v>PAGU</v>
      </c>
      <c r="D8285" s="2" t="str">
        <f t="shared" si="684"/>
        <v>PAGU</v>
      </c>
      <c r="E8285" s="2" t="str">
        <f>"UNIDADES DE AFERICAO"</f>
        <v>UNIDADES DE AFERICAO</v>
      </c>
      <c r="F8285" s="2" t="str">
        <f>"M_UNIDADE_AFERICAO"</f>
        <v>M_UNIDADE_AFERICAO</v>
      </c>
      <c r="G8285" s="2" t="str">
        <f>"Clínica e Assistencial / Gerenciamento de Unidades / Configuração / Tabelas / PEP / Unidades de Aferição (M_UNIDADE_AFERICAO)"</f>
        <v>Clínica e Assistencial / Gerenciamento de Unidades / Configuração / Tabelas / PEP / Unidades de Aferição (M_UNIDADE_AFERICAO)</v>
      </c>
    </row>
    <row r="8286" spans="1:7" x14ac:dyDescent="0.3">
      <c r="A8286" s="1" t="s">
        <v>17</v>
      </c>
      <c r="B8286" s="2" t="str">
        <f t="shared" si="682"/>
        <v>SISTEMA DE GERENCIAMENTO DA UNIDADE</v>
      </c>
      <c r="C8286" s="2" t="str">
        <f t="shared" si="684"/>
        <v>PAGU</v>
      </c>
      <c r="D8286" s="2" t="str">
        <f t="shared" si="684"/>
        <v>PAGU</v>
      </c>
      <c r="E8286" s="2" t="str">
        <f>"UNIDADE DE DURACAO"</f>
        <v>UNIDADE DE DURACAO</v>
      </c>
      <c r="F8286" s="2" t="str">
        <f>"M_UNIDADE_DURACAO"</f>
        <v>M_UNIDADE_DURACAO</v>
      </c>
      <c r="G8286" s="2" t="str">
        <f>"Clínica e Assistencial / Gerenciamento de Unidades / Configuração / Tabelas / PEP / Unidade de Duração (M_UNIDADE_DURACAO)"</f>
        <v>Clínica e Assistencial / Gerenciamento de Unidades / Configuração / Tabelas / PEP / Unidade de Duração (M_UNIDADE_DURACAO)</v>
      </c>
    </row>
    <row r="8287" spans="1:7" x14ac:dyDescent="0.3">
      <c r="A8287" s="1" t="s">
        <v>17</v>
      </c>
      <c r="B8287" s="2" t="str">
        <f t="shared" si="682"/>
        <v>SISTEMA DE GERENCIAMENTO DA UNIDADE</v>
      </c>
      <c r="C8287" s="2" t="str">
        <f t="shared" si="684"/>
        <v>PAGU</v>
      </c>
      <c r="D8287" s="2" t="str">
        <f t="shared" si="684"/>
        <v>PAGU</v>
      </c>
      <c r="E8287" s="2" t="str">
        <f>"OBRIGATORIEDADE DE DOCUMENTOS"</f>
        <v>OBRIGATORIEDADE DE DOCUMENTOS</v>
      </c>
      <c r="F8287" s="2" t="str">
        <f>"M_DOC_OBG_EDITOR"</f>
        <v>M_DOC_OBG_EDITOR</v>
      </c>
      <c r="G8287" s="2" t="str">
        <f>"Clínica e Assistencial / Gerenciamento de Unidades / Configuração / Tabelas / PEP / Obrigatoriedade de Documentos (M_DOC_OBG_EDITOR)"</f>
        <v>Clínica e Assistencial / Gerenciamento de Unidades / Configuração / Tabelas / PEP / Obrigatoriedade de Documentos (M_DOC_OBG_EDITOR)</v>
      </c>
    </row>
    <row r="8288" spans="1:7" x14ac:dyDescent="0.3">
      <c r="A8288" s="1" t="s">
        <v>17</v>
      </c>
      <c r="B8288" s="2" t="str">
        <f t="shared" si="682"/>
        <v>SISTEMA DE GERENCIAMENTO DA UNIDADE</v>
      </c>
      <c r="C8288" s="2" t="str">
        <f t="shared" si="684"/>
        <v>PAGU</v>
      </c>
      <c r="D8288" s="2" t="str">
        <f t="shared" si="684"/>
        <v>PAGU</v>
      </c>
      <c r="E8288" s="2" t="str">
        <f>"ASSOCIACAO DE DOCUMENTOS POR TEMA"</f>
        <v>ASSOCIACAO DE DOCUMENTOS POR TEMA</v>
      </c>
      <c r="F8288" s="2" t="str">
        <f>"M_TEMA_CLINICO"</f>
        <v>M_TEMA_CLINICO</v>
      </c>
      <c r="G8288" s="2" t="str">
        <f>"Clínica e Assistencial / Gerenciamento de Unidades / Configuração / Tabelas / PEP / Associação de Documentos por Tema (M_TEMA_CLINICO)"</f>
        <v>Clínica e Assistencial / Gerenciamento de Unidades / Configuração / Tabelas / PEP / Associação de Documentos por Tema (M_TEMA_CLINICO)</v>
      </c>
    </row>
    <row r="8289" spans="1:7" x14ac:dyDescent="0.3">
      <c r="A8289" s="1" t="s">
        <v>17</v>
      </c>
      <c r="B8289" s="2" t="str">
        <f t="shared" si="682"/>
        <v>SISTEMA DE GERENCIAMENTO DA UNIDADE</v>
      </c>
      <c r="C8289" s="2" t="str">
        <f t="shared" si="684"/>
        <v>PAGU</v>
      </c>
      <c r="D8289" s="2" t="str">
        <f t="shared" si="684"/>
        <v>PAGU</v>
      </c>
      <c r="E8289" s="2" t="str">
        <f>"GRUPO DE DOCUMENTOS"</f>
        <v>GRUPO DE DOCUMENTOS</v>
      </c>
      <c r="F8289" s="2" t="str">
        <f>"M_TIPO_DOCUMENTO_ABA"</f>
        <v>M_TIPO_DOCUMENTO_ABA</v>
      </c>
      <c r="G8289" s="2" t="str">
        <f>" ()"</f>
        <v xml:space="preserve"> ()</v>
      </c>
    </row>
    <row r="8290" spans="1:7" x14ac:dyDescent="0.3">
      <c r="A8290" s="1" t="s">
        <v>17</v>
      </c>
      <c r="B8290" s="2" t="str">
        <f t="shared" si="682"/>
        <v>SISTEMA DE GERENCIAMENTO DA UNIDADE</v>
      </c>
      <c r="C8290" s="2" t="str">
        <f t="shared" si="684"/>
        <v>PAGU</v>
      </c>
      <c r="D8290" s="2" t="str">
        <f t="shared" si="684"/>
        <v>PAGU</v>
      </c>
      <c r="E8290" s="2" t="str">
        <f>"PADRONIZACAO DOS ITENS DE PRESCRICAO"</f>
        <v>PADRONIZACAO DOS ITENS DE PRESCRICAO</v>
      </c>
      <c r="F8290" s="2" t="str">
        <f>"M_CONFIG_PADRAO_ITEM"</f>
        <v>M_CONFIG_PADRAO_ITEM</v>
      </c>
      <c r="G8290" s="2" t="str">
        <f>" ()"</f>
        <v xml:space="preserve"> ()</v>
      </c>
    </row>
    <row r="8291" spans="1:7" x14ac:dyDescent="0.3">
      <c r="A8291" s="1" t="s">
        <v>17</v>
      </c>
      <c r="B8291" s="2" t="str">
        <f t="shared" si="682"/>
        <v>SISTEMA DE GERENCIAMENTO DA UNIDADE</v>
      </c>
      <c r="C8291" s="2" t="str">
        <f t="shared" si="684"/>
        <v>PAGU</v>
      </c>
      <c r="D8291" s="2" t="str">
        <f t="shared" si="684"/>
        <v>PAGU</v>
      </c>
      <c r="E8291" s="2" t="str">
        <f>"APRESENTACAO DOS ITENS DE PRESCRICAO"</f>
        <v>APRESENTACAO DOS ITENS DE PRESCRICAO</v>
      </c>
      <c r="F8291" s="2" t="str">
        <f>"M_GRUPO_ITEM_PADRAO"</f>
        <v>M_GRUPO_ITEM_PADRAO</v>
      </c>
      <c r="G8291" s="2" t="str">
        <f>"Clínica e Assistencial / Gerenciamento de Unidades / Configuração / Tabelas / PEP / Apresentação dos Itens de Prescrição (M_GRUPO_ITEM_PADRAO)"</f>
        <v>Clínica e Assistencial / Gerenciamento de Unidades / Configuração / Tabelas / PEP / Apresentação dos Itens de Prescrição (M_GRUPO_ITEM_PADRAO)</v>
      </c>
    </row>
    <row r="8292" spans="1:7" x14ac:dyDescent="0.3">
      <c r="A8292" s="1" t="s">
        <v>17</v>
      </c>
      <c r="B8292" s="2" t="str">
        <f t="shared" si="682"/>
        <v>SISTEMA DE GERENCIAMENTO DA UNIDADE</v>
      </c>
      <c r="C8292" s="2" t="str">
        <f t="shared" ref="C8292:D8311" si="685">"PAGU"</f>
        <v>PAGU</v>
      </c>
      <c r="D8292" s="2" t="str">
        <f t="shared" si="685"/>
        <v>PAGU</v>
      </c>
      <c r="E8292" s="2" t="str">
        <f>"PERFIL DO USUARIO"</f>
        <v>PERFIL DO USUARIO</v>
      </c>
      <c r="F8292" s="2" t="str">
        <f>"M_CONFIG_PERFIL_USUARIO"</f>
        <v>M_CONFIG_PERFIL_USUARIO</v>
      </c>
      <c r="G8292" s="2" t="str">
        <f>"Clínica e Assistencial / Gerenciamento de Unidades / Configuração / Tabelas / PEP / Perfil do usuário (M_CONFIG_PERFIL_USUARIO)"</f>
        <v>Clínica e Assistencial / Gerenciamento de Unidades / Configuração / Tabelas / PEP / Perfil do usuário (M_CONFIG_PERFIL_USUARIO)</v>
      </c>
    </row>
    <row r="8293" spans="1:7" x14ac:dyDescent="0.3">
      <c r="A8293" s="1" t="s">
        <v>17</v>
      </c>
      <c r="B8293" s="2" t="str">
        <f t="shared" si="682"/>
        <v>SISTEMA DE GERENCIAMENTO DA UNIDADE</v>
      </c>
      <c r="C8293" s="2" t="str">
        <f t="shared" si="685"/>
        <v>PAGU</v>
      </c>
      <c r="D8293" s="2" t="str">
        <f t="shared" si="685"/>
        <v>PAGU</v>
      </c>
      <c r="E8293" s="2" t="str">
        <f>"LISTA DE PACIENTE"</f>
        <v>LISTA DE PACIENTE</v>
      </c>
      <c r="F8293" s="2" t="str">
        <f>"M_CONFIG_LISTA_PACIENTE"</f>
        <v>M_CONFIG_LISTA_PACIENTE</v>
      </c>
      <c r="G8293" s="2" t="str">
        <f>"Clínica e Assistencial / Gerenciamento de Unidades / Configuração / Tabelas / PEP / Lista de Paciente (M_CONFIG_LISTA_PACIENTE)"</f>
        <v>Clínica e Assistencial / Gerenciamento de Unidades / Configuração / Tabelas / PEP / Lista de Paciente (M_CONFIG_LISTA_PACIENTE)</v>
      </c>
    </row>
    <row r="8294" spans="1:7" x14ac:dyDescent="0.3">
      <c r="A8294" s="1" t="s">
        <v>17</v>
      </c>
      <c r="B8294" s="2" t="str">
        <f t="shared" si="682"/>
        <v>SISTEMA DE GERENCIAMENTO DA UNIDADE</v>
      </c>
      <c r="C8294" s="2" t="str">
        <f t="shared" si="685"/>
        <v>PAGU</v>
      </c>
      <c r="D8294" s="2" t="str">
        <f t="shared" si="685"/>
        <v>PAGU</v>
      </c>
      <c r="E8294" s="2" t="str">
        <f>"DOMINIO E CLASSE"</f>
        <v>DOMINIO E CLASSE</v>
      </c>
      <c r="F8294" s="2" t="str">
        <f>"M_SAE_DOMINIO_CLASSE"</f>
        <v>M_SAE_DOMINIO_CLASSE</v>
      </c>
      <c r="G8294" s="2" t="str">
        <f>"Clínica e Assistencial / Gerenciamento de Unidades / Configuração / Tabelas / (SAE)-Diagnóstico de Enfermagem / Domínio e Classe (M_SAE_DOMINIO_CLASSE)"</f>
        <v>Clínica e Assistencial / Gerenciamento de Unidades / Configuração / Tabelas / (SAE)-Diagnóstico de Enfermagem / Domínio e Classe (M_SAE_DOMINIO_CLASSE)</v>
      </c>
    </row>
    <row r="8295" spans="1:7" x14ac:dyDescent="0.3">
      <c r="A8295" s="1" t="s">
        <v>17</v>
      </c>
      <c r="B8295" s="2" t="str">
        <f t="shared" si="682"/>
        <v>SISTEMA DE GERENCIAMENTO DA UNIDADE</v>
      </c>
      <c r="C8295" s="2" t="str">
        <f t="shared" si="685"/>
        <v>PAGU</v>
      </c>
      <c r="D8295" s="2" t="str">
        <f t="shared" si="685"/>
        <v>PAGU</v>
      </c>
      <c r="E8295" s="2" t="s">
        <v>42</v>
      </c>
      <c r="F8295" s="2" t="s">
        <v>43</v>
      </c>
      <c r="G8295" s="2" t="str">
        <f>"M_SAE_GRU_PER_RES"</f>
        <v>M_SAE_GRU_PER_RES</v>
      </c>
    </row>
    <row r="8296" spans="1:7" x14ac:dyDescent="0.3">
      <c r="A8296" s="1" t="s">
        <v>17</v>
      </c>
      <c r="B8296" s="2" t="str">
        <f t="shared" si="682"/>
        <v>SISTEMA DE GERENCIAMENTO DA UNIDADE</v>
      </c>
      <c r="C8296" s="2" t="str">
        <f t="shared" si="685"/>
        <v>PAGU</v>
      </c>
      <c r="D8296" s="2" t="str">
        <f t="shared" si="685"/>
        <v>PAGU</v>
      </c>
      <c r="E8296" s="2" t="str">
        <f>"DIAGNOSTICO DE ENFERMAGEM"</f>
        <v>DIAGNOSTICO DE ENFERMAGEM</v>
      </c>
      <c r="F8296" s="2" t="str">
        <f>"M_SAE_DIAGNOSTICO"</f>
        <v>M_SAE_DIAGNOSTICO</v>
      </c>
      <c r="G8296" s="2" t="str">
        <f>"Clínica e Assistencial / Gerenciamento de Unidades / Configuração / Tabelas / (SAE)-Diagnóstico de Enfermagem / Diagnóstico de Enfermagem (M_SAE_DIAGNOSTICO)"</f>
        <v>Clínica e Assistencial / Gerenciamento de Unidades / Configuração / Tabelas / (SAE)-Diagnóstico de Enfermagem / Diagnóstico de Enfermagem (M_SAE_DIAGNOSTICO)</v>
      </c>
    </row>
    <row r="8297" spans="1:7" x14ac:dyDescent="0.3">
      <c r="A8297" s="1" t="s">
        <v>17</v>
      </c>
      <c r="B8297" s="2" t="str">
        <f t="shared" si="682"/>
        <v>SISTEMA DE GERENCIAMENTO DA UNIDADE</v>
      </c>
      <c r="C8297" s="2" t="str">
        <f t="shared" si="685"/>
        <v>PAGU</v>
      </c>
      <c r="D8297" s="2" t="str">
        <f t="shared" si="685"/>
        <v>PAGU</v>
      </c>
      <c r="E8297" s="2" t="str">
        <f>"DIAGNOSTICO POR SETOR"</f>
        <v>DIAGNOSTICO POR SETOR</v>
      </c>
      <c r="F8297" s="2" t="str">
        <f>"M_SAE_SETOR_DIAGNOSTICO"</f>
        <v>M_SAE_SETOR_DIAGNOSTICO</v>
      </c>
      <c r="G8297" s="2" t="str">
        <f>"Clínica e Assistencial / Gerenciamento de Unidades / Configuração / Tabelas / (SAE)-Diagnóstico de Enfermagem / Diagnóstico por Setor (M_SAE_SETOR_DIAGNOSTICO)"</f>
        <v>Clínica e Assistencial / Gerenciamento de Unidades / Configuração / Tabelas / (SAE)-Diagnóstico de Enfermagem / Diagnóstico por Setor (M_SAE_SETOR_DIAGNOSTICO)</v>
      </c>
    </row>
    <row r="8298" spans="1:7" x14ac:dyDescent="0.3">
      <c r="A8298" s="1" t="s">
        <v>4</v>
      </c>
      <c r="B8298" s="2" t="str">
        <f t="shared" si="682"/>
        <v>SISTEMA DE GERENCIAMENTO DA UNIDADE</v>
      </c>
      <c r="C8298" s="2" t="str">
        <f t="shared" si="685"/>
        <v>PAGU</v>
      </c>
      <c r="D8298" s="2" t="str">
        <f t="shared" si="685"/>
        <v>PAGU</v>
      </c>
      <c r="E8298" s="2" t="str">
        <f>"WIN_PRINCIPAL"</f>
        <v>WIN_PRINCIPAL</v>
      </c>
      <c r="F8298" s="2" t="str">
        <f>"M_CONVERTE_PRESCRICAO"</f>
        <v>M_CONVERTE_PRESCRICAO</v>
      </c>
      <c r="G8298" s="2" t="str">
        <f>" ()"</f>
        <v xml:space="preserve"> ()</v>
      </c>
    </row>
    <row r="8299" spans="1:7" x14ac:dyDescent="0.3">
      <c r="A8299" s="1" t="s">
        <v>4</v>
      </c>
      <c r="B8299" s="2" t="str">
        <f t="shared" si="682"/>
        <v>SISTEMA DE GERENCIAMENTO DA UNIDADE</v>
      </c>
      <c r="C8299" s="2" t="str">
        <f t="shared" si="685"/>
        <v>PAGU</v>
      </c>
      <c r="D8299" s="2" t="str">
        <f t="shared" si="685"/>
        <v>PAGU</v>
      </c>
      <c r="E8299" s="2" t="str">
        <f>"CADASTRO DE SALAS"</f>
        <v>CADASTRO DE SALAS</v>
      </c>
      <c r="F8299" s="2" t="str">
        <f>"M_SALA"</f>
        <v>M_SALA</v>
      </c>
      <c r="G8299" s="2" t="str">
        <f>"Clínica e Assistencial / Gerenciamento de Unidades / Configuração / Tabelas / Sala (M_SALA)"</f>
        <v>Clínica e Assistencial / Gerenciamento de Unidades / Configuração / Tabelas / Sala (M_SALA)</v>
      </c>
    </row>
    <row r="8300" spans="1:7" x14ac:dyDescent="0.3">
      <c r="A8300" s="1" t="s">
        <v>4</v>
      </c>
      <c r="B8300" s="2" t="str">
        <f t="shared" si="682"/>
        <v>SISTEMA DE GERENCIAMENTO DA UNIDADE</v>
      </c>
      <c r="C8300" s="2" t="str">
        <f t="shared" si="685"/>
        <v>PAGU</v>
      </c>
      <c r="D8300" s="2" t="str">
        <f t="shared" si="685"/>
        <v>PAGU</v>
      </c>
      <c r="E8300" s="2" t="str">
        <f>"HORARIO DE MEDICACAO"</f>
        <v>HORARIO DE MEDICACAO</v>
      </c>
      <c r="F8300" s="2" t="str">
        <f>"C_HORMED"</f>
        <v>C_HORMED</v>
      </c>
      <c r="G8300" s="2" t="str">
        <f>"Clínica e Assistencial / Gerenciamento de Unidades / Consultas / Prescrições Médicas / Horários Aplicações (C_HORMED)"</f>
        <v>Clínica e Assistencial / Gerenciamento de Unidades / Consultas / Prescrições Médicas / Horários Aplicações (C_HORMED)</v>
      </c>
    </row>
    <row r="8301" spans="1:7" x14ac:dyDescent="0.3">
      <c r="A8301" s="1" t="s">
        <v>4</v>
      </c>
      <c r="B8301" s="2" t="str">
        <f t="shared" si="682"/>
        <v>SISTEMA DE GERENCIAMENTO DA UNIDADE</v>
      </c>
      <c r="C8301" s="2" t="str">
        <f t="shared" si="685"/>
        <v>PAGU</v>
      </c>
      <c r="D8301" s="2" t="str">
        <f t="shared" si="685"/>
        <v>PAGU</v>
      </c>
      <c r="E8301" s="2" t="str">
        <f>"HORARIO DE MEDICACAO"</f>
        <v>HORARIO DE MEDICACAO</v>
      </c>
      <c r="F8301" s="2" t="str">
        <f>"C_HORMED"</f>
        <v>C_HORMED</v>
      </c>
      <c r="G8301" s="2" t="str">
        <f>"Serviços de Apoio / Nutrição e Dietética / Consultas / Prescrições Médicas / Horários Aplicações (C_HORMED)"</f>
        <v>Serviços de Apoio / Nutrição e Dietética / Consultas / Prescrições Médicas / Horários Aplicações (C_HORMED)</v>
      </c>
    </row>
    <row r="8302" spans="1:7" x14ac:dyDescent="0.3">
      <c r="A8302" s="1" t="s">
        <v>4</v>
      </c>
      <c r="B8302" s="2" t="str">
        <f t="shared" si="682"/>
        <v>SISTEMA DE GERENCIAMENTO DA UNIDADE</v>
      </c>
      <c r="C8302" s="2" t="str">
        <f t="shared" si="685"/>
        <v>PAGU</v>
      </c>
      <c r="D8302" s="2" t="str">
        <f t="shared" si="685"/>
        <v>PAGU</v>
      </c>
      <c r="E8302" s="2" t="str">
        <f>"CONSULTA EVOLUCAO DE ENFERMAGEM"</f>
        <v>CONSULTA EVOLUCAO DE ENFERMAGEM</v>
      </c>
      <c r="F8302" s="2" t="str">
        <f>"C_EVOENF"</f>
        <v>C_EVOENF</v>
      </c>
      <c r="G8302" s="2" t="str">
        <f>"Clínica e Assistencial / Gerenciamento de Unidades / Consultas / Evoluções do Paciente / Enfermagem (C_EVOENF)"</f>
        <v>Clínica e Assistencial / Gerenciamento de Unidades / Consultas / Evoluções do Paciente / Enfermagem (C_EVOENF)</v>
      </c>
    </row>
    <row r="8303" spans="1:7" x14ac:dyDescent="0.3">
      <c r="A8303" s="1" t="s">
        <v>4</v>
      </c>
      <c r="B8303" s="2" t="str">
        <f t="shared" si="682"/>
        <v>SISTEMA DE GERENCIAMENTO DA UNIDADE</v>
      </c>
      <c r="C8303" s="2" t="str">
        <f t="shared" si="685"/>
        <v>PAGU</v>
      </c>
      <c r="D8303" s="2" t="str">
        <f t="shared" si="685"/>
        <v>PAGU</v>
      </c>
      <c r="E8303" s="2" t="str">
        <f>"M_TEXTO"</f>
        <v>M_TEXTO</v>
      </c>
      <c r="F8303" s="2" t="str">
        <f>"M_TEXTO"</f>
        <v>M_TEXTO</v>
      </c>
      <c r="G8303" s="2" t="str">
        <f>" ()"</f>
        <v xml:space="preserve"> ()</v>
      </c>
    </row>
    <row r="8304" spans="1:7" x14ac:dyDescent="0.3">
      <c r="A8304" s="1" t="s">
        <v>4</v>
      </c>
      <c r="B8304" s="2" t="str">
        <f t="shared" ref="B8304:B8367" si="686">"SISTEMA DE GERENCIAMENTO DA UNIDADE"</f>
        <v>SISTEMA DE GERENCIAMENTO DA UNIDADE</v>
      </c>
      <c r="C8304" s="2" t="str">
        <f t="shared" si="685"/>
        <v>PAGU</v>
      </c>
      <c r="D8304" s="2" t="str">
        <f t="shared" si="685"/>
        <v>PAGU</v>
      </c>
      <c r="E8304" s="2" t="str">
        <f>"R_PREMED_959"</f>
        <v>R_PREMED_959</v>
      </c>
      <c r="F8304" s="2" t="str">
        <f>"R_PREMED_959"</f>
        <v>R_PREMED_959</v>
      </c>
      <c r="G8304" s="2" t="str">
        <f>" ()"</f>
        <v xml:space="preserve"> ()</v>
      </c>
    </row>
    <row r="8305" spans="1:7" x14ac:dyDescent="0.3">
      <c r="A8305" s="1" t="s">
        <v>4</v>
      </c>
      <c r="B8305" s="2" t="str">
        <f t="shared" si="686"/>
        <v>SISTEMA DE GERENCIAMENTO DA UNIDADE</v>
      </c>
      <c r="C8305" s="2" t="str">
        <f t="shared" si="685"/>
        <v>PAGU</v>
      </c>
      <c r="D8305" s="2" t="str">
        <f t="shared" si="685"/>
        <v>PAGU</v>
      </c>
      <c r="E8305" s="2" t="str">
        <f>"R_SOLSAI_PRO_2_800"</f>
        <v>R_SOLSAI_PRO_2_800</v>
      </c>
      <c r="F8305" s="2" t="str">
        <f>"R_SOLSAI_PRO_2_800"</f>
        <v>R_SOLSAI_PRO_2_800</v>
      </c>
      <c r="G8305" s="2" t="str">
        <f>" ()"</f>
        <v xml:space="preserve"> ()</v>
      </c>
    </row>
    <row r="8306" spans="1:7" x14ac:dyDescent="0.3">
      <c r="A8306" s="1" t="s">
        <v>4</v>
      </c>
      <c r="B8306" s="2" t="str">
        <f t="shared" si="686"/>
        <v>SISTEMA DE GERENCIAMENTO DA UNIDADE</v>
      </c>
      <c r="C8306" s="2" t="str">
        <f t="shared" si="685"/>
        <v>PAGU</v>
      </c>
      <c r="D8306" s="2" t="str">
        <f t="shared" si="685"/>
        <v>PAGU</v>
      </c>
      <c r="E8306" s="2" t="str">
        <f>"R_DIAGNOSTICO"</f>
        <v>R_DIAGNOSTICO</v>
      </c>
      <c r="F8306" s="2" t="str">
        <f>"R_DIAGNOSTICO"</f>
        <v>R_DIAGNOSTICO</v>
      </c>
      <c r="G8306" s="2" t="str">
        <f>"Clínica e Assistencial / Gerenciamento de Unidades / Relatórios / Tabelas / Cadastro de Diagnóstico (R_DIAGNOSTICO)"</f>
        <v>Clínica e Assistencial / Gerenciamento de Unidades / Relatórios / Tabelas / Cadastro de Diagnóstico (R_DIAGNOSTICO)</v>
      </c>
    </row>
    <row r="8307" spans="1:7" x14ac:dyDescent="0.3">
      <c r="A8307" s="1" t="s">
        <v>4</v>
      </c>
      <c r="B8307" s="2" t="str">
        <f t="shared" si="686"/>
        <v>SISTEMA DE GERENCIAMENTO DA UNIDADE</v>
      </c>
      <c r="C8307" s="2" t="str">
        <f t="shared" si="685"/>
        <v>PAGU</v>
      </c>
      <c r="D8307" s="2" t="str">
        <f t="shared" si="685"/>
        <v>PAGU</v>
      </c>
      <c r="E8307" s="2" t="str">
        <f>"RES_RX"</f>
        <v>RES_RX</v>
      </c>
      <c r="F8307" s="2" t="str">
        <f>"RES_RX"</f>
        <v>RES_RX</v>
      </c>
      <c r="G8307" s="2" t="str">
        <f t="shared" ref="G8307:G8324" si="687">" ()"</f>
        <v xml:space="preserve"> ()</v>
      </c>
    </row>
    <row r="8308" spans="1:7" x14ac:dyDescent="0.3">
      <c r="A8308" s="1" t="s">
        <v>4</v>
      </c>
      <c r="B8308" s="2" t="str">
        <f t="shared" si="686"/>
        <v>SISTEMA DE GERENCIAMENTO DA UNIDADE</v>
      </c>
      <c r="C8308" s="2" t="str">
        <f t="shared" si="685"/>
        <v>PAGU</v>
      </c>
      <c r="D8308" s="2" t="str">
        <f t="shared" si="685"/>
        <v>PAGU</v>
      </c>
      <c r="E8308" s="2" t="str">
        <f>"RES_EXA"</f>
        <v>RES_EXA</v>
      </c>
      <c r="F8308" s="2" t="str">
        <f>"RES_EXA"</f>
        <v>RES_EXA</v>
      </c>
      <c r="G8308" s="2" t="str">
        <f t="shared" si="687"/>
        <v xml:space="preserve"> ()</v>
      </c>
    </row>
    <row r="8309" spans="1:7" x14ac:dyDescent="0.3">
      <c r="A8309" s="1" t="s">
        <v>4</v>
      </c>
      <c r="B8309" s="2" t="str">
        <f t="shared" si="686"/>
        <v>SISTEMA DE GERENCIAMENTO DA UNIDADE</v>
      </c>
      <c r="C8309" s="2" t="str">
        <f t="shared" si="685"/>
        <v>PAGU</v>
      </c>
      <c r="D8309" s="2" t="str">
        <f t="shared" si="685"/>
        <v>PAGU</v>
      </c>
      <c r="E8309" s="2" t="str">
        <f>"RESUMO_CLINICO"</f>
        <v>RESUMO_CLINICO</v>
      </c>
      <c r="F8309" s="2" t="str">
        <f>"RESUMO_CLINICO"</f>
        <v>RESUMO_CLINICO</v>
      </c>
      <c r="G8309" s="2" t="str">
        <f t="shared" si="687"/>
        <v xml:space="preserve"> ()</v>
      </c>
    </row>
    <row r="8310" spans="1:7" x14ac:dyDescent="0.3">
      <c r="A8310" s="1" t="s">
        <v>4</v>
      </c>
      <c r="B8310" s="2" t="str">
        <f t="shared" si="686"/>
        <v>SISTEMA DE GERENCIAMENTO DA UNIDADE</v>
      </c>
      <c r="C8310" s="2" t="str">
        <f t="shared" si="685"/>
        <v>PAGU</v>
      </c>
      <c r="D8310" s="2" t="str">
        <f t="shared" si="685"/>
        <v>PAGU</v>
      </c>
      <c r="E8310" s="2" t="str">
        <f>"M_TIP_ESQ_SETOR"</f>
        <v>M_TIP_ESQ_SETOR</v>
      </c>
      <c r="F8310" s="2" t="str">
        <f>"M_TIP_ESQ_SETOR"</f>
        <v>M_TIP_ESQ_SETOR</v>
      </c>
      <c r="G8310" s="2" t="str">
        <f t="shared" si="687"/>
        <v xml:space="preserve"> ()</v>
      </c>
    </row>
    <row r="8311" spans="1:7" x14ac:dyDescent="0.3">
      <c r="A8311" s="1" t="s">
        <v>4</v>
      </c>
      <c r="B8311" s="2" t="str">
        <f t="shared" si="686"/>
        <v>SISTEMA DE GERENCIAMENTO DA UNIDADE</v>
      </c>
      <c r="C8311" s="2" t="str">
        <f t="shared" si="685"/>
        <v>PAGU</v>
      </c>
      <c r="D8311" s="2" t="str">
        <f t="shared" si="685"/>
        <v>PAGU</v>
      </c>
      <c r="E8311" s="2" t="str">
        <f>"M_TIPPRE1"</f>
        <v>M_TIPPRE1</v>
      </c>
      <c r="F8311" s="2" t="str">
        <f>"M_TIPPRE1"</f>
        <v>M_TIPPRE1</v>
      </c>
      <c r="G8311" s="2" t="str">
        <f t="shared" si="687"/>
        <v xml:space="preserve"> ()</v>
      </c>
    </row>
    <row r="8312" spans="1:7" x14ac:dyDescent="0.3">
      <c r="A8312" s="1" t="s">
        <v>4</v>
      </c>
      <c r="B8312" s="2" t="str">
        <f t="shared" si="686"/>
        <v>SISTEMA DE GERENCIAMENTO DA UNIDADE</v>
      </c>
      <c r="C8312" s="2" t="str">
        <f t="shared" ref="C8312:D8331" si="688">"PAGU"</f>
        <v>PAGU</v>
      </c>
      <c r="D8312" s="2" t="str">
        <f t="shared" si="688"/>
        <v>PAGU</v>
      </c>
      <c r="E8312" s="2" t="str">
        <f>"M_REGISTRO_DOCUMENTO"</f>
        <v>M_REGISTRO_DOCUMENTO</v>
      </c>
      <c r="F8312" s="2" t="str">
        <f>"M_REGISTRO_DOCUMENTO"</f>
        <v>M_REGISTRO_DOCUMENTO</v>
      </c>
      <c r="G8312" s="2" t="str">
        <f t="shared" si="687"/>
        <v xml:space="preserve"> ()</v>
      </c>
    </row>
    <row r="8313" spans="1:7" x14ac:dyDescent="0.3">
      <c r="A8313" s="1" t="s">
        <v>4</v>
      </c>
      <c r="B8313" s="2" t="str">
        <f t="shared" si="686"/>
        <v>SISTEMA DE GERENCIAMENTO DA UNIDADE</v>
      </c>
      <c r="C8313" s="2" t="str">
        <f t="shared" si="688"/>
        <v>PAGU</v>
      </c>
      <c r="D8313" s="2" t="str">
        <f t="shared" si="688"/>
        <v>PAGU</v>
      </c>
      <c r="E8313" s="2" t="str">
        <f>"M_PRESC_FUTURA"</f>
        <v>M_PRESC_FUTURA</v>
      </c>
      <c r="F8313" s="2" t="str">
        <f>"M_PRESC_FUTURA"</f>
        <v>M_PRESC_FUTURA</v>
      </c>
      <c r="G8313" s="2" t="str">
        <f t="shared" si="687"/>
        <v xml:space="preserve"> ()</v>
      </c>
    </row>
    <row r="8314" spans="1:7" x14ac:dyDescent="0.3">
      <c r="A8314" s="1" t="s">
        <v>4</v>
      </c>
      <c r="B8314" s="2" t="str">
        <f t="shared" si="686"/>
        <v>SISTEMA DE GERENCIAMENTO DA UNIDADE</v>
      </c>
      <c r="C8314" s="2" t="str">
        <f t="shared" si="688"/>
        <v>PAGU</v>
      </c>
      <c r="D8314" s="2" t="str">
        <f t="shared" si="688"/>
        <v>PAGU</v>
      </c>
      <c r="E8314" s="2" t="str">
        <f>"M_PORTAL_PAGU"</f>
        <v>M_PORTAL_PAGU</v>
      </c>
      <c r="F8314" s="2" t="str">
        <f>"M_PORTAL_PAGU"</f>
        <v>M_PORTAL_PAGU</v>
      </c>
      <c r="G8314" s="2" t="str">
        <f t="shared" si="687"/>
        <v xml:space="preserve"> ()</v>
      </c>
    </row>
    <row r="8315" spans="1:7" x14ac:dyDescent="0.3">
      <c r="A8315" s="1" t="s">
        <v>4</v>
      </c>
      <c r="B8315" s="2" t="str">
        <f t="shared" si="686"/>
        <v>SISTEMA DE GERENCIAMENTO DA UNIDADE</v>
      </c>
      <c r="C8315" s="2" t="str">
        <f t="shared" si="688"/>
        <v>PAGU</v>
      </c>
      <c r="D8315" s="2" t="str">
        <f t="shared" si="688"/>
        <v>PAGU</v>
      </c>
      <c r="E8315" s="2" t="str">
        <f>"M_PARECER_MEDICO"</f>
        <v>M_PARECER_MEDICO</v>
      </c>
      <c r="F8315" s="2" t="str">
        <f>"M_PARECER_MEDICO"</f>
        <v>M_PARECER_MEDICO</v>
      </c>
      <c r="G8315" s="2" t="str">
        <f t="shared" si="687"/>
        <v xml:space="preserve"> ()</v>
      </c>
    </row>
    <row r="8316" spans="1:7" x14ac:dyDescent="0.3">
      <c r="A8316" s="1" t="s">
        <v>4</v>
      </c>
      <c r="B8316" s="2" t="str">
        <f t="shared" si="686"/>
        <v>SISTEMA DE GERENCIAMENTO DA UNIDADE</v>
      </c>
      <c r="C8316" s="2" t="str">
        <f t="shared" si="688"/>
        <v>PAGU</v>
      </c>
      <c r="D8316" s="2" t="str">
        <f t="shared" si="688"/>
        <v>PAGU</v>
      </c>
      <c r="E8316" s="2" t="str">
        <f>"M_PAGU_AVALIACAO"</f>
        <v>M_PAGU_AVALIACAO</v>
      </c>
      <c r="F8316" s="2" t="str">
        <f>"M_PAGU_AVALIACAO"</f>
        <v>M_PAGU_AVALIACAO</v>
      </c>
      <c r="G8316" s="2" t="str">
        <f t="shared" si="687"/>
        <v xml:space="preserve"> ()</v>
      </c>
    </row>
    <row r="8317" spans="1:7" x14ac:dyDescent="0.3">
      <c r="A8317" s="1" t="s">
        <v>4</v>
      </c>
      <c r="B8317" s="2" t="str">
        <f t="shared" si="686"/>
        <v>SISTEMA DE GERENCIAMENTO DA UNIDADE</v>
      </c>
      <c r="C8317" s="2" t="str">
        <f t="shared" si="688"/>
        <v>PAGU</v>
      </c>
      <c r="D8317" s="2" t="str">
        <f t="shared" si="688"/>
        <v>PAGU</v>
      </c>
      <c r="E8317" s="2" t="str">
        <f>"M_IMP_SEGVIA"</f>
        <v>M_IMP_SEGVIA</v>
      </c>
      <c r="F8317" s="2" t="str">
        <f>"M_IMP_SEGVIA"</f>
        <v>M_IMP_SEGVIA</v>
      </c>
      <c r="G8317" s="2" t="str">
        <f t="shared" si="687"/>
        <v xml:space="preserve"> ()</v>
      </c>
    </row>
    <row r="8318" spans="1:7" x14ac:dyDescent="0.3">
      <c r="A8318" s="1" t="s">
        <v>4</v>
      </c>
      <c r="B8318" s="2" t="str">
        <f t="shared" si="686"/>
        <v>SISTEMA DE GERENCIAMENTO DA UNIDADE</v>
      </c>
      <c r="C8318" s="2" t="str">
        <f t="shared" si="688"/>
        <v>PAGU</v>
      </c>
      <c r="D8318" s="2" t="str">
        <f t="shared" si="688"/>
        <v>PAGU</v>
      </c>
      <c r="E8318" s="2" t="str">
        <f>"M_DIAGNOSTICO_ASSISTENTE"</f>
        <v>M_DIAGNOSTICO_ASSISTENTE</v>
      </c>
      <c r="F8318" s="2" t="str">
        <f>"M_DIAGNOSTICO_ASSISTENTE"</f>
        <v>M_DIAGNOSTICO_ASSISTENTE</v>
      </c>
      <c r="G8318" s="2" t="str">
        <f t="shared" si="687"/>
        <v xml:space="preserve"> ()</v>
      </c>
    </row>
    <row r="8319" spans="1:7" x14ac:dyDescent="0.3">
      <c r="A8319" s="1" t="s">
        <v>4</v>
      </c>
      <c r="B8319" s="2" t="str">
        <f t="shared" si="686"/>
        <v>SISTEMA DE GERENCIAMENTO DA UNIDADE</v>
      </c>
      <c r="C8319" s="2" t="str">
        <f t="shared" si="688"/>
        <v>PAGU</v>
      </c>
      <c r="D8319" s="2" t="str">
        <f t="shared" si="688"/>
        <v>PAGU</v>
      </c>
      <c r="E8319" s="2" t="str">
        <f>"M_CONTIPPRE"</f>
        <v>M_CONTIPPRE</v>
      </c>
      <c r="F8319" s="2" t="str">
        <f>"M_CONTIPPRE"</f>
        <v>M_CONTIPPRE</v>
      </c>
      <c r="G8319" s="2" t="str">
        <f t="shared" si="687"/>
        <v xml:space="preserve"> ()</v>
      </c>
    </row>
    <row r="8320" spans="1:7" x14ac:dyDescent="0.3">
      <c r="A8320" s="1" t="s">
        <v>4</v>
      </c>
      <c r="B8320" s="2" t="str">
        <f t="shared" si="686"/>
        <v>SISTEMA DE GERENCIAMENTO DA UNIDADE</v>
      </c>
      <c r="C8320" s="2" t="str">
        <f t="shared" si="688"/>
        <v>PAGU</v>
      </c>
      <c r="D8320" s="2" t="str">
        <f t="shared" si="688"/>
        <v>PAGU</v>
      </c>
      <c r="E8320" s="2" t="str">
        <f>"M_ALTERA_ESPELHO"</f>
        <v>M_ALTERA_ESPELHO</v>
      </c>
      <c r="F8320" s="2" t="str">
        <f>"M_ALTERA_ESPELHO"</f>
        <v>M_ALTERA_ESPELHO</v>
      </c>
      <c r="G8320" s="2" t="str">
        <f t="shared" si="687"/>
        <v xml:space="preserve"> ()</v>
      </c>
    </row>
    <row r="8321" spans="1:7" x14ac:dyDescent="0.3">
      <c r="A8321" s="1" t="s">
        <v>4</v>
      </c>
      <c r="B8321" s="2" t="str">
        <f t="shared" si="686"/>
        <v>SISTEMA DE GERENCIAMENTO DA UNIDADE</v>
      </c>
      <c r="C8321" s="2" t="str">
        <f t="shared" si="688"/>
        <v>PAGU</v>
      </c>
      <c r="D8321" s="2" t="str">
        <f t="shared" si="688"/>
        <v>PAGU</v>
      </c>
      <c r="E8321" s="2" t="str">
        <f>"L_ATENDIME"</f>
        <v>L_ATENDIME</v>
      </c>
      <c r="F8321" s="2" t="str">
        <f>"L_ATENDIME"</f>
        <v>L_ATENDIME</v>
      </c>
      <c r="G8321" s="2" t="str">
        <f t="shared" si="687"/>
        <v xml:space="preserve"> ()</v>
      </c>
    </row>
    <row r="8322" spans="1:7" x14ac:dyDescent="0.3">
      <c r="A8322" s="1" t="s">
        <v>4</v>
      </c>
      <c r="B8322" s="2" t="str">
        <f t="shared" si="686"/>
        <v>SISTEMA DE GERENCIAMENTO DA UNIDADE</v>
      </c>
      <c r="C8322" s="2" t="str">
        <f t="shared" si="688"/>
        <v>PAGU</v>
      </c>
      <c r="D8322" s="2" t="str">
        <f t="shared" si="688"/>
        <v>PAGU</v>
      </c>
      <c r="E8322" s="2" t="str">
        <f>"LEITOR"</f>
        <v>LEITOR</v>
      </c>
      <c r="F8322" s="2" t="str">
        <f>"LEITOR"</f>
        <v>LEITOR</v>
      </c>
      <c r="G8322" s="2" t="str">
        <f t="shared" si="687"/>
        <v xml:space="preserve"> ()</v>
      </c>
    </row>
    <row r="8323" spans="1:7" x14ac:dyDescent="0.3">
      <c r="A8323" s="1" t="s">
        <v>4</v>
      </c>
      <c r="B8323" s="2" t="str">
        <f t="shared" si="686"/>
        <v>SISTEMA DE GERENCIAMENTO DA UNIDADE</v>
      </c>
      <c r="C8323" s="2" t="str">
        <f t="shared" si="688"/>
        <v>PAGU</v>
      </c>
      <c r="D8323" s="2" t="str">
        <f t="shared" si="688"/>
        <v>PAGU</v>
      </c>
      <c r="E8323" s="2" t="str">
        <f>"EDITOR"</f>
        <v>EDITOR</v>
      </c>
      <c r="F8323" s="2" t="str">
        <f>"EDITOR"</f>
        <v>EDITOR</v>
      </c>
      <c r="G8323" s="2" t="str">
        <f t="shared" si="687"/>
        <v xml:space="preserve"> ()</v>
      </c>
    </row>
    <row r="8324" spans="1:7" x14ac:dyDescent="0.3">
      <c r="A8324" s="1" t="s">
        <v>4</v>
      </c>
      <c r="B8324" s="2" t="str">
        <f t="shared" si="686"/>
        <v>SISTEMA DE GERENCIAMENTO DA UNIDADE</v>
      </c>
      <c r="C8324" s="2" t="str">
        <f t="shared" si="688"/>
        <v>PAGU</v>
      </c>
      <c r="D8324" s="2" t="str">
        <f t="shared" si="688"/>
        <v>PAGU</v>
      </c>
      <c r="E8324" s="2" t="str">
        <f>"C_PRE_PAD"</f>
        <v>C_PRE_PAD</v>
      </c>
      <c r="F8324" s="2" t="str">
        <f>"C_PRE_PAD"</f>
        <v>C_PRE_PAD</v>
      </c>
      <c r="G8324" s="2" t="str">
        <f t="shared" si="687"/>
        <v xml:space="preserve"> ()</v>
      </c>
    </row>
    <row r="8325" spans="1:7" x14ac:dyDescent="0.3">
      <c r="A8325" s="1" t="s">
        <v>4</v>
      </c>
      <c r="B8325" s="2" t="str">
        <f t="shared" si="686"/>
        <v>SISTEMA DE GERENCIAMENTO DA UNIDADE</v>
      </c>
      <c r="C8325" s="2" t="str">
        <f t="shared" si="688"/>
        <v>PAGU</v>
      </c>
      <c r="D8325" s="2" t="str">
        <f t="shared" si="688"/>
        <v>PAGU</v>
      </c>
      <c r="E8325" s="2" t="str">
        <f>"C_NAOCONFORMIDADE"</f>
        <v>C_NAOCONFORMIDADE</v>
      </c>
      <c r="F8325" s="2" t="str">
        <f>"C_NAOCONFORMIDADE"</f>
        <v>C_NAOCONFORMIDADE</v>
      </c>
      <c r="G8325" s="2" t="str">
        <f>"Clínica e Assistencial / Gerenciamento de Unidades / Consultas / Não Conformidade (C_NAOCONFORMIDADE)"</f>
        <v>Clínica e Assistencial / Gerenciamento de Unidades / Consultas / Não Conformidade (C_NAOCONFORMIDADE)</v>
      </c>
    </row>
    <row r="8326" spans="1:7" x14ac:dyDescent="0.3">
      <c r="A8326" s="1" t="s">
        <v>4</v>
      </c>
      <c r="B8326" s="2" t="str">
        <f t="shared" si="686"/>
        <v>SISTEMA DE GERENCIAMENTO DA UNIDADE</v>
      </c>
      <c r="C8326" s="2" t="str">
        <f t="shared" si="688"/>
        <v>PAGU</v>
      </c>
      <c r="D8326" s="2" t="str">
        <f t="shared" si="688"/>
        <v>PAGU</v>
      </c>
      <c r="E8326" s="2" t="str">
        <f>"C_LOG_HRITPRE_MED"</f>
        <v>C_LOG_HRITPRE_MED</v>
      </c>
      <c r="F8326" s="2" t="str">
        <f>"C_LOG_HRITPRE_MED"</f>
        <v>C_LOG_HRITPRE_MED</v>
      </c>
      <c r="G8326" s="2" t="str">
        <f>" ()"</f>
        <v xml:space="preserve"> ()</v>
      </c>
    </row>
    <row r="8327" spans="1:7" x14ac:dyDescent="0.3">
      <c r="A8327" s="1" t="s">
        <v>4</v>
      </c>
      <c r="B8327" s="2" t="str">
        <f t="shared" si="686"/>
        <v>SISTEMA DE GERENCIAMENTO DA UNIDADE</v>
      </c>
      <c r="C8327" s="2" t="str">
        <f t="shared" si="688"/>
        <v>PAGU</v>
      </c>
      <c r="D8327" s="2" t="str">
        <f t="shared" si="688"/>
        <v>PAGU</v>
      </c>
      <c r="E8327" s="2" t="str">
        <f>"FÓRMULA PARA AVALIAÇÃO"</f>
        <v>FÓRMULA PARA AVALIAÇÃO</v>
      </c>
      <c r="F8327" s="2" t="str">
        <f>"M_PAGU_FORMULA"</f>
        <v>M_PAGU_FORMULA</v>
      </c>
      <c r="G8327" s="2" t="str">
        <f>"Clínica e Assistencial / Gerenciamento de Unidades / Configuração / Avaliações / Fórmula (M_PAGU_FORMULA)"</f>
        <v>Clínica e Assistencial / Gerenciamento de Unidades / Configuração / Avaliações / Fórmula (M_PAGU_FORMULA)</v>
      </c>
    </row>
    <row r="8328" spans="1:7" x14ac:dyDescent="0.3">
      <c r="A8328" s="1" t="s">
        <v>4</v>
      </c>
      <c r="B8328" s="2" t="str">
        <f t="shared" si="686"/>
        <v>SISTEMA DE GERENCIAMENTO DA UNIDADE</v>
      </c>
      <c r="C8328" s="2" t="str">
        <f t="shared" si="688"/>
        <v>PAGU</v>
      </c>
      <c r="D8328" s="2" t="str">
        <f t="shared" si="688"/>
        <v>PAGU</v>
      </c>
      <c r="E8328" s="2" t="str">
        <f>"AÇÃO (APÓS A AVALIAÇÃO)"</f>
        <v>AÇÃO (APÓS A AVALIAÇÃO)</v>
      </c>
      <c r="F8328" s="2" t="str">
        <f>"M_PAGU_ACAO"</f>
        <v>M_PAGU_ACAO</v>
      </c>
      <c r="G8328" s="2" t="str">
        <f>" ()"</f>
        <v xml:space="preserve"> ()</v>
      </c>
    </row>
    <row r="8329" spans="1:7" x14ac:dyDescent="0.3">
      <c r="A8329" s="1" t="s">
        <v>4</v>
      </c>
      <c r="B8329" s="2" t="str">
        <f t="shared" si="686"/>
        <v>SISTEMA DE GERENCIAMENTO DA UNIDADE</v>
      </c>
      <c r="C8329" s="2" t="str">
        <f t="shared" si="688"/>
        <v>PAGU</v>
      </c>
      <c r="D8329" s="2" t="str">
        <f t="shared" si="688"/>
        <v>PAGU</v>
      </c>
      <c r="E8329" s="2" t="str">
        <f>"RELATÓRIO DE ESTATISTICA DE OCORRÊNCIAS"</f>
        <v>RELATÓRIO DE ESTATISTICA DE OCORRÊNCIAS</v>
      </c>
      <c r="F8329" s="2" t="str">
        <f>"R_EST_OCORRENCIAS"</f>
        <v>R_EST_OCORRENCIAS</v>
      </c>
      <c r="G8329" s="2" t="str">
        <f>"Clínica e Assistencial / Gerenciamento de Unidades / Relatórios / Estatísticos / Ocorrências por Unidade de Internação (R_EST_OCORRENCIAS)"</f>
        <v>Clínica e Assistencial / Gerenciamento de Unidades / Relatórios / Estatísticos / Ocorrências por Unidade de Internação (R_EST_OCORRENCIAS)</v>
      </c>
    </row>
    <row r="8330" spans="1:7" x14ac:dyDescent="0.3">
      <c r="A8330" s="1" t="s">
        <v>4</v>
      </c>
      <c r="B8330" s="2" t="str">
        <f t="shared" si="686"/>
        <v>SISTEMA DE GERENCIAMENTO DA UNIDADE</v>
      </c>
      <c r="C8330" s="2" t="str">
        <f t="shared" si="688"/>
        <v>PAGU</v>
      </c>
      <c r="D8330" s="2" t="str">
        <f t="shared" si="688"/>
        <v>PAGU</v>
      </c>
      <c r="E8330" s="2" t="str">
        <f>"TABELA DE OCORRENCIAS"</f>
        <v>TABELA DE OCORRENCIAS</v>
      </c>
      <c r="F8330" s="2" t="str">
        <f>"M_TAB_OCOR"</f>
        <v>M_TAB_OCOR</v>
      </c>
      <c r="G8330" s="2" t="str">
        <f>"Clínica e Assistencial / Gerenciamento de Unidades / Configuração / Tabelas / Ocorrências (M_TAB_OCOR)"</f>
        <v>Clínica e Assistencial / Gerenciamento de Unidades / Configuração / Tabelas / Ocorrências (M_TAB_OCOR)</v>
      </c>
    </row>
    <row r="8331" spans="1:7" x14ac:dyDescent="0.3">
      <c r="A8331" s="1" t="s">
        <v>4</v>
      </c>
      <c r="B8331" s="2" t="str">
        <f t="shared" si="686"/>
        <v>SISTEMA DE GERENCIAMENTO DA UNIDADE</v>
      </c>
      <c r="C8331" s="2" t="str">
        <f t="shared" si="688"/>
        <v>PAGU</v>
      </c>
      <c r="D8331" s="2" t="str">
        <f t="shared" si="688"/>
        <v>PAGU</v>
      </c>
      <c r="E8331" s="2" t="str">
        <f>"PRESCRIÇÃO MÉDICA"</f>
        <v>PRESCRIÇÃO MÉDICA</v>
      </c>
      <c r="F8331" s="2" t="str">
        <f>"R_PREMED_HC_800"</f>
        <v>R_PREMED_HC_800</v>
      </c>
      <c r="G8331" s="2" t="str">
        <f t="shared" ref="G8331:G8337" si="689">" ()"</f>
        <v xml:space="preserve"> ()</v>
      </c>
    </row>
    <row r="8332" spans="1:7" x14ac:dyDescent="0.3">
      <c r="A8332" s="1" t="s">
        <v>4</v>
      </c>
      <c r="B8332" s="2" t="str">
        <f t="shared" si="686"/>
        <v>SISTEMA DE GERENCIAMENTO DA UNIDADE</v>
      </c>
      <c r="C8332" s="2" t="str">
        <f t="shared" ref="C8332:D8351" si="690">"PAGU"</f>
        <v>PAGU</v>
      </c>
      <c r="D8332" s="2" t="str">
        <f t="shared" si="690"/>
        <v>PAGU</v>
      </c>
      <c r="E8332" s="2" t="str">
        <f>"PRESCRIÇÃO MÉDICA"</f>
        <v>PRESCRIÇÃO MÉDICA</v>
      </c>
      <c r="F8332" s="2" t="str">
        <f>"R_PREMED_800"</f>
        <v>R_PREMED_800</v>
      </c>
      <c r="G8332" s="2" t="str">
        <f t="shared" si="689"/>
        <v xml:space="preserve"> ()</v>
      </c>
    </row>
    <row r="8333" spans="1:7" x14ac:dyDescent="0.3">
      <c r="A8333" s="1" t="s">
        <v>4</v>
      </c>
      <c r="B8333" s="2" t="str">
        <f t="shared" si="686"/>
        <v>SISTEMA DE GERENCIAMENTO DA UNIDADE</v>
      </c>
      <c r="C8333" s="2" t="str">
        <f t="shared" si="690"/>
        <v>PAGU</v>
      </c>
      <c r="D8333" s="2" t="str">
        <f t="shared" si="690"/>
        <v>PAGU</v>
      </c>
      <c r="E8333" s="2" t="str">
        <f>"R_SOLSAI_PRO_377"</f>
        <v>R_SOLSAI_PRO_377</v>
      </c>
      <c r="F8333" s="2" t="str">
        <f>"R_SOLSAI_PRO_377"</f>
        <v>R_SOLSAI_PRO_377</v>
      </c>
      <c r="G8333" s="2" t="str">
        <f t="shared" si="689"/>
        <v xml:space="preserve"> ()</v>
      </c>
    </row>
    <row r="8334" spans="1:7" x14ac:dyDescent="0.3">
      <c r="A8334" s="1" t="s">
        <v>4</v>
      </c>
      <c r="B8334" s="2" t="str">
        <f t="shared" si="686"/>
        <v>SISTEMA DE GERENCIAMENTO DA UNIDADE</v>
      </c>
      <c r="C8334" s="2" t="str">
        <f t="shared" si="690"/>
        <v>PAGU</v>
      </c>
      <c r="D8334" s="2" t="str">
        <f t="shared" si="690"/>
        <v>PAGU</v>
      </c>
      <c r="E8334" s="2" t="str">
        <f>"CADASTRO: EVOLUÇÃO DA ENFERMAGEM"</f>
        <v>CADASTRO: EVOLUÇÃO DA ENFERMAGEM</v>
      </c>
      <c r="F8334" s="2" t="str">
        <f>"EVOENF"</f>
        <v>EVOENF</v>
      </c>
      <c r="G8334" s="2" t="str">
        <f t="shared" si="689"/>
        <v xml:space="preserve"> ()</v>
      </c>
    </row>
    <row r="8335" spans="1:7" x14ac:dyDescent="0.3">
      <c r="A8335" s="1" t="s">
        <v>4</v>
      </c>
      <c r="B8335" s="2" t="str">
        <f t="shared" si="686"/>
        <v>SISTEMA DE GERENCIAMENTO DA UNIDADE</v>
      </c>
      <c r="C8335" s="2" t="str">
        <f t="shared" si="690"/>
        <v>PAGU</v>
      </c>
      <c r="D8335" s="2" t="str">
        <f t="shared" si="690"/>
        <v>PAGU</v>
      </c>
      <c r="E8335" s="2" t="str">
        <f>"RELATORIO DE AGRUPAMENTO DE SOLICITACAO."</f>
        <v>RELATORIO DE AGRUPAMENTO DE SOLICITACAO.</v>
      </c>
      <c r="F8335" s="2" t="str">
        <f>"R_SOLSAI_PRO_AGRUPAMENTO"</f>
        <v>R_SOLSAI_PRO_AGRUPAMENTO</v>
      </c>
      <c r="G8335" s="2" t="str">
        <f t="shared" si="689"/>
        <v xml:space="preserve"> ()</v>
      </c>
    </row>
    <row r="8336" spans="1:7" x14ac:dyDescent="0.3">
      <c r="A8336" s="1" t="s">
        <v>4</v>
      </c>
      <c r="B8336" s="2" t="str">
        <f t="shared" si="686"/>
        <v>SISTEMA DE GERENCIAMENTO DA UNIDADE</v>
      </c>
      <c r="C8336" s="2" t="str">
        <f t="shared" si="690"/>
        <v>PAGU</v>
      </c>
      <c r="D8336" s="2" t="str">
        <f t="shared" si="690"/>
        <v>PAGU</v>
      </c>
      <c r="E8336" s="2" t="str">
        <f>"RELATORIO DE SOLICITACAO DE PRODUTOS POR"</f>
        <v>RELATORIO DE SOLICITACAO DE PRODUTOS POR</v>
      </c>
      <c r="F8336" s="2" t="str">
        <f>"R_SOLSAI_PRO_ESP"</f>
        <v>R_SOLSAI_PRO_ESP</v>
      </c>
      <c r="G8336" s="2" t="str">
        <f t="shared" si="689"/>
        <v xml:space="preserve"> ()</v>
      </c>
    </row>
    <row r="8337" spans="1:7" x14ac:dyDescent="0.3">
      <c r="A8337" s="1" t="s">
        <v>4</v>
      </c>
      <c r="B8337" s="2" t="str">
        <f t="shared" si="686"/>
        <v>SISTEMA DE GERENCIAMENTO DA UNIDADE</v>
      </c>
      <c r="C8337" s="2" t="str">
        <f t="shared" si="690"/>
        <v>PAGU</v>
      </c>
      <c r="D8337" s="2" t="str">
        <f t="shared" si="690"/>
        <v>PAGU</v>
      </c>
      <c r="E8337" s="2" t="str">
        <f>"REL. SOL. SAIDA DE PRODUTOS IRMÃ DULCE"</f>
        <v>REL. SOL. SAIDA DE PRODUTOS IRMÃ DULCE</v>
      </c>
      <c r="F8337" s="2" t="str">
        <f>"R_SOLSAI_PRO_959"</f>
        <v>R_SOLSAI_PRO_959</v>
      </c>
      <c r="G8337" s="2" t="str">
        <f t="shared" si="689"/>
        <v xml:space="preserve"> ()</v>
      </c>
    </row>
    <row r="8338" spans="1:7" x14ac:dyDescent="0.3">
      <c r="A8338" s="1" t="s">
        <v>4</v>
      </c>
      <c r="B8338" s="2" t="str">
        <f t="shared" si="686"/>
        <v>SISTEMA DE GERENCIAMENTO DA UNIDADE</v>
      </c>
      <c r="C8338" s="2" t="str">
        <f t="shared" si="690"/>
        <v>PAGU</v>
      </c>
      <c r="D8338" s="2" t="str">
        <f t="shared" si="690"/>
        <v>PAGU</v>
      </c>
      <c r="E8338" s="2" t="s">
        <v>44</v>
      </c>
      <c r="F8338" s="2" t="s">
        <v>45</v>
      </c>
      <c r="G8338" s="2" t="s">
        <v>44</v>
      </c>
    </row>
    <row r="8339" spans="1:7" x14ac:dyDescent="0.3">
      <c r="A8339" s="1" t="s">
        <v>4</v>
      </c>
      <c r="B8339" s="2" t="str">
        <f t="shared" si="686"/>
        <v>SISTEMA DE GERENCIAMENTO DA UNIDADE</v>
      </c>
      <c r="C8339" s="2" t="str">
        <f t="shared" si="690"/>
        <v>PAGU</v>
      </c>
      <c r="D8339" s="2" t="str">
        <f t="shared" si="690"/>
        <v>PAGU</v>
      </c>
      <c r="E8339" s="2" t="str">
        <f>"RELATÓRIO DOS TIPOS DE ESQUEMAS"</f>
        <v>RELATÓRIO DOS TIPOS DE ESQUEMAS</v>
      </c>
      <c r="F8339" s="2" t="str">
        <f>"R_PAGU_OBJETO"</f>
        <v>R_PAGU_OBJETO</v>
      </c>
      <c r="G8339" s="2" t="str">
        <f>"Clínica e Assistencial / Gerenciamento de Unidades / Relatórios / Tabelas / Tipos de Objetos de Prontuário (R_PAGU_OBJETO)"</f>
        <v>Clínica e Assistencial / Gerenciamento de Unidades / Relatórios / Tabelas / Tipos de Objetos de Prontuário (R_PAGU_OBJETO)</v>
      </c>
    </row>
    <row r="8340" spans="1:7" x14ac:dyDescent="0.3">
      <c r="A8340" s="1" t="s">
        <v>4</v>
      </c>
      <c r="B8340" s="2" t="str">
        <f t="shared" si="686"/>
        <v>SISTEMA DE GERENCIAMENTO DA UNIDADE</v>
      </c>
      <c r="C8340" s="2" t="str">
        <f t="shared" si="690"/>
        <v>PAGU</v>
      </c>
      <c r="D8340" s="2" t="str">
        <f t="shared" si="690"/>
        <v>PAGU</v>
      </c>
      <c r="E8340" s="2" t="str">
        <f>"M_APRAZAMENTO"</f>
        <v>M_APRAZAMENTO</v>
      </c>
      <c r="F8340" s="2" t="str">
        <f>"M_APRAZAMENTO"</f>
        <v>M_APRAZAMENTO</v>
      </c>
      <c r="G8340" s="2" t="str">
        <f>" ()"</f>
        <v xml:space="preserve"> ()</v>
      </c>
    </row>
    <row r="8341" spans="1:7" x14ac:dyDescent="0.3">
      <c r="A8341" s="1" t="s">
        <v>4</v>
      </c>
      <c r="B8341" s="2" t="str">
        <f t="shared" si="686"/>
        <v>SISTEMA DE GERENCIAMENTO DA UNIDADE</v>
      </c>
      <c r="C8341" s="2" t="str">
        <f t="shared" si="690"/>
        <v>PAGU</v>
      </c>
      <c r="D8341" s="2" t="str">
        <f t="shared" si="690"/>
        <v>PAGU</v>
      </c>
      <c r="E8341" s="2" t="str">
        <f>"CONSULTA DE COLETAS PROGRAMADAS"</f>
        <v>CONSULTA DE COLETAS PROGRAMADAS</v>
      </c>
      <c r="F8341" s="2" t="str">
        <f>"M_CONSULTA_COLETA_PROGRAMADA"</f>
        <v>M_CONSULTA_COLETA_PROGRAMADA</v>
      </c>
      <c r="G8341" s="2" t="str">
        <f>"Clínica e Assistencial / Gerenciamento de Unidades / Consultas / Exames / Coletas Programadas (M_CONSULTA_COLETA_PROGRAMADA)"</f>
        <v>Clínica e Assistencial / Gerenciamento de Unidades / Consultas / Exames / Coletas Programadas (M_CONSULTA_COLETA_PROGRAMADA)</v>
      </c>
    </row>
    <row r="8342" spans="1:7" x14ac:dyDescent="0.3">
      <c r="A8342" s="1" t="s">
        <v>4</v>
      </c>
      <c r="B8342" s="2" t="str">
        <f t="shared" si="686"/>
        <v>SISTEMA DE GERENCIAMENTO DA UNIDADE</v>
      </c>
      <c r="C8342" s="2" t="str">
        <f t="shared" si="690"/>
        <v>PAGU</v>
      </c>
      <c r="D8342" s="2" t="str">
        <f t="shared" si="690"/>
        <v>PAGU</v>
      </c>
      <c r="E8342" s="2" t="str">
        <f>"WIN_PRINCIPAL"</f>
        <v>WIN_PRINCIPAL</v>
      </c>
      <c r="F8342" s="2" t="str">
        <f>"M_DOENCA_CRONICA"</f>
        <v>M_DOENCA_CRONICA</v>
      </c>
      <c r="G8342" s="2" t="str">
        <f>"Clínica e Assistencial / Gerenciamento de Unidades / Configuração / Tabelas / Doenças Crônicas (M_DOENCA_CRONICA)"</f>
        <v>Clínica e Assistencial / Gerenciamento de Unidades / Configuração / Tabelas / Doenças Crônicas (M_DOENCA_CRONICA)</v>
      </c>
    </row>
    <row r="8343" spans="1:7" x14ac:dyDescent="0.3">
      <c r="A8343" s="1" t="s">
        <v>4</v>
      </c>
      <c r="B8343" s="2" t="str">
        <f t="shared" si="686"/>
        <v>SISTEMA DE GERENCIAMENTO DA UNIDADE</v>
      </c>
      <c r="C8343" s="2" t="str">
        <f t="shared" si="690"/>
        <v>PAGU</v>
      </c>
      <c r="D8343" s="2" t="str">
        <f t="shared" si="690"/>
        <v>PAGU</v>
      </c>
      <c r="E8343" s="2" t="str">
        <f>"RESUMO DE CONSULTAS"</f>
        <v>RESUMO DE CONSULTAS</v>
      </c>
      <c r="F8343" s="2" t="str">
        <f>"M_CONSULTA_RESUMO"</f>
        <v>M_CONSULTA_RESUMO</v>
      </c>
      <c r="G8343" s="2" t="str">
        <f>" ()"</f>
        <v xml:space="preserve"> ()</v>
      </c>
    </row>
    <row r="8344" spans="1:7" x14ac:dyDescent="0.3">
      <c r="A8344" s="1" t="s">
        <v>4</v>
      </c>
      <c r="B8344" s="2" t="str">
        <f t="shared" si="686"/>
        <v>SISTEMA DE GERENCIAMENTO DA UNIDADE</v>
      </c>
      <c r="C8344" s="2" t="str">
        <f t="shared" si="690"/>
        <v>PAGU</v>
      </c>
      <c r="D8344" s="2" t="str">
        <f t="shared" si="690"/>
        <v>PAGU</v>
      </c>
      <c r="E8344" s="2" t="str">
        <f>"WIN_PRINCIPAL - HOSPITAL MV SISTEMAS"</f>
        <v>WIN_PRINCIPAL - HOSPITAL MV SISTEMAS</v>
      </c>
      <c r="F8344" s="2" t="str">
        <f>"M_DOCUMENTO_ACAO"</f>
        <v>M_DOCUMENTO_ACAO</v>
      </c>
      <c r="G8344" s="2" t="str">
        <f>" ()"</f>
        <v xml:space="preserve"> ()</v>
      </c>
    </row>
    <row r="8345" spans="1:7" x14ac:dyDescent="0.3">
      <c r="A8345" s="1" t="s">
        <v>4</v>
      </c>
      <c r="B8345" s="2" t="str">
        <f t="shared" si="686"/>
        <v>SISTEMA DE GERENCIAMENTO DA UNIDADE</v>
      </c>
      <c r="C8345" s="2" t="str">
        <f t="shared" si="690"/>
        <v>PAGU</v>
      </c>
      <c r="D8345" s="2" t="str">
        <f t="shared" si="690"/>
        <v>PAGU</v>
      </c>
      <c r="E8345" s="2" t="str">
        <f>"O_SOLPRO"</f>
        <v>O_SOLPRO</v>
      </c>
      <c r="F8345" s="2" t="str">
        <f>"O_SOLPRO"</f>
        <v>O_SOLPRO</v>
      </c>
      <c r="G8345" s="2" t="str">
        <f>" ()"</f>
        <v xml:space="preserve"> ()</v>
      </c>
    </row>
    <row r="8346" spans="1:7" x14ac:dyDescent="0.3">
      <c r="A8346" s="1" t="s">
        <v>4</v>
      </c>
      <c r="B8346" s="2" t="str">
        <f t="shared" si="686"/>
        <v>SISTEMA DE GERENCIAMENTO DA UNIDADE</v>
      </c>
      <c r="C8346" s="2" t="str">
        <f t="shared" si="690"/>
        <v>PAGU</v>
      </c>
      <c r="D8346" s="2" t="str">
        <f t="shared" si="690"/>
        <v>PAGU</v>
      </c>
      <c r="E8346" s="2" t="str">
        <f>"CONSULTA LOG DO FRACIONAMENTO"</f>
        <v>CONSULTA LOG DO FRACIONAMENTO</v>
      </c>
      <c r="F8346" s="2" t="str">
        <f>"R_LOG_FRACIONAMENTO"</f>
        <v>R_LOG_FRACIONAMENTO</v>
      </c>
      <c r="G8346" s="2" t="str">
        <f>" ()"</f>
        <v xml:space="preserve"> ()</v>
      </c>
    </row>
    <row r="8347" spans="1:7" x14ac:dyDescent="0.3">
      <c r="A8347" s="1" t="s">
        <v>4</v>
      </c>
      <c r="B8347" s="2" t="str">
        <f t="shared" si="686"/>
        <v>SISTEMA DE GERENCIAMENTO DA UNIDADE</v>
      </c>
      <c r="C8347" s="2" t="str">
        <f t="shared" si="690"/>
        <v>PAGU</v>
      </c>
      <c r="D8347" s="2" t="str">
        <f t="shared" si="690"/>
        <v>PAGU</v>
      </c>
      <c r="E8347" s="2" t="str">
        <f>"CADASTRO DE JUSTIFICATIVAS DE PRESCRIÇÃO"</f>
        <v>CADASTRO DE JUSTIFICATIVAS DE PRESCRIÇÃO</v>
      </c>
      <c r="F8347" s="2" t="str">
        <f>"M_ITPRE_MED_JUSTIFICATIVA"</f>
        <v>M_ITPRE_MED_JUSTIFICATIVA</v>
      </c>
      <c r="G8347" s="2" t="str">
        <f>"Clínica e Assistencial / Gerenciamento de Unidades / Configuração / Tabelas / Justificativa de Prescrição (M_ITPRE_MED_JUSTIFICATIVA)"</f>
        <v>Clínica e Assistencial / Gerenciamento de Unidades / Configuração / Tabelas / Justificativa de Prescrição (M_ITPRE_MED_JUSTIFICATIVA)</v>
      </c>
    </row>
    <row r="8348" spans="1:7" x14ac:dyDescent="0.3">
      <c r="A8348" s="1" t="s">
        <v>4</v>
      </c>
      <c r="B8348" s="2" t="str">
        <f t="shared" si="686"/>
        <v>SISTEMA DE GERENCIAMENTO DA UNIDADE</v>
      </c>
      <c r="C8348" s="2" t="str">
        <f t="shared" si="690"/>
        <v>PAGU</v>
      </c>
      <c r="D8348" s="2" t="str">
        <f t="shared" si="690"/>
        <v>PAGU</v>
      </c>
      <c r="E8348" s="2" t="str">
        <f>"WIN_PRINCIPAL - HOSPITAL MV SISTEMAS"</f>
        <v>WIN_PRINCIPAL - HOSPITAL MV SISTEMAS</v>
      </c>
      <c r="F8348" s="2" t="str">
        <f>"M_PAGU_OBJETO"</f>
        <v>M_PAGU_OBJETO</v>
      </c>
      <c r="G8348" s="2" t="str">
        <f>"Clínica e Assistencial / Gerenciamento de Unidades / Configuração / Tabelas / Tipos de Objetos de Prontuário (M_PAGU_OBJETO)"</f>
        <v>Clínica e Assistencial / Gerenciamento de Unidades / Configuração / Tabelas / Tipos de Objetos de Prontuário (M_PAGU_OBJETO)</v>
      </c>
    </row>
    <row r="8349" spans="1:7" x14ac:dyDescent="0.3">
      <c r="A8349" s="1" t="s">
        <v>4</v>
      </c>
      <c r="B8349" s="2" t="str">
        <f t="shared" si="686"/>
        <v>SISTEMA DE GERENCIAMENTO DA UNIDADE</v>
      </c>
      <c r="C8349" s="2" t="str">
        <f t="shared" si="690"/>
        <v>PAGU</v>
      </c>
      <c r="D8349" s="2" t="str">
        <f t="shared" si="690"/>
        <v>PAGU</v>
      </c>
      <c r="E8349" s="2" t="str">
        <f>"POPUP DE CHECAGEM"</f>
        <v>POPUP DE CHECAGEM</v>
      </c>
      <c r="F8349" s="2" t="str">
        <f>"M_CHECAGEM_CLICK"</f>
        <v>M_CHECAGEM_CLICK</v>
      </c>
      <c r="G8349" s="2" t="str">
        <f>" ()"</f>
        <v xml:space="preserve"> ()</v>
      </c>
    </row>
    <row r="8350" spans="1:7" x14ac:dyDescent="0.3">
      <c r="A8350" s="1" t="s">
        <v>4</v>
      </c>
      <c r="B8350" s="2" t="str">
        <f t="shared" si="686"/>
        <v>SISTEMA DE GERENCIAMENTO DA UNIDADE</v>
      </c>
      <c r="C8350" s="2" t="str">
        <f t="shared" si="690"/>
        <v>PAGU</v>
      </c>
      <c r="D8350" s="2" t="str">
        <f t="shared" si="690"/>
        <v>PAGU</v>
      </c>
      <c r="E8350" s="2" t="str">
        <f>"CONTROLE DE NÃO-CONFORMIDADE"</f>
        <v>CONTROLE DE NÃO-CONFORMIDADE</v>
      </c>
      <c r="F8350" s="2" t="str">
        <f>"M_CONTROLE_NAO_CONFORMIDADE"</f>
        <v>M_CONTROLE_NAO_CONFORMIDADE</v>
      </c>
      <c r="G8350" s="2" t="str">
        <f>"Clínica e Assistencial / Gerenciamento de Unidades / Secretaria / Controle de Não Conformidade (M_CONTROLE_NAO_CONFORMIDADE)"</f>
        <v>Clínica e Assistencial / Gerenciamento de Unidades / Secretaria / Controle de Não Conformidade (M_CONTROLE_NAO_CONFORMIDADE)</v>
      </c>
    </row>
    <row r="8351" spans="1:7" x14ac:dyDescent="0.3">
      <c r="A8351" s="1" t="s">
        <v>4</v>
      </c>
      <c r="B8351" s="2" t="str">
        <f t="shared" si="686"/>
        <v>SISTEMA DE GERENCIAMENTO DA UNIDADE</v>
      </c>
      <c r="C8351" s="2" t="str">
        <f t="shared" si="690"/>
        <v>PAGU</v>
      </c>
      <c r="D8351" s="2" t="str">
        <f t="shared" si="690"/>
        <v>PAGU</v>
      </c>
      <c r="E8351" s="2" t="str">
        <f>"RELATÓRIO CONTROLE DE DOCUMENTOS"</f>
        <v>RELATÓRIO CONTROLE DE DOCUMENTOS</v>
      </c>
      <c r="F8351" s="2" t="str">
        <f>"R_CONTROLE_DOCUMENTOS"</f>
        <v>R_CONTROLE_DOCUMENTOS</v>
      </c>
      <c r="G8351" s="2" t="str">
        <f>"Clínica e Assistencial / Gerenciamento de Unidades / Relatórios / Estatísticos / Controle de Documentos (R_CONTROLE_DOCUMENTOS)"</f>
        <v>Clínica e Assistencial / Gerenciamento de Unidades / Relatórios / Estatísticos / Controle de Documentos (R_CONTROLE_DOCUMENTOS)</v>
      </c>
    </row>
    <row r="8352" spans="1:7" x14ac:dyDescent="0.3">
      <c r="A8352" s="1" t="s">
        <v>4</v>
      </c>
      <c r="B8352" s="2" t="str">
        <f t="shared" si="686"/>
        <v>SISTEMA DE GERENCIAMENTO DA UNIDADE</v>
      </c>
      <c r="C8352" s="2" t="str">
        <f t="shared" ref="C8352:D8371" si="691">"PAGU"</f>
        <v>PAGU</v>
      </c>
      <c r="D8352" s="2" t="str">
        <f t="shared" si="691"/>
        <v>PAGU</v>
      </c>
      <c r="E8352" s="2" t="str">
        <f>"INFORMA DIAGNÓSTICO"</f>
        <v>INFORMA DIAGNÓSTICO</v>
      </c>
      <c r="F8352" s="2" t="str">
        <f>"M_DIAGNOSTICO_PACIENTE"</f>
        <v>M_DIAGNOSTICO_PACIENTE</v>
      </c>
      <c r="G8352" s="2" t="str">
        <f>" ()"</f>
        <v xml:space="preserve"> ()</v>
      </c>
    </row>
    <row r="8353" spans="1:7" x14ac:dyDescent="0.3">
      <c r="A8353" s="1" t="s">
        <v>4</v>
      </c>
      <c r="B8353" s="2" t="str">
        <f t="shared" si="686"/>
        <v>SISTEMA DE GERENCIAMENTO DA UNIDADE</v>
      </c>
      <c r="C8353" s="2" t="str">
        <f t="shared" si="691"/>
        <v>PAGU</v>
      </c>
      <c r="D8353" s="2" t="str">
        <f t="shared" si="691"/>
        <v>PAGU</v>
      </c>
      <c r="E8353" s="2" t="str">
        <f>"ADMISSÃO MÉDICA"</f>
        <v>ADMISSÃO MÉDICA</v>
      </c>
      <c r="F8353" s="2" t="str">
        <f>"M_ADMISSAO_UNID"</f>
        <v>M_ADMISSAO_UNID</v>
      </c>
      <c r="G8353" s="2" t="str">
        <f>"Clínica e Assistencial / Gerenciamento de Unidades / Opções Médicas / Admissão Médica (M_ADMISSAO_UNID)"</f>
        <v>Clínica e Assistencial / Gerenciamento de Unidades / Opções Médicas / Admissão Médica (M_ADMISSAO_UNID)</v>
      </c>
    </row>
    <row r="8354" spans="1:7" x14ac:dyDescent="0.3">
      <c r="A8354" s="1" t="s">
        <v>4</v>
      </c>
      <c r="B8354" s="2" t="str">
        <f t="shared" si="686"/>
        <v>SISTEMA DE GERENCIAMENTO DA UNIDADE</v>
      </c>
      <c r="C8354" s="2" t="str">
        <f t="shared" si="691"/>
        <v>PAGU</v>
      </c>
      <c r="D8354" s="2" t="str">
        <f t="shared" si="691"/>
        <v>PAGU</v>
      </c>
      <c r="E8354" s="2" t="str">
        <f>"RELAÇÃO DOS ITENS PARA PRESCRIÇÃO"</f>
        <v>RELAÇÃO DOS ITENS PARA PRESCRIÇÃO</v>
      </c>
      <c r="F8354" s="2" t="str">
        <f>"R_TIPO_PRESC"</f>
        <v>R_TIPO_PRESC</v>
      </c>
      <c r="G8354" s="2" t="str">
        <f>"Clínica e Assistencial / Gerenciamento de Unidades / Relatórios / Tabelas / Tipos de Prescrição (R_TIPO_PRESC)"</f>
        <v>Clínica e Assistencial / Gerenciamento de Unidades / Relatórios / Tabelas / Tipos de Prescrição (R_TIPO_PRESC)</v>
      </c>
    </row>
    <row r="8355" spans="1:7" x14ac:dyDescent="0.3">
      <c r="A8355" s="1" t="s">
        <v>4</v>
      </c>
      <c r="B8355" s="2" t="str">
        <f t="shared" si="686"/>
        <v>SISTEMA DE GERENCIAMENTO DA UNIDADE</v>
      </c>
      <c r="C8355" s="2" t="str">
        <f t="shared" si="691"/>
        <v>PAGU</v>
      </c>
      <c r="D8355" s="2" t="str">
        <f t="shared" si="691"/>
        <v>PAGU</v>
      </c>
      <c r="E8355" s="2" t="str">
        <f>"BALANÇO HÍDRICO"</f>
        <v>BALANÇO HÍDRICO</v>
      </c>
      <c r="F8355" s="2" t="str">
        <f>"M_BALANCO_HIDRICO"</f>
        <v>M_BALANCO_HIDRICO</v>
      </c>
      <c r="G8355" s="2" t="str">
        <f>" ()"</f>
        <v xml:space="preserve"> ()</v>
      </c>
    </row>
    <row r="8356" spans="1:7" x14ac:dyDescent="0.3">
      <c r="A8356" s="1" t="s">
        <v>4</v>
      </c>
      <c r="B8356" s="2" t="str">
        <f t="shared" si="686"/>
        <v>SISTEMA DE GERENCIAMENTO DA UNIDADE</v>
      </c>
      <c r="C8356" s="2" t="str">
        <f t="shared" si="691"/>
        <v>PAGU</v>
      </c>
      <c r="D8356" s="2" t="str">
        <f t="shared" si="691"/>
        <v>PAGU</v>
      </c>
      <c r="E8356" s="2" t="str">
        <f>"SETOR DE EXAME PADRÃO"</f>
        <v>SETOR DE EXAME PADRÃO</v>
      </c>
      <c r="F8356" s="2" t="str">
        <f>"M_SET_EXA_PADRAO"</f>
        <v>M_SET_EXA_PADRAO</v>
      </c>
      <c r="G8356" s="2" t="str">
        <f>"Clínica e Assistencial / Gerenciamento de Unidades / Configuração / Setores de Exames Padrão (M_SET_EXA_PADRAO)"</f>
        <v>Clínica e Assistencial / Gerenciamento de Unidades / Configuração / Setores de Exames Padrão (M_SET_EXA_PADRAO)</v>
      </c>
    </row>
    <row r="8357" spans="1:7" x14ac:dyDescent="0.3">
      <c r="A8357" s="1" t="s">
        <v>4</v>
      </c>
      <c r="B8357" s="2" t="str">
        <f t="shared" si="686"/>
        <v>SISTEMA DE GERENCIAMENTO DA UNIDADE</v>
      </c>
      <c r="C8357" s="2" t="str">
        <f t="shared" si="691"/>
        <v>PAGU</v>
      </c>
      <c r="D8357" s="2" t="str">
        <f t="shared" si="691"/>
        <v>PAGU</v>
      </c>
      <c r="E8357" s="2" t="str">
        <f>"CADASTRO DE DIAGNOSTICOS"</f>
        <v>CADASTRO DE DIAGNOSTICOS</v>
      </c>
      <c r="F8357" s="2" t="str">
        <f>"M_DIAGNOSTICO"</f>
        <v>M_DIAGNOSTICO</v>
      </c>
      <c r="G8357" s="2" t="str">
        <f>"Clínica e Assistencial / Gerenciamento de Unidades / Configuração / Tabelas / Diagnóstico (M_DIAGNOSTICO)"</f>
        <v>Clínica e Assistencial / Gerenciamento de Unidades / Configuração / Tabelas / Diagnóstico (M_DIAGNOSTICO)</v>
      </c>
    </row>
    <row r="8358" spans="1:7" x14ac:dyDescent="0.3">
      <c r="A8358" s="1" t="s">
        <v>4</v>
      </c>
      <c r="B8358" s="2" t="str">
        <f t="shared" si="686"/>
        <v>SISTEMA DE GERENCIAMENTO DA UNIDADE</v>
      </c>
      <c r="C8358" s="2" t="str">
        <f t="shared" si="691"/>
        <v>PAGU</v>
      </c>
      <c r="D8358" s="2" t="str">
        <f t="shared" si="691"/>
        <v>PAGU</v>
      </c>
      <c r="E8358" s="2" t="str">
        <f>"GRUPO DE ESQUEMA"</f>
        <v>GRUPO DE ESQUEMA</v>
      </c>
      <c r="F8358" s="2" t="str">
        <f>"M_GRUESQ"</f>
        <v>M_GRUESQ</v>
      </c>
      <c r="G8358" s="2" t="str">
        <f>"Clínica e Assistencial / Gerenciamento de Unidades / Configuração / Tabelas / Esquemas da Prescrição / Grupo de Esquemas (M_GRUESQ)"</f>
        <v>Clínica e Assistencial / Gerenciamento de Unidades / Configuração / Tabelas / Esquemas da Prescrição / Grupo de Esquemas (M_GRUESQ)</v>
      </c>
    </row>
    <row r="8359" spans="1:7" x14ac:dyDescent="0.3">
      <c r="A8359" s="1" t="s">
        <v>4</v>
      </c>
      <c r="B8359" s="2" t="str">
        <f t="shared" si="686"/>
        <v>SISTEMA DE GERENCIAMENTO DA UNIDADE</v>
      </c>
      <c r="C8359" s="2" t="str">
        <f t="shared" si="691"/>
        <v>PAGU</v>
      </c>
      <c r="D8359" s="2" t="str">
        <f t="shared" si="691"/>
        <v>PAGU</v>
      </c>
      <c r="E8359" s="2" t="str">
        <f>"VERSAO_INICIO_LAUDO"</f>
        <v>VERSAO_INICIO_LAUDO</v>
      </c>
      <c r="F8359" s="2" t="str">
        <f>"VERSAO_INICIO_LAUDO"</f>
        <v>VERSAO_INICIO_LAUDO</v>
      </c>
      <c r="G8359" s="2" t="str">
        <f>" ()"</f>
        <v xml:space="preserve"> ()</v>
      </c>
    </row>
    <row r="8360" spans="1:7" x14ac:dyDescent="0.3">
      <c r="A8360" s="1" t="s">
        <v>4</v>
      </c>
      <c r="B8360" s="2" t="str">
        <f t="shared" si="686"/>
        <v>SISTEMA DE GERENCIAMENTO DA UNIDADE</v>
      </c>
      <c r="C8360" s="2" t="str">
        <f t="shared" si="691"/>
        <v>PAGU</v>
      </c>
      <c r="D8360" s="2" t="str">
        <f t="shared" si="691"/>
        <v>PAGU</v>
      </c>
      <c r="E8360" s="2" t="str">
        <f>"WIN_PRINCIPAL"</f>
        <v>WIN_PRINCIPAL</v>
      </c>
      <c r="F8360" s="2" t="str">
        <f>"M_MIG"</f>
        <v>M_MIG</v>
      </c>
      <c r="G8360" s="2" t="str">
        <f>" ()"</f>
        <v xml:space="preserve"> ()</v>
      </c>
    </row>
    <row r="8361" spans="1:7" x14ac:dyDescent="0.3">
      <c r="A8361" s="1" t="s">
        <v>17</v>
      </c>
      <c r="B8361" s="2" t="str">
        <f t="shared" si="686"/>
        <v>SISTEMA DE GERENCIAMENTO DA UNIDADE</v>
      </c>
      <c r="C8361" s="2" t="str">
        <f t="shared" si="691"/>
        <v>PAGU</v>
      </c>
      <c r="D8361" s="2" t="str">
        <f t="shared" si="691"/>
        <v>PAGU</v>
      </c>
      <c r="E8361" s="2" t="str">
        <f>"TIPOS DE CONSULTAS"</f>
        <v>TIPOS DE CONSULTAS</v>
      </c>
      <c r="F8361" s="2" t="str">
        <f>"M_TIPO_CONSULTA"</f>
        <v>M_TIPO_CONSULTA</v>
      </c>
      <c r="G8361" s="2" t="str">
        <f>"MVSaude / ANS / TISS / Tabelas de Domínio / Tipos de Consultas (M_TIPO_CONSULTA)"</f>
        <v>MVSaude / ANS / TISS / Tabelas de Domínio / Tipos de Consultas (M_TIPO_CONSULTA)</v>
      </c>
    </row>
    <row r="8362" spans="1:7" x14ac:dyDescent="0.3">
      <c r="A8362" s="1" t="s">
        <v>17</v>
      </c>
      <c r="B8362" s="2" t="str">
        <f t="shared" si="686"/>
        <v>SISTEMA DE GERENCIAMENTO DA UNIDADE</v>
      </c>
      <c r="C8362" s="2" t="str">
        <f t="shared" si="691"/>
        <v>PAGU</v>
      </c>
      <c r="D8362" s="2" t="str">
        <f t="shared" si="691"/>
        <v>PAGU</v>
      </c>
      <c r="E8362" s="2" t="str">
        <f>"TIPOS DE CONSULTAS"</f>
        <v>TIPOS DE CONSULTAS</v>
      </c>
      <c r="F8362" s="2" t="str">
        <f>"M_TIPO_CONSULTA"</f>
        <v>M_TIPO_CONSULTA</v>
      </c>
      <c r="G8362" s="2" t="str">
        <f>"Clínica e Assistencial / Gerenciamento de Unidades / Configuração / Tabelas / PEP / Tipos de consultas (M_TIPO_CONSULTA)"</f>
        <v>Clínica e Assistencial / Gerenciamento de Unidades / Configuração / Tabelas / PEP / Tipos de consultas (M_TIPO_CONSULTA)</v>
      </c>
    </row>
    <row r="8363" spans="1:7" x14ac:dyDescent="0.3">
      <c r="A8363" s="1" t="s">
        <v>4</v>
      </c>
      <c r="B8363" s="2" t="str">
        <f t="shared" si="686"/>
        <v>SISTEMA DE GERENCIAMENTO DA UNIDADE</v>
      </c>
      <c r="C8363" s="2" t="str">
        <f t="shared" si="691"/>
        <v>PAGU</v>
      </c>
      <c r="D8363" s="2" t="str">
        <f t="shared" si="691"/>
        <v>PAGU</v>
      </c>
      <c r="E8363" s="2" t="str">
        <f>"ITENS DE PRESCRIÇÃO POR SETOR/ESQUEMA"</f>
        <v>ITENS DE PRESCRIÇÃO POR SETOR/ESQUEMA</v>
      </c>
      <c r="F8363" s="2" t="str">
        <f>"R_TIPPRESC_ESQUEMA"</f>
        <v>R_TIPPRESC_ESQUEMA</v>
      </c>
      <c r="G8363" s="2" t="str">
        <f>"Clínica e Assistencial / Gerenciamento de Unidades / Relatórios / Estatísticos / Itens de Prescrição por Setor/Esquema (R_TIPPRESC_ESQUEMA)"</f>
        <v>Clínica e Assistencial / Gerenciamento de Unidades / Relatórios / Estatísticos / Itens de Prescrição por Setor/Esquema (R_TIPPRESC_ESQUEMA)</v>
      </c>
    </row>
    <row r="8364" spans="1:7" x14ac:dyDescent="0.3">
      <c r="A8364" s="1" t="s">
        <v>17</v>
      </c>
      <c r="B8364" s="2" t="str">
        <f t="shared" si="686"/>
        <v>SISTEMA DE GERENCIAMENTO DA UNIDADE</v>
      </c>
      <c r="C8364" s="2" t="str">
        <f t="shared" si="691"/>
        <v>PAGU</v>
      </c>
      <c r="D8364" s="2" t="str">
        <f t="shared" si="691"/>
        <v>PAGU</v>
      </c>
      <c r="E8364" s="2" t="str">
        <f>"TIPO DE DOCUMENTO"</f>
        <v>TIPO DE DOCUMENTO</v>
      </c>
      <c r="F8364" s="2" t="str">
        <f>"M_TIPODOC"</f>
        <v>M_TIPODOC</v>
      </c>
      <c r="G8364" s="2" t="str">
        <f>"Clínica e Assistencial / Gerenciamento de Unidades / Configuração / Documentos / Tipo Documento (M_TIPODOC)"</f>
        <v>Clínica e Assistencial / Gerenciamento de Unidades / Configuração / Documentos / Tipo Documento (M_TIPODOC)</v>
      </c>
    </row>
    <row r="8365" spans="1:7" x14ac:dyDescent="0.3">
      <c r="A8365" s="1" t="s">
        <v>4</v>
      </c>
      <c r="B8365" s="2" t="str">
        <f t="shared" si="686"/>
        <v>SISTEMA DE GERENCIAMENTO DA UNIDADE</v>
      </c>
      <c r="C8365" s="2" t="str">
        <f t="shared" si="691"/>
        <v>PAGU</v>
      </c>
      <c r="D8365" s="2" t="str">
        <f t="shared" si="691"/>
        <v>PAGU</v>
      </c>
      <c r="E8365" s="2" t="str">
        <f>"RELATORIO PRONTUARIO"</f>
        <v>RELATORIO PRONTUARIO</v>
      </c>
      <c r="F8365" s="2" t="str">
        <f>"R_PREMED_PRONTUARIO"</f>
        <v>R_PREMED_PRONTUARIO</v>
      </c>
      <c r="G8365" s="2" t="str">
        <f>" ()"</f>
        <v xml:space="preserve"> ()</v>
      </c>
    </row>
    <row r="8366" spans="1:7" x14ac:dyDescent="0.3">
      <c r="A8366" s="1" t="s">
        <v>4</v>
      </c>
      <c r="B8366" s="2" t="str">
        <f t="shared" si="686"/>
        <v>SISTEMA DE GERENCIAMENTO DA UNIDADE</v>
      </c>
      <c r="C8366" s="2" t="str">
        <f t="shared" si="691"/>
        <v>PAGU</v>
      </c>
      <c r="D8366" s="2" t="str">
        <f t="shared" si="691"/>
        <v>PAGU</v>
      </c>
      <c r="E8366" s="2" t="str">
        <f>"NOVA PRESCRIÇÃO"</f>
        <v>NOVA PRESCRIÇÃO</v>
      </c>
      <c r="F8366" s="2" t="str">
        <f>"M_NOVA_PRESC"</f>
        <v>M_NOVA_PRESC</v>
      </c>
      <c r="G8366" s="2" t="str">
        <f>" ()"</f>
        <v xml:space="preserve"> ()</v>
      </c>
    </row>
    <row r="8367" spans="1:7" x14ac:dyDescent="0.3">
      <c r="A8367" s="1" t="s">
        <v>4</v>
      </c>
      <c r="B8367" s="2" t="str">
        <f t="shared" si="686"/>
        <v>SISTEMA DE GERENCIAMENTO DA UNIDADE</v>
      </c>
      <c r="C8367" s="2" t="str">
        <f t="shared" si="691"/>
        <v>PAGU</v>
      </c>
      <c r="D8367" s="2" t="str">
        <f t="shared" si="691"/>
        <v>PAGU</v>
      </c>
      <c r="E8367" s="2" t="str">
        <f>"LIBERAÇÃO DE FECHAMENTOS"</f>
        <v>LIBERAÇÃO DE FECHAMENTOS</v>
      </c>
      <c r="F8367" s="2" t="str">
        <f>"M_FECHAMENTO"</f>
        <v>M_FECHAMENTO</v>
      </c>
      <c r="G8367" s="2" t="str">
        <f>"Clínica e Assistencial / Gerenciamento de Unidades / Consultas / Aprazamento / Checagem (M_FECHAMENTO)"</f>
        <v>Clínica e Assistencial / Gerenciamento de Unidades / Consultas / Aprazamento / Checagem (M_FECHAMENTO)</v>
      </c>
    </row>
    <row r="8368" spans="1:7" x14ac:dyDescent="0.3">
      <c r="A8368" s="1" t="s">
        <v>4</v>
      </c>
      <c r="B8368" s="2" t="str">
        <f t="shared" ref="B8368:B8431" si="692">"SISTEMA DE GERENCIAMENTO DA UNIDADE"</f>
        <v>SISTEMA DE GERENCIAMENTO DA UNIDADE</v>
      </c>
      <c r="C8368" s="2" t="str">
        <f t="shared" si="691"/>
        <v>PAGU</v>
      </c>
      <c r="D8368" s="2" t="str">
        <f t="shared" si="691"/>
        <v>PAGU</v>
      </c>
      <c r="E8368" s="2" t="str">
        <f>"R_PEND_PRESC_FUTURAS"</f>
        <v>R_PEND_PRESC_FUTURAS</v>
      </c>
      <c r="F8368" s="2" t="str">
        <f>"R_PEND_PRESC_FUTURAS"</f>
        <v>R_PEND_PRESC_FUTURAS</v>
      </c>
      <c r="G8368" s="2" t="str">
        <f>"Clínica e Assistencial / Gerenciamento de Unidades / Relatórios / Prescrição / Prescrições Futuras (R_PEND_PRESC_FUTURAS)"</f>
        <v>Clínica e Assistencial / Gerenciamento de Unidades / Relatórios / Prescrição / Prescrições Futuras (R_PEND_PRESC_FUTURAS)</v>
      </c>
    </row>
    <row r="8369" spans="1:7" x14ac:dyDescent="0.3">
      <c r="A8369" s="1" t="s">
        <v>4</v>
      </c>
      <c r="B8369" s="2" t="str">
        <f t="shared" si="692"/>
        <v>SISTEMA DE GERENCIAMENTO DA UNIDADE</v>
      </c>
      <c r="C8369" s="2" t="str">
        <f t="shared" si="691"/>
        <v>PAGU</v>
      </c>
      <c r="D8369" s="2" t="str">
        <f t="shared" si="691"/>
        <v>PAGU</v>
      </c>
      <c r="E8369" s="2" t="str">
        <f>"WIN_PRINCIPAL"</f>
        <v>WIN_PRINCIPAL</v>
      </c>
      <c r="F8369" s="2" t="str">
        <f>"L_PAINEL_PRESCRICAO"</f>
        <v>L_PAINEL_PRESCRICAO</v>
      </c>
      <c r="G8369" s="2" t="str">
        <f>"Clínica e Assistencial / Gerenciamento de Unidades / Consultas / Prescrições Médicas / Painel de Prescrições (L_PAINEL_PRESCRICAO)"</f>
        <v>Clínica e Assistencial / Gerenciamento de Unidades / Consultas / Prescrições Médicas / Painel de Prescrições (L_PAINEL_PRESCRICAO)</v>
      </c>
    </row>
    <row r="8370" spans="1:7" x14ac:dyDescent="0.3">
      <c r="A8370" s="1" t="s">
        <v>4</v>
      </c>
      <c r="B8370" s="2" t="str">
        <f t="shared" si="692"/>
        <v>SISTEMA DE GERENCIAMENTO DA UNIDADE</v>
      </c>
      <c r="C8370" s="2" t="str">
        <f t="shared" si="691"/>
        <v>PAGU</v>
      </c>
      <c r="D8370" s="2" t="str">
        <f t="shared" si="691"/>
        <v>PAGU</v>
      </c>
      <c r="E8370" s="2" t="str">
        <f>"WIN_PRINCIPAL - HOSPITAL MV SISTEMAS"</f>
        <v>WIN_PRINCIPAL - HOSPITAL MV SISTEMAS</v>
      </c>
      <c r="F8370" s="2" t="str">
        <f>"M_FECHA_APRAZ"</f>
        <v>M_FECHA_APRAZ</v>
      </c>
      <c r="G8370" s="2" t="str">
        <f>" ()"</f>
        <v xml:space="preserve"> ()</v>
      </c>
    </row>
    <row r="8371" spans="1:7" x14ac:dyDescent="0.3">
      <c r="A8371" s="1" t="s">
        <v>4</v>
      </c>
      <c r="B8371" s="2" t="str">
        <f t="shared" si="692"/>
        <v>SISTEMA DE GERENCIAMENTO DA UNIDADE</v>
      </c>
      <c r="C8371" s="2" t="str">
        <f t="shared" si="691"/>
        <v>PAGU</v>
      </c>
      <c r="D8371" s="2" t="str">
        <f t="shared" si="691"/>
        <v>PAGU</v>
      </c>
      <c r="E8371" s="2" t="str">
        <f>"PRESCRICAO MEDICA"</f>
        <v>PRESCRICAO MEDICA</v>
      </c>
      <c r="F8371" s="2" t="str">
        <f>"M_PREMED"</f>
        <v>M_PREMED</v>
      </c>
      <c r="G8371" s="2" t="str">
        <f>"Atendimento / Internação Domiciliar (Home Care) / Opções Médicas / Prescrever e Evoluir (M_PREMED)"</f>
        <v>Atendimento / Internação Domiciliar (Home Care) / Opções Médicas / Prescrever e Evoluir (M_PREMED)</v>
      </c>
    </row>
    <row r="8372" spans="1:7" x14ac:dyDescent="0.3">
      <c r="A8372" s="1" t="s">
        <v>4</v>
      </c>
      <c r="B8372" s="2" t="str">
        <f t="shared" si="692"/>
        <v>SISTEMA DE GERENCIAMENTO DA UNIDADE</v>
      </c>
      <c r="C8372" s="2" t="str">
        <f t="shared" ref="C8372:D8391" si="693">"PAGU"</f>
        <v>PAGU</v>
      </c>
      <c r="D8372" s="2" t="str">
        <f t="shared" si="693"/>
        <v>PAGU</v>
      </c>
      <c r="E8372" s="2" t="str">
        <f>"PRESCRICAO MEDICA"</f>
        <v>PRESCRICAO MEDICA</v>
      </c>
      <c r="F8372" s="2" t="str">
        <f>"M_PREMED"</f>
        <v>M_PREMED</v>
      </c>
      <c r="G8372" s="2" t="str">
        <f>"Atendimento / Internação Domiciliar (Home Care) / Enfermagem / Prescrição de Enfermagem (M_PREMED)"</f>
        <v>Atendimento / Internação Domiciliar (Home Care) / Enfermagem / Prescrição de Enfermagem (M_PREMED)</v>
      </c>
    </row>
    <row r="8373" spans="1:7" x14ac:dyDescent="0.3">
      <c r="A8373" s="1" t="s">
        <v>4</v>
      </c>
      <c r="B8373" s="2" t="str">
        <f t="shared" si="692"/>
        <v>SISTEMA DE GERENCIAMENTO DA UNIDADE</v>
      </c>
      <c r="C8373" s="2" t="str">
        <f t="shared" si="693"/>
        <v>PAGU</v>
      </c>
      <c r="D8373" s="2" t="str">
        <f t="shared" si="693"/>
        <v>PAGU</v>
      </c>
      <c r="E8373" s="2" t="str">
        <f>"ITENS DA PRESCRICAO E COMPONENTES"</f>
        <v>ITENS DA PRESCRICAO E COMPONENTES</v>
      </c>
      <c r="F8373" s="2" t="str">
        <f>"M_TIPPRE"</f>
        <v>M_TIPPRE</v>
      </c>
      <c r="G8373" s="2" t="str">
        <f>"Clínica e Assistencial / Gerenciamento de Unidades / Configuração / Tabelas / Itens para Prescrever (M_TIPPRE)"</f>
        <v>Clínica e Assistencial / Gerenciamento de Unidades / Configuração / Tabelas / Itens para Prescrever (M_TIPPRE)</v>
      </c>
    </row>
    <row r="8374" spans="1:7" x14ac:dyDescent="0.3">
      <c r="A8374" s="1" t="s">
        <v>4</v>
      </c>
      <c r="B8374" s="2" t="str">
        <f t="shared" si="692"/>
        <v>SISTEMA DE GERENCIAMENTO DA UNIDADE</v>
      </c>
      <c r="C8374" s="2" t="str">
        <f t="shared" si="693"/>
        <v>PAGU</v>
      </c>
      <c r="D8374" s="2" t="str">
        <f t="shared" si="693"/>
        <v>PAGU</v>
      </c>
      <c r="E8374" s="2" t="str">
        <f>"ITENS DA PRESCRICAO E COMPONENTES"</f>
        <v>ITENS DA PRESCRICAO E COMPONENTES</v>
      </c>
      <c r="F8374" s="2" t="str">
        <f>"M_TIPPRE"</f>
        <v>M_TIPPRE</v>
      </c>
      <c r="G8374" s="2" t="str">
        <f>"Atendimento / Internação Domiciliar (Home Care) / Enfermagem / Tabelas / Itens para Prescrever (M_TIPPRE)"</f>
        <v>Atendimento / Internação Domiciliar (Home Care) / Enfermagem / Tabelas / Itens para Prescrever (M_TIPPRE)</v>
      </c>
    </row>
    <row r="8375" spans="1:7" x14ac:dyDescent="0.3">
      <c r="A8375" s="1" t="s">
        <v>4</v>
      </c>
      <c r="B8375" s="2" t="str">
        <f t="shared" si="692"/>
        <v>SISTEMA DE GERENCIAMENTO DA UNIDADE</v>
      </c>
      <c r="C8375" s="2" t="str">
        <f t="shared" si="693"/>
        <v>PAGU</v>
      </c>
      <c r="D8375" s="2" t="str">
        <f t="shared" si="693"/>
        <v>PAGU</v>
      </c>
      <c r="E8375" s="2" t="str">
        <f>"ITENS DA PRESCRICAO E COMPONENTES"</f>
        <v>ITENS DA PRESCRICAO E COMPONENTES</v>
      </c>
      <c r="F8375" s="2" t="str">
        <f>"M_TIPPRE"</f>
        <v>M_TIPPRE</v>
      </c>
      <c r="G8375" s="2" t="str">
        <f>"MVSaude / Contas Médicas / Prestadores / Tipos de Prestadores (M_TIPPRE)"</f>
        <v>MVSaude / Contas Médicas / Prestadores / Tipos de Prestadores (M_TIPPRE)</v>
      </c>
    </row>
    <row r="8376" spans="1:7" x14ac:dyDescent="0.3">
      <c r="A8376" s="1" t="s">
        <v>4</v>
      </c>
      <c r="B8376" s="2" t="str">
        <f t="shared" si="692"/>
        <v>SISTEMA DE GERENCIAMENTO DA UNIDADE</v>
      </c>
      <c r="C8376" s="2" t="str">
        <f t="shared" si="693"/>
        <v>PAGU</v>
      </c>
      <c r="D8376" s="2" t="str">
        <f t="shared" si="693"/>
        <v>PAGU</v>
      </c>
      <c r="E8376" s="2" t="s">
        <v>5</v>
      </c>
      <c r="F8376" s="2" t="s">
        <v>46</v>
      </c>
      <c r="G8376" s="2" t="str">
        <f>"R_PREMED_COMP"</f>
        <v>R_PREMED_COMP</v>
      </c>
    </row>
    <row r="8377" spans="1:7" x14ac:dyDescent="0.3">
      <c r="A8377" s="1" t="s">
        <v>4</v>
      </c>
      <c r="B8377" s="2" t="str">
        <f t="shared" si="692"/>
        <v>SISTEMA DE GERENCIAMENTO DA UNIDADE</v>
      </c>
      <c r="C8377" s="2" t="str">
        <f t="shared" si="693"/>
        <v>PAGU</v>
      </c>
      <c r="D8377" s="2" t="str">
        <f t="shared" si="693"/>
        <v>PAGU</v>
      </c>
      <c r="E8377" s="2" t="str">
        <f>"RELATORIO DE EVOLUCAO MEDICA"</f>
        <v>RELATORIO DE EVOLUCAO MEDICA</v>
      </c>
      <c r="F8377" s="2" t="str">
        <f>"R_EVOMED"</f>
        <v>R_EVOMED</v>
      </c>
      <c r="G8377" s="2" t="str">
        <f>"Clínica e Assistencial / Gerenciamento de Unidades / Relatórios / Evoluções/Anotações do Paciente / Médica (R_EVOMED)"</f>
        <v>Clínica e Assistencial / Gerenciamento de Unidades / Relatórios / Evoluções/Anotações do Paciente / Médica (R_EVOMED)</v>
      </c>
    </row>
    <row r="8378" spans="1:7" x14ac:dyDescent="0.3">
      <c r="A8378" s="1" t="s">
        <v>4</v>
      </c>
      <c r="B8378" s="2" t="str">
        <f t="shared" si="692"/>
        <v>SISTEMA DE GERENCIAMENTO DA UNIDADE</v>
      </c>
      <c r="C8378" s="2" t="str">
        <f t="shared" si="693"/>
        <v>PAGU</v>
      </c>
      <c r="D8378" s="2" t="str">
        <f t="shared" si="693"/>
        <v>PAGU</v>
      </c>
      <c r="E8378" s="2" t="str">
        <f>"MODULO DE EVOLUCAO DE ENFERMAGEM"</f>
        <v>MODULO DE EVOLUCAO DE ENFERMAGEM</v>
      </c>
      <c r="F8378" s="2" t="str">
        <f>"M_EVOENF"</f>
        <v>M_EVOENF</v>
      </c>
      <c r="G8378" s="2" t="str">
        <f>" ()"</f>
        <v xml:space="preserve"> ()</v>
      </c>
    </row>
    <row r="8379" spans="1:7" x14ac:dyDescent="0.3">
      <c r="A8379" s="1" t="s">
        <v>4</v>
      </c>
      <c r="B8379" s="2" t="str">
        <f t="shared" si="692"/>
        <v>SISTEMA DE GERENCIAMENTO DA UNIDADE</v>
      </c>
      <c r="C8379" s="2" t="str">
        <f t="shared" si="693"/>
        <v>PAGU</v>
      </c>
      <c r="D8379" s="2" t="str">
        <f t="shared" si="693"/>
        <v>PAGU</v>
      </c>
      <c r="E8379" s="2" t="str">
        <f>"OCORRÊNCIAS DO PLANTÃO"</f>
        <v>OCORRÊNCIAS DO PLANTÃO</v>
      </c>
      <c r="F8379" s="2" t="str">
        <f>"R_TROPLA"</f>
        <v>R_TROPLA</v>
      </c>
      <c r="G8379" s="2" t="str">
        <f>"Clínica e Assistencial / Gerenciamento de Unidades / Relatórios / Operacionais / Ocorrências do Plantão (R_TROPLA)"</f>
        <v>Clínica e Assistencial / Gerenciamento de Unidades / Relatórios / Operacionais / Ocorrências do Plantão (R_TROPLA)</v>
      </c>
    </row>
    <row r="8380" spans="1:7" x14ac:dyDescent="0.3">
      <c r="A8380" s="1" t="s">
        <v>4</v>
      </c>
      <c r="B8380" s="2" t="str">
        <f t="shared" si="692"/>
        <v>SISTEMA DE GERENCIAMENTO DA UNIDADE</v>
      </c>
      <c r="C8380" s="2" t="str">
        <f t="shared" si="693"/>
        <v>PAGU</v>
      </c>
      <c r="D8380" s="2" t="str">
        <f t="shared" si="693"/>
        <v>PAGU</v>
      </c>
      <c r="E8380" s="2" t="str">
        <f>"PARECER MÉDICO EM ABERTO POR MÉDICO"</f>
        <v>PARECER MÉDICO EM ABERTO POR MÉDICO</v>
      </c>
      <c r="F8380" s="2" t="str">
        <f>"R_PAM"</f>
        <v>R_PAM</v>
      </c>
      <c r="G8380" s="2" t="str">
        <f>"Clínica e Assistencial / Gerenciamento de Unidades / Relatórios / Parecer Médico / Abertos / Por Médico (R_PAM)"</f>
        <v>Clínica e Assistencial / Gerenciamento de Unidades / Relatórios / Parecer Médico / Abertos / Por Médico (R_PAM)</v>
      </c>
    </row>
    <row r="8381" spans="1:7" x14ac:dyDescent="0.3">
      <c r="A8381" s="1" t="s">
        <v>4</v>
      </c>
      <c r="B8381" s="2" t="str">
        <f t="shared" si="692"/>
        <v>SISTEMA DE GERENCIAMENTO DA UNIDADE</v>
      </c>
      <c r="C8381" s="2" t="str">
        <f t="shared" si="693"/>
        <v>PAGU</v>
      </c>
      <c r="D8381" s="2" t="str">
        <f t="shared" si="693"/>
        <v>PAGU</v>
      </c>
      <c r="E8381" s="2" t="str">
        <f>"PARECER MÉDICO ABERTO POR ESPECIALIDADE"</f>
        <v>PARECER MÉDICO ABERTO POR ESPECIALIDADE</v>
      </c>
      <c r="F8381" s="2" t="str">
        <f>"R_PABE"</f>
        <v>R_PABE</v>
      </c>
      <c r="G8381" s="2" t="str">
        <f>"Clínica e Assistencial / Gerenciamento de Unidades / Relatórios / Parecer Médico / Abertos / Por Especialidade (R_PABE)"</f>
        <v>Clínica e Assistencial / Gerenciamento de Unidades / Relatórios / Parecer Médico / Abertos / Por Especialidade (R_PABE)</v>
      </c>
    </row>
    <row r="8382" spans="1:7" x14ac:dyDescent="0.3">
      <c r="A8382" s="1" t="s">
        <v>4</v>
      </c>
      <c r="B8382" s="2" t="str">
        <f t="shared" si="692"/>
        <v>SISTEMA DE GERENCIAMENTO DA UNIDADE</v>
      </c>
      <c r="C8382" s="2" t="str">
        <f t="shared" si="693"/>
        <v>PAGU</v>
      </c>
      <c r="D8382" s="2" t="str">
        <f t="shared" si="693"/>
        <v>PAGU</v>
      </c>
      <c r="E8382" s="2" t="str">
        <f>"RELATORIO DE SOLICITAÇAO DE PRODUTOS"</f>
        <v>RELATORIO DE SOLICITAÇAO DE PRODUTOS</v>
      </c>
      <c r="F8382" s="2" t="str">
        <f>"R_SOLSAI_PRO"</f>
        <v>R_SOLSAI_PRO</v>
      </c>
      <c r="G8382" s="2" t="str">
        <f>" ()"</f>
        <v xml:space="preserve"> ()</v>
      </c>
    </row>
    <row r="8383" spans="1:7" x14ac:dyDescent="0.3">
      <c r="A8383" s="1" t="s">
        <v>4</v>
      </c>
      <c r="B8383" s="2" t="str">
        <f t="shared" si="692"/>
        <v>SISTEMA DE GERENCIAMENTO DA UNIDADE</v>
      </c>
      <c r="C8383" s="2" t="str">
        <f t="shared" si="693"/>
        <v>PAGU</v>
      </c>
      <c r="D8383" s="2" t="str">
        <f t="shared" si="693"/>
        <v>PAGU</v>
      </c>
      <c r="E8383" s="2" t="str">
        <f>"RELATORIO DE BOLETIM INFORMATIVO"</f>
        <v>RELATORIO DE BOLETIM INFORMATIVO</v>
      </c>
      <c r="F8383" s="2" t="str">
        <f>"R_BOLINF"</f>
        <v>R_BOLINF</v>
      </c>
      <c r="G8383" s="2" t="str">
        <f>"Clínica e Assistencial / Gerenciamento de Unidades / Relatórios / Operacionais / Boletim Informativo (R_BOLINF)"</f>
        <v>Clínica e Assistencial / Gerenciamento de Unidades / Relatórios / Operacionais / Boletim Informativo (R_BOLINF)</v>
      </c>
    </row>
    <row r="8384" spans="1:7" x14ac:dyDescent="0.3">
      <c r="A8384" s="1" t="s">
        <v>4</v>
      </c>
      <c r="B8384" s="2" t="str">
        <f t="shared" si="692"/>
        <v>SISTEMA DE GERENCIAMENTO DA UNIDADE</v>
      </c>
      <c r="C8384" s="2" t="str">
        <f t="shared" si="693"/>
        <v>PAGU</v>
      </c>
      <c r="D8384" s="2" t="str">
        <f t="shared" si="693"/>
        <v>PAGU</v>
      </c>
      <c r="E8384" s="2" t="str">
        <f>"RELATÓRIO PARECER MÉDICO PACIENTE"</f>
        <v>RELATÓRIO PARECER MÉDICO PACIENTE</v>
      </c>
      <c r="F8384" s="2" t="str">
        <f>"R_PARMED"</f>
        <v>R_PARMED</v>
      </c>
      <c r="G8384" s="2" t="str">
        <f>"Clínica e Assistencial / Gerenciamento de Unidades / Relatórios / Parecer Médico / Paciente (R_PARMED)"</f>
        <v>Clínica e Assistencial / Gerenciamento de Unidades / Relatórios / Parecer Médico / Paciente (R_PARMED)</v>
      </c>
    </row>
    <row r="8385" spans="1:7" x14ac:dyDescent="0.3">
      <c r="A8385" s="1" t="s">
        <v>4</v>
      </c>
      <c r="B8385" s="2" t="str">
        <f t="shared" si="692"/>
        <v>SISTEMA DE GERENCIAMENTO DA UNIDADE</v>
      </c>
      <c r="C8385" s="2" t="str">
        <f t="shared" si="693"/>
        <v>PAGU</v>
      </c>
      <c r="D8385" s="2" t="str">
        <f t="shared" si="693"/>
        <v>PAGU</v>
      </c>
      <c r="E8385" s="2" t="str">
        <f>"RELATÓRIO MAPA DE NUTRIÇÃO"</f>
        <v>RELATÓRIO MAPA DE NUTRIÇÃO</v>
      </c>
      <c r="F8385" s="2" t="str">
        <f>"R_MAPA_NUTRICAO"</f>
        <v>R_MAPA_NUTRICAO</v>
      </c>
      <c r="G8385" s="2" t="str">
        <f>"Clínica e Assistencial / Gerenciamento de Unidades / Relatórios / Prescrição / Mapa de Nutrição (R_MAPA_NUTRICAO)"</f>
        <v>Clínica e Assistencial / Gerenciamento de Unidades / Relatórios / Prescrição / Mapa de Nutrição (R_MAPA_NUTRICAO)</v>
      </c>
    </row>
    <row r="8386" spans="1:7" x14ac:dyDescent="0.3">
      <c r="A8386" s="1" t="s">
        <v>4</v>
      </c>
      <c r="B8386" s="2" t="str">
        <f t="shared" si="692"/>
        <v>SISTEMA DE GERENCIAMENTO DA UNIDADE</v>
      </c>
      <c r="C8386" s="2" t="str">
        <f t="shared" si="693"/>
        <v>PAGU</v>
      </c>
      <c r="D8386" s="2" t="str">
        <f t="shared" si="693"/>
        <v>PAGU</v>
      </c>
      <c r="E8386" s="2" t="str">
        <f>"HORÁRIOS DAS MEDICAÇÕES"</f>
        <v>HORÁRIOS DAS MEDICAÇÕES</v>
      </c>
      <c r="F8386" s="2" t="str">
        <f>"R_HORMED"</f>
        <v>R_HORMED</v>
      </c>
      <c r="G8386" s="2" t="str">
        <f>"Clínica e Assistencial / Gerenciamento de Unidades / Relatórios / Prescrição / Horarios das Medicações (R_HORMED)"</f>
        <v>Clínica e Assistencial / Gerenciamento de Unidades / Relatórios / Prescrição / Horarios das Medicações (R_HORMED)</v>
      </c>
    </row>
    <row r="8387" spans="1:7" x14ac:dyDescent="0.3">
      <c r="A8387" s="1" t="s">
        <v>4</v>
      </c>
      <c r="B8387" s="2" t="str">
        <f t="shared" si="692"/>
        <v>SISTEMA DE GERENCIAMENTO DA UNIDADE</v>
      </c>
      <c r="C8387" s="2" t="str">
        <f t="shared" si="693"/>
        <v>PAGU</v>
      </c>
      <c r="D8387" s="2" t="str">
        <f t="shared" si="693"/>
        <v>PAGU</v>
      </c>
      <c r="E8387" s="2" t="str">
        <f>"RELATÓRIO TIPOD DE ESQUEMA"</f>
        <v>RELATÓRIO TIPOD DE ESQUEMA</v>
      </c>
      <c r="F8387" s="2" t="str">
        <f>"R_TIPESQ"</f>
        <v>R_TIPESQ</v>
      </c>
      <c r="G8387" s="2" t="str">
        <f>"Clínica e Assistencial / Gerenciamento de Unidades / Relatórios / Tabelas / Tipos de Esquemas (R_TIPESQ)"</f>
        <v>Clínica e Assistencial / Gerenciamento de Unidades / Relatórios / Tabelas / Tipos de Esquemas (R_TIPESQ)</v>
      </c>
    </row>
    <row r="8388" spans="1:7" x14ac:dyDescent="0.3">
      <c r="A8388" s="1" t="s">
        <v>4</v>
      </c>
      <c r="B8388" s="2" t="str">
        <f t="shared" si="692"/>
        <v>SISTEMA DE GERENCIAMENTO DA UNIDADE</v>
      </c>
      <c r="C8388" s="2" t="str">
        <f t="shared" si="693"/>
        <v>PAGU</v>
      </c>
      <c r="D8388" s="2" t="str">
        <f t="shared" si="693"/>
        <v>PAGU</v>
      </c>
      <c r="E8388" s="2" t="str">
        <f>"TELA DE CHAMADA DO MENU DO PAGU"</f>
        <v>TELA DE CHAMADA DO MENU DO PAGU</v>
      </c>
      <c r="F8388" s="2" t="str">
        <f>"PAGU"</f>
        <v>PAGU</v>
      </c>
      <c r="G8388" s="2" t="str">
        <f>" ()"</f>
        <v xml:space="preserve"> ()</v>
      </c>
    </row>
    <row r="8389" spans="1:7" x14ac:dyDescent="0.3">
      <c r="A8389" s="1" t="s">
        <v>4</v>
      </c>
      <c r="B8389" s="2" t="str">
        <f t="shared" si="692"/>
        <v>SISTEMA DE GERENCIAMENTO DA UNIDADE</v>
      </c>
      <c r="C8389" s="2" t="str">
        <f t="shared" si="693"/>
        <v>PAGU</v>
      </c>
      <c r="D8389" s="2" t="str">
        <f t="shared" si="693"/>
        <v>PAGU</v>
      </c>
      <c r="E8389" s="2" t="str">
        <f>"OCORRENCIA DO PLANTO"</f>
        <v>OCORRENCIA DO PLANTO</v>
      </c>
      <c r="F8389" s="2" t="str">
        <f>"M_TROPLA"</f>
        <v>M_TROPLA</v>
      </c>
      <c r="G8389" s="2" t="str">
        <f>"Clínica e Assistencial / Gerenciamento de Unidades / Opções Médicas / Ocorrências do Plantão (M_TROPLA)"</f>
        <v>Clínica e Assistencial / Gerenciamento de Unidades / Opções Médicas / Ocorrências do Plantão (M_TROPLA)</v>
      </c>
    </row>
    <row r="8390" spans="1:7" x14ac:dyDescent="0.3">
      <c r="A8390" s="1" t="s">
        <v>4</v>
      </c>
      <c r="B8390" s="2" t="str">
        <f t="shared" si="692"/>
        <v>SISTEMA DE GERENCIAMENTO DA UNIDADE</v>
      </c>
      <c r="C8390" s="2" t="str">
        <f t="shared" si="693"/>
        <v>PAGU</v>
      </c>
      <c r="D8390" s="2" t="str">
        <f t="shared" si="693"/>
        <v>PAGU</v>
      </c>
      <c r="E8390" s="2" t="str">
        <f>"OCORRENCIA DO PLANTO"</f>
        <v>OCORRENCIA DO PLANTO</v>
      </c>
      <c r="F8390" s="2" t="str">
        <f>"M_TROPLA"</f>
        <v>M_TROPLA</v>
      </c>
      <c r="G8390" s="2" t="str">
        <f>"Clínica e Assistencial / Gerenciamento de Unidades / Enfermagem / Ocorrência do Plantão (M_TROPLA)"</f>
        <v>Clínica e Assistencial / Gerenciamento de Unidades / Enfermagem / Ocorrência do Plantão (M_TROPLA)</v>
      </c>
    </row>
    <row r="8391" spans="1:7" x14ac:dyDescent="0.3">
      <c r="A8391" s="1" t="s">
        <v>17</v>
      </c>
      <c r="B8391" s="2" t="str">
        <f t="shared" si="692"/>
        <v>SISTEMA DE GERENCIAMENTO DA UNIDADE</v>
      </c>
      <c r="C8391" s="2" t="str">
        <f t="shared" si="693"/>
        <v>PAGU</v>
      </c>
      <c r="D8391" s="2" t="str">
        <f t="shared" si="693"/>
        <v>PAGU</v>
      </c>
      <c r="E8391" s="2" t="str">
        <f>"CADASTRO DE ORGAOS"</f>
        <v>CADASTRO DE ORGAOS</v>
      </c>
      <c r="F8391" s="2" t="str">
        <f>"M_ORGAO"</f>
        <v>M_ORGAO</v>
      </c>
      <c r="G8391" s="2" t="str">
        <f>"MVSaude / Cadastros / Órgãos (M_ORGAO)"</f>
        <v>MVSaude / Cadastros / Órgãos (M_ORGAO)</v>
      </c>
    </row>
    <row r="8392" spans="1:7" x14ac:dyDescent="0.3">
      <c r="A8392" s="1" t="s">
        <v>17</v>
      </c>
      <c r="B8392" s="2" t="str">
        <f t="shared" si="692"/>
        <v>SISTEMA DE GERENCIAMENTO DA UNIDADE</v>
      </c>
      <c r="C8392" s="2" t="str">
        <f t="shared" ref="C8392:D8411" si="694">"PAGU"</f>
        <v>PAGU</v>
      </c>
      <c r="D8392" s="2" t="str">
        <f t="shared" si="694"/>
        <v>PAGU</v>
      </c>
      <c r="E8392" s="2" t="str">
        <f>"CADASTRO DE ORGAOS"</f>
        <v>CADASTRO DE ORGAOS</v>
      </c>
      <c r="F8392" s="2" t="str">
        <f>"M_ORGAO"</f>
        <v>M_ORGAO</v>
      </c>
      <c r="G8392" s="2" t="str">
        <f>"Clínica e Assistencial / Gerenciamento de Unidades / Configuração / Tabelas / Orgão (M_ORGAO)"</f>
        <v>Clínica e Assistencial / Gerenciamento de Unidades / Configuração / Tabelas / Orgão (M_ORGAO)</v>
      </c>
    </row>
    <row r="8393" spans="1:7" x14ac:dyDescent="0.3">
      <c r="A8393" s="1" t="s">
        <v>4</v>
      </c>
      <c r="B8393" s="2" t="str">
        <f t="shared" si="692"/>
        <v>SISTEMA DE GERENCIAMENTO DA UNIDADE</v>
      </c>
      <c r="C8393" s="2" t="str">
        <f t="shared" si="694"/>
        <v>PAGU</v>
      </c>
      <c r="D8393" s="2" t="str">
        <f t="shared" si="694"/>
        <v>PAGU</v>
      </c>
      <c r="E8393" s="2" t="str">
        <f>"PRESCRICAO PADRAO"</f>
        <v>PRESCRICAO PADRAO</v>
      </c>
      <c r="F8393" s="2" t="str">
        <f>"M_PREPAD"</f>
        <v>M_PREPAD</v>
      </c>
      <c r="G8393" s="2" t="str">
        <f>"Clínica e Assistencial / Gerenciamento de Unidades / Configuração / Tabelas / Prescrição Padrão (M_PREPAD)"</f>
        <v>Clínica e Assistencial / Gerenciamento de Unidades / Configuração / Tabelas / Prescrição Padrão (M_PREPAD)</v>
      </c>
    </row>
    <row r="8394" spans="1:7" x14ac:dyDescent="0.3">
      <c r="A8394" s="1" t="s">
        <v>4</v>
      </c>
      <c r="B8394" s="2" t="str">
        <f t="shared" si="692"/>
        <v>SISTEMA DE GERENCIAMENTO DA UNIDADE</v>
      </c>
      <c r="C8394" s="2" t="str">
        <f t="shared" si="694"/>
        <v>PAGU</v>
      </c>
      <c r="D8394" s="2" t="str">
        <f t="shared" si="694"/>
        <v>PAGU</v>
      </c>
      <c r="E8394" s="2" t="str">
        <f>"PRESCRICAO PADRAO"</f>
        <v>PRESCRICAO PADRAO</v>
      </c>
      <c r="F8394" s="2" t="str">
        <f>"M_PREPAD"</f>
        <v>M_PREPAD</v>
      </c>
      <c r="G8394" s="2" t="str">
        <f>"Atendimento / Internação Domiciliar (Home Care) / Enfermagem / Tabelas / Prescrição Padrão (M_PREPAD)"</f>
        <v>Atendimento / Internação Domiciliar (Home Care) / Enfermagem / Tabelas / Prescrição Padrão (M_PREPAD)</v>
      </c>
    </row>
    <row r="8395" spans="1:7" x14ac:dyDescent="0.3">
      <c r="A8395" s="1" t="s">
        <v>4</v>
      </c>
      <c r="B8395" s="2" t="str">
        <f t="shared" si="692"/>
        <v>SISTEMA DE GERENCIAMENTO DA UNIDADE</v>
      </c>
      <c r="C8395" s="2" t="str">
        <f t="shared" si="694"/>
        <v>PAGU</v>
      </c>
      <c r="D8395" s="2" t="str">
        <f t="shared" si="694"/>
        <v>PAGU</v>
      </c>
      <c r="E8395" s="2" t="str">
        <f>"ESQUEMAS PRESCRIÇÃO"</f>
        <v>ESQUEMAS PRESCRIÇÃO</v>
      </c>
      <c r="F8395" s="2" t="str">
        <f>"M_TIPESQ"</f>
        <v>M_TIPESQ</v>
      </c>
      <c r="G8395" s="2" t="str">
        <f>"Atendimento / Internação Domiciliar (Home Care) / Enfermagem / Tabelas / Esquemas Prescrição (M_TIPESQ)"</f>
        <v>Atendimento / Internação Domiciliar (Home Care) / Enfermagem / Tabelas / Esquemas Prescrição (M_TIPESQ)</v>
      </c>
    </row>
    <row r="8396" spans="1:7" x14ac:dyDescent="0.3">
      <c r="A8396" s="1" t="s">
        <v>4</v>
      </c>
      <c r="B8396" s="2" t="str">
        <f t="shared" si="692"/>
        <v>SISTEMA DE GERENCIAMENTO DA UNIDADE</v>
      </c>
      <c r="C8396" s="2" t="str">
        <f t="shared" si="694"/>
        <v>PAGU</v>
      </c>
      <c r="D8396" s="2" t="str">
        <f t="shared" si="694"/>
        <v>PAGU</v>
      </c>
      <c r="E8396" s="2" t="str">
        <f>"ESQUEMAS PRESCRIÇÃO"</f>
        <v>ESQUEMAS PRESCRIÇÃO</v>
      </c>
      <c r="F8396" s="2" t="str">
        <f>"M_TIPESQ"</f>
        <v>M_TIPESQ</v>
      </c>
      <c r="G8396" s="2" t="str">
        <f>"Clínica e Assistencial / Gerenciamento de Unidades / Configuração / Tabelas / Esquemas da Prescrição / Cadastro (M_TIPESQ)"</f>
        <v>Clínica e Assistencial / Gerenciamento de Unidades / Configuração / Tabelas / Esquemas da Prescrição / Cadastro (M_TIPESQ)</v>
      </c>
    </row>
    <row r="8397" spans="1:7" x14ac:dyDescent="0.3">
      <c r="A8397" s="1" t="s">
        <v>4</v>
      </c>
      <c r="B8397" s="2" t="str">
        <f t="shared" si="692"/>
        <v>SISTEMA DE GERENCIAMENTO DA UNIDADE</v>
      </c>
      <c r="C8397" s="2" t="str">
        <f t="shared" si="694"/>
        <v>PAGU</v>
      </c>
      <c r="D8397" s="2" t="str">
        <f t="shared" si="694"/>
        <v>PAGU</v>
      </c>
      <c r="E8397" s="2" t="str">
        <f>"SOLICITACAO PARA OS ESTOQUES"</f>
        <v>SOLICITACAO PARA OS ESTOQUES</v>
      </c>
      <c r="F8397" s="2" t="str">
        <f>"M_CONEST"</f>
        <v>M_CONEST</v>
      </c>
      <c r="G8397" s="2" t="str">
        <f>"Atendimento / Internação Domiciliar (Home Care) / Configurações / Solicitação para os Estoques (M_CONEST)"</f>
        <v>Atendimento / Internação Domiciliar (Home Care) / Configurações / Solicitação para os Estoques (M_CONEST)</v>
      </c>
    </row>
    <row r="8398" spans="1:7" x14ac:dyDescent="0.3">
      <c r="A8398" s="1" t="s">
        <v>4</v>
      </c>
      <c r="B8398" s="2" t="str">
        <f t="shared" si="692"/>
        <v>SISTEMA DE GERENCIAMENTO DA UNIDADE</v>
      </c>
      <c r="C8398" s="2" t="str">
        <f t="shared" si="694"/>
        <v>PAGU</v>
      </c>
      <c r="D8398" s="2" t="str">
        <f t="shared" si="694"/>
        <v>PAGU</v>
      </c>
      <c r="E8398" s="2" t="str">
        <f>"SOLICITACAO PARA OS ESTOQUES"</f>
        <v>SOLICITACAO PARA OS ESTOQUES</v>
      </c>
      <c r="F8398" s="2" t="str">
        <f>"M_CONEST"</f>
        <v>M_CONEST</v>
      </c>
      <c r="G8398" s="2" t="str">
        <f>"Clínica e Assistencial / Gerenciamento de Unidades / Configuração / Solicitações para Estoques (M_CONEST)"</f>
        <v>Clínica e Assistencial / Gerenciamento de Unidades / Configuração / Solicitações para Estoques (M_CONEST)</v>
      </c>
    </row>
    <row r="8399" spans="1:7" x14ac:dyDescent="0.3">
      <c r="A8399" s="1" t="s">
        <v>4</v>
      </c>
      <c r="B8399" s="2" t="str">
        <f t="shared" si="692"/>
        <v>SISTEMA DE GERENCIAMENTO DA UNIDADE</v>
      </c>
      <c r="C8399" s="2" t="str">
        <f t="shared" si="694"/>
        <v>PAGU</v>
      </c>
      <c r="D8399" s="2" t="str">
        <f t="shared" si="694"/>
        <v>PAGU</v>
      </c>
      <c r="E8399" s="2" t="str">
        <f>"USUARIO POR UNIDADE DE INTERNACAO"</f>
        <v>USUARIO POR UNIDADE DE INTERNACAO</v>
      </c>
      <c r="F8399" s="2" t="str">
        <f>"M_USUUNID"</f>
        <v>M_USUUNID</v>
      </c>
      <c r="G8399" s="2" t="str">
        <f>"Serviços de Apoio / Movimentação de Documentos / Configurações / Usuários por Unidade de Internação (M_USUUNID)"</f>
        <v>Serviços de Apoio / Movimentação de Documentos / Configurações / Usuários por Unidade de Internação (M_USUUNID)</v>
      </c>
    </row>
    <row r="8400" spans="1:7" x14ac:dyDescent="0.3">
      <c r="A8400" s="1" t="s">
        <v>4</v>
      </c>
      <c r="B8400" s="2" t="str">
        <f t="shared" si="692"/>
        <v>SISTEMA DE GERENCIAMENTO DA UNIDADE</v>
      </c>
      <c r="C8400" s="2" t="str">
        <f t="shared" si="694"/>
        <v>PAGU</v>
      </c>
      <c r="D8400" s="2" t="str">
        <f t="shared" si="694"/>
        <v>PAGU</v>
      </c>
      <c r="E8400" s="2" t="str">
        <f>"USUARIO POR UNIDADE DE INTERNACAO"</f>
        <v>USUARIO POR UNIDADE DE INTERNACAO</v>
      </c>
      <c r="F8400" s="2" t="str">
        <f>"M_USUUNID"</f>
        <v>M_USUUNID</v>
      </c>
      <c r="G8400" s="2" t="str">
        <f>"Serviços de Apoio / Manutenção / Configuração / Usuários por Unidade de Internação (M_USUUNID)"</f>
        <v>Serviços de Apoio / Manutenção / Configuração / Usuários por Unidade de Internação (M_USUUNID)</v>
      </c>
    </row>
    <row r="8401" spans="1:7" x14ac:dyDescent="0.3">
      <c r="A8401" s="1" t="s">
        <v>4</v>
      </c>
      <c r="B8401" s="2" t="str">
        <f t="shared" si="692"/>
        <v>SISTEMA DE GERENCIAMENTO DA UNIDADE</v>
      </c>
      <c r="C8401" s="2" t="str">
        <f t="shared" si="694"/>
        <v>PAGU</v>
      </c>
      <c r="D8401" s="2" t="str">
        <f t="shared" si="694"/>
        <v>PAGU</v>
      </c>
      <c r="E8401" s="2" t="str">
        <f>"USUARIO POR UNIDADE DE INTERNACAO"</f>
        <v>USUARIO POR UNIDADE DE INTERNACAO</v>
      </c>
      <c r="F8401" s="2" t="str">
        <f>"M_USUUNID"</f>
        <v>M_USUUNID</v>
      </c>
      <c r="G8401" s="2" t="str">
        <f>"Apoio a TI / Gestão de Usuários / Configurações de Acesso / Acessos Gerais / Usuário por Unidade de Internação e Setor (M_USUUNID)"</f>
        <v>Apoio a TI / Gestão de Usuários / Configurações de Acesso / Acessos Gerais / Usuário por Unidade de Internação e Setor (M_USUUNID)</v>
      </c>
    </row>
    <row r="8402" spans="1:7" x14ac:dyDescent="0.3">
      <c r="A8402" s="1" t="s">
        <v>4</v>
      </c>
      <c r="B8402" s="2" t="str">
        <f t="shared" si="692"/>
        <v>SISTEMA DE GERENCIAMENTO DA UNIDADE</v>
      </c>
      <c r="C8402" s="2" t="str">
        <f t="shared" si="694"/>
        <v>PAGU</v>
      </c>
      <c r="D8402" s="2" t="str">
        <f t="shared" si="694"/>
        <v>PAGU</v>
      </c>
      <c r="E8402" s="2" t="str">
        <f>"USUARIO POR UNIDADE DE INTERNACAO"</f>
        <v>USUARIO POR UNIDADE DE INTERNACAO</v>
      </c>
      <c r="F8402" s="2" t="str">
        <f>"M_USUUNID"</f>
        <v>M_USUUNID</v>
      </c>
      <c r="G8402" s="2" t="str">
        <f>"Serviços de Apoio / Central de Materiais Esterilizados / Configurações / Usuários por Unidade de Internação (M_USUUNID)"</f>
        <v>Serviços de Apoio / Central de Materiais Esterilizados / Configurações / Usuários por Unidade de Internação (M_USUUNID)</v>
      </c>
    </row>
    <row r="8403" spans="1:7" x14ac:dyDescent="0.3">
      <c r="A8403" s="1" t="s">
        <v>4</v>
      </c>
      <c r="B8403" s="2" t="str">
        <f t="shared" si="692"/>
        <v>SISTEMA DE GERENCIAMENTO DA UNIDADE</v>
      </c>
      <c r="C8403" s="2" t="str">
        <f t="shared" si="694"/>
        <v>PAGU</v>
      </c>
      <c r="D8403" s="2" t="str">
        <f t="shared" si="694"/>
        <v>PAGU</v>
      </c>
      <c r="E8403" s="2" t="str">
        <f>"USUARIO POR UNIDADE DE INTERNACAO"</f>
        <v>USUARIO POR UNIDADE DE INTERNACAO</v>
      </c>
      <c r="F8403" s="2" t="str">
        <f>"M_USUUNID"</f>
        <v>M_USUUNID</v>
      </c>
      <c r="G8403" s="2" t="str">
        <f>"Atendimento / Internação Domiciliar (Home Care) / Configurações / Usuários por Unidade de Internação (M_USUUNID)"</f>
        <v>Atendimento / Internação Domiciliar (Home Care) / Configurações / Usuários por Unidade de Internação (M_USUUNID)</v>
      </c>
    </row>
    <row r="8404" spans="1:7" x14ac:dyDescent="0.3">
      <c r="A8404" s="1" t="s">
        <v>4</v>
      </c>
      <c r="B8404" s="2" t="str">
        <f t="shared" si="692"/>
        <v>SISTEMA DE GERENCIAMENTO DA UNIDADE</v>
      </c>
      <c r="C8404" s="2" t="str">
        <f t="shared" si="694"/>
        <v>PAGU</v>
      </c>
      <c r="D8404" s="2" t="str">
        <f t="shared" si="694"/>
        <v>PAGU</v>
      </c>
      <c r="E8404" s="2" t="str">
        <f>"PRESCRICAO MEDICA"</f>
        <v>PRESCRICAO MEDICA</v>
      </c>
      <c r="F8404" s="2" t="str">
        <f>"C_PREMED"</f>
        <v>C_PREMED</v>
      </c>
      <c r="G8404" s="2" t="str">
        <f>"Clínica e Assistencial / Gerenciamento de Unidades / Consultas / Prescrições Médicas / Prescritas (C_PREMED)"</f>
        <v>Clínica e Assistencial / Gerenciamento de Unidades / Consultas / Prescrições Médicas / Prescritas (C_PREMED)</v>
      </c>
    </row>
    <row r="8405" spans="1:7" x14ac:dyDescent="0.3">
      <c r="A8405" s="1" t="s">
        <v>4</v>
      </c>
      <c r="B8405" s="2" t="str">
        <f t="shared" si="692"/>
        <v>SISTEMA DE GERENCIAMENTO DA UNIDADE</v>
      </c>
      <c r="C8405" s="2" t="str">
        <f t="shared" si="694"/>
        <v>PAGU</v>
      </c>
      <c r="D8405" s="2" t="str">
        <f t="shared" si="694"/>
        <v>PAGU</v>
      </c>
      <c r="E8405" s="2" t="str">
        <f>"PRESCRICAO MEDICA"</f>
        <v>PRESCRICAO MEDICA</v>
      </c>
      <c r="F8405" s="2" t="str">
        <f>"C_PREMED"</f>
        <v>C_PREMED</v>
      </c>
      <c r="G8405" s="2" t="str">
        <f>"Serviços de Apoio / Nutrição e Dietética / Consultas / Prescrições Médicas / Prescritas (C_PREMED)"</f>
        <v>Serviços de Apoio / Nutrição e Dietética / Consultas / Prescrições Médicas / Prescritas (C_PREMED)</v>
      </c>
    </row>
    <row r="8406" spans="1:7" x14ac:dyDescent="0.3">
      <c r="A8406" s="1" t="s">
        <v>17</v>
      </c>
      <c r="B8406" s="2" t="str">
        <f t="shared" si="692"/>
        <v>SISTEMA DE GERENCIAMENTO DA UNIDADE</v>
      </c>
      <c r="C8406" s="2" t="str">
        <f t="shared" si="694"/>
        <v>PAGU</v>
      </c>
      <c r="D8406" s="2" t="str">
        <f t="shared" si="694"/>
        <v>PAGU</v>
      </c>
      <c r="E8406" s="2" t="str">
        <f>"PERFIL AMBULATORIAL"</f>
        <v>PERFIL AMBULATORIAL</v>
      </c>
      <c r="F8406" s="2" t="str">
        <f>"M_PERFIL_AMBULATORIAL"</f>
        <v>M_PERFIL_AMBULATORIAL</v>
      </c>
      <c r="G8406" s="2" t="str">
        <f>"Clínica e Assistencial / Gerenciamento de Unidades / Configuração / Consultório / Perfil (M_PERFIL_AMBULATORIAL)"</f>
        <v>Clínica e Assistencial / Gerenciamento de Unidades / Configuração / Consultório / Perfil (M_PERFIL_AMBULATORIAL)</v>
      </c>
    </row>
    <row r="8407" spans="1:7" x14ac:dyDescent="0.3">
      <c r="A8407" s="1" t="s">
        <v>4</v>
      </c>
      <c r="B8407" s="2" t="str">
        <f t="shared" si="692"/>
        <v>SISTEMA DE GERENCIAMENTO DA UNIDADE</v>
      </c>
      <c r="C8407" s="2" t="str">
        <f t="shared" si="694"/>
        <v>PAGU</v>
      </c>
      <c r="D8407" s="2" t="str">
        <f t="shared" si="694"/>
        <v>PAGU</v>
      </c>
      <c r="E8407" s="2" t="str">
        <f>"WIN_PRINCIPAL"</f>
        <v>WIN_PRINCIPAL</v>
      </c>
      <c r="F8407" s="2" t="str">
        <f>"M_SEGMENTO"</f>
        <v>M_SEGMENTO</v>
      </c>
      <c r="G8407" s="2" t="str">
        <f>" ()"</f>
        <v xml:space="preserve"> ()</v>
      </c>
    </row>
    <row r="8408" spans="1:7" x14ac:dyDescent="0.3">
      <c r="A8408" s="1" t="s">
        <v>4</v>
      </c>
      <c r="B8408" s="2" t="str">
        <f t="shared" si="692"/>
        <v>SISTEMA DE GERENCIAMENTO DA UNIDADE</v>
      </c>
      <c r="C8408" s="2" t="str">
        <f t="shared" si="694"/>
        <v>PAGU</v>
      </c>
      <c r="D8408" s="2" t="str">
        <f t="shared" si="694"/>
        <v>PAGU</v>
      </c>
      <c r="E8408" s="2" t="str">
        <f>"WIN_PRINCIPAL - HOSPITAL MV SISTEMAS"</f>
        <v>WIN_PRINCIPAL - HOSPITAL MV SISTEMAS</v>
      </c>
      <c r="F8408" s="2" t="str">
        <f>"M_PROTOCOLO"</f>
        <v>M_PROTOCOLO</v>
      </c>
      <c r="G8408" s="2" t="str">
        <f>"Clínica e Assistencial / Gerenciamento de Unidades / Configuração / Tabelas / Protocolo (M_PROTOCOLO)"</f>
        <v>Clínica e Assistencial / Gerenciamento de Unidades / Configuração / Tabelas / Protocolo (M_PROTOCOLO)</v>
      </c>
    </row>
    <row r="8409" spans="1:7" x14ac:dyDescent="0.3">
      <c r="A8409" s="1" t="s">
        <v>4</v>
      </c>
      <c r="B8409" s="2" t="str">
        <f t="shared" si="692"/>
        <v>SISTEMA DE GERENCIAMENTO DA UNIDADE</v>
      </c>
      <c r="C8409" s="2" t="str">
        <f t="shared" si="694"/>
        <v>PAGU</v>
      </c>
      <c r="D8409" s="2" t="str">
        <f t="shared" si="694"/>
        <v>PAGU</v>
      </c>
      <c r="E8409" s="2" t="str">
        <f>"LISTA DOS DOCUMENTOS"</f>
        <v>LISTA DOS DOCUMENTOS</v>
      </c>
      <c r="F8409" s="2" t="str">
        <f>"M_LISTAGEM_DOCUMENTOS"</f>
        <v>M_LISTAGEM_DOCUMENTOS</v>
      </c>
      <c r="G8409" s="2" t="str">
        <f>" ()"</f>
        <v xml:space="preserve"> ()</v>
      </c>
    </row>
    <row r="8410" spans="1:7" x14ac:dyDescent="0.3">
      <c r="A8410" s="1" t="s">
        <v>4</v>
      </c>
      <c r="B8410" s="2" t="str">
        <f t="shared" si="692"/>
        <v>SISTEMA DE GERENCIAMENTO DA UNIDADE</v>
      </c>
      <c r="C8410" s="2" t="str">
        <f t="shared" si="694"/>
        <v>PAGU</v>
      </c>
      <c r="D8410" s="2" t="str">
        <f t="shared" si="694"/>
        <v>PAGU</v>
      </c>
      <c r="E8410" s="2" t="str">
        <f>"WIN_PRINCIPAL"</f>
        <v>WIN_PRINCIPAL</v>
      </c>
      <c r="F8410" s="2" t="str">
        <f>"M_JUSTIFICATIVA_CHECAGEM"</f>
        <v>M_JUSTIFICATIVA_CHECAGEM</v>
      </c>
      <c r="G8410" s="2" t="str">
        <f>"Clínica e Assistencial / Gerenciamento de Unidades / Configuração / Tabelas / Justificativa de Atraso de Checagem (M_JUSTIFICATIVA_CHECAGEM)"</f>
        <v>Clínica e Assistencial / Gerenciamento de Unidades / Configuração / Tabelas / Justificativa de Atraso de Checagem (M_JUSTIFICATIVA_CHECAGEM)</v>
      </c>
    </row>
    <row r="8411" spans="1:7" x14ac:dyDescent="0.3">
      <c r="A8411" s="1" t="s">
        <v>4</v>
      </c>
      <c r="B8411" s="2" t="str">
        <f t="shared" si="692"/>
        <v>SISTEMA DE GERENCIAMENTO DA UNIDADE</v>
      </c>
      <c r="C8411" s="2" t="str">
        <f t="shared" si="694"/>
        <v>PAGU</v>
      </c>
      <c r="D8411" s="2" t="str">
        <f t="shared" si="694"/>
        <v>PAGU</v>
      </c>
      <c r="E8411" s="2" t="str">
        <f>"R_JUSTIFICATIVA_CHECAGEM"</f>
        <v>R_JUSTIFICATIVA_CHECAGEM</v>
      </c>
      <c r="F8411" s="2" t="str">
        <f>"R_JUSTIFICATIVA_CHECAGEM"</f>
        <v>R_JUSTIFICATIVA_CHECAGEM</v>
      </c>
      <c r="G8411" s="2" t="str">
        <f>"Clínica e Assistencial / Gerenciamento de Unidades / Relatórios / Tabelas / Justificativa de Atraso de Checagem (R_JUSTIFICATIVA_CHECAGEM)"</f>
        <v>Clínica e Assistencial / Gerenciamento de Unidades / Relatórios / Tabelas / Justificativa de Atraso de Checagem (R_JUSTIFICATIVA_CHECAGEM)</v>
      </c>
    </row>
    <row r="8412" spans="1:7" x14ac:dyDescent="0.3">
      <c r="A8412" s="1" t="s">
        <v>4</v>
      </c>
      <c r="B8412" s="2" t="str">
        <f t="shared" si="692"/>
        <v>SISTEMA DE GERENCIAMENTO DA UNIDADE</v>
      </c>
      <c r="C8412" s="2" t="str">
        <f t="shared" ref="C8412:D8431" si="695">"PAGU"</f>
        <v>PAGU</v>
      </c>
      <c r="D8412" s="2" t="str">
        <f t="shared" si="695"/>
        <v>PAGU</v>
      </c>
      <c r="E8412" s="2" t="str">
        <f>"M_CATEGORIA"</f>
        <v>M_CATEGORIA</v>
      </c>
      <c r="F8412" s="2" t="str">
        <f>"M_CATEGORIA"</f>
        <v>M_CATEGORIA</v>
      </c>
      <c r="G8412" s="2" t="str">
        <f>" ()"</f>
        <v xml:space="preserve"> ()</v>
      </c>
    </row>
    <row r="8413" spans="1:7" x14ac:dyDescent="0.3">
      <c r="A8413" s="1" t="s">
        <v>4</v>
      </c>
      <c r="B8413" s="2" t="str">
        <f t="shared" si="692"/>
        <v>SISTEMA DE GERENCIAMENTO DA UNIDADE</v>
      </c>
      <c r="C8413" s="2" t="str">
        <f t="shared" si="695"/>
        <v>PAGU</v>
      </c>
      <c r="D8413" s="2" t="str">
        <f t="shared" si="695"/>
        <v>PAGU</v>
      </c>
      <c r="E8413" s="2" t="str">
        <f>"RELATÓRIO GERENCIAL DE CAMINHO CRÌTICO"</f>
        <v>RELATÓRIO GERENCIAL DE CAMINHO CRÌTICO</v>
      </c>
      <c r="F8413" s="2" t="str">
        <f>"R_GER_CAMINHO_CRITICO"</f>
        <v>R_GER_CAMINHO_CRITICO</v>
      </c>
      <c r="G8413" s="2" t="str">
        <f>"Clínica e Assistencial / Gerenciamento de Unidades / Relatórios / Operacionais / Caminho Crítico / Não Conformidade (R_GER_CAMINHO_CRITICO)"</f>
        <v>Clínica e Assistencial / Gerenciamento de Unidades / Relatórios / Operacionais / Caminho Crítico / Não Conformidade (R_GER_CAMINHO_CRITICO)</v>
      </c>
    </row>
    <row r="8414" spans="1:7" x14ac:dyDescent="0.3">
      <c r="A8414" s="1" t="s">
        <v>4</v>
      </c>
      <c r="B8414" s="2" t="str">
        <f t="shared" si="692"/>
        <v>SISTEMA DE GERENCIAMENTO DA UNIDADE</v>
      </c>
      <c r="C8414" s="2" t="str">
        <f t="shared" si="695"/>
        <v>PAGU</v>
      </c>
      <c r="D8414" s="2" t="str">
        <f t="shared" si="695"/>
        <v>PAGU</v>
      </c>
      <c r="E8414" s="2" t="str">
        <f>"CADASTRO : MODALIDADE DE ANÁLISE"</f>
        <v>CADASTRO : MODALIDADE DE ANÁLISE</v>
      </c>
      <c r="F8414" s="2" t="str">
        <f>"M_MODALIDADE"</f>
        <v>M_MODALIDADE</v>
      </c>
      <c r="G8414" s="2" t="str">
        <f>" ()"</f>
        <v xml:space="preserve"> ()</v>
      </c>
    </row>
    <row r="8415" spans="1:7" x14ac:dyDescent="0.3">
      <c r="A8415" s="1" t="s">
        <v>4</v>
      </c>
      <c r="B8415" s="2" t="str">
        <f t="shared" si="692"/>
        <v>SISTEMA DE GERENCIAMENTO DA UNIDADE</v>
      </c>
      <c r="C8415" s="2" t="str">
        <f t="shared" si="695"/>
        <v>PAGU</v>
      </c>
      <c r="D8415" s="2" t="str">
        <f t="shared" si="695"/>
        <v>PAGU</v>
      </c>
      <c r="E8415" s="2" t="str">
        <f>"R_CHECAGEM"</f>
        <v>R_CHECAGEM</v>
      </c>
      <c r="F8415" s="2" t="str">
        <f>"R_CHECAGEM"</f>
        <v>R_CHECAGEM</v>
      </c>
      <c r="G8415" s="2" t="str">
        <f>"Clínica e Assistencial / Gerenciamento de Unidades / Relatórios / Prescrição / Checagem de Enfermagem (R_CHECAGEM)"</f>
        <v>Clínica e Assistencial / Gerenciamento de Unidades / Relatórios / Prescrição / Checagem de Enfermagem (R_CHECAGEM)</v>
      </c>
    </row>
    <row r="8416" spans="1:7" x14ac:dyDescent="0.3">
      <c r="A8416" s="1" t="s">
        <v>4</v>
      </c>
      <c r="B8416" s="2" t="str">
        <f t="shared" si="692"/>
        <v>SISTEMA DE GERENCIAMENTO DA UNIDADE</v>
      </c>
      <c r="C8416" s="2" t="str">
        <f t="shared" si="695"/>
        <v>PAGU</v>
      </c>
      <c r="D8416" s="2" t="str">
        <f t="shared" si="695"/>
        <v>PAGU</v>
      </c>
      <c r="E8416" s="2" t="str">
        <f>"RELATÓRIO DE ADESÃO AO CAMINHO CRÍTICO"</f>
        <v>RELATÓRIO DE ADESÃO AO CAMINHO CRÍTICO</v>
      </c>
      <c r="F8416" s="2" t="str">
        <f>"R_ADESAO_CCRITICO"</f>
        <v>R_ADESAO_CCRITICO</v>
      </c>
      <c r="G8416" s="2" t="str">
        <f>"Clínica e Assistencial / Gerenciamento de Unidades / Relatórios / Operacionais / Caminho Crítico / Adesão (R_ADESAO_CCRITICO)"</f>
        <v>Clínica e Assistencial / Gerenciamento de Unidades / Relatórios / Operacionais / Caminho Crítico / Adesão (R_ADESAO_CCRITICO)</v>
      </c>
    </row>
    <row r="8417" spans="1:7" x14ac:dyDescent="0.3">
      <c r="A8417" s="1" t="s">
        <v>4</v>
      </c>
      <c r="B8417" s="2" t="str">
        <f t="shared" si="692"/>
        <v>SISTEMA DE GERENCIAMENTO DA UNIDADE</v>
      </c>
      <c r="C8417" s="2" t="str">
        <f t="shared" si="695"/>
        <v>PAGU</v>
      </c>
      <c r="D8417" s="2" t="str">
        <f t="shared" si="695"/>
        <v>PAGU</v>
      </c>
      <c r="E8417" s="2" t="str">
        <f>"LIBERAÇÃO DE PRODUTO NÃO PADRONIZADO"</f>
        <v>LIBERAÇÃO DE PRODUTO NÃO PADRONIZADO</v>
      </c>
      <c r="F8417" s="2" t="str">
        <f>"M_LIB_PROD_NPADRONIZADO"</f>
        <v>M_LIB_PROD_NPADRONIZADO</v>
      </c>
      <c r="G8417" s="2" t="str">
        <f>"Clínica e Assistencial / Gerenciamento de Unidades / Secretaria / Liberação de Produtos Não Padronizados (M_LIB_PROD_NPADRONIZADO)"</f>
        <v>Clínica e Assistencial / Gerenciamento de Unidades / Secretaria / Liberação de Produtos Não Padronizados (M_LIB_PROD_NPADRONIZADO)</v>
      </c>
    </row>
    <row r="8418" spans="1:7" x14ac:dyDescent="0.3">
      <c r="A8418" s="1" t="s">
        <v>4</v>
      </c>
      <c r="B8418" s="2" t="str">
        <f t="shared" si="692"/>
        <v>SISTEMA DE GERENCIAMENTO DA UNIDADE</v>
      </c>
      <c r="C8418" s="2" t="str">
        <f t="shared" si="695"/>
        <v>PAGU</v>
      </c>
      <c r="D8418" s="2" t="str">
        <f t="shared" si="695"/>
        <v>PAGU</v>
      </c>
      <c r="E8418" s="2" t="str">
        <f>"COSULTA EXAMES"</f>
        <v>COSULTA EXAMES</v>
      </c>
      <c r="F8418" s="2" t="str">
        <f>"C_EXAMES"</f>
        <v>C_EXAMES</v>
      </c>
      <c r="G8418" s="2" t="str">
        <f>" ()"</f>
        <v xml:space="preserve"> ()</v>
      </c>
    </row>
    <row r="8419" spans="1:7" x14ac:dyDescent="0.3">
      <c r="A8419" s="1" t="s">
        <v>4</v>
      </c>
      <c r="B8419" s="2" t="str">
        <f t="shared" si="692"/>
        <v>SISTEMA DE GERENCIAMENTO DA UNIDADE</v>
      </c>
      <c r="C8419" s="2" t="str">
        <f t="shared" si="695"/>
        <v>PAGU</v>
      </c>
      <c r="D8419" s="2" t="str">
        <f t="shared" si="695"/>
        <v>PAGU</v>
      </c>
      <c r="E8419" s="2" t="str">
        <f>"RELATÓRIO DE PRESCRIÇÃO PADRÃO"</f>
        <v>RELATÓRIO DE PRESCRIÇÃO PADRÃO</v>
      </c>
      <c r="F8419" s="2" t="str">
        <f>"R_PREPAD"</f>
        <v>R_PREPAD</v>
      </c>
      <c r="G8419" s="2" t="str">
        <f>"Clínica e Assistencial / Gerenciamento de Unidades / Relatórios / Tabelas / Prescrição Padrão (R_PREPAD)"</f>
        <v>Clínica e Assistencial / Gerenciamento de Unidades / Relatórios / Tabelas / Prescrição Padrão (R_PREPAD)</v>
      </c>
    </row>
    <row r="8420" spans="1:7" x14ac:dyDescent="0.3">
      <c r="A8420" s="1" t="s">
        <v>4</v>
      </c>
      <c r="B8420" s="2" t="str">
        <f t="shared" si="692"/>
        <v>SISTEMA DE GERENCIAMENTO DA UNIDADE</v>
      </c>
      <c r="C8420" s="2" t="str">
        <f t="shared" si="695"/>
        <v>PAGU</v>
      </c>
      <c r="D8420" s="2" t="str">
        <f t="shared" si="695"/>
        <v>PAGU</v>
      </c>
      <c r="E8420" s="2" t="str">
        <f>"RELATÓRIO DE INTERAÇÕES MEDICAMENTOSAS"</f>
        <v>RELATÓRIO DE INTERAÇÕES MEDICAMENTOSAS</v>
      </c>
      <c r="F8420" s="2" t="str">
        <f>"R_INTERACAO"</f>
        <v>R_INTERACAO</v>
      </c>
      <c r="G8420" s="2" t="str">
        <f>"Clínica e Assistencial / Gerenciamento de Unidades / Relatórios / Estatísticos / Interações Medicamentosas (R_INTERACAO)"</f>
        <v>Clínica e Assistencial / Gerenciamento de Unidades / Relatórios / Estatísticos / Interações Medicamentosas (R_INTERACAO)</v>
      </c>
    </row>
    <row r="8421" spans="1:7" x14ac:dyDescent="0.3">
      <c r="A8421" s="1" t="s">
        <v>4</v>
      </c>
      <c r="B8421" s="2" t="str">
        <f t="shared" si="692"/>
        <v>SISTEMA DE GERENCIAMENTO DA UNIDADE</v>
      </c>
      <c r="C8421" s="2" t="str">
        <f t="shared" si="695"/>
        <v>PAGU</v>
      </c>
      <c r="D8421" s="2" t="str">
        <f t="shared" si="695"/>
        <v>PAGU</v>
      </c>
      <c r="E8421" s="2" t="str">
        <f>"RELATÓRIO DE ADESÃO AO CAMINHO CRÍTICO"</f>
        <v>RELATÓRIO DE ADESÃO AO CAMINHO CRÍTICO</v>
      </c>
      <c r="F8421" s="2" t="str">
        <f>"R_NCONFORMIDADE"</f>
        <v>R_NCONFORMIDADE</v>
      </c>
      <c r="G8421" s="2" t="str">
        <f>"Clínica e Assistencial / Gerenciamento de Unidades / Relatórios / Operacionais / Caminho Crítico / Não Conformidade por Atendimento (R_NCONFORMIDADE)"</f>
        <v>Clínica e Assistencial / Gerenciamento de Unidades / Relatórios / Operacionais / Caminho Crítico / Não Conformidade por Atendimento (R_NCONFORMIDADE)</v>
      </c>
    </row>
    <row r="8422" spans="1:7" x14ac:dyDescent="0.3">
      <c r="A8422" s="1" t="s">
        <v>4</v>
      </c>
      <c r="B8422" s="2" t="str">
        <f t="shared" si="692"/>
        <v>SISTEMA DE GERENCIAMENTO DA UNIDADE</v>
      </c>
      <c r="C8422" s="2" t="str">
        <f t="shared" si="695"/>
        <v>PAGU</v>
      </c>
      <c r="D8422" s="2" t="str">
        <f t="shared" si="695"/>
        <v>PAGU</v>
      </c>
      <c r="E8422" s="2" t="str">
        <f>"WIN_PRINCIPAL"</f>
        <v>WIN_PRINCIPAL</v>
      </c>
      <c r="F8422" s="2" t="str">
        <f>"M_PERGUNTA_DOC"</f>
        <v>M_PERGUNTA_DOC</v>
      </c>
      <c r="G8422" s="2" t="str">
        <f>"Clínica e Assistencial / Gerenciamento de Unidades / Configuração / Documentos / Cadastro de Perguntas (M_PERGUNTA_DOC)"</f>
        <v>Clínica e Assistencial / Gerenciamento de Unidades / Configuração / Documentos / Cadastro de Perguntas (M_PERGUNTA_DOC)</v>
      </c>
    </row>
    <row r="8423" spans="1:7" x14ac:dyDescent="0.3">
      <c r="A8423" s="1" t="s">
        <v>4</v>
      </c>
      <c r="B8423" s="2" t="str">
        <f t="shared" si="692"/>
        <v>SISTEMA DE GERENCIAMENTO DA UNIDADE</v>
      </c>
      <c r="C8423" s="2" t="str">
        <f t="shared" si="695"/>
        <v>PAGU</v>
      </c>
      <c r="D8423" s="2" t="str">
        <f t="shared" si="695"/>
        <v>PAGU</v>
      </c>
      <c r="E8423" s="2" t="str">
        <f>"WIN_PRINCIPAL"</f>
        <v>WIN_PRINCIPAL</v>
      </c>
      <c r="F8423" s="2" t="str">
        <f>"R_AGENDA_TRATAMENTO"</f>
        <v>R_AGENDA_TRATAMENTO</v>
      </c>
      <c r="G8423" s="2" t="str">
        <f>"Clínica e Assistencial / Gerenciamento de Unidades / Relatórios / Evoluções/Anotações do Paciente / Agendamentos e tratamentos (R_AGENDA_TRATAMENTO)"</f>
        <v>Clínica e Assistencial / Gerenciamento de Unidades / Relatórios / Evoluções/Anotações do Paciente / Agendamentos e tratamentos (R_AGENDA_TRATAMENTO)</v>
      </c>
    </row>
    <row r="8424" spans="1:7" x14ac:dyDescent="0.3">
      <c r="A8424" s="1" t="s">
        <v>4</v>
      </c>
      <c r="B8424" s="2" t="str">
        <f t="shared" si="692"/>
        <v>SISTEMA DE GERENCIAMENTO DA UNIDADE</v>
      </c>
      <c r="C8424" s="2" t="str">
        <f t="shared" si="695"/>
        <v>PAGU</v>
      </c>
      <c r="D8424" s="2" t="str">
        <f t="shared" si="695"/>
        <v>PAGU</v>
      </c>
      <c r="E8424" s="2" t="str">
        <f>"WIN_PRINCIPAL"</f>
        <v>WIN_PRINCIPAL</v>
      </c>
      <c r="F8424" s="2" t="str">
        <f>"M_CONSULTA_COLETA_PROGRA"</f>
        <v>M_CONSULTA_COLETA_PROGRA</v>
      </c>
      <c r="G8424" s="2" t="str">
        <f>" ()"</f>
        <v xml:space="preserve"> ()</v>
      </c>
    </row>
    <row r="8425" spans="1:7" x14ac:dyDescent="0.3">
      <c r="A8425" s="1" t="s">
        <v>4</v>
      </c>
      <c r="B8425" s="2" t="str">
        <f t="shared" si="692"/>
        <v>SISTEMA DE GERENCIAMENTO DA UNIDADE</v>
      </c>
      <c r="C8425" s="2" t="str">
        <f t="shared" si="695"/>
        <v>PAGU</v>
      </c>
      <c r="D8425" s="2" t="str">
        <f t="shared" si="695"/>
        <v>PAGU</v>
      </c>
      <c r="E8425" s="2" t="str">
        <f>"WIN_PRINCIPAL - HOSPITAL MV SISTEMAS"</f>
        <v>WIN_PRINCIPAL - HOSPITAL MV SISTEMAS</v>
      </c>
      <c r="F8425" s="2" t="str">
        <f>"M_PAINEL_ATENDIMENTO"</f>
        <v>M_PAINEL_ATENDIMENTO</v>
      </c>
      <c r="G8425" s="2" t="str">
        <f>"Clínica e Assistencial / Gerenciamento de Unidades / Enfermagem / Painel de Atendimentos (M_PAINEL_ATENDIMENTO)"</f>
        <v>Clínica e Assistencial / Gerenciamento de Unidades / Enfermagem / Painel de Atendimentos (M_PAINEL_ATENDIMENTO)</v>
      </c>
    </row>
    <row r="8426" spans="1:7" x14ac:dyDescent="0.3">
      <c r="A8426" s="1" t="s">
        <v>4</v>
      </c>
      <c r="B8426" s="2" t="str">
        <f t="shared" si="692"/>
        <v>SISTEMA DE GERENCIAMENTO DA UNIDADE</v>
      </c>
      <c r="C8426" s="2" t="str">
        <f t="shared" si="695"/>
        <v>PAGU</v>
      </c>
      <c r="D8426" s="2" t="str">
        <f t="shared" si="695"/>
        <v>PAGU</v>
      </c>
      <c r="E8426" s="2" t="str">
        <f>"CADASTRO DE ESTADIAMENTO"</f>
        <v>CADASTRO DE ESTADIAMENTO</v>
      </c>
      <c r="F8426" s="2" t="str">
        <f>"M_ESTADIAMENTO"</f>
        <v>M_ESTADIAMENTO</v>
      </c>
      <c r="G8426" s="2" t="str">
        <f>"Clínica e Assistencial / Gerenciamento de Unidades / Configuração / Tabelas / Estadiamento (M_ESTADIAMENTO)"</f>
        <v>Clínica e Assistencial / Gerenciamento de Unidades / Configuração / Tabelas / Estadiamento (M_ESTADIAMENTO)</v>
      </c>
    </row>
    <row r="8427" spans="1:7" x14ac:dyDescent="0.3">
      <c r="A8427" s="1" t="s">
        <v>4</v>
      </c>
      <c r="B8427" s="2" t="str">
        <f t="shared" si="692"/>
        <v>SISTEMA DE GERENCIAMENTO DA UNIDADE</v>
      </c>
      <c r="C8427" s="2" t="str">
        <f t="shared" si="695"/>
        <v>PAGU</v>
      </c>
      <c r="D8427" s="2" t="str">
        <f t="shared" si="695"/>
        <v>PAGU</v>
      </c>
      <c r="E8427" s="2" t="str">
        <f>"M_TNM"</f>
        <v>M_TNM</v>
      </c>
      <c r="F8427" s="2" t="str">
        <f>"M_TNM"</f>
        <v>M_TNM</v>
      </c>
      <c r="G8427" s="2" t="str">
        <f>"Clínica e Assistencial / Gerenciamento de Unidades / Configuração / Tabelas / Classificação de Tumores Malignos (M_TNM)"</f>
        <v>Clínica e Assistencial / Gerenciamento de Unidades / Configuração / Tabelas / Classificação de Tumores Malignos (M_TNM)</v>
      </c>
    </row>
    <row r="8428" spans="1:7" x14ac:dyDescent="0.3">
      <c r="A8428" s="1" t="s">
        <v>4</v>
      </c>
      <c r="B8428" s="2" t="str">
        <f t="shared" si="692"/>
        <v>SISTEMA DE GERENCIAMENTO DA UNIDADE</v>
      </c>
      <c r="C8428" s="2" t="str">
        <f t="shared" si="695"/>
        <v>PAGU</v>
      </c>
      <c r="D8428" s="2" t="str">
        <f t="shared" si="695"/>
        <v>PAGU</v>
      </c>
      <c r="E8428" s="2" t="str">
        <f>"WIN_PRINCIPAL"</f>
        <v>WIN_PRINCIPAL</v>
      </c>
      <c r="F8428" s="2" t="str">
        <f>"R_SUBST_SETOR_SOLICIT_PR"</f>
        <v>R_SUBST_SETOR_SOLICIT_PR</v>
      </c>
      <c r="G8428" s="2" t="str">
        <f>"Clínica e Assistencial / Gerenciamento de Unidades / Relatórios / Tabelas / Substituição do Setor da Solicitação (R_SUBST_SETOR_SOLICIT_PR)"</f>
        <v>Clínica e Assistencial / Gerenciamento de Unidades / Relatórios / Tabelas / Substituição do Setor da Solicitação (R_SUBST_SETOR_SOLICIT_PR)</v>
      </c>
    </row>
    <row r="8429" spans="1:7" x14ac:dyDescent="0.3">
      <c r="A8429" s="1" t="s">
        <v>4</v>
      </c>
      <c r="B8429" s="2" t="str">
        <f t="shared" si="692"/>
        <v>SISTEMA DE GERENCIAMENTO DA UNIDADE</v>
      </c>
      <c r="C8429" s="2" t="str">
        <f t="shared" si="695"/>
        <v>PAGU</v>
      </c>
      <c r="D8429" s="2" t="str">
        <f t="shared" si="695"/>
        <v>PAGU</v>
      </c>
      <c r="E8429" s="2" t="str">
        <f>"RELATÓRIO DE FICHA DE BALANÇO E CONTROLE"</f>
        <v>RELATÓRIO DE FICHA DE BALANÇO E CONTROLE</v>
      </c>
      <c r="F8429" s="2" t="str">
        <f>"R_FICHA_CONTROLE"</f>
        <v>R_FICHA_CONTROLE</v>
      </c>
      <c r="G8429" s="2" t="str">
        <f>"Clínica e Assistencial / Gerenciamento de Unidades / Relatórios / Operacionais / Ficha de Balanço e Controle (R_FICHA_CONTROLE)"</f>
        <v>Clínica e Assistencial / Gerenciamento de Unidades / Relatórios / Operacionais / Ficha de Balanço e Controle (R_FICHA_CONTROLE)</v>
      </c>
    </row>
    <row r="8430" spans="1:7" x14ac:dyDescent="0.3">
      <c r="A8430" s="1" t="s">
        <v>4</v>
      </c>
      <c r="B8430" s="2" t="str">
        <f t="shared" si="692"/>
        <v>SISTEMA DE GERENCIAMENTO DA UNIDADE</v>
      </c>
      <c r="C8430" s="2" t="str">
        <f t="shared" si="695"/>
        <v>PAGU</v>
      </c>
      <c r="D8430" s="2" t="str">
        <f t="shared" si="695"/>
        <v>PAGU</v>
      </c>
      <c r="E8430" s="2" t="str">
        <f>"CONFIGURAR DOCUMENTO"</f>
        <v>CONFIGURAR DOCUMENTO</v>
      </c>
      <c r="F8430" s="2" t="str">
        <f>"M_CONFIG_DOCUMENTO"</f>
        <v>M_CONFIG_DOCUMENTO</v>
      </c>
      <c r="G8430" s="2" t="str">
        <f>" ()"</f>
        <v xml:space="preserve"> ()</v>
      </c>
    </row>
    <row r="8431" spans="1:7" x14ac:dyDescent="0.3">
      <c r="A8431" s="1" t="s">
        <v>4</v>
      </c>
      <c r="B8431" s="2" t="str">
        <f t="shared" si="692"/>
        <v>SISTEMA DE GERENCIAMENTO DA UNIDADE</v>
      </c>
      <c r="C8431" s="2" t="str">
        <f t="shared" si="695"/>
        <v>PAGU</v>
      </c>
      <c r="D8431" s="2" t="str">
        <f t="shared" si="695"/>
        <v>PAGU</v>
      </c>
      <c r="E8431" s="2" t="str">
        <f>"CONSULTA DEF"</f>
        <v>CONSULTA DEF</v>
      </c>
      <c r="F8431" s="2" t="str">
        <f>"C_PRODUTO_DEF"</f>
        <v>C_PRODUTO_DEF</v>
      </c>
      <c r="G8431" s="2" t="str">
        <f>"Clínica e Assistencial / Gerenciamento de Unidades / Opções Médicas / Pesquisa de Itens (C_PRODUTO_DEF)"</f>
        <v>Clínica e Assistencial / Gerenciamento de Unidades / Opções Médicas / Pesquisa de Itens (C_PRODUTO_DEF)</v>
      </c>
    </row>
    <row r="8432" spans="1:7" x14ac:dyDescent="0.3">
      <c r="A8432" s="1" t="s">
        <v>4</v>
      </c>
      <c r="B8432" s="2" t="str">
        <f t="shared" ref="B8432:B8448" si="696">"SISTEMA DE GERENCIAMENTO DA UNIDADE"</f>
        <v>SISTEMA DE GERENCIAMENTO DA UNIDADE</v>
      </c>
      <c r="C8432" s="2" t="str">
        <f t="shared" ref="C8432:D8448" si="697">"PAGU"</f>
        <v>PAGU</v>
      </c>
      <c r="D8432" s="2" t="str">
        <f t="shared" si="697"/>
        <v>PAGU</v>
      </c>
      <c r="E8432" s="2" t="str">
        <f>"LIBERA PRESCRIÇÕES"</f>
        <v>LIBERA PRESCRIÇÕES</v>
      </c>
      <c r="F8432" s="2" t="str">
        <f>"M_LIBERA_PRESC"</f>
        <v>M_LIBERA_PRESC</v>
      </c>
      <c r="G8432" s="2" t="str">
        <f>" ()"</f>
        <v xml:space="preserve"> ()</v>
      </c>
    </row>
    <row r="8433" spans="1:7" x14ac:dyDescent="0.3">
      <c r="A8433" s="1" t="s">
        <v>4</v>
      </c>
      <c r="B8433" s="2" t="str">
        <f t="shared" si="696"/>
        <v>SISTEMA DE GERENCIAMENTO DA UNIDADE</v>
      </c>
      <c r="C8433" s="2" t="str">
        <f t="shared" si="697"/>
        <v>PAGU</v>
      </c>
      <c r="D8433" s="2" t="str">
        <f t="shared" si="697"/>
        <v>PAGU</v>
      </c>
      <c r="E8433" s="2" t="str">
        <f>"CADASTRO: TIPOS DE FREQUÊNCIAS"</f>
        <v>CADASTRO: TIPOS DE FREQUÊNCIAS</v>
      </c>
      <c r="F8433" s="2" t="str">
        <f>"M_FREMED_750"</f>
        <v>M_FREMED_750</v>
      </c>
      <c r="G8433" s="2" t="str">
        <f>" ()"</f>
        <v xml:space="preserve"> ()</v>
      </c>
    </row>
    <row r="8434" spans="1:7" x14ac:dyDescent="0.3">
      <c r="A8434" s="1" t="s">
        <v>4</v>
      </c>
      <c r="B8434" s="2" t="str">
        <f t="shared" si="696"/>
        <v>SISTEMA DE GERENCIAMENTO DA UNIDADE</v>
      </c>
      <c r="C8434" s="2" t="str">
        <f t="shared" si="697"/>
        <v>PAGU</v>
      </c>
      <c r="D8434" s="2" t="str">
        <f t="shared" si="697"/>
        <v>PAGU</v>
      </c>
      <c r="E8434" s="2" t="str">
        <f>"R_PASSAGEM_PLANTAO_410"</f>
        <v>R_PASSAGEM_PLANTAO_410</v>
      </c>
      <c r="F8434" s="2" t="str">
        <f>"R_PASSAGEM_PLANTAO_410"</f>
        <v>R_PASSAGEM_PLANTAO_410</v>
      </c>
      <c r="G8434" s="2" t="str">
        <f>" ()"</f>
        <v xml:space="preserve"> ()</v>
      </c>
    </row>
    <row r="8435" spans="1:7" x14ac:dyDescent="0.3">
      <c r="A8435" s="1" t="s">
        <v>4</v>
      </c>
      <c r="B8435" s="2" t="str">
        <f t="shared" si="696"/>
        <v>SISTEMA DE GERENCIAMENTO DA UNIDADE</v>
      </c>
      <c r="C8435" s="2" t="str">
        <f t="shared" si="697"/>
        <v>PAGU</v>
      </c>
      <c r="D8435" s="2" t="str">
        <f t="shared" si="697"/>
        <v>PAGU</v>
      </c>
      <c r="E8435" s="2" t="str">
        <f>"REL AUDIT DE CHECAGENS DE ENFERMAGEM"</f>
        <v>REL AUDIT DE CHECAGENS DE ENFERMAGEM</v>
      </c>
      <c r="F8435" s="2" t="str">
        <f>"R_AUDITORIA_CHECAGEM"</f>
        <v>R_AUDITORIA_CHECAGEM</v>
      </c>
      <c r="G8435" s="2" t="str">
        <f>"Clínica e Assistencial / Gerenciamento de Unidades / Relatórios / Operacionais / Auditoria de Checagens da Enfermagem (R_AUDITORIA_CHECAGEM)"</f>
        <v>Clínica e Assistencial / Gerenciamento de Unidades / Relatórios / Operacionais / Auditoria de Checagens da Enfermagem (R_AUDITORIA_CHECAGEM)</v>
      </c>
    </row>
    <row r="8436" spans="1:7" x14ac:dyDescent="0.3">
      <c r="A8436" s="1" t="s">
        <v>4</v>
      </c>
      <c r="B8436" s="2" t="str">
        <f t="shared" si="696"/>
        <v>SISTEMA DE GERENCIAMENTO DA UNIDADE</v>
      </c>
      <c r="C8436" s="2" t="str">
        <f t="shared" si="697"/>
        <v>PAGU</v>
      </c>
      <c r="D8436" s="2" t="str">
        <f t="shared" si="697"/>
        <v>PAGU</v>
      </c>
      <c r="E8436" s="2" t="str">
        <f>"M_PROD_SIMILAR"</f>
        <v>M_PROD_SIMILAR</v>
      </c>
      <c r="F8436" s="2" t="str">
        <f>"M_PROD_SIMILAR"</f>
        <v>M_PROD_SIMILAR</v>
      </c>
      <c r="G8436" s="2" t="str">
        <f>" ()"</f>
        <v xml:space="preserve"> ()</v>
      </c>
    </row>
    <row r="8437" spans="1:7" x14ac:dyDescent="0.3">
      <c r="A8437" s="1" t="s">
        <v>4</v>
      </c>
      <c r="B8437" s="2" t="str">
        <f t="shared" si="696"/>
        <v>SISTEMA DE GERENCIAMENTO DA UNIDADE</v>
      </c>
      <c r="C8437" s="2" t="str">
        <f t="shared" si="697"/>
        <v>PAGU</v>
      </c>
      <c r="D8437" s="2" t="str">
        <f t="shared" si="697"/>
        <v>PAGU</v>
      </c>
      <c r="E8437" s="2" t="str">
        <f>"BOLETIM INFORMATIVO"</f>
        <v>BOLETIM INFORMATIVO</v>
      </c>
      <c r="F8437" s="2" t="str">
        <f>"M_BOLINF"</f>
        <v>M_BOLINF</v>
      </c>
      <c r="G8437" s="2" t="str">
        <f>"Clínica e Assistencial / Gerenciamento de Unidades / Opções Médicas / Boletim Informativo (M_BOLINF)"</f>
        <v>Clínica e Assistencial / Gerenciamento de Unidades / Opções Médicas / Boletim Informativo (M_BOLINF)</v>
      </c>
    </row>
    <row r="8438" spans="1:7" x14ac:dyDescent="0.3">
      <c r="A8438" s="1" t="s">
        <v>4</v>
      </c>
      <c r="B8438" s="2" t="str">
        <f t="shared" si="696"/>
        <v>SISTEMA DE GERENCIAMENTO DA UNIDADE</v>
      </c>
      <c r="C8438" s="2" t="str">
        <f t="shared" si="697"/>
        <v>PAGU</v>
      </c>
      <c r="D8438" s="2" t="str">
        <f t="shared" si="697"/>
        <v>PAGU</v>
      </c>
      <c r="E8438" s="2" t="str">
        <f>"GERACAO DE SOLICITACAO"</f>
        <v>GERACAO DE SOLICITACAO</v>
      </c>
      <c r="F8438" s="2" t="str">
        <f>"O_GERSOL"</f>
        <v>O_GERSOL</v>
      </c>
      <c r="G8438" s="2" t="str">
        <f>" ()"</f>
        <v xml:space="preserve"> ()</v>
      </c>
    </row>
    <row r="8439" spans="1:7" x14ac:dyDescent="0.3">
      <c r="A8439" s="1" t="s">
        <v>4</v>
      </c>
      <c r="B8439" s="2" t="str">
        <f t="shared" si="696"/>
        <v>SISTEMA DE GERENCIAMENTO DA UNIDADE</v>
      </c>
      <c r="C8439" s="2" t="str">
        <f t="shared" si="697"/>
        <v>PAGU</v>
      </c>
      <c r="D8439" s="2" t="str">
        <f t="shared" si="697"/>
        <v>PAGU</v>
      </c>
      <c r="E8439" s="2" t="str">
        <f>"RELATORIO DE PRESCRICAO MEDICA"</f>
        <v>RELATORIO DE PRESCRICAO MEDICA</v>
      </c>
      <c r="F8439" s="2" t="str">
        <f>"R_PREMED"</f>
        <v>R_PREMED</v>
      </c>
      <c r="G8439" s="2" t="str">
        <f>"Atendimento / Internação Domiciliar (Home Care) / Relatórios / Internados / Prescrição (R_PREMED)"</f>
        <v>Atendimento / Internação Domiciliar (Home Care) / Relatórios / Internados / Prescrição (R_PREMED)</v>
      </c>
    </row>
    <row r="8440" spans="1:7" x14ac:dyDescent="0.3">
      <c r="A8440" s="1" t="s">
        <v>4</v>
      </c>
      <c r="B8440" s="2" t="str">
        <f t="shared" si="696"/>
        <v>SISTEMA DE GERENCIAMENTO DA UNIDADE</v>
      </c>
      <c r="C8440" s="2" t="str">
        <f t="shared" si="697"/>
        <v>PAGU</v>
      </c>
      <c r="D8440" s="2" t="str">
        <f t="shared" si="697"/>
        <v>PAGU</v>
      </c>
      <c r="E8440" s="2" t="str">
        <f>"RELATORIO DE PRESCRICAO MEDICA"</f>
        <v>RELATORIO DE PRESCRICAO MEDICA</v>
      </c>
      <c r="F8440" s="2" t="str">
        <f>"R_PREMED"</f>
        <v>R_PREMED</v>
      </c>
      <c r="G8440" s="2" t="str">
        <f>"Clínica e Assistencial / Gerenciamento de Unidades / Relatórios / Prescrição / Prescrição Médica (R_PREMED)"</f>
        <v>Clínica e Assistencial / Gerenciamento de Unidades / Relatórios / Prescrição / Prescrição Médica (R_PREMED)</v>
      </c>
    </row>
    <row r="8441" spans="1:7" x14ac:dyDescent="0.3">
      <c r="A8441" s="1" t="s">
        <v>4</v>
      </c>
      <c r="B8441" s="2" t="str">
        <f t="shared" si="696"/>
        <v>SISTEMA DE GERENCIAMENTO DA UNIDADE</v>
      </c>
      <c r="C8441" s="2" t="str">
        <f t="shared" si="697"/>
        <v>PAGU</v>
      </c>
      <c r="D8441" s="2" t="str">
        <f t="shared" si="697"/>
        <v>PAGU</v>
      </c>
      <c r="E8441" s="2" t="str">
        <f>"R_PAGU_IMAGEM"</f>
        <v>R_PAGU_IMAGEM</v>
      </c>
      <c r="F8441" s="2" t="str">
        <f>"R_PAGU_IMAGEM"</f>
        <v>R_PAGU_IMAGEM</v>
      </c>
      <c r="G8441" s="2" t="str">
        <f t="shared" ref="G8441:G8446" si="698">" ()"</f>
        <v xml:space="preserve"> ()</v>
      </c>
    </row>
    <row r="8442" spans="1:7" x14ac:dyDescent="0.3">
      <c r="A8442" s="1" t="s">
        <v>4</v>
      </c>
      <c r="B8442" s="2" t="str">
        <f t="shared" si="696"/>
        <v>SISTEMA DE GERENCIAMENTO DA UNIDADE</v>
      </c>
      <c r="C8442" s="2" t="str">
        <f t="shared" si="697"/>
        <v>PAGU</v>
      </c>
      <c r="D8442" s="2" t="str">
        <f t="shared" si="697"/>
        <v>PAGU</v>
      </c>
      <c r="E8442" s="2" t="str">
        <f>"CONSULTÓRIO"</f>
        <v>CONSULTÓRIO</v>
      </c>
      <c r="F8442" s="2" t="str">
        <f>"M_CONSULTORIO_ARVORE"</f>
        <v>M_CONSULTORIO_ARVORE</v>
      </c>
      <c r="G8442" s="2" t="str">
        <f t="shared" si="698"/>
        <v xml:space="preserve"> ()</v>
      </c>
    </row>
    <row r="8443" spans="1:7" x14ac:dyDescent="0.3">
      <c r="A8443" s="1" t="s">
        <v>4</v>
      </c>
      <c r="B8443" s="2" t="str">
        <f t="shared" si="696"/>
        <v>SISTEMA DE GERENCIAMENTO DA UNIDADE</v>
      </c>
      <c r="C8443" s="2" t="str">
        <f t="shared" si="697"/>
        <v>PAGU</v>
      </c>
      <c r="D8443" s="2" t="str">
        <f t="shared" si="697"/>
        <v>PAGU</v>
      </c>
      <c r="E8443" s="2" t="str">
        <f>"ATIVAR_DOCUMENTO"</f>
        <v>ATIVAR_DOCUMENTO</v>
      </c>
      <c r="F8443" s="2" t="str">
        <f>"ATIVAR_DOCUMENTO"</f>
        <v>ATIVAR_DOCUMENTO</v>
      </c>
      <c r="G8443" s="2" t="str">
        <f t="shared" si="698"/>
        <v xml:space="preserve"> ()</v>
      </c>
    </row>
    <row r="8444" spans="1:7" x14ac:dyDescent="0.3">
      <c r="A8444" s="1" t="s">
        <v>4</v>
      </c>
      <c r="B8444" s="2" t="str">
        <f t="shared" si="696"/>
        <v>SISTEMA DE GERENCIAMENTO DA UNIDADE</v>
      </c>
      <c r="C8444" s="2" t="str">
        <f t="shared" si="697"/>
        <v>PAGU</v>
      </c>
      <c r="D8444" s="2" t="str">
        <f t="shared" si="697"/>
        <v>PAGU</v>
      </c>
      <c r="E8444" s="2" t="str">
        <f>"R_REQUISICAO"</f>
        <v>R_REQUISICAO</v>
      </c>
      <c r="F8444" s="2" t="str">
        <f>"R_REQUISICAO"</f>
        <v>R_REQUISICAO</v>
      </c>
      <c r="G8444" s="2" t="str">
        <f t="shared" si="698"/>
        <v xml:space="preserve"> ()</v>
      </c>
    </row>
    <row r="8445" spans="1:7" x14ac:dyDescent="0.3">
      <c r="A8445" s="1" t="s">
        <v>4</v>
      </c>
      <c r="B8445" s="2" t="str">
        <f t="shared" si="696"/>
        <v>SISTEMA DE GERENCIAMENTO DA UNIDADE</v>
      </c>
      <c r="C8445" s="2" t="str">
        <f t="shared" si="697"/>
        <v>PAGU</v>
      </c>
      <c r="D8445" s="2" t="str">
        <f t="shared" si="697"/>
        <v>PAGU</v>
      </c>
      <c r="E8445" s="2" t="str">
        <f>"Regras de Excecao"</f>
        <v>Regras de Excecao</v>
      </c>
      <c r="F8445" s="2" t="str">
        <f>"M_EXCECAO_PEDIDO_EXAME"</f>
        <v>M_EXCECAO_PEDIDO_EXAME</v>
      </c>
      <c r="G8445" s="2" t="str">
        <f t="shared" si="698"/>
        <v xml:space="preserve"> ()</v>
      </c>
    </row>
    <row r="8446" spans="1:7" x14ac:dyDescent="0.3">
      <c r="A8446" s="1" t="s">
        <v>4</v>
      </c>
      <c r="B8446" s="2" t="str">
        <f t="shared" si="696"/>
        <v>SISTEMA DE GERENCIAMENTO DA UNIDADE</v>
      </c>
      <c r="C8446" s="2" t="str">
        <f t="shared" si="697"/>
        <v>PAGU</v>
      </c>
      <c r="D8446" s="2" t="str">
        <f t="shared" si="697"/>
        <v>PAGU</v>
      </c>
      <c r="E8446" s="2" t="str">
        <f>"REPLICAR PRESCRIÇÃO FUTURA"</f>
        <v>REPLICAR PRESCRIÇÃO FUTURA</v>
      </c>
      <c r="F8446" s="2" t="str">
        <f>"M_REPLICA_PRESC_FUTURA"</f>
        <v>M_REPLICA_PRESC_FUTURA</v>
      </c>
      <c r="G8446" s="2" t="str">
        <f t="shared" si="698"/>
        <v xml:space="preserve"> ()</v>
      </c>
    </row>
    <row r="8447" spans="1:7" x14ac:dyDescent="0.3">
      <c r="A8447" s="1" t="s">
        <v>4</v>
      </c>
      <c r="B8447" s="2" t="str">
        <f t="shared" si="696"/>
        <v>SISTEMA DE GERENCIAMENTO DA UNIDADE</v>
      </c>
      <c r="C8447" s="2" t="str">
        <f t="shared" si="697"/>
        <v>PAGU</v>
      </c>
      <c r="D8447" s="2" t="str">
        <f t="shared" si="697"/>
        <v>PAGU</v>
      </c>
      <c r="E8447" s="2" t="str">
        <f>"RELATÓRIO DE LOG DE CHECAGENS"</f>
        <v>RELATÓRIO DE LOG DE CHECAGENS</v>
      </c>
      <c r="F8447" s="2" t="str">
        <f>"R_LOG_CHECAGEM"</f>
        <v>R_LOG_CHECAGEM</v>
      </c>
      <c r="G8447" s="2" t="str">
        <f>"Clínica e Assistencial / Gerenciamento de Unidades / Relatórios / Operacionais / Log de Horários (R_LOG_CHECAGEM)"</f>
        <v>Clínica e Assistencial / Gerenciamento de Unidades / Relatórios / Operacionais / Log de Horários (R_LOG_CHECAGEM)</v>
      </c>
    </row>
    <row r="8448" spans="1:7" x14ac:dyDescent="0.3">
      <c r="A8448" s="1" t="s">
        <v>4</v>
      </c>
      <c r="B8448" s="2" t="str">
        <f t="shared" si="696"/>
        <v>SISTEMA DE GERENCIAMENTO DA UNIDADE</v>
      </c>
      <c r="C8448" s="2" t="str">
        <f t="shared" si="697"/>
        <v>PAGU</v>
      </c>
      <c r="D8448" s="2" t="str">
        <f t="shared" si="697"/>
        <v>PAGU</v>
      </c>
      <c r="E8448" s="2" t="str">
        <f>"R_PREMED_750"</f>
        <v>R_PREMED_750</v>
      </c>
      <c r="F8448" s="2" t="str">
        <f>"R_PREMED_750"</f>
        <v>R_PREMED_750</v>
      </c>
      <c r="G8448" s="2" t="str">
        <f t="shared" ref="G8448:G8458" si="699">" ()"</f>
        <v xml:space="preserve"> ()</v>
      </c>
    </row>
    <row r="8449" spans="1:7" x14ac:dyDescent="0.3">
      <c r="A8449" s="1" t="s">
        <v>4</v>
      </c>
      <c r="B8449" s="2" t="str">
        <f t="shared" ref="B8449:B8512" si="700">"SISTEMA DE GERENCIAMENTO AMBULATORIAL"</f>
        <v>SISTEMA DE GERENCIAMENTO AMBULATORIAL</v>
      </c>
      <c r="C8449" s="2" t="str">
        <f t="shared" ref="C8449:C8512" si="701">"ATEND"</f>
        <v>ATEND</v>
      </c>
      <c r="D8449" s="2" t="str">
        <f t="shared" ref="D8449:D8512" si="702">"PARA"</f>
        <v>PARA</v>
      </c>
      <c r="E8449" s="2" t="str">
        <f>"PACIENTE QUE NÃO COMPARECERAM À CONSULTA"</f>
        <v>PACIENTE QUE NÃO COMPARECERAM À CONSULTA</v>
      </c>
      <c r="F8449" s="2" t="str">
        <f>"R_PAC_FALTA_CONSULTA.RDF"</f>
        <v>R_PAC_FALTA_CONSULTA.RDF</v>
      </c>
      <c r="G8449" s="2" t="str">
        <f t="shared" si="699"/>
        <v xml:space="preserve"> ()</v>
      </c>
    </row>
    <row r="8450" spans="1:7" x14ac:dyDescent="0.3">
      <c r="A8450" s="1" t="s">
        <v>4</v>
      </c>
      <c r="B8450" s="2" t="str">
        <f t="shared" si="700"/>
        <v>SISTEMA DE GERENCIAMENTO AMBULATORIAL</v>
      </c>
      <c r="C8450" s="2" t="str">
        <f t="shared" si="701"/>
        <v>ATEND</v>
      </c>
      <c r="D8450" s="2" t="str">
        <f t="shared" si="702"/>
        <v>PARA</v>
      </c>
      <c r="E8450" s="2" t="str">
        <f>"Pacientes Inativos"</f>
        <v>Pacientes Inativos</v>
      </c>
      <c r="F8450" s="2" t="str">
        <f>"C_TROCPAC_INATIVOS"</f>
        <v>C_TROCPAC_INATIVOS</v>
      </c>
      <c r="G8450" s="2" t="str">
        <f t="shared" si="699"/>
        <v xml:space="preserve"> ()</v>
      </c>
    </row>
    <row r="8451" spans="1:7" x14ac:dyDescent="0.3">
      <c r="A8451" s="1" t="s">
        <v>4</v>
      </c>
      <c r="B8451" s="2" t="str">
        <f t="shared" si="700"/>
        <v>SISTEMA DE GERENCIAMENTO AMBULATORIAL</v>
      </c>
      <c r="C8451" s="2" t="str">
        <f t="shared" si="701"/>
        <v>ATEND</v>
      </c>
      <c r="D8451" s="2" t="str">
        <f t="shared" si="702"/>
        <v>PARA</v>
      </c>
      <c r="E8451" s="2" t="str">
        <f>"Consulta de Paciente Inativo"</f>
        <v>Consulta de Paciente Inativo</v>
      </c>
      <c r="F8451" s="2" t="str">
        <f>"C_PACIENTE_INATIVO_TROCPAC"</f>
        <v>C_PACIENTE_INATIVO_TROCPAC</v>
      </c>
      <c r="G8451" s="2" t="str">
        <f t="shared" si="699"/>
        <v xml:space="preserve"> ()</v>
      </c>
    </row>
    <row r="8452" spans="1:7" x14ac:dyDescent="0.3">
      <c r="A8452" s="1" t="s">
        <v>4</v>
      </c>
      <c r="B8452" s="2" t="str">
        <f t="shared" si="700"/>
        <v>SISTEMA DE GERENCIAMENTO AMBULATORIAL</v>
      </c>
      <c r="C8452" s="2" t="str">
        <f t="shared" si="701"/>
        <v>ATEND</v>
      </c>
      <c r="D8452" s="2" t="str">
        <f t="shared" si="702"/>
        <v>PARA</v>
      </c>
      <c r="E8452" s="2" t="str">
        <f>"Consulta Transf. de Dados de Pacientes"</f>
        <v>Consulta Transf. de Dados de Pacientes</v>
      </c>
      <c r="F8452" s="2" t="str">
        <f>"M_CONSULTA_TROCPAC"</f>
        <v>M_CONSULTA_TROCPAC</v>
      </c>
      <c r="G8452" s="2" t="str">
        <f t="shared" si="699"/>
        <v xml:space="preserve"> ()</v>
      </c>
    </row>
    <row r="8453" spans="1:7" x14ac:dyDescent="0.3">
      <c r="A8453" s="1" t="s">
        <v>4</v>
      </c>
      <c r="B8453" s="2" t="str">
        <f t="shared" si="700"/>
        <v>SISTEMA DE GERENCIAMENTO AMBULATORIAL</v>
      </c>
      <c r="C8453" s="2" t="str">
        <f t="shared" si="701"/>
        <v>ATEND</v>
      </c>
      <c r="D8453" s="2" t="str">
        <f t="shared" si="702"/>
        <v>PARA</v>
      </c>
      <c r="E8453" s="2" t="str">
        <f>"Reversão Transf. de Dados de Pacientes"</f>
        <v>Reversão Transf. de Dados de Pacientes</v>
      </c>
      <c r="F8453" s="2" t="str">
        <f>"M_REVERSAO_TROCPAC"</f>
        <v>M_REVERSAO_TROCPAC</v>
      </c>
      <c r="G8453" s="2" t="str">
        <f t="shared" si="699"/>
        <v xml:space="preserve"> ()</v>
      </c>
    </row>
    <row r="8454" spans="1:7" x14ac:dyDescent="0.3">
      <c r="A8454" s="1" t="s">
        <v>4</v>
      </c>
      <c r="B8454" s="2" t="str">
        <f t="shared" si="700"/>
        <v>SISTEMA DE GERENCIAMENTO AMBULATORIAL</v>
      </c>
      <c r="C8454" s="2" t="str">
        <f t="shared" si="701"/>
        <v>ATEND</v>
      </c>
      <c r="D8454" s="2" t="str">
        <f t="shared" si="702"/>
        <v>PARA</v>
      </c>
      <c r="E8454" s="2" t="str">
        <f>"RELATÓRIO DE PACIENTES AGENDADOS"</f>
        <v>RELATÓRIO DE PACIENTES AGENDADOS</v>
      </c>
      <c r="F8454" s="2" t="str">
        <f>"R_PAC_AGD_ALFA_600"</f>
        <v>R_PAC_AGD_ALFA_600</v>
      </c>
      <c r="G8454" s="2" t="str">
        <f t="shared" si="699"/>
        <v xml:space="preserve"> ()</v>
      </c>
    </row>
    <row r="8455" spans="1:7" x14ac:dyDescent="0.3">
      <c r="A8455" s="1" t="s">
        <v>4</v>
      </c>
      <c r="B8455" s="2" t="str">
        <f t="shared" si="700"/>
        <v>SISTEMA DE GERENCIAMENTO AMBULATORIAL</v>
      </c>
      <c r="C8455" s="2" t="str">
        <f t="shared" si="701"/>
        <v>ATEND</v>
      </c>
      <c r="D8455" s="2" t="str">
        <f t="shared" si="702"/>
        <v>PARA</v>
      </c>
      <c r="E8455" s="2" t="str">
        <f>"R_EST_P_PROF_FUSAM_S"</f>
        <v>R_EST_P_PROF_FUSAM_S</v>
      </c>
      <c r="F8455" s="2" t="str">
        <f>"R_EST_P_PROF_FUSAM_S"</f>
        <v>R_EST_P_PROF_FUSAM_S</v>
      </c>
      <c r="G8455" s="2" t="str">
        <f t="shared" si="699"/>
        <v xml:space="preserve"> ()</v>
      </c>
    </row>
    <row r="8456" spans="1:7" x14ac:dyDescent="0.3">
      <c r="A8456" s="1" t="s">
        <v>4</v>
      </c>
      <c r="B8456" s="2" t="str">
        <f t="shared" si="700"/>
        <v>SISTEMA DE GERENCIAMENTO AMBULATORIAL</v>
      </c>
      <c r="C8456" s="2" t="str">
        <f t="shared" si="701"/>
        <v>ATEND</v>
      </c>
      <c r="D8456" s="2" t="str">
        <f t="shared" si="702"/>
        <v>PARA</v>
      </c>
      <c r="E8456" s="2" t="str">
        <f>"REL PROD AMB. SERVICO X FAIXA - AGENDADO"</f>
        <v>REL PROD AMB. SERVICO X FAIXA - AGENDADO</v>
      </c>
      <c r="F8456" s="2" t="str">
        <f>"R_EST_SERVICO_FAIXA_AGENDA"</f>
        <v>R_EST_SERVICO_FAIXA_AGENDA</v>
      </c>
      <c r="G8456" s="2" t="str">
        <f t="shared" si="699"/>
        <v xml:space="preserve"> ()</v>
      </c>
    </row>
    <row r="8457" spans="1:7" x14ac:dyDescent="0.3">
      <c r="A8457" s="1" t="s">
        <v>4</v>
      </c>
      <c r="B8457" s="2" t="str">
        <f t="shared" si="700"/>
        <v>SISTEMA DE GERENCIAMENTO AMBULATORIAL</v>
      </c>
      <c r="C8457" s="2" t="str">
        <f t="shared" si="701"/>
        <v>ATEND</v>
      </c>
      <c r="D8457" s="2" t="str">
        <f t="shared" si="702"/>
        <v>PARA</v>
      </c>
      <c r="E8457" s="2" t="str">
        <f>"REL. DE AGEND SERVIÇO X UNIDADE REGIONAL"</f>
        <v>REL. DE AGEND SERVIÇO X UNIDADE REGIONAL</v>
      </c>
      <c r="F8457" s="2" t="str">
        <f>"R_PLAN_AGD_SRV_UNID.RDF"</f>
        <v>R_PLAN_AGD_SRV_UNID.RDF</v>
      </c>
      <c r="G8457" s="2" t="str">
        <f t="shared" si="699"/>
        <v xml:space="preserve"> ()</v>
      </c>
    </row>
    <row r="8458" spans="1:7" x14ac:dyDescent="0.3">
      <c r="A8458" s="1" t="s">
        <v>4</v>
      </c>
      <c r="B8458" s="2" t="str">
        <f t="shared" si="700"/>
        <v>SISTEMA DE GERENCIAMENTO AMBULATORIAL</v>
      </c>
      <c r="C8458" s="2" t="str">
        <f t="shared" si="701"/>
        <v>ATEND</v>
      </c>
      <c r="D8458" s="2" t="str">
        <f t="shared" si="702"/>
        <v>PARA</v>
      </c>
      <c r="E8458" s="2" t="str">
        <f>"R_ABS_SER_DIS1"</f>
        <v>R_ABS_SER_DIS1</v>
      </c>
      <c r="F8458" s="2" t="str">
        <f>"R_ABS_SER_DIS1"</f>
        <v>R_ABS_SER_DIS1</v>
      </c>
      <c r="G8458" s="2" t="str">
        <f t="shared" si="699"/>
        <v xml:space="preserve"> ()</v>
      </c>
    </row>
    <row r="8459" spans="1:7" x14ac:dyDescent="0.3">
      <c r="A8459" s="1" t="s">
        <v>4</v>
      </c>
      <c r="B8459" s="2" t="str">
        <f t="shared" si="700"/>
        <v>SISTEMA DE GERENCIAMENTO AMBULATORIAL</v>
      </c>
      <c r="C8459" s="2" t="str">
        <f t="shared" si="701"/>
        <v>ATEND</v>
      </c>
      <c r="D8459" s="2" t="str">
        <f t="shared" si="702"/>
        <v>PARA</v>
      </c>
      <c r="E8459" s="2" t="str">
        <f>"REL. EST. ATEND. X SERVIÇO X CONVÊNIO"</f>
        <v>REL. EST. ATEND. X SERVIÇO X CONVÊNIO</v>
      </c>
      <c r="F8459" s="2" t="str">
        <f>"R_SECO"</f>
        <v>R_SECO</v>
      </c>
      <c r="G8459" s="2" t="str">
        <f>"Atendimento / Ambulatório / Relatórios / Estatísticos / Atendimentos por Serviço x Convênio (R_SECO)"</f>
        <v>Atendimento / Ambulatório / Relatórios / Estatísticos / Atendimentos por Serviço x Convênio (R_SECO)</v>
      </c>
    </row>
    <row r="8460" spans="1:7" x14ac:dyDescent="0.3">
      <c r="A8460" s="1" t="s">
        <v>4</v>
      </c>
      <c r="B8460" s="2" t="str">
        <f t="shared" si="700"/>
        <v>SISTEMA DE GERENCIAMENTO AMBULATORIAL</v>
      </c>
      <c r="C8460" s="2" t="str">
        <f t="shared" si="701"/>
        <v>ATEND</v>
      </c>
      <c r="D8460" s="2" t="str">
        <f t="shared" si="702"/>
        <v>PARA</v>
      </c>
      <c r="E8460" s="2" t="str">
        <f>"REL. EST. ATEND. X SERVIÇO X CONVÊNIO"</f>
        <v>REL. EST. ATEND. X SERVIÇO X CONVÊNIO</v>
      </c>
      <c r="F8460" s="2" t="str">
        <f>"R_SECO"</f>
        <v>R_SECO</v>
      </c>
      <c r="G8460" s="2" t="str">
        <f>"Outros / Fusam / Relatórios / Estatísticos / Atendimentos por Serviço x Convênio (R_SECO)"</f>
        <v>Outros / Fusam / Relatórios / Estatísticos / Atendimentos por Serviço x Convênio (R_SECO)</v>
      </c>
    </row>
    <row r="8461" spans="1:7" x14ac:dyDescent="0.3">
      <c r="A8461" s="1" t="s">
        <v>4</v>
      </c>
      <c r="B8461" s="2" t="str">
        <f t="shared" si="700"/>
        <v>SISTEMA DE GERENCIAMENTO AMBULATORIAL</v>
      </c>
      <c r="C8461" s="2" t="str">
        <f t="shared" si="701"/>
        <v>ATEND</v>
      </c>
      <c r="D8461" s="2" t="str">
        <f t="shared" si="702"/>
        <v>PARA</v>
      </c>
      <c r="E8461" s="2" t="str">
        <f>"MARCAÇÃO POR PROCEDIMENTO"</f>
        <v>MARCAÇÃO POR PROCEDIMENTO</v>
      </c>
      <c r="F8461" s="2" t="str">
        <f>"M_AGENDA_POR_PROCED"</f>
        <v>M_AGENDA_POR_PROCED</v>
      </c>
      <c r="G8461" s="2" t="str">
        <f>" ()"</f>
        <v xml:space="preserve"> ()</v>
      </c>
    </row>
    <row r="8462" spans="1:7" x14ac:dyDescent="0.3">
      <c r="A8462" s="1" t="s">
        <v>4</v>
      </c>
      <c r="B8462" s="2" t="str">
        <f t="shared" si="700"/>
        <v>SISTEMA DE GERENCIAMENTO AMBULATORIAL</v>
      </c>
      <c r="C8462" s="2" t="str">
        <f t="shared" si="701"/>
        <v>ATEND</v>
      </c>
      <c r="D8462" s="2" t="str">
        <f t="shared" si="702"/>
        <v>PARA</v>
      </c>
      <c r="E8462" s="2" t="str">
        <f>"AGENDAR CIRURGIA"</f>
        <v>AGENDAR CIRURGIA</v>
      </c>
      <c r="F8462" s="2" t="str">
        <f>"M_AGENDACIRU"</f>
        <v>M_AGENDACIRU</v>
      </c>
      <c r="G8462" s="2" t="str">
        <f>" ()"</f>
        <v xml:space="preserve"> ()</v>
      </c>
    </row>
    <row r="8463" spans="1:7" x14ac:dyDescent="0.3">
      <c r="A8463" s="1" t="s">
        <v>4</v>
      </c>
      <c r="B8463" s="2" t="str">
        <f t="shared" si="700"/>
        <v>SISTEMA DE GERENCIAMENTO AMBULATORIAL</v>
      </c>
      <c r="C8463" s="2" t="str">
        <f t="shared" si="701"/>
        <v>ATEND</v>
      </c>
      <c r="D8463" s="2" t="str">
        <f t="shared" si="702"/>
        <v>PARA</v>
      </c>
      <c r="E8463" s="2" t="str">
        <f>"Sessões Realizadas"</f>
        <v>Sessões Realizadas</v>
      </c>
      <c r="F8463" s="2" t="str">
        <f>"R_SESSOES_REALIZADAS"</f>
        <v>R_SESSOES_REALIZADAS</v>
      </c>
      <c r="G8463" s="2" t="str">
        <f>"Atendimento / Ambulatório / Relatórios / SUS / Sessões Realizadas (R_SESSOES_REALIZADAS)"</f>
        <v>Atendimento / Ambulatório / Relatórios / SUS / Sessões Realizadas (R_SESSOES_REALIZADAS)</v>
      </c>
    </row>
    <row r="8464" spans="1:7" x14ac:dyDescent="0.3">
      <c r="A8464" s="1" t="s">
        <v>4</v>
      </c>
      <c r="B8464" s="2" t="str">
        <f t="shared" si="700"/>
        <v>SISTEMA DE GERENCIAMENTO AMBULATORIAL</v>
      </c>
      <c r="C8464" s="2" t="str">
        <f t="shared" si="701"/>
        <v>ATEND</v>
      </c>
      <c r="D8464" s="2" t="str">
        <f t="shared" si="702"/>
        <v>PARA</v>
      </c>
      <c r="E8464" s="2" t="str">
        <f>"EXCLUSÃO DE ATENDIMENTOS EM LOTE"</f>
        <v>EXCLUSÃO DE ATENDIMENTOS EM LOTE</v>
      </c>
      <c r="F8464" s="2" t="str">
        <f>"EXCL_ATE_LOT"</f>
        <v>EXCL_ATE_LOT</v>
      </c>
      <c r="G8464" s="2" t="str">
        <f>"Atendimento / Ambulatório / Atendimentos / Exclusão / Atendimento em Lote (EXCL_ATE_LOT)"</f>
        <v>Atendimento / Ambulatório / Atendimentos / Exclusão / Atendimento em Lote (EXCL_ATE_LOT)</v>
      </c>
    </row>
    <row r="8465" spans="1:7" x14ac:dyDescent="0.3">
      <c r="A8465" s="1" t="s">
        <v>4</v>
      </c>
      <c r="B8465" s="2" t="str">
        <f t="shared" si="700"/>
        <v>SISTEMA DE GERENCIAMENTO AMBULATORIAL</v>
      </c>
      <c r="C8465" s="2" t="str">
        <f t="shared" si="701"/>
        <v>ATEND</v>
      </c>
      <c r="D8465" s="2" t="str">
        <f t="shared" si="702"/>
        <v>PARA</v>
      </c>
      <c r="E8465" s="2" t="str">
        <f>"REL.ESTAT  CONSULTAS FATURADASX NAO FATU"</f>
        <v>REL.ESTAT  CONSULTAS FATURADASX NAO FATU</v>
      </c>
      <c r="F8465" s="2" t="str">
        <f>"R_EST_CON_FAT"</f>
        <v>R_EST_CON_FAT</v>
      </c>
      <c r="G8465" s="2" t="str">
        <f>" ()"</f>
        <v xml:space="preserve"> ()</v>
      </c>
    </row>
    <row r="8466" spans="1:7" x14ac:dyDescent="0.3">
      <c r="A8466" s="1" t="s">
        <v>4</v>
      </c>
      <c r="B8466" s="2" t="str">
        <f t="shared" si="700"/>
        <v>SISTEMA DE GERENCIAMENTO AMBULATORIAL</v>
      </c>
      <c r="C8466" s="2" t="str">
        <f t="shared" si="701"/>
        <v>ATEND</v>
      </c>
      <c r="D8466" s="2" t="str">
        <f t="shared" si="702"/>
        <v>PARA</v>
      </c>
      <c r="E8466" s="2" t="str">
        <f>"REL ESTAT. DE AGENDAMENTO PO ENCAIXE"</f>
        <v>REL ESTAT. DE AGENDAMENTO PO ENCAIXE</v>
      </c>
      <c r="F8466" s="2" t="str">
        <f>"R_EST_ENCAIXE"</f>
        <v>R_EST_ENCAIXE</v>
      </c>
      <c r="G8466" s="2" t="str">
        <f>"Atendimento / Ambulatório / Relatórios / Estatísticos / Atendimentos por Encaixes (R_EST_ENCAIXE)"</f>
        <v>Atendimento / Ambulatório / Relatórios / Estatísticos / Atendimentos por Encaixes (R_EST_ENCAIXE)</v>
      </c>
    </row>
    <row r="8467" spans="1:7" x14ac:dyDescent="0.3">
      <c r="A8467" s="1" t="s">
        <v>4</v>
      </c>
      <c r="B8467" s="2" t="str">
        <f t="shared" si="700"/>
        <v>SISTEMA DE GERENCIAMENTO AMBULATORIAL</v>
      </c>
      <c r="C8467" s="2" t="str">
        <f t="shared" si="701"/>
        <v>ATEND</v>
      </c>
      <c r="D8467" s="2" t="str">
        <f t="shared" si="702"/>
        <v>PARA</v>
      </c>
      <c r="E8467" s="2" t="str">
        <f>"GRAFICO DE BARRAS DO PARA PARA HORAS"</f>
        <v>GRAFICO DE BARRAS DO PARA PARA HORAS</v>
      </c>
      <c r="F8467" s="2" t="str">
        <f>"G_BARRA_PARA_HORA"</f>
        <v>G_BARRA_PARA_HORA</v>
      </c>
      <c r="G8467" s="2" t="str">
        <f>" ()"</f>
        <v xml:space="preserve"> ()</v>
      </c>
    </row>
    <row r="8468" spans="1:7" x14ac:dyDescent="0.3">
      <c r="A8468" s="1" t="s">
        <v>4</v>
      </c>
      <c r="B8468" s="2" t="str">
        <f t="shared" si="700"/>
        <v>SISTEMA DE GERENCIAMENTO AMBULATORIAL</v>
      </c>
      <c r="C8468" s="2" t="str">
        <f t="shared" si="701"/>
        <v>ATEND</v>
      </c>
      <c r="D8468" s="2" t="str">
        <f t="shared" si="702"/>
        <v>PARA</v>
      </c>
      <c r="E8468" s="2" t="str">
        <f>"MODELO DE GRAFICO EM BARRAS DO PARA"</f>
        <v>MODELO DE GRAFICO EM BARRAS DO PARA</v>
      </c>
      <c r="F8468" s="2" t="str">
        <f>"G_BARRA_PARA"</f>
        <v>G_BARRA_PARA</v>
      </c>
      <c r="G8468" s="2" t="str">
        <f>" ()"</f>
        <v xml:space="preserve"> ()</v>
      </c>
    </row>
    <row r="8469" spans="1:7" x14ac:dyDescent="0.3">
      <c r="A8469" s="1" t="s">
        <v>4</v>
      </c>
      <c r="B8469" s="2" t="str">
        <f t="shared" si="700"/>
        <v>SISTEMA DE GERENCIAMENTO AMBULATORIAL</v>
      </c>
      <c r="C8469" s="2" t="str">
        <f t="shared" si="701"/>
        <v>ATEND</v>
      </c>
      <c r="D8469" s="2" t="str">
        <f t="shared" si="702"/>
        <v>PARA</v>
      </c>
      <c r="E8469" s="2" t="str">
        <f>"GRAFICO DE ATENDIMENTOS POR HORA"</f>
        <v>GRAFICO DE ATENDIMENTOS POR HORA</v>
      </c>
      <c r="F8469" s="2" t="str">
        <f>"R_GRAFICO_ATEND_HORA"</f>
        <v>R_GRAFICO_ATEND_HORA</v>
      </c>
      <c r="G8469" s="2" t="str">
        <f>"Atendimento / Urgência e Emergência / Relatórios / Gráficos / Atendimentos por Hora (R_GRAFICO_ATEND_HORA)"</f>
        <v>Atendimento / Urgência e Emergência / Relatórios / Gráficos / Atendimentos por Hora (R_GRAFICO_ATEND_HORA)</v>
      </c>
    </row>
    <row r="8470" spans="1:7" x14ac:dyDescent="0.3">
      <c r="A8470" s="1" t="s">
        <v>4</v>
      </c>
      <c r="B8470" s="2" t="str">
        <f t="shared" si="700"/>
        <v>SISTEMA DE GERENCIAMENTO AMBULATORIAL</v>
      </c>
      <c r="C8470" s="2" t="str">
        <f t="shared" si="701"/>
        <v>ATEND</v>
      </c>
      <c r="D8470" s="2" t="str">
        <f t="shared" si="702"/>
        <v>PARA</v>
      </c>
      <c r="E8470" s="2" t="str">
        <f>"GRAFICO DE ATENDIMENTOS POR HORA"</f>
        <v>GRAFICO DE ATENDIMENTOS POR HORA</v>
      </c>
      <c r="F8470" s="2" t="str">
        <f>"R_GRAFICO_ATEND_HORA"</f>
        <v>R_GRAFICO_ATEND_HORA</v>
      </c>
      <c r="G8470" s="2" t="str">
        <f>"Diagnóstico e Terapia / Laboratório de Análises Clínicas / Relatórios / Gráficos / Atendimentos por Hora (R_GRAFICO_ATEND_HORA)"</f>
        <v>Diagnóstico e Terapia / Laboratório de Análises Clínicas / Relatórios / Gráficos / Atendimentos por Hora (R_GRAFICO_ATEND_HORA)</v>
      </c>
    </row>
    <row r="8471" spans="1:7" x14ac:dyDescent="0.3">
      <c r="A8471" s="1" t="s">
        <v>4</v>
      </c>
      <c r="B8471" s="2" t="str">
        <f t="shared" si="700"/>
        <v>SISTEMA DE GERENCIAMENTO AMBULATORIAL</v>
      </c>
      <c r="C8471" s="2" t="str">
        <f t="shared" si="701"/>
        <v>ATEND</v>
      </c>
      <c r="D8471" s="2" t="str">
        <f t="shared" si="702"/>
        <v>PARA</v>
      </c>
      <c r="E8471" s="2" t="str">
        <f>"GRAFICO DE ATENDIMENTOS POR HORA"</f>
        <v>GRAFICO DE ATENDIMENTOS POR HORA</v>
      </c>
      <c r="F8471" s="2" t="str">
        <f>"R_GRAFICO_ATEND_HORA"</f>
        <v>R_GRAFICO_ATEND_HORA</v>
      </c>
      <c r="G8471" s="2" t="str">
        <f>"Atendimento / Ambulatório / Relatórios / Gráficos / Atendimentos por Hora (R_GRAFICO_ATEND_HORA)"</f>
        <v>Atendimento / Ambulatório / Relatórios / Gráficos / Atendimentos por Hora (R_GRAFICO_ATEND_HORA)</v>
      </c>
    </row>
    <row r="8472" spans="1:7" x14ac:dyDescent="0.3">
      <c r="A8472" s="1" t="s">
        <v>4</v>
      </c>
      <c r="B8472" s="2" t="str">
        <f t="shared" si="700"/>
        <v>SISTEMA DE GERENCIAMENTO AMBULATORIAL</v>
      </c>
      <c r="C8472" s="2" t="str">
        <f t="shared" si="701"/>
        <v>ATEND</v>
      </c>
      <c r="D8472" s="2" t="str">
        <f t="shared" si="702"/>
        <v>PARA</v>
      </c>
      <c r="E8472" s="2" t="str">
        <f>"GRAFICO DE ATENDIMENTOS POR HORA"</f>
        <v>GRAFICO DE ATENDIMENTOS POR HORA</v>
      </c>
      <c r="F8472" s="2" t="str">
        <f>"R_GRAFICO_ATEND_HORA"</f>
        <v>R_GRAFICO_ATEND_HORA</v>
      </c>
      <c r="G8472" s="2" t="str">
        <f>"Diagnóstico e Terapia / Diagnóstico por Imagem / Relatórios / Gráficos / Atendimento por Hora (R_GRAFICO_ATEND_HORA)"</f>
        <v>Diagnóstico e Terapia / Diagnóstico por Imagem / Relatórios / Gráficos / Atendimento por Hora (R_GRAFICO_ATEND_HORA)</v>
      </c>
    </row>
    <row r="8473" spans="1:7" x14ac:dyDescent="0.3">
      <c r="A8473" s="1" t="s">
        <v>4</v>
      </c>
      <c r="B8473" s="2" t="str">
        <f t="shared" si="700"/>
        <v>SISTEMA DE GERENCIAMENTO AMBULATORIAL</v>
      </c>
      <c r="C8473" s="2" t="str">
        <f t="shared" si="701"/>
        <v>ATEND</v>
      </c>
      <c r="D8473" s="2" t="str">
        <f t="shared" si="702"/>
        <v>PARA</v>
      </c>
      <c r="E8473" s="2" t="str">
        <f>"GRAFICO DE ATENDIMENTOS POR HORA"</f>
        <v>GRAFICO DE ATENDIMENTOS POR HORA</v>
      </c>
      <c r="F8473" s="2" t="str">
        <f>"R_GRAFICO_ATEND_HORA"</f>
        <v>R_GRAFICO_ATEND_HORA</v>
      </c>
      <c r="G8473" s="2" t="str">
        <f>"Outros / Fusam / Relatórios / Gráficos / Atendimentos por Hora (R_GRAFICO_ATEND_HORA)"</f>
        <v>Outros / Fusam / Relatórios / Gráficos / Atendimentos por Hora (R_GRAFICO_ATEND_HORA)</v>
      </c>
    </row>
    <row r="8474" spans="1:7" x14ac:dyDescent="0.3">
      <c r="A8474" s="1" t="s">
        <v>4</v>
      </c>
      <c r="B8474" s="2" t="str">
        <f t="shared" si="700"/>
        <v>SISTEMA DE GERENCIAMENTO AMBULATORIAL</v>
      </c>
      <c r="C8474" s="2" t="str">
        <f t="shared" si="701"/>
        <v>ATEND</v>
      </c>
      <c r="D8474" s="2" t="str">
        <f t="shared" si="702"/>
        <v>PARA</v>
      </c>
      <c r="E8474" s="2" t="str">
        <f>"GRAFICO DE ATENDIMENTOS POR DIA"</f>
        <v>GRAFICO DE ATENDIMENTOS POR DIA</v>
      </c>
      <c r="F8474" s="2" t="str">
        <f>"R_GRAFICO_ATEND_DIA"</f>
        <v>R_GRAFICO_ATEND_DIA</v>
      </c>
      <c r="G8474" s="2" t="str">
        <f>"Atendimento / Urgência e Emergência / Relatórios / Gráficos / Atendimentos por Dia (R_GRAFICO_ATEND_DIA)"</f>
        <v>Atendimento / Urgência e Emergência / Relatórios / Gráficos / Atendimentos por Dia (R_GRAFICO_ATEND_DIA)</v>
      </c>
    </row>
    <row r="8475" spans="1:7" x14ac:dyDescent="0.3">
      <c r="A8475" s="1" t="s">
        <v>4</v>
      </c>
      <c r="B8475" s="2" t="str">
        <f t="shared" si="700"/>
        <v>SISTEMA DE GERENCIAMENTO AMBULATORIAL</v>
      </c>
      <c r="C8475" s="2" t="str">
        <f t="shared" si="701"/>
        <v>ATEND</v>
      </c>
      <c r="D8475" s="2" t="str">
        <f t="shared" si="702"/>
        <v>PARA</v>
      </c>
      <c r="E8475" s="2" t="str">
        <f>"GRAFICO DE ATENDIMENTOS POR DIA"</f>
        <v>GRAFICO DE ATENDIMENTOS POR DIA</v>
      </c>
      <c r="F8475" s="2" t="str">
        <f>"R_GRAFICO_ATEND_DIA"</f>
        <v>R_GRAFICO_ATEND_DIA</v>
      </c>
      <c r="G8475" s="2" t="str">
        <f>"Diagnóstico e Terapia / Laboratório de Análises Clínicas / Relatórios / Gráficos / Atendimentos por Dia (R_GRAFICO_ATEND_DIA)"</f>
        <v>Diagnóstico e Terapia / Laboratório de Análises Clínicas / Relatórios / Gráficos / Atendimentos por Dia (R_GRAFICO_ATEND_DIA)</v>
      </c>
    </row>
    <row r="8476" spans="1:7" x14ac:dyDescent="0.3">
      <c r="A8476" s="1" t="s">
        <v>4</v>
      </c>
      <c r="B8476" s="2" t="str">
        <f t="shared" si="700"/>
        <v>SISTEMA DE GERENCIAMENTO AMBULATORIAL</v>
      </c>
      <c r="C8476" s="2" t="str">
        <f t="shared" si="701"/>
        <v>ATEND</v>
      </c>
      <c r="D8476" s="2" t="str">
        <f t="shared" si="702"/>
        <v>PARA</v>
      </c>
      <c r="E8476" s="2" t="str">
        <f>"GRAFICO DE ATENDIMENTOS POR DIA"</f>
        <v>GRAFICO DE ATENDIMENTOS POR DIA</v>
      </c>
      <c r="F8476" s="2" t="str">
        <f>"R_GRAFICO_ATEND_DIA"</f>
        <v>R_GRAFICO_ATEND_DIA</v>
      </c>
      <c r="G8476" s="2" t="str">
        <f>"Atendimento / Ambulatório / Relatórios / Gráficos / Atendimentos por Dia (R_GRAFICO_ATEND_DIA)"</f>
        <v>Atendimento / Ambulatório / Relatórios / Gráficos / Atendimentos por Dia (R_GRAFICO_ATEND_DIA)</v>
      </c>
    </row>
    <row r="8477" spans="1:7" x14ac:dyDescent="0.3">
      <c r="A8477" s="1" t="s">
        <v>4</v>
      </c>
      <c r="B8477" s="2" t="str">
        <f t="shared" si="700"/>
        <v>SISTEMA DE GERENCIAMENTO AMBULATORIAL</v>
      </c>
      <c r="C8477" s="2" t="str">
        <f t="shared" si="701"/>
        <v>ATEND</v>
      </c>
      <c r="D8477" s="2" t="str">
        <f t="shared" si="702"/>
        <v>PARA</v>
      </c>
      <c r="E8477" s="2" t="str">
        <f>"GRAFICO DE ATENDIMENTOS POR DIA"</f>
        <v>GRAFICO DE ATENDIMENTOS POR DIA</v>
      </c>
      <c r="F8477" s="2" t="str">
        <f>"R_GRAFICO_ATEND_DIA"</f>
        <v>R_GRAFICO_ATEND_DIA</v>
      </c>
      <c r="G8477" s="2" t="str">
        <f>"Diagnóstico e Terapia / Diagnóstico por Imagem / Relatórios / Gráficos / Atendimento por Dia (R_GRAFICO_ATEND_DIA)"</f>
        <v>Diagnóstico e Terapia / Diagnóstico por Imagem / Relatórios / Gráficos / Atendimento por Dia (R_GRAFICO_ATEND_DIA)</v>
      </c>
    </row>
    <row r="8478" spans="1:7" x14ac:dyDescent="0.3">
      <c r="A8478" s="1" t="s">
        <v>4</v>
      </c>
      <c r="B8478" s="2" t="str">
        <f t="shared" si="700"/>
        <v>SISTEMA DE GERENCIAMENTO AMBULATORIAL</v>
      </c>
      <c r="C8478" s="2" t="str">
        <f t="shared" si="701"/>
        <v>ATEND</v>
      </c>
      <c r="D8478" s="2" t="str">
        <f t="shared" si="702"/>
        <v>PARA</v>
      </c>
      <c r="E8478" s="2" t="str">
        <f>"GRAFICO DE ATENDIMENTOS POR DIA"</f>
        <v>GRAFICO DE ATENDIMENTOS POR DIA</v>
      </c>
      <c r="F8478" s="2" t="str">
        <f>"R_GRAFICO_ATEND_DIA"</f>
        <v>R_GRAFICO_ATEND_DIA</v>
      </c>
      <c r="G8478" s="2" t="str">
        <f>"Outros / Fusam / Relatórios / Gráficos / Atendimentos por Dia (R_GRAFICO_ATEND_DIA)"</f>
        <v>Outros / Fusam / Relatórios / Gráficos / Atendimentos por Dia (R_GRAFICO_ATEND_DIA)</v>
      </c>
    </row>
    <row r="8479" spans="1:7" x14ac:dyDescent="0.3">
      <c r="A8479" s="1" t="s">
        <v>4</v>
      </c>
      <c r="B8479" s="2" t="str">
        <f t="shared" si="700"/>
        <v>SISTEMA DE GERENCIAMENTO AMBULATORIAL</v>
      </c>
      <c r="C8479" s="2" t="str">
        <f t="shared" si="701"/>
        <v>ATEND</v>
      </c>
      <c r="D8479" s="2" t="str">
        <f t="shared" si="702"/>
        <v>PARA</v>
      </c>
      <c r="E8479" s="2" t="str">
        <f>"CONFIG. INTERLIGAÇÃO HSCG X MV2000"</f>
        <v>CONFIG. INTERLIGAÇÃO HSCG X MV2000</v>
      </c>
      <c r="F8479" s="2" t="str">
        <f>"M_CONF_PARA_1302"</f>
        <v>M_CONF_PARA_1302</v>
      </c>
      <c r="G8479" s="2" t="str">
        <f>" ()"</f>
        <v xml:space="preserve"> ()</v>
      </c>
    </row>
    <row r="8480" spans="1:7" x14ac:dyDescent="0.3">
      <c r="A8480" s="1" t="s">
        <v>4</v>
      </c>
      <c r="B8480" s="2" t="str">
        <f t="shared" si="700"/>
        <v>SISTEMA DE GERENCIAMENTO AMBULATORIAL</v>
      </c>
      <c r="C8480" s="2" t="str">
        <f t="shared" si="701"/>
        <v>ATEND</v>
      </c>
      <c r="D8480" s="2" t="str">
        <f t="shared" si="702"/>
        <v>PARA</v>
      </c>
      <c r="E8480" s="2" t="str">
        <f>"M_IMPORTA_1302"</f>
        <v>M_IMPORTA_1302</v>
      </c>
      <c r="F8480" s="2" t="str">
        <f>"M_IMPORTA_1302"</f>
        <v>M_IMPORTA_1302</v>
      </c>
      <c r="G8480" s="2" t="str">
        <f>" ()"</f>
        <v xml:space="preserve"> ()</v>
      </c>
    </row>
    <row r="8481" spans="1:7" x14ac:dyDescent="0.3">
      <c r="A8481" s="1" t="s">
        <v>4</v>
      </c>
      <c r="B8481" s="2" t="str">
        <f t="shared" si="700"/>
        <v>SISTEMA DE GERENCIAMENTO AMBULATORIAL</v>
      </c>
      <c r="C8481" s="2" t="str">
        <f t="shared" si="701"/>
        <v>ATEND</v>
      </c>
      <c r="D8481" s="2" t="str">
        <f t="shared" si="702"/>
        <v>PARA</v>
      </c>
      <c r="E8481" s="2" t="str">
        <f>"REL DE ETIQUETAS DO AMBULATORIO"</f>
        <v>REL DE ETIQUETAS DO AMBULATORIO</v>
      </c>
      <c r="F8481" s="2" t="str">
        <f>"R_ETIQUETA_AMB755"</f>
        <v>R_ETIQUETA_AMB755</v>
      </c>
      <c r="G8481" s="2" t="str">
        <f>" ()"</f>
        <v xml:space="preserve"> ()</v>
      </c>
    </row>
    <row r="8482" spans="1:7" x14ac:dyDescent="0.3">
      <c r="A8482" s="1" t="s">
        <v>4</v>
      </c>
      <c r="B8482" s="2" t="str">
        <f t="shared" si="700"/>
        <v>SISTEMA DE GERENCIAMENTO AMBULATORIAL</v>
      </c>
      <c r="C8482" s="2" t="str">
        <f t="shared" si="701"/>
        <v>ATEND</v>
      </c>
      <c r="D8482" s="2" t="str">
        <f t="shared" si="702"/>
        <v>PARA</v>
      </c>
      <c r="E8482" s="2" t="str">
        <f>"Procedimentos por Tipo de Atendimento"</f>
        <v>Procedimentos por Tipo de Atendimento</v>
      </c>
      <c r="F8482" s="2" t="str">
        <f>"R_PROCEDIMENTOS_ATENDIMENTOS"</f>
        <v>R_PROCEDIMENTOS_ATENDIMENTOS</v>
      </c>
      <c r="G8482" s="2" t="str">
        <f>"Atendimento / Ambulatório / Relatórios / SUS / Procedimentos por Tipo de Atendimento (R_PROCEDIMENTOS_ATENDIMENTOS)"</f>
        <v>Atendimento / Ambulatório / Relatórios / SUS / Procedimentos por Tipo de Atendimento (R_PROCEDIMENTOS_ATENDIMENTOS)</v>
      </c>
    </row>
    <row r="8483" spans="1:7" x14ac:dyDescent="0.3">
      <c r="A8483" s="1" t="s">
        <v>4</v>
      </c>
      <c r="B8483" s="2" t="str">
        <f t="shared" si="700"/>
        <v>SISTEMA DE GERENCIAMENTO AMBULATORIAL</v>
      </c>
      <c r="C8483" s="2" t="str">
        <f t="shared" si="701"/>
        <v>ATEND</v>
      </c>
      <c r="D8483" s="2" t="str">
        <f t="shared" si="702"/>
        <v>PARA</v>
      </c>
      <c r="E8483" s="2" t="str">
        <f>"AGENDAMENTO DE CONSULTAS"</f>
        <v>AGENDAMENTO DE CONSULTAS</v>
      </c>
      <c r="F8483" s="2" t="str">
        <f>"CONSULTORIO"</f>
        <v>CONSULTORIO</v>
      </c>
      <c r="G8483" s="2" t="str">
        <f>"Outros / Fusam / Atendimentos / Consultório (CONSULTORIO)"</f>
        <v>Outros / Fusam / Atendimentos / Consultório (CONSULTORIO)</v>
      </c>
    </row>
    <row r="8484" spans="1:7" x14ac:dyDescent="0.3">
      <c r="A8484" s="1" t="s">
        <v>4</v>
      </c>
      <c r="B8484" s="2" t="str">
        <f t="shared" si="700"/>
        <v>SISTEMA DE GERENCIAMENTO AMBULATORIAL</v>
      </c>
      <c r="C8484" s="2" t="str">
        <f t="shared" si="701"/>
        <v>ATEND</v>
      </c>
      <c r="D8484" s="2" t="str">
        <f t="shared" si="702"/>
        <v>PARA</v>
      </c>
      <c r="E8484" s="2" t="str">
        <f>"Nº DE ATENDIMENTOS X HORA"</f>
        <v>Nº DE ATENDIMENTOS X HORA</v>
      </c>
      <c r="F8484" s="2" t="str">
        <f>"C_ATEND_POR_HORA"</f>
        <v>C_ATEND_POR_HORA</v>
      </c>
      <c r="G8484" s="2" t="str">
        <f>" ()"</f>
        <v xml:space="preserve"> ()</v>
      </c>
    </row>
    <row r="8485" spans="1:7" x14ac:dyDescent="0.3">
      <c r="A8485" s="1" t="s">
        <v>4</v>
      </c>
      <c r="B8485" s="2" t="str">
        <f t="shared" si="700"/>
        <v>SISTEMA DE GERENCIAMENTO AMBULATORIAL</v>
      </c>
      <c r="C8485" s="2" t="str">
        <f t="shared" si="701"/>
        <v>ATEND</v>
      </c>
      <c r="D8485" s="2" t="str">
        <f t="shared" si="702"/>
        <v>PARA</v>
      </c>
      <c r="E8485" s="2" t="str">
        <f>"CENTRAL DE AGENDAMENTO"</f>
        <v>CENTRAL DE AGENDAMENTO</v>
      </c>
      <c r="F8485" s="2" t="str">
        <f>"M_CENTRAL"</f>
        <v>M_CENTRAL</v>
      </c>
      <c r="G8485" s="2" t="str">
        <f>" ()"</f>
        <v xml:space="preserve"> ()</v>
      </c>
    </row>
    <row r="8486" spans="1:7" x14ac:dyDescent="0.3">
      <c r="A8486" s="1" t="s">
        <v>4</v>
      </c>
      <c r="B8486" s="2" t="str">
        <f t="shared" si="700"/>
        <v>SISTEMA DE GERENCIAMENTO AMBULATORIAL</v>
      </c>
      <c r="C8486" s="2" t="str">
        <f t="shared" si="701"/>
        <v>ATEND</v>
      </c>
      <c r="D8486" s="2" t="str">
        <f t="shared" si="702"/>
        <v>PARA</v>
      </c>
      <c r="E8486" s="2" t="str">
        <f>"REL DE CONSULTAS ATENDIDAS X FATURADAS"</f>
        <v>REL DE CONSULTAS ATENDIDAS X FATURADAS</v>
      </c>
      <c r="F8486" s="2" t="str">
        <f>"R_ATENDIDA_FATURADA_SERV"</f>
        <v>R_ATENDIDA_FATURADA_SERV</v>
      </c>
      <c r="G8486" s="2" t="str">
        <f>"Atendimento / Ambulatório / Relatórios / Estatísticos / Consultas Atendidas X Faturadas por Serviço (R_ATENDIDA_FATURADA_SERV)"</f>
        <v>Atendimento / Ambulatório / Relatórios / Estatísticos / Consultas Atendidas X Faturadas por Serviço (R_ATENDIDA_FATURADA_SERV)</v>
      </c>
    </row>
    <row r="8487" spans="1:7" x14ac:dyDescent="0.3">
      <c r="A8487" s="1" t="s">
        <v>4</v>
      </c>
      <c r="B8487" s="2" t="str">
        <f t="shared" si="700"/>
        <v>SISTEMA DE GERENCIAMENTO AMBULATORIAL</v>
      </c>
      <c r="C8487" s="2" t="str">
        <f t="shared" si="701"/>
        <v>ATEND</v>
      </c>
      <c r="D8487" s="2" t="str">
        <f t="shared" si="702"/>
        <v>PARA</v>
      </c>
      <c r="E8487" s="2" t="str">
        <f>"REL DE CONSULTAS ATENDIDAS X FATURADAS"</f>
        <v>REL DE CONSULTAS ATENDIDAS X FATURADAS</v>
      </c>
      <c r="F8487" s="2" t="str">
        <f>"R_ATENDIDA_FATURADA_PREST"</f>
        <v>R_ATENDIDA_FATURADA_PREST</v>
      </c>
      <c r="G8487" s="2" t="str">
        <f>"Atendimento / Ambulatório / Relatórios / Estatísticos / Consultas Atendidas X Faturadas por Prestador (R_ATENDIDA_FATURADA_PREST)"</f>
        <v>Atendimento / Ambulatório / Relatórios / Estatísticos / Consultas Atendidas X Faturadas por Prestador (R_ATENDIDA_FATURADA_PREST)</v>
      </c>
    </row>
    <row r="8488" spans="1:7" x14ac:dyDescent="0.3">
      <c r="A8488" s="1" t="s">
        <v>4</v>
      </c>
      <c r="B8488" s="2" t="str">
        <f t="shared" si="700"/>
        <v>SISTEMA DE GERENCIAMENTO AMBULATORIAL</v>
      </c>
      <c r="C8488" s="2" t="str">
        <f t="shared" si="701"/>
        <v>ATEND</v>
      </c>
      <c r="D8488" s="2" t="str">
        <f t="shared" si="702"/>
        <v>PARA</v>
      </c>
      <c r="E8488" s="2" t="str">
        <f>"CONFIRMAR/CANCELAR FALTA MÉDICA"</f>
        <v>CONFIRMAR/CANCELAR FALTA MÉDICA</v>
      </c>
      <c r="F8488" s="2" t="str">
        <f>"M_FALTA_MEDICA_PERIODO"</f>
        <v>M_FALTA_MEDICA_PERIODO</v>
      </c>
      <c r="G8488" s="2" t="str">
        <f>"Atendimento / Ambulatório / Agendamentos / Confirma/Cancela Falta Médica (M_FALTA_MEDICA_PERIODO)"</f>
        <v>Atendimento / Ambulatório / Agendamentos / Confirma/Cancela Falta Médica (M_FALTA_MEDICA_PERIODO)</v>
      </c>
    </row>
    <row r="8489" spans="1:7" x14ac:dyDescent="0.3">
      <c r="A8489" s="1" t="s">
        <v>4</v>
      </c>
      <c r="B8489" s="2" t="str">
        <f t="shared" si="700"/>
        <v>SISTEMA DE GERENCIAMENTO AMBULATORIAL</v>
      </c>
      <c r="C8489" s="2" t="str">
        <f t="shared" si="701"/>
        <v>ATEND</v>
      </c>
      <c r="D8489" s="2" t="str">
        <f t="shared" si="702"/>
        <v>PARA</v>
      </c>
      <c r="E8489" s="2" t="str">
        <f>"CONFIRMAR/CANCELAR FALTA MÉDICA"</f>
        <v>CONFIRMAR/CANCELAR FALTA MÉDICA</v>
      </c>
      <c r="F8489" s="2" t="str">
        <f>"M_FALTA_MEDICA_PERIODO"</f>
        <v>M_FALTA_MEDICA_PERIODO</v>
      </c>
      <c r="G8489" s="2" t="str">
        <f>"Outros / Fusam / Agendamentos / Confirma/Cancela Falta Médica (M_FALTA_MEDICA_PERIODO)"</f>
        <v>Outros / Fusam / Agendamentos / Confirma/Cancela Falta Médica (M_FALTA_MEDICA_PERIODO)</v>
      </c>
    </row>
    <row r="8490" spans="1:7" x14ac:dyDescent="0.3">
      <c r="A8490" s="1" t="s">
        <v>4</v>
      </c>
      <c r="B8490" s="2" t="str">
        <f t="shared" si="700"/>
        <v>SISTEMA DE GERENCIAMENTO AMBULATORIAL</v>
      </c>
      <c r="C8490" s="2" t="str">
        <f t="shared" si="701"/>
        <v>ATEND</v>
      </c>
      <c r="D8490" s="2" t="str">
        <f t="shared" si="702"/>
        <v>PARA</v>
      </c>
      <c r="E8490" s="2" t="str">
        <f>"BLOQUEIO/DESBLOQUEIO DE  AGENDAS"</f>
        <v>BLOQUEIO/DESBLOQUEIO DE  AGENDAS</v>
      </c>
      <c r="F8490" s="2" t="str">
        <f>"M_BLOQUEIO_AGENDA"</f>
        <v>M_BLOQUEIO_AGENDA</v>
      </c>
      <c r="G8490" s="2" t="str">
        <f>" ()"</f>
        <v xml:space="preserve"> ()</v>
      </c>
    </row>
    <row r="8491" spans="1:7" x14ac:dyDescent="0.3">
      <c r="A8491" s="1" t="s">
        <v>4</v>
      </c>
      <c r="B8491" s="2" t="str">
        <f t="shared" si="700"/>
        <v>SISTEMA DE GERENCIAMENTO AMBULATORIAL</v>
      </c>
      <c r="C8491" s="2" t="str">
        <f t="shared" si="701"/>
        <v>ATEND</v>
      </c>
      <c r="D8491" s="2" t="str">
        <f t="shared" si="702"/>
        <v>PARA</v>
      </c>
      <c r="E8491" s="2" t="str">
        <f>"CONSULTA: ESCALAS POR SERVIÇO"</f>
        <v>CONSULTA: ESCALAS POR SERVIÇO</v>
      </c>
      <c r="F8491" s="2" t="str">
        <f>"CON_ESCALA_SERV"</f>
        <v>CON_ESCALA_SERV</v>
      </c>
      <c r="G8491" s="2" t="str">
        <f>"Atendimento / Ambulatório / Consultas / Escalas por Serviço (CON_ESCALA_SERV)"</f>
        <v>Atendimento / Ambulatório / Consultas / Escalas por Serviço (CON_ESCALA_SERV)</v>
      </c>
    </row>
    <row r="8492" spans="1:7" x14ac:dyDescent="0.3">
      <c r="A8492" s="1" t="s">
        <v>4</v>
      </c>
      <c r="B8492" s="2" t="str">
        <f t="shared" si="700"/>
        <v>SISTEMA DE GERENCIAMENTO AMBULATORIAL</v>
      </c>
      <c r="C8492" s="2" t="str">
        <f t="shared" si="701"/>
        <v>ATEND</v>
      </c>
      <c r="D8492" s="2" t="str">
        <f t="shared" si="702"/>
        <v>PARA</v>
      </c>
      <c r="E8492" s="2" t="str">
        <f>"REL EST DE ATENDIMENTOS POR ORIGEM"</f>
        <v>REL EST DE ATENDIMENTOS POR ORIGEM</v>
      </c>
      <c r="F8492" s="2" t="str">
        <f>"R_EST_ORIGEM_PROCED"</f>
        <v>R_EST_ORIGEM_PROCED</v>
      </c>
      <c r="G8492" s="2" t="str">
        <f>"Atendimento / Ambulatório / Relatórios / Estatísticos / Atendimentos por Origem X Procedimento (R_EST_ORIGEM_PROCED)"</f>
        <v>Atendimento / Ambulatório / Relatórios / Estatísticos / Atendimentos por Origem X Procedimento (R_EST_ORIGEM_PROCED)</v>
      </c>
    </row>
    <row r="8493" spans="1:7" x14ac:dyDescent="0.3">
      <c r="A8493" s="1" t="s">
        <v>4</v>
      </c>
      <c r="B8493" s="2" t="str">
        <f t="shared" si="700"/>
        <v>SISTEMA DE GERENCIAMENTO AMBULATORIAL</v>
      </c>
      <c r="C8493" s="2" t="str">
        <f t="shared" si="701"/>
        <v>ATEND</v>
      </c>
      <c r="D8493" s="2" t="str">
        <f t="shared" si="702"/>
        <v>PARA</v>
      </c>
      <c r="E8493" s="2" t="str">
        <f>"RELATÓRIO ESTATÍSTICO DE FALTA MÉDICA"</f>
        <v>RELATÓRIO ESTATÍSTICO DE FALTA MÉDICA</v>
      </c>
      <c r="F8493" s="2" t="str">
        <f>"R_EST_FALTA_MEDICA"</f>
        <v>R_EST_FALTA_MEDICA</v>
      </c>
      <c r="G8493" s="2" t="str">
        <f>"Atendimento / Ambulatório / Relatórios / Estatísticos / Falta Médica (R_EST_FALTA_MEDICA)"</f>
        <v>Atendimento / Ambulatório / Relatórios / Estatísticos / Falta Médica (R_EST_FALTA_MEDICA)</v>
      </c>
    </row>
    <row r="8494" spans="1:7" x14ac:dyDescent="0.3">
      <c r="A8494" s="1" t="s">
        <v>4</v>
      </c>
      <c r="B8494" s="2" t="str">
        <f t="shared" si="700"/>
        <v>SISTEMA DE GERENCIAMENTO AMBULATORIAL</v>
      </c>
      <c r="C8494" s="2" t="str">
        <f t="shared" si="701"/>
        <v>ATEND</v>
      </c>
      <c r="D8494" s="2" t="str">
        <f t="shared" si="702"/>
        <v>PARA</v>
      </c>
      <c r="E8494" s="2" t="str">
        <f>"RELATÓRIO ESTATÍSTICO DE FALTA MÉDICA"</f>
        <v>RELATÓRIO ESTATÍSTICO DE FALTA MÉDICA</v>
      </c>
      <c r="F8494" s="2" t="str">
        <f>"R_EST_FALTA_MEDICA"</f>
        <v>R_EST_FALTA_MEDICA</v>
      </c>
      <c r="G8494" s="2" t="str">
        <f>"Outros / Fusam / Relatórios / Estatísticos / Falta Médica (R_EST_FALTA_MEDICA)"</f>
        <v>Outros / Fusam / Relatórios / Estatísticos / Falta Médica (R_EST_FALTA_MEDICA)</v>
      </c>
    </row>
    <row r="8495" spans="1:7" x14ac:dyDescent="0.3">
      <c r="A8495" s="1" t="s">
        <v>4</v>
      </c>
      <c r="B8495" s="2" t="str">
        <f t="shared" si="700"/>
        <v>SISTEMA DE GERENCIAMENTO AMBULATORIAL</v>
      </c>
      <c r="C8495" s="2" t="str">
        <f t="shared" si="701"/>
        <v>ATEND</v>
      </c>
      <c r="D8495" s="2" t="str">
        <f t="shared" si="702"/>
        <v>PARA</v>
      </c>
      <c r="E8495" s="2" t="str">
        <f>"ESTATÍSTICA DE AGENDAMENTOS"</f>
        <v>ESTATÍSTICA DE AGENDAMENTOS</v>
      </c>
      <c r="F8495" s="2" t="str">
        <f>"R_ESTATISTICO_AGENDAMENTO"</f>
        <v>R_ESTATISTICO_AGENDAMENTO</v>
      </c>
      <c r="G8495" s="2" t="str">
        <f>"Atendimento / Ambulatório / Relatórios / Estatísticos / Agendamento (R_ESTATISTICO_AGENDAMENTO)"</f>
        <v>Atendimento / Ambulatório / Relatórios / Estatísticos / Agendamento (R_ESTATISTICO_AGENDAMENTO)</v>
      </c>
    </row>
    <row r="8496" spans="1:7" x14ac:dyDescent="0.3">
      <c r="A8496" s="1" t="s">
        <v>4</v>
      </c>
      <c r="B8496" s="2" t="str">
        <f t="shared" si="700"/>
        <v>SISTEMA DE GERENCIAMENTO AMBULATORIAL</v>
      </c>
      <c r="C8496" s="2" t="str">
        <f t="shared" si="701"/>
        <v>ATEND</v>
      </c>
      <c r="D8496" s="2" t="str">
        <f t="shared" si="702"/>
        <v>PARA</v>
      </c>
      <c r="E8496" s="2" t="str">
        <f>"RELATÓRIO DE AGENDAMENTOS EXCLUÍDOS"</f>
        <v>RELATÓRIO DE AGENDAMENTOS EXCLUÍDOS</v>
      </c>
      <c r="F8496" s="2" t="str">
        <f>"R_EXCLUSAO_AGENDAMENTO"</f>
        <v>R_EXCLUSAO_AGENDAMENTO</v>
      </c>
      <c r="G8496" s="2" t="str">
        <f>"Serviços de Apoio / Serviço Arquivo Médico / Relatórios / Agendamentos / Agendamentos Excluídos (R_EXCLUSAO_AGENDAMENTO)"</f>
        <v>Serviços de Apoio / Serviço Arquivo Médico / Relatórios / Agendamentos / Agendamentos Excluídos (R_EXCLUSAO_AGENDAMENTO)</v>
      </c>
    </row>
    <row r="8497" spans="1:7" x14ac:dyDescent="0.3">
      <c r="A8497" s="1" t="s">
        <v>4</v>
      </c>
      <c r="B8497" s="2" t="str">
        <f t="shared" si="700"/>
        <v>SISTEMA DE GERENCIAMENTO AMBULATORIAL</v>
      </c>
      <c r="C8497" s="2" t="str">
        <f t="shared" si="701"/>
        <v>ATEND</v>
      </c>
      <c r="D8497" s="2" t="str">
        <f t="shared" si="702"/>
        <v>PARA</v>
      </c>
      <c r="E8497" s="2" t="str">
        <f>"RELATÓRIO DE AGENDAMENTOS EXCLUÍDOS"</f>
        <v>RELATÓRIO DE AGENDAMENTOS EXCLUÍDOS</v>
      </c>
      <c r="F8497" s="2" t="str">
        <f>"R_EXCLUSAO_AGENDAMENTO"</f>
        <v>R_EXCLUSAO_AGENDAMENTO</v>
      </c>
      <c r="G8497" s="2" t="str">
        <f>"Outros / Fusam / Relatórios / Agendamentos / Agendamentos Excluídos (R_EXCLUSAO_AGENDAMENTO)"</f>
        <v>Outros / Fusam / Relatórios / Agendamentos / Agendamentos Excluídos (R_EXCLUSAO_AGENDAMENTO)</v>
      </c>
    </row>
    <row r="8498" spans="1:7" x14ac:dyDescent="0.3">
      <c r="A8498" s="1" t="s">
        <v>4</v>
      </c>
      <c r="B8498" s="2" t="str">
        <f t="shared" si="700"/>
        <v>SISTEMA DE GERENCIAMENTO AMBULATORIAL</v>
      </c>
      <c r="C8498" s="2" t="str">
        <f t="shared" si="701"/>
        <v>ATEND</v>
      </c>
      <c r="D8498" s="2" t="str">
        <f t="shared" si="702"/>
        <v>PARA</v>
      </c>
      <c r="E8498" s="2" t="str">
        <f>"RELATÓRIO DE AGENDAMENTOS EXCLUÍDOS"</f>
        <v>RELATÓRIO DE AGENDAMENTOS EXCLUÍDOS</v>
      </c>
      <c r="F8498" s="2" t="str">
        <f>"R_EXCLUSAO_AGENDAMENTO"</f>
        <v>R_EXCLUSAO_AGENDAMENTO</v>
      </c>
      <c r="G8498" s="2" t="str">
        <f>"Diagnóstico e Terapia / Diagnóstico por Imagem / Relatórios / Agendamentos / Agendamentos Excluídos (R_EXCLUSAO_AGENDAMENTO)"</f>
        <v>Diagnóstico e Terapia / Diagnóstico por Imagem / Relatórios / Agendamentos / Agendamentos Excluídos (R_EXCLUSAO_AGENDAMENTO)</v>
      </c>
    </row>
    <row r="8499" spans="1:7" x14ac:dyDescent="0.3">
      <c r="A8499" s="1" t="s">
        <v>4</v>
      </c>
      <c r="B8499" s="2" t="str">
        <f t="shared" si="700"/>
        <v>SISTEMA DE GERENCIAMENTO AMBULATORIAL</v>
      </c>
      <c r="C8499" s="2" t="str">
        <f t="shared" si="701"/>
        <v>ATEND</v>
      </c>
      <c r="D8499" s="2" t="str">
        <f t="shared" si="702"/>
        <v>PARA</v>
      </c>
      <c r="E8499" s="2" t="str">
        <f t="shared" ref="E8499:E8506" si="703">"CONTA DO ATENDIMENTO PACIENTE"</f>
        <v>CONTA DO ATENDIMENTO PACIENTE</v>
      </c>
      <c r="F8499" s="2" t="str">
        <f t="shared" ref="F8499:F8506" si="704">"M_LAN_AMB_PART_OUTROS_INDIV"</f>
        <v>M_LAN_AMB_PART_OUTROS_INDIV</v>
      </c>
      <c r="G8499" s="2" t="str">
        <f>"Faturamento Distribuído de Convênios e Particulares / Lançamentos / Conta Ambulatorial / Conta do Atendimento (M_LAN_AMB_PART_OUTROS_INDIV)"</f>
        <v>Faturamento Distribuído de Convênios e Particulares / Lançamentos / Conta Ambulatorial / Conta do Atendimento (M_LAN_AMB_PART_OUTROS_INDIV)</v>
      </c>
    </row>
    <row r="8500" spans="1:7" x14ac:dyDescent="0.3">
      <c r="A8500" s="1" t="s">
        <v>4</v>
      </c>
      <c r="B8500" s="2" t="str">
        <f t="shared" si="700"/>
        <v>SISTEMA DE GERENCIAMENTO AMBULATORIAL</v>
      </c>
      <c r="C8500" s="2" t="str">
        <f t="shared" si="701"/>
        <v>ATEND</v>
      </c>
      <c r="D8500" s="2" t="str">
        <f t="shared" si="702"/>
        <v>PARA</v>
      </c>
      <c r="E8500" s="2" t="str">
        <f t="shared" si="703"/>
        <v>CONTA DO ATENDIMENTO PACIENTE</v>
      </c>
      <c r="F8500" s="2" t="str">
        <f t="shared" si="704"/>
        <v>M_LAN_AMB_PART_OUTROS_INDIV</v>
      </c>
      <c r="G8500" s="2" t="str">
        <f>"Controladoria / Caixa / Faturamento / Conta atendimento (M_LAN_AMB_PART_OUTROS_INDIV)"</f>
        <v>Controladoria / Caixa / Faturamento / Conta atendimento (M_LAN_AMB_PART_OUTROS_INDIV)</v>
      </c>
    </row>
    <row r="8501" spans="1:7" x14ac:dyDescent="0.3">
      <c r="A8501" s="1" t="s">
        <v>4</v>
      </c>
      <c r="B8501" s="2" t="str">
        <f t="shared" si="700"/>
        <v>SISTEMA DE GERENCIAMENTO AMBULATORIAL</v>
      </c>
      <c r="C8501" s="2" t="str">
        <f t="shared" si="701"/>
        <v>ATEND</v>
      </c>
      <c r="D8501" s="2" t="str">
        <f t="shared" si="702"/>
        <v>PARA</v>
      </c>
      <c r="E8501" s="2" t="str">
        <f t="shared" si="703"/>
        <v>CONTA DO ATENDIMENTO PACIENTE</v>
      </c>
      <c r="F8501" s="2" t="str">
        <f t="shared" si="704"/>
        <v>M_LAN_AMB_PART_OUTROS_INDIV</v>
      </c>
      <c r="G8501" s="2" t="str">
        <f>"Controladoria / Tesouraria / Tesouraria / Conta Atendimento Ambulatorial (M_LAN_AMB_PART_OUTROS_INDIV)"</f>
        <v>Controladoria / Tesouraria / Tesouraria / Conta Atendimento Ambulatorial (M_LAN_AMB_PART_OUTROS_INDIV)</v>
      </c>
    </row>
    <row r="8502" spans="1:7" x14ac:dyDescent="0.3">
      <c r="A8502" s="1" t="s">
        <v>4</v>
      </c>
      <c r="B8502" s="2" t="str">
        <f t="shared" si="700"/>
        <v>SISTEMA DE GERENCIAMENTO AMBULATORIAL</v>
      </c>
      <c r="C8502" s="2" t="str">
        <f t="shared" si="701"/>
        <v>ATEND</v>
      </c>
      <c r="D8502" s="2" t="str">
        <f t="shared" si="702"/>
        <v>PARA</v>
      </c>
      <c r="E8502" s="2" t="str">
        <f t="shared" si="703"/>
        <v>CONTA DO ATENDIMENTO PACIENTE</v>
      </c>
      <c r="F8502" s="2" t="str">
        <f t="shared" si="704"/>
        <v>M_LAN_AMB_PART_OUTROS_INDIV</v>
      </c>
      <c r="G8502" s="2" t="str">
        <f>"Diagnóstico e Terapia / Laboratório de Análises Clínicas / Faturamento / Conta atendimento (M_LAN_AMB_PART_OUTROS_INDIV)"</f>
        <v>Diagnóstico e Terapia / Laboratório de Análises Clínicas / Faturamento / Conta atendimento (M_LAN_AMB_PART_OUTROS_INDIV)</v>
      </c>
    </row>
    <row r="8503" spans="1:7" x14ac:dyDescent="0.3">
      <c r="A8503" s="1" t="s">
        <v>4</v>
      </c>
      <c r="B8503" s="2" t="str">
        <f t="shared" si="700"/>
        <v>SISTEMA DE GERENCIAMENTO AMBULATORIAL</v>
      </c>
      <c r="C8503" s="2" t="str">
        <f t="shared" si="701"/>
        <v>ATEND</v>
      </c>
      <c r="D8503" s="2" t="str">
        <f t="shared" si="702"/>
        <v>PARA</v>
      </c>
      <c r="E8503" s="2" t="str">
        <f t="shared" si="703"/>
        <v>CONTA DO ATENDIMENTO PACIENTE</v>
      </c>
      <c r="F8503" s="2" t="str">
        <f t="shared" si="704"/>
        <v>M_LAN_AMB_PART_OUTROS_INDIV</v>
      </c>
      <c r="G8503" s="2" t="str">
        <f>"Diagnóstico e Terapia / Diagnóstico por Imagem / Faturamento / Conta do atendimento (M_LAN_AMB_PART_OUTROS_INDIV)"</f>
        <v>Diagnóstico e Terapia / Diagnóstico por Imagem / Faturamento / Conta do atendimento (M_LAN_AMB_PART_OUTROS_INDIV)</v>
      </c>
    </row>
    <row r="8504" spans="1:7" x14ac:dyDescent="0.3">
      <c r="A8504" s="1" t="s">
        <v>4</v>
      </c>
      <c r="B8504" s="2" t="str">
        <f t="shared" si="700"/>
        <v>SISTEMA DE GERENCIAMENTO AMBULATORIAL</v>
      </c>
      <c r="C8504" s="2" t="str">
        <f t="shared" si="701"/>
        <v>ATEND</v>
      </c>
      <c r="D8504" s="2" t="str">
        <f t="shared" si="702"/>
        <v>PARA</v>
      </c>
      <c r="E8504" s="2" t="str">
        <f t="shared" si="703"/>
        <v>CONTA DO ATENDIMENTO PACIENTE</v>
      </c>
      <c r="F8504" s="2" t="str">
        <f t="shared" si="704"/>
        <v>M_LAN_AMB_PART_OUTROS_INDIV</v>
      </c>
      <c r="G8504" s="2" t="str">
        <f>"Atendimento / Urgência e Emergência / Faturamento / Conta Atendimento (M_LAN_AMB_PART_OUTROS_INDIV)"</f>
        <v>Atendimento / Urgência e Emergência / Faturamento / Conta Atendimento (M_LAN_AMB_PART_OUTROS_INDIV)</v>
      </c>
    </row>
    <row r="8505" spans="1:7" x14ac:dyDescent="0.3">
      <c r="A8505" s="1" t="s">
        <v>4</v>
      </c>
      <c r="B8505" s="2" t="str">
        <f t="shared" si="700"/>
        <v>SISTEMA DE GERENCIAMENTO AMBULATORIAL</v>
      </c>
      <c r="C8505" s="2" t="str">
        <f t="shared" si="701"/>
        <v>ATEND</v>
      </c>
      <c r="D8505" s="2" t="str">
        <f t="shared" si="702"/>
        <v>PARA</v>
      </c>
      <c r="E8505" s="2" t="str">
        <f t="shared" si="703"/>
        <v>CONTA DO ATENDIMENTO PACIENTE</v>
      </c>
      <c r="F8505" s="2" t="str">
        <f t="shared" si="704"/>
        <v>M_LAN_AMB_PART_OUTROS_INDIV</v>
      </c>
      <c r="G8505" s="2" t="str">
        <f>"Atendimento / Ambulatório / Faturamento / Conta atendimento (M_LAN_AMB_PART_OUTROS_INDIV)"</f>
        <v>Atendimento / Ambulatório / Faturamento / Conta atendimento (M_LAN_AMB_PART_OUTROS_INDIV)</v>
      </c>
    </row>
    <row r="8506" spans="1:7" x14ac:dyDescent="0.3">
      <c r="A8506" s="1" t="s">
        <v>4</v>
      </c>
      <c r="B8506" s="2" t="str">
        <f t="shared" si="700"/>
        <v>SISTEMA DE GERENCIAMENTO AMBULATORIAL</v>
      </c>
      <c r="C8506" s="2" t="str">
        <f t="shared" si="701"/>
        <v>ATEND</v>
      </c>
      <c r="D8506" s="2" t="str">
        <f t="shared" si="702"/>
        <v>PARA</v>
      </c>
      <c r="E8506" s="2" t="str">
        <f t="shared" si="703"/>
        <v>CONTA DO ATENDIMENTO PACIENTE</v>
      </c>
      <c r="F8506" s="2" t="str">
        <f t="shared" si="704"/>
        <v>M_LAN_AMB_PART_OUTROS_INDIV</v>
      </c>
      <c r="G8506" s="2" t="str">
        <f>"Faturamento / Faturamento de Convênios e Particulares / Lançamentos / Distribuído / Conta Ambulatorial / Conta Ambulatorial (M_LAN_AMB_PART_OUTROS_INDIV)"</f>
        <v>Faturamento / Faturamento de Convênios e Particulares / Lançamentos / Distribuído / Conta Ambulatorial / Conta Ambulatorial (M_LAN_AMB_PART_OUTROS_INDIV)</v>
      </c>
    </row>
    <row r="8507" spans="1:7" x14ac:dyDescent="0.3">
      <c r="A8507" s="1" t="s">
        <v>4</v>
      </c>
      <c r="B8507" s="2" t="str">
        <f t="shared" si="700"/>
        <v>SISTEMA DE GERENCIAMENTO AMBULATORIAL</v>
      </c>
      <c r="C8507" s="2" t="str">
        <f t="shared" si="701"/>
        <v>ATEND</v>
      </c>
      <c r="D8507" s="2" t="str">
        <f t="shared" si="702"/>
        <v>PARA</v>
      </c>
      <c r="E8507" s="2" t="str">
        <f>"REL. PAC.ATEND OUTROS MUNICIPIOS"</f>
        <v>REL. PAC.ATEND OUTROS MUNICIPIOS</v>
      </c>
      <c r="F8507" s="2" t="str">
        <f>"R_ATEN_OUTROS_MUNIC"</f>
        <v>R_ATEN_OUTROS_MUNIC</v>
      </c>
      <c r="G8507" s="2" t="str">
        <f>" ()"</f>
        <v xml:space="preserve"> ()</v>
      </c>
    </row>
    <row r="8508" spans="1:7" x14ac:dyDescent="0.3">
      <c r="A8508" s="1" t="s">
        <v>4</v>
      </c>
      <c r="B8508" s="2" t="str">
        <f t="shared" si="700"/>
        <v>SISTEMA DE GERENCIAMENTO AMBULATORIAL</v>
      </c>
      <c r="C8508" s="2" t="str">
        <f t="shared" si="701"/>
        <v>ATEND</v>
      </c>
      <c r="D8508" s="2" t="str">
        <f t="shared" si="702"/>
        <v>PARA</v>
      </c>
      <c r="E8508" s="2" t="str">
        <f>"REL. ATENDIMENTO X IDADE 360"</f>
        <v>REL. ATENDIMENTO X IDADE 360</v>
      </c>
      <c r="F8508" s="2" t="str">
        <f>"R_ATEN_12ANOS"</f>
        <v>R_ATEN_12ANOS</v>
      </c>
      <c r="G8508" s="2" t="str">
        <f>" ()"</f>
        <v xml:space="preserve"> ()</v>
      </c>
    </row>
    <row r="8509" spans="1:7" x14ac:dyDescent="0.3">
      <c r="A8509" s="1" t="s">
        <v>4</v>
      </c>
      <c r="B8509" s="2" t="str">
        <f t="shared" si="700"/>
        <v>SISTEMA DE GERENCIAMENTO AMBULATORIAL</v>
      </c>
      <c r="C8509" s="2" t="str">
        <f t="shared" si="701"/>
        <v>ATEND</v>
      </c>
      <c r="D8509" s="2" t="str">
        <f t="shared" si="702"/>
        <v>PARA</v>
      </c>
      <c r="E8509" s="2" t="str">
        <f>"REL. ATENDIMENTOS X MEDICO"</f>
        <v>REL. ATENDIMENTOS X MEDICO</v>
      </c>
      <c r="F8509" s="2" t="str">
        <f>"R_ATENDIMENTOSMEDICO"</f>
        <v>R_ATENDIMENTOSMEDICO</v>
      </c>
      <c r="G8509" s="2" t="str">
        <f>"Atendimento / Ambulatório / Relatórios / Operacionais / Atendimentos por Médico (R_ATENDIMENTOSMEDICO)"</f>
        <v>Atendimento / Ambulatório / Relatórios / Operacionais / Atendimentos por Médico (R_ATENDIMENTOSMEDICO)</v>
      </c>
    </row>
    <row r="8510" spans="1:7" x14ac:dyDescent="0.3">
      <c r="A8510" s="1" t="s">
        <v>4</v>
      </c>
      <c r="B8510" s="2" t="str">
        <f t="shared" si="700"/>
        <v>SISTEMA DE GERENCIAMENTO AMBULATORIAL</v>
      </c>
      <c r="C8510" s="2" t="str">
        <f t="shared" si="701"/>
        <v>ATEND</v>
      </c>
      <c r="D8510" s="2" t="str">
        <f t="shared" si="702"/>
        <v>PARA</v>
      </c>
      <c r="E8510" s="2" t="str">
        <f>"REL. ATENDIMENTOS X MEDICO"</f>
        <v>REL. ATENDIMENTOS X MEDICO</v>
      </c>
      <c r="F8510" s="2" t="str">
        <f>"R_ATENDIMENTOSMEDICO"</f>
        <v>R_ATENDIMENTOSMEDICO</v>
      </c>
      <c r="G8510" s="2" t="str">
        <f>"Diagnóstico e Terapia / Laboratório de Análises Clínicas / Relatórios / Administrativos / Atendimentos por Médico (R_ATENDIMENTOSMEDICO)"</f>
        <v>Diagnóstico e Terapia / Laboratório de Análises Clínicas / Relatórios / Administrativos / Atendimentos por Médico (R_ATENDIMENTOSMEDICO)</v>
      </c>
    </row>
    <row r="8511" spans="1:7" x14ac:dyDescent="0.3">
      <c r="A8511" s="1" t="s">
        <v>4</v>
      </c>
      <c r="B8511" s="2" t="str">
        <f t="shared" si="700"/>
        <v>SISTEMA DE GERENCIAMENTO AMBULATORIAL</v>
      </c>
      <c r="C8511" s="2" t="str">
        <f t="shared" si="701"/>
        <v>ATEND</v>
      </c>
      <c r="D8511" s="2" t="str">
        <f t="shared" si="702"/>
        <v>PARA</v>
      </c>
      <c r="E8511" s="2" t="str">
        <f>"REL. ATENDIMENTOS X MEDICO"</f>
        <v>REL. ATENDIMENTOS X MEDICO</v>
      </c>
      <c r="F8511" s="2" t="str">
        <f>"R_ATENDIMENTOSMEDICO"</f>
        <v>R_ATENDIMENTOSMEDICO</v>
      </c>
      <c r="G8511" s="2" t="str">
        <f>"Atendimento / Urgência e Emergência / Relatórios / Administrativos / Atendimentos por Médico (R_ATENDIMENTOSMEDICO)"</f>
        <v>Atendimento / Urgência e Emergência / Relatórios / Administrativos / Atendimentos por Médico (R_ATENDIMENTOSMEDICO)</v>
      </c>
    </row>
    <row r="8512" spans="1:7" x14ac:dyDescent="0.3">
      <c r="A8512" s="1" t="s">
        <v>4</v>
      </c>
      <c r="B8512" s="2" t="str">
        <f t="shared" si="700"/>
        <v>SISTEMA DE GERENCIAMENTO AMBULATORIAL</v>
      </c>
      <c r="C8512" s="2" t="str">
        <f t="shared" si="701"/>
        <v>ATEND</v>
      </c>
      <c r="D8512" s="2" t="str">
        <f t="shared" si="702"/>
        <v>PARA</v>
      </c>
      <c r="E8512" s="2" t="str">
        <f>"REL. ATENDIMENTOS X MEDICO"</f>
        <v>REL. ATENDIMENTOS X MEDICO</v>
      </c>
      <c r="F8512" s="2" t="str">
        <f>"R_ATENDIMENTOSMEDICO"</f>
        <v>R_ATENDIMENTOSMEDICO</v>
      </c>
      <c r="G8512" s="2" t="str">
        <f>"Diagnóstico e Terapia / Diagnóstico por Imagem / Relatórios / Administrativos / Atendimento por Médico (R_ATENDIMENTOSMEDICO)"</f>
        <v>Diagnóstico e Terapia / Diagnóstico por Imagem / Relatórios / Administrativos / Atendimento por Médico (R_ATENDIMENTOSMEDICO)</v>
      </c>
    </row>
    <row r="8513" spans="1:7" x14ac:dyDescent="0.3">
      <c r="A8513" s="1" t="s">
        <v>4</v>
      </c>
      <c r="B8513" s="2" t="str">
        <f t="shared" ref="B8513:B8576" si="705">"SISTEMA DE GERENCIAMENTO AMBULATORIAL"</f>
        <v>SISTEMA DE GERENCIAMENTO AMBULATORIAL</v>
      </c>
      <c r="C8513" s="2" t="str">
        <f t="shared" ref="C8513:C8576" si="706">"ATEND"</f>
        <v>ATEND</v>
      </c>
      <c r="D8513" s="2" t="str">
        <f t="shared" ref="D8513:D8576" si="707">"PARA"</f>
        <v>PARA</v>
      </c>
      <c r="E8513" s="2" t="str">
        <f>"REL. ATENDIMENTOS X CONVENIO"</f>
        <v>REL. ATENDIMENTOS X CONVENIO</v>
      </c>
      <c r="F8513" s="2" t="str">
        <f>"R_ATENDIMENTOSCONVENIO"</f>
        <v>R_ATENDIMENTOSCONVENIO</v>
      </c>
      <c r="G8513" s="2" t="str">
        <f>"Atendimento / Ambulatório / Relatórios / Operacionais / Atendimentos por Convênio (R_ATENDIMENTOSCONVENIO)"</f>
        <v>Atendimento / Ambulatório / Relatórios / Operacionais / Atendimentos por Convênio (R_ATENDIMENTOSCONVENIO)</v>
      </c>
    </row>
    <row r="8514" spans="1:7" x14ac:dyDescent="0.3">
      <c r="A8514" s="1" t="s">
        <v>4</v>
      </c>
      <c r="B8514" s="2" t="str">
        <f t="shared" si="705"/>
        <v>SISTEMA DE GERENCIAMENTO AMBULATORIAL</v>
      </c>
      <c r="C8514" s="2" t="str">
        <f t="shared" si="706"/>
        <v>ATEND</v>
      </c>
      <c r="D8514" s="2" t="str">
        <f t="shared" si="707"/>
        <v>PARA</v>
      </c>
      <c r="E8514" s="2" t="str">
        <f>"REL. ATENDIMENTOS X CONVENIO"</f>
        <v>REL. ATENDIMENTOS X CONVENIO</v>
      </c>
      <c r="F8514" s="2" t="str">
        <f>"R_ATENDIMENTOSCONVENIO"</f>
        <v>R_ATENDIMENTOSCONVENIO</v>
      </c>
      <c r="G8514" s="2" t="str">
        <f>"Atendimento / Urgência e Emergência / Relatórios / Administrativos / Atendimentos por Convênio (R_ATENDIMENTOSCONVENIO)"</f>
        <v>Atendimento / Urgência e Emergência / Relatórios / Administrativos / Atendimentos por Convênio (R_ATENDIMENTOSCONVENIO)</v>
      </c>
    </row>
    <row r="8515" spans="1:7" x14ac:dyDescent="0.3">
      <c r="A8515" s="1" t="s">
        <v>4</v>
      </c>
      <c r="B8515" s="2" t="str">
        <f t="shared" si="705"/>
        <v>SISTEMA DE GERENCIAMENTO AMBULATORIAL</v>
      </c>
      <c r="C8515" s="2" t="str">
        <f t="shared" si="706"/>
        <v>ATEND</v>
      </c>
      <c r="D8515" s="2" t="str">
        <f t="shared" si="707"/>
        <v>PARA</v>
      </c>
      <c r="E8515" s="2" t="str">
        <f>"COMPROVANTE DE AGENDAMENTO"</f>
        <v>COMPROVANTE DE AGENDAMENTO</v>
      </c>
      <c r="F8515" s="2" t="str">
        <f>"R_COMP_AGENDAMENTO959"</f>
        <v>R_COMP_AGENDAMENTO959</v>
      </c>
      <c r="G8515" s="2" t="str">
        <f>" ()"</f>
        <v xml:space="preserve"> ()</v>
      </c>
    </row>
    <row r="8516" spans="1:7" x14ac:dyDescent="0.3">
      <c r="A8516" s="1" t="s">
        <v>4</v>
      </c>
      <c r="B8516" s="2" t="str">
        <f t="shared" si="705"/>
        <v>SISTEMA DE GERENCIAMENTO AMBULATORIAL</v>
      </c>
      <c r="C8516" s="2" t="str">
        <f t="shared" si="706"/>
        <v>ATEND</v>
      </c>
      <c r="D8516" s="2" t="str">
        <f t="shared" si="707"/>
        <v>PARA</v>
      </c>
      <c r="E8516" s="2" t="str">
        <f>"REL DE PRODUCAO DE PROFISSIONAL-SINTETIC"</f>
        <v>REL DE PRODUCAO DE PROFISSIONAL-SINTETIC</v>
      </c>
      <c r="F8516" s="2" t="str">
        <f>"R_EST_P_PROF2S"</f>
        <v>R_EST_P_PROF2S</v>
      </c>
      <c r="G8516" s="2" t="str">
        <f>" ()"</f>
        <v xml:space="preserve"> ()</v>
      </c>
    </row>
    <row r="8517" spans="1:7" x14ac:dyDescent="0.3">
      <c r="A8517" s="1" t="s">
        <v>4</v>
      </c>
      <c r="B8517" s="2" t="str">
        <f t="shared" si="705"/>
        <v>SISTEMA DE GERENCIAMENTO AMBULATORIAL</v>
      </c>
      <c r="C8517" s="2" t="str">
        <f t="shared" si="706"/>
        <v>ATEND</v>
      </c>
      <c r="D8517" s="2" t="str">
        <f t="shared" si="707"/>
        <v>PARA</v>
      </c>
      <c r="E8517" s="2" t="str">
        <f>"REL DE ANAMNESE AMBULATORIAL"</f>
        <v>REL DE ANAMNESE AMBULATORIAL</v>
      </c>
      <c r="F8517" s="2" t="str">
        <f>"R_ANM_PARA759"</f>
        <v>R_ANM_PARA759</v>
      </c>
      <c r="G8517" s="2" t="str">
        <f>" ()"</f>
        <v xml:space="preserve"> ()</v>
      </c>
    </row>
    <row r="8518" spans="1:7" x14ac:dyDescent="0.3">
      <c r="A8518" s="1" t="s">
        <v>4</v>
      </c>
      <c r="B8518" s="2" t="str">
        <f t="shared" si="705"/>
        <v>SISTEMA DE GERENCIAMENTO AMBULATORIAL</v>
      </c>
      <c r="C8518" s="2" t="str">
        <f t="shared" si="706"/>
        <v>ATEND</v>
      </c>
      <c r="D8518" s="2" t="str">
        <f t="shared" si="707"/>
        <v>PARA</v>
      </c>
      <c r="E8518" s="2" t="str">
        <f>"REL.CIRURGIA"</f>
        <v>REL.CIRURGIA</v>
      </c>
      <c r="F8518" s="2" t="str">
        <f>"R_SOS_CIRU"</f>
        <v>R_SOS_CIRU</v>
      </c>
      <c r="G8518" s="2" t="str">
        <f>" ()"</f>
        <v xml:space="preserve"> ()</v>
      </c>
    </row>
    <row r="8519" spans="1:7" x14ac:dyDescent="0.3">
      <c r="A8519" s="1" t="s">
        <v>4</v>
      </c>
      <c r="B8519" s="2" t="str">
        <f t="shared" si="705"/>
        <v>SISTEMA DE GERENCIAMENTO AMBULATORIAL</v>
      </c>
      <c r="C8519" s="2" t="str">
        <f t="shared" si="706"/>
        <v>ATEND</v>
      </c>
      <c r="D8519" s="2" t="str">
        <f t="shared" si="707"/>
        <v>PARA</v>
      </c>
      <c r="E8519" s="2" t="str">
        <f>"REL DE ESCALAS POR PRESTADOR"</f>
        <v>REL DE ESCALAS POR PRESTADOR</v>
      </c>
      <c r="F8519" s="2" t="str">
        <f>"R_ESCALA_PRESTADOR"</f>
        <v>R_ESCALA_PRESTADOR</v>
      </c>
      <c r="G8519" s="2" t="str">
        <f>"Atendimento / Ambulatório / Relatórios / Agendamentos / Escalas por Prestador (R_ESCALA_PRESTADOR)"</f>
        <v>Atendimento / Ambulatório / Relatórios / Agendamentos / Escalas por Prestador (R_ESCALA_PRESTADOR)</v>
      </c>
    </row>
    <row r="8520" spans="1:7" x14ac:dyDescent="0.3">
      <c r="A8520" s="1" t="s">
        <v>4</v>
      </c>
      <c r="B8520" s="2" t="str">
        <f t="shared" si="705"/>
        <v>SISTEMA DE GERENCIAMENTO AMBULATORIAL</v>
      </c>
      <c r="C8520" s="2" t="str">
        <f t="shared" si="706"/>
        <v>ATEND</v>
      </c>
      <c r="D8520" s="2" t="str">
        <f t="shared" si="707"/>
        <v>PARA</v>
      </c>
      <c r="E8520" s="2" t="str">
        <f>"REL DE ESCALAS POR PRESTADOR"</f>
        <v>REL DE ESCALAS POR PRESTADOR</v>
      </c>
      <c r="F8520" s="2" t="str">
        <f>"R_ESCALA_PRESTADOR"</f>
        <v>R_ESCALA_PRESTADOR</v>
      </c>
      <c r="G8520" s="2" t="str">
        <f>"Serviços de Apoio / Serviço Arquivo Médico / Relatórios / Agendamentos / Escalas por Prestador (R_ESCALA_PRESTADOR)"</f>
        <v>Serviços de Apoio / Serviço Arquivo Médico / Relatórios / Agendamentos / Escalas por Prestador (R_ESCALA_PRESTADOR)</v>
      </c>
    </row>
    <row r="8521" spans="1:7" x14ac:dyDescent="0.3">
      <c r="A8521" s="1" t="s">
        <v>4</v>
      </c>
      <c r="B8521" s="2" t="str">
        <f t="shared" si="705"/>
        <v>SISTEMA DE GERENCIAMENTO AMBULATORIAL</v>
      </c>
      <c r="C8521" s="2" t="str">
        <f t="shared" si="706"/>
        <v>ATEND</v>
      </c>
      <c r="D8521" s="2" t="str">
        <f t="shared" si="707"/>
        <v>PARA</v>
      </c>
      <c r="E8521" s="2" t="str">
        <f>"REL DE ESCALAS POR PRESTADOR"</f>
        <v>REL DE ESCALAS POR PRESTADOR</v>
      </c>
      <c r="F8521" s="2" t="str">
        <f>"R_ESCALA_PRESTADOR"</f>
        <v>R_ESCALA_PRESTADOR</v>
      </c>
      <c r="G8521" s="2" t="str">
        <f>"Outros / Fusam / Relatórios / Agendamentos / Escalas por Prestador (R_ESCALA_PRESTADOR)"</f>
        <v>Outros / Fusam / Relatórios / Agendamentos / Escalas por Prestador (R_ESCALA_PRESTADOR)</v>
      </c>
    </row>
    <row r="8522" spans="1:7" x14ac:dyDescent="0.3">
      <c r="A8522" s="1" t="s">
        <v>4</v>
      </c>
      <c r="B8522" s="2" t="str">
        <f t="shared" si="705"/>
        <v>SISTEMA DE GERENCIAMENTO AMBULATORIAL</v>
      </c>
      <c r="C8522" s="2" t="str">
        <f t="shared" si="706"/>
        <v>ATEND</v>
      </c>
      <c r="D8522" s="2" t="str">
        <f t="shared" si="707"/>
        <v>PARA</v>
      </c>
      <c r="E8522" s="2" t="str">
        <f>"REL. ESCALAS POR SERVICO"</f>
        <v>REL. ESCALAS POR SERVICO</v>
      </c>
      <c r="F8522" s="2" t="str">
        <f>"R_ESCALA_SERVICO"</f>
        <v>R_ESCALA_SERVICO</v>
      </c>
      <c r="G8522" s="2" t="str">
        <f>"Atendimento / Ambulatório / Relatórios / Agendamentos / Escalas por Serviço (R_ESCALA_SERVICO)"</f>
        <v>Atendimento / Ambulatório / Relatórios / Agendamentos / Escalas por Serviço (R_ESCALA_SERVICO)</v>
      </c>
    </row>
    <row r="8523" spans="1:7" x14ac:dyDescent="0.3">
      <c r="A8523" s="1" t="s">
        <v>4</v>
      </c>
      <c r="B8523" s="2" t="str">
        <f t="shared" si="705"/>
        <v>SISTEMA DE GERENCIAMENTO AMBULATORIAL</v>
      </c>
      <c r="C8523" s="2" t="str">
        <f t="shared" si="706"/>
        <v>ATEND</v>
      </c>
      <c r="D8523" s="2" t="str">
        <f t="shared" si="707"/>
        <v>PARA</v>
      </c>
      <c r="E8523" s="2" t="str">
        <f>"REL. ESCALAS POR SERVICO"</f>
        <v>REL. ESCALAS POR SERVICO</v>
      </c>
      <c r="F8523" s="2" t="str">
        <f>"R_ESCALA_SERVICO"</f>
        <v>R_ESCALA_SERVICO</v>
      </c>
      <c r="G8523" s="2" t="str">
        <f>"Serviços de Apoio / Serviço Arquivo Médico / Relatórios / Agendamentos / Escalas por Serviço (R_ESCALA_SERVICO)"</f>
        <v>Serviços de Apoio / Serviço Arquivo Médico / Relatórios / Agendamentos / Escalas por Serviço (R_ESCALA_SERVICO)</v>
      </c>
    </row>
    <row r="8524" spans="1:7" x14ac:dyDescent="0.3">
      <c r="A8524" s="1" t="s">
        <v>4</v>
      </c>
      <c r="B8524" s="2" t="str">
        <f t="shared" si="705"/>
        <v>SISTEMA DE GERENCIAMENTO AMBULATORIAL</v>
      </c>
      <c r="C8524" s="2" t="str">
        <f t="shared" si="706"/>
        <v>ATEND</v>
      </c>
      <c r="D8524" s="2" t="str">
        <f t="shared" si="707"/>
        <v>PARA</v>
      </c>
      <c r="E8524" s="2" t="str">
        <f>"REL. ESCALAS POR SERVICO"</f>
        <v>REL. ESCALAS POR SERVICO</v>
      </c>
      <c r="F8524" s="2" t="str">
        <f>"R_ESCALA_SERVICO"</f>
        <v>R_ESCALA_SERVICO</v>
      </c>
      <c r="G8524" s="2" t="str">
        <f>"Outros / Fusam / Relatórios / Agendamentos / Escalas por Serviço (R_ESCALA_SERVICO)"</f>
        <v>Outros / Fusam / Relatórios / Agendamentos / Escalas por Serviço (R_ESCALA_SERVICO)</v>
      </c>
    </row>
    <row r="8525" spans="1:7" x14ac:dyDescent="0.3">
      <c r="A8525" s="1" t="s">
        <v>4</v>
      </c>
      <c r="B8525" s="2" t="str">
        <f t="shared" si="705"/>
        <v>SISTEMA DE GERENCIAMENTO AMBULATORIAL</v>
      </c>
      <c r="C8525" s="2" t="str">
        <f t="shared" si="706"/>
        <v>ATEND</v>
      </c>
      <c r="D8525" s="2" t="str">
        <f t="shared" si="707"/>
        <v>PARA</v>
      </c>
      <c r="E8525" s="2" t="str">
        <f>"CONFIGURAÇÃO DA SALA CIRÚRGICA"</f>
        <v>CONFIGURAÇÃO DA SALA CIRÚRGICA</v>
      </c>
      <c r="F8525" s="2" t="str">
        <f>"M_CONTRCIRU"</f>
        <v>M_CONTRCIRU</v>
      </c>
      <c r="G8525" s="2" t="str">
        <f>" ()"</f>
        <v xml:space="preserve"> ()</v>
      </c>
    </row>
    <row r="8526" spans="1:7" x14ac:dyDescent="0.3">
      <c r="A8526" s="1" t="s">
        <v>4</v>
      </c>
      <c r="B8526" s="2" t="str">
        <f t="shared" si="705"/>
        <v>SISTEMA DE GERENCIAMENTO AMBULATORIAL</v>
      </c>
      <c r="C8526" s="2" t="str">
        <f t="shared" si="706"/>
        <v>ATEND</v>
      </c>
      <c r="D8526" s="2" t="str">
        <f t="shared" si="707"/>
        <v>PARA</v>
      </c>
      <c r="E8526" s="2" t="str">
        <f>"AGENDAMENTO DE CIRURGIAS"</f>
        <v>AGENDAMENTO DE CIRURGIAS</v>
      </c>
      <c r="F8526" s="2" t="str">
        <f>"M_AGENDACIR"</f>
        <v>M_AGENDACIR</v>
      </c>
      <c r="G8526" s="2" t="str">
        <f>" ()"</f>
        <v xml:space="preserve"> ()</v>
      </c>
    </row>
    <row r="8527" spans="1:7" x14ac:dyDescent="0.3">
      <c r="A8527" s="1" t="s">
        <v>4</v>
      </c>
      <c r="B8527" s="2" t="str">
        <f t="shared" si="705"/>
        <v>SISTEMA DE GERENCIAMENTO AMBULATORIAL</v>
      </c>
      <c r="C8527" s="2" t="str">
        <f t="shared" si="706"/>
        <v>ATEND</v>
      </c>
      <c r="D8527" s="2" t="str">
        <f t="shared" si="707"/>
        <v>PARA</v>
      </c>
      <c r="E8527" s="2" t="str">
        <f>"REL. PAC. AGENDADOS ALFABÉTICO 756"</f>
        <v>REL. PAC. AGENDADOS ALFABÉTICO 756</v>
      </c>
      <c r="F8527" s="2" t="str">
        <f>"R_PAC_AGEND_ALFA756"</f>
        <v>R_PAC_AGEND_ALFA756</v>
      </c>
      <c r="G8527" s="2" t="str">
        <f>" ()"</f>
        <v xml:space="preserve"> ()</v>
      </c>
    </row>
    <row r="8528" spans="1:7" x14ac:dyDescent="0.3">
      <c r="A8528" s="1" t="s">
        <v>4</v>
      </c>
      <c r="B8528" s="2" t="str">
        <f t="shared" si="705"/>
        <v>SISTEMA DE GERENCIAMENTO AMBULATORIAL</v>
      </c>
      <c r="C8528" s="2" t="str">
        <f t="shared" si="706"/>
        <v>ATEND</v>
      </c>
      <c r="D8528" s="2" t="str">
        <f t="shared" si="707"/>
        <v>PARA</v>
      </c>
      <c r="E8528" s="2" t="str">
        <f>"AGENDAMENTO E CONFIRMAÇÃO - 756"</f>
        <v>AGENDAMENTO E CONFIRMAÇÃO - 756</v>
      </c>
      <c r="F8528" s="2" t="str">
        <f>"ATE_AGD_P_756"</f>
        <v>ATE_AGD_P_756</v>
      </c>
      <c r="G8528" s="2" t="str">
        <f>"Atendimento / Ambulatório / Atendimentos / Recepção  (ATE_AGD_P_756)"</f>
        <v>Atendimento / Ambulatório / Atendimentos / Recepção  (ATE_AGD_P_756)</v>
      </c>
    </row>
    <row r="8529" spans="1:7" x14ac:dyDescent="0.3">
      <c r="A8529" s="1" t="s">
        <v>4</v>
      </c>
      <c r="B8529" s="2" t="str">
        <f t="shared" si="705"/>
        <v>SISTEMA DE GERENCIAMENTO AMBULATORIAL</v>
      </c>
      <c r="C8529" s="2" t="str">
        <f t="shared" si="706"/>
        <v>ATEND</v>
      </c>
      <c r="D8529" s="2" t="str">
        <f t="shared" si="707"/>
        <v>PARA</v>
      </c>
      <c r="E8529" s="2" t="str">
        <f>"AGENDAMENTO E CONFIRMAÇÃO - 756"</f>
        <v>AGENDAMENTO E CONFIRMAÇÃO - 756</v>
      </c>
      <c r="F8529" s="2" t="str">
        <f>"ATE_AGD_P_756"</f>
        <v>ATE_AGD_P_756</v>
      </c>
      <c r="G8529" s="2" t="str">
        <f>"Outros / Fusam / Atendimentos / Recepção  (ATE_AGD_P_756)"</f>
        <v>Outros / Fusam / Atendimentos / Recepção  (ATE_AGD_P_756)</v>
      </c>
    </row>
    <row r="8530" spans="1:7" x14ac:dyDescent="0.3">
      <c r="A8530" s="1" t="s">
        <v>4</v>
      </c>
      <c r="B8530" s="2" t="str">
        <f t="shared" si="705"/>
        <v>SISTEMA DE GERENCIAMENTO AMBULATORIAL</v>
      </c>
      <c r="C8530" s="2" t="str">
        <f t="shared" si="706"/>
        <v>ATEND</v>
      </c>
      <c r="D8530" s="2" t="str">
        <f t="shared" si="707"/>
        <v>PARA</v>
      </c>
      <c r="E8530" s="2" t="str">
        <f>"REL DE AGENDAMENTOS DE PACI - EXTENDIDO"</f>
        <v>REL DE AGENDAMENTOS DE PACI - EXTENDIDO</v>
      </c>
      <c r="F8530" s="2" t="str">
        <f>"R_PAC_AGD_2"</f>
        <v>R_PAC_AGD_2</v>
      </c>
      <c r="G8530" s="2" t="str">
        <f t="shared" ref="G8530:G8537" si="708">" ()"</f>
        <v xml:space="preserve"> ()</v>
      </c>
    </row>
    <row r="8531" spans="1:7" x14ac:dyDescent="0.3">
      <c r="A8531" s="1" t="s">
        <v>4</v>
      </c>
      <c r="B8531" s="2" t="str">
        <f t="shared" si="705"/>
        <v>SISTEMA DE GERENCIAMENTO AMBULATORIAL</v>
      </c>
      <c r="C8531" s="2" t="str">
        <f t="shared" si="706"/>
        <v>ATEND</v>
      </c>
      <c r="D8531" s="2" t="str">
        <f t="shared" si="707"/>
        <v>PARA</v>
      </c>
      <c r="E8531" s="2" t="str">
        <f>"REL DE RECOMENDACOES DO GIH"</f>
        <v>REL DE RECOMENDACOES DO GIH</v>
      </c>
      <c r="F8531" s="2" t="str">
        <f>"R_RECOMENDACAO"</f>
        <v>R_RECOMENDACAO</v>
      </c>
      <c r="G8531" s="2" t="str">
        <f t="shared" si="708"/>
        <v xml:space="preserve"> ()</v>
      </c>
    </row>
    <row r="8532" spans="1:7" x14ac:dyDescent="0.3">
      <c r="A8532" s="1" t="s">
        <v>4</v>
      </c>
      <c r="B8532" s="2" t="str">
        <f t="shared" si="705"/>
        <v>SISTEMA DE GERENCIAMENTO AMBULATORIAL</v>
      </c>
      <c r="C8532" s="2" t="str">
        <f t="shared" si="706"/>
        <v>ATEND</v>
      </c>
      <c r="D8532" s="2" t="str">
        <f t="shared" si="707"/>
        <v>PARA</v>
      </c>
      <c r="E8532" s="2" t="str">
        <f>"PAPELETA CIRÚRGICA SOS MÃO"</f>
        <v>PAPELETA CIRÚRGICA SOS MÃO</v>
      </c>
      <c r="F8532" s="2" t="str">
        <f>"R_SOS_PAPELETA"</f>
        <v>R_SOS_PAPELETA</v>
      </c>
      <c r="G8532" s="2" t="str">
        <f t="shared" si="708"/>
        <v xml:space="preserve"> ()</v>
      </c>
    </row>
    <row r="8533" spans="1:7" x14ac:dyDescent="0.3">
      <c r="A8533" s="1" t="s">
        <v>4</v>
      </c>
      <c r="B8533" s="2" t="str">
        <f t="shared" si="705"/>
        <v>SISTEMA DE GERENCIAMENTO AMBULATORIAL</v>
      </c>
      <c r="C8533" s="2" t="str">
        <f t="shared" si="706"/>
        <v>ATEND</v>
      </c>
      <c r="D8533" s="2" t="str">
        <f t="shared" si="707"/>
        <v>PARA</v>
      </c>
      <c r="E8533" s="2" t="str">
        <f>"PROCEDIMENTOS FREQUENTES"</f>
        <v>PROCEDIMENTOS FREQUENTES</v>
      </c>
      <c r="F8533" s="2" t="str">
        <f>"M_SOS_PRO"</f>
        <v>M_SOS_PRO</v>
      </c>
      <c r="G8533" s="2" t="str">
        <f t="shared" si="708"/>
        <v xml:space="preserve"> ()</v>
      </c>
    </row>
    <row r="8534" spans="1:7" x14ac:dyDescent="0.3">
      <c r="A8534" s="1" t="s">
        <v>4</v>
      </c>
      <c r="B8534" s="2" t="str">
        <f t="shared" si="705"/>
        <v>SISTEMA DE GERENCIAMENTO AMBULATORIAL</v>
      </c>
      <c r="C8534" s="2" t="str">
        <f t="shared" si="706"/>
        <v>ATEND</v>
      </c>
      <c r="D8534" s="2" t="str">
        <f t="shared" si="707"/>
        <v>PARA</v>
      </c>
      <c r="E8534" s="2" t="str">
        <f>"AGENDAMENTO AMBULATORIAL - 201"</f>
        <v>AGENDAMENTO AMBULATORIAL - 201</v>
      </c>
      <c r="F8534" s="2" t="str">
        <f>"R_AGE_AMBULATORIAL"</f>
        <v>R_AGE_AMBULATORIAL</v>
      </c>
      <c r="G8534" s="2" t="str">
        <f t="shared" si="708"/>
        <v xml:space="preserve"> ()</v>
      </c>
    </row>
    <row r="8535" spans="1:7" x14ac:dyDescent="0.3">
      <c r="A8535" s="1" t="s">
        <v>4</v>
      </c>
      <c r="B8535" s="2" t="str">
        <f t="shared" si="705"/>
        <v>SISTEMA DE GERENCIAMENTO AMBULATORIAL</v>
      </c>
      <c r="C8535" s="2" t="str">
        <f t="shared" si="706"/>
        <v>ATEND</v>
      </c>
      <c r="D8535" s="2" t="str">
        <f t="shared" si="707"/>
        <v>PARA</v>
      </c>
      <c r="E8535" s="2" t="str">
        <f>"RELATORIO DE PACIENTE AGENDADOS"</f>
        <v>RELATORIO DE PACIENTE AGENDADOS</v>
      </c>
      <c r="F8535" s="2" t="str">
        <f>"R_PAC_AGD_756"</f>
        <v>R_PAC_AGD_756</v>
      </c>
      <c r="G8535" s="2" t="str">
        <f t="shared" si="708"/>
        <v xml:space="preserve"> ()</v>
      </c>
    </row>
    <row r="8536" spans="1:7" x14ac:dyDescent="0.3">
      <c r="A8536" s="1" t="s">
        <v>4</v>
      </c>
      <c r="B8536" s="2" t="str">
        <f t="shared" si="705"/>
        <v>SISTEMA DE GERENCIAMENTO AMBULATORIAL</v>
      </c>
      <c r="C8536" s="2" t="str">
        <f t="shared" si="706"/>
        <v>ATEND</v>
      </c>
      <c r="D8536" s="2" t="str">
        <f t="shared" si="707"/>
        <v>PARA</v>
      </c>
      <c r="E8536" s="2" t="str">
        <f>"REL DE DESCRICAO CIRURGICA"</f>
        <v>REL DE DESCRICAO CIRURGICA</v>
      </c>
      <c r="F8536" s="2" t="str">
        <f>"R_DESC_CIRURGICA"</f>
        <v>R_DESC_CIRURGICA</v>
      </c>
      <c r="G8536" s="2" t="str">
        <f t="shared" si="708"/>
        <v xml:space="preserve"> ()</v>
      </c>
    </row>
    <row r="8537" spans="1:7" x14ac:dyDescent="0.3">
      <c r="A8537" s="1" t="s">
        <v>4</v>
      </c>
      <c r="B8537" s="2" t="str">
        <f t="shared" si="705"/>
        <v>SISTEMA DE GERENCIAMENTO AMBULATORIAL</v>
      </c>
      <c r="C8537" s="2" t="str">
        <f t="shared" si="706"/>
        <v>ATEND</v>
      </c>
      <c r="D8537" s="2" t="str">
        <f t="shared" si="707"/>
        <v>PARA</v>
      </c>
      <c r="E8537" s="2" t="str">
        <f>"REL. PACIENTES AGENDADOS 959"</f>
        <v>REL. PACIENTES AGENDADOS 959</v>
      </c>
      <c r="F8537" s="2" t="str">
        <f>"R_PAC_AGENDADO959"</f>
        <v>R_PAC_AGENDADO959</v>
      </c>
      <c r="G8537" s="2" t="str">
        <f t="shared" si="708"/>
        <v xml:space="preserve"> ()</v>
      </c>
    </row>
    <row r="8538" spans="1:7" x14ac:dyDescent="0.3">
      <c r="A8538" s="1" t="s">
        <v>4</v>
      </c>
      <c r="B8538" s="2" t="str">
        <f t="shared" si="705"/>
        <v>SISTEMA DE GERENCIAMENTO AMBULATORIAL</v>
      </c>
      <c r="C8538" s="2" t="str">
        <f t="shared" si="706"/>
        <v>ATEND</v>
      </c>
      <c r="D8538" s="2" t="str">
        <f t="shared" si="707"/>
        <v>PARA</v>
      </c>
      <c r="E8538" s="2" t="str">
        <f>"REL.ESTAT.ATEND. X MEDICO X PROCEDIMENTO"</f>
        <v>REL.ESTAT.ATEND. X MEDICO X PROCEDIMENTO</v>
      </c>
      <c r="F8538" s="2" t="str">
        <f>"R_EST_MEDICOPROCEDIMENTO"</f>
        <v>R_EST_MEDICOPROCEDIMENTO</v>
      </c>
      <c r="G8538" s="2" t="str">
        <f>"Serviços de Apoio / Serviço Arquivo Médico / Relatórios / Estatísticos / Atendimentos / Por Médico X Procedimentos (R_EST_MEDICOPROCEDIMENTO)"</f>
        <v>Serviços de Apoio / Serviço Arquivo Médico / Relatórios / Estatísticos / Atendimentos / Por Médico X Procedimentos (R_EST_MEDICOPROCEDIMENTO)</v>
      </c>
    </row>
    <row r="8539" spans="1:7" x14ac:dyDescent="0.3">
      <c r="A8539" s="1" t="s">
        <v>4</v>
      </c>
      <c r="B8539" s="2" t="str">
        <f t="shared" si="705"/>
        <v>SISTEMA DE GERENCIAMENTO AMBULATORIAL</v>
      </c>
      <c r="C8539" s="2" t="str">
        <f t="shared" si="706"/>
        <v>ATEND</v>
      </c>
      <c r="D8539" s="2" t="str">
        <f t="shared" si="707"/>
        <v>PARA</v>
      </c>
      <c r="E8539" s="2" t="str">
        <f>"REL.ESTAT.ATEND. X MEDICO X PROCEDIMENTO"</f>
        <v>REL.ESTAT.ATEND. X MEDICO X PROCEDIMENTO</v>
      </c>
      <c r="F8539" s="2" t="str">
        <f>"R_EST_MEDICOPROCEDIMENTO"</f>
        <v>R_EST_MEDICOPROCEDIMENTO</v>
      </c>
      <c r="G8539" s="2" t="str">
        <f>"MVSaude / Vendas / Internação / Relatórios / Estatísticos / Atendimentos / Por Médico X Procedimentos (R_EST_MEDICOPROCEDIMENTO)"</f>
        <v>MVSaude / Vendas / Internação / Relatórios / Estatísticos / Atendimentos / Por Médico X Procedimentos (R_EST_MEDICOPROCEDIMENTO)</v>
      </c>
    </row>
    <row r="8540" spans="1:7" x14ac:dyDescent="0.3">
      <c r="A8540" s="1" t="s">
        <v>4</v>
      </c>
      <c r="B8540" s="2" t="str">
        <f t="shared" si="705"/>
        <v>SISTEMA DE GERENCIAMENTO AMBULATORIAL</v>
      </c>
      <c r="C8540" s="2" t="str">
        <f t="shared" si="706"/>
        <v>ATEND</v>
      </c>
      <c r="D8540" s="2" t="str">
        <f t="shared" si="707"/>
        <v>PARA</v>
      </c>
      <c r="E8540" s="2" t="str">
        <f>"REL.ESTAT.ATEND. X MEDICO X PROCEDIMENTO"</f>
        <v>REL.ESTAT.ATEND. X MEDICO X PROCEDIMENTO</v>
      </c>
      <c r="F8540" s="2" t="str">
        <f>"R_EST_MEDICOPROCEDIMENTO"</f>
        <v>R_EST_MEDICOPROCEDIMENTO</v>
      </c>
      <c r="G8540" s="2" t="str">
        <f>"Atendimento / Internação / Relatórios / Estatísticos / Atendimentos / Por Médico X Procedimentos (R_EST_MEDICOPROCEDIMENTO)"</f>
        <v>Atendimento / Internação / Relatórios / Estatísticos / Atendimentos / Por Médico X Procedimentos (R_EST_MEDICOPROCEDIMENTO)</v>
      </c>
    </row>
    <row r="8541" spans="1:7" x14ac:dyDescent="0.3">
      <c r="A8541" s="1" t="s">
        <v>4</v>
      </c>
      <c r="B8541" s="2" t="str">
        <f t="shared" si="705"/>
        <v>SISTEMA DE GERENCIAMENTO AMBULATORIAL</v>
      </c>
      <c r="C8541" s="2" t="str">
        <f t="shared" si="706"/>
        <v>ATEND</v>
      </c>
      <c r="D8541" s="2" t="str">
        <f t="shared" si="707"/>
        <v>PARA</v>
      </c>
      <c r="E8541" s="2" t="str">
        <f>"REL.ESTAT.ATEND. X MEDICO X PROCEDIMENTO"</f>
        <v>REL.ESTAT.ATEND. X MEDICO X PROCEDIMENTO</v>
      </c>
      <c r="F8541" s="2" t="str">
        <f>"R_EST_MEDICOPROCEDIMENTO"</f>
        <v>R_EST_MEDICOPROCEDIMENTO</v>
      </c>
      <c r="G8541" s="2" t="str">
        <f>"Outros / Fusam / Relatórios / Estatísticos / Atendimentos por Médico X Procedimentos (R_EST_MEDICOPROCEDIMENTO)"</f>
        <v>Outros / Fusam / Relatórios / Estatísticos / Atendimentos por Médico X Procedimentos (R_EST_MEDICOPROCEDIMENTO)</v>
      </c>
    </row>
    <row r="8542" spans="1:7" x14ac:dyDescent="0.3">
      <c r="A8542" s="1" t="s">
        <v>4</v>
      </c>
      <c r="B8542" s="2" t="str">
        <f t="shared" si="705"/>
        <v>SISTEMA DE GERENCIAMENTO AMBULATORIAL</v>
      </c>
      <c r="C8542" s="2" t="str">
        <f t="shared" si="706"/>
        <v>ATEND</v>
      </c>
      <c r="D8542" s="2" t="str">
        <f t="shared" si="707"/>
        <v>PARA</v>
      </c>
      <c r="E8542" s="2" t="str">
        <f>"REL.ESTAT.ATEND. X MEDICO X PROCEDIMENTO"</f>
        <v>REL.ESTAT.ATEND. X MEDICO X PROCEDIMENTO</v>
      </c>
      <c r="F8542" s="2" t="str">
        <f>"R_EST_MEDICOPROCEDIMENTO"</f>
        <v>R_EST_MEDICOPROCEDIMENTO</v>
      </c>
      <c r="G8542" s="2" t="str">
        <f>"MVSaude / Atendimento / Autorizações de Guias / Internação / Relatórios / Estatísticos / Atendimentos / Por Médico X Procedimentos (R_EST_MEDICOPROCEDIMENTO)"</f>
        <v>MVSaude / Atendimento / Autorizações de Guias / Internação / Relatórios / Estatísticos / Atendimentos / Por Médico X Procedimentos (R_EST_MEDICOPROCEDIMENTO)</v>
      </c>
    </row>
    <row r="8543" spans="1:7" x14ac:dyDescent="0.3">
      <c r="A8543" s="1" t="s">
        <v>4</v>
      </c>
      <c r="B8543" s="2" t="str">
        <f t="shared" si="705"/>
        <v>SISTEMA DE GERENCIAMENTO AMBULATORIAL</v>
      </c>
      <c r="C8543" s="2" t="str">
        <f t="shared" si="706"/>
        <v>ATEND</v>
      </c>
      <c r="D8543" s="2" t="str">
        <f t="shared" si="707"/>
        <v>PARA</v>
      </c>
      <c r="E8543" s="2" t="str">
        <f>"R_COMP_AGENDAMENTO"</f>
        <v>R_COMP_AGENDAMENTO</v>
      </c>
      <c r="F8543" s="2" t="str">
        <f>"R_COMP_AGENDAMENTO"</f>
        <v>R_COMP_AGENDAMENTO</v>
      </c>
      <c r="G8543" s="2" t="str">
        <f>" ()"</f>
        <v xml:space="preserve"> ()</v>
      </c>
    </row>
    <row r="8544" spans="1:7" x14ac:dyDescent="0.3">
      <c r="A8544" s="1" t="s">
        <v>4</v>
      </c>
      <c r="B8544" s="2" t="str">
        <f t="shared" si="705"/>
        <v>SISTEMA DE GERENCIAMENTO AMBULATORIAL</v>
      </c>
      <c r="C8544" s="2" t="str">
        <f t="shared" si="706"/>
        <v>ATEND</v>
      </c>
      <c r="D8544" s="2" t="str">
        <f t="shared" si="707"/>
        <v>PARA</v>
      </c>
      <c r="E8544" s="2" t="str">
        <f t="shared" ref="E8544:E8552" si="709">"RELATÓRIO DE PACIENTES ATENDIDOS"</f>
        <v>RELATÓRIO DE PACIENTES ATENDIDOS</v>
      </c>
      <c r="F8544" s="2" t="str">
        <f t="shared" ref="F8544:F8552" si="710">"R_PAC_ATENDIDOS"</f>
        <v>R_PAC_ATENDIDOS</v>
      </c>
      <c r="G8544" s="2" t="str">
        <f>"MVSaude / Vendas / Internação / Relatórios / Operacionais / Pacientes / Atendidos com Endereço (R_PAC_ATENDIDOS)"</f>
        <v>MVSaude / Vendas / Internação / Relatórios / Operacionais / Pacientes / Atendidos com Endereço (R_PAC_ATENDIDOS)</v>
      </c>
    </row>
    <row r="8545" spans="1:7" x14ac:dyDescent="0.3">
      <c r="A8545" s="1" t="s">
        <v>4</v>
      </c>
      <c r="B8545" s="2" t="str">
        <f t="shared" si="705"/>
        <v>SISTEMA DE GERENCIAMENTO AMBULATORIAL</v>
      </c>
      <c r="C8545" s="2" t="str">
        <f t="shared" si="706"/>
        <v>ATEND</v>
      </c>
      <c r="D8545" s="2" t="str">
        <f t="shared" si="707"/>
        <v>PARA</v>
      </c>
      <c r="E8545" s="2" t="str">
        <f t="shared" si="709"/>
        <v>RELATÓRIO DE PACIENTES ATENDIDOS</v>
      </c>
      <c r="F8545" s="2" t="str">
        <f t="shared" si="710"/>
        <v>R_PAC_ATENDIDOS</v>
      </c>
      <c r="G8545" s="2" t="str">
        <f>"Atendimento / Ambulatório / Relatórios / Operacionais / Pacientes Atendidos (R_PAC_ATENDIDOS)"</f>
        <v>Atendimento / Ambulatório / Relatórios / Operacionais / Pacientes Atendidos (R_PAC_ATENDIDOS)</v>
      </c>
    </row>
    <row r="8546" spans="1:7" x14ac:dyDescent="0.3">
      <c r="A8546" s="1" t="s">
        <v>4</v>
      </c>
      <c r="B8546" s="2" t="str">
        <f t="shared" si="705"/>
        <v>SISTEMA DE GERENCIAMENTO AMBULATORIAL</v>
      </c>
      <c r="C8546" s="2" t="str">
        <f t="shared" si="706"/>
        <v>ATEND</v>
      </c>
      <c r="D8546" s="2" t="str">
        <f t="shared" si="707"/>
        <v>PARA</v>
      </c>
      <c r="E8546" s="2" t="str">
        <f t="shared" si="709"/>
        <v>RELATÓRIO DE PACIENTES ATENDIDOS</v>
      </c>
      <c r="F8546" s="2" t="str">
        <f t="shared" si="710"/>
        <v>R_PAC_ATENDIDOS</v>
      </c>
      <c r="G8546" s="2" t="str">
        <f>"Controladoria / Tesouraria / Relatórios / Urgência / Emergência / Pacientes Atendidos (R_PAC_ATENDIDOS)"</f>
        <v>Controladoria / Tesouraria / Relatórios / Urgência / Emergência / Pacientes Atendidos (R_PAC_ATENDIDOS)</v>
      </c>
    </row>
    <row r="8547" spans="1:7" x14ac:dyDescent="0.3">
      <c r="A8547" s="1" t="s">
        <v>4</v>
      </c>
      <c r="B8547" s="2" t="str">
        <f t="shared" si="705"/>
        <v>SISTEMA DE GERENCIAMENTO AMBULATORIAL</v>
      </c>
      <c r="C8547" s="2" t="str">
        <f t="shared" si="706"/>
        <v>ATEND</v>
      </c>
      <c r="D8547" s="2" t="str">
        <f t="shared" si="707"/>
        <v>PARA</v>
      </c>
      <c r="E8547" s="2" t="str">
        <f t="shared" si="709"/>
        <v>RELATÓRIO DE PACIENTES ATENDIDOS</v>
      </c>
      <c r="F8547" s="2" t="str">
        <f t="shared" si="710"/>
        <v>R_PAC_ATENDIDOS</v>
      </c>
      <c r="G8547" s="2" t="str">
        <f>"Controladoria / Tesouraria / Relatórios / Internação / Pacientes Atendidos (R_PAC_ATENDIDOS)"</f>
        <v>Controladoria / Tesouraria / Relatórios / Internação / Pacientes Atendidos (R_PAC_ATENDIDOS)</v>
      </c>
    </row>
    <row r="8548" spans="1:7" x14ac:dyDescent="0.3">
      <c r="A8548" s="1" t="s">
        <v>4</v>
      </c>
      <c r="B8548" s="2" t="str">
        <f t="shared" si="705"/>
        <v>SISTEMA DE GERENCIAMENTO AMBULATORIAL</v>
      </c>
      <c r="C8548" s="2" t="str">
        <f t="shared" si="706"/>
        <v>ATEND</v>
      </c>
      <c r="D8548" s="2" t="str">
        <f t="shared" si="707"/>
        <v>PARA</v>
      </c>
      <c r="E8548" s="2" t="str">
        <f t="shared" si="709"/>
        <v>RELATÓRIO DE PACIENTES ATENDIDOS</v>
      </c>
      <c r="F8548" s="2" t="str">
        <f t="shared" si="710"/>
        <v>R_PAC_ATENDIDOS</v>
      </c>
      <c r="G8548" s="2" t="str">
        <f>"Atendimento / Urgência e Emergência / Relatórios / Administrativos / Pacientes Atendidos (R_PAC_ATENDIDOS)"</f>
        <v>Atendimento / Urgência e Emergência / Relatórios / Administrativos / Pacientes Atendidos (R_PAC_ATENDIDOS)</v>
      </c>
    </row>
    <row r="8549" spans="1:7" x14ac:dyDescent="0.3">
      <c r="A8549" s="1" t="s">
        <v>4</v>
      </c>
      <c r="B8549" s="2" t="str">
        <f t="shared" si="705"/>
        <v>SISTEMA DE GERENCIAMENTO AMBULATORIAL</v>
      </c>
      <c r="C8549" s="2" t="str">
        <f t="shared" si="706"/>
        <v>ATEND</v>
      </c>
      <c r="D8549" s="2" t="str">
        <f t="shared" si="707"/>
        <v>PARA</v>
      </c>
      <c r="E8549" s="2" t="str">
        <f t="shared" si="709"/>
        <v>RELATÓRIO DE PACIENTES ATENDIDOS</v>
      </c>
      <c r="F8549" s="2" t="str">
        <f t="shared" si="710"/>
        <v>R_PAC_ATENDIDOS</v>
      </c>
      <c r="G8549" s="2" t="str">
        <f>"Atendimento / Internação / Relatórios / Operacionais / Pacientes / Atendidos com Endereço (R_PAC_ATENDIDOS)"</f>
        <v>Atendimento / Internação / Relatórios / Operacionais / Pacientes / Atendidos com Endereço (R_PAC_ATENDIDOS)</v>
      </c>
    </row>
    <row r="8550" spans="1:7" x14ac:dyDescent="0.3">
      <c r="A8550" s="1" t="s">
        <v>4</v>
      </c>
      <c r="B8550" s="2" t="str">
        <f t="shared" si="705"/>
        <v>SISTEMA DE GERENCIAMENTO AMBULATORIAL</v>
      </c>
      <c r="C8550" s="2" t="str">
        <f t="shared" si="706"/>
        <v>ATEND</v>
      </c>
      <c r="D8550" s="2" t="str">
        <f t="shared" si="707"/>
        <v>PARA</v>
      </c>
      <c r="E8550" s="2" t="str">
        <f t="shared" si="709"/>
        <v>RELATÓRIO DE PACIENTES ATENDIDOS</v>
      </c>
      <c r="F8550" s="2" t="str">
        <f t="shared" si="710"/>
        <v>R_PAC_ATENDIDOS</v>
      </c>
      <c r="G8550" s="2" t="str">
        <f>"Serviços de Apoio / Serviço Arquivo Médico / Relatórios / Operacionais / Pacientes / Atendidos com Endereço (R_PAC_ATENDIDOS)"</f>
        <v>Serviços de Apoio / Serviço Arquivo Médico / Relatórios / Operacionais / Pacientes / Atendidos com Endereço (R_PAC_ATENDIDOS)</v>
      </c>
    </row>
    <row r="8551" spans="1:7" x14ac:dyDescent="0.3">
      <c r="A8551" s="1" t="s">
        <v>4</v>
      </c>
      <c r="B8551" s="2" t="str">
        <f t="shared" si="705"/>
        <v>SISTEMA DE GERENCIAMENTO AMBULATORIAL</v>
      </c>
      <c r="C8551" s="2" t="str">
        <f t="shared" si="706"/>
        <v>ATEND</v>
      </c>
      <c r="D8551" s="2" t="str">
        <f t="shared" si="707"/>
        <v>PARA</v>
      </c>
      <c r="E8551" s="2" t="str">
        <f t="shared" si="709"/>
        <v>RELATÓRIO DE PACIENTES ATENDIDOS</v>
      </c>
      <c r="F8551" s="2" t="str">
        <f t="shared" si="710"/>
        <v>R_PAC_ATENDIDOS</v>
      </c>
      <c r="G8551" s="2" t="str">
        <f>"Atendimento / Internação Domiciliar (Home Care) / Relatórios / Operacionais / Pacientes Atendidos com Endereço (R_PAC_ATENDIDOS)"</f>
        <v>Atendimento / Internação Domiciliar (Home Care) / Relatórios / Operacionais / Pacientes Atendidos com Endereço (R_PAC_ATENDIDOS)</v>
      </c>
    </row>
    <row r="8552" spans="1:7" x14ac:dyDescent="0.3">
      <c r="A8552" s="1" t="s">
        <v>4</v>
      </c>
      <c r="B8552" s="2" t="str">
        <f t="shared" si="705"/>
        <v>SISTEMA DE GERENCIAMENTO AMBULATORIAL</v>
      </c>
      <c r="C8552" s="2" t="str">
        <f t="shared" si="706"/>
        <v>ATEND</v>
      </c>
      <c r="D8552" s="2" t="str">
        <f t="shared" si="707"/>
        <v>PARA</v>
      </c>
      <c r="E8552" s="2" t="str">
        <f t="shared" si="709"/>
        <v>RELATÓRIO DE PACIENTES ATENDIDOS</v>
      </c>
      <c r="F8552" s="2" t="str">
        <f t="shared" si="710"/>
        <v>R_PAC_ATENDIDOS</v>
      </c>
      <c r="G8552" s="2" t="str">
        <f>"MVSaude / Atendimento / Autorizações de Guias / Internação / Relatórios / Operacionais / Pacientes / Atendidos com Endereço (R_PAC_ATENDIDOS)"</f>
        <v>MVSaude / Atendimento / Autorizações de Guias / Internação / Relatórios / Operacionais / Pacientes / Atendidos com Endereço (R_PAC_ATENDIDOS)</v>
      </c>
    </row>
    <row r="8553" spans="1:7" x14ac:dyDescent="0.3">
      <c r="A8553" s="1" t="s">
        <v>4</v>
      </c>
      <c r="B8553" s="2" t="str">
        <f t="shared" si="705"/>
        <v>SISTEMA DE GERENCIAMENTO AMBULATORIAL</v>
      </c>
      <c r="C8553" s="2" t="str">
        <f t="shared" si="706"/>
        <v>ATEND</v>
      </c>
      <c r="D8553" s="2" t="str">
        <f t="shared" si="707"/>
        <v>PARA</v>
      </c>
      <c r="E8553" s="2" t="str">
        <f>"CONSULTÓRIO"</f>
        <v>CONSULTÓRIO</v>
      </c>
      <c r="F8553" s="2" t="str">
        <f>"CONSULTORIONEW"</f>
        <v>CONSULTORIONEW</v>
      </c>
      <c r="G8553" s="2" t="str">
        <f>" ()"</f>
        <v xml:space="preserve"> ()</v>
      </c>
    </row>
    <row r="8554" spans="1:7" x14ac:dyDescent="0.3">
      <c r="A8554" s="1" t="s">
        <v>4</v>
      </c>
      <c r="B8554" s="2" t="str">
        <f t="shared" si="705"/>
        <v>SISTEMA DE GERENCIAMENTO AMBULATORIAL</v>
      </c>
      <c r="C8554" s="2" t="str">
        <f t="shared" si="706"/>
        <v>ATEND</v>
      </c>
      <c r="D8554" s="2" t="str">
        <f t="shared" si="707"/>
        <v>PARA</v>
      </c>
      <c r="E8554" s="2" t="str">
        <f>"RELATÓRIO DE PRODUÇÃO POR ORIGEM"</f>
        <v>RELATÓRIO DE PRODUÇÃO POR ORIGEM</v>
      </c>
      <c r="F8554" s="2" t="str">
        <f>"R_EST_P_ORI"</f>
        <v>R_EST_P_ORI</v>
      </c>
      <c r="G8554" s="2" t="str">
        <f>" ()"</f>
        <v xml:space="preserve"> ()</v>
      </c>
    </row>
    <row r="8555" spans="1:7" x14ac:dyDescent="0.3">
      <c r="A8555" s="1" t="s">
        <v>4</v>
      </c>
      <c r="B8555" s="2" t="str">
        <f t="shared" si="705"/>
        <v>SISTEMA DE GERENCIAMENTO AMBULATORIAL</v>
      </c>
      <c r="C8555" s="2" t="str">
        <f t="shared" si="706"/>
        <v>ATEND</v>
      </c>
      <c r="D8555" s="2" t="str">
        <f t="shared" si="707"/>
        <v>PARA</v>
      </c>
      <c r="E8555" s="2" t="str">
        <f>"REL.EST.ATEND. X MEDICO X CONVENIO"</f>
        <v>REL.EST.ATEND. X MEDICO X CONVENIO</v>
      </c>
      <c r="F8555" s="2" t="str">
        <f>"R_EST_ATEN_MEDCONV"</f>
        <v>R_EST_ATEN_MEDCONV</v>
      </c>
      <c r="G8555" s="2" t="str">
        <f>"Atendimento / Ambulatório / Relatórios / Estatísticos / Atendimentos por Médico x Convênio (R_EST_ATEN_MEDCONV)"</f>
        <v>Atendimento / Ambulatório / Relatórios / Estatísticos / Atendimentos por Médico x Convênio (R_EST_ATEN_MEDCONV)</v>
      </c>
    </row>
    <row r="8556" spans="1:7" x14ac:dyDescent="0.3">
      <c r="A8556" s="1" t="s">
        <v>4</v>
      </c>
      <c r="B8556" s="2" t="str">
        <f t="shared" si="705"/>
        <v>SISTEMA DE GERENCIAMENTO AMBULATORIAL</v>
      </c>
      <c r="C8556" s="2" t="str">
        <f t="shared" si="706"/>
        <v>ATEND</v>
      </c>
      <c r="D8556" s="2" t="str">
        <f t="shared" si="707"/>
        <v>PARA</v>
      </c>
      <c r="E8556" s="2" t="str">
        <f>"REL.EST.ATEND. X MEDICO X CONVENIO"</f>
        <v>REL.EST.ATEND. X MEDICO X CONVENIO</v>
      </c>
      <c r="F8556" s="2" t="str">
        <f>"R_EST_ATEN_MEDCONV"</f>
        <v>R_EST_ATEN_MEDCONV</v>
      </c>
      <c r="G8556" s="2" t="str">
        <f>"Atendimento / Urgência e Emergência / Relatórios / Estatísticos / Atendimentos por / Médico X Convênio (R_EST_ATEN_MEDCONV)"</f>
        <v>Atendimento / Urgência e Emergência / Relatórios / Estatísticos / Atendimentos por / Médico X Convênio (R_EST_ATEN_MEDCONV)</v>
      </c>
    </row>
    <row r="8557" spans="1:7" x14ac:dyDescent="0.3">
      <c r="A8557" s="1" t="s">
        <v>4</v>
      </c>
      <c r="B8557" s="2" t="str">
        <f t="shared" si="705"/>
        <v>SISTEMA DE GERENCIAMENTO AMBULATORIAL</v>
      </c>
      <c r="C8557" s="2" t="str">
        <f t="shared" si="706"/>
        <v>ATEND</v>
      </c>
      <c r="D8557" s="2" t="str">
        <f t="shared" si="707"/>
        <v>PARA</v>
      </c>
      <c r="E8557" s="2" t="str">
        <f>"REL.EST.ATEND. X MEDICO X CONVENIO"</f>
        <v>REL.EST.ATEND. X MEDICO X CONVENIO</v>
      </c>
      <c r="F8557" s="2" t="str">
        <f>"R_EST_ATEN_MEDCONV"</f>
        <v>R_EST_ATEN_MEDCONV</v>
      </c>
      <c r="G8557" s="2" t="str">
        <f>"Outros / Fusam / Relatórios / Estatísticos / Atendimentos por Médico x Convênio (R_EST_ATEN_MEDCONV)"</f>
        <v>Outros / Fusam / Relatórios / Estatísticos / Atendimentos por Médico x Convênio (R_EST_ATEN_MEDCONV)</v>
      </c>
    </row>
    <row r="8558" spans="1:7" x14ac:dyDescent="0.3">
      <c r="A8558" s="1" t="s">
        <v>4</v>
      </c>
      <c r="B8558" s="2" t="str">
        <f t="shared" si="705"/>
        <v>SISTEMA DE GERENCIAMENTO AMBULATORIAL</v>
      </c>
      <c r="C8558" s="2" t="str">
        <f t="shared" si="706"/>
        <v>ATEND</v>
      </c>
      <c r="D8558" s="2" t="str">
        <f t="shared" si="707"/>
        <v>PARA</v>
      </c>
      <c r="E8558" s="2" t="str">
        <f>"REL.EST. ATENDIMENTOS X PROFISSÃO"</f>
        <v>REL.EST. ATENDIMENTOS X PROFISSÃO</v>
      </c>
      <c r="F8558" s="2" t="str">
        <f>"R_EST_ATEN_PROF"</f>
        <v>R_EST_ATEN_PROF</v>
      </c>
      <c r="G8558" s="2" t="str">
        <f>"Atendimento / Ambulatório / Relatórios / Estatísticos / Atendimentos por Profissão (R_EST_ATEN_PROF)"</f>
        <v>Atendimento / Ambulatório / Relatórios / Estatísticos / Atendimentos por Profissão (R_EST_ATEN_PROF)</v>
      </c>
    </row>
    <row r="8559" spans="1:7" x14ac:dyDescent="0.3">
      <c r="A8559" s="1" t="s">
        <v>4</v>
      </c>
      <c r="B8559" s="2" t="str">
        <f t="shared" si="705"/>
        <v>SISTEMA DE GERENCIAMENTO AMBULATORIAL</v>
      </c>
      <c r="C8559" s="2" t="str">
        <f t="shared" si="706"/>
        <v>ATEND</v>
      </c>
      <c r="D8559" s="2" t="str">
        <f t="shared" si="707"/>
        <v>PARA</v>
      </c>
      <c r="E8559" s="2" t="str">
        <f>"REL.EST. ATENDIMENTOS X PROFISSÃO"</f>
        <v>REL.EST. ATENDIMENTOS X PROFISSÃO</v>
      </c>
      <c r="F8559" s="2" t="str">
        <f>"R_EST_ATEN_PROF"</f>
        <v>R_EST_ATEN_PROF</v>
      </c>
      <c r="G8559" s="2" t="str">
        <f>"Outros / Fusam / Relatórios / Estatísticos / Atendimentos por Profissão (R_EST_ATEN_PROF)"</f>
        <v>Outros / Fusam / Relatórios / Estatísticos / Atendimentos por Profissão (R_EST_ATEN_PROF)</v>
      </c>
    </row>
    <row r="8560" spans="1:7" x14ac:dyDescent="0.3">
      <c r="A8560" s="1" t="s">
        <v>4</v>
      </c>
      <c r="B8560" s="2" t="str">
        <f t="shared" si="705"/>
        <v>SISTEMA DE GERENCIAMENTO AMBULATORIAL</v>
      </c>
      <c r="C8560" s="2" t="str">
        <f t="shared" si="706"/>
        <v>ATEND</v>
      </c>
      <c r="D8560" s="2" t="str">
        <f t="shared" si="707"/>
        <v>PARA</v>
      </c>
      <c r="E8560" s="2" t="str">
        <f>"CONFIRMAÇÃO DE CIRURGIA"</f>
        <v>CONFIRMAÇÃO DE CIRURGIA</v>
      </c>
      <c r="F8560" s="2" t="str">
        <f>"SOSCONFCIRU"</f>
        <v>SOSCONFCIRU</v>
      </c>
      <c r="G8560" s="2" t="str">
        <f>" ()"</f>
        <v xml:space="preserve"> ()</v>
      </c>
    </row>
    <row r="8561" spans="1:7" x14ac:dyDescent="0.3">
      <c r="A8561" s="1" t="s">
        <v>4</v>
      </c>
      <c r="B8561" s="2" t="str">
        <f t="shared" si="705"/>
        <v>SISTEMA DE GERENCIAMENTO AMBULATORIAL</v>
      </c>
      <c r="C8561" s="2" t="str">
        <f t="shared" si="706"/>
        <v>ATEND</v>
      </c>
      <c r="D8561" s="2" t="str">
        <f t="shared" si="707"/>
        <v>PARA</v>
      </c>
      <c r="E8561" s="2" t="str">
        <f>"RECEITA PADRÃO"</f>
        <v>RECEITA PADRÃO</v>
      </c>
      <c r="F8561" s="2" t="str">
        <f>"M_REC_PADR"</f>
        <v>M_REC_PADR</v>
      </c>
      <c r="G8561" s="2" t="str">
        <f>" ()"</f>
        <v xml:space="preserve"> ()</v>
      </c>
    </row>
    <row r="8562" spans="1:7" x14ac:dyDescent="0.3">
      <c r="A8562" s="1" t="s">
        <v>4</v>
      </c>
      <c r="B8562" s="2" t="str">
        <f t="shared" si="705"/>
        <v>SISTEMA DE GERENCIAMENTO AMBULATORIAL</v>
      </c>
      <c r="C8562" s="2" t="str">
        <f t="shared" si="706"/>
        <v>ATEND</v>
      </c>
      <c r="D8562" s="2" t="str">
        <f t="shared" si="707"/>
        <v>PARA</v>
      </c>
      <c r="E8562" s="2" t="str">
        <f>"RELATÓRIO DE LAUDO"</f>
        <v>RELATÓRIO DE LAUDO</v>
      </c>
      <c r="F8562" s="2" t="str">
        <f>"R_LAUDO"</f>
        <v>R_LAUDO</v>
      </c>
      <c r="G8562" s="2" t="str">
        <f>" ()"</f>
        <v xml:space="preserve"> ()</v>
      </c>
    </row>
    <row r="8563" spans="1:7" x14ac:dyDescent="0.3">
      <c r="A8563" s="1" t="s">
        <v>4</v>
      </c>
      <c r="B8563" s="2" t="str">
        <f t="shared" si="705"/>
        <v>SISTEMA DE GERENCIAMENTO AMBULATORIAL</v>
      </c>
      <c r="C8563" s="2" t="str">
        <f t="shared" si="706"/>
        <v>ATEND</v>
      </c>
      <c r="D8563" s="2" t="str">
        <f t="shared" si="707"/>
        <v>PARA</v>
      </c>
      <c r="E8563" s="2" t="str">
        <f>"RECEPÇÃO DE CIRURGIA"</f>
        <v>RECEPÇÃO DE CIRURGIA</v>
      </c>
      <c r="F8563" s="2" t="str">
        <f>"CONFCIRU"</f>
        <v>CONFCIRU</v>
      </c>
      <c r="G8563" s="2" t="str">
        <f>" ()"</f>
        <v xml:space="preserve"> ()</v>
      </c>
    </row>
    <row r="8564" spans="1:7" x14ac:dyDescent="0.3">
      <c r="A8564" s="1" t="s">
        <v>4</v>
      </c>
      <c r="B8564" s="2" t="str">
        <f t="shared" si="705"/>
        <v>SISTEMA DE GERENCIAMENTO AMBULATORIAL</v>
      </c>
      <c r="C8564" s="2" t="str">
        <f t="shared" si="706"/>
        <v>ATEND</v>
      </c>
      <c r="D8564" s="2" t="str">
        <f t="shared" si="707"/>
        <v>PARA</v>
      </c>
      <c r="E8564" s="2" t="str">
        <f>"REIMPRESSÃO DE ATESTADO"</f>
        <v>REIMPRESSÃO DE ATESTADO</v>
      </c>
      <c r="F8564" s="2" t="str">
        <f>"M_IMP_ATESTADO"</f>
        <v>M_IMP_ATESTADO</v>
      </c>
      <c r="G8564" s="2" t="str">
        <f>" ()"</f>
        <v xml:space="preserve"> ()</v>
      </c>
    </row>
    <row r="8565" spans="1:7" x14ac:dyDescent="0.3">
      <c r="A8565" s="1" t="s">
        <v>4</v>
      </c>
      <c r="B8565" s="2" t="str">
        <f t="shared" si="705"/>
        <v>SISTEMA DE GERENCIAMENTO AMBULATORIAL</v>
      </c>
      <c r="C8565" s="2" t="str">
        <f t="shared" si="706"/>
        <v>ATEND</v>
      </c>
      <c r="D8565" s="2" t="str">
        <f t="shared" si="707"/>
        <v>PARA</v>
      </c>
      <c r="E8565" s="2" t="str">
        <f t="shared" ref="E8565:E8572" si="711">"REL.ESTAT DE ATENDIMENTOS X ORIGEM"</f>
        <v>REL.ESTAT DE ATENDIMENTOS X ORIGEM</v>
      </c>
      <c r="F8565" s="2" t="str">
        <f t="shared" ref="F8565:F8572" si="712">"R_EST_ATEN_ORIGEM"</f>
        <v>R_EST_ATEN_ORIGEM</v>
      </c>
      <c r="G8565" s="2" t="str">
        <f>"Atendimento / Ambulatório / Relatórios / Estatísticos / Atendimentos por Origem (R_EST_ATEN_ORIGEM)"</f>
        <v>Atendimento / Ambulatório / Relatórios / Estatísticos / Atendimentos por Origem (R_EST_ATEN_ORIGEM)</v>
      </c>
    </row>
    <row r="8566" spans="1:7" x14ac:dyDescent="0.3">
      <c r="A8566" s="1" t="s">
        <v>4</v>
      </c>
      <c r="B8566" s="2" t="str">
        <f t="shared" si="705"/>
        <v>SISTEMA DE GERENCIAMENTO AMBULATORIAL</v>
      </c>
      <c r="C8566" s="2" t="str">
        <f t="shared" si="706"/>
        <v>ATEND</v>
      </c>
      <c r="D8566" s="2" t="str">
        <f t="shared" si="707"/>
        <v>PARA</v>
      </c>
      <c r="E8566" s="2" t="str">
        <f t="shared" si="711"/>
        <v>REL.ESTAT DE ATENDIMENTOS X ORIGEM</v>
      </c>
      <c r="F8566" s="2" t="str">
        <f t="shared" si="712"/>
        <v>R_EST_ATEN_ORIGEM</v>
      </c>
      <c r="G8566" s="2" t="str">
        <f>"Atendimento / Urgência e Emergência / Relatórios / Estatísticos / Atendimentos por / Origem (R_EST_ATEN_ORIGEM)"</f>
        <v>Atendimento / Urgência e Emergência / Relatórios / Estatísticos / Atendimentos por / Origem (R_EST_ATEN_ORIGEM)</v>
      </c>
    </row>
    <row r="8567" spans="1:7" x14ac:dyDescent="0.3">
      <c r="A8567" s="1" t="s">
        <v>4</v>
      </c>
      <c r="B8567" s="2" t="str">
        <f t="shared" si="705"/>
        <v>SISTEMA DE GERENCIAMENTO AMBULATORIAL</v>
      </c>
      <c r="C8567" s="2" t="str">
        <f t="shared" si="706"/>
        <v>ATEND</v>
      </c>
      <c r="D8567" s="2" t="str">
        <f t="shared" si="707"/>
        <v>PARA</v>
      </c>
      <c r="E8567" s="2" t="str">
        <f t="shared" si="711"/>
        <v>REL.ESTAT DE ATENDIMENTOS X ORIGEM</v>
      </c>
      <c r="F8567" s="2" t="str">
        <f t="shared" si="712"/>
        <v>R_EST_ATEN_ORIGEM</v>
      </c>
      <c r="G8567" s="2" t="str">
        <f>"Serviços de Apoio / Serviço Arquivo Médico / Relatórios / Estatísticos / Atendimentos / Por Origem (R_EST_ATEN_ORIGEM)"</f>
        <v>Serviços de Apoio / Serviço Arquivo Médico / Relatórios / Estatísticos / Atendimentos / Por Origem (R_EST_ATEN_ORIGEM)</v>
      </c>
    </row>
    <row r="8568" spans="1:7" x14ac:dyDescent="0.3">
      <c r="A8568" s="1" t="s">
        <v>4</v>
      </c>
      <c r="B8568" s="2" t="str">
        <f t="shared" si="705"/>
        <v>SISTEMA DE GERENCIAMENTO AMBULATORIAL</v>
      </c>
      <c r="C8568" s="2" t="str">
        <f t="shared" si="706"/>
        <v>ATEND</v>
      </c>
      <c r="D8568" s="2" t="str">
        <f t="shared" si="707"/>
        <v>PARA</v>
      </c>
      <c r="E8568" s="2" t="str">
        <f t="shared" si="711"/>
        <v>REL.ESTAT DE ATENDIMENTOS X ORIGEM</v>
      </c>
      <c r="F8568" s="2" t="str">
        <f t="shared" si="712"/>
        <v>R_EST_ATEN_ORIGEM</v>
      </c>
      <c r="G8568" s="2" t="str">
        <f>"MVSaude / Vendas / Internação / Relatórios / Estatísticos / Atendimentos / Por Origem (R_EST_ATEN_ORIGEM)"</f>
        <v>MVSaude / Vendas / Internação / Relatórios / Estatísticos / Atendimentos / Por Origem (R_EST_ATEN_ORIGEM)</v>
      </c>
    </row>
    <row r="8569" spans="1:7" x14ac:dyDescent="0.3">
      <c r="A8569" s="1" t="s">
        <v>4</v>
      </c>
      <c r="B8569" s="2" t="str">
        <f t="shared" si="705"/>
        <v>SISTEMA DE GERENCIAMENTO AMBULATORIAL</v>
      </c>
      <c r="C8569" s="2" t="str">
        <f t="shared" si="706"/>
        <v>ATEND</v>
      </c>
      <c r="D8569" s="2" t="str">
        <f t="shared" si="707"/>
        <v>PARA</v>
      </c>
      <c r="E8569" s="2" t="str">
        <f t="shared" si="711"/>
        <v>REL.ESTAT DE ATENDIMENTOS X ORIGEM</v>
      </c>
      <c r="F8569" s="2" t="str">
        <f t="shared" si="712"/>
        <v>R_EST_ATEN_ORIGEM</v>
      </c>
      <c r="G8569" s="2" t="str">
        <f>"Atendimento / Internação / Relatórios / Estatísticos / Atendimentos / Por Origem (R_EST_ATEN_ORIGEM)"</f>
        <v>Atendimento / Internação / Relatórios / Estatísticos / Atendimentos / Por Origem (R_EST_ATEN_ORIGEM)</v>
      </c>
    </row>
    <row r="8570" spans="1:7" x14ac:dyDescent="0.3">
      <c r="A8570" s="1" t="s">
        <v>4</v>
      </c>
      <c r="B8570" s="2" t="str">
        <f t="shared" si="705"/>
        <v>SISTEMA DE GERENCIAMENTO AMBULATORIAL</v>
      </c>
      <c r="C8570" s="2" t="str">
        <f t="shared" si="706"/>
        <v>ATEND</v>
      </c>
      <c r="D8570" s="2" t="str">
        <f t="shared" si="707"/>
        <v>PARA</v>
      </c>
      <c r="E8570" s="2" t="str">
        <f t="shared" si="711"/>
        <v>REL.ESTAT DE ATENDIMENTOS X ORIGEM</v>
      </c>
      <c r="F8570" s="2" t="str">
        <f t="shared" si="712"/>
        <v>R_EST_ATEN_ORIGEM</v>
      </c>
      <c r="G8570" s="2" t="str">
        <f>"Outros / Fusam / Relatórios / Estatísticos / Atendimentos por Origem (R_EST_ATEN_ORIGEM)"</f>
        <v>Outros / Fusam / Relatórios / Estatísticos / Atendimentos por Origem (R_EST_ATEN_ORIGEM)</v>
      </c>
    </row>
    <row r="8571" spans="1:7" x14ac:dyDescent="0.3">
      <c r="A8571" s="1" t="s">
        <v>4</v>
      </c>
      <c r="B8571" s="2" t="str">
        <f t="shared" si="705"/>
        <v>SISTEMA DE GERENCIAMENTO AMBULATORIAL</v>
      </c>
      <c r="C8571" s="2" t="str">
        <f t="shared" si="706"/>
        <v>ATEND</v>
      </c>
      <c r="D8571" s="2" t="str">
        <f t="shared" si="707"/>
        <v>PARA</v>
      </c>
      <c r="E8571" s="2" t="str">
        <f t="shared" si="711"/>
        <v>REL.ESTAT DE ATENDIMENTOS X ORIGEM</v>
      </c>
      <c r="F8571" s="2" t="str">
        <f t="shared" si="712"/>
        <v>R_EST_ATEN_ORIGEM</v>
      </c>
      <c r="G8571" s="2" t="str">
        <f>"Atendimento / Internação Domiciliar (Home Care) / Relatórios / Estatísticos / Atendimentos por Origem (R_EST_ATEN_ORIGEM)"</f>
        <v>Atendimento / Internação Domiciliar (Home Care) / Relatórios / Estatísticos / Atendimentos por Origem (R_EST_ATEN_ORIGEM)</v>
      </c>
    </row>
    <row r="8572" spans="1:7" x14ac:dyDescent="0.3">
      <c r="A8572" s="1" t="s">
        <v>4</v>
      </c>
      <c r="B8572" s="2" t="str">
        <f t="shared" si="705"/>
        <v>SISTEMA DE GERENCIAMENTO AMBULATORIAL</v>
      </c>
      <c r="C8572" s="2" t="str">
        <f t="shared" si="706"/>
        <v>ATEND</v>
      </c>
      <c r="D8572" s="2" t="str">
        <f t="shared" si="707"/>
        <v>PARA</v>
      </c>
      <c r="E8572" s="2" t="str">
        <f t="shared" si="711"/>
        <v>REL.ESTAT DE ATENDIMENTOS X ORIGEM</v>
      </c>
      <c r="F8572" s="2" t="str">
        <f t="shared" si="712"/>
        <v>R_EST_ATEN_ORIGEM</v>
      </c>
      <c r="G8572" s="2" t="str">
        <f>"MVSaude / Atendimento / Autorizações de Guias / Internação / Relatórios / Estatísticos / Atendimentos / Por Origem (R_EST_ATEN_ORIGEM)"</f>
        <v>MVSaude / Atendimento / Autorizações de Guias / Internação / Relatórios / Estatísticos / Atendimentos / Por Origem (R_EST_ATEN_ORIGEM)</v>
      </c>
    </row>
    <row r="8573" spans="1:7" x14ac:dyDescent="0.3">
      <c r="A8573" s="1" t="s">
        <v>4</v>
      </c>
      <c r="B8573" s="2" t="str">
        <f t="shared" si="705"/>
        <v>SISTEMA DE GERENCIAMENTO AMBULATORIAL</v>
      </c>
      <c r="C8573" s="2" t="str">
        <f t="shared" si="706"/>
        <v>ATEND</v>
      </c>
      <c r="D8573" s="2" t="str">
        <f t="shared" si="707"/>
        <v>PARA</v>
      </c>
      <c r="E8573" s="2" t="str">
        <f t="shared" ref="E8573:E8580" si="713">"REL.ESTAT.ATENDIMENTOS X EMPRESA"</f>
        <v>REL.ESTAT.ATENDIMENTOS X EMPRESA</v>
      </c>
      <c r="F8573" s="2" t="str">
        <f t="shared" ref="F8573:F8580" si="714">"R_EST_ATEN_EMPRESA"</f>
        <v>R_EST_ATEN_EMPRESA</v>
      </c>
      <c r="G8573" s="2" t="str">
        <f>"Atendimento / Internação / Relatórios / Estatísticos / Atendimentos / Por Empresa (R_EST_ATEN_EMPRESA)"</f>
        <v>Atendimento / Internação / Relatórios / Estatísticos / Atendimentos / Por Empresa (R_EST_ATEN_EMPRESA)</v>
      </c>
    </row>
    <row r="8574" spans="1:7" x14ac:dyDescent="0.3">
      <c r="A8574" s="1" t="s">
        <v>4</v>
      </c>
      <c r="B8574" s="2" t="str">
        <f t="shared" si="705"/>
        <v>SISTEMA DE GERENCIAMENTO AMBULATORIAL</v>
      </c>
      <c r="C8574" s="2" t="str">
        <f t="shared" si="706"/>
        <v>ATEND</v>
      </c>
      <c r="D8574" s="2" t="str">
        <f t="shared" si="707"/>
        <v>PARA</v>
      </c>
      <c r="E8574" s="2" t="str">
        <f t="shared" si="713"/>
        <v>REL.ESTAT.ATENDIMENTOS X EMPRESA</v>
      </c>
      <c r="F8574" s="2" t="str">
        <f t="shared" si="714"/>
        <v>R_EST_ATEN_EMPRESA</v>
      </c>
      <c r="G8574" s="2" t="str">
        <f>"Atendimento / Ambulatório / Relatórios / Estatísticos / Atendimentos por Empresa (R_EST_ATEN_EMPRESA)"</f>
        <v>Atendimento / Ambulatório / Relatórios / Estatísticos / Atendimentos por Empresa (R_EST_ATEN_EMPRESA)</v>
      </c>
    </row>
    <row r="8575" spans="1:7" x14ac:dyDescent="0.3">
      <c r="A8575" s="1" t="s">
        <v>4</v>
      </c>
      <c r="B8575" s="2" t="str">
        <f t="shared" si="705"/>
        <v>SISTEMA DE GERENCIAMENTO AMBULATORIAL</v>
      </c>
      <c r="C8575" s="2" t="str">
        <f t="shared" si="706"/>
        <v>ATEND</v>
      </c>
      <c r="D8575" s="2" t="str">
        <f t="shared" si="707"/>
        <v>PARA</v>
      </c>
      <c r="E8575" s="2" t="str">
        <f t="shared" si="713"/>
        <v>REL.ESTAT.ATENDIMENTOS X EMPRESA</v>
      </c>
      <c r="F8575" s="2" t="str">
        <f t="shared" si="714"/>
        <v>R_EST_ATEN_EMPRESA</v>
      </c>
      <c r="G8575" s="2" t="str">
        <f>"Serviços de Apoio / Serviço Arquivo Médico / Relatórios / Estatísticos / Atendimentos / Por Empresa (R_EST_ATEN_EMPRESA)"</f>
        <v>Serviços de Apoio / Serviço Arquivo Médico / Relatórios / Estatísticos / Atendimentos / Por Empresa (R_EST_ATEN_EMPRESA)</v>
      </c>
    </row>
    <row r="8576" spans="1:7" x14ac:dyDescent="0.3">
      <c r="A8576" s="1" t="s">
        <v>4</v>
      </c>
      <c r="B8576" s="2" t="str">
        <f t="shared" si="705"/>
        <v>SISTEMA DE GERENCIAMENTO AMBULATORIAL</v>
      </c>
      <c r="C8576" s="2" t="str">
        <f t="shared" si="706"/>
        <v>ATEND</v>
      </c>
      <c r="D8576" s="2" t="str">
        <f t="shared" si="707"/>
        <v>PARA</v>
      </c>
      <c r="E8576" s="2" t="str">
        <f t="shared" si="713"/>
        <v>REL.ESTAT.ATENDIMENTOS X EMPRESA</v>
      </c>
      <c r="F8576" s="2" t="str">
        <f t="shared" si="714"/>
        <v>R_EST_ATEN_EMPRESA</v>
      </c>
      <c r="G8576" s="2" t="str">
        <f>"Atendimento / Urgência e Emergência / Relatórios / Estatísticos / Atendimentos por / Empresa (R_EST_ATEN_EMPRESA)"</f>
        <v>Atendimento / Urgência e Emergência / Relatórios / Estatísticos / Atendimentos por / Empresa (R_EST_ATEN_EMPRESA)</v>
      </c>
    </row>
    <row r="8577" spans="1:7" x14ac:dyDescent="0.3">
      <c r="A8577" s="1" t="s">
        <v>4</v>
      </c>
      <c r="B8577" s="2" t="str">
        <f t="shared" ref="B8577:B8640" si="715">"SISTEMA DE GERENCIAMENTO AMBULATORIAL"</f>
        <v>SISTEMA DE GERENCIAMENTO AMBULATORIAL</v>
      </c>
      <c r="C8577" s="2" t="str">
        <f t="shared" ref="C8577:C8640" si="716">"ATEND"</f>
        <v>ATEND</v>
      </c>
      <c r="D8577" s="2" t="str">
        <f t="shared" ref="D8577:D8640" si="717">"PARA"</f>
        <v>PARA</v>
      </c>
      <c r="E8577" s="2" t="str">
        <f t="shared" si="713"/>
        <v>REL.ESTAT.ATENDIMENTOS X EMPRESA</v>
      </c>
      <c r="F8577" s="2" t="str">
        <f t="shared" si="714"/>
        <v>R_EST_ATEN_EMPRESA</v>
      </c>
      <c r="G8577" s="2" t="str">
        <f>"MVSaude / Vendas / Internação / Relatórios / Estatísticos / Atendimentos / Por Empresa (R_EST_ATEN_EMPRESA)"</f>
        <v>MVSaude / Vendas / Internação / Relatórios / Estatísticos / Atendimentos / Por Empresa (R_EST_ATEN_EMPRESA)</v>
      </c>
    </row>
    <row r="8578" spans="1:7" x14ac:dyDescent="0.3">
      <c r="A8578" s="1" t="s">
        <v>4</v>
      </c>
      <c r="B8578" s="2" t="str">
        <f t="shared" si="715"/>
        <v>SISTEMA DE GERENCIAMENTO AMBULATORIAL</v>
      </c>
      <c r="C8578" s="2" t="str">
        <f t="shared" si="716"/>
        <v>ATEND</v>
      </c>
      <c r="D8578" s="2" t="str">
        <f t="shared" si="717"/>
        <v>PARA</v>
      </c>
      <c r="E8578" s="2" t="str">
        <f t="shared" si="713"/>
        <v>REL.ESTAT.ATENDIMENTOS X EMPRESA</v>
      </c>
      <c r="F8578" s="2" t="str">
        <f t="shared" si="714"/>
        <v>R_EST_ATEN_EMPRESA</v>
      </c>
      <c r="G8578" s="2" t="str">
        <f>"Outros / Fusam / Relatórios / Estatísticos / Atendimentos por Empresa (R_EST_ATEN_EMPRESA)"</f>
        <v>Outros / Fusam / Relatórios / Estatísticos / Atendimentos por Empresa (R_EST_ATEN_EMPRESA)</v>
      </c>
    </row>
    <row r="8579" spans="1:7" x14ac:dyDescent="0.3">
      <c r="A8579" s="1" t="s">
        <v>4</v>
      </c>
      <c r="B8579" s="2" t="str">
        <f t="shared" si="715"/>
        <v>SISTEMA DE GERENCIAMENTO AMBULATORIAL</v>
      </c>
      <c r="C8579" s="2" t="str">
        <f t="shared" si="716"/>
        <v>ATEND</v>
      </c>
      <c r="D8579" s="2" t="str">
        <f t="shared" si="717"/>
        <v>PARA</v>
      </c>
      <c r="E8579" s="2" t="str">
        <f t="shared" si="713"/>
        <v>REL.ESTAT.ATENDIMENTOS X EMPRESA</v>
      </c>
      <c r="F8579" s="2" t="str">
        <f t="shared" si="714"/>
        <v>R_EST_ATEN_EMPRESA</v>
      </c>
      <c r="G8579" s="2" t="str">
        <f>"Atendimento / Internação Domiciliar (Home Care) / Relatórios / Estatísticos / Atendimentos por Empresa (R_EST_ATEN_EMPRESA)"</f>
        <v>Atendimento / Internação Domiciliar (Home Care) / Relatórios / Estatísticos / Atendimentos por Empresa (R_EST_ATEN_EMPRESA)</v>
      </c>
    </row>
    <row r="8580" spans="1:7" x14ac:dyDescent="0.3">
      <c r="A8580" s="1" t="s">
        <v>4</v>
      </c>
      <c r="B8580" s="2" t="str">
        <f t="shared" si="715"/>
        <v>SISTEMA DE GERENCIAMENTO AMBULATORIAL</v>
      </c>
      <c r="C8580" s="2" t="str">
        <f t="shared" si="716"/>
        <v>ATEND</v>
      </c>
      <c r="D8580" s="2" t="str">
        <f t="shared" si="717"/>
        <v>PARA</v>
      </c>
      <c r="E8580" s="2" t="str">
        <f t="shared" si="713"/>
        <v>REL.ESTAT.ATENDIMENTOS X EMPRESA</v>
      </c>
      <c r="F8580" s="2" t="str">
        <f t="shared" si="714"/>
        <v>R_EST_ATEN_EMPRESA</v>
      </c>
      <c r="G8580" s="2" t="str">
        <f>"MVSaude / Atendimento / Autorizações de Guias / Internação / Relatórios / Estatísticos / Atendimentos / Por Empresa (R_EST_ATEN_EMPRESA)"</f>
        <v>MVSaude / Atendimento / Autorizações de Guias / Internação / Relatórios / Estatísticos / Atendimentos / Por Empresa (R_EST_ATEN_EMPRESA)</v>
      </c>
    </row>
    <row r="8581" spans="1:7" x14ac:dyDescent="0.3">
      <c r="A8581" s="1" t="s">
        <v>4</v>
      </c>
      <c r="B8581" s="2" t="str">
        <f t="shared" si="715"/>
        <v>SISTEMA DE GERENCIAMENTO AMBULATORIAL</v>
      </c>
      <c r="C8581" s="2" t="str">
        <f t="shared" si="716"/>
        <v>ATEND</v>
      </c>
      <c r="D8581" s="2" t="str">
        <f t="shared" si="717"/>
        <v>PARA</v>
      </c>
      <c r="E8581" s="2" t="str">
        <f t="shared" ref="E8581:E8587" si="718">"REL. ATENDIMENTOS X EMPRESA"</f>
        <v>REL. ATENDIMENTOS X EMPRESA</v>
      </c>
      <c r="F8581" s="2" t="str">
        <f t="shared" ref="F8581:F8587" si="719">"R_ATEN_EMPRESA"</f>
        <v>R_ATEN_EMPRESA</v>
      </c>
      <c r="G8581" s="2" t="str">
        <f>"MVSaude / Vendas / Internação / Relatórios / Operacionais / Atendimentos / Por Empresa (R_ATEN_EMPRESA)"</f>
        <v>MVSaude / Vendas / Internação / Relatórios / Operacionais / Atendimentos / Por Empresa (R_ATEN_EMPRESA)</v>
      </c>
    </row>
    <row r="8582" spans="1:7" x14ac:dyDescent="0.3">
      <c r="A8582" s="1" t="s">
        <v>4</v>
      </c>
      <c r="B8582" s="2" t="str">
        <f t="shared" si="715"/>
        <v>SISTEMA DE GERENCIAMENTO AMBULATORIAL</v>
      </c>
      <c r="C8582" s="2" t="str">
        <f t="shared" si="716"/>
        <v>ATEND</v>
      </c>
      <c r="D8582" s="2" t="str">
        <f t="shared" si="717"/>
        <v>PARA</v>
      </c>
      <c r="E8582" s="2" t="str">
        <f t="shared" si="718"/>
        <v>REL. ATENDIMENTOS X EMPRESA</v>
      </c>
      <c r="F8582" s="2" t="str">
        <f t="shared" si="719"/>
        <v>R_ATEN_EMPRESA</v>
      </c>
      <c r="G8582" s="2" t="str">
        <f>"Atendimento / Internação / Relatórios / Operacionais / Atendimentos / Por Empresa (R_ATEN_EMPRESA)"</f>
        <v>Atendimento / Internação / Relatórios / Operacionais / Atendimentos / Por Empresa (R_ATEN_EMPRESA)</v>
      </c>
    </row>
    <row r="8583" spans="1:7" x14ac:dyDescent="0.3">
      <c r="A8583" s="1" t="s">
        <v>4</v>
      </c>
      <c r="B8583" s="2" t="str">
        <f t="shared" si="715"/>
        <v>SISTEMA DE GERENCIAMENTO AMBULATORIAL</v>
      </c>
      <c r="C8583" s="2" t="str">
        <f t="shared" si="716"/>
        <v>ATEND</v>
      </c>
      <c r="D8583" s="2" t="str">
        <f t="shared" si="717"/>
        <v>PARA</v>
      </c>
      <c r="E8583" s="2" t="str">
        <f t="shared" si="718"/>
        <v>REL. ATENDIMENTOS X EMPRESA</v>
      </c>
      <c r="F8583" s="2" t="str">
        <f t="shared" si="719"/>
        <v>R_ATEN_EMPRESA</v>
      </c>
      <c r="G8583" s="2" t="str">
        <f>"Atendimento / Ambulatório / Relatórios / Operacionais / Atendimentos por Empresa (R_ATEN_EMPRESA)"</f>
        <v>Atendimento / Ambulatório / Relatórios / Operacionais / Atendimentos por Empresa (R_ATEN_EMPRESA)</v>
      </c>
    </row>
    <row r="8584" spans="1:7" x14ac:dyDescent="0.3">
      <c r="A8584" s="1" t="s">
        <v>4</v>
      </c>
      <c r="B8584" s="2" t="str">
        <f t="shared" si="715"/>
        <v>SISTEMA DE GERENCIAMENTO AMBULATORIAL</v>
      </c>
      <c r="C8584" s="2" t="str">
        <f t="shared" si="716"/>
        <v>ATEND</v>
      </c>
      <c r="D8584" s="2" t="str">
        <f t="shared" si="717"/>
        <v>PARA</v>
      </c>
      <c r="E8584" s="2" t="str">
        <f t="shared" si="718"/>
        <v>REL. ATENDIMENTOS X EMPRESA</v>
      </c>
      <c r="F8584" s="2" t="str">
        <f t="shared" si="719"/>
        <v>R_ATEN_EMPRESA</v>
      </c>
      <c r="G8584" s="2" t="str">
        <f>"Atendimento / Urgência e Emergência / Relatórios / Administrativos / Atendimentos por Empresa (R_ATEN_EMPRESA)"</f>
        <v>Atendimento / Urgência e Emergência / Relatórios / Administrativos / Atendimentos por Empresa (R_ATEN_EMPRESA)</v>
      </c>
    </row>
    <row r="8585" spans="1:7" x14ac:dyDescent="0.3">
      <c r="A8585" s="1" t="s">
        <v>4</v>
      </c>
      <c r="B8585" s="2" t="str">
        <f t="shared" si="715"/>
        <v>SISTEMA DE GERENCIAMENTO AMBULATORIAL</v>
      </c>
      <c r="C8585" s="2" t="str">
        <f t="shared" si="716"/>
        <v>ATEND</v>
      </c>
      <c r="D8585" s="2" t="str">
        <f t="shared" si="717"/>
        <v>PARA</v>
      </c>
      <c r="E8585" s="2" t="str">
        <f t="shared" si="718"/>
        <v>REL. ATENDIMENTOS X EMPRESA</v>
      </c>
      <c r="F8585" s="2" t="str">
        <f t="shared" si="719"/>
        <v>R_ATEN_EMPRESA</v>
      </c>
      <c r="G8585" s="2" t="str">
        <f>"Serviços de Apoio / Serviço Arquivo Médico / Relatórios / Operacionais / Atendimentos / Por Empresa (R_ATEN_EMPRESA)"</f>
        <v>Serviços de Apoio / Serviço Arquivo Médico / Relatórios / Operacionais / Atendimentos / Por Empresa (R_ATEN_EMPRESA)</v>
      </c>
    </row>
    <row r="8586" spans="1:7" x14ac:dyDescent="0.3">
      <c r="A8586" s="1" t="s">
        <v>4</v>
      </c>
      <c r="B8586" s="2" t="str">
        <f t="shared" si="715"/>
        <v>SISTEMA DE GERENCIAMENTO AMBULATORIAL</v>
      </c>
      <c r="C8586" s="2" t="str">
        <f t="shared" si="716"/>
        <v>ATEND</v>
      </c>
      <c r="D8586" s="2" t="str">
        <f t="shared" si="717"/>
        <v>PARA</v>
      </c>
      <c r="E8586" s="2" t="str">
        <f t="shared" si="718"/>
        <v>REL. ATENDIMENTOS X EMPRESA</v>
      </c>
      <c r="F8586" s="2" t="str">
        <f t="shared" si="719"/>
        <v>R_ATEN_EMPRESA</v>
      </c>
      <c r="G8586" s="2" t="str">
        <f>"Atendimento / Internação Domiciliar (Home Care) / Relatórios / Operacionais / Atendimentos por Empresa (R_ATEN_EMPRESA)"</f>
        <v>Atendimento / Internação Domiciliar (Home Care) / Relatórios / Operacionais / Atendimentos por Empresa (R_ATEN_EMPRESA)</v>
      </c>
    </row>
    <row r="8587" spans="1:7" x14ac:dyDescent="0.3">
      <c r="A8587" s="1" t="s">
        <v>4</v>
      </c>
      <c r="B8587" s="2" t="str">
        <f t="shared" si="715"/>
        <v>SISTEMA DE GERENCIAMENTO AMBULATORIAL</v>
      </c>
      <c r="C8587" s="2" t="str">
        <f t="shared" si="716"/>
        <v>ATEND</v>
      </c>
      <c r="D8587" s="2" t="str">
        <f t="shared" si="717"/>
        <v>PARA</v>
      </c>
      <c r="E8587" s="2" t="str">
        <f t="shared" si="718"/>
        <v>REL. ATENDIMENTOS X EMPRESA</v>
      </c>
      <c r="F8587" s="2" t="str">
        <f t="shared" si="719"/>
        <v>R_ATEN_EMPRESA</v>
      </c>
      <c r="G8587" s="2" t="str">
        <f>"MVSaude / Atendimento / Autorizações de Guias / Internação / Relatórios / Operacionais / Atendimentos / Por Empresa (R_ATEN_EMPRESA)"</f>
        <v>MVSaude / Atendimento / Autorizações de Guias / Internação / Relatórios / Operacionais / Atendimentos / Por Empresa (R_ATEN_EMPRESA)</v>
      </c>
    </row>
    <row r="8588" spans="1:7" x14ac:dyDescent="0.3">
      <c r="A8588" s="1" t="s">
        <v>4</v>
      </c>
      <c r="B8588" s="2" t="str">
        <f t="shared" si="715"/>
        <v>SISTEMA DE GERENCIAMENTO AMBULATORIAL</v>
      </c>
      <c r="C8588" s="2" t="str">
        <f t="shared" si="716"/>
        <v>ATEND</v>
      </c>
      <c r="D8588" s="2" t="str">
        <f t="shared" si="717"/>
        <v>PARA</v>
      </c>
      <c r="E8588" s="2" t="str">
        <f>"CADASTRO: SERVIÇOS DISPONÍVEIS"</f>
        <v>CADASTRO: SERVIÇOS DISPONÍVEIS</v>
      </c>
      <c r="F8588" s="2" t="str">
        <f>"M_ESPECIALID"</f>
        <v>M_ESPECIALID</v>
      </c>
      <c r="G8588" s="2" t="str">
        <f>" ()"</f>
        <v xml:space="preserve"> ()</v>
      </c>
    </row>
    <row r="8589" spans="1:7" x14ac:dyDescent="0.3">
      <c r="A8589" s="1" t="s">
        <v>4</v>
      </c>
      <c r="B8589" s="2" t="str">
        <f t="shared" si="715"/>
        <v>SISTEMA DE GERENCIAMENTO AMBULATORIAL</v>
      </c>
      <c r="C8589" s="2" t="str">
        <f t="shared" si="716"/>
        <v>ATEND</v>
      </c>
      <c r="D8589" s="2" t="str">
        <f t="shared" si="717"/>
        <v>PARA</v>
      </c>
      <c r="E8589" s="2" t="str">
        <f>"REL DE COMPROVANTE DE AGENDAMENTO"</f>
        <v>REL DE COMPROVANTE DE AGENDAMENTO</v>
      </c>
      <c r="F8589" s="2" t="str">
        <f>"R_COMP_AGENDAMENTO600"</f>
        <v>R_COMP_AGENDAMENTO600</v>
      </c>
      <c r="G8589" s="2" t="str">
        <f>" ()"</f>
        <v xml:space="preserve"> ()</v>
      </c>
    </row>
    <row r="8590" spans="1:7" x14ac:dyDescent="0.3">
      <c r="A8590" s="1" t="s">
        <v>4</v>
      </c>
      <c r="B8590" s="2" t="str">
        <f t="shared" si="715"/>
        <v>SISTEMA DE GERENCIAMENTO AMBULATORIAL</v>
      </c>
      <c r="C8590" s="2" t="str">
        <f t="shared" si="716"/>
        <v>ATEND</v>
      </c>
      <c r="D8590" s="2" t="str">
        <f t="shared" si="717"/>
        <v>PARA</v>
      </c>
      <c r="E8590" s="2" t="str">
        <f>"Procedimentos por Origem"</f>
        <v>Procedimentos por Origem</v>
      </c>
      <c r="F8590" s="2" t="str">
        <f>"R_PROCEDIMENTOS_ORIGEM"</f>
        <v>R_PROCEDIMENTOS_ORIGEM</v>
      </c>
      <c r="G8590" s="2" t="str">
        <f>"Atendimento / Ambulatório / Relatórios / SUS / Procedimentos por Origem (R_PROCEDIMENTOS_ORIGEM)"</f>
        <v>Atendimento / Ambulatório / Relatórios / SUS / Procedimentos por Origem (R_PROCEDIMENTOS_ORIGEM)</v>
      </c>
    </row>
    <row r="8591" spans="1:7" x14ac:dyDescent="0.3">
      <c r="A8591" s="1" t="s">
        <v>4</v>
      </c>
      <c r="B8591" s="2" t="str">
        <f t="shared" si="715"/>
        <v>SISTEMA DE GERENCIAMENTO AMBULATORIAL</v>
      </c>
      <c r="C8591" s="2" t="str">
        <f t="shared" si="716"/>
        <v>ATEND</v>
      </c>
      <c r="D8591" s="2" t="str">
        <f t="shared" si="717"/>
        <v>PARA</v>
      </c>
      <c r="E8591" s="2" t="str">
        <f>"Procedimentos por Especialidade"</f>
        <v>Procedimentos por Especialidade</v>
      </c>
      <c r="F8591" s="2" t="str">
        <f>"R_PROCEDIMENTOS_ESPECIALID"</f>
        <v>R_PROCEDIMENTOS_ESPECIALID</v>
      </c>
      <c r="G8591" s="2" t="str">
        <f>"Atendimento / Ambulatório / Relatórios / SUS / Procedimentos por Especialidade (R_PROCEDIMENTOS_ESPECIALID)"</f>
        <v>Atendimento / Ambulatório / Relatórios / SUS / Procedimentos por Especialidade (R_PROCEDIMENTOS_ESPECIALID)</v>
      </c>
    </row>
    <row r="8592" spans="1:7" x14ac:dyDescent="0.3">
      <c r="A8592" s="1" t="s">
        <v>4</v>
      </c>
      <c r="B8592" s="2" t="str">
        <f t="shared" si="715"/>
        <v>SISTEMA DE GERENCIAMENTO AMBULATORIAL</v>
      </c>
      <c r="C8592" s="2" t="str">
        <f t="shared" si="716"/>
        <v>ATEND</v>
      </c>
      <c r="D8592" s="2" t="str">
        <f t="shared" si="717"/>
        <v>PARA</v>
      </c>
      <c r="E8592" s="2" t="str">
        <f>"REL EST DE PAC AGEND AO DIA - ORI X SERV"</f>
        <v>REL EST DE PAC AGEND AO DIA - ORI X SERV</v>
      </c>
      <c r="F8592" s="2" t="str">
        <f>"R_PAC_AGEN_ORI_SERV"</f>
        <v>R_PAC_AGEN_ORI_SERV</v>
      </c>
      <c r="G8592" s="2" t="str">
        <f>"Atendimento / Ambulatório / Relatórios / Agendamentos / Pacientes Agendados ao Dia - Origem X Serviço (R_PAC_AGEN_ORI_SERV)"</f>
        <v>Atendimento / Ambulatório / Relatórios / Agendamentos / Pacientes Agendados ao Dia - Origem X Serviço (R_PAC_AGEN_ORI_SERV)</v>
      </c>
    </row>
    <row r="8593" spans="1:7" x14ac:dyDescent="0.3">
      <c r="A8593" s="1" t="s">
        <v>4</v>
      </c>
      <c r="B8593" s="2" t="str">
        <f t="shared" si="715"/>
        <v>SISTEMA DE GERENCIAMENTO AMBULATORIAL</v>
      </c>
      <c r="C8593" s="2" t="str">
        <f t="shared" si="716"/>
        <v>ATEND</v>
      </c>
      <c r="D8593" s="2" t="str">
        <f t="shared" si="717"/>
        <v>PARA</v>
      </c>
      <c r="E8593" s="2" t="str">
        <f>"REL EST DE PAC AGEND AO DIA - ORI X SERV"</f>
        <v>REL EST DE PAC AGEND AO DIA - ORI X SERV</v>
      </c>
      <c r="F8593" s="2" t="str">
        <f>"R_PAC_AGEN_ORI_SERV"</f>
        <v>R_PAC_AGEN_ORI_SERV</v>
      </c>
      <c r="G8593" s="2" t="str">
        <f>"Serviços de Apoio / Serviço Arquivo Médico / Relatórios / Agendamentos / Pacientes Agendados ao Dia - Origem X Serviço (R_PAC_AGEN_ORI_SERV)"</f>
        <v>Serviços de Apoio / Serviço Arquivo Médico / Relatórios / Agendamentos / Pacientes Agendados ao Dia - Origem X Serviço (R_PAC_AGEN_ORI_SERV)</v>
      </c>
    </row>
    <row r="8594" spans="1:7" x14ac:dyDescent="0.3">
      <c r="A8594" s="1" t="s">
        <v>4</v>
      </c>
      <c r="B8594" s="2" t="str">
        <f t="shared" si="715"/>
        <v>SISTEMA DE GERENCIAMENTO AMBULATORIAL</v>
      </c>
      <c r="C8594" s="2" t="str">
        <f t="shared" si="716"/>
        <v>ATEND</v>
      </c>
      <c r="D8594" s="2" t="str">
        <f t="shared" si="717"/>
        <v>PARA</v>
      </c>
      <c r="E8594" s="2" t="str">
        <f>"REL EST DE PAC AGEND AO DIA - ORI X SERV"</f>
        <v>REL EST DE PAC AGEND AO DIA - ORI X SERV</v>
      </c>
      <c r="F8594" s="2" t="str">
        <f>"R_PAC_AGEN_ORI_SERV"</f>
        <v>R_PAC_AGEN_ORI_SERV</v>
      </c>
      <c r="G8594" s="2" t="str">
        <f>"Outros / Fusam / Relatórios / Agendamentos / Pacientes Agendados ao Dia - Origem X Serviço (R_PAC_AGEN_ORI_SERV)"</f>
        <v>Outros / Fusam / Relatórios / Agendamentos / Pacientes Agendados ao Dia - Origem X Serviço (R_PAC_AGEN_ORI_SERV)</v>
      </c>
    </row>
    <row r="8595" spans="1:7" x14ac:dyDescent="0.3">
      <c r="A8595" s="1" t="s">
        <v>4</v>
      </c>
      <c r="B8595" s="2" t="str">
        <f t="shared" si="715"/>
        <v>SISTEMA DE GERENCIAMENTO AMBULATORIAL</v>
      </c>
      <c r="C8595" s="2" t="str">
        <f t="shared" si="716"/>
        <v>ATEND</v>
      </c>
      <c r="D8595" s="2" t="str">
        <f t="shared" si="717"/>
        <v>PARA</v>
      </c>
      <c r="E8595" s="2" t="str">
        <f>"REL EST DE PAC AGEND AO DIA - ORI X SERV"</f>
        <v>REL EST DE PAC AGEND AO DIA - ORI X SERV</v>
      </c>
      <c r="F8595" s="2" t="str">
        <f>"R_PAC_AGEN_ORI_SERV_S"</f>
        <v>R_PAC_AGEN_ORI_SERV_S</v>
      </c>
      <c r="G8595" s="2" t="str">
        <f>" ()"</f>
        <v xml:space="preserve"> ()</v>
      </c>
    </row>
    <row r="8596" spans="1:7" x14ac:dyDescent="0.3">
      <c r="A8596" s="1" t="s">
        <v>4</v>
      </c>
      <c r="B8596" s="2" t="str">
        <f t="shared" si="715"/>
        <v>SISTEMA DE GERENCIAMENTO AMBULATORIAL</v>
      </c>
      <c r="C8596" s="2" t="str">
        <f t="shared" si="716"/>
        <v>ATEND</v>
      </c>
      <c r="D8596" s="2" t="str">
        <f t="shared" si="717"/>
        <v>PARA</v>
      </c>
      <c r="E8596" s="2" t="str">
        <f>"REL DE PRODUCAO AMBULATORIAL"</f>
        <v>REL DE PRODUCAO AMBULATORIAL</v>
      </c>
      <c r="F8596" s="2" t="str">
        <f>"R_PROD_AMBULATORIO600"</f>
        <v>R_PROD_AMBULATORIO600</v>
      </c>
      <c r="G8596" s="2" t="str">
        <f>" ()"</f>
        <v xml:space="preserve"> ()</v>
      </c>
    </row>
    <row r="8597" spans="1:7" x14ac:dyDescent="0.3">
      <c r="A8597" s="1" t="s">
        <v>4</v>
      </c>
      <c r="B8597" s="2" t="str">
        <f t="shared" si="715"/>
        <v>SISTEMA DE GERENCIAMENTO AMBULATORIAL</v>
      </c>
      <c r="C8597" s="2" t="str">
        <f t="shared" si="716"/>
        <v>ATEND</v>
      </c>
      <c r="D8597" s="2" t="str">
        <f t="shared" si="717"/>
        <v>PARA</v>
      </c>
      <c r="E8597" s="2" t="str">
        <f>"REL DE CONSULTAS ATENDIDAS X FATURADAS"</f>
        <v>REL DE CONSULTAS ATENDIDAS X FATURADAS</v>
      </c>
      <c r="F8597" s="2" t="str">
        <f>"R_ATENDIDAS_FATURADAS_SERV"</f>
        <v>R_ATENDIDAS_FATURADAS_SERV</v>
      </c>
      <c r="G8597" s="2" t="str">
        <f>" ()"</f>
        <v xml:space="preserve"> ()</v>
      </c>
    </row>
    <row r="8598" spans="1:7" x14ac:dyDescent="0.3">
      <c r="A8598" s="1" t="s">
        <v>4</v>
      </c>
      <c r="B8598" s="2" t="str">
        <f t="shared" si="715"/>
        <v>SISTEMA DE GERENCIAMENTO AMBULATORIAL</v>
      </c>
      <c r="C8598" s="2" t="str">
        <f t="shared" si="716"/>
        <v>ATEND</v>
      </c>
      <c r="D8598" s="2" t="str">
        <f t="shared" si="717"/>
        <v>PARA</v>
      </c>
      <c r="E8598" s="2" t="str">
        <f>"REL DE CONSULTAS ATENDIDAS X FATURADAS"</f>
        <v>REL DE CONSULTAS ATENDIDAS X FATURADAS</v>
      </c>
      <c r="F8598" s="2" t="str">
        <f>"R_ATENDIDAS_FATURADAS_PREST"</f>
        <v>R_ATENDIDAS_FATURADAS_PREST</v>
      </c>
      <c r="G8598" s="2" t="str">
        <f>" ()"</f>
        <v xml:space="preserve"> ()</v>
      </c>
    </row>
    <row r="8599" spans="1:7" x14ac:dyDescent="0.3">
      <c r="A8599" s="1" t="s">
        <v>4</v>
      </c>
      <c r="B8599" s="2" t="str">
        <f t="shared" si="715"/>
        <v>SISTEMA DE GERENCIAMENTO AMBULATORIAL</v>
      </c>
      <c r="C8599" s="2" t="str">
        <f t="shared" si="716"/>
        <v>ATEND</v>
      </c>
      <c r="D8599" s="2" t="str">
        <f t="shared" si="717"/>
        <v>PARA</v>
      </c>
      <c r="E8599" s="2" t="str">
        <f>"CONSULTA DE AGENDAMENTOS EXCLUÍDOS"</f>
        <v>CONSULTA DE AGENDAMENTOS EXCLUÍDOS</v>
      </c>
      <c r="F8599" s="2" t="str">
        <f>"M_LOG_EXCLUSAO_AGENDAMENTO"</f>
        <v>M_LOG_EXCLUSAO_AGENDAMENTO</v>
      </c>
      <c r="G8599" s="2" t="str">
        <f>"Atendimento / Ambulatório / Consultas / Agendamentos / Excluídos (M_LOG_EXCLUSAO_AGENDAMENTO)"</f>
        <v>Atendimento / Ambulatório / Consultas / Agendamentos / Excluídos (M_LOG_EXCLUSAO_AGENDAMENTO)</v>
      </c>
    </row>
    <row r="8600" spans="1:7" x14ac:dyDescent="0.3">
      <c r="A8600" s="1" t="s">
        <v>4</v>
      </c>
      <c r="B8600" s="2" t="str">
        <f t="shared" si="715"/>
        <v>SISTEMA DE GERENCIAMENTO AMBULATORIAL</v>
      </c>
      <c r="C8600" s="2" t="str">
        <f t="shared" si="716"/>
        <v>ATEND</v>
      </c>
      <c r="D8600" s="2" t="str">
        <f t="shared" si="717"/>
        <v>PARA</v>
      </c>
      <c r="E8600" s="2" t="str">
        <f>"REL DE PROD AMBULATORIAL POR PRESTADOR"</f>
        <v>REL DE PROD AMBULATORIAL POR PRESTADOR</v>
      </c>
      <c r="F8600" s="2" t="str">
        <f>"R_EST_PRESTA_SERV_TIP_MAR600"</f>
        <v>R_EST_PRESTA_SERV_TIP_MAR600</v>
      </c>
      <c r="G8600" s="2" t="str">
        <f>" ()"</f>
        <v xml:space="preserve"> ()</v>
      </c>
    </row>
    <row r="8601" spans="1:7" x14ac:dyDescent="0.3">
      <c r="A8601" s="1" t="s">
        <v>4</v>
      </c>
      <c r="B8601" s="2" t="str">
        <f t="shared" si="715"/>
        <v>SISTEMA DE GERENCIAMENTO AMBULATORIAL</v>
      </c>
      <c r="C8601" s="2" t="str">
        <f t="shared" si="716"/>
        <v>ATEND</v>
      </c>
      <c r="D8601" s="2" t="str">
        <f t="shared" si="717"/>
        <v>PARA</v>
      </c>
      <c r="E8601" s="2" t="str">
        <f>"REL DE PRODUCAO AMBULATORIAL POR CLINICA"</f>
        <v>REL DE PRODUCAO AMBULATORIAL POR CLINICA</v>
      </c>
      <c r="F8601" s="2" t="str">
        <f>"R_EST_SERVICO_TIP_MAR600"</f>
        <v>R_EST_SERVICO_TIP_MAR600</v>
      </c>
      <c r="G8601" s="2" t="str">
        <f>" ()"</f>
        <v xml:space="preserve"> ()</v>
      </c>
    </row>
    <row r="8602" spans="1:7" x14ac:dyDescent="0.3">
      <c r="A8602" s="1" t="s">
        <v>4</v>
      </c>
      <c r="B8602" s="2" t="str">
        <f t="shared" si="715"/>
        <v>SISTEMA DE GERENCIAMENTO AMBULATORIAL</v>
      </c>
      <c r="C8602" s="2" t="str">
        <f t="shared" si="716"/>
        <v>ATEND</v>
      </c>
      <c r="D8602" s="2" t="str">
        <f t="shared" si="717"/>
        <v>PARA</v>
      </c>
      <c r="E8602" s="2" t="str">
        <f>"R_EST_P_SER_FUSAM_S"</f>
        <v>R_EST_P_SER_FUSAM_S</v>
      </c>
      <c r="F8602" s="2" t="str">
        <f>"R_EST_P_SER_FUSAM_S"</f>
        <v>R_EST_P_SER_FUSAM_S</v>
      </c>
      <c r="G8602" s="2" t="str">
        <f>" ()"</f>
        <v xml:space="preserve"> ()</v>
      </c>
    </row>
    <row r="8603" spans="1:7" x14ac:dyDescent="0.3">
      <c r="A8603" s="1" t="s">
        <v>4</v>
      </c>
      <c r="B8603" s="2" t="str">
        <f t="shared" si="715"/>
        <v>SISTEMA DE GERENCIAMENTO AMBULATORIAL</v>
      </c>
      <c r="C8603" s="2" t="str">
        <f t="shared" si="716"/>
        <v>ATEND</v>
      </c>
      <c r="D8603" s="2" t="str">
        <f t="shared" si="717"/>
        <v>PARA</v>
      </c>
      <c r="E8603" s="2" t="str">
        <f>"EXCLUSÃO DE AGENDAS"</f>
        <v>EXCLUSÃO DE AGENDAS</v>
      </c>
      <c r="F8603" s="2" t="str">
        <f>"M_EXCLUI_AGENDA"</f>
        <v>M_EXCLUI_AGENDA</v>
      </c>
      <c r="G8603" s="2" t="str">
        <f>"Atendimento / Ambulatório / Agendamentos / Exclusão de Agendas (M_EXCLUI_AGENDA)"</f>
        <v>Atendimento / Ambulatório / Agendamentos / Exclusão de Agendas (M_EXCLUI_AGENDA)</v>
      </c>
    </row>
    <row r="8604" spans="1:7" x14ac:dyDescent="0.3">
      <c r="A8604" s="1" t="s">
        <v>4</v>
      </c>
      <c r="B8604" s="2" t="str">
        <f t="shared" si="715"/>
        <v>SISTEMA DE GERENCIAMENTO AMBULATORIAL</v>
      </c>
      <c r="C8604" s="2" t="str">
        <f t="shared" si="716"/>
        <v>ATEND</v>
      </c>
      <c r="D8604" s="2" t="str">
        <f t="shared" si="717"/>
        <v>PARA</v>
      </c>
      <c r="E8604" s="2" t="str">
        <f>"EXCLUSÃO DE AGENDAS"</f>
        <v>EXCLUSÃO DE AGENDAS</v>
      </c>
      <c r="F8604" s="2" t="str">
        <f>"M_EXCLUI_AGENDA"</f>
        <v>M_EXCLUI_AGENDA</v>
      </c>
      <c r="G8604" s="2" t="str">
        <f>"Outros / Fusam / Agendamentos / Exclusão de Agendas (M_EXCLUI_AGENDA)"</f>
        <v>Outros / Fusam / Agendamentos / Exclusão de Agendas (M_EXCLUI_AGENDA)</v>
      </c>
    </row>
    <row r="8605" spans="1:7" x14ac:dyDescent="0.3">
      <c r="A8605" s="1" t="s">
        <v>4</v>
      </c>
      <c r="B8605" s="2" t="str">
        <f t="shared" si="715"/>
        <v>SISTEMA DE GERENCIAMENTO AMBULATORIAL</v>
      </c>
      <c r="C8605" s="2" t="str">
        <f t="shared" si="716"/>
        <v>ATEND</v>
      </c>
      <c r="D8605" s="2" t="str">
        <f t="shared" si="717"/>
        <v>PARA</v>
      </c>
      <c r="E8605" s="2" t="str">
        <f>"RELATÓRIO DE PACIENTES AGENDADOS"</f>
        <v>RELATÓRIO DE PACIENTES AGENDADOS</v>
      </c>
      <c r="F8605" s="2" t="str">
        <f>"R_PAC_AGEND_ALFA600"</f>
        <v>R_PAC_AGEND_ALFA600</v>
      </c>
      <c r="G8605" s="2" t="str">
        <f t="shared" ref="G8605:G8613" si="720">" ()"</f>
        <v xml:space="preserve"> ()</v>
      </c>
    </row>
    <row r="8606" spans="1:7" x14ac:dyDescent="0.3">
      <c r="A8606" s="1" t="s">
        <v>4</v>
      </c>
      <c r="B8606" s="2" t="str">
        <f t="shared" si="715"/>
        <v>SISTEMA DE GERENCIAMENTO AMBULATORIAL</v>
      </c>
      <c r="C8606" s="2" t="str">
        <f t="shared" si="716"/>
        <v>ATEND</v>
      </c>
      <c r="D8606" s="2" t="str">
        <f t="shared" si="717"/>
        <v>PARA</v>
      </c>
      <c r="E8606" s="2" t="str">
        <f>"REL DE PROD AMB DE SERV X FAIXA ETARIA"</f>
        <v>REL DE PROD AMB DE SERV X FAIXA ETARIA</v>
      </c>
      <c r="F8606" s="2" t="str">
        <f>"R_EST_SERVICO_FAIXA"</f>
        <v>R_EST_SERVICO_FAIXA</v>
      </c>
      <c r="G8606" s="2" t="str">
        <f t="shared" si="720"/>
        <v xml:space="preserve"> ()</v>
      </c>
    </row>
    <row r="8607" spans="1:7" x14ac:dyDescent="0.3">
      <c r="A8607" s="1" t="s">
        <v>4</v>
      </c>
      <c r="B8607" s="2" t="str">
        <f t="shared" si="715"/>
        <v>SISTEMA DE GERENCIAMENTO AMBULATORIAL</v>
      </c>
      <c r="C8607" s="2" t="str">
        <f t="shared" si="716"/>
        <v>ATEND</v>
      </c>
      <c r="D8607" s="2" t="str">
        <f t="shared" si="717"/>
        <v>PARA</v>
      </c>
      <c r="E8607" s="2" t="str">
        <f>"EXCLUSÃO DE AGENDAS NA TELA DE RECEPÇÃO"</f>
        <v>EXCLUSÃO DE AGENDAS NA TELA DE RECEPÇÃO</v>
      </c>
      <c r="F8607" s="2" t="str">
        <f>"RECEP_PARA2"</f>
        <v>RECEP_PARA2</v>
      </c>
      <c r="G8607" s="2" t="str">
        <f t="shared" si="720"/>
        <v xml:space="preserve"> ()</v>
      </c>
    </row>
    <row r="8608" spans="1:7" x14ac:dyDescent="0.3">
      <c r="A8608" s="1" t="s">
        <v>4</v>
      </c>
      <c r="B8608" s="2" t="str">
        <f t="shared" si="715"/>
        <v>SISTEMA DE GERENCIAMENTO AMBULATORIAL</v>
      </c>
      <c r="C8608" s="2" t="str">
        <f t="shared" si="716"/>
        <v>ATEND</v>
      </c>
      <c r="D8608" s="2" t="str">
        <f t="shared" si="717"/>
        <v>PARA</v>
      </c>
      <c r="E8608" s="2" t="str">
        <f>"RELAT. DE PRODUTIVIDADE MEDICA"</f>
        <v>RELAT. DE PRODUTIVIDADE MEDICA</v>
      </c>
      <c r="F8608" s="2" t="str">
        <f>"R_PROD_AGEND_MEDICA"</f>
        <v>R_PROD_AGEND_MEDICA</v>
      </c>
      <c r="G8608" s="2" t="str">
        <f t="shared" si="720"/>
        <v xml:space="preserve"> ()</v>
      </c>
    </row>
    <row r="8609" spans="1:7" x14ac:dyDescent="0.3">
      <c r="A8609" s="1" t="s">
        <v>4</v>
      </c>
      <c r="B8609" s="2" t="str">
        <f t="shared" si="715"/>
        <v>SISTEMA DE GERENCIAMENTO AMBULATORIAL</v>
      </c>
      <c r="C8609" s="2" t="str">
        <f t="shared" si="716"/>
        <v>ATEND</v>
      </c>
      <c r="D8609" s="2" t="str">
        <f t="shared" si="717"/>
        <v>PARA</v>
      </c>
      <c r="E8609" s="2" t="str">
        <f>"REL FICHA DE ATENDIMENTO DO AMBULATORIO"</f>
        <v>REL FICHA DE ATENDIMENTO DO AMBULATORIO</v>
      </c>
      <c r="F8609" s="2" t="str">
        <f>"R_FICHA_ATEND_AMB755"</f>
        <v>R_FICHA_ATEND_AMB755</v>
      </c>
      <c r="G8609" s="2" t="str">
        <f t="shared" si="720"/>
        <v xml:space="preserve"> ()</v>
      </c>
    </row>
    <row r="8610" spans="1:7" x14ac:dyDescent="0.3">
      <c r="A8610" s="1" t="s">
        <v>4</v>
      </c>
      <c r="B8610" s="2" t="str">
        <f t="shared" si="715"/>
        <v>SISTEMA DE GERENCIAMENTO AMBULATORIAL</v>
      </c>
      <c r="C8610" s="2" t="str">
        <f t="shared" si="716"/>
        <v>ATEND</v>
      </c>
      <c r="D8610" s="2" t="str">
        <f t="shared" si="717"/>
        <v>PARA</v>
      </c>
      <c r="E8610" s="2" t="str">
        <f>"MENU DO SISTEMA PARA"</f>
        <v>MENU DO SISTEMA PARA</v>
      </c>
      <c r="F8610" s="2" t="str">
        <f>"M_PARA"</f>
        <v>M_PARA</v>
      </c>
      <c r="G8610" s="2" t="str">
        <f t="shared" si="720"/>
        <v xml:space="preserve"> ()</v>
      </c>
    </row>
    <row r="8611" spans="1:7" x14ac:dyDescent="0.3">
      <c r="A8611" s="1" t="s">
        <v>4</v>
      </c>
      <c r="B8611" s="2" t="str">
        <f t="shared" si="715"/>
        <v>SISTEMA DE GERENCIAMENTO AMBULATORIAL</v>
      </c>
      <c r="C8611" s="2" t="str">
        <f t="shared" si="716"/>
        <v>ATEND</v>
      </c>
      <c r="D8611" s="2" t="str">
        <f t="shared" si="717"/>
        <v>PARA</v>
      </c>
      <c r="E8611" s="2" t="str">
        <f>"PRODUTIVIDADE DO USUÁRIO POR SERVIÇO"</f>
        <v>PRODUTIVIDADE DO USUÁRIO POR SERVIÇO</v>
      </c>
      <c r="F8611" s="2" t="str">
        <f>"R_PROD_USUARIOS_SERVICO"</f>
        <v>R_PROD_USUARIOS_SERVICO</v>
      </c>
      <c r="G8611" s="2" t="str">
        <f t="shared" si="720"/>
        <v xml:space="preserve"> ()</v>
      </c>
    </row>
    <row r="8612" spans="1:7" x14ac:dyDescent="0.3">
      <c r="A8612" s="1" t="s">
        <v>4</v>
      </c>
      <c r="B8612" s="2" t="str">
        <f t="shared" si="715"/>
        <v>SISTEMA DE GERENCIAMENTO AMBULATORIAL</v>
      </c>
      <c r="C8612" s="2" t="str">
        <f t="shared" si="716"/>
        <v>ATEND</v>
      </c>
      <c r="D8612" s="2" t="str">
        <f t="shared" si="717"/>
        <v>PARA</v>
      </c>
      <c r="E8612" s="2" t="str">
        <f>"R_PROD_USUARIO"</f>
        <v>R_PROD_USUARIO</v>
      </c>
      <c r="F8612" s="2" t="str">
        <f>"R_PROD_USUARIO"</f>
        <v>R_PROD_USUARIO</v>
      </c>
      <c r="G8612" s="2" t="str">
        <f t="shared" si="720"/>
        <v xml:space="preserve"> ()</v>
      </c>
    </row>
    <row r="8613" spans="1:7" x14ac:dyDescent="0.3">
      <c r="A8613" s="1" t="s">
        <v>4</v>
      </c>
      <c r="B8613" s="2" t="str">
        <f t="shared" si="715"/>
        <v>SISTEMA DE GERENCIAMENTO AMBULATORIAL</v>
      </c>
      <c r="C8613" s="2" t="str">
        <f t="shared" si="716"/>
        <v>ATEND</v>
      </c>
      <c r="D8613" s="2" t="str">
        <f t="shared" si="717"/>
        <v>PARA</v>
      </c>
      <c r="E8613" s="2" t="str">
        <f>"RELATÓRIO DE PRODUÇÃO AMBULATORIAL"</f>
        <v>RELATÓRIO DE PRODUÇÃO AMBULATORIAL</v>
      </c>
      <c r="F8613" s="2" t="str">
        <f>"R_PROD_AMBULATORIAL600"</f>
        <v>R_PROD_AMBULATORIAL600</v>
      </c>
      <c r="G8613" s="2" t="str">
        <f t="shared" si="720"/>
        <v xml:space="preserve"> ()</v>
      </c>
    </row>
    <row r="8614" spans="1:7" x14ac:dyDescent="0.3">
      <c r="A8614" s="1" t="s">
        <v>4</v>
      </c>
      <c r="B8614" s="2" t="str">
        <f t="shared" si="715"/>
        <v>SISTEMA DE GERENCIAMENTO AMBULATORIAL</v>
      </c>
      <c r="C8614" s="2" t="str">
        <f t="shared" si="716"/>
        <v>ATEND</v>
      </c>
      <c r="D8614" s="2" t="str">
        <f t="shared" si="717"/>
        <v>PARA</v>
      </c>
      <c r="E8614" s="2" t="str">
        <f>"PACIENTES ATENDIDOS  SEM LANÇAMETOS"</f>
        <v>PACIENTES ATENDIDOS  SEM LANÇAMETOS</v>
      </c>
      <c r="F8614" s="2" t="str">
        <f>"R_PAC_ATEND_SL"</f>
        <v>R_PAC_ATEND_SL</v>
      </c>
      <c r="G8614" s="2" t="str">
        <f>"Atendimento / Ambulatório / Relatórios / Agendamentos / Pacientes Agendados sem Lançamentos (R_PAC_ATEND_SL)"</f>
        <v>Atendimento / Ambulatório / Relatórios / Agendamentos / Pacientes Agendados sem Lançamentos (R_PAC_ATEND_SL)</v>
      </c>
    </row>
    <row r="8615" spans="1:7" x14ac:dyDescent="0.3">
      <c r="A8615" s="1" t="s">
        <v>4</v>
      </c>
      <c r="B8615" s="2" t="str">
        <f t="shared" si="715"/>
        <v>SISTEMA DE GERENCIAMENTO AMBULATORIAL</v>
      </c>
      <c r="C8615" s="2" t="str">
        <f t="shared" si="716"/>
        <v>ATEND</v>
      </c>
      <c r="D8615" s="2" t="str">
        <f t="shared" si="717"/>
        <v>PARA</v>
      </c>
      <c r="E8615" s="2" t="str">
        <f>"PACIENTES ATENDIDOS  SEM LANÇAMETOS"</f>
        <v>PACIENTES ATENDIDOS  SEM LANÇAMETOS</v>
      </c>
      <c r="F8615" s="2" t="str">
        <f>"R_PAC_ATEND_SL"</f>
        <v>R_PAC_ATEND_SL</v>
      </c>
      <c r="G8615" s="2" t="str">
        <f>"Outros / Fusam / Relatórios / Agendamentos / Pacientes Agendados sem Lançamentos (R_PAC_ATEND_SL)"</f>
        <v>Outros / Fusam / Relatórios / Agendamentos / Pacientes Agendados sem Lançamentos (R_PAC_ATEND_SL)</v>
      </c>
    </row>
    <row r="8616" spans="1:7" x14ac:dyDescent="0.3">
      <c r="A8616" s="1" t="s">
        <v>4</v>
      </c>
      <c r="B8616" s="2" t="str">
        <f t="shared" si="715"/>
        <v>SISTEMA DE GERENCIAMENTO AMBULATORIAL</v>
      </c>
      <c r="C8616" s="2" t="str">
        <f t="shared" si="716"/>
        <v>ATEND</v>
      </c>
      <c r="D8616" s="2" t="str">
        <f t="shared" si="717"/>
        <v>PARA</v>
      </c>
      <c r="E8616" s="2" t="str">
        <f>"PACIENTES ATENDIDOS  SEM LANÇAMETOS"</f>
        <v>PACIENTES ATENDIDOS  SEM LANÇAMETOS</v>
      </c>
      <c r="F8616" s="2" t="str">
        <f>"R_PAC_ATEND_SL"</f>
        <v>R_PAC_ATEND_SL</v>
      </c>
      <c r="G8616" s="2" t="str">
        <f>"Serviços de Apoio / Serviço Arquivo Médico / Relatórios / Agendamentos / Pacientes Agendados sem Lançamentos (R_PAC_ATEND_SL)"</f>
        <v>Serviços de Apoio / Serviço Arquivo Médico / Relatórios / Agendamentos / Pacientes Agendados sem Lançamentos (R_PAC_ATEND_SL)</v>
      </c>
    </row>
    <row r="8617" spans="1:7" x14ac:dyDescent="0.3">
      <c r="A8617" s="1" t="s">
        <v>4</v>
      </c>
      <c r="B8617" s="2" t="str">
        <f t="shared" si="715"/>
        <v>SISTEMA DE GERENCIAMENTO AMBULATORIAL</v>
      </c>
      <c r="C8617" s="2" t="str">
        <f t="shared" si="716"/>
        <v>ATEND</v>
      </c>
      <c r="D8617" s="2" t="str">
        <f t="shared" si="717"/>
        <v>PARA</v>
      </c>
      <c r="E8617" s="2" t="str">
        <f>"REL DE PACIENTES AGENDADOS"</f>
        <v>REL DE PACIENTES AGENDADOS</v>
      </c>
      <c r="F8617" s="2" t="str">
        <f>"R_PAC_AGD600"</f>
        <v>R_PAC_AGD600</v>
      </c>
      <c r="G8617" s="2" t="str">
        <f>" ()"</f>
        <v xml:space="preserve"> ()</v>
      </c>
    </row>
    <row r="8618" spans="1:7" x14ac:dyDescent="0.3">
      <c r="A8618" s="1" t="s">
        <v>4</v>
      </c>
      <c r="B8618" s="2" t="str">
        <f t="shared" si="715"/>
        <v>SISTEMA DE GERENCIAMENTO AMBULATORIAL</v>
      </c>
      <c r="C8618" s="2" t="str">
        <f t="shared" si="716"/>
        <v>ATEND</v>
      </c>
      <c r="D8618" s="2" t="str">
        <f t="shared" si="717"/>
        <v>PARA</v>
      </c>
      <c r="E8618" s="2" t="str">
        <f>"RELATÓRIO DE ORIGEM POR TIPO DE CONSULTA"</f>
        <v>RELATÓRIO DE ORIGEM POR TIPO DE CONSULTA</v>
      </c>
      <c r="F8618" s="2" t="str">
        <f>"R_ORIGEM"</f>
        <v>R_ORIGEM</v>
      </c>
      <c r="G8618" s="2" t="str">
        <f>"Atendimento / Ambulatório / Relatórios / Operacionais / Atendimentos por Origem x Tipo de Consulta (R_ORIGEM)"</f>
        <v>Atendimento / Ambulatório / Relatórios / Operacionais / Atendimentos por Origem x Tipo de Consulta (R_ORIGEM)</v>
      </c>
    </row>
    <row r="8619" spans="1:7" x14ac:dyDescent="0.3">
      <c r="A8619" s="1" t="s">
        <v>4</v>
      </c>
      <c r="B8619" s="2" t="str">
        <f t="shared" si="715"/>
        <v>SISTEMA DE GERENCIAMENTO AMBULATORIAL</v>
      </c>
      <c r="C8619" s="2" t="str">
        <f t="shared" si="716"/>
        <v>ATEND</v>
      </c>
      <c r="D8619" s="2" t="str">
        <f t="shared" si="717"/>
        <v>PARA</v>
      </c>
      <c r="E8619" s="2" t="str">
        <f>"RELATÓRIO DE AGENDAMENTOS EXCLUÍDOS"</f>
        <v>RELATÓRIO DE AGENDAMENTOS EXCLUÍDOS</v>
      </c>
      <c r="F8619" s="2" t="str">
        <f>"R_EXCLUSAO_AGENDAMENTO_PARA"</f>
        <v>R_EXCLUSAO_AGENDAMENTO_PARA</v>
      </c>
      <c r="G8619" s="2" t="str">
        <f>"Atendimento / Ambulatório / Relatórios / Agendamentos / Agendamentos Excluídos (R_EXCLUSAO_AGENDAMENTO_PARA)"</f>
        <v>Atendimento / Ambulatório / Relatórios / Agendamentos / Agendamentos Excluídos (R_EXCLUSAO_AGENDAMENTO_PARA)</v>
      </c>
    </row>
    <row r="8620" spans="1:7" x14ac:dyDescent="0.3">
      <c r="A8620" s="1" t="s">
        <v>4</v>
      </c>
      <c r="B8620" s="2" t="str">
        <f t="shared" si="715"/>
        <v>SISTEMA DE GERENCIAMENTO AMBULATORIAL</v>
      </c>
      <c r="C8620" s="2" t="str">
        <f t="shared" si="716"/>
        <v>ATEND</v>
      </c>
      <c r="D8620" s="2" t="str">
        <f t="shared" si="717"/>
        <v>PARA</v>
      </c>
      <c r="E8620" s="2" t="str">
        <f>"PERSONALIZADOS DO PARA"</f>
        <v>PERSONALIZADOS DO PARA</v>
      </c>
      <c r="F8620" s="2" t="str">
        <f>"R_PERSON_PARA"</f>
        <v>R_PERSON_PARA</v>
      </c>
      <c r="G8620" s="2" t="str">
        <f>"Atendimento / Ambulatório / Relatórios / Personalizados (R_PERSON_PARA)"</f>
        <v>Atendimento / Ambulatório / Relatórios / Personalizados (R_PERSON_PARA)</v>
      </c>
    </row>
    <row r="8621" spans="1:7" x14ac:dyDescent="0.3">
      <c r="A8621" s="1" t="s">
        <v>4</v>
      </c>
      <c r="B8621" s="2" t="str">
        <f t="shared" si="715"/>
        <v>SISTEMA DE GERENCIAMENTO AMBULATORIAL</v>
      </c>
      <c r="C8621" s="2" t="str">
        <f t="shared" si="716"/>
        <v>ATEND</v>
      </c>
      <c r="D8621" s="2" t="str">
        <f t="shared" si="717"/>
        <v>PARA</v>
      </c>
      <c r="E8621" s="2" t="str">
        <f>"R_EST_TIP_MAR_CIR_967"</f>
        <v>R_EST_TIP_MAR_CIR_967</v>
      </c>
      <c r="F8621" s="2" t="str">
        <f>"R_EST_TIP_MAR_CIR_967"</f>
        <v>R_EST_TIP_MAR_CIR_967</v>
      </c>
      <c r="G8621" s="2" t="str">
        <f t="shared" ref="G8621:G8638" si="721">" ()"</f>
        <v xml:space="preserve"> ()</v>
      </c>
    </row>
    <row r="8622" spans="1:7" x14ac:dyDescent="0.3">
      <c r="A8622" s="1" t="s">
        <v>4</v>
      </c>
      <c r="B8622" s="2" t="str">
        <f t="shared" si="715"/>
        <v>SISTEMA DE GERENCIAMENTO AMBULATORIAL</v>
      </c>
      <c r="C8622" s="2" t="str">
        <f t="shared" si="716"/>
        <v>ATEND</v>
      </c>
      <c r="D8622" s="2" t="str">
        <f t="shared" si="717"/>
        <v>PARA</v>
      </c>
      <c r="E8622" s="2" t="str">
        <f>"R_REL_PAC_AGD_959"</f>
        <v>R_REL_PAC_AGD_959</v>
      </c>
      <c r="F8622" s="2" t="str">
        <f>"R_REL_PAC_AGD_959"</f>
        <v>R_REL_PAC_AGD_959</v>
      </c>
      <c r="G8622" s="2" t="str">
        <f t="shared" si="721"/>
        <v xml:space="preserve"> ()</v>
      </c>
    </row>
    <row r="8623" spans="1:7" x14ac:dyDescent="0.3">
      <c r="A8623" s="1" t="s">
        <v>4</v>
      </c>
      <c r="B8623" s="2" t="str">
        <f t="shared" si="715"/>
        <v>SISTEMA DE GERENCIAMENTO AMBULATORIAL</v>
      </c>
      <c r="C8623" s="2" t="str">
        <f t="shared" si="716"/>
        <v>ATEND</v>
      </c>
      <c r="D8623" s="2" t="str">
        <f t="shared" si="717"/>
        <v>PARA</v>
      </c>
      <c r="E8623" s="2" t="str">
        <f>"R_AGE_PLANTAO755"</f>
        <v>R_AGE_PLANTAO755</v>
      </c>
      <c r="F8623" s="2" t="str">
        <f>"R_AGE_PLANTAO755"</f>
        <v>R_AGE_PLANTAO755</v>
      </c>
      <c r="G8623" s="2" t="str">
        <f t="shared" si="721"/>
        <v xml:space="preserve"> ()</v>
      </c>
    </row>
    <row r="8624" spans="1:7" x14ac:dyDescent="0.3">
      <c r="A8624" s="1" t="s">
        <v>4</v>
      </c>
      <c r="B8624" s="2" t="str">
        <f t="shared" si="715"/>
        <v>SISTEMA DE GERENCIAMENTO AMBULATORIAL</v>
      </c>
      <c r="C8624" s="2" t="str">
        <f t="shared" si="716"/>
        <v>ATEND</v>
      </c>
      <c r="D8624" s="2" t="str">
        <f t="shared" si="717"/>
        <v>PARA</v>
      </c>
      <c r="E8624" s="2" t="str">
        <f>"M_UNIDADE_REGIONAL_745"</f>
        <v>M_UNIDADE_REGIONAL_745</v>
      </c>
      <c r="F8624" s="2" t="str">
        <f>"M_UNIDADE_REGIONAL_745"</f>
        <v>M_UNIDADE_REGIONAL_745</v>
      </c>
      <c r="G8624" s="2" t="str">
        <f t="shared" si="721"/>
        <v xml:space="preserve"> ()</v>
      </c>
    </row>
    <row r="8625" spans="1:7" x14ac:dyDescent="0.3">
      <c r="A8625" s="1" t="s">
        <v>4</v>
      </c>
      <c r="B8625" s="2" t="str">
        <f t="shared" si="715"/>
        <v>SISTEMA DE GERENCIAMENTO AMBULATORIAL</v>
      </c>
      <c r="C8625" s="2" t="str">
        <f t="shared" si="716"/>
        <v>ATEND</v>
      </c>
      <c r="D8625" s="2" t="str">
        <f t="shared" si="717"/>
        <v>PARA</v>
      </c>
      <c r="E8625" s="2" t="str">
        <f>"M_AGENDAMENTO_722"</f>
        <v>M_AGENDAMENTO_722</v>
      </c>
      <c r="F8625" s="2" t="str">
        <f>"M_AGENDAMENTO_722"</f>
        <v>M_AGENDAMENTO_722</v>
      </c>
      <c r="G8625" s="2" t="str">
        <f t="shared" si="721"/>
        <v xml:space="preserve"> ()</v>
      </c>
    </row>
    <row r="8626" spans="1:7" x14ac:dyDescent="0.3">
      <c r="A8626" s="1" t="s">
        <v>4</v>
      </c>
      <c r="B8626" s="2" t="str">
        <f t="shared" si="715"/>
        <v>SISTEMA DE GERENCIAMENTO AMBULATORIAL</v>
      </c>
      <c r="C8626" s="2" t="str">
        <f t="shared" si="716"/>
        <v>ATEND</v>
      </c>
      <c r="D8626" s="2" t="str">
        <f t="shared" si="717"/>
        <v>PARA</v>
      </c>
      <c r="E8626" s="2" t="str">
        <f>"R_ANA_DES_MED_SUS_44"</f>
        <v>R_ANA_DES_MED_SUS_44</v>
      </c>
      <c r="F8626" s="2" t="str">
        <f>"R_ANA_DES_MED_SUS_44"</f>
        <v>R_ANA_DES_MED_SUS_44</v>
      </c>
      <c r="G8626" s="2" t="str">
        <f t="shared" si="721"/>
        <v xml:space="preserve"> ()</v>
      </c>
    </row>
    <row r="8627" spans="1:7" x14ac:dyDescent="0.3">
      <c r="A8627" s="1" t="s">
        <v>4</v>
      </c>
      <c r="B8627" s="2" t="str">
        <f t="shared" si="715"/>
        <v>SISTEMA DE GERENCIAMENTO AMBULATORIAL</v>
      </c>
      <c r="C8627" s="2" t="str">
        <f t="shared" si="716"/>
        <v>ATEND</v>
      </c>
      <c r="D8627" s="2" t="str">
        <f t="shared" si="717"/>
        <v>PARA</v>
      </c>
      <c r="E8627" s="2" t="str">
        <f>"R_ORIGEM_340"</f>
        <v>R_ORIGEM_340</v>
      </c>
      <c r="F8627" s="2" t="str">
        <f>"R_ORIGEM_340"</f>
        <v>R_ORIGEM_340</v>
      </c>
      <c r="G8627" s="2" t="str">
        <f t="shared" si="721"/>
        <v xml:space="preserve"> ()</v>
      </c>
    </row>
    <row r="8628" spans="1:7" x14ac:dyDescent="0.3">
      <c r="A8628" s="1" t="s">
        <v>4</v>
      </c>
      <c r="B8628" s="2" t="str">
        <f t="shared" si="715"/>
        <v>SISTEMA DE GERENCIAMENTO AMBULATORIAL</v>
      </c>
      <c r="C8628" s="2" t="str">
        <f t="shared" si="716"/>
        <v>ATEND</v>
      </c>
      <c r="D8628" s="2" t="str">
        <f t="shared" si="717"/>
        <v>PARA</v>
      </c>
      <c r="E8628" s="2" t="str">
        <f>"R_CONT_ABS_1711"</f>
        <v>R_CONT_ABS_1711</v>
      </c>
      <c r="F8628" s="2" t="str">
        <f>"R_CONT_ABS_1711"</f>
        <v>R_CONT_ABS_1711</v>
      </c>
      <c r="G8628" s="2" t="str">
        <f t="shared" si="721"/>
        <v xml:space="preserve"> ()</v>
      </c>
    </row>
    <row r="8629" spans="1:7" x14ac:dyDescent="0.3">
      <c r="A8629" s="1" t="s">
        <v>4</v>
      </c>
      <c r="B8629" s="2" t="str">
        <f t="shared" si="715"/>
        <v>SISTEMA DE GERENCIAMENTO AMBULATORIAL</v>
      </c>
      <c r="C8629" s="2" t="str">
        <f t="shared" si="716"/>
        <v>ATEND</v>
      </c>
      <c r="D8629" s="2" t="str">
        <f t="shared" si="717"/>
        <v>PARA</v>
      </c>
      <c r="E8629" s="2" t="str">
        <f>"R_ABS_SER_DIS_1711"</f>
        <v>R_ABS_SER_DIS_1711</v>
      </c>
      <c r="F8629" s="2" t="str">
        <f>"R_ABS_SER_DIS_1711"</f>
        <v>R_ABS_SER_DIS_1711</v>
      </c>
      <c r="G8629" s="2" t="str">
        <f t="shared" si="721"/>
        <v xml:space="preserve"> ()</v>
      </c>
    </row>
    <row r="8630" spans="1:7" x14ac:dyDescent="0.3">
      <c r="A8630" s="1" t="s">
        <v>4</v>
      </c>
      <c r="B8630" s="2" t="str">
        <f t="shared" si="715"/>
        <v>SISTEMA DE GERENCIAMENTO AMBULATORIAL</v>
      </c>
      <c r="C8630" s="2" t="str">
        <f t="shared" si="716"/>
        <v>ATEND</v>
      </c>
      <c r="D8630" s="2" t="str">
        <f t="shared" si="717"/>
        <v>PARA</v>
      </c>
      <c r="E8630" s="2" t="str">
        <f>"M_UNIDADE_REGIONAL_1711"</f>
        <v>M_UNIDADE_REGIONAL_1711</v>
      </c>
      <c r="F8630" s="2" t="str">
        <f>"M_UNIDADE_REGIONAL_1711"</f>
        <v>M_UNIDADE_REGIONAL_1711</v>
      </c>
      <c r="G8630" s="2" t="str">
        <f t="shared" si="721"/>
        <v xml:space="preserve"> ()</v>
      </c>
    </row>
    <row r="8631" spans="1:7" x14ac:dyDescent="0.3">
      <c r="A8631" s="1" t="s">
        <v>4</v>
      </c>
      <c r="B8631" s="2" t="str">
        <f t="shared" si="715"/>
        <v>SISTEMA DE GERENCIAMENTO AMBULATORIAL</v>
      </c>
      <c r="C8631" s="2" t="str">
        <f t="shared" si="716"/>
        <v>ATEND</v>
      </c>
      <c r="D8631" s="2" t="str">
        <f t="shared" si="717"/>
        <v>PARA</v>
      </c>
      <c r="E8631" s="2" t="str">
        <f>"CADAGD_1711"</f>
        <v>CADAGD_1711</v>
      </c>
      <c r="F8631" s="2" t="str">
        <f>"CADAGD_1711"</f>
        <v>CADAGD_1711</v>
      </c>
      <c r="G8631" s="2" t="str">
        <f t="shared" si="721"/>
        <v xml:space="preserve"> ()</v>
      </c>
    </row>
    <row r="8632" spans="1:7" x14ac:dyDescent="0.3">
      <c r="A8632" s="1" t="s">
        <v>4</v>
      </c>
      <c r="B8632" s="2" t="str">
        <f t="shared" si="715"/>
        <v>SISTEMA DE GERENCIAMENTO AMBULATORIAL</v>
      </c>
      <c r="C8632" s="2" t="str">
        <f t="shared" si="716"/>
        <v>ATEND</v>
      </c>
      <c r="D8632" s="2" t="str">
        <f t="shared" si="717"/>
        <v>PARA</v>
      </c>
      <c r="E8632" s="2" t="str">
        <f>"ATE_AGD_P_1711"</f>
        <v>ATE_AGD_P_1711</v>
      </c>
      <c r="F8632" s="2" t="str">
        <f>"ATE_AGD_P_1711"</f>
        <v>ATE_AGD_P_1711</v>
      </c>
      <c r="G8632" s="2" t="str">
        <f t="shared" si="721"/>
        <v xml:space="preserve"> ()</v>
      </c>
    </row>
    <row r="8633" spans="1:7" x14ac:dyDescent="0.3">
      <c r="A8633" s="1" t="s">
        <v>4</v>
      </c>
      <c r="B8633" s="2" t="str">
        <f t="shared" si="715"/>
        <v>SISTEMA DE GERENCIAMENTO AMBULATORIAL</v>
      </c>
      <c r="C8633" s="2" t="str">
        <f t="shared" si="716"/>
        <v>ATEND</v>
      </c>
      <c r="D8633" s="2" t="str">
        <f t="shared" si="717"/>
        <v>PARA</v>
      </c>
      <c r="E8633" s="2" t="str">
        <f>"R_REG_REJEITADO_1302"</f>
        <v>R_REG_REJEITADO_1302</v>
      </c>
      <c r="F8633" s="2" t="str">
        <f>"R_REG_REJEITADO_1302"</f>
        <v>R_REG_REJEITADO_1302</v>
      </c>
      <c r="G8633" s="2" t="str">
        <f t="shared" si="721"/>
        <v xml:space="preserve"> ()</v>
      </c>
    </row>
    <row r="8634" spans="1:7" x14ac:dyDescent="0.3">
      <c r="A8634" s="1" t="s">
        <v>4</v>
      </c>
      <c r="B8634" s="2" t="str">
        <f t="shared" si="715"/>
        <v>SISTEMA DE GERENCIAMENTO AMBULATORIAL</v>
      </c>
      <c r="C8634" s="2" t="str">
        <f t="shared" si="716"/>
        <v>ATEND</v>
      </c>
      <c r="D8634" s="2" t="str">
        <f t="shared" si="717"/>
        <v>PARA</v>
      </c>
      <c r="E8634" s="2" t="str">
        <f>"R_ATE_HORA_110"</f>
        <v>R_ATE_HORA_110</v>
      </c>
      <c r="F8634" s="2" t="str">
        <f>"R_ATE_HORA_110"</f>
        <v>R_ATE_HORA_110</v>
      </c>
      <c r="G8634" s="2" t="str">
        <f t="shared" si="721"/>
        <v xml:space="preserve"> ()</v>
      </c>
    </row>
    <row r="8635" spans="1:7" x14ac:dyDescent="0.3">
      <c r="A8635" s="1" t="s">
        <v>4</v>
      </c>
      <c r="B8635" s="2" t="str">
        <f t="shared" si="715"/>
        <v>SISTEMA DE GERENCIAMENTO AMBULATORIAL</v>
      </c>
      <c r="C8635" s="2" t="str">
        <f t="shared" si="716"/>
        <v>ATEND</v>
      </c>
      <c r="D8635" s="2" t="str">
        <f t="shared" si="717"/>
        <v>PARA</v>
      </c>
      <c r="E8635" s="2" t="str">
        <f>"R_FICHA_CURATIVO"</f>
        <v>R_FICHA_CURATIVO</v>
      </c>
      <c r="F8635" s="2" t="str">
        <f>"R_FICHA_CURATIVO"</f>
        <v>R_FICHA_CURATIVO</v>
      </c>
      <c r="G8635" s="2" t="str">
        <f t="shared" si="721"/>
        <v xml:space="preserve"> ()</v>
      </c>
    </row>
    <row r="8636" spans="1:7" x14ac:dyDescent="0.3">
      <c r="A8636" s="1" t="s">
        <v>4</v>
      </c>
      <c r="B8636" s="2" t="str">
        <f t="shared" si="715"/>
        <v>SISTEMA DE GERENCIAMENTO AMBULATORIAL</v>
      </c>
      <c r="C8636" s="2" t="str">
        <f t="shared" si="716"/>
        <v>ATEND</v>
      </c>
      <c r="D8636" s="2" t="str">
        <f t="shared" si="717"/>
        <v>PARA</v>
      </c>
      <c r="E8636" s="2" t="str">
        <f>"R_EST_EXA_REAL_ORI_REC_1"</f>
        <v>R_EST_EXA_REAL_ORI_REC_1</v>
      </c>
      <c r="F8636" s="2" t="str">
        <f>"R_EST_EXA_REAL_ORI_REC_1"</f>
        <v>R_EST_EXA_REAL_ORI_REC_1</v>
      </c>
      <c r="G8636" s="2" t="str">
        <f t="shared" si="721"/>
        <v xml:space="preserve"> ()</v>
      </c>
    </row>
    <row r="8637" spans="1:7" x14ac:dyDescent="0.3">
      <c r="A8637" s="1" t="s">
        <v>4</v>
      </c>
      <c r="B8637" s="2" t="str">
        <f t="shared" si="715"/>
        <v>SISTEMA DE GERENCIAMENTO AMBULATORIAL</v>
      </c>
      <c r="C8637" s="2" t="str">
        <f t="shared" si="716"/>
        <v>ATEND</v>
      </c>
      <c r="D8637" s="2" t="str">
        <f t="shared" si="717"/>
        <v>PARA</v>
      </c>
      <c r="E8637" s="2" t="str">
        <f>"PARA959"</f>
        <v>PARA959</v>
      </c>
      <c r="F8637" s="2" t="str">
        <f>"PARA959"</f>
        <v>PARA959</v>
      </c>
      <c r="G8637" s="2" t="str">
        <f t="shared" si="721"/>
        <v xml:space="preserve"> ()</v>
      </c>
    </row>
    <row r="8638" spans="1:7" x14ac:dyDescent="0.3">
      <c r="A8638" s="1" t="s">
        <v>4</v>
      </c>
      <c r="B8638" s="2" t="str">
        <f t="shared" si="715"/>
        <v>SISTEMA DE GERENCIAMENTO AMBULATORIAL</v>
      </c>
      <c r="C8638" s="2" t="str">
        <f t="shared" si="716"/>
        <v>ATEND</v>
      </c>
      <c r="D8638" s="2" t="str">
        <f t="shared" si="717"/>
        <v>PARA</v>
      </c>
      <c r="E8638" s="2" t="str">
        <f>"PARA745"</f>
        <v>PARA745</v>
      </c>
      <c r="F8638" s="2" t="str">
        <f>"PARA745"</f>
        <v>PARA745</v>
      </c>
      <c r="G8638" s="2" t="str">
        <f t="shared" si="721"/>
        <v xml:space="preserve"> ()</v>
      </c>
    </row>
    <row r="8639" spans="1:7" x14ac:dyDescent="0.3">
      <c r="A8639" s="1" t="s">
        <v>4</v>
      </c>
      <c r="B8639" s="2" t="str">
        <f t="shared" si="715"/>
        <v>SISTEMA DE GERENCIAMENTO AMBULATORIAL</v>
      </c>
      <c r="C8639" s="2" t="str">
        <f t="shared" si="716"/>
        <v>ATEND</v>
      </c>
      <c r="D8639" s="2" t="str">
        <f t="shared" si="717"/>
        <v>PARA</v>
      </c>
      <c r="E8639" s="2" t="str">
        <f>"R_EST_SER_DIS_TP_ATEND"</f>
        <v>R_EST_SER_DIS_TP_ATEND</v>
      </c>
      <c r="F8639" s="2" t="str">
        <f>"R_EST_SER_DIS_TP_ATEND"</f>
        <v>R_EST_SER_DIS_TP_ATEND</v>
      </c>
      <c r="G8639" s="2" t="str">
        <f>"Atendimento / Ambulatório / Relatórios / Estatísticos / Atendimentos por Serviço X Tipo de Atendimento (R_EST_SER_DIS_TP_ATEND)"</f>
        <v>Atendimento / Ambulatório / Relatórios / Estatísticos / Atendimentos por Serviço X Tipo de Atendimento (R_EST_SER_DIS_TP_ATEND)</v>
      </c>
    </row>
    <row r="8640" spans="1:7" x14ac:dyDescent="0.3">
      <c r="A8640" s="1" t="s">
        <v>4</v>
      </c>
      <c r="B8640" s="2" t="str">
        <f t="shared" si="715"/>
        <v>SISTEMA DE GERENCIAMENTO AMBULATORIAL</v>
      </c>
      <c r="C8640" s="2" t="str">
        <f t="shared" si="716"/>
        <v>ATEND</v>
      </c>
      <c r="D8640" s="2" t="str">
        <f t="shared" si="717"/>
        <v>PARA</v>
      </c>
      <c r="E8640" s="2" t="str">
        <f>"REL. DE ATEND. POR ORIGEM X TIPO DE CONS"</f>
        <v>REL. DE ATEND. POR ORIGEM X TIPO DE CONS</v>
      </c>
      <c r="F8640" s="2" t="str">
        <f>"R_ORIGEM.RDF"</f>
        <v>R_ORIGEM.RDF</v>
      </c>
      <c r="G8640" s="2" t="str">
        <f t="shared" ref="G8640:G8647" si="722">" ()"</f>
        <v xml:space="preserve"> ()</v>
      </c>
    </row>
    <row r="8641" spans="1:7" x14ac:dyDescent="0.3">
      <c r="A8641" s="1" t="s">
        <v>4</v>
      </c>
      <c r="B8641" s="2" t="str">
        <f t="shared" ref="B8641:B8704" si="723">"SISTEMA DE GERENCIAMENTO AMBULATORIAL"</f>
        <v>SISTEMA DE GERENCIAMENTO AMBULATORIAL</v>
      </c>
      <c r="C8641" s="2" t="str">
        <f t="shared" ref="C8641:C8704" si="724">"ATEND"</f>
        <v>ATEND</v>
      </c>
      <c r="D8641" s="2" t="str">
        <f t="shared" ref="D8641:D8704" si="725">"PARA"</f>
        <v>PARA</v>
      </c>
      <c r="E8641" s="2" t="str">
        <f>"RELATÓRIO DE SESSÕES REALIZADAS"</f>
        <v>RELATÓRIO DE SESSÕES REALIZADAS</v>
      </c>
      <c r="F8641" s="2" t="str">
        <f>"R_SESSOES_REALIZADAS.RDF"</f>
        <v>R_SESSOES_REALIZADAS.RDF</v>
      </c>
      <c r="G8641" s="2" t="str">
        <f t="shared" si="722"/>
        <v xml:space="preserve"> ()</v>
      </c>
    </row>
    <row r="8642" spans="1:7" x14ac:dyDescent="0.3">
      <c r="A8642" s="1" t="s">
        <v>4</v>
      </c>
      <c r="B8642" s="2" t="str">
        <f t="shared" si="723"/>
        <v>SISTEMA DE GERENCIAMENTO AMBULATORIAL</v>
      </c>
      <c r="C8642" s="2" t="str">
        <f t="shared" si="724"/>
        <v>ATEND</v>
      </c>
      <c r="D8642" s="2" t="str">
        <f t="shared" si="725"/>
        <v>PARA</v>
      </c>
      <c r="E8642" s="2" t="str">
        <f>"REL. DE PACIENTES AGENDADOS POR SESSÕES"</f>
        <v>REL. DE PACIENTES AGENDADOS POR SESSÕES</v>
      </c>
      <c r="F8642" s="2" t="str">
        <f>"R_PAC_AGD_SESSOES.RDF"</f>
        <v>R_PAC_AGD_SESSOES.RDF</v>
      </c>
      <c r="G8642" s="2" t="str">
        <f t="shared" si="722"/>
        <v xml:space="preserve"> ()</v>
      </c>
    </row>
    <row r="8643" spans="1:7" x14ac:dyDescent="0.3">
      <c r="A8643" s="1" t="s">
        <v>4</v>
      </c>
      <c r="B8643" s="2" t="str">
        <f t="shared" si="723"/>
        <v>SISTEMA DE GERENCIAMENTO AMBULATORIAL</v>
      </c>
      <c r="C8643" s="2" t="str">
        <f t="shared" si="724"/>
        <v>ATEND</v>
      </c>
      <c r="D8643" s="2" t="str">
        <f t="shared" si="725"/>
        <v>PARA</v>
      </c>
      <c r="E8643" s="2" t="str">
        <f>"REL. PROD. DOS USUÁRIOS POR SERVIÇO"</f>
        <v>REL. PROD. DOS USUÁRIOS POR SERVIÇO</v>
      </c>
      <c r="F8643" s="2" t="str">
        <f>"R_PROD_USUARIOS_SERVICO.RDF"</f>
        <v>R_PROD_USUARIOS_SERVICO.RDF</v>
      </c>
      <c r="G8643" s="2" t="str">
        <f t="shared" si="722"/>
        <v xml:space="preserve"> ()</v>
      </c>
    </row>
    <row r="8644" spans="1:7" x14ac:dyDescent="0.3">
      <c r="A8644" s="1" t="s">
        <v>4</v>
      </c>
      <c r="B8644" s="2" t="str">
        <f t="shared" si="723"/>
        <v>SISTEMA DE GERENCIAMENTO AMBULATORIAL</v>
      </c>
      <c r="C8644" s="2" t="str">
        <f t="shared" si="724"/>
        <v>ATEND</v>
      </c>
      <c r="D8644" s="2" t="str">
        <f t="shared" si="725"/>
        <v>PARA</v>
      </c>
      <c r="E8644" s="2" t="str">
        <f>"RELATÓRIO DE TEMPO DE ESPERA"</f>
        <v>RELATÓRIO DE TEMPO DE ESPERA</v>
      </c>
      <c r="F8644" s="2" t="str">
        <f>"R_TEMPO_ESPERA.RDF"</f>
        <v>R_TEMPO_ESPERA.RDF</v>
      </c>
      <c r="G8644" s="2" t="str">
        <f t="shared" si="722"/>
        <v xml:space="preserve"> ()</v>
      </c>
    </row>
    <row r="8645" spans="1:7" x14ac:dyDescent="0.3">
      <c r="A8645" s="1" t="s">
        <v>4</v>
      </c>
      <c r="B8645" s="2" t="str">
        <f t="shared" si="723"/>
        <v>SISTEMA DE GERENCIAMENTO AMBULATORIAL</v>
      </c>
      <c r="C8645" s="2" t="str">
        <f t="shared" si="724"/>
        <v>ATEND</v>
      </c>
      <c r="D8645" s="2" t="str">
        <f t="shared" si="725"/>
        <v>PARA</v>
      </c>
      <c r="E8645" s="2" t="str">
        <f>"RELATÓRIO DE AGENDAMENTO"</f>
        <v>RELATÓRIO DE AGENDAMENTO</v>
      </c>
      <c r="F8645" s="2" t="str">
        <f>"R_ESTATISTICO_AGENDAMENTO.RDF"</f>
        <v>R_ESTATISTICO_AGENDAMENTO.RDF</v>
      </c>
      <c r="G8645" s="2" t="str">
        <f t="shared" si="722"/>
        <v xml:space="preserve"> ()</v>
      </c>
    </row>
    <row r="8646" spans="1:7" x14ac:dyDescent="0.3">
      <c r="A8646" s="1" t="s">
        <v>4</v>
      </c>
      <c r="B8646" s="2" t="str">
        <f t="shared" si="723"/>
        <v>SISTEMA DE GERENCIAMENTO AMBULATORIAL</v>
      </c>
      <c r="C8646" s="2" t="str">
        <f t="shared" si="724"/>
        <v>ATEND</v>
      </c>
      <c r="D8646" s="2" t="str">
        <f t="shared" si="725"/>
        <v>PARA</v>
      </c>
      <c r="E8646" s="2" t="str">
        <f>"RELATÓRIO DE RESUMO DE ATENDIMENTOS"</f>
        <v>RELATÓRIO DE RESUMO DE ATENDIMENTOS</v>
      </c>
      <c r="F8646" s="2" t="str">
        <f>"R_RESUMO_ATENDIMENTOS.RDF"</f>
        <v>R_RESUMO_ATENDIMENTOS.RDF</v>
      </c>
      <c r="G8646" s="2" t="str">
        <f t="shared" si="722"/>
        <v xml:space="preserve"> ()</v>
      </c>
    </row>
    <row r="8647" spans="1:7" x14ac:dyDescent="0.3">
      <c r="A8647" s="1" t="s">
        <v>4</v>
      </c>
      <c r="B8647" s="2" t="str">
        <f t="shared" si="723"/>
        <v>SISTEMA DE GERENCIAMENTO AMBULATORIAL</v>
      </c>
      <c r="C8647" s="2" t="str">
        <f t="shared" si="724"/>
        <v>ATEND</v>
      </c>
      <c r="D8647" s="2" t="str">
        <f t="shared" si="725"/>
        <v>PARA</v>
      </c>
      <c r="E8647" s="2" t="str">
        <f>"ESTAT. DE ATENDIMENTOS POR ESPECIALIDADE"</f>
        <v>ESTAT. DE ATENDIMENTOS POR ESPECIALIDADE</v>
      </c>
      <c r="F8647" s="2" t="str">
        <f>"R_EST_ESPECIALID.RDF"</f>
        <v>R_EST_ESPECIALID.RDF</v>
      </c>
      <c r="G8647" s="2" t="str">
        <f t="shared" si="722"/>
        <v xml:space="preserve"> ()</v>
      </c>
    </row>
    <row r="8648" spans="1:7" x14ac:dyDescent="0.3">
      <c r="A8648" s="1" t="s">
        <v>4</v>
      </c>
      <c r="B8648" s="2" t="str">
        <f t="shared" si="723"/>
        <v>SISTEMA DE GERENCIAMENTO AMBULATORIAL</v>
      </c>
      <c r="C8648" s="2" t="str">
        <f t="shared" si="724"/>
        <v>ATEND</v>
      </c>
      <c r="D8648" s="2" t="str">
        <f t="shared" si="725"/>
        <v>PARA</v>
      </c>
      <c r="E8648" s="2" t="str">
        <f>"CADASTRO DE USUÁRIO POR UNIDADE REGIONAL"</f>
        <v>CADASTRO DE USUÁRIO POR UNIDADE REGIONAL</v>
      </c>
      <c r="F8648" s="2" t="str">
        <f>"M_USUARIO_UBS"</f>
        <v>M_USUARIO_UBS</v>
      </c>
      <c r="G8648" s="2" t="str">
        <f>"Apoio a TI / Gestão de Usuários / Configurações de Acesso / Acessos Gerais / Usuários por Unidade Regional (M_USUARIO_UBS)"</f>
        <v>Apoio a TI / Gestão de Usuários / Configurações de Acesso / Acessos Gerais / Usuários por Unidade Regional (M_USUARIO_UBS)</v>
      </c>
    </row>
    <row r="8649" spans="1:7" x14ac:dyDescent="0.3">
      <c r="A8649" s="1" t="s">
        <v>4</v>
      </c>
      <c r="B8649" s="2" t="str">
        <f t="shared" si="723"/>
        <v>SISTEMA DE GERENCIAMENTO AMBULATORIAL</v>
      </c>
      <c r="C8649" s="2" t="str">
        <f t="shared" si="724"/>
        <v>ATEND</v>
      </c>
      <c r="D8649" s="2" t="str">
        <f t="shared" si="725"/>
        <v>PARA</v>
      </c>
      <c r="E8649" s="2" t="str">
        <f>"M_TRATAMENTO"</f>
        <v>M_TRATAMENTO</v>
      </c>
      <c r="F8649" s="2" t="str">
        <f>"M_TRATAMENTO"</f>
        <v>M_TRATAMENTO</v>
      </c>
      <c r="G8649" s="2" t="str">
        <f t="shared" ref="G8649:G8654" si="726">" ()"</f>
        <v xml:space="preserve"> ()</v>
      </c>
    </row>
    <row r="8650" spans="1:7" x14ac:dyDescent="0.3">
      <c r="A8650" s="1" t="s">
        <v>4</v>
      </c>
      <c r="B8650" s="2" t="str">
        <f t="shared" si="723"/>
        <v>SISTEMA DE GERENCIAMENTO AMBULATORIAL</v>
      </c>
      <c r="C8650" s="2" t="str">
        <f t="shared" si="724"/>
        <v>ATEND</v>
      </c>
      <c r="D8650" s="2" t="str">
        <f t="shared" si="725"/>
        <v>PARA</v>
      </c>
      <c r="E8650" s="2" t="str">
        <f>"DIAGNÓSTICOS MÉDICOS"</f>
        <v>DIAGNÓSTICOS MÉDICOS</v>
      </c>
      <c r="F8650" s="2" t="str">
        <f>"DIAGNOSTI"</f>
        <v>DIAGNOSTI</v>
      </c>
      <c r="G8650" s="2" t="str">
        <f t="shared" si="726"/>
        <v xml:space="preserve"> ()</v>
      </c>
    </row>
    <row r="8651" spans="1:7" x14ac:dyDescent="0.3">
      <c r="A8651" s="1" t="s">
        <v>4</v>
      </c>
      <c r="B8651" s="2" t="str">
        <f t="shared" si="723"/>
        <v>SISTEMA DE GERENCIAMENTO AMBULATORIAL</v>
      </c>
      <c r="C8651" s="2" t="str">
        <f t="shared" si="724"/>
        <v>ATEND</v>
      </c>
      <c r="D8651" s="2" t="str">
        <f t="shared" si="725"/>
        <v>PARA</v>
      </c>
      <c r="E8651" s="2" t="str">
        <f>"R_PROD_AMBULATORIAL600.REP"</f>
        <v>R_PROD_AMBULATORIAL600.REP</v>
      </c>
      <c r="F8651" s="2" t="str">
        <f>"R_PROD_AMBULATORIAL600.REP"</f>
        <v>R_PROD_AMBULATORIAL600.REP</v>
      </c>
      <c r="G8651" s="2" t="str">
        <f t="shared" si="726"/>
        <v xml:space="preserve"> ()</v>
      </c>
    </row>
    <row r="8652" spans="1:7" x14ac:dyDescent="0.3">
      <c r="A8652" s="1" t="s">
        <v>4</v>
      </c>
      <c r="B8652" s="2" t="str">
        <f t="shared" si="723"/>
        <v>SISTEMA DE GERENCIAMENTO AMBULATORIAL</v>
      </c>
      <c r="C8652" s="2" t="str">
        <f t="shared" si="724"/>
        <v>ATEND</v>
      </c>
      <c r="D8652" s="2" t="str">
        <f t="shared" si="725"/>
        <v>PARA</v>
      </c>
      <c r="E8652" s="2" t="str">
        <f>"R_TERMO_ATENDIMENTO_759"</f>
        <v>R_TERMO_ATENDIMENTO_759</v>
      </c>
      <c r="F8652" s="2" t="str">
        <f>"R_TERMO_ATENDIMENTO_759"</f>
        <v>R_TERMO_ATENDIMENTO_759</v>
      </c>
      <c r="G8652" s="2" t="str">
        <f t="shared" si="726"/>
        <v xml:space="preserve"> ()</v>
      </c>
    </row>
    <row r="8653" spans="1:7" x14ac:dyDescent="0.3">
      <c r="A8653" s="1" t="s">
        <v>4</v>
      </c>
      <c r="B8653" s="2" t="str">
        <f t="shared" si="723"/>
        <v>SISTEMA DE GERENCIAMENTO AMBULATORIAL</v>
      </c>
      <c r="C8653" s="2" t="str">
        <f t="shared" si="724"/>
        <v>ATEND</v>
      </c>
      <c r="D8653" s="2" t="str">
        <f t="shared" si="725"/>
        <v>PARA</v>
      </c>
      <c r="E8653" s="2" t="str">
        <f>"COMPROVANTE DE AGENDAMENTO"</f>
        <v>COMPROVANTE DE AGENDAMENTO</v>
      </c>
      <c r="F8653" s="2" t="str">
        <f>"R_COMP_AGENDAMENTO6"</f>
        <v>R_COMP_AGENDAMENTO6</v>
      </c>
      <c r="G8653" s="2" t="str">
        <f t="shared" si="726"/>
        <v xml:space="preserve"> ()</v>
      </c>
    </row>
    <row r="8654" spans="1:7" x14ac:dyDescent="0.3">
      <c r="A8654" s="1" t="s">
        <v>4</v>
      </c>
      <c r="B8654" s="2" t="str">
        <f t="shared" si="723"/>
        <v>SISTEMA DE GERENCIAMENTO AMBULATORIAL</v>
      </c>
      <c r="C8654" s="2" t="str">
        <f t="shared" si="724"/>
        <v>ATEND</v>
      </c>
      <c r="D8654" s="2" t="str">
        <f t="shared" si="725"/>
        <v>PARA</v>
      </c>
      <c r="E8654" s="2" t="str">
        <f>"M_FUSAM"</f>
        <v>M_FUSAM</v>
      </c>
      <c r="F8654" s="2" t="str">
        <f>"M_FUSAM"</f>
        <v>M_FUSAM</v>
      </c>
      <c r="G8654" s="2" t="str">
        <f t="shared" si="726"/>
        <v xml:space="preserve"> ()</v>
      </c>
    </row>
    <row r="8655" spans="1:7" x14ac:dyDescent="0.3">
      <c r="A8655" s="1" t="s">
        <v>4</v>
      </c>
      <c r="B8655" s="2" t="str">
        <f t="shared" si="723"/>
        <v>SISTEMA DE GERENCIAMENTO AMBULATORIAL</v>
      </c>
      <c r="C8655" s="2" t="str">
        <f t="shared" si="724"/>
        <v>ATEND</v>
      </c>
      <c r="D8655" s="2" t="str">
        <f t="shared" si="725"/>
        <v>PARA</v>
      </c>
      <c r="E8655" s="2" t="str">
        <f>"WIN_PRINCIPAL"</f>
        <v>WIN_PRINCIPAL</v>
      </c>
      <c r="F8655" s="2" t="str">
        <f>"M_CONFIG_PARA"</f>
        <v>M_CONFIG_PARA</v>
      </c>
      <c r="G8655" s="2" t="str">
        <f>"Atendimento / Ambulatório / Configurações / Parâmetros (M_CONFIG_PARA)"</f>
        <v>Atendimento / Ambulatório / Configurações / Parâmetros (M_CONFIG_PARA)</v>
      </c>
    </row>
    <row r="8656" spans="1:7" x14ac:dyDescent="0.3">
      <c r="A8656" s="1" t="s">
        <v>4</v>
      </c>
      <c r="B8656" s="2" t="str">
        <f t="shared" si="723"/>
        <v>SISTEMA DE GERENCIAMENTO AMBULATORIAL</v>
      </c>
      <c r="C8656" s="2" t="str">
        <f t="shared" si="724"/>
        <v>ATEND</v>
      </c>
      <c r="D8656" s="2" t="str">
        <f t="shared" si="725"/>
        <v>PARA</v>
      </c>
      <c r="E8656" s="2" t="str">
        <f>"ALTERAÇÃO DE ATENDIMENTOS : AMBULATÓRIO"</f>
        <v>ALTERAÇÃO DE ATENDIMENTOS : AMBULATÓRIO</v>
      </c>
      <c r="F8656" s="2" t="str">
        <f>"M_SESSOES_ATENDE"</f>
        <v>M_SESSOES_ATENDE</v>
      </c>
      <c r="G8656" s="2" t="str">
        <f>"Atendimento / Ambulatório / Atendimentos / Sessões (M_SESSOES_ATENDE)"</f>
        <v>Atendimento / Ambulatório / Atendimentos / Sessões (M_SESSOES_ATENDE)</v>
      </c>
    </row>
    <row r="8657" spans="1:7" x14ac:dyDescent="0.3">
      <c r="A8657" s="1" t="s">
        <v>4</v>
      </c>
      <c r="B8657" s="2" t="str">
        <f t="shared" si="723"/>
        <v>SISTEMA DE GERENCIAMENTO AMBULATORIAL</v>
      </c>
      <c r="C8657" s="2" t="str">
        <f t="shared" si="724"/>
        <v>ATEND</v>
      </c>
      <c r="D8657" s="2" t="str">
        <f t="shared" si="725"/>
        <v>PARA</v>
      </c>
      <c r="E8657" s="2" t="str">
        <f>"REL DE PRODUÇÃO DE ORIGENS X SERVICOS"</f>
        <v>REL DE PRODUÇÃO DE ORIGENS X SERVICOS</v>
      </c>
      <c r="F8657" s="2" t="str">
        <f>"R_PROD_ORI_SER"</f>
        <v>R_PROD_ORI_SER</v>
      </c>
      <c r="G8657" s="2" t="str">
        <f>" ()"</f>
        <v xml:space="preserve"> ()</v>
      </c>
    </row>
    <row r="8658" spans="1:7" x14ac:dyDescent="0.3">
      <c r="A8658" s="1" t="s">
        <v>4</v>
      </c>
      <c r="B8658" s="2" t="str">
        <f t="shared" si="723"/>
        <v>SISTEMA DE GERENCIAMENTO AMBULATORIAL</v>
      </c>
      <c r="C8658" s="2" t="str">
        <f t="shared" si="724"/>
        <v>ATEND</v>
      </c>
      <c r="D8658" s="2" t="str">
        <f t="shared" si="725"/>
        <v>PARA</v>
      </c>
      <c r="E8658" s="2" t="str">
        <f>"745\R_ANM_AMB745"</f>
        <v>745\R_ANM_AMB745</v>
      </c>
      <c r="F8658" s="2" t="str">
        <f>"745\R_ANM_AMB745"</f>
        <v>745\R_ANM_AMB745</v>
      </c>
      <c r="G8658" s="2" t="str">
        <f>" ()"</f>
        <v xml:space="preserve"> ()</v>
      </c>
    </row>
    <row r="8659" spans="1:7" x14ac:dyDescent="0.3">
      <c r="A8659" s="1" t="s">
        <v>4</v>
      </c>
      <c r="B8659" s="2" t="str">
        <f t="shared" si="723"/>
        <v>SISTEMA DE GERENCIAMENTO AMBULATORIAL</v>
      </c>
      <c r="C8659" s="2" t="str">
        <f t="shared" si="724"/>
        <v>ATEND</v>
      </c>
      <c r="D8659" s="2" t="str">
        <f t="shared" si="725"/>
        <v>PARA</v>
      </c>
      <c r="E8659" s="2" t="str">
        <f>"ETIQUETAS DE ATENDIMENTO SUS"</f>
        <v>ETIQUETAS DE ATENDIMENTO SUS</v>
      </c>
      <c r="F8659" s="2" t="str">
        <f>"R_ETIQ_ATEN_AMB_749"</f>
        <v>R_ETIQ_ATEN_AMB_749</v>
      </c>
      <c r="G8659" s="2" t="str">
        <f>" ()"</f>
        <v xml:space="preserve"> ()</v>
      </c>
    </row>
    <row r="8660" spans="1:7" x14ac:dyDescent="0.3">
      <c r="A8660" s="1" t="s">
        <v>4</v>
      </c>
      <c r="B8660" s="2" t="str">
        <f t="shared" si="723"/>
        <v>SISTEMA DE GERENCIAMENTO AMBULATORIAL</v>
      </c>
      <c r="C8660" s="2" t="str">
        <f t="shared" si="724"/>
        <v>ATEND</v>
      </c>
      <c r="D8660" s="2" t="str">
        <f t="shared" si="725"/>
        <v>PARA</v>
      </c>
      <c r="E8660" s="2" t="str">
        <f>"RELATÓRIO DE ATENDIMENTOS POR PACIENTE"</f>
        <v>RELATÓRIO DE ATENDIMENTOS POR PACIENTE</v>
      </c>
      <c r="F8660" s="2" t="str">
        <f>"R_ATENDIMENTOS_PACIENTE"</f>
        <v>R_ATENDIMENTOS_PACIENTE</v>
      </c>
      <c r="G8660" s="2" t="str">
        <f>"Atendimento / Ambulatório / Relatórios / Operacionais / Atendimentos por Paciente (R_ATENDIMENTOS_PACIENTE)"</f>
        <v>Atendimento / Ambulatório / Relatórios / Operacionais / Atendimentos por Paciente (R_ATENDIMENTOS_PACIENTE)</v>
      </c>
    </row>
    <row r="8661" spans="1:7" x14ac:dyDescent="0.3">
      <c r="A8661" s="1" t="s">
        <v>4</v>
      </c>
      <c r="B8661" s="2" t="str">
        <f t="shared" si="723"/>
        <v>SISTEMA DE GERENCIAMENTO AMBULATORIAL</v>
      </c>
      <c r="C8661" s="2" t="str">
        <f t="shared" si="724"/>
        <v>ATEND</v>
      </c>
      <c r="D8661" s="2" t="str">
        <f t="shared" si="725"/>
        <v>PARA</v>
      </c>
      <c r="E8661" s="2" t="str">
        <f>"RELATÓRIO DE ATENDIMENTOS POR PACIENTE"</f>
        <v>RELATÓRIO DE ATENDIMENTOS POR PACIENTE</v>
      </c>
      <c r="F8661" s="2" t="str">
        <f>"R_ATENDIMENTOS_PACIENTE"</f>
        <v>R_ATENDIMENTOS_PACIENTE</v>
      </c>
      <c r="G8661" s="2" t="str">
        <f>"Atendimento / Urgência e Emergência / Relatórios / Administrativos / Atendimentos por Paciente (R_ATENDIMENTOS_PACIENTE)"</f>
        <v>Atendimento / Urgência e Emergência / Relatórios / Administrativos / Atendimentos por Paciente (R_ATENDIMENTOS_PACIENTE)</v>
      </c>
    </row>
    <row r="8662" spans="1:7" x14ac:dyDescent="0.3">
      <c r="A8662" s="1" t="s">
        <v>4</v>
      </c>
      <c r="B8662" s="2" t="str">
        <f t="shared" si="723"/>
        <v>SISTEMA DE GERENCIAMENTO AMBULATORIAL</v>
      </c>
      <c r="C8662" s="2" t="str">
        <f t="shared" si="724"/>
        <v>ATEND</v>
      </c>
      <c r="D8662" s="2" t="str">
        <f t="shared" si="725"/>
        <v>PARA</v>
      </c>
      <c r="E8662" s="2" t="str">
        <f>"ANAMNESE AMBULATORIAL - 745"</f>
        <v>ANAMNESE AMBULATORIAL - 745</v>
      </c>
      <c r="F8662" s="2" t="str">
        <f>"R_ANM_AMB745"</f>
        <v>R_ANM_AMB745</v>
      </c>
      <c r="G8662" s="2" t="str">
        <f t="shared" ref="G8662:G8689" si="727">" ()"</f>
        <v xml:space="preserve"> ()</v>
      </c>
    </row>
    <row r="8663" spans="1:7" x14ac:dyDescent="0.3">
      <c r="A8663" s="1" t="s">
        <v>4</v>
      </c>
      <c r="B8663" s="2" t="str">
        <f t="shared" si="723"/>
        <v>SISTEMA DE GERENCIAMENTO AMBULATORIAL</v>
      </c>
      <c r="C8663" s="2" t="str">
        <f t="shared" si="724"/>
        <v>ATEND</v>
      </c>
      <c r="D8663" s="2" t="str">
        <f t="shared" si="725"/>
        <v>PARA</v>
      </c>
      <c r="E8663" s="2" t="str">
        <f>"GERAÇÃO DE DISQUETE CIH"</f>
        <v>GERAÇÃO DE DISQUETE CIH</v>
      </c>
      <c r="F8663" s="2" t="str">
        <f>"TESTE"</f>
        <v>TESTE</v>
      </c>
      <c r="G8663" s="2" t="str">
        <f t="shared" si="727"/>
        <v xml:space="preserve"> ()</v>
      </c>
    </row>
    <row r="8664" spans="1:7" x14ac:dyDescent="0.3">
      <c r="A8664" s="1" t="s">
        <v>4</v>
      </c>
      <c r="B8664" s="2" t="str">
        <f t="shared" si="723"/>
        <v>SISTEMA DE GERENCIAMENTO AMBULATORIAL</v>
      </c>
      <c r="C8664" s="2" t="str">
        <f t="shared" si="724"/>
        <v>ATEND</v>
      </c>
      <c r="D8664" s="2" t="str">
        <f t="shared" si="725"/>
        <v>PARA</v>
      </c>
      <c r="E8664" s="2" t="str">
        <f>"RELATÓRIO ESTATÍSTICO DE ENCAIXES"</f>
        <v>RELATÓRIO ESTATÍSTICO DE ENCAIXES</v>
      </c>
      <c r="F8664" s="2" t="str">
        <f>"R_CONT_ABS"</f>
        <v>R_CONT_ABS</v>
      </c>
      <c r="G8664" s="2" t="str">
        <f t="shared" si="727"/>
        <v xml:space="preserve"> ()</v>
      </c>
    </row>
    <row r="8665" spans="1:7" x14ac:dyDescent="0.3">
      <c r="A8665" s="1" t="s">
        <v>4</v>
      </c>
      <c r="B8665" s="2" t="str">
        <f t="shared" si="723"/>
        <v>SISTEMA DE GERENCIAMENTO AMBULATORIAL</v>
      </c>
      <c r="C8665" s="2" t="str">
        <f t="shared" si="724"/>
        <v>ATEND</v>
      </c>
      <c r="D8665" s="2" t="str">
        <f t="shared" si="725"/>
        <v>PARA</v>
      </c>
      <c r="E8665" s="2" t="str">
        <f>"R_ABS_SER_DIS"</f>
        <v>R_ABS_SER_DIS</v>
      </c>
      <c r="F8665" s="2" t="str">
        <f>"R_ABS_SER_DIS"</f>
        <v>R_ABS_SER_DIS</v>
      </c>
      <c r="G8665" s="2" t="str">
        <f t="shared" si="727"/>
        <v xml:space="preserve"> ()</v>
      </c>
    </row>
    <row r="8666" spans="1:7" x14ac:dyDescent="0.3">
      <c r="A8666" s="1" t="s">
        <v>4</v>
      </c>
      <c r="B8666" s="2" t="str">
        <f t="shared" si="723"/>
        <v>SISTEMA DE GERENCIAMENTO AMBULATORIAL</v>
      </c>
      <c r="C8666" s="2" t="str">
        <f t="shared" si="724"/>
        <v>ATEND</v>
      </c>
      <c r="D8666" s="2" t="str">
        <f t="shared" si="725"/>
        <v>PARA</v>
      </c>
      <c r="E8666" s="2" t="str">
        <f>"CADASTRO: PLANTÕES"</f>
        <v>CADASTRO: PLANTÕES</v>
      </c>
      <c r="F8666" s="2" t="str">
        <f>"MARCACAO_613"</f>
        <v>MARCACAO_613</v>
      </c>
      <c r="G8666" s="2" t="str">
        <f t="shared" si="727"/>
        <v xml:space="preserve"> ()</v>
      </c>
    </row>
    <row r="8667" spans="1:7" x14ac:dyDescent="0.3">
      <c r="A8667" s="1" t="s">
        <v>4</v>
      </c>
      <c r="B8667" s="2" t="str">
        <f t="shared" si="723"/>
        <v>SISTEMA DE GERENCIAMENTO AMBULATORIAL</v>
      </c>
      <c r="C8667" s="2" t="str">
        <f t="shared" si="724"/>
        <v>ATEND</v>
      </c>
      <c r="D8667" s="2" t="str">
        <f t="shared" si="725"/>
        <v>PARA</v>
      </c>
      <c r="E8667" s="2" t="str">
        <f>"R_ANM_PAEU_460"</f>
        <v>R_ANM_PAEU_460</v>
      </c>
      <c r="F8667" s="2" t="str">
        <f>"R_ANM_PAEU_460"</f>
        <v>R_ANM_PAEU_460</v>
      </c>
      <c r="G8667" s="2" t="str">
        <f t="shared" si="727"/>
        <v xml:space="preserve"> ()</v>
      </c>
    </row>
    <row r="8668" spans="1:7" x14ac:dyDescent="0.3">
      <c r="A8668" s="1" t="s">
        <v>4</v>
      </c>
      <c r="B8668" s="2" t="str">
        <f t="shared" si="723"/>
        <v>SISTEMA DE GERENCIAMENTO AMBULATORIAL</v>
      </c>
      <c r="C8668" s="2" t="str">
        <f t="shared" si="724"/>
        <v>ATEND</v>
      </c>
      <c r="D8668" s="2" t="str">
        <f t="shared" si="725"/>
        <v>PARA</v>
      </c>
      <c r="E8668" s="2" t="str">
        <f>"MENU DO PARA745"</f>
        <v>MENU DO PARA745</v>
      </c>
      <c r="F8668" s="2" t="str">
        <f>"M_PARA745"</f>
        <v>M_PARA745</v>
      </c>
      <c r="G8668" s="2" t="str">
        <f t="shared" si="727"/>
        <v xml:space="preserve"> ()</v>
      </c>
    </row>
    <row r="8669" spans="1:7" x14ac:dyDescent="0.3">
      <c r="A8669" s="1" t="s">
        <v>4</v>
      </c>
      <c r="B8669" s="2" t="str">
        <f t="shared" si="723"/>
        <v>SISTEMA DE GERENCIAMENTO AMBULATORIAL</v>
      </c>
      <c r="C8669" s="2" t="str">
        <f t="shared" si="724"/>
        <v>ATEND</v>
      </c>
      <c r="D8669" s="2" t="str">
        <f t="shared" si="725"/>
        <v>PARA</v>
      </c>
      <c r="E8669" s="2" t="str">
        <f>"CADASTRO: PLANTÕES"</f>
        <v>CADASTRO: PLANTÕES</v>
      </c>
      <c r="F8669" s="2" t="str">
        <f>"C_MARCACAO"</f>
        <v>C_MARCACAO</v>
      </c>
      <c r="G8669" s="2" t="str">
        <f t="shared" si="727"/>
        <v xml:space="preserve"> ()</v>
      </c>
    </row>
    <row r="8670" spans="1:7" x14ac:dyDescent="0.3">
      <c r="A8670" s="1" t="s">
        <v>4</v>
      </c>
      <c r="B8670" s="2" t="str">
        <f t="shared" si="723"/>
        <v>SISTEMA DE GERENCIAMENTO AMBULATORIAL</v>
      </c>
      <c r="C8670" s="2" t="str">
        <f t="shared" si="724"/>
        <v>ATEND</v>
      </c>
      <c r="D8670" s="2" t="str">
        <f t="shared" si="725"/>
        <v>PARA</v>
      </c>
      <c r="E8670" s="2" t="str">
        <f>"R_ATENDIMENTOMEDICO"</f>
        <v>R_ATENDIMENTOMEDICO</v>
      </c>
      <c r="F8670" s="2" t="str">
        <f>"R_ATENDIMENTOMEDICO"</f>
        <v>R_ATENDIMENTOMEDICO</v>
      </c>
      <c r="G8670" s="2" t="str">
        <f t="shared" si="727"/>
        <v xml:space="preserve"> ()</v>
      </c>
    </row>
    <row r="8671" spans="1:7" x14ac:dyDescent="0.3">
      <c r="A8671" s="1" t="s">
        <v>4</v>
      </c>
      <c r="B8671" s="2" t="str">
        <f t="shared" si="723"/>
        <v>SISTEMA DE GERENCIAMENTO AMBULATORIAL</v>
      </c>
      <c r="C8671" s="2" t="str">
        <f t="shared" si="724"/>
        <v>ATEND</v>
      </c>
      <c r="D8671" s="2" t="str">
        <f t="shared" si="725"/>
        <v>PARA</v>
      </c>
      <c r="E8671" s="2" t="str">
        <f>"PARA"</f>
        <v>PARA</v>
      </c>
      <c r="F8671" s="2" t="str">
        <f>"PARA"</f>
        <v>PARA</v>
      </c>
      <c r="G8671" s="2" t="str">
        <f t="shared" si="727"/>
        <v xml:space="preserve"> ()</v>
      </c>
    </row>
    <row r="8672" spans="1:7" x14ac:dyDescent="0.3">
      <c r="A8672" s="1" t="s">
        <v>4</v>
      </c>
      <c r="B8672" s="2" t="str">
        <f t="shared" si="723"/>
        <v>SISTEMA DE GERENCIAMENTO AMBULATORIAL</v>
      </c>
      <c r="C8672" s="2" t="str">
        <f t="shared" si="724"/>
        <v>ATEND</v>
      </c>
      <c r="D8672" s="2" t="str">
        <f t="shared" si="725"/>
        <v>PARA</v>
      </c>
      <c r="E8672" s="2" t="str">
        <f>"R_RECEITA_199"</f>
        <v>R_RECEITA_199</v>
      </c>
      <c r="F8672" s="2" t="str">
        <f>"R_RECEITA_199"</f>
        <v>R_RECEITA_199</v>
      </c>
      <c r="G8672" s="2" t="str">
        <f t="shared" si="727"/>
        <v xml:space="preserve"> ()</v>
      </c>
    </row>
    <row r="8673" spans="1:7" x14ac:dyDescent="0.3">
      <c r="A8673" s="1" t="s">
        <v>4</v>
      </c>
      <c r="B8673" s="2" t="str">
        <f t="shared" si="723"/>
        <v>SISTEMA DE GERENCIAMENTO AMBULATORIAL</v>
      </c>
      <c r="C8673" s="2" t="str">
        <f t="shared" si="724"/>
        <v>ATEND</v>
      </c>
      <c r="D8673" s="2" t="str">
        <f t="shared" si="725"/>
        <v>PARA</v>
      </c>
      <c r="E8673" s="2" t="str">
        <f>"R_RECEITA_190"</f>
        <v>R_RECEITA_190</v>
      </c>
      <c r="F8673" s="2" t="str">
        <f>"R_RECEITA_190"</f>
        <v>R_RECEITA_190</v>
      </c>
      <c r="G8673" s="2" t="str">
        <f t="shared" si="727"/>
        <v xml:space="preserve"> ()</v>
      </c>
    </row>
    <row r="8674" spans="1:7" x14ac:dyDescent="0.3">
      <c r="A8674" s="1" t="s">
        <v>4</v>
      </c>
      <c r="B8674" s="2" t="str">
        <f t="shared" si="723"/>
        <v>SISTEMA DE GERENCIAMENTO AMBULATORIAL</v>
      </c>
      <c r="C8674" s="2" t="str">
        <f t="shared" si="724"/>
        <v>ATEND</v>
      </c>
      <c r="D8674" s="2" t="str">
        <f t="shared" si="725"/>
        <v>PARA</v>
      </c>
      <c r="E8674" s="2" t="str">
        <f>"R_ANM_AMB44"</f>
        <v>R_ANM_AMB44</v>
      </c>
      <c r="F8674" s="2" t="str">
        <f>"R_ANM_AMB44"</f>
        <v>R_ANM_AMB44</v>
      </c>
      <c r="G8674" s="2" t="str">
        <f t="shared" si="727"/>
        <v xml:space="preserve"> ()</v>
      </c>
    </row>
    <row r="8675" spans="1:7" x14ac:dyDescent="0.3">
      <c r="A8675" s="1" t="s">
        <v>4</v>
      </c>
      <c r="B8675" s="2" t="str">
        <f t="shared" si="723"/>
        <v>SISTEMA DE GERENCIAMENTO AMBULATORIAL</v>
      </c>
      <c r="C8675" s="2" t="str">
        <f t="shared" si="724"/>
        <v>ATEND</v>
      </c>
      <c r="D8675" s="2" t="str">
        <f t="shared" si="725"/>
        <v>PARA</v>
      </c>
      <c r="E8675" s="2" t="str">
        <f>"R_ATESTADO760"</f>
        <v>R_ATESTADO760</v>
      </c>
      <c r="F8675" s="2" t="str">
        <f>"R_ATESTADO760"</f>
        <v>R_ATESTADO760</v>
      </c>
      <c r="G8675" s="2" t="str">
        <f t="shared" si="727"/>
        <v xml:space="preserve"> ()</v>
      </c>
    </row>
    <row r="8676" spans="1:7" x14ac:dyDescent="0.3">
      <c r="A8676" s="1" t="s">
        <v>4</v>
      </c>
      <c r="B8676" s="2" t="str">
        <f t="shared" si="723"/>
        <v>SISTEMA DE GERENCIAMENTO AMBULATORIAL</v>
      </c>
      <c r="C8676" s="2" t="str">
        <f t="shared" si="724"/>
        <v>ATEND</v>
      </c>
      <c r="D8676" s="2" t="str">
        <f t="shared" si="725"/>
        <v>PARA</v>
      </c>
      <c r="E8676" s="2" t="str">
        <f>"R_MAPA_ATENDIMENTO600"</f>
        <v>R_MAPA_ATENDIMENTO600</v>
      </c>
      <c r="F8676" s="2" t="str">
        <f>"R_MAPA_ATENDIMENTO600"</f>
        <v>R_MAPA_ATENDIMENTO600</v>
      </c>
      <c r="G8676" s="2" t="str">
        <f t="shared" si="727"/>
        <v xml:space="preserve"> ()</v>
      </c>
    </row>
    <row r="8677" spans="1:7" x14ac:dyDescent="0.3">
      <c r="A8677" s="1" t="s">
        <v>4</v>
      </c>
      <c r="B8677" s="2" t="str">
        <f t="shared" si="723"/>
        <v>SISTEMA DE GERENCIAMENTO AMBULATORIAL</v>
      </c>
      <c r="C8677" s="2" t="str">
        <f t="shared" si="724"/>
        <v>ATEND</v>
      </c>
      <c r="D8677" s="2" t="str">
        <f t="shared" si="725"/>
        <v>PARA</v>
      </c>
      <c r="E8677" s="2" t="str">
        <f>"R_COMP_AGENDAMENTO501"</f>
        <v>R_COMP_AGENDAMENTO501</v>
      </c>
      <c r="F8677" s="2" t="str">
        <f>"R_COMP_AGENDAMENTO501"</f>
        <v>R_COMP_AGENDAMENTO501</v>
      </c>
      <c r="G8677" s="2" t="str">
        <f t="shared" si="727"/>
        <v xml:space="preserve"> ()</v>
      </c>
    </row>
    <row r="8678" spans="1:7" x14ac:dyDescent="0.3">
      <c r="A8678" s="1" t="s">
        <v>4</v>
      </c>
      <c r="B8678" s="2" t="str">
        <f t="shared" si="723"/>
        <v>SISTEMA DE GERENCIAMENTO AMBULATORIAL</v>
      </c>
      <c r="C8678" s="2" t="str">
        <f t="shared" si="724"/>
        <v>ATEND</v>
      </c>
      <c r="D8678" s="2" t="str">
        <f t="shared" si="725"/>
        <v>PARA</v>
      </c>
      <c r="E8678" s="2" t="str">
        <f>"R_COMP_AGENDAMENTO406"</f>
        <v>R_COMP_AGENDAMENTO406</v>
      </c>
      <c r="F8678" s="2" t="str">
        <f>"R_COMP_AGENDAMENTO406"</f>
        <v>R_COMP_AGENDAMENTO406</v>
      </c>
      <c r="G8678" s="2" t="str">
        <f t="shared" si="727"/>
        <v xml:space="preserve"> ()</v>
      </c>
    </row>
    <row r="8679" spans="1:7" x14ac:dyDescent="0.3">
      <c r="A8679" s="1" t="s">
        <v>4</v>
      </c>
      <c r="B8679" s="2" t="str">
        <f t="shared" si="723"/>
        <v>SISTEMA DE GERENCIAMENTO AMBULATORIAL</v>
      </c>
      <c r="C8679" s="2" t="str">
        <f t="shared" si="724"/>
        <v>ATEND</v>
      </c>
      <c r="D8679" s="2" t="str">
        <f t="shared" si="725"/>
        <v>PARA</v>
      </c>
      <c r="E8679" s="2" t="str">
        <f>"R_EST_SERVICO_TIP_MAR"</f>
        <v>R_EST_SERVICO_TIP_MAR</v>
      </c>
      <c r="F8679" s="2" t="str">
        <f>"R_EST_SERVICO_TIP_MAR"</f>
        <v>R_EST_SERVICO_TIP_MAR</v>
      </c>
      <c r="G8679" s="2" t="str">
        <f t="shared" si="727"/>
        <v xml:space="preserve"> ()</v>
      </c>
    </row>
    <row r="8680" spans="1:7" x14ac:dyDescent="0.3">
      <c r="A8680" s="1" t="s">
        <v>4</v>
      </c>
      <c r="B8680" s="2" t="str">
        <f t="shared" si="723"/>
        <v>SISTEMA DE GERENCIAMENTO AMBULATORIAL</v>
      </c>
      <c r="C8680" s="2" t="str">
        <f t="shared" si="724"/>
        <v>ATEND</v>
      </c>
      <c r="D8680" s="2" t="str">
        <f t="shared" si="725"/>
        <v>PARA</v>
      </c>
      <c r="E8680" s="2" t="str">
        <f>"R_EST_PRESTA_SERV_TIP_MAR"</f>
        <v>R_EST_PRESTA_SERV_TIP_MAR</v>
      </c>
      <c r="F8680" s="2" t="str">
        <f>"R_EST_PRESTA_SERV_TIP_MAR"</f>
        <v>R_EST_PRESTA_SERV_TIP_MAR</v>
      </c>
      <c r="G8680" s="2" t="str">
        <f t="shared" si="727"/>
        <v xml:space="preserve"> ()</v>
      </c>
    </row>
    <row r="8681" spans="1:7" x14ac:dyDescent="0.3">
      <c r="A8681" s="1" t="s">
        <v>4</v>
      </c>
      <c r="B8681" s="2" t="str">
        <f t="shared" si="723"/>
        <v>SISTEMA DE GERENCIAMENTO AMBULATORIAL</v>
      </c>
      <c r="C8681" s="2" t="str">
        <f t="shared" si="724"/>
        <v>ATEND</v>
      </c>
      <c r="D8681" s="2" t="str">
        <f t="shared" si="725"/>
        <v>PARA</v>
      </c>
      <c r="E8681" s="2" t="str">
        <f>"R_PROD_AMBULATORIAL"</f>
        <v>R_PROD_AMBULATORIAL</v>
      </c>
      <c r="F8681" s="2" t="str">
        <f>"R_PROD_AMBULATORIAL"</f>
        <v>R_PROD_AMBULATORIAL</v>
      </c>
      <c r="G8681" s="2" t="str">
        <f t="shared" si="727"/>
        <v xml:space="preserve"> ()</v>
      </c>
    </row>
    <row r="8682" spans="1:7" x14ac:dyDescent="0.3">
      <c r="A8682" s="1" t="s">
        <v>4</v>
      </c>
      <c r="B8682" s="2" t="str">
        <f t="shared" si="723"/>
        <v>SISTEMA DE GERENCIAMENTO AMBULATORIAL</v>
      </c>
      <c r="C8682" s="2" t="str">
        <f t="shared" si="724"/>
        <v>ATEND</v>
      </c>
      <c r="D8682" s="2" t="str">
        <f t="shared" si="725"/>
        <v>PARA</v>
      </c>
      <c r="E8682" s="2" t="str">
        <f>"R_PAC_AGEND_ALFA"</f>
        <v>R_PAC_AGEND_ALFA</v>
      </c>
      <c r="F8682" s="2" t="str">
        <f>"R_PAC_AGEND_ALFA"</f>
        <v>R_PAC_AGEND_ALFA</v>
      </c>
      <c r="G8682" s="2" t="str">
        <f t="shared" si="727"/>
        <v xml:space="preserve"> ()</v>
      </c>
    </row>
    <row r="8683" spans="1:7" x14ac:dyDescent="0.3">
      <c r="A8683" s="1" t="s">
        <v>4</v>
      </c>
      <c r="B8683" s="2" t="str">
        <f t="shared" si="723"/>
        <v>SISTEMA DE GERENCIAMENTO AMBULATORIAL</v>
      </c>
      <c r="C8683" s="2" t="str">
        <f t="shared" si="724"/>
        <v>ATEND</v>
      </c>
      <c r="D8683" s="2" t="str">
        <f t="shared" si="725"/>
        <v>PARA</v>
      </c>
      <c r="E8683" s="2" t="str">
        <f>" R_EST_PRESTA_SERV_TIP_MAR"</f>
        <v xml:space="preserve"> R_EST_PRESTA_SERV_TIP_MAR</v>
      </c>
      <c r="F8683" s="2" t="str">
        <f>" R_EST_PRESTA_SERV_TIP_MAR"</f>
        <v xml:space="preserve"> R_EST_PRESTA_SERV_TIP_MAR</v>
      </c>
      <c r="G8683" s="2" t="str">
        <f t="shared" si="727"/>
        <v xml:space="preserve"> ()</v>
      </c>
    </row>
    <row r="8684" spans="1:7" x14ac:dyDescent="0.3">
      <c r="A8684" s="1" t="s">
        <v>4</v>
      </c>
      <c r="B8684" s="2" t="str">
        <f t="shared" si="723"/>
        <v>SISTEMA DE GERENCIAMENTO AMBULATORIAL</v>
      </c>
      <c r="C8684" s="2" t="str">
        <f t="shared" si="724"/>
        <v>ATEND</v>
      </c>
      <c r="D8684" s="2" t="str">
        <f t="shared" si="725"/>
        <v>PARA</v>
      </c>
      <c r="E8684" s="2" t="str">
        <f>"R_PAC_AGD6"</f>
        <v>R_PAC_AGD6</v>
      </c>
      <c r="F8684" s="2" t="str">
        <f>"R_PAC_AGD6"</f>
        <v>R_PAC_AGD6</v>
      </c>
      <c r="G8684" s="2" t="str">
        <f t="shared" si="727"/>
        <v xml:space="preserve"> ()</v>
      </c>
    </row>
    <row r="8685" spans="1:7" x14ac:dyDescent="0.3">
      <c r="A8685" s="1" t="s">
        <v>4</v>
      </c>
      <c r="B8685" s="2" t="str">
        <f t="shared" si="723"/>
        <v>SISTEMA DE GERENCIAMENTO AMBULATORIAL</v>
      </c>
      <c r="C8685" s="2" t="str">
        <f t="shared" si="724"/>
        <v>ATEND</v>
      </c>
      <c r="D8685" s="2" t="str">
        <f t="shared" si="725"/>
        <v>PARA</v>
      </c>
      <c r="E8685" s="2" t="str">
        <f>"M_SESSOES-ATENDE"</f>
        <v>M_SESSOES-ATENDE</v>
      </c>
      <c r="F8685" s="2" t="str">
        <f>"M_SESSOES-ATENDE"</f>
        <v>M_SESSOES-ATENDE</v>
      </c>
      <c r="G8685" s="2" t="str">
        <f t="shared" si="727"/>
        <v xml:space="preserve"> ()</v>
      </c>
    </row>
    <row r="8686" spans="1:7" x14ac:dyDescent="0.3">
      <c r="A8686" s="1" t="s">
        <v>4</v>
      </c>
      <c r="B8686" s="2" t="str">
        <f t="shared" si="723"/>
        <v>SISTEMA DE GERENCIAMENTO AMBULATORIAL</v>
      </c>
      <c r="C8686" s="2" t="str">
        <f t="shared" si="724"/>
        <v>ATEND</v>
      </c>
      <c r="D8686" s="2" t="str">
        <f t="shared" si="725"/>
        <v>PARA</v>
      </c>
      <c r="E8686" s="2" t="str">
        <f>"R_FICHA_EXAME_900"</f>
        <v>R_FICHA_EXAME_900</v>
      </c>
      <c r="F8686" s="2" t="str">
        <f>"R_FICHA_EXAME_900"</f>
        <v>R_FICHA_EXAME_900</v>
      </c>
      <c r="G8686" s="2" t="str">
        <f t="shared" si="727"/>
        <v xml:space="preserve"> ()</v>
      </c>
    </row>
    <row r="8687" spans="1:7" x14ac:dyDescent="0.3">
      <c r="A8687" s="1" t="s">
        <v>4</v>
      </c>
      <c r="B8687" s="2" t="str">
        <f t="shared" si="723"/>
        <v>SISTEMA DE GERENCIAMENTO AMBULATORIAL</v>
      </c>
      <c r="C8687" s="2" t="str">
        <f t="shared" si="724"/>
        <v>ATEND</v>
      </c>
      <c r="D8687" s="2" t="str">
        <f t="shared" si="725"/>
        <v>PARA</v>
      </c>
      <c r="E8687" s="2" t="str">
        <f>"R_RECEITA760"</f>
        <v>R_RECEITA760</v>
      </c>
      <c r="F8687" s="2" t="str">
        <f>"R_RECEITA760"</f>
        <v>R_RECEITA760</v>
      </c>
      <c r="G8687" s="2" t="str">
        <f t="shared" si="727"/>
        <v xml:space="preserve"> ()</v>
      </c>
    </row>
    <row r="8688" spans="1:7" x14ac:dyDescent="0.3">
      <c r="A8688" s="1" t="s">
        <v>4</v>
      </c>
      <c r="B8688" s="2" t="str">
        <f t="shared" si="723"/>
        <v>SISTEMA DE GERENCIAMENTO AMBULATORIAL</v>
      </c>
      <c r="C8688" s="2" t="str">
        <f t="shared" si="724"/>
        <v>ATEND</v>
      </c>
      <c r="D8688" s="2" t="str">
        <f t="shared" si="725"/>
        <v>PARA</v>
      </c>
      <c r="E8688" s="2" t="str">
        <f>"R_LAUDO760"</f>
        <v>R_LAUDO760</v>
      </c>
      <c r="F8688" s="2" t="str">
        <f>"R_LAUDO760"</f>
        <v>R_LAUDO760</v>
      </c>
      <c r="G8688" s="2" t="str">
        <f t="shared" si="727"/>
        <v xml:space="preserve"> ()</v>
      </c>
    </row>
    <row r="8689" spans="1:7" x14ac:dyDescent="0.3">
      <c r="A8689" s="1" t="s">
        <v>4</v>
      </c>
      <c r="B8689" s="2" t="str">
        <f t="shared" si="723"/>
        <v>SISTEMA DE GERENCIAMENTO AMBULATORIAL</v>
      </c>
      <c r="C8689" s="2" t="str">
        <f t="shared" si="724"/>
        <v>ATEND</v>
      </c>
      <c r="D8689" s="2" t="str">
        <f t="shared" si="725"/>
        <v>PARA</v>
      </c>
      <c r="E8689" s="2" t="str">
        <f>"F_GERAPARA_745"</f>
        <v>F_GERAPARA_745</v>
      </c>
      <c r="F8689" s="2" t="str">
        <f>"F_GERAPARA_745"</f>
        <v>F_GERAPARA_745</v>
      </c>
      <c r="G8689" s="2" t="str">
        <f t="shared" si="727"/>
        <v xml:space="preserve"> ()</v>
      </c>
    </row>
    <row r="8690" spans="1:7" x14ac:dyDescent="0.3">
      <c r="A8690" s="1" t="s">
        <v>4</v>
      </c>
      <c r="B8690" s="2" t="str">
        <f t="shared" si="723"/>
        <v>SISTEMA DE GERENCIAMENTO AMBULATORIAL</v>
      </c>
      <c r="C8690" s="2" t="str">
        <f t="shared" si="724"/>
        <v>ATEND</v>
      </c>
      <c r="D8690" s="2" t="str">
        <f t="shared" si="725"/>
        <v>PARA</v>
      </c>
      <c r="E8690" s="2" t="str">
        <f>"ESTADÍSTICO DE ATENCIÓN POR ESPECIALIDAD"</f>
        <v>ESTADÍSTICO DE ATENCIÓN POR ESPECIALIDAD</v>
      </c>
      <c r="F8690" s="2" t="str">
        <f>"R_EST_ESPECIALID"</f>
        <v>R_EST_ESPECIALID</v>
      </c>
      <c r="G8690" s="2" t="str">
        <f>"Atendimento / Internação / Relatórios / Estatísticos / Atendimentos / Por Especialidade (R_EST_ESPECIALID)"</f>
        <v>Atendimento / Internação / Relatórios / Estatísticos / Atendimentos / Por Especialidade (R_EST_ESPECIALID)</v>
      </c>
    </row>
    <row r="8691" spans="1:7" x14ac:dyDescent="0.3">
      <c r="A8691" s="1" t="s">
        <v>4</v>
      </c>
      <c r="B8691" s="2" t="str">
        <f t="shared" si="723"/>
        <v>SISTEMA DE GERENCIAMENTO AMBULATORIAL</v>
      </c>
      <c r="C8691" s="2" t="str">
        <f t="shared" si="724"/>
        <v>ATEND</v>
      </c>
      <c r="D8691" s="2" t="str">
        <f t="shared" si="725"/>
        <v>PARA</v>
      </c>
      <c r="E8691" s="2" t="str">
        <f>"ESTADÍSTICO DE ATENCIÓN POR ESPECIALIDAD"</f>
        <v>ESTADÍSTICO DE ATENCIÓN POR ESPECIALIDAD</v>
      </c>
      <c r="F8691" s="2" t="str">
        <f>"R_EST_ESPECIALID"</f>
        <v>R_EST_ESPECIALID</v>
      </c>
      <c r="G8691" s="2" t="str">
        <f>"Atendimento / Ambulatório / Relatórios / Estatísticos / Atendimentos por Especialidade (R_EST_ESPECIALID)"</f>
        <v>Atendimento / Ambulatório / Relatórios / Estatísticos / Atendimentos por Especialidade (R_EST_ESPECIALID)</v>
      </c>
    </row>
    <row r="8692" spans="1:7" x14ac:dyDescent="0.3">
      <c r="A8692" s="1" t="s">
        <v>4</v>
      </c>
      <c r="B8692" s="2" t="str">
        <f t="shared" si="723"/>
        <v>SISTEMA DE GERENCIAMENTO AMBULATORIAL</v>
      </c>
      <c r="C8692" s="2" t="str">
        <f t="shared" si="724"/>
        <v>ATEND</v>
      </c>
      <c r="D8692" s="2" t="str">
        <f t="shared" si="725"/>
        <v>PARA</v>
      </c>
      <c r="E8692" s="2" t="str">
        <f>"ESTADÍSTICO DE ATENCIÓN POR ESPECIALIDAD"</f>
        <v>ESTADÍSTICO DE ATENCIÓN POR ESPECIALIDAD</v>
      </c>
      <c r="F8692" s="2" t="str">
        <f>"R_EST_ESPECIALID"</f>
        <v>R_EST_ESPECIALID</v>
      </c>
      <c r="G8692" s="2" t="str">
        <f>"Serviços de Apoio / Serviço Arquivo Médico / Relatórios / Estatísticos / Atendimentos / Por Especialidade (R_EST_ESPECIALID)"</f>
        <v>Serviços de Apoio / Serviço Arquivo Médico / Relatórios / Estatísticos / Atendimentos / Por Especialidade (R_EST_ESPECIALID)</v>
      </c>
    </row>
    <row r="8693" spans="1:7" x14ac:dyDescent="0.3">
      <c r="A8693" s="1" t="s">
        <v>4</v>
      </c>
      <c r="B8693" s="2" t="str">
        <f t="shared" si="723"/>
        <v>SISTEMA DE GERENCIAMENTO AMBULATORIAL</v>
      </c>
      <c r="C8693" s="2" t="str">
        <f t="shared" si="724"/>
        <v>ATEND</v>
      </c>
      <c r="D8693" s="2" t="str">
        <f t="shared" si="725"/>
        <v>PARA</v>
      </c>
      <c r="E8693" s="2" t="str">
        <f>"ESTADÍSTICO DE ATENCIÓN POR ESPECIALIDAD"</f>
        <v>ESTADÍSTICO DE ATENCIÓN POR ESPECIALIDAD</v>
      </c>
      <c r="F8693" s="2" t="str">
        <f>"R_EST_ESPECIALID"</f>
        <v>R_EST_ESPECIALID</v>
      </c>
      <c r="G8693" s="2" t="str">
        <f>"Atendimento / Urgência e Emergência / Relatórios / Estatísticos / Atendimentos por / Especialidade (R_EST_ESPECIALID)"</f>
        <v>Atendimento / Urgência e Emergência / Relatórios / Estatísticos / Atendimentos por / Especialidade (R_EST_ESPECIALID)</v>
      </c>
    </row>
    <row r="8694" spans="1:7" x14ac:dyDescent="0.3">
      <c r="A8694" s="1" t="s">
        <v>4</v>
      </c>
      <c r="B8694" s="2" t="str">
        <f t="shared" si="723"/>
        <v>SISTEMA DE GERENCIAMENTO AMBULATORIAL</v>
      </c>
      <c r="C8694" s="2" t="str">
        <f t="shared" si="724"/>
        <v>ATEND</v>
      </c>
      <c r="D8694" s="2" t="str">
        <f t="shared" si="725"/>
        <v>PARA</v>
      </c>
      <c r="E8694" s="2" t="str">
        <f>"RELATÓRIO ESTATÍSTICO DE ENCAIXES"</f>
        <v>RELATÓRIO ESTATÍSTICO DE ENCAIXES</v>
      </c>
      <c r="F8694" s="2" t="str">
        <f>"R_EST_P_UNID_INT_745"</f>
        <v>R_EST_P_UNID_INT_745</v>
      </c>
      <c r="G8694" s="2" t="str">
        <f t="shared" ref="G8694:G8706" si="728">" ()"</f>
        <v xml:space="preserve"> ()</v>
      </c>
    </row>
    <row r="8695" spans="1:7" x14ac:dyDescent="0.3">
      <c r="A8695" s="1" t="s">
        <v>4</v>
      </c>
      <c r="B8695" s="2" t="str">
        <f t="shared" si="723"/>
        <v>SISTEMA DE GERENCIAMENTO AMBULATORIAL</v>
      </c>
      <c r="C8695" s="2" t="str">
        <f t="shared" si="724"/>
        <v>ATEND</v>
      </c>
      <c r="D8695" s="2" t="str">
        <f t="shared" si="725"/>
        <v>PARA</v>
      </c>
      <c r="E8695" s="2" t="str">
        <f>"MOT_ATE"</f>
        <v>MOT_ATE</v>
      </c>
      <c r="F8695" s="2" t="str">
        <f>"MOT_ATE"</f>
        <v>MOT_ATE</v>
      </c>
      <c r="G8695" s="2" t="str">
        <f t="shared" si="728"/>
        <v xml:space="preserve"> ()</v>
      </c>
    </row>
    <row r="8696" spans="1:7" x14ac:dyDescent="0.3">
      <c r="A8696" s="1" t="s">
        <v>4</v>
      </c>
      <c r="B8696" s="2" t="str">
        <f t="shared" si="723"/>
        <v>SISTEMA DE GERENCIAMENTO AMBULATORIAL</v>
      </c>
      <c r="C8696" s="2" t="str">
        <f t="shared" si="724"/>
        <v>ATEND</v>
      </c>
      <c r="D8696" s="2" t="str">
        <f t="shared" si="725"/>
        <v>PARA</v>
      </c>
      <c r="E8696" s="2" t="str">
        <f>"WIN_PRINCIPAL"</f>
        <v>WIN_PRINCIPAL</v>
      </c>
      <c r="F8696" s="2" t="str">
        <f>"M_CONSULTORIO"</f>
        <v>M_CONSULTORIO</v>
      </c>
      <c r="G8696" s="2" t="str">
        <f t="shared" si="728"/>
        <v xml:space="preserve"> ()</v>
      </c>
    </row>
    <row r="8697" spans="1:7" x14ac:dyDescent="0.3">
      <c r="A8697" s="1" t="s">
        <v>4</v>
      </c>
      <c r="B8697" s="2" t="str">
        <f t="shared" si="723"/>
        <v>SISTEMA DE GERENCIAMENTO AMBULATORIAL</v>
      </c>
      <c r="C8697" s="2" t="str">
        <f t="shared" si="724"/>
        <v>ATEND</v>
      </c>
      <c r="D8697" s="2" t="str">
        <f t="shared" si="725"/>
        <v>PARA</v>
      </c>
      <c r="E8697" s="2" t="str">
        <f>"R_AGE_CARTEIRA_741"</f>
        <v>R_AGE_CARTEIRA_741</v>
      </c>
      <c r="F8697" s="2" t="str">
        <f>"R_AGE_CARTEIRA_741"</f>
        <v>R_AGE_CARTEIRA_741</v>
      </c>
      <c r="G8697" s="2" t="str">
        <f t="shared" si="728"/>
        <v xml:space="preserve"> ()</v>
      </c>
    </row>
    <row r="8698" spans="1:7" x14ac:dyDescent="0.3">
      <c r="A8698" s="1" t="s">
        <v>4</v>
      </c>
      <c r="B8698" s="2" t="str">
        <f t="shared" si="723"/>
        <v>SISTEMA DE GERENCIAMENTO AMBULATORIAL</v>
      </c>
      <c r="C8698" s="2" t="str">
        <f t="shared" si="724"/>
        <v>ATEND</v>
      </c>
      <c r="D8698" s="2" t="str">
        <f t="shared" si="725"/>
        <v>PARA</v>
      </c>
      <c r="E8698" s="2" t="str">
        <f>"GERAÇÃO DE DISQUETE CIH"</f>
        <v>GERAÇÃO DE DISQUETE CIH</v>
      </c>
      <c r="F8698" s="2" t="str">
        <f>"GERACAO_AGENDA"</f>
        <v>GERACAO_AGENDA</v>
      </c>
      <c r="G8698" s="2" t="str">
        <f t="shared" si="728"/>
        <v xml:space="preserve"> ()</v>
      </c>
    </row>
    <row r="8699" spans="1:7" x14ac:dyDescent="0.3">
      <c r="A8699" s="1" t="s">
        <v>4</v>
      </c>
      <c r="B8699" s="2" t="str">
        <f t="shared" si="723"/>
        <v>SISTEMA DE GERENCIAMENTO AMBULATORIAL</v>
      </c>
      <c r="C8699" s="2" t="str">
        <f t="shared" si="724"/>
        <v>ATEND</v>
      </c>
      <c r="D8699" s="2" t="str">
        <f t="shared" si="725"/>
        <v>PARA</v>
      </c>
      <c r="E8699" s="2" t="str">
        <f>"CONSULTA DE AGENDAMENTOS EXCLUÍDOS"</f>
        <v>CONSULTA DE AGENDAMENTOS EXCLUÍDOS</v>
      </c>
      <c r="F8699" s="2" t="str">
        <f>"C_LOG_EXC_AGEND_PSDI"</f>
        <v>C_LOG_EXC_AGEND_PSDI</v>
      </c>
      <c r="G8699" s="2" t="str">
        <f t="shared" si="728"/>
        <v xml:space="preserve"> ()</v>
      </c>
    </row>
    <row r="8700" spans="1:7" x14ac:dyDescent="0.3">
      <c r="A8700" s="1" t="s">
        <v>4</v>
      </c>
      <c r="B8700" s="2" t="str">
        <f t="shared" si="723"/>
        <v>SISTEMA DE GERENCIAMENTO AMBULATORIAL</v>
      </c>
      <c r="C8700" s="2" t="str">
        <f t="shared" si="724"/>
        <v>ATEND</v>
      </c>
      <c r="D8700" s="2" t="str">
        <f t="shared" si="725"/>
        <v>PARA</v>
      </c>
      <c r="E8700" s="2" t="str">
        <f>"INCLUSÃO DE HORÁRIOS NO AGENDAMENTOS"</f>
        <v>INCLUSÃO DE HORÁRIOS NO AGENDAMENTOS</v>
      </c>
      <c r="F8700" s="2" t="str">
        <f>"M_INCLUAGE"</f>
        <v>M_INCLUAGE</v>
      </c>
      <c r="G8700" s="2" t="str">
        <f t="shared" si="728"/>
        <v xml:space="preserve"> ()</v>
      </c>
    </row>
    <row r="8701" spans="1:7" x14ac:dyDescent="0.3">
      <c r="A8701" s="1" t="s">
        <v>4</v>
      </c>
      <c r="B8701" s="2" t="str">
        <f t="shared" si="723"/>
        <v>SISTEMA DE GERENCIAMENTO AMBULATORIAL</v>
      </c>
      <c r="C8701" s="2" t="str">
        <f t="shared" si="724"/>
        <v>ATEND</v>
      </c>
      <c r="D8701" s="2" t="str">
        <f t="shared" si="725"/>
        <v>PARA</v>
      </c>
      <c r="E8701" s="2" t="str">
        <f>"ETIQUETA DE PACIENTES AGENDADOS"</f>
        <v>ETIQUETA DE PACIENTES AGENDADOS</v>
      </c>
      <c r="F8701" s="2" t="str">
        <f>"R_ETIQUETA_AGENDA_756"</f>
        <v>R_ETIQUETA_AGENDA_756</v>
      </c>
      <c r="G8701" s="2" t="str">
        <f t="shared" si="728"/>
        <v xml:space="preserve"> ()</v>
      </c>
    </row>
    <row r="8702" spans="1:7" x14ac:dyDescent="0.3">
      <c r="A8702" s="1" t="s">
        <v>4</v>
      </c>
      <c r="B8702" s="2" t="str">
        <f t="shared" si="723"/>
        <v>SISTEMA DE GERENCIAMENTO AMBULATORIAL</v>
      </c>
      <c r="C8702" s="2" t="str">
        <f t="shared" si="724"/>
        <v>ATEND</v>
      </c>
      <c r="D8702" s="2" t="str">
        <f t="shared" si="725"/>
        <v>PARA</v>
      </c>
      <c r="E8702" s="2" t="str">
        <f>"ETIQUETAS DE ATENDIMENTO_SUS"</f>
        <v>ETIQUETAS DE ATENDIMENTO_SUS</v>
      </c>
      <c r="F8702" s="2" t="str">
        <f>"R_ETIQUETAS_ATENDIMENTO_SUS756"</f>
        <v>R_ETIQUETAS_ATENDIMENTO_SUS756</v>
      </c>
      <c r="G8702" s="2" t="str">
        <f t="shared" si="728"/>
        <v xml:space="preserve"> ()</v>
      </c>
    </row>
    <row r="8703" spans="1:7" x14ac:dyDescent="0.3">
      <c r="A8703" s="1" t="s">
        <v>4</v>
      </c>
      <c r="B8703" s="2" t="str">
        <f t="shared" si="723"/>
        <v>SISTEMA DE GERENCIAMENTO AMBULATORIAL</v>
      </c>
      <c r="C8703" s="2" t="str">
        <f t="shared" si="724"/>
        <v>ATEND</v>
      </c>
      <c r="D8703" s="2" t="str">
        <f t="shared" si="725"/>
        <v>PARA</v>
      </c>
      <c r="E8703" s="2" t="str">
        <f>"ETIQUETAS DE ATENDIMENTO"</f>
        <v>ETIQUETAS DE ATENDIMENTO</v>
      </c>
      <c r="F8703" s="2" t="str">
        <f>"R_ETIQUETAS_ATENDIMENTO756"</f>
        <v>R_ETIQUETAS_ATENDIMENTO756</v>
      </c>
      <c r="G8703" s="2" t="str">
        <f t="shared" si="728"/>
        <v xml:space="preserve"> ()</v>
      </c>
    </row>
    <row r="8704" spans="1:7" x14ac:dyDescent="0.3">
      <c r="A8704" s="1" t="s">
        <v>4</v>
      </c>
      <c r="B8704" s="2" t="str">
        <f t="shared" si="723"/>
        <v>SISTEMA DE GERENCIAMENTO AMBULATORIAL</v>
      </c>
      <c r="C8704" s="2" t="str">
        <f t="shared" si="724"/>
        <v>ATEND</v>
      </c>
      <c r="D8704" s="2" t="str">
        <f t="shared" si="725"/>
        <v>PARA</v>
      </c>
      <c r="E8704" s="2" t="str">
        <f>"R_SESSOES_ATENDE"</f>
        <v>R_SESSOES_ATENDE</v>
      </c>
      <c r="F8704" s="2" t="str">
        <f>"R_SESSOES_ATENDE"</f>
        <v>R_SESSOES_ATENDE</v>
      </c>
      <c r="G8704" s="2" t="str">
        <f t="shared" si="728"/>
        <v xml:space="preserve"> ()</v>
      </c>
    </row>
    <row r="8705" spans="1:7" x14ac:dyDescent="0.3">
      <c r="A8705" s="1" t="s">
        <v>4</v>
      </c>
      <c r="B8705" s="2" t="str">
        <f t="shared" ref="B8705:B8768" si="729">"SISTEMA DE GERENCIAMENTO AMBULATORIAL"</f>
        <v>SISTEMA DE GERENCIAMENTO AMBULATORIAL</v>
      </c>
      <c r="C8705" s="2" t="str">
        <f t="shared" ref="C8705:C8768" si="730">"ATEND"</f>
        <v>ATEND</v>
      </c>
      <c r="D8705" s="2" t="str">
        <f t="shared" ref="D8705:D8768" si="731">"PARA"</f>
        <v>PARA</v>
      </c>
      <c r="E8705" s="2" t="str">
        <f>"30"</f>
        <v>30</v>
      </c>
      <c r="F8705" s="2" t="str">
        <f>"30"</f>
        <v>30</v>
      </c>
      <c r="G8705" s="2" t="str">
        <f t="shared" si="728"/>
        <v xml:space="preserve"> ()</v>
      </c>
    </row>
    <row r="8706" spans="1:7" x14ac:dyDescent="0.3">
      <c r="A8706" s="1" t="s">
        <v>4</v>
      </c>
      <c r="B8706" s="2" t="str">
        <f t="shared" si="729"/>
        <v>SISTEMA DE GERENCIAMENTO AMBULATORIAL</v>
      </c>
      <c r="C8706" s="2" t="str">
        <f t="shared" si="730"/>
        <v>ATEND</v>
      </c>
      <c r="D8706" s="2" t="str">
        <f t="shared" si="731"/>
        <v>PARA</v>
      </c>
      <c r="E8706" s="2" t="str">
        <f>"RELATÓRIO DE AVALIAÇÃO DO HOSPITAL"</f>
        <v>RELATÓRIO DE AVALIAÇÃO DO HOSPITAL</v>
      </c>
      <c r="F8706" s="2" t="str">
        <f>"R_AVALIACAO"</f>
        <v>R_AVALIACAO</v>
      </c>
      <c r="G8706" s="2" t="str">
        <f t="shared" si="728"/>
        <v xml:space="preserve"> ()</v>
      </c>
    </row>
    <row r="8707" spans="1:7" x14ac:dyDescent="0.3">
      <c r="A8707" s="1" t="s">
        <v>4</v>
      </c>
      <c r="B8707" s="2" t="str">
        <f t="shared" si="729"/>
        <v>SISTEMA DE GERENCIAMENTO AMBULATORIAL</v>
      </c>
      <c r="C8707" s="2" t="str">
        <f t="shared" si="730"/>
        <v>ATEND</v>
      </c>
      <c r="D8707" s="2" t="str">
        <f t="shared" si="731"/>
        <v>PARA</v>
      </c>
      <c r="E8707" s="2" t="str">
        <f>"ATENDIMENTO AMBULATORIO"</f>
        <v>ATENDIMENTO AMBULATORIO</v>
      </c>
      <c r="F8707" s="2" t="str">
        <f>"ATEURG_PARA"</f>
        <v>ATEURG_PARA</v>
      </c>
      <c r="G8707" s="2" t="str">
        <f>"Atendimento / Ambulatório / Atendimentos / Não Agendados (ATEURG_PARA)"</f>
        <v>Atendimento / Ambulatório / Atendimentos / Não Agendados (ATEURG_PARA)</v>
      </c>
    </row>
    <row r="8708" spans="1:7" x14ac:dyDescent="0.3">
      <c r="A8708" s="1" t="s">
        <v>4</v>
      </c>
      <c r="B8708" s="2" t="str">
        <f t="shared" si="729"/>
        <v>SISTEMA DE GERENCIAMENTO AMBULATORIAL</v>
      </c>
      <c r="C8708" s="2" t="str">
        <f t="shared" si="730"/>
        <v>ATEND</v>
      </c>
      <c r="D8708" s="2" t="str">
        <f t="shared" si="731"/>
        <v>PARA</v>
      </c>
      <c r="E8708" s="2" t="str">
        <f>"R_PACIENTE_UBS"</f>
        <v>R_PACIENTE_UBS</v>
      </c>
      <c r="F8708" s="2" t="str">
        <f>"R_PACIENTE_UBS"</f>
        <v>R_PACIENTE_UBS</v>
      </c>
      <c r="G8708" s="2" t="str">
        <f>" ()"</f>
        <v xml:space="preserve"> ()</v>
      </c>
    </row>
    <row r="8709" spans="1:7" x14ac:dyDescent="0.3">
      <c r="A8709" s="1" t="s">
        <v>4</v>
      </c>
      <c r="B8709" s="2" t="str">
        <f t="shared" si="729"/>
        <v>SISTEMA DE GERENCIAMENTO AMBULATORIAL</v>
      </c>
      <c r="C8709" s="2" t="str">
        <f t="shared" si="730"/>
        <v>ATEND</v>
      </c>
      <c r="D8709" s="2" t="str">
        <f t="shared" si="731"/>
        <v>PARA</v>
      </c>
      <c r="E8709" s="2" t="str">
        <f>"WIN_PRINCIPAL"</f>
        <v>WIN_PRINCIPAL</v>
      </c>
      <c r="F8709" s="2" t="str">
        <f>"M_CONSULTA_AGE_AMB"</f>
        <v>M_CONSULTA_AGE_AMB</v>
      </c>
      <c r="G8709" s="2" t="str">
        <f>"Atendimento / Ambulatório / Consultas / Acompanhamento de Pacientes (M_CONSULTA_AGE_AMB)"</f>
        <v>Atendimento / Ambulatório / Consultas / Acompanhamento de Pacientes (M_CONSULTA_AGE_AMB)</v>
      </c>
    </row>
    <row r="8710" spans="1:7" x14ac:dyDescent="0.3">
      <c r="A8710" s="1" t="s">
        <v>4</v>
      </c>
      <c r="B8710" s="2" t="str">
        <f t="shared" si="729"/>
        <v>SISTEMA DE GERENCIAMENTO AMBULATORIAL</v>
      </c>
      <c r="C8710" s="2" t="str">
        <f t="shared" si="730"/>
        <v>ATEND</v>
      </c>
      <c r="D8710" s="2" t="str">
        <f t="shared" si="731"/>
        <v>PARA</v>
      </c>
      <c r="E8710" s="2" t="str">
        <f>"CONSULTÓRIO DO PARA"</f>
        <v>CONSULTÓRIO DO PARA</v>
      </c>
      <c r="F8710" s="2" t="str">
        <f>"M_CONSULTORIO_PARA"</f>
        <v>M_CONSULTORIO_PARA</v>
      </c>
      <c r="G8710" s="2" t="str">
        <f>"Atendimento / Ambulatório / Atendimentos / Consultório (M_CONSULTORIO_PARA)"</f>
        <v>Atendimento / Ambulatório / Atendimentos / Consultório (M_CONSULTORIO_PARA)</v>
      </c>
    </row>
    <row r="8711" spans="1:7" x14ac:dyDescent="0.3">
      <c r="A8711" s="1" t="s">
        <v>4</v>
      </c>
      <c r="B8711" s="2" t="str">
        <f t="shared" si="729"/>
        <v>SISTEMA DE GERENCIAMENTO AMBULATORIAL</v>
      </c>
      <c r="C8711" s="2" t="str">
        <f t="shared" si="730"/>
        <v>ATEND</v>
      </c>
      <c r="D8711" s="2" t="str">
        <f t="shared" si="731"/>
        <v>PARA</v>
      </c>
      <c r="E8711" s="2" t="str">
        <f>"REL. DE SERVICO POR TIPO DE ATENDIMENTO"</f>
        <v>REL. DE SERVICO POR TIPO DE ATENDIMENTO</v>
      </c>
      <c r="F8711" s="2" t="str">
        <f>"R_EST_SER_DIS_TP_ATENDE"</f>
        <v>R_EST_SER_DIS_TP_ATENDE</v>
      </c>
      <c r="G8711" s="2" t="str">
        <f t="shared" ref="G8711:G8718" si="732">" ()"</f>
        <v xml:space="preserve"> ()</v>
      </c>
    </row>
    <row r="8712" spans="1:7" x14ac:dyDescent="0.3">
      <c r="A8712" s="1" t="s">
        <v>4</v>
      </c>
      <c r="B8712" s="2" t="str">
        <f t="shared" si="729"/>
        <v>SISTEMA DE GERENCIAMENTO AMBULATORIAL</v>
      </c>
      <c r="C8712" s="2" t="str">
        <f t="shared" si="730"/>
        <v>ATEND</v>
      </c>
      <c r="D8712" s="2" t="str">
        <f t="shared" si="731"/>
        <v>PARA</v>
      </c>
      <c r="E8712" s="2" t="str">
        <f>"SOSRECEPCIRU"</f>
        <v>SOSRECEPCIRU</v>
      </c>
      <c r="F8712" s="2" t="str">
        <f>"SOSRECEPCIRU"</f>
        <v>SOSRECEPCIRU</v>
      </c>
      <c r="G8712" s="2" t="str">
        <f t="shared" si="732"/>
        <v xml:space="preserve"> ()</v>
      </c>
    </row>
    <row r="8713" spans="1:7" x14ac:dyDescent="0.3">
      <c r="A8713" s="1" t="s">
        <v>4</v>
      </c>
      <c r="B8713" s="2" t="str">
        <f t="shared" si="729"/>
        <v>SISTEMA DE GERENCIAMENTO AMBULATORIAL</v>
      </c>
      <c r="C8713" s="2" t="str">
        <f t="shared" si="730"/>
        <v>ATEND</v>
      </c>
      <c r="D8713" s="2" t="str">
        <f t="shared" si="731"/>
        <v>PARA</v>
      </c>
      <c r="E8713" s="2" t="str">
        <f>"M_TEX_ATD"</f>
        <v>M_TEX_ATD</v>
      </c>
      <c r="F8713" s="2" t="str">
        <f>"M_TEX_ATD"</f>
        <v>M_TEX_ATD</v>
      </c>
      <c r="G8713" s="2" t="str">
        <f t="shared" si="732"/>
        <v xml:space="preserve"> ()</v>
      </c>
    </row>
    <row r="8714" spans="1:7" x14ac:dyDescent="0.3">
      <c r="A8714" s="1" t="s">
        <v>4</v>
      </c>
      <c r="B8714" s="2" t="str">
        <f t="shared" si="729"/>
        <v>SISTEMA DE GERENCIAMENTO AMBULATORIAL</v>
      </c>
      <c r="C8714" s="2" t="str">
        <f t="shared" si="730"/>
        <v>ATEND</v>
      </c>
      <c r="D8714" s="2" t="str">
        <f t="shared" si="731"/>
        <v>PARA</v>
      </c>
      <c r="E8714" s="2" t="str">
        <f>"M_SOL_ATD"</f>
        <v>M_SOL_ATD</v>
      </c>
      <c r="F8714" s="2" t="str">
        <f>"M_SOL_ATD"</f>
        <v>M_SOL_ATD</v>
      </c>
      <c r="G8714" s="2" t="str">
        <f t="shared" si="732"/>
        <v xml:space="preserve"> ()</v>
      </c>
    </row>
    <row r="8715" spans="1:7" x14ac:dyDescent="0.3">
      <c r="A8715" s="1" t="s">
        <v>4</v>
      </c>
      <c r="B8715" s="2" t="str">
        <f t="shared" si="729"/>
        <v>SISTEMA DE GERENCIAMENTO AMBULATORIAL</v>
      </c>
      <c r="C8715" s="2" t="str">
        <f t="shared" si="730"/>
        <v>ATEND</v>
      </c>
      <c r="D8715" s="2" t="str">
        <f t="shared" si="731"/>
        <v>PARA</v>
      </c>
      <c r="E8715" s="2" t="str">
        <f>"M_REC_ATD"</f>
        <v>M_REC_ATD</v>
      </c>
      <c r="F8715" s="2" t="str">
        <f>"M_REC_ATD"</f>
        <v>M_REC_ATD</v>
      </c>
      <c r="G8715" s="2" t="str">
        <f t="shared" si="732"/>
        <v xml:space="preserve"> ()</v>
      </c>
    </row>
    <row r="8716" spans="1:7" x14ac:dyDescent="0.3">
      <c r="A8716" s="1" t="s">
        <v>4</v>
      </c>
      <c r="B8716" s="2" t="str">
        <f t="shared" si="729"/>
        <v>SISTEMA DE GERENCIAMENTO AMBULATORIAL</v>
      </c>
      <c r="C8716" s="2" t="str">
        <f t="shared" si="730"/>
        <v>ATEND</v>
      </c>
      <c r="D8716" s="2" t="str">
        <f t="shared" si="731"/>
        <v>PARA</v>
      </c>
      <c r="E8716" s="2" t="str">
        <f>"M_PRO_ATD"</f>
        <v>M_PRO_ATD</v>
      </c>
      <c r="F8716" s="2" t="str">
        <f>"M_PRO_ATD"</f>
        <v>M_PRO_ATD</v>
      </c>
      <c r="G8716" s="2" t="str">
        <f t="shared" si="732"/>
        <v xml:space="preserve"> ()</v>
      </c>
    </row>
    <row r="8717" spans="1:7" x14ac:dyDescent="0.3">
      <c r="A8717" s="1" t="s">
        <v>4</v>
      </c>
      <c r="B8717" s="2" t="str">
        <f t="shared" si="729"/>
        <v>SISTEMA DE GERENCIAMENTO AMBULATORIAL</v>
      </c>
      <c r="C8717" s="2" t="str">
        <f t="shared" si="730"/>
        <v>ATEND</v>
      </c>
      <c r="D8717" s="2" t="str">
        <f t="shared" si="731"/>
        <v>PARA</v>
      </c>
      <c r="E8717" s="2" t="str">
        <f>"M_CIRURGIA_PAD"</f>
        <v>M_CIRURGIA_PAD</v>
      </c>
      <c r="F8717" s="2" t="str">
        <f>"M_CIRURGIA_PAD"</f>
        <v>M_CIRURGIA_PAD</v>
      </c>
      <c r="G8717" s="2" t="str">
        <f t="shared" si="732"/>
        <v xml:space="preserve"> ()</v>
      </c>
    </row>
    <row r="8718" spans="1:7" x14ac:dyDescent="0.3">
      <c r="A8718" s="1" t="s">
        <v>4</v>
      </c>
      <c r="B8718" s="2" t="str">
        <f t="shared" si="729"/>
        <v>SISTEMA DE GERENCIAMENTO AMBULATORIAL</v>
      </c>
      <c r="C8718" s="2" t="str">
        <f t="shared" si="730"/>
        <v>ATEND</v>
      </c>
      <c r="D8718" s="2" t="str">
        <f t="shared" si="731"/>
        <v>PARA</v>
      </c>
      <c r="E8718" s="2" t="str">
        <f>"WIN_PRINCIPAL - HOSPITAL MV SISTEMAS"</f>
        <v>WIN_PRINCIPAL - HOSPITAL MV SISTEMAS</v>
      </c>
      <c r="F8718" s="2" t="str">
        <f>"M_UNIDADE_REGIONAL_722"</f>
        <v>M_UNIDADE_REGIONAL_722</v>
      </c>
      <c r="G8718" s="2" t="str">
        <f t="shared" si="732"/>
        <v xml:space="preserve"> ()</v>
      </c>
    </row>
    <row r="8719" spans="1:7" x14ac:dyDescent="0.3">
      <c r="A8719" s="1" t="s">
        <v>4</v>
      </c>
      <c r="B8719" s="2" t="str">
        <f t="shared" si="729"/>
        <v>SISTEMA DE GERENCIAMENTO AMBULATORIAL</v>
      </c>
      <c r="C8719" s="2" t="str">
        <f t="shared" si="730"/>
        <v>ATEND</v>
      </c>
      <c r="D8719" s="2" t="str">
        <f t="shared" si="731"/>
        <v>PARA</v>
      </c>
      <c r="E8719" s="2" t="str">
        <f>"R_PLAN_AGD_SRV_UNID"</f>
        <v>R_PLAN_AGD_SRV_UNID</v>
      </c>
      <c r="F8719" s="2" t="str">
        <f>"R_PLAN_AGD_SRV_UNID"</f>
        <v>R_PLAN_AGD_SRV_UNID</v>
      </c>
      <c r="G8719" s="2" t="str">
        <f>"Atendimento / Ambulatório / Relatórios / Estatísticos / Agendamento - Serviço X Unidade Regional (R_PLAN_AGD_SRV_UNID)"</f>
        <v>Atendimento / Ambulatório / Relatórios / Estatísticos / Agendamento - Serviço X Unidade Regional (R_PLAN_AGD_SRV_UNID)</v>
      </c>
    </row>
    <row r="8720" spans="1:7" x14ac:dyDescent="0.3">
      <c r="A8720" s="1" t="s">
        <v>4</v>
      </c>
      <c r="B8720" s="2" t="str">
        <f t="shared" si="729"/>
        <v>SISTEMA DE GERENCIAMENTO AMBULATORIAL</v>
      </c>
      <c r="C8720" s="2" t="str">
        <f t="shared" si="730"/>
        <v>ATEND</v>
      </c>
      <c r="D8720" s="2" t="str">
        <f t="shared" si="731"/>
        <v>PARA</v>
      </c>
      <c r="E8720" s="2" t="str">
        <f>"LIBERAÇÃO DE AGENDAMENTO SUS"</f>
        <v>LIBERAÇÃO DE AGENDAMENTO SUS</v>
      </c>
      <c r="F8720" s="2" t="str">
        <f>"M_PAC_LIBERADO_SUS"</f>
        <v>M_PAC_LIBERADO_SUS</v>
      </c>
      <c r="G8720" s="2" t="str">
        <f>"Atendimento / Ambulatório / Tabelas / Liberação de Agendamento SUS para Paciente (M_PAC_LIBERADO_SUS)"</f>
        <v>Atendimento / Ambulatório / Tabelas / Liberação de Agendamento SUS para Paciente (M_PAC_LIBERADO_SUS)</v>
      </c>
    </row>
    <row r="8721" spans="1:7" x14ac:dyDescent="0.3">
      <c r="A8721" s="1" t="s">
        <v>4</v>
      </c>
      <c r="B8721" s="2" t="str">
        <f t="shared" si="729"/>
        <v>SISTEMA DE GERENCIAMENTO AMBULATORIAL</v>
      </c>
      <c r="C8721" s="2" t="str">
        <f t="shared" si="730"/>
        <v>ATEND</v>
      </c>
      <c r="D8721" s="2" t="str">
        <f t="shared" si="731"/>
        <v>PARA</v>
      </c>
      <c r="E8721" s="2" t="str">
        <f>"CONFIRMAÇÃO DE AGENDAMENTOS"</f>
        <v>CONFIRMAÇÃO DE AGENDAMENTOS</v>
      </c>
      <c r="F8721" s="2" t="str">
        <f>"M_BLOQUEIO_DESBLOQUEIO_AGENDA"</f>
        <v>M_BLOQUEIO_DESBLOQUEIO_AGENDA</v>
      </c>
      <c r="G8721" s="2" t="str">
        <f>" ()"</f>
        <v xml:space="preserve"> ()</v>
      </c>
    </row>
    <row r="8722" spans="1:7" x14ac:dyDescent="0.3">
      <c r="A8722" s="1" t="s">
        <v>4</v>
      </c>
      <c r="B8722" s="2" t="str">
        <f t="shared" si="729"/>
        <v>SISTEMA DE GERENCIAMENTO AMBULATORIAL</v>
      </c>
      <c r="C8722" s="2" t="str">
        <f t="shared" si="730"/>
        <v>ATEND</v>
      </c>
      <c r="D8722" s="2" t="str">
        <f t="shared" si="731"/>
        <v>PARA</v>
      </c>
      <c r="E8722" s="2" t="str">
        <f>"PACIENTES AGENDADOS"</f>
        <v>PACIENTES AGENDADOS</v>
      </c>
      <c r="F8722" s="2" t="str">
        <f>"R_PACIENTES_MARCADOS_970"</f>
        <v>R_PACIENTES_MARCADOS_970</v>
      </c>
      <c r="G8722" s="2" t="str">
        <f>" ()"</f>
        <v xml:space="preserve"> ()</v>
      </c>
    </row>
    <row r="8723" spans="1:7" x14ac:dyDescent="0.3">
      <c r="A8723" s="1" t="s">
        <v>4</v>
      </c>
      <c r="B8723" s="2" t="str">
        <f t="shared" si="729"/>
        <v>SISTEMA DE GERENCIAMENTO AMBULATORIAL</v>
      </c>
      <c r="C8723" s="2" t="str">
        <f t="shared" si="730"/>
        <v>ATEND</v>
      </c>
      <c r="D8723" s="2" t="str">
        <f t="shared" si="731"/>
        <v>PARA</v>
      </c>
      <c r="E8723" s="2" t="str">
        <f>"CONFIRMAÇÃO DE AGENDAMENTOS"</f>
        <v>CONFIRMAÇÃO DE AGENDAMENTOS</v>
      </c>
      <c r="F8723" s="2" t="str">
        <f>"M_CONFIRMA_AGENDAMENTO"</f>
        <v>M_CONFIRMA_AGENDAMENTO</v>
      </c>
      <c r="G8723" s="2" t="str">
        <f>" ()"</f>
        <v xml:space="preserve"> ()</v>
      </c>
    </row>
    <row r="8724" spans="1:7" x14ac:dyDescent="0.3">
      <c r="A8724" s="1" t="s">
        <v>4</v>
      </c>
      <c r="B8724" s="2" t="str">
        <f t="shared" si="729"/>
        <v>SISTEMA DE GERENCIAMENTO AMBULATORIAL</v>
      </c>
      <c r="C8724" s="2" t="str">
        <f t="shared" si="730"/>
        <v>ATEND</v>
      </c>
      <c r="D8724" s="2" t="str">
        <f t="shared" si="731"/>
        <v>PARA</v>
      </c>
      <c r="E8724" s="2" t="str">
        <f>"RELATÓRIO DE CAPA DE PRONTUÁRIO"</f>
        <v>RELATÓRIO DE CAPA DE PRONTUÁRIO</v>
      </c>
      <c r="F8724" s="2" t="str">
        <f>"R_CAPA_PRONTUARIO_970"</f>
        <v>R_CAPA_PRONTUARIO_970</v>
      </c>
      <c r="G8724" s="2" t="str">
        <f>" ()"</f>
        <v xml:space="preserve"> ()</v>
      </c>
    </row>
    <row r="8725" spans="1:7" x14ac:dyDescent="0.3">
      <c r="A8725" s="1" t="s">
        <v>4</v>
      </c>
      <c r="B8725" s="2" t="str">
        <f t="shared" si="729"/>
        <v>SISTEMA DE GERENCIAMENTO AMBULATORIAL</v>
      </c>
      <c r="C8725" s="2" t="str">
        <f t="shared" si="730"/>
        <v>ATEND</v>
      </c>
      <c r="D8725" s="2" t="str">
        <f t="shared" si="731"/>
        <v>PARA</v>
      </c>
      <c r="E8725" s="2" t="str">
        <f>"ETIQUETA DE CAPA DE PRONTUÁRIO"</f>
        <v>ETIQUETA DE CAPA DE PRONTUÁRIO</v>
      </c>
      <c r="F8725" s="2" t="str">
        <f>"R_ETIQ_CAPA_PRONTUARIO_970"</f>
        <v>R_ETIQ_CAPA_PRONTUARIO_970</v>
      </c>
      <c r="G8725" s="2" t="str">
        <f>" ()"</f>
        <v xml:space="preserve"> ()</v>
      </c>
    </row>
    <row r="8726" spans="1:7" x14ac:dyDescent="0.3">
      <c r="A8726" s="1" t="s">
        <v>4</v>
      </c>
      <c r="B8726" s="2" t="str">
        <f t="shared" si="729"/>
        <v>SISTEMA DE GERENCIAMENTO AMBULATORIAL</v>
      </c>
      <c r="C8726" s="2" t="str">
        <f t="shared" si="730"/>
        <v>ATEND</v>
      </c>
      <c r="D8726" s="2" t="str">
        <f t="shared" si="731"/>
        <v>PARA</v>
      </c>
      <c r="E8726" s="2" t="str">
        <f>"ESPECIALIDADE AMBULATORIAL X SERVIÇO SUS"</f>
        <v>ESPECIALIDADE AMBULATORIAL X SERVIÇO SUS</v>
      </c>
      <c r="F8726" s="2" t="str">
        <f>"M_PAC_ESPEC_PARA"</f>
        <v>M_PAC_ESPEC_PARA</v>
      </c>
      <c r="G8726" s="2" t="str">
        <f>"Atendimento / Ambulatório / Tabelas / Especialidades x Pacientes SUS (M_PAC_ESPEC_PARA)"</f>
        <v>Atendimento / Ambulatório / Tabelas / Especialidades x Pacientes SUS (M_PAC_ESPEC_PARA)</v>
      </c>
    </row>
    <row r="8727" spans="1:7" x14ac:dyDescent="0.3">
      <c r="A8727" s="1" t="s">
        <v>4</v>
      </c>
      <c r="B8727" s="2" t="str">
        <f t="shared" si="729"/>
        <v>SISTEMA DE GERENCIAMENTO AMBULATORIAL</v>
      </c>
      <c r="C8727" s="2" t="str">
        <f t="shared" si="730"/>
        <v>ATEND</v>
      </c>
      <c r="D8727" s="2" t="str">
        <f t="shared" si="731"/>
        <v>PARA</v>
      </c>
      <c r="E8727" s="2" t="str">
        <f>"CLASSIFICAÇÃO DE RISCO - AMBULATÓRIO"</f>
        <v>CLASSIFICAÇÃO DE RISCO - AMBULATÓRIO</v>
      </c>
      <c r="F8727" s="2" t="str">
        <f>"M_ATEND_C_RISCO_PARA"</f>
        <v>M_ATEND_C_RISCO_PARA</v>
      </c>
      <c r="G8727" s="2" t="str">
        <f>"Atendimento / Ambulatório / Atendimentos / Pré-Atendimento / Classificação de Risco (M_ATEND_C_RISCO_PARA)"</f>
        <v>Atendimento / Ambulatório / Atendimentos / Pré-Atendimento / Classificação de Risco (M_ATEND_C_RISCO_PARA)</v>
      </c>
    </row>
    <row r="8728" spans="1:7" x14ac:dyDescent="0.3">
      <c r="A8728" s="1" t="s">
        <v>4</v>
      </c>
      <c r="B8728" s="2" t="str">
        <f t="shared" si="729"/>
        <v>SISTEMA DE GERENCIAMENTO AMBULATORIAL</v>
      </c>
      <c r="C8728" s="2" t="str">
        <f t="shared" si="730"/>
        <v>ATEND</v>
      </c>
      <c r="D8728" s="2" t="str">
        <f t="shared" si="731"/>
        <v>PARA</v>
      </c>
      <c r="E8728" s="2" t="str">
        <f>"WIN_PRINCIPAL"</f>
        <v>WIN_PRINCIPAL</v>
      </c>
      <c r="F8728" s="2" t="str">
        <f>"R_TEST_REPORTS"</f>
        <v>R_TEST_REPORTS</v>
      </c>
      <c r="G8728" s="2" t="str">
        <f>" ()"</f>
        <v xml:space="preserve"> ()</v>
      </c>
    </row>
    <row r="8729" spans="1:7" x14ac:dyDescent="0.3">
      <c r="A8729" s="1" t="s">
        <v>4</v>
      </c>
      <c r="B8729" s="2" t="str">
        <f t="shared" si="729"/>
        <v>SISTEMA DE GERENCIAMENTO AMBULATORIAL</v>
      </c>
      <c r="C8729" s="2" t="str">
        <f t="shared" si="730"/>
        <v>ATEND</v>
      </c>
      <c r="D8729" s="2" t="str">
        <f t="shared" si="731"/>
        <v>PARA</v>
      </c>
      <c r="E8729" s="2" t="str">
        <f>"WIN_PRINCIPAL"</f>
        <v>WIN_PRINCIPAL</v>
      </c>
      <c r="F8729" s="2" t="str">
        <f>"R_SETOR_MATH"</f>
        <v>R_SETOR_MATH</v>
      </c>
      <c r="G8729" s="2" t="str">
        <f>" ()"</f>
        <v xml:space="preserve"> ()</v>
      </c>
    </row>
    <row r="8730" spans="1:7" x14ac:dyDescent="0.3">
      <c r="A8730" s="1" t="s">
        <v>4</v>
      </c>
      <c r="B8730" s="2" t="str">
        <f t="shared" si="729"/>
        <v>SISTEMA DE GERENCIAMENTO AMBULATORIAL</v>
      </c>
      <c r="C8730" s="2" t="str">
        <f t="shared" si="730"/>
        <v>ATEND</v>
      </c>
      <c r="D8730" s="2" t="str">
        <f t="shared" si="731"/>
        <v>PARA</v>
      </c>
      <c r="E8730" s="2" t="str">
        <f>"R_PAC_AGD_SESSOES"</f>
        <v>R_PAC_AGD_SESSOES</v>
      </c>
      <c r="F8730" s="2" t="str">
        <f>"R_PAC_AGD_SESSOES"</f>
        <v>R_PAC_AGD_SESSOES</v>
      </c>
      <c r="G8730" s="2" t="str">
        <f>"Atendimento / Ambulatório / Relatórios / SUS / Pacientes Agendados por Sessões (R_PAC_AGD_SESSOES)"</f>
        <v>Atendimento / Ambulatório / Relatórios / SUS / Pacientes Agendados por Sessões (R_PAC_AGD_SESSOES)</v>
      </c>
    </row>
    <row r="8731" spans="1:7" x14ac:dyDescent="0.3">
      <c r="A8731" s="1" t="s">
        <v>4</v>
      </c>
      <c r="B8731" s="2" t="str">
        <f t="shared" si="729"/>
        <v>SISTEMA DE GERENCIAMENTO AMBULATORIAL</v>
      </c>
      <c r="C8731" s="2" t="str">
        <f t="shared" si="730"/>
        <v>ATEND</v>
      </c>
      <c r="D8731" s="2" t="str">
        <f t="shared" si="731"/>
        <v>PARA</v>
      </c>
      <c r="E8731" s="2" t="str">
        <f>"RELAT. DE PACIENTE AGENDADOS X SAME"</f>
        <v>RELAT. DE PACIENTE AGENDADOS X SAME</v>
      </c>
      <c r="F8731" s="2" t="str">
        <f>"R_PAC_AGD_SAME"</f>
        <v>R_PAC_AGD_SAME</v>
      </c>
      <c r="G8731" s="2" t="str">
        <f>"Atendimento / Ambulatório / Relatórios / Agendamentos / Pacientes Agendados x Same (R_PAC_AGD_SAME)"</f>
        <v>Atendimento / Ambulatório / Relatórios / Agendamentos / Pacientes Agendados x Same (R_PAC_AGD_SAME)</v>
      </c>
    </row>
    <row r="8732" spans="1:7" x14ac:dyDescent="0.3">
      <c r="A8732" s="1" t="s">
        <v>4</v>
      </c>
      <c r="B8732" s="2" t="str">
        <f t="shared" si="729"/>
        <v>SISTEMA DE GERENCIAMENTO AMBULATORIAL</v>
      </c>
      <c r="C8732" s="2" t="str">
        <f t="shared" si="730"/>
        <v>ATEND</v>
      </c>
      <c r="D8732" s="2" t="str">
        <f t="shared" si="731"/>
        <v>PARA</v>
      </c>
      <c r="E8732" s="2" t="str">
        <f>"RELAT. DE PACIENTE AGENDADOS X SAME"</f>
        <v>RELAT. DE PACIENTE AGENDADOS X SAME</v>
      </c>
      <c r="F8732" s="2" t="str">
        <f>"R_PAC_AGD_SAME"</f>
        <v>R_PAC_AGD_SAME</v>
      </c>
      <c r="G8732" s="2" t="str">
        <f>"Serviços de Apoio / Serviço Arquivo Médico / Relatórios / Agendamentos / Pacientes Agendados x Same (R_PAC_AGD_SAME)"</f>
        <v>Serviços de Apoio / Serviço Arquivo Médico / Relatórios / Agendamentos / Pacientes Agendados x Same (R_PAC_AGD_SAME)</v>
      </c>
    </row>
    <row r="8733" spans="1:7" x14ac:dyDescent="0.3">
      <c r="A8733" s="1" t="s">
        <v>4</v>
      </c>
      <c r="B8733" s="2" t="str">
        <f t="shared" si="729"/>
        <v>SISTEMA DE GERENCIAMENTO AMBULATORIAL</v>
      </c>
      <c r="C8733" s="2" t="str">
        <f t="shared" si="730"/>
        <v>ATEND</v>
      </c>
      <c r="D8733" s="2" t="str">
        <f t="shared" si="731"/>
        <v>PARA</v>
      </c>
      <c r="E8733" s="2" t="str">
        <f>"RELAT. DE PACIENTE AGENDADOS X SAME"</f>
        <v>RELAT. DE PACIENTE AGENDADOS X SAME</v>
      </c>
      <c r="F8733" s="2" t="str">
        <f>"R_PAC_AGD_SAME"</f>
        <v>R_PAC_AGD_SAME</v>
      </c>
      <c r="G8733" s="2" t="str">
        <f>"Outros / Fusam / Relatórios / Agendamentos / Pacientes Agendados x Same (R_PAC_AGD_SAME)"</f>
        <v>Outros / Fusam / Relatórios / Agendamentos / Pacientes Agendados x Same (R_PAC_AGD_SAME)</v>
      </c>
    </row>
    <row r="8734" spans="1:7" x14ac:dyDescent="0.3">
      <c r="A8734" s="1" t="s">
        <v>4</v>
      </c>
      <c r="B8734" s="2" t="str">
        <f t="shared" si="729"/>
        <v>SISTEMA DE GERENCIAMENTO AMBULATORIAL</v>
      </c>
      <c r="C8734" s="2" t="str">
        <f t="shared" si="730"/>
        <v>ATEND</v>
      </c>
      <c r="D8734" s="2" t="str">
        <f t="shared" si="731"/>
        <v>PARA</v>
      </c>
      <c r="E8734" s="2" t="str">
        <f>"COMPLEMENTOS DO ATENDIMENTO"</f>
        <v>COMPLEMENTOS DO ATENDIMENTO</v>
      </c>
      <c r="F8734" s="2" t="str">
        <f>"ATE_RES"</f>
        <v>ATE_RES</v>
      </c>
      <c r="G8734" s="2" t="str">
        <f>" ()"</f>
        <v xml:space="preserve"> ()</v>
      </c>
    </row>
    <row r="8735" spans="1:7" x14ac:dyDescent="0.3">
      <c r="A8735" s="1" t="s">
        <v>4</v>
      </c>
      <c r="B8735" s="2" t="str">
        <f t="shared" si="729"/>
        <v>SISTEMA DE GERENCIAMENTO AMBULATORIAL</v>
      </c>
      <c r="C8735" s="2" t="str">
        <f t="shared" si="730"/>
        <v>ATEND</v>
      </c>
      <c r="D8735" s="2" t="str">
        <f t="shared" si="731"/>
        <v>PARA</v>
      </c>
      <c r="E8735" s="2" t="str">
        <f>"RELATORIO DE ESCALAS"</f>
        <v>RELATORIO DE ESCALAS</v>
      </c>
      <c r="F8735" s="2" t="str">
        <f>"R_ESCALAS"</f>
        <v>R_ESCALAS</v>
      </c>
      <c r="G8735" s="2" t="str">
        <f>"Atendimento / Ambulatório / Relatórios / Agendamentos / Escalas (R_ESCALAS)"</f>
        <v>Atendimento / Ambulatório / Relatórios / Agendamentos / Escalas (R_ESCALAS)</v>
      </c>
    </row>
    <row r="8736" spans="1:7" x14ac:dyDescent="0.3">
      <c r="A8736" s="1" t="s">
        <v>4</v>
      </c>
      <c r="B8736" s="2" t="str">
        <f t="shared" si="729"/>
        <v>SISTEMA DE GERENCIAMENTO AMBULATORIAL</v>
      </c>
      <c r="C8736" s="2" t="str">
        <f t="shared" si="730"/>
        <v>ATEND</v>
      </c>
      <c r="D8736" s="2" t="str">
        <f t="shared" si="731"/>
        <v>PARA</v>
      </c>
      <c r="E8736" s="2" t="str">
        <f>"RELATORIO DE ESCALAS"</f>
        <v>RELATORIO DE ESCALAS</v>
      </c>
      <c r="F8736" s="2" t="str">
        <f>"R_ESCALAS"</f>
        <v>R_ESCALAS</v>
      </c>
      <c r="G8736" s="2" t="str">
        <f>"Serviços de Apoio / Serviço Arquivo Médico / Relatórios / Agendamentos / Escalas (R_ESCALAS)"</f>
        <v>Serviços de Apoio / Serviço Arquivo Médico / Relatórios / Agendamentos / Escalas (R_ESCALAS)</v>
      </c>
    </row>
    <row r="8737" spans="1:7" x14ac:dyDescent="0.3">
      <c r="A8737" s="1" t="s">
        <v>4</v>
      </c>
      <c r="B8737" s="2" t="str">
        <f t="shared" si="729"/>
        <v>SISTEMA DE GERENCIAMENTO AMBULATORIAL</v>
      </c>
      <c r="C8737" s="2" t="str">
        <f t="shared" si="730"/>
        <v>ATEND</v>
      </c>
      <c r="D8737" s="2" t="str">
        <f t="shared" si="731"/>
        <v>PARA</v>
      </c>
      <c r="E8737" s="2" t="str">
        <f>"RELATORIO DE ESCALAS"</f>
        <v>RELATORIO DE ESCALAS</v>
      </c>
      <c r="F8737" s="2" t="str">
        <f>"R_ESCALAS"</f>
        <v>R_ESCALAS</v>
      </c>
      <c r="G8737" s="2" t="str">
        <f>"Outros / Fusam / Relatórios / Agendamentos / Escalas (R_ESCALAS)"</f>
        <v>Outros / Fusam / Relatórios / Agendamentos / Escalas (R_ESCALAS)</v>
      </c>
    </row>
    <row r="8738" spans="1:7" x14ac:dyDescent="0.3">
      <c r="A8738" s="1" t="s">
        <v>4</v>
      </c>
      <c r="B8738" s="2" t="str">
        <f t="shared" si="729"/>
        <v>SISTEMA DE GERENCIAMENTO AMBULATORIAL</v>
      </c>
      <c r="C8738" s="2" t="str">
        <f t="shared" si="730"/>
        <v>ATEND</v>
      </c>
      <c r="D8738" s="2" t="str">
        <f t="shared" si="731"/>
        <v>PARA</v>
      </c>
      <c r="E8738" s="2" t="str">
        <f>"RELATORIO DE ESCALAS"</f>
        <v>RELATORIO DE ESCALAS</v>
      </c>
      <c r="F8738" s="2" t="str">
        <f>"R_ESCALAS"</f>
        <v>R_ESCALAS</v>
      </c>
      <c r="G8738" s="2" t="str">
        <f>"Diagnóstico e Terapia / Diagnóstico por Imagem / Relatórios / Agendamentos / Escalas (R_ESCALAS)"</f>
        <v>Diagnóstico e Terapia / Diagnóstico por Imagem / Relatórios / Agendamentos / Escalas (R_ESCALAS)</v>
      </c>
    </row>
    <row r="8739" spans="1:7" x14ac:dyDescent="0.3">
      <c r="A8739" s="1" t="s">
        <v>4</v>
      </c>
      <c r="B8739" s="2" t="str">
        <f t="shared" si="729"/>
        <v>SISTEMA DE GERENCIAMENTO AMBULATORIAL</v>
      </c>
      <c r="C8739" s="2" t="str">
        <f t="shared" si="730"/>
        <v>ATEND</v>
      </c>
      <c r="D8739" s="2" t="str">
        <f t="shared" si="731"/>
        <v>PARA</v>
      </c>
      <c r="E8739" s="2" t="str">
        <f>"REL.ESTAT.AGENDA X SERVIÇOS"</f>
        <v>REL.ESTAT.AGENDA X SERVIÇOS</v>
      </c>
      <c r="F8739" s="2" t="str">
        <f>"R_AGE_SRV"</f>
        <v>R_AGE_SRV</v>
      </c>
      <c r="G8739" s="2" t="str">
        <f>"Atendimento / Ambulatório / Relatórios / Agendamentos / Estatística Agenda x Serviços (R_AGE_SRV)"</f>
        <v>Atendimento / Ambulatório / Relatórios / Agendamentos / Estatística Agenda x Serviços (R_AGE_SRV)</v>
      </c>
    </row>
    <row r="8740" spans="1:7" x14ac:dyDescent="0.3">
      <c r="A8740" s="1" t="s">
        <v>4</v>
      </c>
      <c r="B8740" s="2" t="str">
        <f t="shared" si="729"/>
        <v>SISTEMA DE GERENCIAMENTO AMBULATORIAL</v>
      </c>
      <c r="C8740" s="2" t="str">
        <f t="shared" si="730"/>
        <v>ATEND</v>
      </c>
      <c r="D8740" s="2" t="str">
        <f t="shared" si="731"/>
        <v>PARA</v>
      </c>
      <c r="E8740" s="2" t="str">
        <f>"REL.ESTAT.AGENDA X SERVIÇOS"</f>
        <v>REL.ESTAT.AGENDA X SERVIÇOS</v>
      </c>
      <c r="F8740" s="2" t="str">
        <f>"R_AGE_SRV"</f>
        <v>R_AGE_SRV</v>
      </c>
      <c r="G8740" s="2" t="str">
        <f>"Serviços de Apoio / Serviço Arquivo Médico / Relatórios / Agendamentos / Estatística Agenda x Serviços (R_AGE_SRV)"</f>
        <v>Serviços de Apoio / Serviço Arquivo Médico / Relatórios / Agendamentos / Estatística Agenda x Serviços (R_AGE_SRV)</v>
      </c>
    </row>
    <row r="8741" spans="1:7" x14ac:dyDescent="0.3">
      <c r="A8741" s="1" t="s">
        <v>4</v>
      </c>
      <c r="B8741" s="2" t="str">
        <f t="shared" si="729"/>
        <v>SISTEMA DE GERENCIAMENTO AMBULATORIAL</v>
      </c>
      <c r="C8741" s="2" t="str">
        <f t="shared" si="730"/>
        <v>ATEND</v>
      </c>
      <c r="D8741" s="2" t="str">
        <f t="shared" si="731"/>
        <v>PARA</v>
      </c>
      <c r="E8741" s="2" t="str">
        <f>"REL.ESTAT.AGENDA X SERVIÇOS"</f>
        <v>REL.ESTAT.AGENDA X SERVIÇOS</v>
      </c>
      <c r="F8741" s="2" t="str">
        <f>"R_AGE_SRV"</f>
        <v>R_AGE_SRV</v>
      </c>
      <c r="G8741" s="2" t="str">
        <f>"Outros / Fusam / Relatórios / Agendamentos / Estatística Agenda x Serviços (R_AGE_SRV)"</f>
        <v>Outros / Fusam / Relatórios / Agendamentos / Estatística Agenda x Serviços (R_AGE_SRV)</v>
      </c>
    </row>
    <row r="8742" spans="1:7" x14ac:dyDescent="0.3">
      <c r="A8742" s="1" t="s">
        <v>4</v>
      </c>
      <c r="B8742" s="2" t="str">
        <f t="shared" si="729"/>
        <v>SISTEMA DE GERENCIAMENTO AMBULATORIAL</v>
      </c>
      <c r="C8742" s="2" t="str">
        <f t="shared" si="730"/>
        <v>ATEND</v>
      </c>
      <c r="D8742" s="2" t="str">
        <f t="shared" si="731"/>
        <v>PARA</v>
      </c>
      <c r="E8742" s="2" t="str">
        <f>"RELATORIO AGENDA P/ TIPO DE ATENDIMENTO"</f>
        <v>RELATORIO AGENDA P/ TIPO DE ATENDIMENTO</v>
      </c>
      <c r="F8742" s="2" t="str">
        <f>"R_AGE_TPA"</f>
        <v>R_AGE_TPA</v>
      </c>
      <c r="G8742" s="2" t="str">
        <f>"Atendimento / Ambulatório / Relatórios / Agendamentos / Agenda por Tipo de Atendimento (R_AGE_TPA)"</f>
        <v>Atendimento / Ambulatório / Relatórios / Agendamentos / Agenda por Tipo de Atendimento (R_AGE_TPA)</v>
      </c>
    </row>
    <row r="8743" spans="1:7" x14ac:dyDescent="0.3">
      <c r="A8743" s="1" t="s">
        <v>4</v>
      </c>
      <c r="B8743" s="2" t="str">
        <f t="shared" si="729"/>
        <v>SISTEMA DE GERENCIAMENTO AMBULATORIAL</v>
      </c>
      <c r="C8743" s="2" t="str">
        <f t="shared" si="730"/>
        <v>ATEND</v>
      </c>
      <c r="D8743" s="2" t="str">
        <f t="shared" si="731"/>
        <v>PARA</v>
      </c>
      <c r="E8743" s="2" t="str">
        <f>"RELATORIO AGENDA P/ TIPO DE ATENDIMENTO"</f>
        <v>RELATORIO AGENDA P/ TIPO DE ATENDIMENTO</v>
      </c>
      <c r="F8743" s="2" t="str">
        <f>"R_AGE_TPA"</f>
        <v>R_AGE_TPA</v>
      </c>
      <c r="G8743" s="2" t="str">
        <f>"Serviços de Apoio / Serviço Arquivo Médico / Relatórios / Agendamentos / Agenda por Tipo de Atendimento (R_AGE_TPA)"</f>
        <v>Serviços de Apoio / Serviço Arquivo Médico / Relatórios / Agendamentos / Agenda por Tipo de Atendimento (R_AGE_TPA)</v>
      </c>
    </row>
    <row r="8744" spans="1:7" x14ac:dyDescent="0.3">
      <c r="A8744" s="1" t="s">
        <v>4</v>
      </c>
      <c r="B8744" s="2" t="str">
        <f t="shared" si="729"/>
        <v>SISTEMA DE GERENCIAMENTO AMBULATORIAL</v>
      </c>
      <c r="C8744" s="2" t="str">
        <f t="shared" si="730"/>
        <v>ATEND</v>
      </c>
      <c r="D8744" s="2" t="str">
        <f t="shared" si="731"/>
        <v>PARA</v>
      </c>
      <c r="E8744" s="2" t="str">
        <f>"RELATORIO AGENDA P/ TIPO DE ATENDIMENTO"</f>
        <v>RELATORIO AGENDA P/ TIPO DE ATENDIMENTO</v>
      </c>
      <c r="F8744" s="2" t="str">
        <f>"R_AGE_TPA"</f>
        <v>R_AGE_TPA</v>
      </c>
      <c r="G8744" s="2" t="str">
        <f>"Outros / Fusam / Relatórios / Agendamentos / Agenda por Tipo de Atendimento (R_AGE_TPA)"</f>
        <v>Outros / Fusam / Relatórios / Agendamentos / Agenda por Tipo de Atendimento (R_AGE_TPA)</v>
      </c>
    </row>
    <row r="8745" spans="1:7" x14ac:dyDescent="0.3">
      <c r="A8745" s="1" t="s">
        <v>4</v>
      </c>
      <c r="B8745" s="2" t="str">
        <f t="shared" si="729"/>
        <v>SISTEMA DE GERENCIAMENTO AMBULATORIAL</v>
      </c>
      <c r="C8745" s="2" t="str">
        <f t="shared" si="730"/>
        <v>ATEND</v>
      </c>
      <c r="D8745" s="2" t="str">
        <f t="shared" si="731"/>
        <v>PARA</v>
      </c>
      <c r="E8745" s="2" t="str">
        <f>"RELATORIO DE PACIENTE AGENDADOS"</f>
        <v>RELATORIO DE PACIENTE AGENDADOS</v>
      </c>
      <c r="F8745" s="2" t="str">
        <f>"R_PAC_AGD"</f>
        <v>R_PAC_AGD</v>
      </c>
      <c r="G8745" s="2" t="str">
        <f>"Atendimento / Ambulatório / Relatórios / Agendamentos / Pacientes Agendados (R_PAC_AGD)"</f>
        <v>Atendimento / Ambulatório / Relatórios / Agendamentos / Pacientes Agendados (R_PAC_AGD)</v>
      </c>
    </row>
    <row r="8746" spans="1:7" x14ac:dyDescent="0.3">
      <c r="A8746" s="1" t="s">
        <v>4</v>
      </c>
      <c r="B8746" s="2" t="str">
        <f t="shared" si="729"/>
        <v>SISTEMA DE GERENCIAMENTO AMBULATORIAL</v>
      </c>
      <c r="C8746" s="2" t="str">
        <f t="shared" si="730"/>
        <v>ATEND</v>
      </c>
      <c r="D8746" s="2" t="str">
        <f t="shared" si="731"/>
        <v>PARA</v>
      </c>
      <c r="E8746" s="2" t="str">
        <f>"RELATORIO DE PACIENTE AGENDADOS"</f>
        <v>RELATORIO DE PACIENTE AGENDADOS</v>
      </c>
      <c r="F8746" s="2" t="str">
        <f>"R_PAC_AGD"</f>
        <v>R_PAC_AGD</v>
      </c>
      <c r="G8746" s="2" t="str">
        <f>"Serviços de Apoio / Serviço Arquivo Médico / Relatórios / Agendamentos / Pacientes Agendados (R_PAC_AGD)"</f>
        <v>Serviços de Apoio / Serviço Arquivo Médico / Relatórios / Agendamentos / Pacientes Agendados (R_PAC_AGD)</v>
      </c>
    </row>
    <row r="8747" spans="1:7" x14ac:dyDescent="0.3">
      <c r="A8747" s="1" t="s">
        <v>4</v>
      </c>
      <c r="B8747" s="2" t="str">
        <f t="shared" si="729"/>
        <v>SISTEMA DE GERENCIAMENTO AMBULATORIAL</v>
      </c>
      <c r="C8747" s="2" t="str">
        <f t="shared" si="730"/>
        <v>ATEND</v>
      </c>
      <c r="D8747" s="2" t="str">
        <f t="shared" si="731"/>
        <v>PARA</v>
      </c>
      <c r="E8747" s="2" t="str">
        <f>"RELATORIO DE PACIENTE AGENDADOS"</f>
        <v>RELATORIO DE PACIENTE AGENDADOS</v>
      </c>
      <c r="F8747" s="2" t="str">
        <f>"R_PAC_AGD"</f>
        <v>R_PAC_AGD</v>
      </c>
      <c r="G8747" s="2" t="str">
        <f>"Outros / Fusam / Relatórios / Agendamentos / Pacientes Agendados (R_PAC_AGD)"</f>
        <v>Outros / Fusam / Relatórios / Agendamentos / Pacientes Agendados (R_PAC_AGD)</v>
      </c>
    </row>
    <row r="8748" spans="1:7" x14ac:dyDescent="0.3">
      <c r="A8748" s="1" t="s">
        <v>4</v>
      </c>
      <c r="B8748" s="2" t="str">
        <f t="shared" si="729"/>
        <v>SISTEMA DE GERENCIAMENTO AMBULATORIAL</v>
      </c>
      <c r="C8748" s="2" t="str">
        <f t="shared" si="730"/>
        <v>ATEND</v>
      </c>
      <c r="D8748" s="2" t="str">
        <f t="shared" si="731"/>
        <v>PARA</v>
      </c>
      <c r="E8748" s="2" t="str">
        <f>"RELATORIO DE AGENDA DE ATENDIMENTO"</f>
        <v>RELATORIO DE AGENDA DE ATENDIMENTO</v>
      </c>
      <c r="F8748" s="2" t="str">
        <f>"R_AGE_PLANTAO"</f>
        <v>R_AGE_PLANTAO</v>
      </c>
      <c r="G8748" s="2" t="str">
        <f>"Atendimento / Ambulatório / Relatórios / Agendamentos / Agenda de Atendimento (R_AGE_PLANTAO)"</f>
        <v>Atendimento / Ambulatório / Relatórios / Agendamentos / Agenda de Atendimento (R_AGE_PLANTAO)</v>
      </c>
    </row>
    <row r="8749" spans="1:7" x14ac:dyDescent="0.3">
      <c r="A8749" s="1" t="s">
        <v>4</v>
      </c>
      <c r="B8749" s="2" t="str">
        <f t="shared" si="729"/>
        <v>SISTEMA DE GERENCIAMENTO AMBULATORIAL</v>
      </c>
      <c r="C8749" s="2" t="str">
        <f t="shared" si="730"/>
        <v>ATEND</v>
      </c>
      <c r="D8749" s="2" t="str">
        <f t="shared" si="731"/>
        <v>PARA</v>
      </c>
      <c r="E8749" s="2" t="str">
        <f>"RELATORIO DE AGENDA DE ATENDIMENTO"</f>
        <v>RELATORIO DE AGENDA DE ATENDIMENTO</v>
      </c>
      <c r="F8749" s="2" t="str">
        <f>"R_AGE_PLANTAO"</f>
        <v>R_AGE_PLANTAO</v>
      </c>
      <c r="G8749" s="2" t="str">
        <f>"Serviços de Apoio / Serviço Arquivo Médico / Relatórios / Agendamentos / Agenda de Atendimento (R_AGE_PLANTAO)"</f>
        <v>Serviços de Apoio / Serviço Arquivo Médico / Relatórios / Agendamentos / Agenda de Atendimento (R_AGE_PLANTAO)</v>
      </c>
    </row>
    <row r="8750" spans="1:7" x14ac:dyDescent="0.3">
      <c r="A8750" s="1" t="s">
        <v>4</v>
      </c>
      <c r="B8750" s="2" t="str">
        <f t="shared" si="729"/>
        <v>SISTEMA DE GERENCIAMENTO AMBULATORIAL</v>
      </c>
      <c r="C8750" s="2" t="str">
        <f t="shared" si="730"/>
        <v>ATEND</v>
      </c>
      <c r="D8750" s="2" t="str">
        <f t="shared" si="731"/>
        <v>PARA</v>
      </c>
      <c r="E8750" s="2" t="str">
        <f>"RELATORIO PRODUÇÃO GLOBAL"</f>
        <v>RELATORIO PRODUÇÃO GLOBAL</v>
      </c>
      <c r="F8750" s="2" t="str">
        <f>"R_EST_P_GERAL"</f>
        <v>R_EST_P_GERAL</v>
      </c>
      <c r="G8750" s="2" t="str">
        <f>" ()"</f>
        <v xml:space="preserve"> ()</v>
      </c>
    </row>
    <row r="8751" spans="1:7" x14ac:dyDescent="0.3">
      <c r="A8751" s="1" t="s">
        <v>4</v>
      </c>
      <c r="B8751" s="2" t="str">
        <f t="shared" si="729"/>
        <v>SISTEMA DE GERENCIAMENTO AMBULATORIAL</v>
      </c>
      <c r="C8751" s="2" t="str">
        <f t="shared" si="730"/>
        <v>ATEND</v>
      </c>
      <c r="D8751" s="2" t="str">
        <f t="shared" si="731"/>
        <v>PARA</v>
      </c>
      <c r="E8751" s="2" t="str">
        <f>"RELATORIO PRODUÇÃO POR SERVIÇO"</f>
        <v>RELATORIO PRODUÇÃO POR SERVIÇO</v>
      </c>
      <c r="F8751" s="2" t="str">
        <f>"R_EST_P_SER"</f>
        <v>R_EST_P_SER</v>
      </c>
      <c r="G8751" s="2" t="str">
        <f>" ()"</f>
        <v xml:space="preserve"> ()</v>
      </c>
    </row>
    <row r="8752" spans="1:7" x14ac:dyDescent="0.3">
      <c r="A8752" s="1" t="s">
        <v>4</v>
      </c>
      <c r="B8752" s="2" t="str">
        <f t="shared" si="729"/>
        <v>SISTEMA DE GERENCIAMENTO AMBULATORIAL</v>
      </c>
      <c r="C8752" s="2" t="str">
        <f t="shared" si="730"/>
        <v>ATEND</v>
      </c>
      <c r="D8752" s="2" t="str">
        <f t="shared" si="731"/>
        <v>PARA</v>
      </c>
      <c r="E8752" s="2" t="str">
        <f>"RELATORIO PRODUÇÃO POR PROFISSIONAL"</f>
        <v>RELATORIO PRODUÇÃO POR PROFISSIONAL</v>
      </c>
      <c r="F8752" s="2" t="str">
        <f>"R_EST_P_PROF2"</f>
        <v>R_EST_P_PROF2</v>
      </c>
      <c r="G8752" s="2" t="str">
        <f>" ()"</f>
        <v xml:space="preserve"> ()</v>
      </c>
    </row>
    <row r="8753" spans="1:7" x14ac:dyDescent="0.3">
      <c r="A8753" s="1" t="s">
        <v>4</v>
      </c>
      <c r="B8753" s="2" t="str">
        <f t="shared" si="729"/>
        <v>SISTEMA DE GERENCIAMENTO AMBULATORIAL</v>
      </c>
      <c r="C8753" s="2" t="str">
        <f t="shared" si="730"/>
        <v>ATEND</v>
      </c>
      <c r="D8753" s="2" t="str">
        <f t="shared" si="731"/>
        <v>PARA</v>
      </c>
      <c r="E8753" s="2" t="str">
        <f>"REL. EST. ATEND. X SERVIÇO X RESULTADO"</f>
        <v>REL. EST. ATEND. X SERVIÇO X RESULTADO</v>
      </c>
      <c r="F8753" s="2" t="str">
        <f>"R_SERE"</f>
        <v>R_SERE</v>
      </c>
      <c r="G8753" s="2" t="str">
        <f>"Atendimento / Ambulatório / Relatórios / Estatísticos / Atendimentos por Serviço x Resultado (R_SERE)"</f>
        <v>Atendimento / Ambulatório / Relatórios / Estatísticos / Atendimentos por Serviço x Resultado (R_SERE)</v>
      </c>
    </row>
    <row r="8754" spans="1:7" x14ac:dyDescent="0.3">
      <c r="A8754" s="1" t="s">
        <v>4</v>
      </c>
      <c r="B8754" s="2" t="str">
        <f t="shared" si="729"/>
        <v>SISTEMA DE GERENCIAMENTO AMBULATORIAL</v>
      </c>
      <c r="C8754" s="2" t="str">
        <f t="shared" si="730"/>
        <v>ATEND</v>
      </c>
      <c r="D8754" s="2" t="str">
        <f t="shared" si="731"/>
        <v>PARA</v>
      </c>
      <c r="E8754" s="2" t="str">
        <f>"REL. EST. ATEND. X SERVIÇO X RESULTADO"</f>
        <v>REL. EST. ATEND. X SERVIÇO X RESULTADO</v>
      </c>
      <c r="F8754" s="2" t="str">
        <f>"R_SERE"</f>
        <v>R_SERE</v>
      </c>
      <c r="G8754" s="2" t="str">
        <f>"Outros / Fusam / Relatórios / Estatísticos / Atendimentos por Serviço x Resultado (R_SERE)"</f>
        <v>Outros / Fusam / Relatórios / Estatísticos / Atendimentos por Serviço x Resultado (R_SERE)</v>
      </c>
    </row>
    <row r="8755" spans="1:7" x14ac:dyDescent="0.3">
      <c r="A8755" s="1" t="s">
        <v>4</v>
      </c>
      <c r="B8755" s="2" t="str">
        <f t="shared" si="729"/>
        <v>SISTEMA DE GERENCIAMENTO AMBULATORIAL</v>
      </c>
      <c r="C8755" s="2" t="str">
        <f t="shared" si="730"/>
        <v>ATEND</v>
      </c>
      <c r="D8755" s="2" t="str">
        <f t="shared" si="731"/>
        <v>PARA</v>
      </c>
      <c r="E8755" s="2" t="str">
        <f>"REL. EST.ATEND X  CIDADE X SERVIÇO"</f>
        <v>REL. EST.ATEND X  CIDADE X SERVIÇO</v>
      </c>
      <c r="F8755" s="2" t="str">
        <f>"R_SECI"</f>
        <v>R_SECI</v>
      </c>
      <c r="G8755" s="2" t="str">
        <f>"Atendimento / Ambulatório / Relatórios / Estatísticos / Atendimentos por Cidade x Serviço (R_SECI)"</f>
        <v>Atendimento / Ambulatório / Relatórios / Estatísticos / Atendimentos por Cidade x Serviço (R_SECI)</v>
      </c>
    </row>
    <row r="8756" spans="1:7" x14ac:dyDescent="0.3">
      <c r="A8756" s="1" t="s">
        <v>4</v>
      </c>
      <c r="B8756" s="2" t="str">
        <f t="shared" si="729"/>
        <v>SISTEMA DE GERENCIAMENTO AMBULATORIAL</v>
      </c>
      <c r="C8756" s="2" t="str">
        <f t="shared" si="730"/>
        <v>ATEND</v>
      </c>
      <c r="D8756" s="2" t="str">
        <f t="shared" si="731"/>
        <v>PARA</v>
      </c>
      <c r="E8756" s="2" t="str">
        <f>"REL. EST.ATEND X  CIDADE X SERVIÇO"</f>
        <v>REL. EST.ATEND X  CIDADE X SERVIÇO</v>
      </c>
      <c r="F8756" s="2" t="str">
        <f>"R_SECI"</f>
        <v>R_SECI</v>
      </c>
      <c r="G8756" s="2" t="str">
        <f>"Outros / Fusam / Relatórios / Estatísticos / Atendimentos por Cidade x Serviço (R_SECI)"</f>
        <v>Outros / Fusam / Relatórios / Estatísticos / Atendimentos por Cidade x Serviço (R_SECI)</v>
      </c>
    </row>
    <row r="8757" spans="1:7" x14ac:dyDescent="0.3">
      <c r="A8757" s="1" t="s">
        <v>4</v>
      </c>
      <c r="B8757" s="2" t="str">
        <f t="shared" si="729"/>
        <v>SISTEMA DE GERENCIAMENTO AMBULATORIAL</v>
      </c>
      <c r="C8757" s="2" t="str">
        <f t="shared" si="730"/>
        <v>ATEND</v>
      </c>
      <c r="D8757" s="2" t="str">
        <f t="shared" si="731"/>
        <v>PARA</v>
      </c>
      <c r="E8757" s="2" t="str">
        <f>"REL. EST. ATENDIMENTOS X SERVIÇO"</f>
        <v>REL. EST. ATENDIMENTOS X SERVIÇO</v>
      </c>
      <c r="F8757" s="2" t="str">
        <f>"R_SERV"</f>
        <v>R_SERV</v>
      </c>
      <c r="G8757" s="2" t="str">
        <f>"Atendimento / Ambulatório / Relatórios / Estatísticos / Atendimentos por Serviço (R_SERV)"</f>
        <v>Atendimento / Ambulatório / Relatórios / Estatísticos / Atendimentos por Serviço (R_SERV)</v>
      </c>
    </row>
    <row r="8758" spans="1:7" x14ac:dyDescent="0.3">
      <c r="A8758" s="1" t="s">
        <v>4</v>
      </c>
      <c r="B8758" s="2" t="str">
        <f t="shared" si="729"/>
        <v>SISTEMA DE GERENCIAMENTO AMBULATORIAL</v>
      </c>
      <c r="C8758" s="2" t="str">
        <f t="shared" si="730"/>
        <v>ATEND</v>
      </c>
      <c r="D8758" s="2" t="str">
        <f t="shared" si="731"/>
        <v>PARA</v>
      </c>
      <c r="E8758" s="2" t="str">
        <f>"REL. EST. ATENDIMENTOS X SERVIÇO"</f>
        <v>REL. EST. ATENDIMENTOS X SERVIÇO</v>
      </c>
      <c r="F8758" s="2" t="str">
        <f>"R_SERV"</f>
        <v>R_SERV</v>
      </c>
      <c r="G8758" s="2" t="str">
        <f>"Outros / Fusam / Relatórios / Estatísticos / Atendimentos por Serviço (R_SERV)"</f>
        <v>Outros / Fusam / Relatórios / Estatísticos / Atendimentos por Serviço (R_SERV)</v>
      </c>
    </row>
    <row r="8759" spans="1:7" x14ac:dyDescent="0.3">
      <c r="A8759" s="1" t="s">
        <v>4</v>
      </c>
      <c r="B8759" s="2" t="str">
        <f t="shared" si="729"/>
        <v>SISTEMA DE GERENCIAMENTO AMBULATORIAL</v>
      </c>
      <c r="C8759" s="2" t="str">
        <f t="shared" si="730"/>
        <v>ATEND</v>
      </c>
      <c r="D8759" s="2" t="str">
        <f t="shared" si="731"/>
        <v>PARA</v>
      </c>
      <c r="E8759" s="2" t="str">
        <f>"RELAT. DE ATESTADO MEDICO"</f>
        <v>RELAT. DE ATESTADO MEDICO</v>
      </c>
      <c r="F8759" s="2" t="str">
        <f>"R_ATESTADO"</f>
        <v>R_ATESTADO</v>
      </c>
      <c r="G8759" s="2" t="str">
        <f>" ()"</f>
        <v xml:space="preserve"> ()</v>
      </c>
    </row>
    <row r="8760" spans="1:7" x14ac:dyDescent="0.3">
      <c r="A8760" s="1" t="s">
        <v>4</v>
      </c>
      <c r="B8760" s="2" t="str">
        <f t="shared" si="729"/>
        <v>SISTEMA DE GERENCIAMENTO AMBULATORIAL</v>
      </c>
      <c r="C8760" s="2" t="str">
        <f t="shared" si="730"/>
        <v>ATEND</v>
      </c>
      <c r="D8760" s="2" t="str">
        <f t="shared" si="731"/>
        <v>PARA</v>
      </c>
      <c r="E8760" s="2" t="str">
        <f>"RELAT. DE GUIA DE INTERNAÇÃO"</f>
        <v>RELAT. DE GUIA DE INTERNAÇÃO</v>
      </c>
      <c r="F8760" s="2" t="str">
        <f>"R_GIH"</f>
        <v>R_GIH</v>
      </c>
      <c r="G8760" s="2" t="str">
        <f>" ()"</f>
        <v xml:space="preserve"> ()</v>
      </c>
    </row>
    <row r="8761" spans="1:7" x14ac:dyDescent="0.3">
      <c r="A8761" s="1" t="s">
        <v>4</v>
      </c>
      <c r="B8761" s="2" t="str">
        <f t="shared" si="729"/>
        <v>SISTEMA DE GERENCIAMENTO AMBULATORIAL</v>
      </c>
      <c r="C8761" s="2" t="str">
        <f t="shared" si="730"/>
        <v>ATEND</v>
      </c>
      <c r="D8761" s="2" t="str">
        <f t="shared" si="731"/>
        <v>PARA</v>
      </c>
      <c r="E8761" s="2" t="str">
        <f>"LANÇAMENTO DOS PROCEDIMENTOS"</f>
        <v>LANÇAMENTO DOS PROCEDIMENTOS</v>
      </c>
      <c r="F8761" s="2" t="str">
        <f>"L_PAGENDA"</f>
        <v>L_PAGENDA</v>
      </c>
      <c r="G8761" s="2" t="str">
        <f>"Atendimento / Ambulatório / Atendimentos / Lançamento dos Procedimentos (L_PAGENDA)"</f>
        <v>Atendimento / Ambulatório / Atendimentos / Lançamento dos Procedimentos (L_PAGENDA)</v>
      </c>
    </row>
    <row r="8762" spans="1:7" x14ac:dyDescent="0.3">
      <c r="A8762" s="1" t="s">
        <v>4</v>
      </c>
      <c r="B8762" s="2" t="str">
        <f t="shared" si="729"/>
        <v>SISTEMA DE GERENCIAMENTO AMBULATORIAL</v>
      </c>
      <c r="C8762" s="2" t="str">
        <f t="shared" si="730"/>
        <v>ATEND</v>
      </c>
      <c r="D8762" s="2" t="str">
        <f t="shared" si="731"/>
        <v>PARA</v>
      </c>
      <c r="E8762" s="2" t="str">
        <f>"LANÇAMENTO DOS PROCEDIMENTOS"</f>
        <v>LANÇAMENTO DOS PROCEDIMENTOS</v>
      </c>
      <c r="F8762" s="2" t="str">
        <f>"L_PAGENDA"</f>
        <v>L_PAGENDA</v>
      </c>
      <c r="G8762" s="2" t="str">
        <f>"Outros / Fusam / Atendimentos / Lançamento dos Procedimentos (L_PAGENDA)"</f>
        <v>Outros / Fusam / Atendimentos / Lançamento dos Procedimentos (L_PAGENDA)</v>
      </c>
    </row>
    <row r="8763" spans="1:7" x14ac:dyDescent="0.3">
      <c r="A8763" s="1" t="s">
        <v>4</v>
      </c>
      <c r="B8763" s="2" t="str">
        <f t="shared" si="729"/>
        <v>SISTEMA DE GERENCIAMENTO AMBULATORIAL</v>
      </c>
      <c r="C8763" s="2" t="str">
        <f t="shared" si="730"/>
        <v>ATEND</v>
      </c>
      <c r="D8763" s="2" t="str">
        <f t="shared" si="731"/>
        <v>PARA</v>
      </c>
      <c r="E8763" s="2" t="str">
        <f>"CONFIRMAÇÃO CONSULTA PACIENTES AGENDADOS"</f>
        <v>CONFIRMAÇÃO CONSULTA PACIENTES AGENDADOS</v>
      </c>
      <c r="F8763" s="2" t="str">
        <f>"ATE_AGD_P"</f>
        <v>ATE_AGD_P</v>
      </c>
      <c r="G8763" s="2" t="str">
        <f>"Atendimento / Ambulatório / Atendimentos / Confirmação e Consultas (ATE_AGD_P)"</f>
        <v>Atendimento / Ambulatório / Atendimentos / Confirmação e Consultas (ATE_AGD_P)</v>
      </c>
    </row>
    <row r="8764" spans="1:7" x14ac:dyDescent="0.3">
      <c r="A8764" s="1" t="s">
        <v>4</v>
      </c>
      <c r="B8764" s="2" t="str">
        <f t="shared" si="729"/>
        <v>SISTEMA DE GERENCIAMENTO AMBULATORIAL</v>
      </c>
      <c r="C8764" s="2" t="str">
        <f t="shared" si="730"/>
        <v>ATEND</v>
      </c>
      <c r="D8764" s="2" t="str">
        <f t="shared" si="731"/>
        <v>PARA</v>
      </c>
      <c r="E8764" s="2" t="str">
        <f>"CONFIRMAÇÃO CONSULTA PACIENTES AGENDADOS"</f>
        <v>CONFIRMAÇÃO CONSULTA PACIENTES AGENDADOS</v>
      </c>
      <c r="F8764" s="2" t="str">
        <f>"ATE_AGD_P"</f>
        <v>ATE_AGD_P</v>
      </c>
      <c r="G8764" s="2" t="str">
        <f>"Outros / Fusam / Atendimentos / Confirmação e Consultas (ATE_AGD_P)"</f>
        <v>Outros / Fusam / Atendimentos / Confirmação e Consultas (ATE_AGD_P)</v>
      </c>
    </row>
    <row r="8765" spans="1:7" x14ac:dyDescent="0.3">
      <c r="A8765" s="1" t="s">
        <v>4</v>
      </c>
      <c r="B8765" s="2" t="str">
        <f t="shared" si="729"/>
        <v>SISTEMA DE GERENCIAMENTO AMBULATORIAL</v>
      </c>
      <c r="C8765" s="2" t="str">
        <f t="shared" si="730"/>
        <v>ATEND</v>
      </c>
      <c r="D8765" s="2" t="str">
        <f t="shared" si="731"/>
        <v>PARA</v>
      </c>
      <c r="E8765" s="2" t="str">
        <f>"ATENDIMENTO AMBULATORIAL NÃO AGENDADOS"</f>
        <v>ATENDIMENTO AMBULATORIAL NÃO AGENDADOS</v>
      </c>
      <c r="F8765" s="2" t="str">
        <f>"ATE_AMB"</f>
        <v>ATE_AMB</v>
      </c>
      <c r="G8765" s="2" t="str">
        <f>" ()"</f>
        <v xml:space="preserve"> ()</v>
      </c>
    </row>
    <row r="8766" spans="1:7" x14ac:dyDescent="0.3">
      <c r="A8766" s="1" t="s">
        <v>4</v>
      </c>
      <c r="B8766" s="2" t="str">
        <f t="shared" si="729"/>
        <v>SISTEMA DE GERENCIAMENTO AMBULATORIAL</v>
      </c>
      <c r="C8766" s="2" t="str">
        <f t="shared" si="730"/>
        <v>ATEND</v>
      </c>
      <c r="D8766" s="2" t="str">
        <f t="shared" si="731"/>
        <v>PARA</v>
      </c>
      <c r="E8766" s="2" t="str">
        <f>"CADASTRO DOS TIPOS DE SOLICITACAO"</f>
        <v>CADASTRO DOS TIPOS DE SOLICITACAO</v>
      </c>
      <c r="F8766" s="2" t="str">
        <f>"M_TIPSOL"</f>
        <v>M_TIPSOL</v>
      </c>
      <c r="G8766" s="2" t="str">
        <f>"Atendimento / Ambulatório / Tabelas / Solicitação Padrão (M_TIPSOL)"</f>
        <v>Atendimento / Ambulatório / Tabelas / Solicitação Padrão (M_TIPSOL)</v>
      </c>
    </row>
    <row r="8767" spans="1:7" x14ac:dyDescent="0.3">
      <c r="A8767" s="1" t="s">
        <v>4</v>
      </c>
      <c r="B8767" s="2" t="str">
        <f t="shared" si="729"/>
        <v>SISTEMA DE GERENCIAMENTO AMBULATORIAL</v>
      </c>
      <c r="C8767" s="2" t="str">
        <f t="shared" si="730"/>
        <v>ATEND</v>
      </c>
      <c r="D8767" s="2" t="str">
        <f t="shared" si="731"/>
        <v>PARA</v>
      </c>
      <c r="E8767" s="2" t="str">
        <f>"CADASTRO DE USUARIOS POR ORIGEM"</f>
        <v>CADASTRO DE USUARIOS POR ORIGEM</v>
      </c>
      <c r="F8767" s="2" t="str">
        <f>"M_USUORI"</f>
        <v>M_USUORI</v>
      </c>
      <c r="G8767" s="2" t="str">
        <f>"Apoio a TI / Gestão de Usuários / Configurações de Acesso / Acessos Gerais / Usuários por Origem (M_USUORI)"</f>
        <v>Apoio a TI / Gestão de Usuários / Configurações de Acesso / Acessos Gerais / Usuários por Origem (M_USUORI)</v>
      </c>
    </row>
    <row r="8768" spans="1:7" x14ac:dyDescent="0.3">
      <c r="A8768" s="1" t="s">
        <v>4</v>
      </c>
      <c r="B8768" s="2" t="str">
        <f t="shared" si="729"/>
        <v>SISTEMA DE GERENCIAMENTO AMBULATORIAL</v>
      </c>
      <c r="C8768" s="2" t="str">
        <f t="shared" si="730"/>
        <v>ATEND</v>
      </c>
      <c r="D8768" s="2" t="str">
        <f t="shared" si="731"/>
        <v>PARA</v>
      </c>
      <c r="E8768" s="2" t="str">
        <f>"CADASTRO DE USUARIOS POR ORIGEM"</f>
        <v>CADASTRO DE USUARIOS POR ORIGEM</v>
      </c>
      <c r="F8768" s="2" t="str">
        <f>"M_USUORI"</f>
        <v>M_USUORI</v>
      </c>
      <c r="G8768" s="2" t="str">
        <f>"Outros / Fusam / Configurações / Usuários por Origem (M_USUORI)"</f>
        <v>Outros / Fusam / Configurações / Usuários por Origem (M_USUORI)</v>
      </c>
    </row>
    <row r="8769" spans="1:7" x14ac:dyDescent="0.3">
      <c r="A8769" s="1" t="s">
        <v>4</v>
      </c>
      <c r="B8769" s="2" t="str">
        <f t="shared" ref="B8769:B8832" si="733">"SISTEMA DE GERENCIAMENTO AMBULATORIAL"</f>
        <v>SISTEMA DE GERENCIAMENTO AMBULATORIAL</v>
      </c>
      <c r="C8769" s="2" t="str">
        <f t="shared" ref="C8769:C8832" si="734">"ATEND"</f>
        <v>ATEND</v>
      </c>
      <c r="D8769" s="2" t="str">
        <f t="shared" ref="D8769:D8832" si="735">"PARA"</f>
        <v>PARA</v>
      </c>
      <c r="E8769" s="2" t="str">
        <f>"AGENDAMENTO E CONFIRMAÇÃO (756)"</f>
        <v>AGENDAMENTO E CONFIRMAÇÃO (756)</v>
      </c>
      <c r="F8769" s="2" t="str">
        <f>"M_AGEND_CONF"</f>
        <v>M_AGEND_CONF</v>
      </c>
      <c r="G8769" s="2" t="str">
        <f>" ()"</f>
        <v xml:space="preserve"> ()</v>
      </c>
    </row>
    <row r="8770" spans="1:7" x14ac:dyDescent="0.3">
      <c r="A8770" s="1" t="s">
        <v>4</v>
      </c>
      <c r="B8770" s="2" t="str">
        <f t="shared" si="733"/>
        <v>SISTEMA DE GERENCIAMENTO AMBULATORIAL</v>
      </c>
      <c r="C8770" s="2" t="str">
        <f t="shared" si="734"/>
        <v>ATEND</v>
      </c>
      <c r="D8770" s="2" t="str">
        <f t="shared" si="735"/>
        <v>PARA</v>
      </c>
      <c r="E8770" s="2" t="str">
        <f t="shared" ref="E8770:E8777" si="736">"REL.ESTAT.ATENDIMENTOS X BAIRRO"</f>
        <v>REL.ESTAT.ATENDIMENTOS X BAIRRO</v>
      </c>
      <c r="F8770" s="2" t="str">
        <f t="shared" ref="F8770:F8777" si="737">"R_EST_BAIRRO"</f>
        <v>R_EST_BAIRRO</v>
      </c>
      <c r="G8770" s="2" t="str">
        <f>"Atendimento / Internação / Relatórios / Estatísticos / Atendimentos / Por Bairro (R_EST_BAIRRO)"</f>
        <v>Atendimento / Internação / Relatórios / Estatísticos / Atendimentos / Por Bairro (R_EST_BAIRRO)</v>
      </c>
    </row>
    <row r="8771" spans="1:7" x14ac:dyDescent="0.3">
      <c r="A8771" s="1" t="s">
        <v>4</v>
      </c>
      <c r="B8771" s="2" t="str">
        <f t="shared" si="733"/>
        <v>SISTEMA DE GERENCIAMENTO AMBULATORIAL</v>
      </c>
      <c r="C8771" s="2" t="str">
        <f t="shared" si="734"/>
        <v>ATEND</v>
      </c>
      <c r="D8771" s="2" t="str">
        <f t="shared" si="735"/>
        <v>PARA</v>
      </c>
      <c r="E8771" s="2" t="str">
        <f t="shared" si="736"/>
        <v>REL.ESTAT.ATENDIMENTOS X BAIRRO</v>
      </c>
      <c r="F8771" s="2" t="str">
        <f t="shared" si="737"/>
        <v>R_EST_BAIRRO</v>
      </c>
      <c r="G8771" s="2" t="str">
        <f>"Atendimento / Ambulatório / Relatórios / Estatísticos / Atendimentos por Bairro (R_EST_BAIRRO)"</f>
        <v>Atendimento / Ambulatório / Relatórios / Estatísticos / Atendimentos por Bairro (R_EST_BAIRRO)</v>
      </c>
    </row>
    <row r="8772" spans="1:7" x14ac:dyDescent="0.3">
      <c r="A8772" s="1" t="s">
        <v>4</v>
      </c>
      <c r="B8772" s="2" t="str">
        <f t="shared" si="733"/>
        <v>SISTEMA DE GERENCIAMENTO AMBULATORIAL</v>
      </c>
      <c r="C8772" s="2" t="str">
        <f t="shared" si="734"/>
        <v>ATEND</v>
      </c>
      <c r="D8772" s="2" t="str">
        <f t="shared" si="735"/>
        <v>PARA</v>
      </c>
      <c r="E8772" s="2" t="str">
        <f t="shared" si="736"/>
        <v>REL.ESTAT.ATENDIMENTOS X BAIRRO</v>
      </c>
      <c r="F8772" s="2" t="str">
        <f t="shared" si="737"/>
        <v>R_EST_BAIRRO</v>
      </c>
      <c r="G8772" s="2" t="str">
        <f>"Atendimento / Urgência e Emergência / Relatórios / Estatísticos / Atendimentos por / Bairro (R_EST_BAIRRO)"</f>
        <v>Atendimento / Urgência e Emergência / Relatórios / Estatísticos / Atendimentos por / Bairro (R_EST_BAIRRO)</v>
      </c>
    </row>
    <row r="8773" spans="1:7" x14ac:dyDescent="0.3">
      <c r="A8773" s="1" t="s">
        <v>4</v>
      </c>
      <c r="B8773" s="2" t="str">
        <f t="shared" si="733"/>
        <v>SISTEMA DE GERENCIAMENTO AMBULATORIAL</v>
      </c>
      <c r="C8773" s="2" t="str">
        <f t="shared" si="734"/>
        <v>ATEND</v>
      </c>
      <c r="D8773" s="2" t="str">
        <f t="shared" si="735"/>
        <v>PARA</v>
      </c>
      <c r="E8773" s="2" t="str">
        <f t="shared" si="736"/>
        <v>REL.ESTAT.ATENDIMENTOS X BAIRRO</v>
      </c>
      <c r="F8773" s="2" t="str">
        <f t="shared" si="737"/>
        <v>R_EST_BAIRRO</v>
      </c>
      <c r="G8773" s="2" t="str">
        <f>"Serviços de Apoio / Serviço Arquivo Médico / Relatórios / Estatísticos / Atendimentos / Por Bairro (R_EST_BAIRRO)"</f>
        <v>Serviços de Apoio / Serviço Arquivo Médico / Relatórios / Estatísticos / Atendimentos / Por Bairro (R_EST_BAIRRO)</v>
      </c>
    </row>
    <row r="8774" spans="1:7" x14ac:dyDescent="0.3">
      <c r="A8774" s="1" t="s">
        <v>4</v>
      </c>
      <c r="B8774" s="2" t="str">
        <f t="shared" si="733"/>
        <v>SISTEMA DE GERENCIAMENTO AMBULATORIAL</v>
      </c>
      <c r="C8774" s="2" t="str">
        <f t="shared" si="734"/>
        <v>ATEND</v>
      </c>
      <c r="D8774" s="2" t="str">
        <f t="shared" si="735"/>
        <v>PARA</v>
      </c>
      <c r="E8774" s="2" t="str">
        <f t="shared" si="736"/>
        <v>REL.ESTAT.ATENDIMENTOS X BAIRRO</v>
      </c>
      <c r="F8774" s="2" t="str">
        <f t="shared" si="737"/>
        <v>R_EST_BAIRRO</v>
      </c>
      <c r="G8774" s="2" t="str">
        <f>"MVSaude / Vendas / Internação / Relatórios / Estatísticos / Atendimentos / Por Bairro (R_EST_BAIRRO)"</f>
        <v>MVSaude / Vendas / Internação / Relatórios / Estatísticos / Atendimentos / Por Bairro (R_EST_BAIRRO)</v>
      </c>
    </row>
    <row r="8775" spans="1:7" x14ac:dyDescent="0.3">
      <c r="A8775" s="1" t="s">
        <v>4</v>
      </c>
      <c r="B8775" s="2" t="str">
        <f t="shared" si="733"/>
        <v>SISTEMA DE GERENCIAMENTO AMBULATORIAL</v>
      </c>
      <c r="C8775" s="2" t="str">
        <f t="shared" si="734"/>
        <v>ATEND</v>
      </c>
      <c r="D8775" s="2" t="str">
        <f t="shared" si="735"/>
        <v>PARA</v>
      </c>
      <c r="E8775" s="2" t="str">
        <f t="shared" si="736"/>
        <v>REL.ESTAT.ATENDIMENTOS X BAIRRO</v>
      </c>
      <c r="F8775" s="2" t="str">
        <f t="shared" si="737"/>
        <v>R_EST_BAIRRO</v>
      </c>
      <c r="G8775" s="2" t="str">
        <f>"Outros / Fusam / Relatórios / Estatísticos / Atendimentos por Bairro (R_EST_BAIRRO)"</f>
        <v>Outros / Fusam / Relatórios / Estatísticos / Atendimentos por Bairro (R_EST_BAIRRO)</v>
      </c>
    </row>
    <row r="8776" spans="1:7" x14ac:dyDescent="0.3">
      <c r="A8776" s="1" t="s">
        <v>4</v>
      </c>
      <c r="B8776" s="2" t="str">
        <f t="shared" si="733"/>
        <v>SISTEMA DE GERENCIAMENTO AMBULATORIAL</v>
      </c>
      <c r="C8776" s="2" t="str">
        <f t="shared" si="734"/>
        <v>ATEND</v>
      </c>
      <c r="D8776" s="2" t="str">
        <f t="shared" si="735"/>
        <v>PARA</v>
      </c>
      <c r="E8776" s="2" t="str">
        <f t="shared" si="736"/>
        <v>REL.ESTAT.ATENDIMENTOS X BAIRRO</v>
      </c>
      <c r="F8776" s="2" t="str">
        <f t="shared" si="737"/>
        <v>R_EST_BAIRRO</v>
      </c>
      <c r="G8776" s="2" t="str">
        <f>"Atendimento / Internação Domiciliar (Home Care) / Relatórios / Estatísticos / Atendimentos por Bairro (R_EST_BAIRRO)"</f>
        <v>Atendimento / Internação Domiciliar (Home Care) / Relatórios / Estatísticos / Atendimentos por Bairro (R_EST_BAIRRO)</v>
      </c>
    </row>
    <row r="8777" spans="1:7" x14ac:dyDescent="0.3">
      <c r="A8777" s="1" t="s">
        <v>4</v>
      </c>
      <c r="B8777" s="2" t="str">
        <f t="shared" si="733"/>
        <v>SISTEMA DE GERENCIAMENTO AMBULATORIAL</v>
      </c>
      <c r="C8777" s="2" t="str">
        <f t="shared" si="734"/>
        <v>ATEND</v>
      </c>
      <c r="D8777" s="2" t="str">
        <f t="shared" si="735"/>
        <v>PARA</v>
      </c>
      <c r="E8777" s="2" t="str">
        <f t="shared" si="736"/>
        <v>REL.ESTAT.ATENDIMENTOS X BAIRRO</v>
      </c>
      <c r="F8777" s="2" t="str">
        <f t="shared" si="737"/>
        <v>R_EST_BAIRRO</v>
      </c>
      <c r="G8777" s="2" t="str">
        <f>"MVSaude / Atendimento / Autorizações de Guias / Internação / Relatórios / Estatísticos / Atendimentos / Por Bairro (R_EST_BAIRRO)"</f>
        <v>MVSaude / Atendimento / Autorizações de Guias / Internação / Relatórios / Estatísticos / Atendimentos / Por Bairro (R_EST_BAIRRO)</v>
      </c>
    </row>
    <row r="8778" spans="1:7" x14ac:dyDescent="0.3">
      <c r="A8778" s="1" t="s">
        <v>4</v>
      </c>
      <c r="B8778" s="2" t="str">
        <f t="shared" si="733"/>
        <v>SISTEMA DE GERENCIAMENTO AMBULATORIAL</v>
      </c>
      <c r="C8778" s="2" t="str">
        <f t="shared" si="734"/>
        <v>ATEND</v>
      </c>
      <c r="D8778" s="2" t="str">
        <f t="shared" si="735"/>
        <v>PARA</v>
      </c>
      <c r="E8778" s="2" t="str">
        <f>"AGENDAMENTO MULTIPLO"</f>
        <v>AGENDAMENTO MULTIPLO</v>
      </c>
      <c r="F8778" s="2" t="str">
        <f>"AGD_MULT"</f>
        <v>AGD_MULT</v>
      </c>
      <c r="G8778" s="2" t="str">
        <f>" ()"</f>
        <v xml:space="preserve"> ()</v>
      </c>
    </row>
    <row r="8779" spans="1:7" x14ac:dyDescent="0.3">
      <c r="A8779" s="1" t="s">
        <v>4</v>
      </c>
      <c r="B8779" s="2" t="str">
        <f t="shared" si="733"/>
        <v>SISTEMA DE GERENCIAMENTO AMBULATORIAL</v>
      </c>
      <c r="C8779" s="2" t="str">
        <f t="shared" si="734"/>
        <v>ATEND</v>
      </c>
      <c r="D8779" s="2" t="str">
        <f t="shared" si="735"/>
        <v>PARA</v>
      </c>
      <c r="E8779" s="2" t="str">
        <f>"ALTERAÇÃO DE ATENDIMENTO AMBULATORIAL"</f>
        <v>ALTERAÇÃO DE ATENDIMENTO AMBULATORIAL</v>
      </c>
      <c r="F8779" s="2" t="str">
        <f>"ALT_ATEAMB"</f>
        <v>ALT_ATEAMB</v>
      </c>
      <c r="G8779" s="2" t="str">
        <f>" ()"</f>
        <v xml:space="preserve"> ()</v>
      </c>
    </row>
    <row r="8780" spans="1:7" x14ac:dyDescent="0.3">
      <c r="A8780" s="1" t="s">
        <v>4</v>
      </c>
      <c r="B8780" s="2" t="str">
        <f t="shared" si="733"/>
        <v>SISTEMA DE GERENCIAMENTO AMBULATORIAL</v>
      </c>
      <c r="C8780" s="2" t="str">
        <f t="shared" si="734"/>
        <v>ATEND</v>
      </c>
      <c r="D8780" s="2" t="str">
        <f t="shared" si="735"/>
        <v>PARA</v>
      </c>
      <c r="E8780" s="2" t="str">
        <f>"REL. PRODUTIVIDADE DOS USUARIOS"</f>
        <v>REL. PRODUTIVIDADE DOS USUARIOS</v>
      </c>
      <c r="F8780" s="2" t="str">
        <f>"R_AGE_OPER"</f>
        <v>R_AGE_OPER</v>
      </c>
      <c r="G8780" s="2" t="str">
        <f>" ()"</f>
        <v xml:space="preserve"> ()</v>
      </c>
    </row>
    <row r="8781" spans="1:7" x14ac:dyDescent="0.3">
      <c r="A8781" s="1" t="s">
        <v>4</v>
      </c>
      <c r="B8781" s="2" t="str">
        <f t="shared" si="733"/>
        <v>SISTEMA DE GERENCIAMENTO AMBULATORIAL</v>
      </c>
      <c r="C8781" s="2" t="str">
        <f t="shared" si="734"/>
        <v>ATEND</v>
      </c>
      <c r="D8781" s="2" t="str">
        <f t="shared" si="735"/>
        <v>PARA</v>
      </c>
      <c r="E8781" s="2" t="str">
        <f>"REL.ESTAT.ATEND. X IDADE  X SEXO"</f>
        <v>REL.ESTAT.ATEND. X IDADE  X SEXO</v>
      </c>
      <c r="F8781" s="2" t="str">
        <f>"R_EST_IDADE_SEXO"</f>
        <v>R_EST_IDADE_SEXO</v>
      </c>
      <c r="G8781" s="2" t="str">
        <f>"Atendimento / Ambulatório / Relatórios / Estatísticos / Atendimentos por Faixa Etária x Sexo (R_EST_IDADE_SEXO)"</f>
        <v>Atendimento / Ambulatório / Relatórios / Estatísticos / Atendimentos por Faixa Etária x Sexo (R_EST_IDADE_SEXO)</v>
      </c>
    </row>
    <row r="8782" spans="1:7" x14ac:dyDescent="0.3">
      <c r="A8782" s="1" t="s">
        <v>4</v>
      </c>
      <c r="B8782" s="2" t="str">
        <f t="shared" si="733"/>
        <v>SISTEMA DE GERENCIAMENTO AMBULATORIAL</v>
      </c>
      <c r="C8782" s="2" t="str">
        <f t="shared" si="734"/>
        <v>ATEND</v>
      </c>
      <c r="D8782" s="2" t="str">
        <f t="shared" si="735"/>
        <v>PARA</v>
      </c>
      <c r="E8782" s="2" t="str">
        <f>"REL.ESTAT.ATEND. X IDADE  X SEXO"</f>
        <v>REL.ESTAT.ATEND. X IDADE  X SEXO</v>
      </c>
      <c r="F8782" s="2" t="str">
        <f>"R_EST_IDADE_SEXO"</f>
        <v>R_EST_IDADE_SEXO</v>
      </c>
      <c r="G8782" s="2" t="str">
        <f>"Outros / Fusam / Relatórios / Estatísticos / Atendimentos por Faixa Etária x Sexo (R_EST_IDADE_SEXO)"</f>
        <v>Outros / Fusam / Relatórios / Estatísticos / Atendimentos por Faixa Etária x Sexo (R_EST_IDADE_SEXO)</v>
      </c>
    </row>
    <row r="8783" spans="1:7" x14ac:dyDescent="0.3">
      <c r="A8783" s="1" t="s">
        <v>4</v>
      </c>
      <c r="B8783" s="2" t="str">
        <f t="shared" si="733"/>
        <v>SISTEMA DE GERENCIAMENTO AMBULATORIAL</v>
      </c>
      <c r="C8783" s="2" t="str">
        <f t="shared" si="734"/>
        <v>ATEND</v>
      </c>
      <c r="D8783" s="2" t="str">
        <f t="shared" si="735"/>
        <v>PARA</v>
      </c>
      <c r="E8783" s="2" t="str">
        <f>"TRANSFERÊNCIA DE PACIENTES AGENDADOS"</f>
        <v>TRANSFERÊNCIA DE PACIENTES AGENDADOS</v>
      </c>
      <c r="F8783" s="2" t="str">
        <f>"M_TROCAGD"</f>
        <v>M_TROCAGD</v>
      </c>
      <c r="G8783" s="2" t="str">
        <f>"Atendimento / Ambulatório / Agendamentos / Transferência de Pacientes Agendados (M_TROCAGD)"</f>
        <v>Atendimento / Ambulatório / Agendamentos / Transferência de Pacientes Agendados (M_TROCAGD)</v>
      </c>
    </row>
    <row r="8784" spans="1:7" x14ac:dyDescent="0.3">
      <c r="A8784" s="1" t="s">
        <v>4</v>
      </c>
      <c r="B8784" s="2" t="str">
        <f t="shared" si="733"/>
        <v>SISTEMA DE GERENCIAMENTO AMBULATORIAL</v>
      </c>
      <c r="C8784" s="2" t="str">
        <f t="shared" si="734"/>
        <v>ATEND</v>
      </c>
      <c r="D8784" s="2" t="str">
        <f t="shared" si="735"/>
        <v>PARA</v>
      </c>
      <c r="E8784" s="2" t="str">
        <f>"TRANSFERÊNCIA DE PACIENTES AGENDADOS"</f>
        <v>TRANSFERÊNCIA DE PACIENTES AGENDADOS</v>
      </c>
      <c r="F8784" s="2" t="str">
        <f>"M_TROCAGD"</f>
        <v>M_TROCAGD</v>
      </c>
      <c r="G8784" s="2" t="str">
        <f>"Outros / Fusam / Agendamentos / Transferência de Pacientes Agendados (M_TROCAGD)"</f>
        <v>Outros / Fusam / Agendamentos / Transferência de Pacientes Agendados (M_TROCAGD)</v>
      </c>
    </row>
    <row r="8785" spans="1:7" x14ac:dyDescent="0.3">
      <c r="A8785" s="1" t="s">
        <v>4</v>
      </c>
      <c r="B8785" s="2" t="str">
        <f t="shared" si="733"/>
        <v>SISTEMA DE GERENCIAMENTO AMBULATORIAL</v>
      </c>
      <c r="C8785" s="2" t="str">
        <f t="shared" si="734"/>
        <v>ATEND</v>
      </c>
      <c r="D8785" s="2" t="str">
        <f t="shared" si="735"/>
        <v>PARA</v>
      </c>
      <c r="E8785" s="2" t="str">
        <f>"REL.ESTAT.PACIENTES AGENDADOS X DIA"</f>
        <v>REL.ESTAT.PACIENTES AGENDADOS X DIA</v>
      </c>
      <c r="F8785" s="2" t="str">
        <f>"R_ESTAT_PACI_AGENDADOS"</f>
        <v>R_ESTAT_PACI_AGENDADOS</v>
      </c>
      <c r="G8785" s="2" t="str">
        <f>"Atendimento / Ambulatório / Relatórios / Agendamentos / Estatistico de Pacientes Agendados ao Dia (R_ESTAT_PACI_AGENDADOS)"</f>
        <v>Atendimento / Ambulatório / Relatórios / Agendamentos / Estatistico de Pacientes Agendados ao Dia (R_ESTAT_PACI_AGENDADOS)</v>
      </c>
    </row>
    <row r="8786" spans="1:7" x14ac:dyDescent="0.3">
      <c r="A8786" s="1" t="s">
        <v>4</v>
      </c>
      <c r="B8786" s="2" t="str">
        <f t="shared" si="733"/>
        <v>SISTEMA DE GERENCIAMENTO AMBULATORIAL</v>
      </c>
      <c r="C8786" s="2" t="str">
        <f t="shared" si="734"/>
        <v>ATEND</v>
      </c>
      <c r="D8786" s="2" t="str">
        <f t="shared" si="735"/>
        <v>PARA</v>
      </c>
      <c r="E8786" s="2" t="str">
        <f>"REL.ESTAT.PACIENTES AGENDADOS X DIA"</f>
        <v>REL.ESTAT.PACIENTES AGENDADOS X DIA</v>
      </c>
      <c r="F8786" s="2" t="str">
        <f>"R_ESTAT_PACI_AGENDADOS"</f>
        <v>R_ESTAT_PACI_AGENDADOS</v>
      </c>
      <c r="G8786" s="2" t="str">
        <f>"Serviços de Apoio / Serviço Arquivo Médico / Relatórios / Agendamentos / Estatistico de Pacientes Agendados ao Dia (R_ESTAT_PACI_AGENDADOS)"</f>
        <v>Serviços de Apoio / Serviço Arquivo Médico / Relatórios / Agendamentos / Estatistico de Pacientes Agendados ao Dia (R_ESTAT_PACI_AGENDADOS)</v>
      </c>
    </row>
    <row r="8787" spans="1:7" x14ac:dyDescent="0.3">
      <c r="A8787" s="1" t="s">
        <v>4</v>
      </c>
      <c r="B8787" s="2" t="str">
        <f t="shared" si="733"/>
        <v>SISTEMA DE GERENCIAMENTO AMBULATORIAL</v>
      </c>
      <c r="C8787" s="2" t="str">
        <f t="shared" si="734"/>
        <v>ATEND</v>
      </c>
      <c r="D8787" s="2" t="str">
        <f t="shared" si="735"/>
        <v>PARA</v>
      </c>
      <c r="E8787" s="2" t="str">
        <f>"REL.ESTAT.PACIENTES AGENDADOS X DIA"</f>
        <v>REL.ESTAT.PACIENTES AGENDADOS X DIA</v>
      </c>
      <c r="F8787" s="2" t="str">
        <f>"R_ESTAT_PACI_AGENDADOS"</f>
        <v>R_ESTAT_PACI_AGENDADOS</v>
      </c>
      <c r="G8787" s="2" t="str">
        <f>"Outros / Fusam / Relatórios / Agendamentos / Estatístico de Pacientes Agendados ao Dia (R_ESTAT_PACI_AGENDADOS)"</f>
        <v>Outros / Fusam / Relatórios / Agendamentos / Estatístico de Pacientes Agendados ao Dia (R_ESTAT_PACI_AGENDADOS)</v>
      </c>
    </row>
    <row r="8788" spans="1:7" x14ac:dyDescent="0.3">
      <c r="A8788" s="1" t="s">
        <v>4</v>
      </c>
      <c r="B8788" s="2" t="str">
        <f t="shared" si="733"/>
        <v>SISTEMA DE GERENCIAMENTO AMBULATORIAL</v>
      </c>
      <c r="C8788" s="2" t="str">
        <f t="shared" si="734"/>
        <v>ATEND</v>
      </c>
      <c r="D8788" s="2" t="str">
        <f t="shared" si="735"/>
        <v>PARA</v>
      </c>
      <c r="E8788" s="2" t="str">
        <f>"RECEPÇÃO"</f>
        <v>RECEPÇÃO</v>
      </c>
      <c r="F8788" s="2" t="str">
        <f>"CADAGD3NEW"</f>
        <v>CADAGD3NEW</v>
      </c>
      <c r="G8788" s="2" t="str">
        <f>" ()"</f>
        <v xml:space="preserve"> ()</v>
      </c>
    </row>
    <row r="8789" spans="1:7" x14ac:dyDescent="0.3">
      <c r="A8789" s="1" t="s">
        <v>4</v>
      </c>
      <c r="B8789" s="2" t="str">
        <f t="shared" si="733"/>
        <v>SISTEMA DE GERENCIAMENTO AMBULATORIAL</v>
      </c>
      <c r="C8789" s="2" t="str">
        <f t="shared" si="734"/>
        <v>ATEND</v>
      </c>
      <c r="D8789" s="2" t="str">
        <f t="shared" si="735"/>
        <v>PARA</v>
      </c>
      <c r="E8789" s="2" t="str">
        <f>"TEXTOS PADRÃO"</f>
        <v>TEXTOS PADRÃO</v>
      </c>
      <c r="F8789" s="2" t="str">
        <f>"M_TPAD"</f>
        <v>M_TPAD</v>
      </c>
      <c r="G8789" s="2" t="str">
        <f>"Atendimento / Ambulatório / Tabelas / Textos Padrão (M_TPAD)"</f>
        <v>Atendimento / Ambulatório / Tabelas / Textos Padrão (M_TPAD)</v>
      </c>
    </row>
    <row r="8790" spans="1:7" x14ac:dyDescent="0.3">
      <c r="A8790" s="1" t="s">
        <v>4</v>
      </c>
      <c r="B8790" s="2" t="str">
        <f t="shared" si="733"/>
        <v>SISTEMA DE GERENCIAMENTO AMBULATORIAL</v>
      </c>
      <c r="C8790" s="2" t="str">
        <f t="shared" si="734"/>
        <v>ATEND</v>
      </c>
      <c r="D8790" s="2" t="str">
        <f t="shared" si="735"/>
        <v>PARA</v>
      </c>
      <c r="E8790" s="2" t="str">
        <f>"TEXTOS PADRÃO"</f>
        <v>TEXTOS PADRÃO</v>
      </c>
      <c r="F8790" s="2" t="str">
        <f>"M_TPAD"</f>
        <v>M_TPAD</v>
      </c>
      <c r="G8790" s="2" t="str">
        <f>"Outros / Fusam / Tabelas / Textos Padrão (M_TPAD)"</f>
        <v>Outros / Fusam / Tabelas / Textos Padrão (M_TPAD)</v>
      </c>
    </row>
    <row r="8791" spans="1:7" x14ac:dyDescent="0.3">
      <c r="A8791" s="1" t="s">
        <v>4</v>
      </c>
      <c r="B8791" s="2" t="str">
        <f t="shared" si="733"/>
        <v>SISTEMA DE GERENCIAMENTO AMBULATORIAL</v>
      </c>
      <c r="C8791" s="2" t="str">
        <f t="shared" si="734"/>
        <v>ATEND</v>
      </c>
      <c r="D8791" s="2" t="str">
        <f t="shared" si="735"/>
        <v>PARA</v>
      </c>
      <c r="E8791" s="2" t="str">
        <f>"REL. PRODUTIVIDADE DOS USUARIOS SINT"</f>
        <v>REL. PRODUTIVIDADE DOS USUARIOS SINT</v>
      </c>
      <c r="F8791" s="2" t="str">
        <f>"R_AGE_OPER_S"</f>
        <v>R_AGE_OPER_S</v>
      </c>
      <c r="G8791" s="2" t="str">
        <f t="shared" ref="G8791:G8796" si="738">" ()"</f>
        <v xml:space="preserve"> ()</v>
      </c>
    </row>
    <row r="8792" spans="1:7" x14ac:dyDescent="0.3">
      <c r="A8792" s="1" t="s">
        <v>4</v>
      </c>
      <c r="B8792" s="2" t="str">
        <f t="shared" si="733"/>
        <v>SISTEMA DE GERENCIAMENTO AMBULATORIAL</v>
      </c>
      <c r="C8792" s="2" t="str">
        <f t="shared" si="734"/>
        <v>ATEND</v>
      </c>
      <c r="D8792" s="2" t="str">
        <f t="shared" si="735"/>
        <v>PARA</v>
      </c>
      <c r="E8792" s="2" t="str">
        <f>"REL. PRODUÇÃO GLOBAL SINT"</f>
        <v>REL. PRODUÇÃO GLOBAL SINT</v>
      </c>
      <c r="F8792" s="2" t="str">
        <f>"R_EST_P_GERAL_S"</f>
        <v>R_EST_P_GERAL_S</v>
      </c>
      <c r="G8792" s="2" t="str">
        <f t="shared" si="738"/>
        <v xml:space="preserve"> ()</v>
      </c>
    </row>
    <row r="8793" spans="1:7" x14ac:dyDescent="0.3">
      <c r="A8793" s="1" t="s">
        <v>4</v>
      </c>
      <c r="B8793" s="2" t="str">
        <f t="shared" si="733"/>
        <v>SISTEMA DE GERENCIAMENTO AMBULATORIAL</v>
      </c>
      <c r="C8793" s="2" t="str">
        <f t="shared" si="734"/>
        <v>ATEND</v>
      </c>
      <c r="D8793" s="2" t="str">
        <f t="shared" si="735"/>
        <v>PARA</v>
      </c>
      <c r="E8793" s="2" t="str">
        <f>"REL. PRODUÇÃO POR ORIGEM SINT"</f>
        <v>REL. PRODUÇÃO POR ORIGEM SINT</v>
      </c>
      <c r="F8793" s="2" t="str">
        <f>"R_EST_P_ORI_S"</f>
        <v>R_EST_P_ORI_S</v>
      </c>
      <c r="G8793" s="2" t="str">
        <f t="shared" si="738"/>
        <v xml:space="preserve"> ()</v>
      </c>
    </row>
    <row r="8794" spans="1:7" x14ac:dyDescent="0.3">
      <c r="A8794" s="1" t="s">
        <v>4</v>
      </c>
      <c r="B8794" s="2" t="str">
        <f t="shared" si="733"/>
        <v>SISTEMA DE GERENCIAMENTO AMBULATORIAL</v>
      </c>
      <c r="C8794" s="2" t="str">
        <f t="shared" si="734"/>
        <v>ATEND</v>
      </c>
      <c r="D8794" s="2" t="str">
        <f t="shared" si="735"/>
        <v>PARA</v>
      </c>
      <c r="E8794" s="2" t="str">
        <f>"REL. PRODUÇÃO POR SERVIÇO SINT"</f>
        <v>REL. PRODUÇÃO POR SERVIÇO SINT</v>
      </c>
      <c r="F8794" s="2" t="str">
        <f>"R_EST_P_SER_S"</f>
        <v>R_EST_P_SER_S</v>
      </c>
      <c r="G8794" s="2" t="str">
        <f t="shared" si="738"/>
        <v xml:space="preserve"> ()</v>
      </c>
    </row>
    <row r="8795" spans="1:7" x14ac:dyDescent="0.3">
      <c r="A8795" s="1" t="s">
        <v>4</v>
      </c>
      <c r="B8795" s="2" t="str">
        <f t="shared" si="733"/>
        <v>SISTEMA DE GERENCIAMENTO AMBULATORIAL</v>
      </c>
      <c r="C8795" s="2" t="str">
        <f t="shared" si="734"/>
        <v>ATEND</v>
      </c>
      <c r="D8795" s="2" t="str">
        <f t="shared" si="735"/>
        <v>PARA</v>
      </c>
      <c r="E8795" s="2" t="str">
        <f>"REL. PRODUÇÃO POR PROFISSIONAL SINT"</f>
        <v>REL. PRODUÇÃO POR PROFISSIONAL SINT</v>
      </c>
      <c r="F8795" s="2" t="str">
        <f>"R_EST_P_PROF_2_S"</f>
        <v>R_EST_P_PROF_2_S</v>
      </c>
      <c r="G8795" s="2" t="str">
        <f t="shared" si="738"/>
        <v xml:space="preserve"> ()</v>
      </c>
    </row>
    <row r="8796" spans="1:7" x14ac:dyDescent="0.3">
      <c r="A8796" s="1" t="s">
        <v>4</v>
      </c>
      <c r="B8796" s="2" t="str">
        <f t="shared" si="733"/>
        <v>SISTEMA DE GERENCIAMENTO AMBULATORIAL</v>
      </c>
      <c r="C8796" s="2" t="str">
        <f t="shared" si="734"/>
        <v>ATEND</v>
      </c>
      <c r="D8796" s="2" t="str">
        <f t="shared" si="735"/>
        <v>PARA</v>
      </c>
      <c r="E8796" s="2" t="str">
        <f>"ANAMNESE AMBULATORIAL"</f>
        <v>ANAMNESE AMBULATORIAL</v>
      </c>
      <c r="F8796" s="2" t="str">
        <f>"R_ANM_AMB"</f>
        <v>R_ANM_AMB</v>
      </c>
      <c r="G8796" s="2" t="str">
        <f t="shared" si="738"/>
        <v xml:space="preserve"> ()</v>
      </c>
    </row>
    <row r="8797" spans="1:7" x14ac:dyDescent="0.3">
      <c r="A8797" s="1" t="s">
        <v>4</v>
      </c>
      <c r="B8797" s="2" t="str">
        <f t="shared" si="733"/>
        <v>SISTEMA DE GERENCIAMENTO AMBULATORIAL</v>
      </c>
      <c r="C8797" s="2" t="str">
        <f t="shared" si="734"/>
        <v>ATEND</v>
      </c>
      <c r="D8797" s="2" t="str">
        <f t="shared" si="735"/>
        <v>PARA</v>
      </c>
      <c r="E8797" s="2" t="str">
        <f>"CADASTRO DE ESCALAS"</f>
        <v>CADASTRO DE ESCALAS</v>
      </c>
      <c r="F8797" s="2" t="str">
        <f>"M_P_ESCALA"</f>
        <v>M_P_ESCALA</v>
      </c>
      <c r="G8797" s="2" t="str">
        <f>"Atendimento / Ambulatório / Agendamentos / Cadastro de Escalas (M_P_ESCALA)"</f>
        <v>Atendimento / Ambulatório / Agendamentos / Cadastro de Escalas (M_P_ESCALA)</v>
      </c>
    </row>
    <row r="8798" spans="1:7" x14ac:dyDescent="0.3">
      <c r="A8798" s="1" t="s">
        <v>4</v>
      </c>
      <c r="B8798" s="2" t="str">
        <f t="shared" si="733"/>
        <v>SISTEMA DE GERENCIAMENTO AMBULATORIAL</v>
      </c>
      <c r="C8798" s="2" t="str">
        <f t="shared" si="734"/>
        <v>ATEND</v>
      </c>
      <c r="D8798" s="2" t="str">
        <f t="shared" si="735"/>
        <v>PARA</v>
      </c>
      <c r="E8798" s="2" t="str">
        <f>"CADASTRO DE ESCALAS"</f>
        <v>CADASTRO DE ESCALAS</v>
      </c>
      <c r="F8798" s="2" t="str">
        <f>"M_P_ESCALA"</f>
        <v>M_P_ESCALA</v>
      </c>
      <c r="G8798" s="2" t="str">
        <f>"Outros / Fusam / Agendamentos / Cadastro de Escalas (M_P_ESCALA)"</f>
        <v>Outros / Fusam / Agendamentos / Cadastro de Escalas (M_P_ESCALA)</v>
      </c>
    </row>
    <row r="8799" spans="1:7" x14ac:dyDescent="0.3">
      <c r="A8799" s="1" t="s">
        <v>4</v>
      </c>
      <c r="B8799" s="2" t="str">
        <f t="shared" si="733"/>
        <v>SISTEMA DE GERENCIAMENTO AMBULATORIAL</v>
      </c>
      <c r="C8799" s="2" t="str">
        <f t="shared" si="734"/>
        <v>ATEND</v>
      </c>
      <c r="D8799" s="2" t="str">
        <f t="shared" si="735"/>
        <v>PARA</v>
      </c>
      <c r="E8799" s="2" t="str">
        <f>"ATENDIMENTO EM LOTE"</f>
        <v>ATENDIMENTO EM LOTE</v>
      </c>
      <c r="F8799" s="2" t="str">
        <f>"ATE_ALL"</f>
        <v>ATE_ALL</v>
      </c>
      <c r="G8799" s="2" t="str">
        <f>"Atendimento / Ambulatório / Atendimentos / Atendimento em Lote (ATE_ALL)"</f>
        <v>Atendimento / Ambulatório / Atendimentos / Atendimento em Lote (ATE_ALL)</v>
      </c>
    </row>
    <row r="8800" spans="1:7" x14ac:dyDescent="0.3">
      <c r="A8800" s="1" t="s">
        <v>4</v>
      </c>
      <c r="B8800" s="2" t="str">
        <f t="shared" si="733"/>
        <v>SISTEMA DE GERENCIAMENTO AMBULATORIAL</v>
      </c>
      <c r="C8800" s="2" t="str">
        <f t="shared" si="734"/>
        <v>ATEND</v>
      </c>
      <c r="D8800" s="2" t="str">
        <f t="shared" si="735"/>
        <v>PARA</v>
      </c>
      <c r="E8800" s="2" t="str">
        <f>"ATENDIMENTO EM LOTE"</f>
        <v>ATENDIMENTO EM LOTE</v>
      </c>
      <c r="F8800" s="2" t="str">
        <f>"ATE_ALL"</f>
        <v>ATE_ALL</v>
      </c>
      <c r="G8800" s="2" t="str">
        <f>"Outros / Fusam / Atendimentos / Atendimento em Lote (ATE_ALL)"</f>
        <v>Outros / Fusam / Atendimentos / Atendimento em Lote (ATE_ALL)</v>
      </c>
    </row>
    <row r="8801" spans="1:7" x14ac:dyDescent="0.3">
      <c r="A8801" s="1" t="s">
        <v>4</v>
      </c>
      <c r="B8801" s="2" t="str">
        <f t="shared" si="733"/>
        <v>SISTEMA DE GERENCIAMENTO AMBULATORIAL</v>
      </c>
      <c r="C8801" s="2" t="str">
        <f t="shared" si="734"/>
        <v>ATEND</v>
      </c>
      <c r="D8801" s="2" t="str">
        <f t="shared" si="735"/>
        <v>PARA</v>
      </c>
      <c r="E8801" s="2" t="str">
        <f>"RELATORIO DE AGENDA MÉDICA"</f>
        <v>RELATORIO DE AGENDA MÉDICA</v>
      </c>
      <c r="F8801" s="2" t="str">
        <f>"R_AGE_PRE"</f>
        <v>R_AGE_PRE</v>
      </c>
      <c r="G8801" s="2" t="str">
        <f>"Atendimento / Ambulatório / Relatórios / Agendamentos / Agenda Médica (R_AGE_PRE)"</f>
        <v>Atendimento / Ambulatório / Relatórios / Agendamentos / Agenda Médica (R_AGE_PRE)</v>
      </c>
    </row>
    <row r="8802" spans="1:7" x14ac:dyDescent="0.3">
      <c r="A8802" s="1" t="s">
        <v>4</v>
      </c>
      <c r="B8802" s="2" t="str">
        <f t="shared" si="733"/>
        <v>SISTEMA DE GERENCIAMENTO AMBULATORIAL</v>
      </c>
      <c r="C8802" s="2" t="str">
        <f t="shared" si="734"/>
        <v>ATEND</v>
      </c>
      <c r="D8802" s="2" t="str">
        <f t="shared" si="735"/>
        <v>PARA</v>
      </c>
      <c r="E8802" s="2" t="str">
        <f>"RELATORIO DE AGENDA MÉDICA"</f>
        <v>RELATORIO DE AGENDA MÉDICA</v>
      </c>
      <c r="F8802" s="2" t="str">
        <f>"R_AGE_PRE"</f>
        <v>R_AGE_PRE</v>
      </c>
      <c r="G8802" s="2" t="str">
        <f>"Outros / Fusam / Relatórios / Agendamentos / Agenda Médica (R_AGE_PRE)"</f>
        <v>Outros / Fusam / Relatórios / Agendamentos / Agenda Médica (R_AGE_PRE)</v>
      </c>
    </row>
    <row r="8803" spans="1:7" x14ac:dyDescent="0.3">
      <c r="A8803" s="1" t="s">
        <v>4</v>
      </c>
      <c r="B8803" s="2" t="str">
        <f t="shared" si="733"/>
        <v>SISTEMA DE GERENCIAMENTO AMBULATORIAL</v>
      </c>
      <c r="C8803" s="2" t="str">
        <f t="shared" si="734"/>
        <v>ATEND</v>
      </c>
      <c r="D8803" s="2" t="str">
        <f t="shared" si="735"/>
        <v>PARA</v>
      </c>
      <c r="E8803" s="2" t="str">
        <f>"RELATORIO DE AGENDA MÉDICA"</f>
        <v>RELATORIO DE AGENDA MÉDICA</v>
      </c>
      <c r="F8803" s="2" t="str">
        <f>"R_AGE_PRE"</f>
        <v>R_AGE_PRE</v>
      </c>
      <c r="G8803" s="2" t="str">
        <f>"Serviços de Apoio / Serviço Arquivo Médico / Relatórios / Agendamentos / Agenda Médica (R_AGE_PRE)"</f>
        <v>Serviços de Apoio / Serviço Arquivo Médico / Relatórios / Agendamentos / Agenda Médica (R_AGE_PRE)</v>
      </c>
    </row>
    <row r="8804" spans="1:7" x14ac:dyDescent="0.3">
      <c r="A8804" s="1" t="s">
        <v>4</v>
      </c>
      <c r="B8804" s="2" t="str">
        <f t="shared" si="733"/>
        <v>SISTEMA DE GERENCIAMENTO AMBULATORIAL</v>
      </c>
      <c r="C8804" s="2" t="str">
        <f t="shared" si="734"/>
        <v>ATEND</v>
      </c>
      <c r="D8804" s="2" t="str">
        <f t="shared" si="735"/>
        <v>PARA</v>
      </c>
      <c r="E8804" s="2" t="str">
        <f>"RELATORIO DE TIPOS DE RESULTADO"</f>
        <v>RELATORIO DE TIPOS DE RESULTADO</v>
      </c>
      <c r="F8804" s="2" t="str">
        <f>"R_TIPRES"</f>
        <v>R_TIPRES</v>
      </c>
      <c r="G8804" s="2" t="str">
        <f>"Atendimento / Ambulatório / Relatórios / Tabelas / Tipos de Resultados (R_TIPRES)"</f>
        <v>Atendimento / Ambulatório / Relatórios / Tabelas / Tipos de Resultados (R_TIPRES)</v>
      </c>
    </row>
    <row r="8805" spans="1:7" x14ac:dyDescent="0.3">
      <c r="A8805" s="1" t="s">
        <v>4</v>
      </c>
      <c r="B8805" s="2" t="str">
        <f t="shared" si="733"/>
        <v>SISTEMA DE GERENCIAMENTO AMBULATORIAL</v>
      </c>
      <c r="C8805" s="2" t="str">
        <f t="shared" si="734"/>
        <v>ATEND</v>
      </c>
      <c r="D8805" s="2" t="str">
        <f t="shared" si="735"/>
        <v>PARA</v>
      </c>
      <c r="E8805" s="2" t="str">
        <f>"RELATORIO DE TIPOS DE RESULTADO"</f>
        <v>RELATORIO DE TIPOS DE RESULTADO</v>
      </c>
      <c r="F8805" s="2" t="str">
        <f>"R_TIPRES"</f>
        <v>R_TIPRES</v>
      </c>
      <c r="G8805" s="2" t="str">
        <f>"Atendimento / Urgência e Emergência / Relatórios / Tabelas / Tipos de Resultado (R_TIPRES)"</f>
        <v>Atendimento / Urgência e Emergência / Relatórios / Tabelas / Tipos de Resultado (R_TIPRES)</v>
      </c>
    </row>
    <row r="8806" spans="1:7" x14ac:dyDescent="0.3">
      <c r="A8806" s="1" t="s">
        <v>4</v>
      </c>
      <c r="B8806" s="2" t="str">
        <f t="shared" si="733"/>
        <v>SISTEMA DE GERENCIAMENTO AMBULATORIAL</v>
      </c>
      <c r="C8806" s="2" t="str">
        <f t="shared" si="734"/>
        <v>ATEND</v>
      </c>
      <c r="D8806" s="2" t="str">
        <f t="shared" si="735"/>
        <v>PARA</v>
      </c>
      <c r="E8806" s="2" t="str">
        <f>"RELATORIO DE TIPOS DE RESULTADO"</f>
        <v>RELATORIO DE TIPOS DE RESULTADO</v>
      </c>
      <c r="F8806" s="2" t="str">
        <f>"R_TIPRES"</f>
        <v>R_TIPRES</v>
      </c>
      <c r="G8806" s="2" t="str">
        <f>"Outros / Fusam / Relatórios / Tabelas / Tipos de Resultados (R_TIPRES)"</f>
        <v>Outros / Fusam / Relatórios / Tabelas / Tipos de Resultados (R_TIPRES)</v>
      </c>
    </row>
    <row r="8807" spans="1:7" x14ac:dyDescent="0.3">
      <c r="A8807" s="1" t="s">
        <v>4</v>
      </c>
      <c r="B8807" s="2" t="str">
        <f t="shared" si="733"/>
        <v>SISTEMA DE GERENCIAMENTO AMBULATORIAL</v>
      </c>
      <c r="C8807" s="2" t="str">
        <f t="shared" si="734"/>
        <v>ATEND</v>
      </c>
      <c r="D8807" s="2" t="str">
        <f t="shared" si="735"/>
        <v>PARA</v>
      </c>
      <c r="E8807" s="2" t="str">
        <f>"RELATORIO DE SERVIÇOS DISPONÍVEIS"</f>
        <v>RELATORIO DE SERVIÇOS DISPONÍVEIS</v>
      </c>
      <c r="F8807" s="2" t="str">
        <f>"R_SERDIS"</f>
        <v>R_SERDIS</v>
      </c>
      <c r="G8807" s="2" t="str">
        <f>"Atendimento / Ambulatório / Relatórios / Tabelas / Serviços Disponíveis (R_SERDIS)"</f>
        <v>Atendimento / Ambulatório / Relatórios / Tabelas / Serviços Disponíveis (R_SERDIS)</v>
      </c>
    </row>
    <row r="8808" spans="1:7" x14ac:dyDescent="0.3">
      <c r="A8808" s="1" t="s">
        <v>4</v>
      </c>
      <c r="B8808" s="2" t="str">
        <f t="shared" si="733"/>
        <v>SISTEMA DE GERENCIAMENTO AMBULATORIAL</v>
      </c>
      <c r="C8808" s="2" t="str">
        <f t="shared" si="734"/>
        <v>ATEND</v>
      </c>
      <c r="D8808" s="2" t="str">
        <f t="shared" si="735"/>
        <v>PARA</v>
      </c>
      <c r="E8808" s="2" t="str">
        <f>"RELATORIO DE SERVIÇOS DISPONÍVEIS"</f>
        <v>RELATORIO DE SERVIÇOS DISPONÍVEIS</v>
      </c>
      <c r="F8808" s="2" t="str">
        <f>"R_SERDIS"</f>
        <v>R_SERDIS</v>
      </c>
      <c r="G8808" s="2" t="str">
        <f>"Outros / Fusam / Relatórios / Tabelas / Serviços Disponíveis (R_SERDIS)"</f>
        <v>Outros / Fusam / Relatórios / Tabelas / Serviços Disponíveis (R_SERDIS)</v>
      </c>
    </row>
    <row r="8809" spans="1:7" x14ac:dyDescent="0.3">
      <c r="A8809" s="1" t="s">
        <v>4</v>
      </c>
      <c r="B8809" s="2" t="str">
        <f t="shared" si="733"/>
        <v>SISTEMA DE GERENCIAMENTO AMBULATORIAL</v>
      </c>
      <c r="C8809" s="2" t="str">
        <f t="shared" si="734"/>
        <v>ATEND</v>
      </c>
      <c r="D8809" s="2" t="str">
        <f t="shared" si="735"/>
        <v>PARA</v>
      </c>
      <c r="E8809" s="2" t="str">
        <f>"RELATORIO DE TIPOS DE PLANTÃO"</f>
        <v>RELATORIO DE TIPOS DE PLANTÃO</v>
      </c>
      <c r="F8809" s="2" t="str">
        <f>"R_TIPPLA"</f>
        <v>R_TIPPLA</v>
      </c>
      <c r="G8809" s="2" t="str">
        <f>"Atendimento / Ambulatório / Relatórios / Tabelas / Tipos de Plantão (R_TIPPLA)"</f>
        <v>Atendimento / Ambulatório / Relatórios / Tabelas / Tipos de Plantão (R_TIPPLA)</v>
      </c>
    </row>
    <row r="8810" spans="1:7" x14ac:dyDescent="0.3">
      <c r="A8810" s="1" t="s">
        <v>4</v>
      </c>
      <c r="B8810" s="2" t="str">
        <f t="shared" si="733"/>
        <v>SISTEMA DE GERENCIAMENTO AMBULATORIAL</v>
      </c>
      <c r="C8810" s="2" t="str">
        <f t="shared" si="734"/>
        <v>ATEND</v>
      </c>
      <c r="D8810" s="2" t="str">
        <f t="shared" si="735"/>
        <v>PARA</v>
      </c>
      <c r="E8810" s="2" t="str">
        <f>"RELATORIO DE TIPOS DE PLANTÃO"</f>
        <v>RELATORIO DE TIPOS DE PLANTÃO</v>
      </c>
      <c r="F8810" s="2" t="str">
        <f>"R_TIPPLA"</f>
        <v>R_TIPPLA</v>
      </c>
      <c r="G8810" s="2" t="str">
        <f>"Outros / Fusam / Relatórios / Tabelas / Tipos de Agendamento (R_TIPPLA)"</f>
        <v>Outros / Fusam / Relatórios / Tabelas / Tipos de Agendamento (R_TIPPLA)</v>
      </c>
    </row>
    <row r="8811" spans="1:7" x14ac:dyDescent="0.3">
      <c r="A8811" s="1" t="s">
        <v>4</v>
      </c>
      <c r="B8811" s="2" t="str">
        <f t="shared" si="733"/>
        <v>SISTEMA DE GERENCIAMENTO AMBULATORIAL</v>
      </c>
      <c r="C8811" s="2" t="str">
        <f t="shared" si="734"/>
        <v>ATEND</v>
      </c>
      <c r="D8811" s="2" t="str">
        <f t="shared" si="735"/>
        <v>PARA</v>
      </c>
      <c r="E8811" s="2" t="str">
        <f>"CONSULTA AGENDAMENTOS DOS PACIENTES"</f>
        <v>CONSULTA AGENDAMENTOS DOS PACIENTES</v>
      </c>
      <c r="F8811" s="2" t="str">
        <f>"C_AGENDA_PAC"</f>
        <v>C_AGENDA_PAC</v>
      </c>
      <c r="G8811" s="2" t="str">
        <f>"Atendimento / Ambulatório / Consultas / Agendamentos / dos Pacientes (C_AGENDA_PAC)"</f>
        <v>Atendimento / Ambulatório / Consultas / Agendamentos / dos Pacientes (C_AGENDA_PAC)</v>
      </c>
    </row>
    <row r="8812" spans="1:7" x14ac:dyDescent="0.3">
      <c r="A8812" s="1" t="s">
        <v>4</v>
      </c>
      <c r="B8812" s="2" t="str">
        <f t="shared" si="733"/>
        <v>SISTEMA DE GERENCIAMENTO AMBULATORIAL</v>
      </c>
      <c r="C8812" s="2" t="str">
        <f t="shared" si="734"/>
        <v>ATEND</v>
      </c>
      <c r="D8812" s="2" t="str">
        <f t="shared" si="735"/>
        <v>PARA</v>
      </c>
      <c r="E8812" s="2" t="str">
        <f>"CONSULTA AGENDAMENTOS DOS PACIENTES"</f>
        <v>CONSULTA AGENDAMENTOS DOS PACIENTES</v>
      </c>
      <c r="F8812" s="2" t="str">
        <f>"C_AGENDA_PAC"</f>
        <v>C_AGENDA_PAC</v>
      </c>
      <c r="G8812" s="2" t="str">
        <f>"Outros / Fusam / Consultas / Agendamento dos Pacientes (C_AGENDA_PAC)"</f>
        <v>Outros / Fusam / Consultas / Agendamento dos Pacientes (C_AGENDA_PAC)</v>
      </c>
    </row>
    <row r="8813" spans="1:7" x14ac:dyDescent="0.3">
      <c r="A8813" s="1" t="s">
        <v>4</v>
      </c>
      <c r="B8813" s="2" t="str">
        <f t="shared" si="733"/>
        <v>SISTEMA DE GERENCIAMENTO AMBULATORIAL</v>
      </c>
      <c r="C8813" s="2" t="str">
        <f t="shared" si="734"/>
        <v>ATEND</v>
      </c>
      <c r="D8813" s="2" t="str">
        <f t="shared" si="735"/>
        <v>PARA</v>
      </c>
      <c r="E8813" s="2" t="str">
        <f>"TIPOS AGENDAMENTO"</f>
        <v>TIPOS AGENDAMENTO</v>
      </c>
      <c r="F8813" s="2" t="str">
        <f>"TIP_MAR"</f>
        <v>TIP_MAR</v>
      </c>
      <c r="G8813" s="2" t="str">
        <f>"Atendimento / Ambulatório / Tabelas / Tipos de Plantão (TIP_MAR)"</f>
        <v>Atendimento / Ambulatório / Tabelas / Tipos de Plantão (TIP_MAR)</v>
      </c>
    </row>
    <row r="8814" spans="1:7" x14ac:dyDescent="0.3">
      <c r="A8814" s="1" t="s">
        <v>4</v>
      </c>
      <c r="B8814" s="2" t="str">
        <f t="shared" si="733"/>
        <v>SISTEMA DE GERENCIAMENTO AMBULATORIAL</v>
      </c>
      <c r="C8814" s="2" t="str">
        <f t="shared" si="734"/>
        <v>ATEND</v>
      </c>
      <c r="D8814" s="2" t="str">
        <f t="shared" si="735"/>
        <v>PARA</v>
      </c>
      <c r="E8814" s="2" t="str">
        <f>"TIPOS AGENDAMENTO"</f>
        <v>TIPOS AGENDAMENTO</v>
      </c>
      <c r="F8814" s="2" t="str">
        <f>"TIP_MAR"</f>
        <v>TIP_MAR</v>
      </c>
      <c r="G8814" s="2" t="str">
        <f>"Outros / Fusam / Tabelas / Tipos de Agendamento (TIP_MAR)"</f>
        <v>Outros / Fusam / Tabelas / Tipos de Agendamento (TIP_MAR)</v>
      </c>
    </row>
    <row r="8815" spans="1:7" x14ac:dyDescent="0.3">
      <c r="A8815" s="1" t="s">
        <v>4</v>
      </c>
      <c r="B8815" s="2" t="str">
        <f t="shared" si="733"/>
        <v>SISTEMA DE GERENCIAMENTO AMBULATORIAL</v>
      </c>
      <c r="C8815" s="2" t="str">
        <f t="shared" si="734"/>
        <v>ATEND</v>
      </c>
      <c r="D8815" s="2" t="str">
        <f t="shared" si="735"/>
        <v>PARA</v>
      </c>
      <c r="E8815" s="2" t="str">
        <f>"TIPOS DE RESULTADO"</f>
        <v>TIPOS DE RESULTADO</v>
      </c>
      <c r="F8815" s="2" t="str">
        <f>"M_TIPRES"</f>
        <v>M_TIPRES</v>
      </c>
      <c r="G8815" s="2" t="str">
        <f>"Atendimento / Ambulatório / Tabelas / Tipos de Resultado (M_TIPRES)"</f>
        <v>Atendimento / Ambulatório / Tabelas / Tipos de Resultado (M_TIPRES)</v>
      </c>
    </row>
    <row r="8816" spans="1:7" x14ac:dyDescent="0.3">
      <c r="A8816" s="1" t="s">
        <v>4</v>
      </c>
      <c r="B8816" s="2" t="str">
        <f t="shared" si="733"/>
        <v>SISTEMA DE GERENCIAMENTO AMBULATORIAL</v>
      </c>
      <c r="C8816" s="2" t="str">
        <f t="shared" si="734"/>
        <v>ATEND</v>
      </c>
      <c r="D8816" s="2" t="str">
        <f t="shared" si="735"/>
        <v>PARA</v>
      </c>
      <c r="E8816" s="2" t="str">
        <f>"TIPOS DE RESULTADO"</f>
        <v>TIPOS DE RESULTADO</v>
      </c>
      <c r="F8816" s="2" t="str">
        <f>"M_TIPRES"</f>
        <v>M_TIPRES</v>
      </c>
      <c r="G8816" s="2" t="str">
        <f>"Outros / Fusam / Tabelas / Tipos de Resultado (M_TIPRES)"</f>
        <v>Outros / Fusam / Tabelas / Tipos de Resultado (M_TIPRES)</v>
      </c>
    </row>
    <row r="8817" spans="1:7" x14ac:dyDescent="0.3">
      <c r="A8817" s="1" t="s">
        <v>4</v>
      </c>
      <c r="B8817" s="2" t="str">
        <f t="shared" si="733"/>
        <v>SISTEMA DE GERENCIAMENTO AMBULATORIAL</v>
      </c>
      <c r="C8817" s="2" t="str">
        <f t="shared" si="734"/>
        <v>ATEND</v>
      </c>
      <c r="D8817" s="2" t="str">
        <f t="shared" si="735"/>
        <v>PARA</v>
      </c>
      <c r="E8817" s="2" t="str">
        <f>"SERVIÇOS DISPONÍVEIS"</f>
        <v>SERVIÇOS DISPONÍVEIS</v>
      </c>
      <c r="F8817" s="2" t="str">
        <f>"SER_DIS"</f>
        <v>SER_DIS</v>
      </c>
      <c r="G8817" s="2" t="str">
        <f>"Atendimento / Ambulatório / Tabelas / Serviços Disponíveis (SER_DIS)"</f>
        <v>Atendimento / Ambulatório / Tabelas / Serviços Disponíveis (SER_DIS)</v>
      </c>
    </row>
    <row r="8818" spans="1:7" x14ac:dyDescent="0.3">
      <c r="A8818" s="1" t="s">
        <v>4</v>
      </c>
      <c r="B8818" s="2" t="str">
        <f t="shared" si="733"/>
        <v>SISTEMA DE GERENCIAMENTO AMBULATORIAL</v>
      </c>
      <c r="C8818" s="2" t="str">
        <f t="shared" si="734"/>
        <v>ATEND</v>
      </c>
      <c r="D8818" s="2" t="str">
        <f t="shared" si="735"/>
        <v>PARA</v>
      </c>
      <c r="E8818" s="2" t="str">
        <f>"LIBERAÇÃO DE AGENDAS"</f>
        <v>LIBERAÇÃO DE AGENDAS</v>
      </c>
      <c r="F8818" s="2" t="str">
        <f>"F_GERAPARA"</f>
        <v>F_GERAPARA</v>
      </c>
      <c r="G8818" s="2" t="str">
        <f>"Atendimento / Ambulatório / Agendamentos / Liberação de Agendas (F_GERAPARA)"</f>
        <v>Atendimento / Ambulatório / Agendamentos / Liberação de Agendas (F_GERAPARA)</v>
      </c>
    </row>
    <row r="8819" spans="1:7" x14ac:dyDescent="0.3">
      <c r="A8819" s="1" t="s">
        <v>4</v>
      </c>
      <c r="B8819" s="2" t="str">
        <f t="shared" si="733"/>
        <v>SISTEMA DE GERENCIAMENTO AMBULATORIAL</v>
      </c>
      <c r="C8819" s="2" t="str">
        <f t="shared" si="734"/>
        <v>ATEND</v>
      </c>
      <c r="D8819" s="2" t="str">
        <f t="shared" si="735"/>
        <v>PARA</v>
      </c>
      <c r="E8819" s="2" t="str">
        <f>"LIBERAÇÃO DE AGENDAS"</f>
        <v>LIBERAÇÃO DE AGENDAS</v>
      </c>
      <c r="F8819" s="2" t="str">
        <f>"F_GERAPARA"</f>
        <v>F_GERAPARA</v>
      </c>
      <c r="G8819" s="2" t="str">
        <f>"Outros / Fusam / Agendamentos / Liberação de Agendas (F_GERAPARA)"</f>
        <v>Outros / Fusam / Agendamentos / Liberação de Agendas (F_GERAPARA)</v>
      </c>
    </row>
    <row r="8820" spans="1:7" x14ac:dyDescent="0.3">
      <c r="A8820" s="1" t="s">
        <v>4</v>
      </c>
      <c r="B8820" s="2" t="str">
        <f t="shared" si="733"/>
        <v>SISTEMA DE GERENCIAMENTO AMBULATORIAL</v>
      </c>
      <c r="C8820" s="2" t="str">
        <f t="shared" si="734"/>
        <v>ATEND</v>
      </c>
      <c r="D8820" s="2" t="str">
        <f t="shared" si="735"/>
        <v>PARA</v>
      </c>
      <c r="E8820" s="2" t="str">
        <f>"CADASTRO DE AGENDAS"</f>
        <v>CADASTRO DE AGENDAS</v>
      </c>
      <c r="F8820" s="2" t="str">
        <f>"MARCACAO"</f>
        <v>MARCACAO</v>
      </c>
      <c r="G8820" s="2" t="str">
        <f>"Atendimento / Ambulatório / Agendamentos / Cadastro de Agendas (MARCACAO)"</f>
        <v>Atendimento / Ambulatório / Agendamentos / Cadastro de Agendas (MARCACAO)</v>
      </c>
    </row>
    <row r="8821" spans="1:7" x14ac:dyDescent="0.3">
      <c r="A8821" s="1" t="s">
        <v>4</v>
      </c>
      <c r="B8821" s="2" t="str">
        <f t="shared" si="733"/>
        <v>SISTEMA DE GERENCIAMENTO AMBULATORIAL</v>
      </c>
      <c r="C8821" s="2" t="str">
        <f t="shared" si="734"/>
        <v>ATEND</v>
      </c>
      <c r="D8821" s="2" t="str">
        <f t="shared" si="735"/>
        <v>PARA</v>
      </c>
      <c r="E8821" s="2" t="str">
        <f>"CADASTRO DE AGENDAS"</f>
        <v>CADASTRO DE AGENDAS</v>
      </c>
      <c r="F8821" s="2" t="str">
        <f>"MARCACAO"</f>
        <v>MARCACAO</v>
      </c>
      <c r="G8821" s="2" t="str">
        <f>"Outros / Fusam / Agendamentos / Cadastro de Agendas (MARCACAO)"</f>
        <v>Outros / Fusam / Agendamentos / Cadastro de Agendas (MARCACAO)</v>
      </c>
    </row>
    <row r="8822" spans="1:7" x14ac:dyDescent="0.3">
      <c r="A8822" s="1" t="s">
        <v>4</v>
      </c>
      <c r="B8822" s="2" t="str">
        <f t="shared" si="733"/>
        <v>SISTEMA DE GERENCIAMENTO AMBULATORIAL</v>
      </c>
      <c r="C8822" s="2" t="str">
        <f t="shared" si="734"/>
        <v>ATEND</v>
      </c>
      <c r="D8822" s="2" t="str">
        <f t="shared" si="735"/>
        <v>PARA</v>
      </c>
      <c r="E8822" s="2" t="str">
        <f>"AGENDAMENTO RÁPIDO"</f>
        <v>AGENDAMENTO RÁPIDO</v>
      </c>
      <c r="F8822" s="2" t="str">
        <f>"AGD_AUTO"</f>
        <v>AGD_AUTO</v>
      </c>
      <c r="G8822" s="2" t="str">
        <f>"Atendimento / Ambulatório / Agendamentos / Agendamento Rápido (AGD_AUTO)"</f>
        <v>Atendimento / Ambulatório / Agendamentos / Agendamento Rápido (AGD_AUTO)</v>
      </c>
    </row>
    <row r="8823" spans="1:7" x14ac:dyDescent="0.3">
      <c r="A8823" s="1" t="s">
        <v>4</v>
      </c>
      <c r="B8823" s="2" t="str">
        <f t="shared" si="733"/>
        <v>SISTEMA DE GERENCIAMENTO AMBULATORIAL</v>
      </c>
      <c r="C8823" s="2" t="str">
        <f t="shared" si="734"/>
        <v>ATEND</v>
      </c>
      <c r="D8823" s="2" t="str">
        <f t="shared" si="735"/>
        <v>PARA</v>
      </c>
      <c r="E8823" s="2" t="str">
        <f>"CONSULTA AGENDAMENTOS / USUARIO"</f>
        <v>CONSULTA AGENDAMENTOS / USUARIO</v>
      </c>
      <c r="F8823" s="2" t="str">
        <f>"CONSCADAGD"</f>
        <v>CONSCADAGD</v>
      </c>
      <c r="G8823" s="2" t="str">
        <f>"Atendimento / Ambulatório / Consultas / Agendamentos / Usuário (CONSCADAGD)"</f>
        <v>Atendimento / Ambulatório / Consultas / Agendamentos / Usuário (CONSCADAGD)</v>
      </c>
    </row>
    <row r="8824" spans="1:7" x14ac:dyDescent="0.3">
      <c r="A8824" s="1" t="s">
        <v>4</v>
      </c>
      <c r="B8824" s="2" t="str">
        <f t="shared" si="733"/>
        <v>SISTEMA DE GERENCIAMENTO AMBULATORIAL</v>
      </c>
      <c r="C8824" s="2" t="str">
        <f t="shared" si="734"/>
        <v>ATEND</v>
      </c>
      <c r="D8824" s="2" t="str">
        <f t="shared" si="735"/>
        <v>PARA</v>
      </c>
      <c r="E8824" s="2" t="str">
        <f>"CONSULTA AGENDAMENTOS / USUARIO"</f>
        <v>CONSULTA AGENDAMENTOS / USUARIO</v>
      </c>
      <c r="F8824" s="2" t="str">
        <f>"CONSCADAGD"</f>
        <v>CONSCADAGD</v>
      </c>
      <c r="G8824" s="2" t="str">
        <f>"Outros / Fusam / Consultas / Agendamentos / Usuário (CONSCADAGD)"</f>
        <v>Outros / Fusam / Consultas / Agendamentos / Usuário (CONSCADAGD)</v>
      </c>
    </row>
    <row r="8825" spans="1:7" x14ac:dyDescent="0.3">
      <c r="A8825" s="1" t="s">
        <v>4</v>
      </c>
      <c r="B8825" s="2" t="str">
        <f t="shared" si="733"/>
        <v>SISTEMA DE GERENCIAMENTO AMBULATORIAL</v>
      </c>
      <c r="C8825" s="2" t="str">
        <f t="shared" si="734"/>
        <v>ATEND</v>
      </c>
      <c r="D8825" s="2" t="str">
        <f t="shared" si="735"/>
        <v>PARA</v>
      </c>
      <c r="E8825" s="2" t="str">
        <f>"CONSULTA DE LANÇAMENTOS DE PROCEDIMENTOS"</f>
        <v>CONSULTA DE LANÇAMENTOS DE PROCEDIMENTOS</v>
      </c>
      <c r="F8825" s="2" t="str">
        <f>"L_CONS_ITEM"</f>
        <v>L_CONS_ITEM</v>
      </c>
      <c r="G8825" s="2" t="str">
        <f>"Atendimento / Ambulatório / Consultas / Lançamentos dos Procedimentos (L_CONS_ITEM)"</f>
        <v>Atendimento / Ambulatório / Consultas / Lançamentos dos Procedimentos (L_CONS_ITEM)</v>
      </c>
    </row>
    <row r="8826" spans="1:7" x14ac:dyDescent="0.3">
      <c r="A8826" s="1" t="s">
        <v>4</v>
      </c>
      <c r="B8826" s="2" t="str">
        <f t="shared" si="733"/>
        <v>SISTEMA DE GERENCIAMENTO AMBULATORIAL</v>
      </c>
      <c r="C8826" s="2" t="str">
        <f t="shared" si="734"/>
        <v>ATEND</v>
      </c>
      <c r="D8826" s="2" t="str">
        <f t="shared" si="735"/>
        <v>PARA</v>
      </c>
      <c r="E8826" s="2" t="str">
        <f>"CONSULTA DE LANÇAMENTOS DE PROCEDIMENTOS"</f>
        <v>CONSULTA DE LANÇAMENTOS DE PROCEDIMENTOS</v>
      </c>
      <c r="F8826" s="2" t="str">
        <f>"L_CONS_ITEM"</f>
        <v>L_CONS_ITEM</v>
      </c>
      <c r="G8826" s="2" t="str">
        <f>"Outros / Fusam / Consultas / Lançamentos dos Procedimentos (L_CONS_ITEM)"</f>
        <v>Outros / Fusam / Consultas / Lançamentos dos Procedimentos (L_CONS_ITEM)</v>
      </c>
    </row>
    <row r="8827" spans="1:7" x14ac:dyDescent="0.3">
      <c r="A8827" s="1" t="s">
        <v>4</v>
      </c>
      <c r="B8827" s="2" t="str">
        <f t="shared" si="733"/>
        <v>SISTEMA DE GERENCIAMENTO AMBULATORIAL</v>
      </c>
      <c r="C8827" s="2" t="str">
        <f t="shared" si="734"/>
        <v>ATEND</v>
      </c>
      <c r="D8827" s="2" t="str">
        <f t="shared" si="735"/>
        <v>PARA</v>
      </c>
      <c r="E8827" s="2" t="str">
        <f>"AGENDAMENTO DE PACIENTES"</f>
        <v>AGENDAMENTO DE PACIENTES</v>
      </c>
      <c r="F8827" s="2" t="str">
        <f>"CADAGD"</f>
        <v>CADAGD</v>
      </c>
      <c r="G8827" s="2" t="str">
        <f>"Atendimento / Ambulatório / Agendamentos / Agendamento (CADAGD)"</f>
        <v>Atendimento / Ambulatório / Agendamentos / Agendamento (CADAGD)</v>
      </c>
    </row>
    <row r="8828" spans="1:7" x14ac:dyDescent="0.3">
      <c r="A8828" s="1" t="s">
        <v>4</v>
      </c>
      <c r="B8828" s="2" t="str">
        <f t="shared" si="733"/>
        <v>SISTEMA DE GERENCIAMENTO AMBULATORIAL</v>
      </c>
      <c r="C8828" s="2" t="str">
        <f t="shared" si="734"/>
        <v>ATEND</v>
      </c>
      <c r="D8828" s="2" t="str">
        <f t="shared" si="735"/>
        <v>PARA</v>
      </c>
      <c r="E8828" s="2" t="str">
        <f>"CONSULTA: ESCALAS POR SERVIÇO"</f>
        <v>CONSULTA: ESCALAS POR SERVIÇO</v>
      </c>
      <c r="F8828" s="2" t="str">
        <f>"CON_AGENDA_SERV"</f>
        <v>CON_AGENDA_SERV</v>
      </c>
      <c r="G8828" s="2" t="str">
        <f>"Atendimento / Ambulatório / Consultas / Agendas por Serviço (CON_AGENDA_SERV)"</f>
        <v>Atendimento / Ambulatório / Consultas / Agendas por Serviço (CON_AGENDA_SERV)</v>
      </c>
    </row>
    <row r="8829" spans="1:7" x14ac:dyDescent="0.3">
      <c r="A8829" s="1" t="s">
        <v>4</v>
      </c>
      <c r="B8829" s="2" t="str">
        <f t="shared" si="733"/>
        <v>SISTEMA DE GERENCIAMENTO AMBULATORIAL</v>
      </c>
      <c r="C8829" s="2" t="str">
        <f t="shared" si="734"/>
        <v>ATEND</v>
      </c>
      <c r="D8829" s="2" t="str">
        <f t="shared" si="735"/>
        <v>PARA</v>
      </c>
      <c r="E8829" s="2" t="str">
        <f>"RELATÓRIO DE FOLHA DE PAGAMENTO"</f>
        <v>RELATÓRIO DE FOLHA DE PAGAMENTO</v>
      </c>
      <c r="F8829" s="2" t="str">
        <f>"R_FOLHA_PAGAMENTO_745"</f>
        <v>R_FOLHA_PAGAMENTO_745</v>
      </c>
      <c r="G8829" s="2" t="str">
        <f>" ()"</f>
        <v xml:space="preserve"> ()</v>
      </c>
    </row>
    <row r="8830" spans="1:7" x14ac:dyDescent="0.3">
      <c r="A8830" s="1" t="s">
        <v>4</v>
      </c>
      <c r="B8830" s="2" t="str">
        <f t="shared" si="733"/>
        <v>SISTEMA DE GERENCIAMENTO AMBULATORIAL</v>
      </c>
      <c r="C8830" s="2" t="str">
        <f t="shared" si="734"/>
        <v>ATEND</v>
      </c>
      <c r="D8830" s="2" t="str">
        <f t="shared" si="735"/>
        <v>PARA</v>
      </c>
      <c r="E8830" s="2" t="str">
        <f>"R_EST_ATEND_ORIGEM"</f>
        <v>R_EST_ATEND_ORIGEM</v>
      </c>
      <c r="F8830" s="2" t="str">
        <f>"R_EST_ATEND_ORIGEM"</f>
        <v>R_EST_ATEND_ORIGEM</v>
      </c>
      <c r="G8830" s="2" t="str">
        <f>" ()"</f>
        <v xml:space="preserve"> ()</v>
      </c>
    </row>
    <row r="8831" spans="1:7" x14ac:dyDescent="0.3">
      <c r="A8831" s="1" t="s">
        <v>4</v>
      </c>
      <c r="B8831" s="2" t="str">
        <f t="shared" si="733"/>
        <v>SISTEMA DE GERENCIAMENTO AMBULATORIAL</v>
      </c>
      <c r="C8831" s="2" t="str">
        <f t="shared" si="734"/>
        <v>ATEND</v>
      </c>
      <c r="D8831" s="2" t="str">
        <f t="shared" si="735"/>
        <v>PARA</v>
      </c>
      <c r="E8831" s="2" t="str">
        <f>"WIN_PRINCIPAL - HOSPITAL MV SISTEMAS"</f>
        <v>WIN_PRINCIPAL - HOSPITAL MV SISTEMAS</v>
      </c>
      <c r="F8831" s="2" t="str">
        <f>"O_CONF_CONS_722"</f>
        <v>O_CONF_CONS_722</v>
      </c>
      <c r="G8831" s="2" t="str">
        <f>" ()"</f>
        <v xml:space="preserve"> ()</v>
      </c>
    </row>
    <row r="8832" spans="1:7" x14ac:dyDescent="0.3">
      <c r="A8832" s="1" t="s">
        <v>4</v>
      </c>
      <c r="B8832" s="2" t="str">
        <f t="shared" si="733"/>
        <v>SISTEMA DE GERENCIAMENTO AMBULATORIAL</v>
      </c>
      <c r="C8832" s="2" t="str">
        <f t="shared" si="734"/>
        <v>ATEND</v>
      </c>
      <c r="D8832" s="2" t="str">
        <f t="shared" si="735"/>
        <v>PARA</v>
      </c>
      <c r="E8832" s="2" t="str">
        <f>"COTAS DE CONSULTAS"</f>
        <v>COTAS DE CONSULTAS</v>
      </c>
      <c r="F8832" s="2" t="str">
        <f>"M_COTA_CONSULTA_722"</f>
        <v>M_COTA_CONSULTA_722</v>
      </c>
      <c r="G8832" s="2" t="str">
        <f>" ()"</f>
        <v xml:space="preserve"> ()</v>
      </c>
    </row>
    <row r="8833" spans="1:7" x14ac:dyDescent="0.3">
      <c r="A8833" s="1" t="s">
        <v>4</v>
      </c>
      <c r="B8833" s="2" t="str">
        <f t="shared" ref="B8833:B8896" si="739">"SISTEMA DE GERENCIAMENTO AMBULATORIAL"</f>
        <v>SISTEMA DE GERENCIAMENTO AMBULATORIAL</v>
      </c>
      <c r="C8833" s="2" t="str">
        <f t="shared" ref="C8833:C8896" si="740">"ATEND"</f>
        <v>ATEND</v>
      </c>
      <c r="D8833" s="2" t="str">
        <f t="shared" ref="D8833:D8896" si="741">"PARA"</f>
        <v>PARA</v>
      </c>
      <c r="E8833" s="2" t="str">
        <f>"COPIAR DEFINIÇÃO DE COTAS DE CONSULTAS"</f>
        <v>COPIAR DEFINIÇÃO DE COTAS DE CONSULTAS</v>
      </c>
      <c r="F8833" s="2" t="str">
        <f>"DUP_COTA_CONSULTA_722"</f>
        <v>DUP_COTA_CONSULTA_722</v>
      </c>
      <c r="G8833" s="2" t="str">
        <f>" ()"</f>
        <v xml:space="preserve"> ()</v>
      </c>
    </row>
    <row r="8834" spans="1:7" x14ac:dyDescent="0.3">
      <c r="A8834" s="1" t="s">
        <v>4</v>
      </c>
      <c r="B8834" s="2" t="str">
        <f t="shared" si="739"/>
        <v>SISTEMA DE GERENCIAMENTO AMBULATORIAL</v>
      </c>
      <c r="C8834" s="2" t="str">
        <f t="shared" si="740"/>
        <v>ATEND</v>
      </c>
      <c r="D8834" s="2" t="str">
        <f t="shared" si="741"/>
        <v>PARA</v>
      </c>
      <c r="E8834" s="2" t="str">
        <f>"RELATÓRIO DE TEMPO DE ESPERA"</f>
        <v>RELATÓRIO DE TEMPO DE ESPERA</v>
      </c>
      <c r="F8834" s="2" t="str">
        <f>"R_TEMPO_ESPERA"</f>
        <v>R_TEMPO_ESPERA</v>
      </c>
      <c r="G8834" s="2" t="str">
        <f>"Atendimento / Ambulatório / Relatórios / Administrativos / Relatório de Tempo de Espera (R_TEMPO_ESPERA)"</f>
        <v>Atendimento / Ambulatório / Relatórios / Administrativos / Relatório de Tempo de Espera (R_TEMPO_ESPERA)</v>
      </c>
    </row>
    <row r="8835" spans="1:7" x14ac:dyDescent="0.3">
      <c r="A8835" s="1" t="s">
        <v>4</v>
      </c>
      <c r="B8835" s="2" t="str">
        <f t="shared" si="739"/>
        <v>SISTEMA DE GERENCIAMENTO AMBULATORIAL</v>
      </c>
      <c r="C8835" s="2" t="str">
        <f t="shared" si="740"/>
        <v>ATEND</v>
      </c>
      <c r="D8835" s="2" t="str">
        <f t="shared" si="741"/>
        <v>PARA</v>
      </c>
      <c r="E8835" s="2" t="str">
        <f>"TIPO DE ATENDIMENTO X CIRURGIA REALIZADA"</f>
        <v>TIPO DE ATENDIMENTO X CIRURGIA REALIZADA</v>
      </c>
      <c r="F8835" s="2" t="str">
        <f>"R_EST_TIP_MAR_CIRURGIA_967"</f>
        <v>R_EST_TIP_MAR_CIRURGIA_967</v>
      </c>
      <c r="G8835" s="2" t="str">
        <f>" ()"</f>
        <v xml:space="preserve"> ()</v>
      </c>
    </row>
    <row r="8836" spans="1:7" x14ac:dyDescent="0.3">
      <c r="A8836" s="1" t="s">
        <v>4</v>
      </c>
      <c r="B8836" s="2" t="str">
        <f t="shared" si="739"/>
        <v>SISTEMA DE GERENCIAMENTO AMBULATORIAL</v>
      </c>
      <c r="C8836" s="2" t="str">
        <f t="shared" si="740"/>
        <v>ATEND</v>
      </c>
      <c r="D8836" s="2" t="str">
        <f t="shared" si="741"/>
        <v>PARA</v>
      </c>
      <c r="E8836" s="2" t="str">
        <f>"R_AGENDA_SESSOES_PERIODO"</f>
        <v>R_AGENDA_SESSOES_PERIODO</v>
      </c>
      <c r="F8836" s="2" t="str">
        <f>"R_AGENDA_SESSOES_PERIODO"</f>
        <v>R_AGENDA_SESSOES_PERIODO</v>
      </c>
      <c r="G8836" s="2" t="str">
        <f>"Atendimento / Ambulatório / Relatórios / Agendamentos / Agenda de Sessões por Período (R_AGENDA_SESSOES_PERIODO)"</f>
        <v>Atendimento / Ambulatório / Relatórios / Agendamentos / Agenda de Sessões por Período (R_AGENDA_SESSOES_PERIODO)</v>
      </c>
    </row>
    <row r="8837" spans="1:7" x14ac:dyDescent="0.3">
      <c r="A8837" s="1" t="s">
        <v>4</v>
      </c>
      <c r="B8837" s="2" t="str">
        <f t="shared" si="739"/>
        <v>SISTEMA DE GERENCIAMENTO AMBULATORIAL</v>
      </c>
      <c r="C8837" s="2" t="str">
        <f t="shared" si="740"/>
        <v>ATEND</v>
      </c>
      <c r="D8837" s="2" t="str">
        <f t="shared" si="741"/>
        <v>PARA</v>
      </c>
      <c r="E8837" s="2" t="str">
        <f t="shared" ref="E8837:F8840" si="742">"M_ACOMP_PAC_EXT"</f>
        <v>M_ACOMP_PAC_EXT</v>
      </c>
      <c r="F8837" s="2" t="str">
        <f t="shared" si="742"/>
        <v>M_ACOMP_PAC_EXT</v>
      </c>
      <c r="G8837" s="2" t="str">
        <f>"MVSaude / Atendimento / Autorizações de Guias / Internação / Atendimento / Registros / Acompanhamento de Pacientes Externos (M_ACOMP_PAC_EXT)"</f>
        <v>MVSaude / Atendimento / Autorizações de Guias / Internação / Atendimento / Registros / Acompanhamento de Pacientes Externos (M_ACOMP_PAC_EXT)</v>
      </c>
    </row>
    <row r="8838" spans="1:7" x14ac:dyDescent="0.3">
      <c r="A8838" s="1" t="s">
        <v>4</v>
      </c>
      <c r="B8838" s="2" t="str">
        <f t="shared" si="739"/>
        <v>SISTEMA DE GERENCIAMENTO AMBULATORIAL</v>
      </c>
      <c r="C8838" s="2" t="str">
        <f t="shared" si="740"/>
        <v>ATEND</v>
      </c>
      <c r="D8838" s="2" t="str">
        <f t="shared" si="741"/>
        <v>PARA</v>
      </c>
      <c r="E8838" s="2" t="str">
        <f t="shared" si="742"/>
        <v>M_ACOMP_PAC_EXT</v>
      </c>
      <c r="F8838" s="2" t="str">
        <f t="shared" si="742"/>
        <v>M_ACOMP_PAC_EXT</v>
      </c>
      <c r="G8838" s="2" t="str">
        <f>"Atendimento / Ambulatório / Atendimentos / Acompanhamento de Pacientes Externos (M_ACOMP_PAC_EXT)"</f>
        <v>Atendimento / Ambulatório / Atendimentos / Acompanhamento de Pacientes Externos (M_ACOMP_PAC_EXT)</v>
      </c>
    </row>
    <row r="8839" spans="1:7" x14ac:dyDescent="0.3">
      <c r="A8839" s="1" t="s">
        <v>4</v>
      </c>
      <c r="B8839" s="2" t="str">
        <f t="shared" si="739"/>
        <v>SISTEMA DE GERENCIAMENTO AMBULATORIAL</v>
      </c>
      <c r="C8839" s="2" t="str">
        <f t="shared" si="740"/>
        <v>ATEND</v>
      </c>
      <c r="D8839" s="2" t="str">
        <f t="shared" si="741"/>
        <v>PARA</v>
      </c>
      <c r="E8839" s="2" t="str">
        <f t="shared" si="742"/>
        <v>M_ACOMP_PAC_EXT</v>
      </c>
      <c r="F8839" s="2" t="str">
        <f t="shared" si="742"/>
        <v>M_ACOMP_PAC_EXT</v>
      </c>
      <c r="G8839" s="2" t="str">
        <f>"Atendimento / Internação / Atendimento / Registros / Acompanhamento de Pacientes Externos (M_ACOMP_PAC_EXT)"</f>
        <v>Atendimento / Internação / Atendimento / Registros / Acompanhamento de Pacientes Externos (M_ACOMP_PAC_EXT)</v>
      </c>
    </row>
    <row r="8840" spans="1:7" x14ac:dyDescent="0.3">
      <c r="A8840" s="1" t="s">
        <v>4</v>
      </c>
      <c r="B8840" s="2" t="str">
        <f t="shared" si="739"/>
        <v>SISTEMA DE GERENCIAMENTO AMBULATORIAL</v>
      </c>
      <c r="C8840" s="2" t="str">
        <f t="shared" si="740"/>
        <v>ATEND</v>
      </c>
      <c r="D8840" s="2" t="str">
        <f t="shared" si="741"/>
        <v>PARA</v>
      </c>
      <c r="E8840" s="2" t="str">
        <f t="shared" si="742"/>
        <v>M_ACOMP_PAC_EXT</v>
      </c>
      <c r="F8840" s="2" t="str">
        <f t="shared" si="742"/>
        <v>M_ACOMP_PAC_EXT</v>
      </c>
      <c r="G8840" s="2" t="str">
        <f>"MVSaude / Vendas / Internação / Atendimento / Registros / Acompanhamento de Pacientes Externos (M_ACOMP_PAC_EXT)"</f>
        <v>MVSaude / Vendas / Internação / Atendimento / Registros / Acompanhamento de Pacientes Externos (M_ACOMP_PAC_EXT)</v>
      </c>
    </row>
    <row r="8841" spans="1:7" x14ac:dyDescent="0.3">
      <c r="A8841" s="1" t="s">
        <v>4</v>
      </c>
      <c r="B8841" s="2" t="str">
        <f t="shared" si="739"/>
        <v>SISTEMA DE GERENCIAMENTO AMBULATORIAL</v>
      </c>
      <c r="C8841" s="2" t="str">
        <f t="shared" si="740"/>
        <v>ATEND</v>
      </c>
      <c r="D8841" s="2" t="str">
        <f t="shared" si="741"/>
        <v>PARA</v>
      </c>
      <c r="E8841" s="2" t="str">
        <f>"RELATÓRIOS DE VACINAS"</f>
        <v>RELATÓRIOS DE VACINAS</v>
      </c>
      <c r="F8841" s="2" t="str">
        <f>"R_VACINAS"</f>
        <v>R_VACINAS</v>
      </c>
      <c r="G8841" s="2" t="str">
        <f>"Atendimento / Ambulatório / Relatórios / Tabelas / Vacinas (R_VACINAS)"</f>
        <v>Atendimento / Ambulatório / Relatórios / Tabelas / Vacinas (R_VACINAS)</v>
      </c>
    </row>
    <row r="8842" spans="1:7" x14ac:dyDescent="0.3">
      <c r="A8842" s="1" t="s">
        <v>4</v>
      </c>
      <c r="B8842" s="2" t="str">
        <f t="shared" si="739"/>
        <v>SISTEMA DE GERENCIAMENTO AMBULATORIAL</v>
      </c>
      <c r="C8842" s="2" t="str">
        <f t="shared" si="740"/>
        <v>ATEND</v>
      </c>
      <c r="D8842" s="2" t="str">
        <f t="shared" si="741"/>
        <v>PARA</v>
      </c>
      <c r="E8842" s="2" t="str">
        <f>"AGENDAMENTO DE CONSULTAS"</f>
        <v>AGENDAMENTO DE CONSULTAS</v>
      </c>
      <c r="F8842" s="2" t="str">
        <f>"M_TRANSFERE_PACIENTES"</f>
        <v>M_TRANSFERE_PACIENTES</v>
      </c>
      <c r="G8842" s="2" t="str">
        <f>"Atendimento / Ambulatório / Atendimentos / Transferência de Pacientes (M_TRANSFERE_PACIENTES)"</f>
        <v>Atendimento / Ambulatório / Atendimentos / Transferência de Pacientes (M_TRANSFERE_PACIENTES)</v>
      </c>
    </row>
    <row r="8843" spans="1:7" x14ac:dyDescent="0.3">
      <c r="A8843" s="1" t="s">
        <v>4</v>
      </c>
      <c r="B8843" s="2" t="str">
        <f t="shared" si="739"/>
        <v>SISTEMA DE GERENCIAMENTO AMBULATORIAL</v>
      </c>
      <c r="C8843" s="2" t="str">
        <f t="shared" si="740"/>
        <v>ATEND</v>
      </c>
      <c r="D8843" s="2" t="str">
        <f t="shared" si="741"/>
        <v>PARA</v>
      </c>
      <c r="E8843" s="2" t="str">
        <f>"EXPORTA ARQUIVO HSCG X MV"</f>
        <v>EXPORTA ARQUIVO HSCG X MV</v>
      </c>
      <c r="F8843" s="2" t="str">
        <f>"M_EXPORTA_1302"</f>
        <v>M_EXPORTA_1302</v>
      </c>
      <c r="G8843" s="2" t="str">
        <f>" ()"</f>
        <v xml:space="preserve"> ()</v>
      </c>
    </row>
    <row r="8844" spans="1:7" x14ac:dyDescent="0.3">
      <c r="A8844" s="1" t="s">
        <v>4</v>
      </c>
      <c r="B8844" s="2" t="str">
        <f t="shared" si="739"/>
        <v>SISTEMA DE GERENCIAMENTO AMBULATORIAL</v>
      </c>
      <c r="C8844" s="2" t="str">
        <f t="shared" si="740"/>
        <v>ATEND</v>
      </c>
      <c r="D8844" s="2" t="str">
        <f t="shared" si="741"/>
        <v>PARA</v>
      </c>
      <c r="E8844" s="2" t="str">
        <f>"ESPECIALID. HSCG X MV"</f>
        <v>ESPECIALID. HSCG X MV</v>
      </c>
      <c r="F8844" s="2" t="str">
        <f>"M_SER_DIS_1302"</f>
        <v>M_SER_DIS_1302</v>
      </c>
      <c r="G8844" s="2" t="str">
        <f>" ()"</f>
        <v xml:space="preserve"> ()</v>
      </c>
    </row>
    <row r="8845" spans="1:7" x14ac:dyDescent="0.3">
      <c r="A8845" s="1" t="s">
        <v>4</v>
      </c>
      <c r="B8845" s="2" t="str">
        <f t="shared" si="739"/>
        <v>SISTEMA DE GERENCIAMENTO AMBULATORIAL</v>
      </c>
      <c r="C8845" s="2" t="str">
        <f t="shared" si="740"/>
        <v>ATEND</v>
      </c>
      <c r="D8845" s="2" t="str">
        <f t="shared" si="741"/>
        <v>PARA</v>
      </c>
      <c r="E8845" s="2" t="str">
        <f>"RELATÓRIO DE RESUMO DE ATENDIMENTOS"</f>
        <v>RELATÓRIO DE RESUMO DE ATENDIMENTOS</v>
      </c>
      <c r="F8845" s="2" t="str">
        <f>"R_RESUMO_ATENDIMENTOS"</f>
        <v>R_RESUMO_ATENDIMENTOS</v>
      </c>
      <c r="G8845" s="2" t="str">
        <f>"Atendimento / Ambulatório / Relatórios / Estatísticos / Resumo de Atendimentos (R_RESUMO_ATENDIMENTOS)"</f>
        <v>Atendimento / Ambulatório / Relatórios / Estatísticos / Resumo de Atendimentos (R_RESUMO_ATENDIMENTOS)</v>
      </c>
    </row>
    <row r="8846" spans="1:7" x14ac:dyDescent="0.3">
      <c r="A8846" s="1" t="s">
        <v>4</v>
      </c>
      <c r="B8846" s="2" t="str">
        <f t="shared" si="739"/>
        <v>SISTEMA DE GERENCIAMENTO AMBULATORIAL</v>
      </c>
      <c r="C8846" s="2" t="str">
        <f t="shared" si="740"/>
        <v>ATEND</v>
      </c>
      <c r="D8846" s="2" t="str">
        <f t="shared" si="741"/>
        <v>PARA</v>
      </c>
      <c r="E8846" s="2" t="str">
        <f>"AUTORIZAÇÃO DE ACESSO A PRESTADOR"</f>
        <v>AUTORIZAÇÃO DE ACESSO A PRESTADOR</v>
      </c>
      <c r="F8846" s="2" t="str">
        <f>"M_PREST_LIBERA_CONFIDENCIAL"</f>
        <v>M_PREST_LIBERA_CONFIDENCIAL</v>
      </c>
      <c r="G8846" s="2" t="str">
        <f>"Atendimento / Ambulatório / Tabelas / Autorização de Acesso a Prestador (M_PREST_LIBERA_CONFIDENCIAL)"</f>
        <v>Atendimento / Ambulatório / Tabelas / Autorização de Acesso a Prestador (M_PREST_LIBERA_CONFIDENCIAL)</v>
      </c>
    </row>
    <row r="8847" spans="1:7" x14ac:dyDescent="0.3">
      <c r="A8847" s="1" t="s">
        <v>4</v>
      </c>
      <c r="B8847" s="2" t="str">
        <f t="shared" si="739"/>
        <v>SISTEMA DE GERENCIAMENTO AMBULATORIAL</v>
      </c>
      <c r="C8847" s="2" t="str">
        <f t="shared" si="740"/>
        <v>ATEND</v>
      </c>
      <c r="D8847" s="2" t="str">
        <f t="shared" si="741"/>
        <v>PARA</v>
      </c>
      <c r="E8847" s="2" t="str">
        <f>"AUTORIZAÇÃO DE ACESSO A PRESTADOR"</f>
        <v>AUTORIZAÇÃO DE ACESSO A PRESTADOR</v>
      </c>
      <c r="F8847" s="2" t="str">
        <f>"M_PREST_LIBERA_CONFIDENCIAL"</f>
        <v>M_PREST_LIBERA_CONFIDENCIAL</v>
      </c>
      <c r="G8847" s="2" t="str">
        <f>"Serviços de Apoio / Diretoria Clinica / Tabelas / Autorização de acesso a prestador (M_PREST_LIBERA_CONFIDENCIAL)"</f>
        <v>Serviços de Apoio / Diretoria Clinica / Tabelas / Autorização de acesso a prestador (M_PREST_LIBERA_CONFIDENCIAL)</v>
      </c>
    </row>
    <row r="8848" spans="1:7" x14ac:dyDescent="0.3">
      <c r="A8848" s="1" t="s">
        <v>4</v>
      </c>
      <c r="B8848" s="2" t="str">
        <f t="shared" si="739"/>
        <v>SISTEMA DE GERENCIAMENTO AMBULATORIAL</v>
      </c>
      <c r="C8848" s="2" t="str">
        <f t="shared" si="740"/>
        <v>ATEND</v>
      </c>
      <c r="D8848" s="2" t="str">
        <f t="shared" si="741"/>
        <v>PARA</v>
      </c>
      <c r="E8848" s="2" t="str">
        <f>"ESPECIALIDADES X PACIENTES (SUS)"</f>
        <v>ESPECIALIDADES X PACIENTES (SUS)</v>
      </c>
      <c r="F8848" s="2" t="str">
        <f>"M_PAC_ESPEC"</f>
        <v>M_PAC_ESPEC</v>
      </c>
      <c r="G8848" s="2" t="str">
        <f>"MVSaude / Vendas / Internação / Tabelas / Especialidades x Pacientes (SUS) (M_PAC_ESPEC)"</f>
        <v>MVSaude / Vendas / Internação / Tabelas / Especialidades x Pacientes (SUS) (M_PAC_ESPEC)</v>
      </c>
    </row>
    <row r="8849" spans="1:7" x14ac:dyDescent="0.3">
      <c r="A8849" s="1" t="s">
        <v>4</v>
      </c>
      <c r="B8849" s="2" t="str">
        <f t="shared" si="739"/>
        <v>SISTEMA DE GERENCIAMENTO AMBULATORIAL</v>
      </c>
      <c r="C8849" s="2" t="str">
        <f t="shared" si="740"/>
        <v>ATEND</v>
      </c>
      <c r="D8849" s="2" t="str">
        <f t="shared" si="741"/>
        <v>PARA</v>
      </c>
      <c r="E8849" s="2" t="str">
        <f>"ESPECIALIDADES X PACIENTES (SUS)"</f>
        <v>ESPECIALIDADES X PACIENTES (SUS)</v>
      </c>
      <c r="F8849" s="2" t="str">
        <f>"M_PAC_ESPEC"</f>
        <v>M_PAC_ESPEC</v>
      </c>
      <c r="G8849" s="2" t="str">
        <f>"MVSaude / Atendimento / Autorizações de Guias / Internação / Tabelas / Especialidades x Pacientes (SUS) (M_PAC_ESPEC)"</f>
        <v>MVSaude / Atendimento / Autorizações de Guias / Internação / Tabelas / Especialidades x Pacientes (SUS) (M_PAC_ESPEC)</v>
      </c>
    </row>
    <row r="8850" spans="1:7" x14ac:dyDescent="0.3">
      <c r="A8850" s="1" t="s">
        <v>4</v>
      </c>
      <c r="B8850" s="2" t="str">
        <f t="shared" si="739"/>
        <v>SISTEMA DE GERENCIAMENTO AMBULATORIAL</v>
      </c>
      <c r="C8850" s="2" t="str">
        <f t="shared" si="740"/>
        <v>ATEND</v>
      </c>
      <c r="D8850" s="2" t="str">
        <f t="shared" si="741"/>
        <v>PARA</v>
      </c>
      <c r="E8850" s="2" t="str">
        <f>"ESPECIALIDADES X PACIENTES (SUS)"</f>
        <v>ESPECIALIDADES X PACIENTES (SUS)</v>
      </c>
      <c r="F8850" s="2" t="str">
        <f>"M_PAC_ESPEC"</f>
        <v>M_PAC_ESPEC</v>
      </c>
      <c r="G8850" s="2" t="str">
        <f>"Atendimento / Internação / Tabelas / Especialidades X Pacientes SUS (M_PAC_ESPEC)"</f>
        <v>Atendimento / Internação / Tabelas / Especialidades X Pacientes SUS (M_PAC_ESPEC)</v>
      </c>
    </row>
    <row r="8851" spans="1:7" x14ac:dyDescent="0.3">
      <c r="A8851" s="1" t="s">
        <v>4</v>
      </c>
      <c r="B8851" s="2" t="str">
        <f t="shared" si="739"/>
        <v>SISTEMA DE GERENCIAMENTO AMBULATORIAL</v>
      </c>
      <c r="C8851" s="2" t="str">
        <f t="shared" si="740"/>
        <v>ATEND</v>
      </c>
      <c r="D8851" s="2" t="str">
        <f t="shared" si="741"/>
        <v>PARA</v>
      </c>
      <c r="E8851" s="2" t="str">
        <f>"CONSULTÓRIO"</f>
        <v>CONSULTÓRIO</v>
      </c>
      <c r="F8851" s="2" t="str">
        <f>"M_ATENDE_CONSULTORIO"</f>
        <v>M_ATENDE_CONSULTORIO</v>
      </c>
      <c r="G8851" s="2" t="str">
        <f>" ()"</f>
        <v xml:space="preserve"> ()</v>
      </c>
    </row>
    <row r="8852" spans="1:7" x14ac:dyDescent="0.3">
      <c r="A8852" s="1" t="s">
        <v>4</v>
      </c>
      <c r="B8852" s="2" t="str">
        <f t="shared" si="739"/>
        <v>SISTEMA DE GERENCIAMENTO AMBULATORIAL</v>
      </c>
      <c r="C8852" s="2" t="str">
        <f t="shared" si="740"/>
        <v>ATEND</v>
      </c>
      <c r="D8852" s="2" t="str">
        <f t="shared" si="741"/>
        <v>PARA</v>
      </c>
      <c r="E8852" s="2" t="str">
        <f>"ESTATÍSTICA DE ATENDIMENTOS POR BAIRRO"</f>
        <v>ESTATÍSTICA DE ATENDIMENTOS POR BAIRRO</v>
      </c>
      <c r="F8852" s="2" t="str">
        <f>"R_ANA_DES_MED_44"</f>
        <v>R_ANA_DES_MED_44</v>
      </c>
      <c r="G8852" s="2" t="str">
        <f>" ()"</f>
        <v xml:space="preserve"> ()</v>
      </c>
    </row>
    <row r="8853" spans="1:7" x14ac:dyDescent="0.3">
      <c r="A8853" s="1" t="s">
        <v>4</v>
      </c>
      <c r="B8853" s="2" t="str">
        <f t="shared" si="739"/>
        <v>SISTEMA DE GERENCIAMENTO AMBULATORIAL</v>
      </c>
      <c r="C8853" s="2" t="str">
        <f t="shared" si="740"/>
        <v>ATEND</v>
      </c>
      <c r="D8853" s="2" t="str">
        <f t="shared" si="741"/>
        <v>PARA</v>
      </c>
      <c r="E8853" s="2" t="str">
        <f>"PROCEDIMENTOS DO ATENDIMENTO: JANELA 0"</f>
        <v>PROCEDIMENTOS DO ATENDIMENTO: JANELA 0</v>
      </c>
      <c r="F8853" s="2" t="str">
        <f>"M_VACINA"</f>
        <v>M_VACINA</v>
      </c>
      <c r="G8853" s="2" t="str">
        <f>"Atendimento / Ambulatório / Tabelas / Vacinas (M_VACINA)"</f>
        <v>Atendimento / Ambulatório / Tabelas / Vacinas (M_VACINA)</v>
      </c>
    </row>
    <row r="8854" spans="1:7" x14ac:dyDescent="0.3">
      <c r="A8854" s="1" t="s">
        <v>4</v>
      </c>
      <c r="B8854" s="2" t="str">
        <f t="shared" si="739"/>
        <v>SISTEMA DE GERENCIAMENTO AMBULATORIAL</v>
      </c>
      <c r="C8854" s="2" t="str">
        <f t="shared" si="740"/>
        <v>ATEND</v>
      </c>
      <c r="D8854" s="2" t="str">
        <f t="shared" si="741"/>
        <v>PARA</v>
      </c>
      <c r="E8854" s="2" t="str">
        <f>"PROCEDIMENTOS DO ATENDIMENTO: JANELA 0"</f>
        <v>PROCEDIMENTOS DO ATENDIMENTO: JANELA 0</v>
      </c>
      <c r="F8854" s="2" t="str">
        <f>"M_P_CRESCIMENTO"</f>
        <v>M_P_CRESCIMENTO</v>
      </c>
      <c r="G8854" s="2" t="str">
        <f>"Atendimento / Ambulatório / Tabelas / Padrão de Crescimento (M_P_CRESCIMENTO)"</f>
        <v>Atendimento / Ambulatório / Tabelas / Padrão de Crescimento (M_P_CRESCIMENTO)</v>
      </c>
    </row>
    <row r="8855" spans="1:7" x14ac:dyDescent="0.3">
      <c r="A8855" s="1" t="s">
        <v>4</v>
      </c>
      <c r="B8855" s="2" t="str">
        <f t="shared" si="739"/>
        <v>SISTEMA DE GERENCIAMENTO AMBULATORIAL</v>
      </c>
      <c r="C8855" s="2" t="str">
        <f t="shared" si="740"/>
        <v>ATEND</v>
      </c>
      <c r="D8855" s="2" t="str">
        <f t="shared" si="741"/>
        <v>PARA</v>
      </c>
      <c r="E8855" s="2" t="str">
        <f>"GRÁF. DE ACOMPANHAMENTO DE CRESCIMENTO"</f>
        <v>GRÁF. DE ACOMPANHAMENTO DE CRESCIMENTO</v>
      </c>
      <c r="F8855" s="2" t="str">
        <f>"G_PADRAO_CRESCIMENTO"</f>
        <v>G_PADRAO_CRESCIMENTO</v>
      </c>
      <c r="G8855" s="2" t="str">
        <f>" ()"</f>
        <v xml:space="preserve"> ()</v>
      </c>
    </row>
    <row r="8856" spans="1:7" x14ac:dyDescent="0.3">
      <c r="A8856" s="1" t="s">
        <v>4</v>
      </c>
      <c r="B8856" s="2" t="str">
        <f t="shared" si="739"/>
        <v>SISTEMA DE GERENCIAMENTO AMBULATORIAL</v>
      </c>
      <c r="C8856" s="2" t="str">
        <f t="shared" si="740"/>
        <v>ATEND</v>
      </c>
      <c r="D8856" s="2" t="str">
        <f t="shared" si="741"/>
        <v>PARA</v>
      </c>
      <c r="E8856" s="2" t="str">
        <f>"RELATÓRIO DA TABELA DE TEXTOS PADRÃO"</f>
        <v>RELATÓRIO DA TABELA DE TEXTOS PADRÃO</v>
      </c>
      <c r="F8856" s="2" t="str">
        <f>"R_TPAD"</f>
        <v>R_TPAD</v>
      </c>
      <c r="G8856" s="2" t="str">
        <f>"Atendimento / Ambulatório / Relatórios / Tabelas / Textos Padrão (R_TPAD)"</f>
        <v>Atendimento / Ambulatório / Relatórios / Tabelas / Textos Padrão (R_TPAD)</v>
      </c>
    </row>
    <row r="8857" spans="1:7" x14ac:dyDescent="0.3">
      <c r="A8857" s="1" t="s">
        <v>4</v>
      </c>
      <c r="B8857" s="2" t="str">
        <f t="shared" si="739"/>
        <v>SISTEMA DE GERENCIAMENTO AMBULATORIAL</v>
      </c>
      <c r="C8857" s="2" t="str">
        <f t="shared" si="740"/>
        <v>ATEND</v>
      </c>
      <c r="D8857" s="2" t="str">
        <f t="shared" si="741"/>
        <v>PARA</v>
      </c>
      <c r="E8857" s="2" t="str">
        <f>"RELATÓRIOS DE PACIENTES AGENDADOS"</f>
        <v>RELATÓRIOS DE PACIENTES AGENDADOS</v>
      </c>
      <c r="F8857" s="2" t="str">
        <f>"R_PAC_AGD_959"</f>
        <v>R_PAC_AGD_959</v>
      </c>
      <c r="G8857" s="2" t="str">
        <f>" ()"</f>
        <v xml:space="preserve"> ()</v>
      </c>
    </row>
    <row r="8858" spans="1:7" x14ac:dyDescent="0.3">
      <c r="A8858" s="1" t="s">
        <v>4</v>
      </c>
      <c r="B8858" s="2" t="str">
        <f t="shared" si="739"/>
        <v>SISTEMA DE GERENCIAMENTO AMBULATORIAL</v>
      </c>
      <c r="C8858" s="2" t="str">
        <f t="shared" si="740"/>
        <v>ATEND</v>
      </c>
      <c r="D8858" s="2" t="str">
        <f t="shared" si="741"/>
        <v>PARA</v>
      </c>
      <c r="E8858" s="2" t="str">
        <f>"RELATÓRIO DE RESUMO DE ATENDIMENTOS"</f>
        <v>RELATÓRIO DE RESUMO DE ATENDIMENTOS</v>
      </c>
      <c r="F8858" s="2" t="str">
        <f>"R_RESUMO_ATENDIMENTOS_734"</f>
        <v>R_RESUMO_ATENDIMENTOS_734</v>
      </c>
      <c r="G8858" s="2" t="str">
        <f>" ()"</f>
        <v xml:space="preserve"> ()</v>
      </c>
    </row>
    <row r="8859" spans="1:7" x14ac:dyDescent="0.3">
      <c r="A8859" s="1" t="s">
        <v>4</v>
      </c>
      <c r="B8859" s="2" t="str">
        <f t="shared" si="739"/>
        <v>SISTEMA DE GERENCIAMENTO AMBULATORIAL</v>
      </c>
      <c r="C8859" s="2" t="str">
        <f t="shared" si="740"/>
        <v>ATEND</v>
      </c>
      <c r="D8859" s="2" t="str">
        <f t="shared" si="741"/>
        <v>PARA</v>
      </c>
      <c r="E8859" s="2" t="str">
        <f>"R_PLANILHA_AGEND_SERV_UNID"</f>
        <v>R_PLANILHA_AGEND_SERV_UNID</v>
      </c>
      <c r="F8859" s="2" t="str">
        <f>"R_PLANILHA_AGEND_SERV_UNID"</f>
        <v>R_PLANILHA_AGEND_SERV_UNID</v>
      </c>
      <c r="G8859" s="2" t="str">
        <f>" ()"</f>
        <v xml:space="preserve"> ()</v>
      </c>
    </row>
    <row r="8860" spans="1:7" x14ac:dyDescent="0.3">
      <c r="A8860" s="1" t="s">
        <v>4</v>
      </c>
      <c r="B8860" s="2" t="str">
        <f t="shared" si="739"/>
        <v>SISTEMA DE GERENCIAMENTO AMBULATORIAL</v>
      </c>
      <c r="C8860" s="2" t="str">
        <f t="shared" si="740"/>
        <v>ATEND</v>
      </c>
      <c r="D8860" s="2" t="str">
        <f t="shared" si="741"/>
        <v>PARA</v>
      </c>
      <c r="E8860" s="2" t="str">
        <f>"R_ATEND_PRESTA_CATEG_CONV_734"</f>
        <v>R_ATEND_PRESTA_CATEG_CONV_734</v>
      </c>
      <c r="F8860" s="2" t="str">
        <f>"R_ATEND_PRESTA_CATEG_CONV_734"</f>
        <v>R_ATEND_PRESTA_CATEG_CONV_734</v>
      </c>
      <c r="G8860" s="2" t="str">
        <f>" ()"</f>
        <v xml:space="preserve"> ()</v>
      </c>
    </row>
    <row r="8861" spans="1:7" x14ac:dyDescent="0.3">
      <c r="A8861" s="1" t="s">
        <v>4</v>
      </c>
      <c r="B8861" s="2" t="str">
        <f t="shared" si="739"/>
        <v>SISTEMA DE GERENCIAMENTO AMBULATORIAL</v>
      </c>
      <c r="C8861" s="2" t="str">
        <f t="shared" si="740"/>
        <v>ATEND</v>
      </c>
      <c r="D8861" s="2" t="str">
        <f t="shared" si="741"/>
        <v>PARA</v>
      </c>
      <c r="E8861" s="2" t="str">
        <f>"CONSULTA: AGENDAMENTO DOS PACIENTES"</f>
        <v>CONSULTA: AGENDAMENTO DOS PACIENTES</v>
      </c>
      <c r="F8861" s="2" t="str">
        <f>"C_AGENDA_PERIODO"</f>
        <v>C_AGENDA_PERIODO</v>
      </c>
      <c r="G8861" s="2" t="str">
        <f>"Atendimento / Ambulatório / Consultas / Agendamentos / por Período (C_AGENDA_PERIODO)"</f>
        <v>Atendimento / Ambulatório / Consultas / Agendamentos / por Período (C_AGENDA_PERIODO)</v>
      </c>
    </row>
    <row r="8862" spans="1:7" x14ac:dyDescent="0.3">
      <c r="A8862" s="1" t="s">
        <v>4</v>
      </c>
      <c r="B8862" s="2" t="str">
        <f t="shared" si="739"/>
        <v>SISTEMA DE GERENCIAMENTO AMBULATORIAL</v>
      </c>
      <c r="C8862" s="2" t="str">
        <f t="shared" si="740"/>
        <v>ATEND</v>
      </c>
      <c r="D8862" s="2" t="str">
        <f t="shared" si="741"/>
        <v>PARA</v>
      </c>
      <c r="E8862" s="2" t="str">
        <f>"RELATÓRIO DE PRODUTIVIDADE POR USUÁRIO"</f>
        <v>RELATÓRIO DE PRODUTIVIDADE POR USUÁRIO</v>
      </c>
      <c r="F8862" s="2" t="str">
        <f>"R_PROD_AGENDA_USUARIO"</f>
        <v>R_PROD_AGENDA_USUARIO</v>
      </c>
      <c r="G8862" s="2" t="str">
        <f>"Atendimento / Ambulatório / Relatórios / Agendamentos / Produtividade por Usuário (R_PROD_AGENDA_USUARIO)"</f>
        <v>Atendimento / Ambulatório / Relatórios / Agendamentos / Produtividade por Usuário (R_PROD_AGENDA_USUARIO)</v>
      </c>
    </row>
    <row r="8863" spans="1:7" x14ac:dyDescent="0.3">
      <c r="A8863" s="1" t="s">
        <v>4</v>
      </c>
      <c r="B8863" s="2" t="str">
        <f t="shared" si="739"/>
        <v>SISTEMA DE GERENCIAMENTO AMBULATORIAL</v>
      </c>
      <c r="C8863" s="2" t="str">
        <f t="shared" si="740"/>
        <v>ATEND</v>
      </c>
      <c r="D8863" s="2" t="str">
        <f t="shared" si="741"/>
        <v>PARA</v>
      </c>
      <c r="E8863" s="2" t="str">
        <f>"RELATÓRIO DE ATENDIMENTO POR EMPRESA"</f>
        <v>RELATÓRIO DE ATENDIMENTO POR EMPRESA</v>
      </c>
      <c r="F8863" s="2" t="str">
        <f>"R_ATE_AMB_ESPEC_734"</f>
        <v>R_ATE_AMB_ESPEC_734</v>
      </c>
      <c r="G8863" s="2" t="str">
        <f>" ()"</f>
        <v xml:space="preserve"> ()</v>
      </c>
    </row>
    <row r="8864" spans="1:7" x14ac:dyDescent="0.3">
      <c r="A8864" s="1" t="s">
        <v>4</v>
      </c>
      <c r="B8864" s="2" t="str">
        <f t="shared" si="739"/>
        <v>SISTEMA DE GERENCIAMENTO AMBULATORIAL</v>
      </c>
      <c r="C8864" s="2" t="str">
        <f t="shared" si="740"/>
        <v>ATEND</v>
      </c>
      <c r="D8864" s="2" t="str">
        <f t="shared" si="741"/>
        <v>PARA</v>
      </c>
      <c r="E8864" s="2" t="str">
        <f>"R_PAC_FALTA_CONSULTA"</f>
        <v>R_PAC_FALTA_CONSULTA</v>
      </c>
      <c r="F8864" s="2" t="str">
        <f>"R_PAC_FALTA_CONSULTA"</f>
        <v>R_PAC_FALTA_CONSULTA</v>
      </c>
      <c r="G8864" s="2" t="str">
        <f>"Atendimento / Ambulatório / Relatórios / Agendamentos / Pacientes que não compareceram à Consulta (R_PAC_FALTA_CONSULTA)"</f>
        <v>Atendimento / Ambulatório / Relatórios / Agendamentos / Pacientes que não compareceram à Consulta (R_PAC_FALTA_CONSULTA)</v>
      </c>
    </row>
    <row r="8865" spans="1:7" x14ac:dyDescent="0.3">
      <c r="A8865" s="1" t="s">
        <v>4</v>
      </c>
      <c r="B8865" s="2" t="str">
        <f t="shared" si="739"/>
        <v>SISTEMA DE GERENCIAMENTO AMBULATORIAL</v>
      </c>
      <c r="C8865" s="2" t="str">
        <f t="shared" si="740"/>
        <v>ATEND</v>
      </c>
      <c r="D8865" s="2" t="str">
        <f t="shared" si="741"/>
        <v>PARA</v>
      </c>
      <c r="E8865" s="2" t="str">
        <f>"R_AGENDA_TIP_MAR_1302"</f>
        <v>R_AGENDA_TIP_MAR_1302</v>
      </c>
      <c r="F8865" s="2" t="str">
        <f>"R_AGENDA_TIP_MAR_1302"</f>
        <v>R_AGENDA_TIP_MAR_1302</v>
      </c>
      <c r="G8865" s="2" t="str">
        <f t="shared" ref="G8865:G8874" si="743">" ()"</f>
        <v xml:space="preserve"> ()</v>
      </c>
    </row>
    <row r="8866" spans="1:7" x14ac:dyDescent="0.3">
      <c r="A8866" s="1" t="s">
        <v>4</v>
      </c>
      <c r="B8866" s="2" t="str">
        <f t="shared" si="739"/>
        <v>SISTEMA DE GERENCIAMENTO AMBULATORIAL</v>
      </c>
      <c r="C8866" s="2" t="str">
        <f t="shared" si="740"/>
        <v>ATEND</v>
      </c>
      <c r="D8866" s="2" t="str">
        <f t="shared" si="741"/>
        <v>PARA</v>
      </c>
      <c r="E8866" s="2" t="str">
        <f>"R_ANM_AMB_460"</f>
        <v>R_ANM_AMB_460</v>
      </c>
      <c r="F8866" s="2" t="str">
        <f>"R_ANM_AMB_460"</f>
        <v>R_ANM_AMB_460</v>
      </c>
      <c r="G8866" s="2" t="str">
        <f t="shared" si="743"/>
        <v xml:space="preserve"> ()</v>
      </c>
    </row>
    <row r="8867" spans="1:7" x14ac:dyDescent="0.3">
      <c r="A8867" s="1" t="s">
        <v>4</v>
      </c>
      <c r="B8867" s="2" t="str">
        <f t="shared" si="739"/>
        <v>SISTEMA DE GERENCIAMENTO AMBULATORIAL</v>
      </c>
      <c r="C8867" s="2" t="str">
        <f t="shared" si="740"/>
        <v>ATEND</v>
      </c>
      <c r="D8867" s="2" t="str">
        <f t="shared" si="741"/>
        <v>PARA</v>
      </c>
      <c r="E8867" s="2" t="str">
        <f>"COPIAR DEFINIÇÃO DE COTAS DE CONSULTAS"</f>
        <v>COPIAR DEFINIÇÃO DE COTAS DE CONSULTAS</v>
      </c>
      <c r="F8867" s="2" t="str">
        <f>"DUP_COTA_CONSULTA"</f>
        <v>DUP_COTA_CONSULTA</v>
      </c>
      <c r="G8867" s="2" t="str">
        <f t="shared" si="743"/>
        <v xml:space="preserve"> ()</v>
      </c>
    </row>
    <row r="8868" spans="1:7" x14ac:dyDescent="0.3">
      <c r="A8868" s="1" t="s">
        <v>4</v>
      </c>
      <c r="B8868" s="2" t="str">
        <f t="shared" si="739"/>
        <v>SISTEMA DE GERENCIAMENTO AMBULATORIAL</v>
      </c>
      <c r="C8868" s="2" t="str">
        <f t="shared" si="740"/>
        <v>ATEND</v>
      </c>
      <c r="D8868" s="2" t="str">
        <f t="shared" si="741"/>
        <v>PARA</v>
      </c>
      <c r="E8868" s="2" t="str">
        <f>"R_ANM_AMB_406"</f>
        <v>R_ANM_AMB_406</v>
      </c>
      <c r="F8868" s="2" t="str">
        <f>"R_ANM_AMB_406"</f>
        <v>R_ANM_AMB_406</v>
      </c>
      <c r="G8868" s="2" t="str">
        <f t="shared" si="743"/>
        <v xml:space="preserve"> ()</v>
      </c>
    </row>
    <row r="8869" spans="1:7" x14ac:dyDescent="0.3">
      <c r="A8869" s="1" t="s">
        <v>4</v>
      </c>
      <c r="B8869" s="2" t="str">
        <f t="shared" si="739"/>
        <v>SISTEMA DE GERENCIAMENTO AMBULATORIAL</v>
      </c>
      <c r="C8869" s="2" t="str">
        <f t="shared" si="740"/>
        <v>ATEND</v>
      </c>
      <c r="D8869" s="2" t="str">
        <f t="shared" si="741"/>
        <v>PARA</v>
      </c>
      <c r="E8869" s="2" t="str">
        <f>"R_ANM_AMB_44"</f>
        <v>R_ANM_AMB_44</v>
      </c>
      <c r="F8869" s="2" t="str">
        <f>"R_ANM_AMB_44"</f>
        <v>R_ANM_AMB_44</v>
      </c>
      <c r="G8869" s="2" t="str">
        <f t="shared" si="743"/>
        <v xml:space="preserve"> ()</v>
      </c>
    </row>
    <row r="8870" spans="1:7" x14ac:dyDescent="0.3">
      <c r="A8870" s="1" t="s">
        <v>4</v>
      </c>
      <c r="B8870" s="2" t="str">
        <f t="shared" si="739"/>
        <v>SISTEMA DE GERENCIAMENTO AMBULATORIAL</v>
      </c>
      <c r="C8870" s="2" t="str">
        <f t="shared" si="740"/>
        <v>ATEND</v>
      </c>
      <c r="D8870" s="2" t="str">
        <f t="shared" si="741"/>
        <v>PARA</v>
      </c>
      <c r="E8870" s="2" t="str">
        <f>"AGENDAMENTO DE EXAMES"</f>
        <v>AGENDAMENTO DE EXAMES</v>
      </c>
      <c r="F8870" s="2" t="str">
        <f>"M_AGENDAMENTO"</f>
        <v>M_AGENDAMENTO</v>
      </c>
      <c r="G8870" s="2" t="str">
        <f t="shared" si="743"/>
        <v xml:space="preserve"> ()</v>
      </c>
    </row>
    <row r="8871" spans="1:7" x14ac:dyDescent="0.3">
      <c r="A8871" s="1" t="s">
        <v>4</v>
      </c>
      <c r="B8871" s="2" t="str">
        <f t="shared" si="739"/>
        <v>SISTEMA DE GERENCIAMENTO AMBULATORIAL</v>
      </c>
      <c r="C8871" s="2" t="str">
        <f t="shared" si="740"/>
        <v>ATEND</v>
      </c>
      <c r="D8871" s="2" t="str">
        <f t="shared" si="741"/>
        <v>PARA</v>
      </c>
      <c r="E8871" s="2" t="str">
        <f>"R_VAGAS_UBS"</f>
        <v>R_VAGAS_UBS</v>
      </c>
      <c r="F8871" s="2" t="str">
        <f>"R_VAGAS_UBS"</f>
        <v>R_VAGAS_UBS</v>
      </c>
      <c r="G8871" s="2" t="str">
        <f t="shared" si="743"/>
        <v xml:space="preserve"> ()</v>
      </c>
    </row>
    <row r="8872" spans="1:7" x14ac:dyDescent="0.3">
      <c r="A8872" s="1" t="s">
        <v>4</v>
      </c>
      <c r="B8872" s="2" t="str">
        <f t="shared" si="739"/>
        <v>SISTEMA DE GERENCIAMENTO AMBULATORIAL</v>
      </c>
      <c r="C8872" s="2" t="str">
        <f t="shared" si="740"/>
        <v>ATEND</v>
      </c>
      <c r="D8872" s="2" t="str">
        <f t="shared" si="741"/>
        <v>PARA</v>
      </c>
      <c r="E8872" s="2" t="str">
        <f>"M_DIVISAO_VAGAS_UBS"</f>
        <v>M_DIVISAO_VAGAS_UBS</v>
      </c>
      <c r="F8872" s="2" t="str">
        <f>"M_DIVISAO_VAGAS_UBS"</f>
        <v>M_DIVISAO_VAGAS_UBS</v>
      </c>
      <c r="G8872" s="2" t="str">
        <f t="shared" si="743"/>
        <v xml:space="preserve"> ()</v>
      </c>
    </row>
    <row r="8873" spans="1:7" x14ac:dyDescent="0.3">
      <c r="A8873" s="1" t="s">
        <v>4</v>
      </c>
      <c r="B8873" s="2" t="str">
        <f t="shared" si="739"/>
        <v>SISTEMA DE GERENCIAMENTO AMBULATORIAL</v>
      </c>
      <c r="C8873" s="2" t="str">
        <f t="shared" si="740"/>
        <v>ATEND</v>
      </c>
      <c r="D8873" s="2" t="str">
        <f t="shared" si="741"/>
        <v>PARA</v>
      </c>
      <c r="E8873" s="2" t="str">
        <f>"M_PERCENTUAL_UBS"</f>
        <v>M_PERCENTUAL_UBS</v>
      </c>
      <c r="F8873" s="2" t="str">
        <f>"M_PERCENTUAL_UBS"</f>
        <v>M_PERCENTUAL_UBS</v>
      </c>
      <c r="G8873" s="2" t="str">
        <f t="shared" si="743"/>
        <v xml:space="preserve"> ()</v>
      </c>
    </row>
    <row r="8874" spans="1:7" x14ac:dyDescent="0.3">
      <c r="A8874" s="1" t="s">
        <v>4</v>
      </c>
      <c r="B8874" s="2" t="str">
        <f t="shared" si="739"/>
        <v>SISTEMA DE GERENCIAMENTO AMBULATORIAL</v>
      </c>
      <c r="C8874" s="2" t="str">
        <f t="shared" si="740"/>
        <v>ATEND</v>
      </c>
      <c r="D8874" s="2" t="str">
        <f t="shared" si="741"/>
        <v>PARA</v>
      </c>
      <c r="E8874" s="2" t="str">
        <f>"M_PRIORIDADE_UBS"</f>
        <v>M_PRIORIDADE_UBS</v>
      </c>
      <c r="F8874" s="2" t="str">
        <f>"M_PRIORIDADE_UBS"</f>
        <v>M_PRIORIDADE_UBS</v>
      </c>
      <c r="G8874" s="2" t="str">
        <f t="shared" si="743"/>
        <v xml:space="preserve"> ()</v>
      </c>
    </row>
    <row r="8875" spans="1:7" x14ac:dyDescent="0.3">
      <c r="A8875" s="1" t="s">
        <v>4</v>
      </c>
      <c r="B8875" s="2" t="str">
        <f t="shared" si="739"/>
        <v>SISTEMA DE GERENCIAMENTO AMBULATORIAL</v>
      </c>
      <c r="C8875" s="2" t="str">
        <f t="shared" si="740"/>
        <v>ATEND</v>
      </c>
      <c r="D8875" s="2" t="str">
        <f t="shared" si="741"/>
        <v>PARA</v>
      </c>
      <c r="E8875" s="2" t="str">
        <f>"TELA DE DIAGNOSTICO - AMBULATORIO"</f>
        <v>TELA DE DIAGNOSTICO - AMBULATORIO</v>
      </c>
      <c r="F8875" s="2" t="str">
        <f>"ATE_COMPL_PARA"</f>
        <v>ATE_COMPL_PARA</v>
      </c>
      <c r="G8875" s="2" t="str">
        <f>"Atendimento / Ambulatório / Atendimentos / Diagnóstico do Atendimento (ATE_COMPL_PARA)"</f>
        <v>Atendimento / Ambulatório / Atendimentos / Diagnóstico do Atendimento (ATE_COMPL_PARA)</v>
      </c>
    </row>
    <row r="8876" spans="1:7" x14ac:dyDescent="0.3">
      <c r="A8876" s="1" t="s">
        <v>4</v>
      </c>
      <c r="B8876" s="2" t="str">
        <f t="shared" si="739"/>
        <v>SISTEMA DE GERENCIAMENTO AMBULATORIAL</v>
      </c>
      <c r="C8876" s="2" t="str">
        <f t="shared" si="740"/>
        <v>ATEND</v>
      </c>
      <c r="D8876" s="2" t="str">
        <f t="shared" si="741"/>
        <v>PARA</v>
      </c>
      <c r="E8876" s="2" t="str">
        <f>"BLOQUEIO E DESBLOQUEIOS DE AGENDA - PARA"</f>
        <v>BLOQUEIO E DESBLOQUEIOS DE AGENDA - PARA</v>
      </c>
      <c r="F8876" s="2" t="str">
        <f>"M_BLOQUEIO_DESBLOQUEIO_AGENDA_PARA"</f>
        <v>M_BLOQUEIO_DESBLOQUEIO_AGENDA_PARA</v>
      </c>
      <c r="G8876" s="2" t="str">
        <f>"Atendimento / Ambulatório / Agendamentos / Bloqueio/Desbloqueio de Agenda (M_BLOQUEIO_DESBLOQUEIO_AGENDA_PARA)"</f>
        <v>Atendimento / Ambulatório / Agendamentos / Bloqueio/Desbloqueio de Agenda (M_BLOQUEIO_DESBLOQUEIO_AGENDA_PARA)</v>
      </c>
    </row>
    <row r="8877" spans="1:7" x14ac:dyDescent="0.3">
      <c r="A8877" s="1" t="s">
        <v>4</v>
      </c>
      <c r="B8877" s="2" t="str">
        <f t="shared" si="739"/>
        <v>SISTEMA DE GERENCIAMENTO AMBULATORIAL</v>
      </c>
      <c r="C8877" s="2" t="str">
        <f t="shared" si="740"/>
        <v>ATEND</v>
      </c>
      <c r="D8877" s="2" t="str">
        <f t="shared" si="741"/>
        <v>PARA</v>
      </c>
      <c r="E8877" s="2" t="str">
        <f>"ALTERAÇÃO DE ATENDIMENTO - AMBULATÓRIO"</f>
        <v>ALTERAÇÃO DE ATENDIMENTO - AMBULATÓRIO</v>
      </c>
      <c r="F8877" s="2" t="str">
        <f>"ATEURG_ALTERA_PARA"</f>
        <v>ATEURG_ALTERA_PARA</v>
      </c>
      <c r="G8877" s="2" t="str">
        <f>"Atendimento / Ambulatório / Atendimentos / Alteração de Atendimento (ATEURG_ALTERA_PARA)"</f>
        <v>Atendimento / Ambulatório / Atendimentos / Alteração de Atendimento (ATEURG_ALTERA_PARA)</v>
      </c>
    </row>
    <row r="8878" spans="1:7" x14ac:dyDescent="0.3">
      <c r="A8878" s="1" t="s">
        <v>4</v>
      </c>
      <c r="B8878" s="2" t="str">
        <f t="shared" si="739"/>
        <v>SISTEMA DE GERENCIAMENTO AMBULATORIAL</v>
      </c>
      <c r="C8878" s="2" t="str">
        <f t="shared" si="740"/>
        <v>ATEND</v>
      </c>
      <c r="D8878" s="2" t="str">
        <f t="shared" si="741"/>
        <v>PARA</v>
      </c>
      <c r="E8878" s="2" t="str">
        <f>"ALTERAÇÃO DE ATENDIMENTO - AMBULATÓRIO"</f>
        <v>ALTERAÇÃO DE ATENDIMENTO - AMBULATÓRIO</v>
      </c>
      <c r="F8878" s="2" t="str">
        <f>"ATEURG_ALTERA_PARA"</f>
        <v>ATEURG_ALTERA_PARA</v>
      </c>
      <c r="G8878" s="2" t="str">
        <f>"Atendimento / Central de Agendamento / Atendimentos / Alteração de Atendimento (ATEURG_ALTERA_PARA)"</f>
        <v>Atendimento / Central de Agendamento / Atendimentos / Alteração de Atendimento (ATEURG_ALTERA_PARA)</v>
      </c>
    </row>
    <row r="8879" spans="1:7" x14ac:dyDescent="0.3">
      <c r="A8879" s="1" t="s">
        <v>4</v>
      </c>
      <c r="B8879" s="2" t="str">
        <f t="shared" si="739"/>
        <v>SISTEMA DE GERENCIAMENTO AMBULATORIAL</v>
      </c>
      <c r="C8879" s="2" t="str">
        <f t="shared" si="740"/>
        <v>ATEND</v>
      </c>
      <c r="D8879" s="2" t="str">
        <f t="shared" si="741"/>
        <v>PARA</v>
      </c>
      <c r="E8879" s="2" t="str">
        <f>"MANUTENÇÃO DE DEPOSITO ANTENCIPADO"</f>
        <v>MANUTENÇÃO DE DEPOSITO ANTENCIPADO</v>
      </c>
      <c r="F8879" s="2" t="str">
        <f>"M_CAUCAO_PARA"</f>
        <v>M_CAUCAO_PARA</v>
      </c>
      <c r="G8879" s="2" t="str">
        <f>"Atendimento / Ambulatório / Atendimentos / Manutenção Adiantamento Depósito Antecipado (M_CAUCAO_PARA)"</f>
        <v>Atendimento / Ambulatório / Atendimentos / Manutenção Adiantamento Depósito Antecipado (M_CAUCAO_PARA)</v>
      </c>
    </row>
    <row r="8880" spans="1:7" x14ac:dyDescent="0.3">
      <c r="A8880" s="1" t="s">
        <v>4</v>
      </c>
      <c r="B8880" s="2" t="str">
        <f t="shared" si="739"/>
        <v>SISTEMA DE GERENCIAMENTO AMBULATORIAL</v>
      </c>
      <c r="C8880" s="2" t="str">
        <f t="shared" si="740"/>
        <v>ATEND</v>
      </c>
      <c r="D8880" s="2" t="str">
        <f t="shared" si="741"/>
        <v>PARA</v>
      </c>
      <c r="E8880" s="2" t="str">
        <f>"CADASTRO DE PACIENTES - AMBULATÓRIO"</f>
        <v>CADASTRO DE PACIENTES - AMBULATÓRIO</v>
      </c>
      <c r="F8880" s="2" t="str">
        <f>"CAD_PAC_PARA"</f>
        <v>CAD_PAC_PARA</v>
      </c>
      <c r="G8880" s="2" t="str">
        <f>"Atendimento / Ambulatório / Atendimentos / Cadastro de Pacientes (CAD_PAC_PARA)"</f>
        <v>Atendimento / Ambulatório / Atendimentos / Cadastro de Pacientes (CAD_PAC_PARA)</v>
      </c>
    </row>
    <row r="8881" spans="1:7" x14ac:dyDescent="0.3">
      <c r="A8881" s="1" t="s">
        <v>4</v>
      </c>
      <c r="B8881" s="2" t="str">
        <f t="shared" si="739"/>
        <v>SISTEMA DE GERENCIAMENTO AMBULATORIAL</v>
      </c>
      <c r="C8881" s="2" t="str">
        <f t="shared" si="740"/>
        <v>ATEND</v>
      </c>
      <c r="D8881" s="2" t="str">
        <f t="shared" si="741"/>
        <v>PARA</v>
      </c>
      <c r="E8881" s="2" t="str">
        <f>"REL. PRODUTIVIDADE USUÁRIO POR SERVIÇO"</f>
        <v>REL. PRODUTIVIDADE USUÁRIO POR SERVIÇO</v>
      </c>
      <c r="F8881" s="2" t="str">
        <f>"R_PROD_USUARIOS_SERVICO_SINT"</f>
        <v>R_PROD_USUARIOS_SERVICO_SINT</v>
      </c>
      <c r="G8881" s="2" t="str">
        <f t="shared" ref="G8881:G8897" si="744">" ()"</f>
        <v xml:space="preserve"> ()</v>
      </c>
    </row>
    <row r="8882" spans="1:7" x14ac:dyDescent="0.3">
      <c r="A8882" s="1" t="s">
        <v>4</v>
      </c>
      <c r="B8882" s="2" t="str">
        <f t="shared" si="739"/>
        <v>SISTEMA DE GERENCIAMENTO AMBULATORIAL</v>
      </c>
      <c r="C8882" s="2" t="str">
        <f t="shared" si="740"/>
        <v>ATEND</v>
      </c>
      <c r="D8882" s="2" t="str">
        <f t="shared" si="741"/>
        <v>PARA</v>
      </c>
      <c r="E8882" s="2" t="str">
        <f>"REL. PRODUTIVIDADE DE USUÁRIO"</f>
        <v>REL. PRODUTIVIDADE DE USUÁRIO</v>
      </c>
      <c r="F8882" s="2" t="str">
        <f>"R_AGE_OPER_SINT"</f>
        <v>R_AGE_OPER_SINT</v>
      </c>
      <c r="G8882" s="2" t="str">
        <f t="shared" si="744"/>
        <v xml:space="preserve"> ()</v>
      </c>
    </row>
    <row r="8883" spans="1:7" x14ac:dyDescent="0.3">
      <c r="A8883" s="1" t="s">
        <v>4</v>
      </c>
      <c r="B8883" s="2" t="str">
        <f t="shared" si="739"/>
        <v>SISTEMA DE GERENCIAMENTO AMBULATORIAL</v>
      </c>
      <c r="C8883" s="2" t="str">
        <f t="shared" si="740"/>
        <v>ATEND</v>
      </c>
      <c r="D8883" s="2" t="str">
        <f t="shared" si="741"/>
        <v>PARA</v>
      </c>
      <c r="E8883" s="2" t="str">
        <f>"REL PACIENTES AGENDADOS AO DIA"</f>
        <v>REL PACIENTES AGENDADOS AO DIA</v>
      </c>
      <c r="F8883" s="2" t="str">
        <f>"R_PAC_AGEN_ORI_SERV_SINT"</f>
        <v>R_PAC_AGEN_ORI_SERV_SINT</v>
      </c>
      <c r="G8883" s="2" t="str">
        <f t="shared" si="744"/>
        <v xml:space="preserve"> ()</v>
      </c>
    </row>
    <row r="8884" spans="1:7" x14ac:dyDescent="0.3">
      <c r="A8884" s="1" t="s">
        <v>4</v>
      </c>
      <c r="B8884" s="2" t="str">
        <f t="shared" si="739"/>
        <v>SISTEMA DE GERENCIAMENTO AMBULATORIAL</v>
      </c>
      <c r="C8884" s="2" t="str">
        <f t="shared" si="740"/>
        <v>ATEND</v>
      </c>
      <c r="D8884" s="2" t="str">
        <f t="shared" si="741"/>
        <v>PARA</v>
      </c>
      <c r="E8884" s="2" t="str">
        <f>"AGENDAMENTO RÁPIDO"</f>
        <v>AGENDAMENTO RÁPIDO</v>
      </c>
      <c r="F8884" s="2" t="str">
        <f>"AGD_AUTO.RDF"</f>
        <v>AGD_AUTO.RDF</v>
      </c>
      <c r="G8884" s="2" t="str">
        <f t="shared" si="744"/>
        <v xml:space="preserve"> ()</v>
      </c>
    </row>
    <row r="8885" spans="1:7" x14ac:dyDescent="0.3">
      <c r="A8885" s="1" t="s">
        <v>4</v>
      </c>
      <c r="B8885" s="2" t="str">
        <f t="shared" si="739"/>
        <v>SISTEMA DE GERENCIAMENTO AMBULATORIAL</v>
      </c>
      <c r="C8885" s="2" t="str">
        <f t="shared" si="740"/>
        <v>ATEND</v>
      </c>
      <c r="D8885" s="2" t="str">
        <f t="shared" si="741"/>
        <v>PARA</v>
      </c>
      <c r="E8885" s="2" t="str">
        <f>"RELATÓRIO DE PRODUÇÃO POR PROFISSIONAL"</f>
        <v>RELATÓRIO DE PRODUÇÃO POR PROFISSIONAL</v>
      </c>
      <c r="F8885" s="2" t="str">
        <f>"R_EST_P_PROF2_SIN"</f>
        <v>R_EST_P_PROF2_SIN</v>
      </c>
      <c r="G8885" s="2" t="str">
        <f t="shared" si="744"/>
        <v xml:space="preserve"> ()</v>
      </c>
    </row>
    <row r="8886" spans="1:7" x14ac:dyDescent="0.3">
      <c r="A8886" s="1" t="s">
        <v>4</v>
      </c>
      <c r="B8886" s="2" t="str">
        <f t="shared" si="739"/>
        <v>SISTEMA DE GERENCIAMENTO AMBULATORIAL</v>
      </c>
      <c r="C8886" s="2" t="str">
        <f t="shared" si="740"/>
        <v>ATEND</v>
      </c>
      <c r="D8886" s="2" t="str">
        <f t="shared" si="741"/>
        <v>PARA</v>
      </c>
      <c r="E8886" s="2" t="str">
        <f>"PAC. AGENDADOS AO DIA - ORIGEM X SERVIÇO"</f>
        <v>PAC. AGENDADOS AO DIA - ORIGEM X SERVIÇO</v>
      </c>
      <c r="F8886" s="2" t="str">
        <f>"R_PAC_AGEN_ORI_SERV_SINT.RDF"</f>
        <v>R_PAC_AGEN_ORI_SERV_SINT.RDF</v>
      </c>
      <c r="G8886" s="2" t="str">
        <f t="shared" si="744"/>
        <v xml:space="preserve"> ()</v>
      </c>
    </row>
    <row r="8887" spans="1:7" x14ac:dyDescent="0.3">
      <c r="A8887" s="1" t="s">
        <v>4</v>
      </c>
      <c r="B8887" s="2" t="str">
        <f t="shared" si="739"/>
        <v>SISTEMA DE GERENCIAMENTO AMBULATORIAL</v>
      </c>
      <c r="C8887" s="2" t="str">
        <f t="shared" si="740"/>
        <v>ATEND</v>
      </c>
      <c r="D8887" s="2" t="str">
        <f t="shared" si="741"/>
        <v>PARA</v>
      </c>
      <c r="E8887" s="2" t="str">
        <f>"PAC. AGENDADOS AO DIA - ORIGEM X SERVIÇO"</f>
        <v>PAC. AGENDADOS AO DIA - ORIGEM X SERVIÇO</v>
      </c>
      <c r="F8887" s="2" t="str">
        <f>"R_PAC_AGEN_ORI_SERV.RDF"</f>
        <v>R_PAC_AGEN_ORI_SERV.RDF</v>
      </c>
      <c r="G8887" s="2" t="str">
        <f t="shared" si="744"/>
        <v xml:space="preserve"> ()</v>
      </c>
    </row>
    <row r="8888" spans="1:7" x14ac:dyDescent="0.3">
      <c r="A8888" s="1" t="s">
        <v>4</v>
      </c>
      <c r="B8888" s="2" t="str">
        <f t="shared" si="739"/>
        <v>SISTEMA DE GERENCIAMENTO AMBULATORIAL</v>
      </c>
      <c r="C8888" s="2" t="str">
        <f t="shared" si="740"/>
        <v>ATEND</v>
      </c>
      <c r="D8888" s="2" t="str">
        <f t="shared" si="741"/>
        <v>PARA</v>
      </c>
      <c r="E8888" s="2" t="str">
        <f>"PAC. AGENDADOS AO DIA - ORIGEM X SERVIÇO"</f>
        <v>PAC. AGENDADOS AO DIA - ORIGEM X SERVIÇO</v>
      </c>
      <c r="F8888" s="2" t="str">
        <f>"R_PAC_AGEN_ORI_SERV.SINT"</f>
        <v>R_PAC_AGEN_ORI_SERV.SINT</v>
      </c>
      <c r="G8888" s="2" t="str">
        <f t="shared" si="744"/>
        <v xml:space="preserve"> ()</v>
      </c>
    </row>
    <row r="8889" spans="1:7" x14ac:dyDescent="0.3">
      <c r="A8889" s="1" t="s">
        <v>4</v>
      </c>
      <c r="B8889" s="2" t="str">
        <f t="shared" si="739"/>
        <v>SISTEMA DE GERENCIAMENTO AMBULATORIAL</v>
      </c>
      <c r="C8889" s="2" t="str">
        <f t="shared" si="740"/>
        <v>ATEND</v>
      </c>
      <c r="D8889" s="2" t="str">
        <f t="shared" si="741"/>
        <v>PARA</v>
      </c>
      <c r="E8889" s="2" t="str">
        <f>"REL. SINTÉTICO DE PRODUÇÃO POR SERVIÇO"</f>
        <v>REL. SINTÉTICO DE PRODUÇÃO POR SERVIÇO</v>
      </c>
      <c r="F8889" s="2" t="str">
        <f>"R_EST_P_SER_SINT"</f>
        <v>R_EST_P_SER_SINT</v>
      </c>
      <c r="G8889" s="2" t="str">
        <f t="shared" si="744"/>
        <v xml:space="preserve"> ()</v>
      </c>
    </row>
    <row r="8890" spans="1:7" x14ac:dyDescent="0.3">
      <c r="A8890" s="1" t="s">
        <v>4</v>
      </c>
      <c r="B8890" s="2" t="str">
        <f t="shared" si="739"/>
        <v>SISTEMA DE GERENCIAMENTO AMBULATORIAL</v>
      </c>
      <c r="C8890" s="2" t="str">
        <f t="shared" si="740"/>
        <v>ATEND</v>
      </c>
      <c r="D8890" s="2" t="str">
        <f t="shared" si="741"/>
        <v>PARA</v>
      </c>
      <c r="E8890" s="2" t="str">
        <f>"REL. SINT. DE PRODUÇÃO POR PROFISSIONAL"</f>
        <v>REL. SINT. DE PRODUÇÃO POR PROFISSIONAL</v>
      </c>
      <c r="F8890" s="2" t="str">
        <f>"R_EST_P_PROF2_SINT"</f>
        <v>R_EST_P_PROF2_SINT</v>
      </c>
      <c r="G8890" s="2" t="str">
        <f t="shared" si="744"/>
        <v xml:space="preserve"> ()</v>
      </c>
    </row>
    <row r="8891" spans="1:7" x14ac:dyDescent="0.3">
      <c r="A8891" s="1" t="s">
        <v>4</v>
      </c>
      <c r="B8891" s="2" t="str">
        <f t="shared" si="739"/>
        <v>SISTEMA DE GERENCIAMENTO AMBULATORIAL</v>
      </c>
      <c r="C8891" s="2" t="str">
        <f t="shared" si="740"/>
        <v>ATEND</v>
      </c>
      <c r="D8891" s="2" t="str">
        <f t="shared" si="741"/>
        <v>PARA</v>
      </c>
      <c r="E8891" s="2" t="str">
        <f>"REL. SINTÉTICO DE PRODUÇÃO POR ORIGEM"</f>
        <v>REL. SINTÉTICO DE PRODUÇÃO POR ORIGEM</v>
      </c>
      <c r="F8891" s="2" t="str">
        <f>"R_EST_P_ORI_SINT"</f>
        <v>R_EST_P_ORI_SINT</v>
      </c>
      <c r="G8891" s="2" t="str">
        <f t="shared" si="744"/>
        <v xml:space="preserve"> ()</v>
      </c>
    </row>
    <row r="8892" spans="1:7" x14ac:dyDescent="0.3">
      <c r="A8892" s="1" t="s">
        <v>4</v>
      </c>
      <c r="B8892" s="2" t="str">
        <f t="shared" si="739"/>
        <v>SISTEMA DE GERENCIAMENTO AMBULATORIAL</v>
      </c>
      <c r="C8892" s="2" t="str">
        <f t="shared" si="740"/>
        <v>ATEND</v>
      </c>
      <c r="D8892" s="2" t="str">
        <f t="shared" si="741"/>
        <v>PARA</v>
      </c>
      <c r="E8892" s="2" t="str">
        <f>"RELATÓRIO SINTÉTICO DE PRODUÇÃO GLOBAL"</f>
        <v>RELATÓRIO SINTÉTICO DE PRODUÇÃO GLOBAL</v>
      </c>
      <c r="F8892" s="2" t="str">
        <f>"R_EST_P_GERAL_SINT"</f>
        <v>R_EST_P_GERAL_SINT</v>
      </c>
      <c r="G8892" s="2" t="str">
        <f t="shared" si="744"/>
        <v xml:space="preserve"> ()</v>
      </c>
    </row>
    <row r="8893" spans="1:7" x14ac:dyDescent="0.3">
      <c r="A8893" s="1" t="s">
        <v>4</v>
      </c>
      <c r="B8893" s="2" t="str">
        <f t="shared" si="739"/>
        <v>SISTEMA DE GERENCIAMENTO AMBULATORIAL</v>
      </c>
      <c r="C8893" s="2" t="str">
        <f t="shared" si="740"/>
        <v>ATEND</v>
      </c>
      <c r="D8893" s="2" t="str">
        <f t="shared" si="741"/>
        <v>PARA</v>
      </c>
      <c r="E8893" s="2" t="str">
        <f>"REL. ATEND. POR SERVIÇO X TIPO DE ATEND."</f>
        <v>REL. ATEND. POR SERVIÇO X TIPO DE ATEND.</v>
      </c>
      <c r="F8893" s="2" t="str">
        <f>"R_EST_SER_DIS_TP_ATEND_SINT"</f>
        <v>R_EST_SER_DIS_TP_ATEND_SINT</v>
      </c>
      <c r="G8893" s="2" t="str">
        <f t="shared" si="744"/>
        <v xml:space="preserve"> ()</v>
      </c>
    </row>
    <row r="8894" spans="1:7" x14ac:dyDescent="0.3">
      <c r="A8894" s="1" t="s">
        <v>4</v>
      </c>
      <c r="B8894" s="2" t="str">
        <f t="shared" si="739"/>
        <v>SISTEMA DE GERENCIAMENTO AMBULATORIAL</v>
      </c>
      <c r="C8894" s="2" t="str">
        <f t="shared" si="740"/>
        <v>ATEND</v>
      </c>
      <c r="D8894" s="2" t="str">
        <f t="shared" si="741"/>
        <v>PARA</v>
      </c>
      <c r="E8894" s="2" t="str">
        <f>"RELATÓRIO DE FALTAS MÉDICAS"</f>
        <v>RELATÓRIO DE FALTAS MÉDICAS</v>
      </c>
      <c r="F8894" s="2" t="str">
        <f>"R_EST_FALTA_MEDICA.RDF"</f>
        <v>R_EST_FALTA_MEDICA.RDF</v>
      </c>
      <c r="G8894" s="2" t="str">
        <f t="shared" si="744"/>
        <v xml:space="preserve"> ()</v>
      </c>
    </row>
    <row r="8895" spans="1:7" x14ac:dyDescent="0.3">
      <c r="A8895" s="1" t="s">
        <v>4</v>
      </c>
      <c r="B8895" s="2" t="str">
        <f t="shared" si="739"/>
        <v>SISTEMA DE GERENCIAMENTO AMBULATORIAL</v>
      </c>
      <c r="C8895" s="2" t="str">
        <f t="shared" si="740"/>
        <v>ATEND</v>
      </c>
      <c r="D8895" s="2" t="str">
        <f t="shared" si="741"/>
        <v>PARA</v>
      </c>
      <c r="E8895" s="2" t="str">
        <f>"R_EST_SERVISO"</f>
        <v>R_EST_SERVISO</v>
      </c>
      <c r="F8895" s="2" t="str">
        <f>"R_EST_SERVISO"</f>
        <v>R_EST_SERVISO</v>
      </c>
      <c r="G8895" s="2" t="str">
        <f t="shared" si="744"/>
        <v xml:space="preserve"> ()</v>
      </c>
    </row>
    <row r="8896" spans="1:7" x14ac:dyDescent="0.3">
      <c r="A8896" s="1" t="s">
        <v>4</v>
      </c>
      <c r="B8896" s="2" t="str">
        <f t="shared" si="739"/>
        <v>SISTEMA DE GERENCIAMENTO AMBULATORIAL</v>
      </c>
      <c r="C8896" s="2" t="str">
        <f t="shared" si="740"/>
        <v>ATEND</v>
      </c>
      <c r="D8896" s="2" t="str">
        <f t="shared" si="741"/>
        <v>PARA</v>
      </c>
      <c r="E8896" s="2" t="str">
        <f>"R_ESCALAS_SINT"</f>
        <v>R_ESCALAS_SINT</v>
      </c>
      <c r="F8896" s="2" t="str">
        <f>"R_ESCALAS_SINT"</f>
        <v>R_ESCALAS_SINT</v>
      </c>
      <c r="G8896" s="2" t="str">
        <f t="shared" si="744"/>
        <v xml:space="preserve"> ()</v>
      </c>
    </row>
    <row r="8897" spans="1:7" x14ac:dyDescent="0.3">
      <c r="A8897" s="1" t="s">
        <v>4</v>
      </c>
      <c r="B8897" s="2" t="str">
        <f t="shared" ref="B8897:B8909" si="745">"SISTEMA DE GERENCIAMENTO AMBULATORIAL"</f>
        <v>SISTEMA DE GERENCIAMENTO AMBULATORIAL</v>
      </c>
      <c r="C8897" s="2" t="str">
        <f t="shared" ref="C8897:C8909" si="746">"ATEND"</f>
        <v>ATEND</v>
      </c>
      <c r="D8897" s="2" t="str">
        <f t="shared" ref="D8897:D8909" si="747">"PARA"</f>
        <v>PARA</v>
      </c>
      <c r="E8897" s="2" t="str">
        <f>"R_PROD_PAPEL"</f>
        <v>R_PROD_PAPEL</v>
      </c>
      <c r="F8897" s="2" t="str">
        <f>"R_PROD_PAPEL"</f>
        <v>R_PROD_PAPEL</v>
      </c>
      <c r="G8897" s="2" t="str">
        <f t="shared" si="744"/>
        <v xml:space="preserve"> ()</v>
      </c>
    </row>
    <row r="8898" spans="1:7" x14ac:dyDescent="0.3">
      <c r="A8898" s="1" t="s">
        <v>4</v>
      </c>
      <c r="B8898" s="2" t="str">
        <f t="shared" si="745"/>
        <v>SISTEMA DE GERENCIAMENTO AMBULATORIAL</v>
      </c>
      <c r="C8898" s="2" t="str">
        <f t="shared" si="746"/>
        <v>ATEND</v>
      </c>
      <c r="D8898" s="2" t="str">
        <f t="shared" si="747"/>
        <v>PARA</v>
      </c>
      <c r="E8898" s="2" t="s">
        <v>47</v>
      </c>
      <c r="F8898" s="2" t="s">
        <v>48</v>
      </c>
      <c r="G8898" s="2" t="str">
        <f>"M_UNIDADE_REGIONAL"</f>
        <v>M_UNIDADE_REGIONAL</v>
      </c>
    </row>
    <row r="8899" spans="1:7" x14ac:dyDescent="0.3">
      <c r="A8899" s="1" t="s">
        <v>4</v>
      </c>
      <c r="B8899" s="2" t="str">
        <f t="shared" si="745"/>
        <v>SISTEMA DE GERENCIAMENTO AMBULATORIAL</v>
      </c>
      <c r="C8899" s="2" t="str">
        <f t="shared" si="746"/>
        <v>ATEND</v>
      </c>
      <c r="D8899" s="2" t="str">
        <f t="shared" si="747"/>
        <v>PARA</v>
      </c>
      <c r="E8899" s="2" t="str">
        <f>"REL. ATEND. POR SERVIÇO X TIPO DE ATEND."</f>
        <v>REL. ATEND. POR SERVIÇO X TIPO DE ATEND.</v>
      </c>
      <c r="F8899" s="2" t="str">
        <f>"R_EST_SER_DIS_TP_ATEND.RDF"</f>
        <v>R_EST_SER_DIS_TP_ATEND.RDF</v>
      </c>
      <c r="G8899" s="2" t="str">
        <f t="shared" ref="G8899:G8909" si="748">" ()"</f>
        <v xml:space="preserve"> ()</v>
      </c>
    </row>
    <row r="8900" spans="1:7" x14ac:dyDescent="0.3">
      <c r="A8900" s="1" t="s">
        <v>4</v>
      </c>
      <c r="B8900" s="2" t="str">
        <f t="shared" si="745"/>
        <v>SISTEMA DE GERENCIAMENTO AMBULATORIAL</v>
      </c>
      <c r="C8900" s="2" t="str">
        <f t="shared" si="746"/>
        <v>ATEND</v>
      </c>
      <c r="D8900" s="2" t="str">
        <f t="shared" si="747"/>
        <v>PARA</v>
      </c>
      <c r="E8900" s="2" t="str">
        <f>"REL. AGENDAS POR SESSÕES"</f>
        <v>REL. AGENDAS POR SESSÕES</v>
      </c>
      <c r="F8900" s="2" t="str">
        <f>"R_AGENDA_SESSOES_PERIODO.RDF"</f>
        <v>R_AGENDA_SESSOES_PERIODO.RDF</v>
      </c>
      <c r="G8900" s="2" t="str">
        <f t="shared" si="748"/>
        <v xml:space="preserve"> ()</v>
      </c>
    </row>
    <row r="8901" spans="1:7" x14ac:dyDescent="0.3">
      <c r="A8901" s="1" t="s">
        <v>4</v>
      </c>
      <c r="B8901" s="2" t="str">
        <f t="shared" si="745"/>
        <v>SISTEMA DE GERENCIAMENTO AMBULATORIAL</v>
      </c>
      <c r="C8901" s="2" t="str">
        <f t="shared" si="746"/>
        <v>ATEND</v>
      </c>
      <c r="D8901" s="2" t="str">
        <f t="shared" si="747"/>
        <v>PARA</v>
      </c>
      <c r="E8901" s="2" t="str">
        <f>"VACINAS"</f>
        <v>VACINAS</v>
      </c>
      <c r="F8901" s="2" t="str">
        <f>"R_VACINAS.RDF"</f>
        <v>R_VACINAS.RDF</v>
      </c>
      <c r="G8901" s="2" t="str">
        <f t="shared" si="748"/>
        <v xml:space="preserve"> ()</v>
      </c>
    </row>
    <row r="8902" spans="1:7" x14ac:dyDescent="0.3">
      <c r="A8902" s="1" t="s">
        <v>4</v>
      </c>
      <c r="B8902" s="2" t="str">
        <f t="shared" si="745"/>
        <v>SISTEMA DE GERENCIAMENTO AMBULATORIAL</v>
      </c>
      <c r="C8902" s="2" t="str">
        <f t="shared" si="746"/>
        <v>ATEND</v>
      </c>
      <c r="D8902" s="2" t="str">
        <f t="shared" si="747"/>
        <v>PARA</v>
      </c>
      <c r="E8902" s="2" t="str">
        <f>"RELATÓRIO DA TABELAS DOS TEXTOS PADRÃO"</f>
        <v>RELATÓRIO DA TABELAS DOS TEXTOS PADRÃO</v>
      </c>
      <c r="F8902" s="2" t="str">
        <f>"R_TPAD.RDF"</f>
        <v>R_TPAD.RDF</v>
      </c>
      <c r="G8902" s="2" t="str">
        <f t="shared" si="748"/>
        <v xml:space="preserve"> ()</v>
      </c>
    </row>
    <row r="8903" spans="1:7" x14ac:dyDescent="0.3">
      <c r="A8903" s="1" t="s">
        <v>4</v>
      </c>
      <c r="B8903" s="2" t="str">
        <f t="shared" si="745"/>
        <v>SISTEMA DE GERENCIAMENTO AMBULATORIAL</v>
      </c>
      <c r="C8903" s="2" t="str">
        <f t="shared" si="746"/>
        <v>ATEND</v>
      </c>
      <c r="D8903" s="2" t="str">
        <f t="shared" si="747"/>
        <v>PARA</v>
      </c>
      <c r="E8903" s="2" t="str">
        <f>"COMPROVANTE DE AGENDAMENTO"</f>
        <v>COMPROVANTE DE AGENDAMENTO</v>
      </c>
      <c r="F8903" s="2" t="str">
        <f>"R_COMPROVANTE_AGENDA_745"</f>
        <v>R_COMPROVANTE_AGENDA_745</v>
      </c>
      <c r="G8903" s="2" t="str">
        <f t="shared" si="748"/>
        <v xml:space="preserve"> ()</v>
      </c>
    </row>
    <row r="8904" spans="1:7" x14ac:dyDescent="0.3">
      <c r="A8904" s="1" t="s">
        <v>4</v>
      </c>
      <c r="B8904" s="2" t="str">
        <f t="shared" si="745"/>
        <v>SISTEMA DE GERENCIAMENTO AMBULATORIAL</v>
      </c>
      <c r="C8904" s="2" t="str">
        <f t="shared" si="746"/>
        <v>ATEND</v>
      </c>
      <c r="D8904" s="2" t="str">
        <f t="shared" si="747"/>
        <v>PARA</v>
      </c>
      <c r="E8904" s="2" t="str">
        <f>"CADASTRO: PLANTÕES"</f>
        <v>CADASTRO: PLANTÕES</v>
      </c>
      <c r="F8904" s="2" t="str">
        <f>"O_CONF_CONS"</f>
        <v>O_CONF_CONS</v>
      </c>
      <c r="G8904" s="2" t="str">
        <f t="shared" si="748"/>
        <v xml:space="preserve"> ()</v>
      </c>
    </row>
    <row r="8905" spans="1:7" x14ac:dyDescent="0.3">
      <c r="A8905" s="1" t="s">
        <v>4</v>
      </c>
      <c r="B8905" s="2" t="str">
        <f t="shared" si="745"/>
        <v>SISTEMA DE GERENCIAMENTO AMBULATORIAL</v>
      </c>
      <c r="C8905" s="2" t="str">
        <f t="shared" si="746"/>
        <v>ATEND</v>
      </c>
      <c r="D8905" s="2" t="str">
        <f t="shared" si="747"/>
        <v>PARA</v>
      </c>
      <c r="E8905" s="2" t="str">
        <f>"BORDERO DE AGENDAMENTO DE PACIENTES"</f>
        <v>BORDERO DE AGENDAMENTO DE PACIENTES</v>
      </c>
      <c r="F8905" s="2" t="str">
        <f>"R_BORDERO"</f>
        <v>R_BORDERO</v>
      </c>
      <c r="G8905" s="2" t="str">
        <f t="shared" si="748"/>
        <v xml:space="preserve"> ()</v>
      </c>
    </row>
    <row r="8906" spans="1:7" x14ac:dyDescent="0.3">
      <c r="A8906" s="1" t="s">
        <v>4</v>
      </c>
      <c r="B8906" s="2" t="str">
        <f t="shared" si="745"/>
        <v>SISTEMA DE GERENCIAMENTO AMBULATORIAL</v>
      </c>
      <c r="C8906" s="2" t="str">
        <f t="shared" si="746"/>
        <v>ATEND</v>
      </c>
      <c r="D8906" s="2" t="str">
        <f t="shared" si="747"/>
        <v>PARA</v>
      </c>
      <c r="E8906" s="2" t="str">
        <f>"M_FALTA_MEDICA_PERIODO.FMX"</f>
        <v>M_FALTA_MEDICA_PERIODO.FMX</v>
      </c>
      <c r="F8906" s="2" t="str">
        <f>"M_FALTA_MEDICA_PERIODO.FMX"</f>
        <v>M_FALTA_MEDICA_PERIODO.FMX</v>
      </c>
      <c r="G8906" s="2" t="str">
        <f t="shared" si="748"/>
        <v xml:space="preserve"> ()</v>
      </c>
    </row>
    <row r="8907" spans="1:7" x14ac:dyDescent="0.3">
      <c r="A8907" s="1" t="s">
        <v>4</v>
      </c>
      <c r="B8907" s="2" t="str">
        <f t="shared" si="745"/>
        <v>SISTEMA DE GERENCIAMENTO AMBULATORIAL</v>
      </c>
      <c r="C8907" s="2" t="str">
        <f t="shared" si="746"/>
        <v>ATEND</v>
      </c>
      <c r="D8907" s="2" t="str">
        <f t="shared" si="747"/>
        <v>PARA</v>
      </c>
      <c r="E8907" s="2" t="str">
        <f>"R_ETQ_CARTAO_745"</f>
        <v>R_ETQ_CARTAO_745</v>
      </c>
      <c r="F8907" s="2" t="str">
        <f>"R_ETQ_CARTAO_745"</f>
        <v>R_ETQ_CARTAO_745</v>
      </c>
      <c r="G8907" s="2" t="str">
        <f t="shared" si="748"/>
        <v xml:space="preserve"> ()</v>
      </c>
    </row>
    <row r="8908" spans="1:7" x14ac:dyDescent="0.3">
      <c r="A8908" s="1" t="s">
        <v>4</v>
      </c>
      <c r="B8908" s="2" t="str">
        <f t="shared" si="745"/>
        <v>SISTEMA DE GERENCIAMENTO AMBULATORIAL</v>
      </c>
      <c r="C8908" s="2" t="str">
        <f t="shared" si="746"/>
        <v>ATEND</v>
      </c>
      <c r="D8908" s="2" t="str">
        <f t="shared" si="747"/>
        <v>PARA</v>
      </c>
      <c r="E8908" s="2" t="str">
        <f>"R_ETQ_PRONTUARIO_745"</f>
        <v>R_ETQ_PRONTUARIO_745</v>
      </c>
      <c r="F8908" s="2" t="str">
        <f>"R_ETQ_PRONTUARIO_745"</f>
        <v>R_ETQ_PRONTUARIO_745</v>
      </c>
      <c r="G8908" s="2" t="str">
        <f t="shared" si="748"/>
        <v xml:space="preserve"> ()</v>
      </c>
    </row>
    <row r="8909" spans="1:7" x14ac:dyDescent="0.3">
      <c r="A8909" s="1" t="s">
        <v>4</v>
      </c>
      <c r="B8909" s="2" t="str">
        <f t="shared" si="745"/>
        <v>SISTEMA DE GERENCIAMENTO AMBULATORIAL</v>
      </c>
      <c r="C8909" s="2" t="str">
        <f t="shared" si="746"/>
        <v>ATEND</v>
      </c>
      <c r="D8909" s="2" t="str">
        <f t="shared" si="747"/>
        <v>PARA</v>
      </c>
      <c r="E8909" s="2" t="str">
        <f>"PRODUTIVIDADE POR USUÁRIO - SINTÉTICO"</f>
        <v>PRODUTIVIDADE POR USUÁRIO - SINTÉTICO</v>
      </c>
      <c r="F8909" s="2" t="str">
        <f>"R_PROD_AGENDA_USUARIO_SINT"</f>
        <v>R_PROD_AGENDA_USUARIO_SINT</v>
      </c>
      <c r="G8909" s="2" t="str">
        <f t="shared" si="748"/>
        <v xml:space="preserve"> ()</v>
      </c>
    </row>
    <row r="8910" spans="1:7" x14ac:dyDescent="0.3">
      <c r="A8910" s="1" t="s">
        <v>4</v>
      </c>
      <c r="B8910" s="2" t="str">
        <f t="shared" ref="B8910:B8973" si="749">"SISTEMA DE GERENCIAMENTO DE INTERNAÇÃO"</f>
        <v>SISTEMA DE GERENCIAMENTO DE INTERNAÇÃO</v>
      </c>
      <c r="C8910" s="2" t="str">
        <f t="shared" ref="C8910:C8973" si="750">"INTER"</f>
        <v>INTER</v>
      </c>
      <c r="D8910" s="2" t="str">
        <f t="shared" ref="D8910:D8973" si="751">"PARI"</f>
        <v>PARI</v>
      </c>
      <c r="E8910" s="2" t="str">
        <f>"ALTA HOSPITALAR"</f>
        <v>ALTA HOSPITALAR</v>
      </c>
      <c r="F8910" s="2" t="str">
        <f>"ALTA_HOSPITALAR"</f>
        <v>ALTA_HOSPITALAR</v>
      </c>
      <c r="G8910" s="2" t="str">
        <f>"MVSaude / Vendas / Internação / Atendimento / Alta / Efetivação / Alta Hospitalar (ALTA_HOSPITALAR)"</f>
        <v>MVSaude / Vendas / Internação / Atendimento / Alta / Efetivação / Alta Hospitalar (ALTA_HOSPITALAR)</v>
      </c>
    </row>
    <row r="8911" spans="1:7" x14ac:dyDescent="0.3">
      <c r="A8911" s="1" t="s">
        <v>4</v>
      </c>
      <c r="B8911" s="2" t="str">
        <f t="shared" si="749"/>
        <v>SISTEMA DE GERENCIAMENTO DE INTERNAÇÃO</v>
      </c>
      <c r="C8911" s="2" t="str">
        <f t="shared" si="750"/>
        <v>INTER</v>
      </c>
      <c r="D8911" s="2" t="str">
        <f t="shared" si="751"/>
        <v>PARI</v>
      </c>
      <c r="E8911" s="2" t="str">
        <f>"WIN_PRINCIPAL"</f>
        <v>WIN_PRINCIPAL</v>
      </c>
      <c r="F8911" s="2" t="str">
        <f>"M_CONFGURACAO_XML"</f>
        <v>M_CONFGURACAO_XML</v>
      </c>
      <c r="G8911" s="2" t="str">
        <f>" ()"</f>
        <v xml:space="preserve"> ()</v>
      </c>
    </row>
    <row r="8912" spans="1:7" x14ac:dyDescent="0.3">
      <c r="A8912" s="1" t="s">
        <v>4</v>
      </c>
      <c r="B8912" s="2" t="str">
        <f t="shared" si="749"/>
        <v>SISTEMA DE GERENCIAMENTO DE INTERNAÇÃO</v>
      </c>
      <c r="C8912" s="2" t="str">
        <f t="shared" si="750"/>
        <v>INTER</v>
      </c>
      <c r="D8912" s="2" t="str">
        <f t="shared" si="751"/>
        <v>PARI</v>
      </c>
      <c r="E8912" s="2" t="str">
        <f>"PROCEDIMENTO SUS X FATURAMENTO"</f>
        <v>PROCEDIMENTO SUS X FATURAMENTO</v>
      </c>
      <c r="F8912" s="2" t="str">
        <f>"M_SUS_PRO_FAT"</f>
        <v>M_SUS_PRO_FAT</v>
      </c>
      <c r="G8912" s="2" t="str">
        <f>"MVSaude / Vendas / Internação / Tabelas / Procedimentos / Procedimento SUS X Convênios (M_SUS_PRO_FAT)"</f>
        <v>MVSaude / Vendas / Internação / Tabelas / Procedimentos / Procedimento SUS X Convênios (M_SUS_PRO_FAT)</v>
      </c>
    </row>
    <row r="8913" spans="1:7" x14ac:dyDescent="0.3">
      <c r="A8913" s="1" t="s">
        <v>4</v>
      </c>
      <c r="B8913" s="2" t="str">
        <f t="shared" si="749"/>
        <v>SISTEMA DE GERENCIAMENTO DE INTERNAÇÃO</v>
      </c>
      <c r="C8913" s="2" t="str">
        <f t="shared" si="750"/>
        <v>INTER</v>
      </c>
      <c r="D8913" s="2" t="str">
        <f t="shared" si="751"/>
        <v>PARI</v>
      </c>
      <c r="E8913" s="2" t="str">
        <f>"PROCEDIMENTO SUS X FATURAMENTO"</f>
        <v>PROCEDIMENTO SUS X FATURAMENTO</v>
      </c>
      <c r="F8913" s="2" t="str">
        <f>"M_SUS_PRO_FAT"</f>
        <v>M_SUS_PRO_FAT</v>
      </c>
      <c r="G8913" s="2" t="str">
        <f>"Atendimento / Internação / Tabelas / Procedimentos / Procedimento SUS X Convênios (M_SUS_PRO_FAT)"</f>
        <v>Atendimento / Internação / Tabelas / Procedimentos / Procedimento SUS X Convênios (M_SUS_PRO_FAT)</v>
      </c>
    </row>
    <row r="8914" spans="1:7" x14ac:dyDescent="0.3">
      <c r="A8914" s="1" t="s">
        <v>4</v>
      </c>
      <c r="B8914" s="2" t="str">
        <f t="shared" si="749"/>
        <v>SISTEMA DE GERENCIAMENTO DE INTERNAÇÃO</v>
      </c>
      <c r="C8914" s="2" t="str">
        <f t="shared" si="750"/>
        <v>INTER</v>
      </c>
      <c r="D8914" s="2" t="str">
        <f t="shared" si="751"/>
        <v>PARI</v>
      </c>
      <c r="E8914" s="2" t="str">
        <f>"PROCEDIMENTO SUS X FATURAMENTO"</f>
        <v>PROCEDIMENTO SUS X FATURAMENTO</v>
      </c>
      <c r="F8914" s="2" t="str">
        <f>"M_SUS_PRO_FAT"</f>
        <v>M_SUS_PRO_FAT</v>
      </c>
      <c r="G8914" s="2" t="str">
        <f>"MVSaude / Atendimento / Autorizações de Guias / Internação / Tabelas / Procedimentos / Procedimento SUS X Convênios (M_SUS_PRO_FAT)"</f>
        <v>MVSaude / Atendimento / Autorizações de Guias / Internação / Tabelas / Procedimentos / Procedimento SUS X Convênios (M_SUS_PRO_FAT)</v>
      </c>
    </row>
    <row r="8915" spans="1:7" x14ac:dyDescent="0.3">
      <c r="A8915" s="1" t="s">
        <v>4</v>
      </c>
      <c r="B8915" s="2" t="str">
        <f t="shared" si="749"/>
        <v>SISTEMA DE GERENCIAMENTO DE INTERNAÇÃO</v>
      </c>
      <c r="C8915" s="2" t="str">
        <f t="shared" si="750"/>
        <v>INTER</v>
      </c>
      <c r="D8915" s="2" t="str">
        <f t="shared" si="751"/>
        <v>PARI</v>
      </c>
      <c r="E8915" s="2" t="str">
        <f>"REL EST INTER POR UNIDADE INT E CONVENIO"</f>
        <v>REL EST INTER POR UNIDADE INT E CONVENIO</v>
      </c>
      <c r="F8915" s="2" t="str">
        <f>"R_EST_INTER_UNID_CONV"</f>
        <v>R_EST_INTER_UNID_CONV</v>
      </c>
      <c r="G8915" s="2" t="str">
        <f>"Serviços de Apoio / Serviço Arquivo Médico / Relatórios / Estatísticos / Internações / Por Unidade de Internação X Convênio (R_EST_INTER_UNID_CONV)"</f>
        <v>Serviços de Apoio / Serviço Arquivo Médico / Relatórios / Estatísticos / Internações / Por Unidade de Internação X Convênio (R_EST_INTER_UNID_CONV)</v>
      </c>
    </row>
    <row r="8916" spans="1:7" x14ac:dyDescent="0.3">
      <c r="A8916" s="1" t="s">
        <v>4</v>
      </c>
      <c r="B8916" s="2" t="str">
        <f t="shared" si="749"/>
        <v>SISTEMA DE GERENCIAMENTO DE INTERNAÇÃO</v>
      </c>
      <c r="C8916" s="2" t="str">
        <f t="shared" si="750"/>
        <v>INTER</v>
      </c>
      <c r="D8916" s="2" t="str">
        <f t="shared" si="751"/>
        <v>PARI</v>
      </c>
      <c r="E8916" s="2" t="str">
        <f>"REL EST INTER POR UNIDADE INT E CONVENIO"</f>
        <v>REL EST INTER POR UNIDADE INT E CONVENIO</v>
      </c>
      <c r="F8916" s="2" t="str">
        <f>"R_EST_INTER_UNID_CONV"</f>
        <v>R_EST_INTER_UNID_CONV</v>
      </c>
      <c r="G8916" s="2" t="str">
        <f>"MVSaude / Vendas / Internação / Relatórios / Estatísticos / Internações / Por Unidade de Internação X Convênio (R_EST_INTER_UNID_CONV)"</f>
        <v>MVSaude / Vendas / Internação / Relatórios / Estatísticos / Internações / Por Unidade de Internação X Convênio (R_EST_INTER_UNID_CONV)</v>
      </c>
    </row>
    <row r="8917" spans="1:7" x14ac:dyDescent="0.3">
      <c r="A8917" s="1" t="s">
        <v>4</v>
      </c>
      <c r="B8917" s="2" t="str">
        <f t="shared" si="749"/>
        <v>SISTEMA DE GERENCIAMENTO DE INTERNAÇÃO</v>
      </c>
      <c r="C8917" s="2" t="str">
        <f t="shared" si="750"/>
        <v>INTER</v>
      </c>
      <c r="D8917" s="2" t="str">
        <f t="shared" si="751"/>
        <v>PARI</v>
      </c>
      <c r="E8917" s="2" t="str">
        <f>"REL EST INTER POR UNIDADE INT E CONVENIO"</f>
        <v>REL EST INTER POR UNIDADE INT E CONVENIO</v>
      </c>
      <c r="F8917" s="2" t="str">
        <f>"R_EST_INTER_UNID_CONV"</f>
        <v>R_EST_INTER_UNID_CONV</v>
      </c>
      <c r="G8917" s="2" t="str">
        <f>"Atendimento / Internação / Relatórios / Estatísticos / Internações / Por Unidade de Internação X Convênio (R_EST_INTER_UNID_CONV)"</f>
        <v>Atendimento / Internação / Relatórios / Estatísticos / Internações / Por Unidade de Internação X Convênio (R_EST_INTER_UNID_CONV)</v>
      </c>
    </row>
    <row r="8918" spans="1:7" x14ac:dyDescent="0.3">
      <c r="A8918" s="1" t="s">
        <v>4</v>
      </c>
      <c r="B8918" s="2" t="str">
        <f t="shared" si="749"/>
        <v>SISTEMA DE GERENCIAMENTO DE INTERNAÇÃO</v>
      </c>
      <c r="C8918" s="2" t="str">
        <f t="shared" si="750"/>
        <v>INTER</v>
      </c>
      <c r="D8918" s="2" t="str">
        <f t="shared" si="751"/>
        <v>PARI</v>
      </c>
      <c r="E8918" s="2" t="str">
        <f>"REL EST INTER POR UNIDADE INT E CONVENIO"</f>
        <v>REL EST INTER POR UNIDADE INT E CONVENIO</v>
      </c>
      <c r="F8918" s="2" t="str">
        <f>"R_EST_INTER_UNID_CONV"</f>
        <v>R_EST_INTER_UNID_CONV</v>
      </c>
      <c r="G8918" s="2" t="str">
        <f>"MVSaude / Atendimento / Autorizações de Guias / Internação / Relatórios / Estatísticos / Internações / Por Unidade de Internação X Convênio (R_EST_INTER_UNID_CONV)"</f>
        <v>MVSaude / Atendimento / Autorizações de Guias / Internação / Relatórios / Estatísticos / Internações / Por Unidade de Internação X Convênio (R_EST_INTER_UNID_CONV)</v>
      </c>
    </row>
    <row r="8919" spans="1:7" x14ac:dyDescent="0.3">
      <c r="A8919" s="1" t="s">
        <v>4</v>
      </c>
      <c r="B8919" s="2" t="str">
        <f t="shared" si="749"/>
        <v>SISTEMA DE GERENCIAMENTO DE INTERNAÇÃO</v>
      </c>
      <c r="C8919" s="2" t="str">
        <f t="shared" si="750"/>
        <v>INTER</v>
      </c>
      <c r="D8919" s="2" t="str">
        <f t="shared" si="751"/>
        <v>PARI</v>
      </c>
      <c r="E8919" s="2" t="str">
        <f t="shared" ref="E8919:E8924" si="752">"RELATÓRIO DE ALTAS POR CONVÊNIO"</f>
        <v>RELATÓRIO DE ALTAS POR CONVÊNIO</v>
      </c>
      <c r="F8919" s="2" t="str">
        <f t="shared" ref="F8919:F8924" si="753">"R_ALTASCONVENIO"</f>
        <v>R_ALTASCONVENIO</v>
      </c>
      <c r="G8919" s="2" t="str">
        <f>"MVSaude / Vendas / Internação / Relatórios / Operacionais / Altas / Por Convênio (R_ALTASCONVENIO)"</f>
        <v>MVSaude / Vendas / Internação / Relatórios / Operacionais / Altas / Por Convênio (R_ALTASCONVENIO)</v>
      </c>
    </row>
    <row r="8920" spans="1:7" x14ac:dyDescent="0.3">
      <c r="A8920" s="1" t="s">
        <v>4</v>
      </c>
      <c r="B8920" s="2" t="str">
        <f t="shared" si="749"/>
        <v>SISTEMA DE GERENCIAMENTO DE INTERNAÇÃO</v>
      </c>
      <c r="C8920" s="2" t="str">
        <f t="shared" si="750"/>
        <v>INTER</v>
      </c>
      <c r="D8920" s="2" t="str">
        <f t="shared" si="751"/>
        <v>PARI</v>
      </c>
      <c r="E8920" s="2" t="str">
        <f t="shared" si="752"/>
        <v>RELATÓRIO DE ALTAS POR CONVÊNIO</v>
      </c>
      <c r="F8920" s="2" t="str">
        <f t="shared" si="753"/>
        <v>R_ALTASCONVENIO</v>
      </c>
      <c r="G8920" s="2" t="str">
        <f>"Atendimento / Internação / Relatórios / Operacionais / Altas / Por Convênio (R_ALTASCONVENIO)"</f>
        <v>Atendimento / Internação / Relatórios / Operacionais / Altas / Por Convênio (R_ALTASCONVENIO)</v>
      </c>
    </row>
    <row r="8921" spans="1:7" x14ac:dyDescent="0.3">
      <c r="A8921" s="1" t="s">
        <v>4</v>
      </c>
      <c r="B8921" s="2" t="str">
        <f t="shared" si="749"/>
        <v>SISTEMA DE GERENCIAMENTO DE INTERNAÇÃO</v>
      </c>
      <c r="C8921" s="2" t="str">
        <f t="shared" si="750"/>
        <v>INTER</v>
      </c>
      <c r="D8921" s="2" t="str">
        <f t="shared" si="751"/>
        <v>PARI</v>
      </c>
      <c r="E8921" s="2" t="str">
        <f t="shared" si="752"/>
        <v>RELATÓRIO DE ALTAS POR CONVÊNIO</v>
      </c>
      <c r="F8921" s="2" t="str">
        <f t="shared" si="753"/>
        <v>R_ALTASCONVENIO</v>
      </c>
      <c r="G8921" s="2" t="str">
        <f>"Controladoria / Tesouraria / Relatórios / Internação / Altas por Convenio (R_ALTASCONVENIO)"</f>
        <v>Controladoria / Tesouraria / Relatórios / Internação / Altas por Convenio (R_ALTASCONVENIO)</v>
      </c>
    </row>
    <row r="8922" spans="1:7" x14ac:dyDescent="0.3">
      <c r="A8922" s="1" t="s">
        <v>4</v>
      </c>
      <c r="B8922" s="2" t="str">
        <f t="shared" si="749"/>
        <v>SISTEMA DE GERENCIAMENTO DE INTERNAÇÃO</v>
      </c>
      <c r="C8922" s="2" t="str">
        <f t="shared" si="750"/>
        <v>INTER</v>
      </c>
      <c r="D8922" s="2" t="str">
        <f t="shared" si="751"/>
        <v>PARI</v>
      </c>
      <c r="E8922" s="2" t="str">
        <f t="shared" si="752"/>
        <v>RELATÓRIO DE ALTAS POR CONVÊNIO</v>
      </c>
      <c r="F8922" s="2" t="str">
        <f t="shared" si="753"/>
        <v>R_ALTASCONVENIO</v>
      </c>
      <c r="G8922" s="2" t="str">
        <f>"Serviços de Apoio / Serviço Arquivo Médico / Relatórios / Operacionais / Altas / Por Convênio (R_ALTASCONVENIO)"</f>
        <v>Serviços de Apoio / Serviço Arquivo Médico / Relatórios / Operacionais / Altas / Por Convênio (R_ALTASCONVENIO)</v>
      </c>
    </row>
    <row r="8923" spans="1:7" x14ac:dyDescent="0.3">
      <c r="A8923" s="1" t="s">
        <v>4</v>
      </c>
      <c r="B8923" s="2" t="str">
        <f t="shared" si="749"/>
        <v>SISTEMA DE GERENCIAMENTO DE INTERNAÇÃO</v>
      </c>
      <c r="C8923" s="2" t="str">
        <f t="shared" si="750"/>
        <v>INTER</v>
      </c>
      <c r="D8923" s="2" t="str">
        <f t="shared" si="751"/>
        <v>PARI</v>
      </c>
      <c r="E8923" s="2" t="str">
        <f t="shared" si="752"/>
        <v>RELATÓRIO DE ALTAS POR CONVÊNIO</v>
      </c>
      <c r="F8923" s="2" t="str">
        <f t="shared" si="753"/>
        <v>R_ALTASCONVENIO</v>
      </c>
      <c r="G8923" s="2" t="str">
        <f>"Atendimento / Internação Domiciliar (Home Care) / Relatórios / Operacionais / Altas por Convênio (R_ALTASCONVENIO)"</f>
        <v>Atendimento / Internação Domiciliar (Home Care) / Relatórios / Operacionais / Altas por Convênio (R_ALTASCONVENIO)</v>
      </c>
    </row>
    <row r="8924" spans="1:7" x14ac:dyDescent="0.3">
      <c r="A8924" s="1" t="s">
        <v>4</v>
      </c>
      <c r="B8924" s="2" t="str">
        <f t="shared" si="749"/>
        <v>SISTEMA DE GERENCIAMENTO DE INTERNAÇÃO</v>
      </c>
      <c r="C8924" s="2" t="str">
        <f t="shared" si="750"/>
        <v>INTER</v>
      </c>
      <c r="D8924" s="2" t="str">
        <f t="shared" si="751"/>
        <v>PARI</v>
      </c>
      <c r="E8924" s="2" t="str">
        <f t="shared" si="752"/>
        <v>RELATÓRIO DE ALTAS POR CONVÊNIO</v>
      </c>
      <c r="F8924" s="2" t="str">
        <f t="shared" si="753"/>
        <v>R_ALTASCONVENIO</v>
      </c>
      <c r="G8924" s="2" t="str">
        <f>"MVSaude / Atendimento / Autorizações de Guias / Internação / Relatórios / Operacionais / Altas / Por Convênio (R_ALTASCONVENIO)"</f>
        <v>MVSaude / Atendimento / Autorizações de Guias / Internação / Relatórios / Operacionais / Altas / Por Convênio (R_ALTASCONVENIO)</v>
      </c>
    </row>
    <row r="8925" spans="1:7" x14ac:dyDescent="0.3">
      <c r="A8925" s="1" t="s">
        <v>4</v>
      </c>
      <c r="B8925" s="2" t="str">
        <f t="shared" si="749"/>
        <v>SISTEMA DE GERENCIAMENTO DE INTERNAÇÃO</v>
      </c>
      <c r="C8925" s="2" t="str">
        <f t="shared" si="750"/>
        <v>INTER</v>
      </c>
      <c r="D8925" s="2" t="str">
        <f t="shared" si="751"/>
        <v>PARI</v>
      </c>
      <c r="E8925" s="2" t="str">
        <f t="shared" ref="E8925:F8927" si="754">"R_CONVENIOS_ORIGENS"</f>
        <v>R_CONVENIOS_ORIGENS</v>
      </c>
      <c r="F8925" s="2" t="str">
        <f t="shared" si="754"/>
        <v>R_CONVENIOS_ORIGENS</v>
      </c>
      <c r="G8925" s="2" t="str">
        <f>"Serviços de Apoio / Serviço Arquivo Médico / Relatórios / Estatísticos / Atendimentos / Por Convênio X Origem (R_CONVENIOS_ORIGENS)"</f>
        <v>Serviços de Apoio / Serviço Arquivo Médico / Relatórios / Estatísticos / Atendimentos / Por Convênio X Origem (R_CONVENIOS_ORIGENS)</v>
      </c>
    </row>
    <row r="8926" spans="1:7" x14ac:dyDescent="0.3">
      <c r="A8926" s="1" t="s">
        <v>4</v>
      </c>
      <c r="B8926" s="2" t="str">
        <f t="shared" si="749"/>
        <v>SISTEMA DE GERENCIAMENTO DE INTERNAÇÃO</v>
      </c>
      <c r="C8926" s="2" t="str">
        <f t="shared" si="750"/>
        <v>INTER</v>
      </c>
      <c r="D8926" s="2" t="str">
        <f t="shared" si="751"/>
        <v>PARI</v>
      </c>
      <c r="E8926" s="2" t="str">
        <f t="shared" si="754"/>
        <v>R_CONVENIOS_ORIGENS</v>
      </c>
      <c r="F8926" s="2" t="str">
        <f t="shared" si="754"/>
        <v>R_CONVENIOS_ORIGENS</v>
      </c>
      <c r="G8926" s="2" t="str">
        <f>"MVSaude / Vendas / Internação / Relatórios / Estatísticos / Atendimentos / Por Convênio X Origem (R_CONVENIOS_ORIGENS)"</f>
        <v>MVSaude / Vendas / Internação / Relatórios / Estatísticos / Atendimentos / Por Convênio X Origem (R_CONVENIOS_ORIGENS)</v>
      </c>
    </row>
    <row r="8927" spans="1:7" x14ac:dyDescent="0.3">
      <c r="A8927" s="1" t="s">
        <v>4</v>
      </c>
      <c r="B8927" s="2" t="str">
        <f t="shared" si="749"/>
        <v>SISTEMA DE GERENCIAMENTO DE INTERNAÇÃO</v>
      </c>
      <c r="C8927" s="2" t="str">
        <f t="shared" si="750"/>
        <v>INTER</v>
      </c>
      <c r="D8927" s="2" t="str">
        <f t="shared" si="751"/>
        <v>PARI</v>
      </c>
      <c r="E8927" s="2" t="str">
        <f t="shared" si="754"/>
        <v>R_CONVENIOS_ORIGENS</v>
      </c>
      <c r="F8927" s="2" t="str">
        <f t="shared" si="754"/>
        <v>R_CONVENIOS_ORIGENS</v>
      </c>
      <c r="G8927" s="2" t="str">
        <f>"Atendimento / Internação / Relatórios / Estatísticos / Atendimentos / Por Convênio X Origem (R_CONVENIOS_ORIGENS)"</f>
        <v>Atendimento / Internação / Relatórios / Estatísticos / Atendimentos / Por Convênio X Origem (R_CONVENIOS_ORIGENS)</v>
      </c>
    </row>
    <row r="8928" spans="1:7" x14ac:dyDescent="0.3">
      <c r="A8928" s="1" t="s">
        <v>4</v>
      </c>
      <c r="B8928" s="2" t="str">
        <f t="shared" si="749"/>
        <v>SISTEMA DE GERENCIAMENTO DE INTERNAÇÃO</v>
      </c>
      <c r="C8928" s="2" t="str">
        <f t="shared" si="750"/>
        <v>INTER</v>
      </c>
      <c r="D8928" s="2" t="str">
        <f t="shared" si="751"/>
        <v>PARI</v>
      </c>
      <c r="E8928" s="2" t="str">
        <f>"REL DE ETIQUETA CADASTRAL DE SOBRAL"</f>
        <v>REL DE ETIQUETA CADASTRAL DE SOBRAL</v>
      </c>
      <c r="F8928" s="2" t="str">
        <f>"R_ETIQUETA_CADASTRAL860"</f>
        <v>R_ETIQUETA_CADASTRAL860</v>
      </c>
      <c r="G8928" s="2" t="str">
        <f>" ()"</f>
        <v xml:space="preserve"> ()</v>
      </c>
    </row>
    <row r="8929" spans="1:7" x14ac:dyDescent="0.3">
      <c r="A8929" s="1" t="s">
        <v>4</v>
      </c>
      <c r="B8929" s="2" t="str">
        <f t="shared" si="749"/>
        <v>SISTEMA DE GERENCIAMENTO DE INTERNAÇÃO</v>
      </c>
      <c r="C8929" s="2" t="str">
        <f t="shared" si="750"/>
        <v>INTER</v>
      </c>
      <c r="D8929" s="2" t="str">
        <f t="shared" si="751"/>
        <v>PARI</v>
      </c>
      <c r="E8929" s="2" t="str">
        <f>"R_EST_OCUP_SINT"</f>
        <v>R_EST_OCUP_SINT</v>
      </c>
      <c r="F8929" s="2" t="str">
        <f>"R_EST_OCUP_SINT"</f>
        <v>R_EST_OCUP_SINT</v>
      </c>
      <c r="G8929" s="2" t="str">
        <f>" ()"</f>
        <v xml:space="preserve"> ()</v>
      </c>
    </row>
    <row r="8930" spans="1:7" x14ac:dyDescent="0.3">
      <c r="A8930" s="1" t="s">
        <v>4</v>
      </c>
      <c r="B8930" s="2" t="str">
        <f t="shared" si="749"/>
        <v>SISTEMA DE GERENCIAMENTO DE INTERNAÇÃO</v>
      </c>
      <c r="C8930" s="2" t="str">
        <f t="shared" si="750"/>
        <v>INTER</v>
      </c>
      <c r="D8930" s="2" t="str">
        <f t="shared" si="751"/>
        <v>PARI</v>
      </c>
      <c r="E8930" s="2" t="str">
        <f>"ALTERAÇÃO DE TIPO DE ACOMODAÇÃO"</f>
        <v>ALTERAÇÃO DE TIPO DE ACOMODAÇÃO</v>
      </c>
      <c r="F8930" s="2" t="str">
        <f>"ALT_INTOK_TP_ACOM"</f>
        <v>ALT_INTOK_TP_ACOM</v>
      </c>
      <c r="G8930" s="2" t="str">
        <f>" ()"</f>
        <v xml:space="preserve"> ()</v>
      </c>
    </row>
    <row r="8931" spans="1:7" x14ac:dyDescent="0.3">
      <c r="A8931" s="1" t="s">
        <v>4</v>
      </c>
      <c r="B8931" s="2" t="str">
        <f t="shared" si="749"/>
        <v>SISTEMA DE GERENCIAMENTO DE INTERNAÇÃO</v>
      </c>
      <c r="C8931" s="2" t="str">
        <f t="shared" si="750"/>
        <v>INTER</v>
      </c>
      <c r="D8931" s="2" t="str">
        <f t="shared" si="751"/>
        <v>PARI</v>
      </c>
      <c r="E8931" s="2" t="str">
        <f>"ALT_INTOK_CID"</f>
        <v>ALT_INTOK_CID</v>
      </c>
      <c r="F8931" s="2" t="str">
        <f>"ALT_INTOK_CID"</f>
        <v>ALT_INTOK_CID</v>
      </c>
      <c r="G8931" s="2" t="str">
        <f>" ()"</f>
        <v xml:space="preserve"> ()</v>
      </c>
    </row>
    <row r="8932" spans="1:7" x14ac:dyDescent="0.3">
      <c r="A8932" s="1" t="s">
        <v>4</v>
      </c>
      <c r="B8932" s="2" t="str">
        <f t="shared" si="749"/>
        <v>SISTEMA DE GERENCIAMENTO DE INTERNAÇÃO</v>
      </c>
      <c r="C8932" s="2" t="str">
        <f t="shared" si="750"/>
        <v>INTER</v>
      </c>
      <c r="D8932" s="2" t="str">
        <f t="shared" si="751"/>
        <v>PARI</v>
      </c>
      <c r="E8932" s="2" t="str">
        <f t="shared" ref="E8932:E8939" si="755">"REL CAUÇÕES RECEBIDAS"</f>
        <v>REL CAUÇÕES RECEBIDAS</v>
      </c>
      <c r="F8932" s="2" t="str">
        <f t="shared" ref="F8932:F8939" si="756">"R_CAUCAO_RECEB"</f>
        <v>R_CAUCAO_RECEB</v>
      </c>
      <c r="G8932" s="2" t="str">
        <f>"MVSaude / Vendas / Internação / Relatórios / Operacionais / Depósito de Pagamento Antecipado / Recebidas (R_CAUCAO_RECEB)"</f>
        <v>MVSaude / Vendas / Internação / Relatórios / Operacionais / Depósito de Pagamento Antecipado / Recebidas (R_CAUCAO_RECEB)</v>
      </c>
    </row>
    <row r="8933" spans="1:7" x14ac:dyDescent="0.3">
      <c r="A8933" s="1" t="s">
        <v>4</v>
      </c>
      <c r="B8933" s="2" t="str">
        <f t="shared" si="749"/>
        <v>SISTEMA DE GERENCIAMENTO DE INTERNAÇÃO</v>
      </c>
      <c r="C8933" s="2" t="str">
        <f t="shared" si="750"/>
        <v>INTER</v>
      </c>
      <c r="D8933" s="2" t="str">
        <f t="shared" si="751"/>
        <v>PARI</v>
      </c>
      <c r="E8933" s="2" t="str">
        <f t="shared" si="755"/>
        <v>REL CAUÇÕES RECEBIDAS</v>
      </c>
      <c r="F8933" s="2" t="str">
        <f t="shared" si="756"/>
        <v>R_CAUCAO_RECEB</v>
      </c>
      <c r="G8933" s="2" t="str">
        <f>"Atendimento / Urgência e Emergência / Relatórios / Operacionais /  Depósito de Pagamento Antecipado / Recebidas (R_CAUCAO_RECEB)"</f>
        <v>Atendimento / Urgência e Emergência / Relatórios / Operacionais /  Depósito de Pagamento Antecipado / Recebidas (R_CAUCAO_RECEB)</v>
      </c>
    </row>
    <row r="8934" spans="1:7" x14ac:dyDescent="0.3">
      <c r="A8934" s="1" t="s">
        <v>4</v>
      </c>
      <c r="B8934" s="2" t="str">
        <f t="shared" si="749"/>
        <v>SISTEMA DE GERENCIAMENTO DE INTERNAÇÃO</v>
      </c>
      <c r="C8934" s="2" t="str">
        <f t="shared" si="750"/>
        <v>INTER</v>
      </c>
      <c r="D8934" s="2" t="str">
        <f t="shared" si="751"/>
        <v>PARI</v>
      </c>
      <c r="E8934" s="2" t="str">
        <f t="shared" si="755"/>
        <v>REL CAUÇÕES RECEBIDAS</v>
      </c>
      <c r="F8934" s="2" t="str">
        <f t="shared" si="756"/>
        <v>R_CAUCAO_RECEB</v>
      </c>
      <c r="G8934" s="2" t="str">
        <f>"Atendimento / Internação / Relatórios / Operacionais / Depósito de Pagamento Antecipado / Recebidas (R_CAUCAO_RECEB)"</f>
        <v>Atendimento / Internação / Relatórios / Operacionais / Depósito de Pagamento Antecipado / Recebidas (R_CAUCAO_RECEB)</v>
      </c>
    </row>
    <row r="8935" spans="1:7" x14ac:dyDescent="0.3">
      <c r="A8935" s="1" t="s">
        <v>4</v>
      </c>
      <c r="B8935" s="2" t="str">
        <f t="shared" si="749"/>
        <v>SISTEMA DE GERENCIAMENTO DE INTERNAÇÃO</v>
      </c>
      <c r="C8935" s="2" t="str">
        <f t="shared" si="750"/>
        <v>INTER</v>
      </c>
      <c r="D8935" s="2" t="str">
        <f t="shared" si="751"/>
        <v>PARI</v>
      </c>
      <c r="E8935" s="2" t="str">
        <f t="shared" si="755"/>
        <v>REL CAUÇÕES RECEBIDAS</v>
      </c>
      <c r="F8935" s="2" t="str">
        <f t="shared" si="756"/>
        <v>R_CAUCAO_RECEB</v>
      </c>
      <c r="G8935" s="2" t="str">
        <f>"Serviços de Apoio / Serviço Arquivo Médico / Relatórios / Operacionais / Manutenção Depósito Antecipado / Recebidas (R_CAUCAO_RECEB)"</f>
        <v>Serviços de Apoio / Serviço Arquivo Médico / Relatórios / Operacionais / Manutenção Depósito Antecipado / Recebidas (R_CAUCAO_RECEB)</v>
      </c>
    </row>
    <row r="8936" spans="1:7" x14ac:dyDescent="0.3">
      <c r="A8936" s="1" t="s">
        <v>4</v>
      </c>
      <c r="B8936" s="2" t="str">
        <f t="shared" si="749"/>
        <v>SISTEMA DE GERENCIAMENTO DE INTERNAÇÃO</v>
      </c>
      <c r="C8936" s="2" t="str">
        <f t="shared" si="750"/>
        <v>INTER</v>
      </c>
      <c r="D8936" s="2" t="str">
        <f t="shared" si="751"/>
        <v>PARI</v>
      </c>
      <c r="E8936" s="2" t="str">
        <f t="shared" si="755"/>
        <v>REL CAUÇÕES RECEBIDAS</v>
      </c>
      <c r="F8936" s="2" t="str">
        <f t="shared" si="756"/>
        <v>R_CAUCAO_RECEB</v>
      </c>
      <c r="G8936" s="2" t="str">
        <f>"Controladoria / Tesouraria / Relatórios / Internação / Dep. Antecipado Recebidos (R_CAUCAO_RECEB)"</f>
        <v>Controladoria / Tesouraria / Relatórios / Internação / Dep. Antecipado Recebidos (R_CAUCAO_RECEB)</v>
      </c>
    </row>
    <row r="8937" spans="1:7" x14ac:dyDescent="0.3">
      <c r="A8937" s="1" t="s">
        <v>4</v>
      </c>
      <c r="B8937" s="2" t="str">
        <f t="shared" si="749"/>
        <v>SISTEMA DE GERENCIAMENTO DE INTERNAÇÃO</v>
      </c>
      <c r="C8937" s="2" t="str">
        <f t="shared" si="750"/>
        <v>INTER</v>
      </c>
      <c r="D8937" s="2" t="str">
        <f t="shared" si="751"/>
        <v>PARI</v>
      </c>
      <c r="E8937" s="2" t="str">
        <f t="shared" si="755"/>
        <v>REL CAUÇÕES RECEBIDAS</v>
      </c>
      <c r="F8937" s="2" t="str">
        <f t="shared" si="756"/>
        <v>R_CAUCAO_RECEB</v>
      </c>
      <c r="G8937" s="2" t="str">
        <f>"Diagnóstico e Terapia / Diagnóstico por Imagem / Relatórios / Operacionais / Caução / Recebidas (R_CAUCAO_RECEB)"</f>
        <v>Diagnóstico e Terapia / Diagnóstico por Imagem / Relatórios / Operacionais / Caução / Recebidas (R_CAUCAO_RECEB)</v>
      </c>
    </row>
    <row r="8938" spans="1:7" x14ac:dyDescent="0.3">
      <c r="A8938" s="1" t="s">
        <v>4</v>
      </c>
      <c r="B8938" s="2" t="str">
        <f t="shared" si="749"/>
        <v>SISTEMA DE GERENCIAMENTO DE INTERNAÇÃO</v>
      </c>
      <c r="C8938" s="2" t="str">
        <f t="shared" si="750"/>
        <v>INTER</v>
      </c>
      <c r="D8938" s="2" t="str">
        <f t="shared" si="751"/>
        <v>PARI</v>
      </c>
      <c r="E8938" s="2" t="str">
        <f t="shared" si="755"/>
        <v>REL CAUÇÕES RECEBIDAS</v>
      </c>
      <c r="F8938" s="2" t="str">
        <f t="shared" si="756"/>
        <v>R_CAUCAO_RECEB</v>
      </c>
      <c r="G8938" s="2" t="str">
        <f>"Atendimento / Internação Domiciliar (Home Care) / Relatórios / Operacionais / Cauções Recebidas (R_CAUCAO_RECEB)"</f>
        <v>Atendimento / Internação Domiciliar (Home Care) / Relatórios / Operacionais / Cauções Recebidas (R_CAUCAO_RECEB)</v>
      </c>
    </row>
    <row r="8939" spans="1:7" x14ac:dyDescent="0.3">
      <c r="A8939" s="1" t="s">
        <v>4</v>
      </c>
      <c r="B8939" s="2" t="str">
        <f t="shared" si="749"/>
        <v>SISTEMA DE GERENCIAMENTO DE INTERNAÇÃO</v>
      </c>
      <c r="C8939" s="2" t="str">
        <f t="shared" si="750"/>
        <v>INTER</v>
      </c>
      <c r="D8939" s="2" t="str">
        <f t="shared" si="751"/>
        <v>PARI</v>
      </c>
      <c r="E8939" s="2" t="str">
        <f t="shared" si="755"/>
        <v>REL CAUÇÕES RECEBIDAS</v>
      </c>
      <c r="F8939" s="2" t="str">
        <f t="shared" si="756"/>
        <v>R_CAUCAO_RECEB</v>
      </c>
      <c r="G8939" s="2" t="str">
        <f>"MVSaude / Atendimento / Autorizações de Guias / Internação / Relatórios / Operacionais / Depósito de Pagamento Antecipado / Recebidas (R_CAUCAO_RECEB)"</f>
        <v>MVSaude / Atendimento / Autorizações de Guias / Internação / Relatórios / Operacionais / Depósito de Pagamento Antecipado / Recebidas (R_CAUCAO_RECEB)</v>
      </c>
    </row>
    <row r="8940" spans="1:7" x14ac:dyDescent="0.3">
      <c r="A8940" s="1" t="s">
        <v>4</v>
      </c>
      <c r="B8940" s="2" t="str">
        <f t="shared" si="749"/>
        <v>SISTEMA DE GERENCIAMENTO DE INTERNAÇÃO</v>
      </c>
      <c r="C8940" s="2" t="str">
        <f t="shared" si="750"/>
        <v>INTER</v>
      </c>
      <c r="D8940" s="2" t="str">
        <f t="shared" si="751"/>
        <v>PARI</v>
      </c>
      <c r="E8940" s="2" t="str">
        <f>"RELATORIO DE ANAMNESE DO PACIENTE"</f>
        <v>RELATORIO DE ANAMNESE DO PACIENTE</v>
      </c>
      <c r="F8940" s="2" t="str">
        <f>"R_ANAMNESE"</f>
        <v>R_ANAMNESE</v>
      </c>
      <c r="G8940" s="2" t="str">
        <f>"MVSaude / Vendas / Internação / Relatórios / Operacionais / Anamnese (R_ANAMNESE)"</f>
        <v>MVSaude / Vendas / Internação / Relatórios / Operacionais / Anamnese (R_ANAMNESE)</v>
      </c>
    </row>
    <row r="8941" spans="1:7" x14ac:dyDescent="0.3">
      <c r="A8941" s="1" t="s">
        <v>4</v>
      </c>
      <c r="B8941" s="2" t="str">
        <f t="shared" si="749"/>
        <v>SISTEMA DE GERENCIAMENTO DE INTERNAÇÃO</v>
      </c>
      <c r="C8941" s="2" t="str">
        <f t="shared" si="750"/>
        <v>INTER</v>
      </c>
      <c r="D8941" s="2" t="str">
        <f t="shared" si="751"/>
        <v>PARI</v>
      </c>
      <c r="E8941" s="2" t="str">
        <f>"RELATORIO DE ANAMNESE DO PACIENTE"</f>
        <v>RELATORIO DE ANAMNESE DO PACIENTE</v>
      </c>
      <c r="F8941" s="2" t="str">
        <f>"R_ANAMNESE"</f>
        <v>R_ANAMNESE</v>
      </c>
      <c r="G8941" s="2" t="str">
        <f>"Atendimento / Internação / Relatórios / Operacionais / Anamnese (R_ANAMNESE)"</f>
        <v>Atendimento / Internação / Relatórios / Operacionais / Anamnese (R_ANAMNESE)</v>
      </c>
    </row>
    <row r="8942" spans="1:7" x14ac:dyDescent="0.3">
      <c r="A8942" s="1" t="s">
        <v>4</v>
      </c>
      <c r="B8942" s="2" t="str">
        <f t="shared" si="749"/>
        <v>SISTEMA DE GERENCIAMENTO DE INTERNAÇÃO</v>
      </c>
      <c r="C8942" s="2" t="str">
        <f t="shared" si="750"/>
        <v>INTER</v>
      </c>
      <c r="D8942" s="2" t="str">
        <f t="shared" si="751"/>
        <v>PARI</v>
      </c>
      <c r="E8942" s="2" t="str">
        <f>"RELATORIO DE ANAMNESE DO PACIENTE"</f>
        <v>RELATORIO DE ANAMNESE DO PACIENTE</v>
      </c>
      <c r="F8942" s="2" t="str">
        <f>"R_ANAMNESE"</f>
        <v>R_ANAMNESE</v>
      </c>
      <c r="G8942" s="2" t="str">
        <f>"MVSaude / Atendimento / Autorizações de Guias / Internação / Relatórios / Operacionais / Anamnese (R_ANAMNESE)"</f>
        <v>MVSaude / Atendimento / Autorizações de Guias / Internação / Relatórios / Operacionais / Anamnese (R_ANAMNESE)</v>
      </c>
    </row>
    <row r="8943" spans="1:7" x14ac:dyDescent="0.3">
      <c r="A8943" s="1" t="s">
        <v>4</v>
      </c>
      <c r="B8943" s="2" t="str">
        <f t="shared" si="749"/>
        <v>SISTEMA DE GERENCIAMENTO DE INTERNAÇÃO</v>
      </c>
      <c r="C8943" s="2" t="str">
        <f t="shared" si="750"/>
        <v>INTER</v>
      </c>
      <c r="D8943" s="2" t="str">
        <f t="shared" si="751"/>
        <v>PARI</v>
      </c>
      <c r="E8943" s="2" t="str">
        <f>"R_FICHAPAC_460"</f>
        <v>R_FICHAPAC_460</v>
      </c>
      <c r="F8943" s="2" t="str">
        <f>"R_FICHAPAC_460"</f>
        <v>R_FICHAPAC_460</v>
      </c>
      <c r="G8943" s="2" t="str">
        <f>" ()"</f>
        <v xml:space="preserve"> ()</v>
      </c>
    </row>
    <row r="8944" spans="1:7" x14ac:dyDescent="0.3">
      <c r="A8944" s="1" t="s">
        <v>4</v>
      </c>
      <c r="B8944" s="2" t="str">
        <f t="shared" si="749"/>
        <v>SISTEMA DE GERENCIAMENTO DE INTERNAÇÃO</v>
      </c>
      <c r="C8944" s="2" t="str">
        <f t="shared" si="750"/>
        <v>INTER</v>
      </c>
      <c r="D8944" s="2" t="str">
        <f t="shared" si="751"/>
        <v>PARI</v>
      </c>
      <c r="E8944" s="2" t="str">
        <f t="shared" ref="E8944:F8946" si="757">"R_INTERN_SIN"</f>
        <v>R_INTERN_SIN</v>
      </c>
      <c r="F8944" s="2" t="str">
        <f t="shared" si="757"/>
        <v>R_INTERN_SIN</v>
      </c>
      <c r="G8944" s="2" t="str">
        <f>"MVSaude / Vendas / Internação / Relatórios / Estatísticos / Internações / Por Ano (Sintético) (R_INTERN_SIN)"</f>
        <v>MVSaude / Vendas / Internação / Relatórios / Estatísticos / Internações / Por Ano (Sintético) (R_INTERN_SIN)</v>
      </c>
    </row>
    <row r="8945" spans="1:7" x14ac:dyDescent="0.3">
      <c r="A8945" s="1" t="s">
        <v>4</v>
      </c>
      <c r="B8945" s="2" t="str">
        <f t="shared" si="749"/>
        <v>SISTEMA DE GERENCIAMENTO DE INTERNAÇÃO</v>
      </c>
      <c r="C8945" s="2" t="str">
        <f t="shared" si="750"/>
        <v>INTER</v>
      </c>
      <c r="D8945" s="2" t="str">
        <f t="shared" si="751"/>
        <v>PARI</v>
      </c>
      <c r="E8945" s="2" t="str">
        <f t="shared" si="757"/>
        <v>R_INTERN_SIN</v>
      </c>
      <c r="F8945" s="2" t="str">
        <f t="shared" si="757"/>
        <v>R_INTERN_SIN</v>
      </c>
      <c r="G8945" s="2" t="str">
        <f>"Atendimento / Internação / Relatórios / Estatísticos / Internações / Por Ano (Sintético) (R_INTERN_SIN)"</f>
        <v>Atendimento / Internação / Relatórios / Estatísticos / Internações / Por Ano (Sintético) (R_INTERN_SIN)</v>
      </c>
    </row>
    <row r="8946" spans="1:7" x14ac:dyDescent="0.3">
      <c r="A8946" s="1" t="s">
        <v>4</v>
      </c>
      <c r="B8946" s="2" t="str">
        <f t="shared" si="749"/>
        <v>SISTEMA DE GERENCIAMENTO DE INTERNAÇÃO</v>
      </c>
      <c r="C8946" s="2" t="str">
        <f t="shared" si="750"/>
        <v>INTER</v>
      </c>
      <c r="D8946" s="2" t="str">
        <f t="shared" si="751"/>
        <v>PARI</v>
      </c>
      <c r="E8946" s="2" t="str">
        <f t="shared" si="757"/>
        <v>R_INTERN_SIN</v>
      </c>
      <c r="F8946" s="2" t="str">
        <f t="shared" si="757"/>
        <v>R_INTERN_SIN</v>
      </c>
      <c r="G8946" s="2" t="str">
        <f>"MVSaude / Atendimento / Autorizações de Guias / Internação / Relatórios / Estatísticos / Internações / Por Ano (Sintético) (R_INTERN_SIN)"</f>
        <v>MVSaude / Atendimento / Autorizações de Guias / Internação / Relatórios / Estatísticos / Internações / Por Ano (Sintético) (R_INTERN_SIN)</v>
      </c>
    </row>
    <row r="8947" spans="1:7" x14ac:dyDescent="0.3">
      <c r="A8947" s="1" t="s">
        <v>4</v>
      </c>
      <c r="B8947" s="2" t="str">
        <f t="shared" si="749"/>
        <v>SISTEMA DE GERENCIAMENTO DE INTERNAÇÃO</v>
      </c>
      <c r="C8947" s="2" t="str">
        <f t="shared" si="750"/>
        <v>INTER</v>
      </c>
      <c r="D8947" s="2" t="str">
        <f t="shared" si="751"/>
        <v>PARI</v>
      </c>
      <c r="E8947" s="2" t="str">
        <f>"GUIAS POR UNID. INTERNAÇÃO - SINTÉTICO"</f>
        <v>GUIAS POR UNID. INTERNAÇÃO - SINTÉTICO</v>
      </c>
      <c r="F8947" s="2" t="str">
        <f>"R_GUIAS_POR_UNID_INT_SINT"</f>
        <v>R_GUIAS_POR_UNID_INT_SINT</v>
      </c>
      <c r="G8947" s="2" t="str">
        <f>" ()"</f>
        <v xml:space="preserve"> ()</v>
      </c>
    </row>
    <row r="8948" spans="1:7" x14ac:dyDescent="0.3">
      <c r="A8948" s="1" t="s">
        <v>4</v>
      </c>
      <c r="B8948" s="2" t="str">
        <f t="shared" si="749"/>
        <v>SISTEMA DE GERENCIAMENTO DE INTERNAÇÃO</v>
      </c>
      <c r="C8948" s="2" t="str">
        <f t="shared" si="750"/>
        <v>INTER</v>
      </c>
      <c r="D8948" s="2" t="str">
        <f t="shared" si="751"/>
        <v>PARI</v>
      </c>
      <c r="E8948" s="2" t="str">
        <f>"Transporte de Paciente"</f>
        <v>Transporte de Paciente</v>
      </c>
      <c r="F8948" s="2" t="str">
        <f>"M_TRANSPORTE_PACIENTE"</f>
        <v>M_TRANSPORTE_PACIENTE</v>
      </c>
      <c r="G8948" s="2" t="str">
        <f>" ()"</f>
        <v xml:space="preserve"> ()</v>
      </c>
    </row>
    <row r="8949" spans="1:7" x14ac:dyDescent="0.3">
      <c r="A8949" s="1" t="s">
        <v>4</v>
      </c>
      <c r="B8949" s="2" t="str">
        <f t="shared" si="749"/>
        <v>SISTEMA DE GERENCIAMENTO DE INTERNAÇÃO</v>
      </c>
      <c r="C8949" s="2" t="str">
        <f t="shared" si="750"/>
        <v>INTER</v>
      </c>
      <c r="D8949" s="2" t="str">
        <f t="shared" si="751"/>
        <v>PARI</v>
      </c>
      <c r="E8949" s="2" t="str">
        <f>"Cadastro de Leito para Regulação"</f>
        <v>Cadastro de Leito para Regulação</v>
      </c>
      <c r="F8949" s="2" t="str">
        <f>"M_LEITO_REGULACAO"</f>
        <v>M_LEITO_REGULACAO</v>
      </c>
      <c r="G8949" s="2" t="str">
        <f>"Atendimento / Internação / Tabelas / Cadastro de Leito para Regulação (M_LEITO_REGULACAO)"</f>
        <v>Atendimento / Internação / Tabelas / Cadastro de Leito para Regulação (M_LEITO_REGULACAO)</v>
      </c>
    </row>
    <row r="8950" spans="1:7" x14ac:dyDescent="0.3">
      <c r="A8950" s="1" t="s">
        <v>4</v>
      </c>
      <c r="B8950" s="2" t="str">
        <f t="shared" si="749"/>
        <v>SISTEMA DE GERENCIAMENTO DE INTERNAÇÃO</v>
      </c>
      <c r="C8950" s="2" t="str">
        <f t="shared" si="750"/>
        <v>INTER</v>
      </c>
      <c r="D8950" s="2" t="str">
        <f t="shared" si="751"/>
        <v>PARI</v>
      </c>
      <c r="E8950" s="2" t="str">
        <f>"CADASTRO DE MOTIVOS DE ALTA"</f>
        <v>CADASTRO DE MOTIVOS DE ALTA</v>
      </c>
      <c r="F8950" s="2" t="str">
        <f>"CAD_MOT"</f>
        <v>CAD_MOT</v>
      </c>
      <c r="G8950" s="2" t="str">
        <f>"MVSaude / Vendas / Internação / Tabelas / Motivos de Alta (CAD_MOT)"</f>
        <v>MVSaude / Vendas / Internação / Tabelas / Motivos de Alta (CAD_MOT)</v>
      </c>
    </row>
    <row r="8951" spans="1:7" x14ac:dyDescent="0.3">
      <c r="A8951" s="1" t="s">
        <v>4</v>
      </c>
      <c r="B8951" s="2" t="str">
        <f t="shared" si="749"/>
        <v>SISTEMA DE GERENCIAMENTO DE INTERNAÇÃO</v>
      </c>
      <c r="C8951" s="2" t="str">
        <f t="shared" si="750"/>
        <v>INTER</v>
      </c>
      <c r="D8951" s="2" t="str">
        <f t="shared" si="751"/>
        <v>PARI</v>
      </c>
      <c r="E8951" s="2" t="str">
        <f>"CADASTRO DE MOTIVOS DE ALTA"</f>
        <v>CADASTRO DE MOTIVOS DE ALTA</v>
      </c>
      <c r="F8951" s="2" t="str">
        <f>"CAD_MOT"</f>
        <v>CAD_MOT</v>
      </c>
      <c r="G8951" s="2" t="str">
        <f>"MVSaude / Atendimento / Autorizações de Guias / Internação / Tabelas / Motivos de Alta (CAD_MOT)"</f>
        <v>MVSaude / Atendimento / Autorizações de Guias / Internação / Tabelas / Motivos de Alta (CAD_MOT)</v>
      </c>
    </row>
    <row r="8952" spans="1:7" x14ac:dyDescent="0.3">
      <c r="A8952" s="1" t="s">
        <v>4</v>
      </c>
      <c r="B8952" s="2" t="str">
        <f t="shared" si="749"/>
        <v>SISTEMA DE GERENCIAMENTO DE INTERNAÇÃO</v>
      </c>
      <c r="C8952" s="2" t="str">
        <f t="shared" si="750"/>
        <v>INTER</v>
      </c>
      <c r="D8952" s="2" t="str">
        <f t="shared" si="751"/>
        <v>PARI</v>
      </c>
      <c r="E8952" s="2" t="str">
        <f>"CADASTRO DE MOTIVOS DE ALTA"</f>
        <v>CADASTRO DE MOTIVOS DE ALTA</v>
      </c>
      <c r="F8952" s="2" t="str">
        <f>"CAD_MOT"</f>
        <v>CAD_MOT</v>
      </c>
      <c r="G8952" s="2" t="str">
        <f>"Atendimento / Internação / Tabelas / Motivos de Alta (CAD_MOT)"</f>
        <v>Atendimento / Internação / Tabelas / Motivos de Alta (CAD_MOT)</v>
      </c>
    </row>
    <row r="8953" spans="1:7" x14ac:dyDescent="0.3">
      <c r="A8953" s="1" t="s">
        <v>4</v>
      </c>
      <c r="B8953" s="2" t="str">
        <f t="shared" si="749"/>
        <v>SISTEMA DE GERENCIAMENTO DE INTERNAÇÃO</v>
      </c>
      <c r="C8953" s="2" t="str">
        <f t="shared" si="750"/>
        <v>INTER</v>
      </c>
      <c r="D8953" s="2" t="str">
        <f t="shared" si="751"/>
        <v>PARI</v>
      </c>
      <c r="E8953" s="2" t="str">
        <f>"CADASTRO DE MOTIVOS DE ALTA"</f>
        <v>CADASTRO DE MOTIVOS DE ALTA</v>
      </c>
      <c r="F8953" s="2" t="str">
        <f>"CAD_MOT"</f>
        <v>CAD_MOT</v>
      </c>
      <c r="G8953" s="2" t="str">
        <f>"Atendimento / Internação Domiciliar (Home Care) / Tabelas / Motivos de Alta (CAD_MOT)"</f>
        <v>Atendimento / Internação Domiciliar (Home Care) / Tabelas / Motivos de Alta (CAD_MOT)</v>
      </c>
    </row>
    <row r="8954" spans="1:7" x14ac:dyDescent="0.3">
      <c r="A8954" s="1" t="s">
        <v>4</v>
      </c>
      <c r="B8954" s="2" t="str">
        <f t="shared" si="749"/>
        <v>SISTEMA DE GERENCIAMENTO DE INTERNAÇÃO</v>
      </c>
      <c r="C8954" s="2" t="str">
        <f t="shared" si="750"/>
        <v>INTER</v>
      </c>
      <c r="D8954" s="2" t="str">
        <f t="shared" si="751"/>
        <v>PARI</v>
      </c>
      <c r="E8954" s="2" t="str">
        <f>"Movimentação de Prestador Provisório"</f>
        <v>Movimentação de Prestador Provisório</v>
      </c>
      <c r="F8954" s="2" t="str">
        <f>"R_MOV_PREST_PROV"</f>
        <v>R_MOV_PREST_PROV</v>
      </c>
      <c r="G8954" s="2" t="str">
        <f>"Atendimento / Internação / Relatórios / Movimentação / Movimentação de Prestador Provisório (R_MOV_PREST_PROV)"</f>
        <v>Atendimento / Internação / Relatórios / Movimentação / Movimentação de Prestador Provisório (R_MOV_PREST_PROV)</v>
      </c>
    </row>
    <row r="8955" spans="1:7" x14ac:dyDescent="0.3">
      <c r="A8955" s="1" t="s">
        <v>4</v>
      </c>
      <c r="B8955" s="2" t="str">
        <f t="shared" si="749"/>
        <v>SISTEMA DE GERENCIAMENTO DE INTERNAÇÃO</v>
      </c>
      <c r="C8955" s="2" t="str">
        <f t="shared" si="750"/>
        <v>INTER</v>
      </c>
      <c r="D8955" s="2" t="str">
        <f t="shared" si="751"/>
        <v>PARI</v>
      </c>
      <c r="E8955" s="2" t="str">
        <f>"Censo Hospitalar - Lista de Pacientes"</f>
        <v>Censo Hospitalar - Lista de Pacientes</v>
      </c>
      <c r="F8955" s="2" t="str">
        <f>"R_CENSO_PACIENTES"</f>
        <v>R_CENSO_PACIENTES</v>
      </c>
      <c r="G8955" s="2" t="str">
        <f>"Atendimento / Internação / Relatórios / Operacionais / Censo Hospitalar - Lista de Pacientes (R_CENSO_PACIENTES)"</f>
        <v>Atendimento / Internação / Relatórios / Operacionais / Censo Hospitalar - Lista de Pacientes (R_CENSO_PACIENTES)</v>
      </c>
    </row>
    <row r="8956" spans="1:7" x14ac:dyDescent="0.3">
      <c r="A8956" s="1" t="s">
        <v>4</v>
      </c>
      <c r="B8956" s="2" t="str">
        <f t="shared" si="749"/>
        <v>SISTEMA DE GERENCIAMENTO DE INTERNAÇÃO</v>
      </c>
      <c r="C8956" s="2" t="str">
        <f t="shared" si="750"/>
        <v>INTER</v>
      </c>
      <c r="D8956" s="2" t="str">
        <f t="shared" si="751"/>
        <v>PARI</v>
      </c>
      <c r="E8956" s="2" t="str">
        <f>"SETOR EXECUTANTE (DE-PARA)"</f>
        <v>SETOR EXECUTANTE (DE-PARA)</v>
      </c>
      <c r="F8956" s="2" t="str">
        <f>"M_SETOR_EXECUTANTE_DE_PARA"</f>
        <v>M_SETOR_EXECUTANTE_DE_PARA</v>
      </c>
      <c r="G8956" s="2" t="str">
        <f>" ()"</f>
        <v xml:space="preserve"> ()</v>
      </c>
    </row>
    <row r="8957" spans="1:7" x14ac:dyDescent="0.3">
      <c r="A8957" s="1" t="s">
        <v>4</v>
      </c>
      <c r="B8957" s="2" t="str">
        <f t="shared" si="749"/>
        <v>SISTEMA DE GERENCIAMENTO DE INTERNAÇÃO</v>
      </c>
      <c r="C8957" s="2" t="str">
        <f t="shared" si="750"/>
        <v>INTER</v>
      </c>
      <c r="D8957" s="2" t="str">
        <f t="shared" si="751"/>
        <v>PARI</v>
      </c>
      <c r="E8957" s="2" t="str">
        <f>"INFORMAÇÕES DA TABELA DE INTEGRAÇÃO"</f>
        <v>INFORMAÇÕES DA TABELA DE INTEGRAÇÃO</v>
      </c>
      <c r="F8957" s="2" t="str">
        <f>"O_MONITORAMENTO_MENSAGEM_WS"</f>
        <v>O_MONITORAMENTO_MENSAGEM_WS</v>
      </c>
      <c r="G8957" s="2" t="str">
        <f>" ()"</f>
        <v xml:space="preserve"> ()</v>
      </c>
    </row>
    <row r="8958" spans="1:7" x14ac:dyDescent="0.3">
      <c r="A8958" s="1" t="s">
        <v>4</v>
      </c>
      <c r="B8958" s="2" t="str">
        <f t="shared" si="749"/>
        <v>SISTEMA DE GERENCIAMENTO DE INTERNAÇÃO</v>
      </c>
      <c r="C8958" s="2" t="str">
        <f t="shared" si="750"/>
        <v>INTER</v>
      </c>
      <c r="D8958" s="2" t="str">
        <f t="shared" si="751"/>
        <v>PARI</v>
      </c>
      <c r="E8958" s="2" t="str">
        <f>"CADASTRO DE PERFIL USUARIOS"</f>
        <v>CADASTRO DE PERFIL USUARIOS</v>
      </c>
      <c r="F8958" s="2" t="str">
        <f>"M_PERFIL_CENTRAL_LEITOS"</f>
        <v>M_PERFIL_CENTRAL_LEITOS</v>
      </c>
      <c r="G8958" s="2" t="str">
        <f>"Triagem - Lessnau / Perfis de Usuários da Gestão Centralizada de Leitos (M_PERFIL_CENTRAL_LEITOS)"</f>
        <v>Triagem - Lessnau / Perfis de Usuários da Gestão Centralizada de Leitos (M_PERFIL_CENTRAL_LEITOS)</v>
      </c>
    </row>
    <row r="8959" spans="1:7" x14ac:dyDescent="0.3">
      <c r="A8959" s="1" t="s">
        <v>4</v>
      </c>
      <c r="B8959" s="2" t="str">
        <f t="shared" si="749"/>
        <v>SISTEMA DE GERENCIAMENTO DE INTERNAÇÃO</v>
      </c>
      <c r="C8959" s="2" t="str">
        <f t="shared" si="750"/>
        <v>INTER</v>
      </c>
      <c r="D8959" s="2" t="str">
        <f t="shared" si="751"/>
        <v>PARI</v>
      </c>
      <c r="E8959" s="2" t="str">
        <f>"CANCEL. AVISO ALTA ADMINISTRATIVA"</f>
        <v>CANCEL. AVISO ALTA ADMINISTRATIVA</v>
      </c>
      <c r="F8959" s="2" t="str">
        <f>"CANCELA_SOLIC_ALTA_ADM"</f>
        <v>CANCELA_SOLIC_ALTA_ADM</v>
      </c>
      <c r="G8959" s="2" t="str">
        <f>"Atendimento / Internação / Atendimento / Alta / Cancelamento / Aviso de Alta Administrativa (CANCELA_SOLIC_ALTA_ADM)"</f>
        <v>Atendimento / Internação / Atendimento / Alta / Cancelamento / Aviso de Alta Administrativa (CANCELA_SOLIC_ALTA_ADM)</v>
      </c>
    </row>
    <row r="8960" spans="1:7" x14ac:dyDescent="0.3">
      <c r="A8960" s="1" t="s">
        <v>4</v>
      </c>
      <c r="B8960" s="2" t="str">
        <f t="shared" si="749"/>
        <v>SISTEMA DE GERENCIAMENTO DE INTERNAÇÃO</v>
      </c>
      <c r="C8960" s="2" t="str">
        <f t="shared" si="750"/>
        <v>INTER</v>
      </c>
      <c r="D8960" s="2" t="str">
        <f t="shared" si="751"/>
        <v>PARI</v>
      </c>
      <c r="E8960" s="2" t="str">
        <f>"Tempo de Kanban por Unid de Internação"</f>
        <v>Tempo de Kanban por Unid de Internação</v>
      </c>
      <c r="F8960" s="2" t="str">
        <f>"M_UNID_INT_KANBAN"</f>
        <v>M_UNID_INT_KANBAN</v>
      </c>
      <c r="G8960" s="2" t="str">
        <f>"Triagem - Lessnau / Programa de Regulação / Tempo do Kanban por Unidade de Internação (M_UNID_INT_KANBAN)"</f>
        <v>Triagem - Lessnau / Programa de Regulação / Tempo do Kanban por Unidade de Internação (M_UNID_INT_KANBAN)</v>
      </c>
    </row>
    <row r="8961" spans="1:7" x14ac:dyDescent="0.3">
      <c r="A8961" s="1" t="s">
        <v>4</v>
      </c>
      <c r="B8961" s="2" t="str">
        <f t="shared" si="749"/>
        <v>SISTEMA DE GERENCIAMENTO DE INTERNAÇÃO</v>
      </c>
      <c r="C8961" s="2" t="str">
        <f t="shared" si="750"/>
        <v>INTER</v>
      </c>
      <c r="D8961" s="2" t="str">
        <f t="shared" si="751"/>
        <v>PARI</v>
      </c>
      <c r="E8961" s="2" t="str">
        <f>"Motivos de Permanencia"</f>
        <v>Motivos de Permanencia</v>
      </c>
      <c r="F8961" s="2" t="str">
        <f>"M_MOTIVO_PERMANENCIA"</f>
        <v>M_MOTIVO_PERMANENCIA</v>
      </c>
      <c r="G8961" s="2" t="str">
        <f>"Triagem - Lessnau / Programa de Regulação / Motivo de Permanencia (M_MOTIVO_PERMANENCIA)"</f>
        <v>Triagem - Lessnau / Programa de Regulação / Motivo de Permanencia (M_MOTIVO_PERMANENCIA)</v>
      </c>
    </row>
    <row r="8962" spans="1:7" x14ac:dyDescent="0.3">
      <c r="A8962" s="1" t="s">
        <v>4</v>
      </c>
      <c r="B8962" s="2" t="str">
        <f t="shared" si="749"/>
        <v>SISTEMA DE GERENCIAMENTO DE INTERNAÇÃO</v>
      </c>
      <c r="C8962" s="2" t="str">
        <f t="shared" si="750"/>
        <v>INTER</v>
      </c>
      <c r="D8962" s="2" t="str">
        <f t="shared" si="751"/>
        <v>PARI</v>
      </c>
      <c r="E8962" s="2" t="str">
        <f>"Programa de Regulação de Leitos"</f>
        <v>Programa de Regulação de Leitos</v>
      </c>
      <c r="F8962" s="2" t="str">
        <f>"M_LEITO_PROGRAMA_SUS"</f>
        <v>M_LEITO_PROGRAMA_SUS</v>
      </c>
      <c r="G8962" s="2" t="str">
        <f>"Triagem - Lessnau / Programa de Regulação / Leito X Programa (M_LEITO_PROGRAMA_SUS)"</f>
        <v>Triagem - Lessnau / Programa de Regulação / Leito X Programa (M_LEITO_PROGRAMA_SUS)</v>
      </c>
    </row>
    <row r="8963" spans="1:7" x14ac:dyDescent="0.3">
      <c r="A8963" s="1" t="s">
        <v>4</v>
      </c>
      <c r="B8963" s="2" t="str">
        <f t="shared" si="749"/>
        <v>SISTEMA DE GERENCIAMENTO DE INTERNAÇÃO</v>
      </c>
      <c r="C8963" s="2" t="str">
        <f t="shared" si="750"/>
        <v>INTER</v>
      </c>
      <c r="D8963" s="2" t="str">
        <f t="shared" si="751"/>
        <v>PARI</v>
      </c>
      <c r="E8963" s="2" t="str">
        <f>"Grupo assistencial do SOS Emergencia"</f>
        <v>Grupo assistencial do SOS Emergencia</v>
      </c>
      <c r="F8963" s="2" t="str">
        <f>"M_GRUPO_ASSISTENCIAL"</f>
        <v>M_GRUPO_ASSISTENCIAL</v>
      </c>
      <c r="G8963" s="2" t="str">
        <f>" ()"</f>
        <v xml:space="preserve"> ()</v>
      </c>
    </row>
    <row r="8964" spans="1:7" x14ac:dyDescent="0.3">
      <c r="A8964" s="1" t="s">
        <v>4</v>
      </c>
      <c r="B8964" s="2" t="str">
        <f t="shared" si="749"/>
        <v>SISTEMA DE GERENCIAMENTO DE INTERNAÇÃO</v>
      </c>
      <c r="C8964" s="2" t="str">
        <f t="shared" si="750"/>
        <v>INTER</v>
      </c>
      <c r="D8964" s="2" t="str">
        <f t="shared" si="751"/>
        <v>PARI</v>
      </c>
      <c r="E8964" s="2" t="str">
        <f>"REL. AVISO ALTA MÉDICA C/ 2 VIAS"</f>
        <v>REL. AVISO ALTA MÉDICA C/ 2 VIAS</v>
      </c>
      <c r="F8964" s="2" t="str">
        <f>"R_AVISO_ALTA_MED"</f>
        <v>R_AVISO_ALTA_MED</v>
      </c>
      <c r="G8964" s="2" t="str">
        <f>" ()"</f>
        <v xml:space="preserve"> ()</v>
      </c>
    </row>
    <row r="8965" spans="1:7" x14ac:dyDescent="0.3">
      <c r="A8965" s="1" t="s">
        <v>4</v>
      </c>
      <c r="B8965" s="2" t="str">
        <f t="shared" si="749"/>
        <v>SISTEMA DE GERENCIAMENTO DE INTERNAÇÃO</v>
      </c>
      <c r="C8965" s="2" t="str">
        <f t="shared" si="750"/>
        <v>INTER</v>
      </c>
      <c r="D8965" s="2" t="str">
        <f t="shared" si="751"/>
        <v>PARI</v>
      </c>
      <c r="E8965" s="2" t="str">
        <f>"RELATÓRIO DE MOVIMENTAÇÃO DO LEITO"</f>
        <v>RELATÓRIO DE MOVIMENTAÇÃO DO LEITO</v>
      </c>
      <c r="F8965" s="2" t="str">
        <f>"R_MOV_LEITO"</f>
        <v>R_MOV_LEITO</v>
      </c>
      <c r="G8965" s="2" t="str">
        <f>"Atendimento / Internação / Relatórios / Movimentação / Movimentação do Leito (R_MOV_LEITO)"</f>
        <v>Atendimento / Internação / Relatórios / Movimentação / Movimentação do Leito (R_MOV_LEITO)</v>
      </c>
    </row>
    <row r="8966" spans="1:7" x14ac:dyDescent="0.3">
      <c r="A8966" s="1" t="s">
        <v>4</v>
      </c>
      <c r="B8966" s="2" t="str">
        <f t="shared" si="749"/>
        <v>SISTEMA DE GERENCIAMENTO DE INTERNAÇÃO</v>
      </c>
      <c r="C8966" s="2" t="str">
        <f t="shared" si="750"/>
        <v>INTER</v>
      </c>
      <c r="D8966" s="2" t="str">
        <f t="shared" si="751"/>
        <v>PARI</v>
      </c>
      <c r="E8966" s="2" t="str">
        <f>"REL.RETORNO DE PACIENTES À UTI (24H)"</f>
        <v>REL.RETORNO DE PACIENTES À UTI (24H)</v>
      </c>
      <c r="F8966" s="2" t="str">
        <f>"R_PAC_RETORNO_UTI"</f>
        <v>R_PAC_RETORNO_UTI</v>
      </c>
      <c r="G8966" s="2" t="str">
        <f>"Atendimento / Internação / Relatórios / Movimentação / Retorno de Pacientes à UTI (24h) (R_PAC_RETORNO_UTI)"</f>
        <v>Atendimento / Internação / Relatórios / Movimentação / Retorno de Pacientes à UTI (24h) (R_PAC_RETORNO_UTI)</v>
      </c>
    </row>
    <row r="8967" spans="1:7" x14ac:dyDescent="0.3">
      <c r="A8967" s="1" t="s">
        <v>4</v>
      </c>
      <c r="B8967" s="2" t="str">
        <f t="shared" si="749"/>
        <v>SISTEMA DE GERENCIAMENTO DE INTERNAÇÃO</v>
      </c>
      <c r="C8967" s="2" t="str">
        <f t="shared" si="750"/>
        <v>INTER</v>
      </c>
      <c r="D8967" s="2" t="str">
        <f t="shared" si="751"/>
        <v>PARI</v>
      </c>
      <c r="E8967" s="2" t="str">
        <f>"WIN_PRINCIPAL"</f>
        <v>WIN_PRINCIPAL</v>
      </c>
      <c r="F8967" s="2" t="str">
        <f>"M_ACOES_DIXTAL"</f>
        <v>M_ACOES_DIXTAL</v>
      </c>
      <c r="G8967" s="2" t="str">
        <f>" ()"</f>
        <v xml:space="preserve"> ()</v>
      </c>
    </row>
    <row r="8968" spans="1:7" x14ac:dyDescent="0.3">
      <c r="A8968" s="1" t="s">
        <v>4</v>
      </c>
      <c r="B8968" s="2" t="str">
        <f t="shared" si="749"/>
        <v>SISTEMA DE GERENCIAMENTO DE INTERNAÇÃO</v>
      </c>
      <c r="C8968" s="2" t="str">
        <f t="shared" si="750"/>
        <v>INTER</v>
      </c>
      <c r="D8968" s="2" t="str">
        <f t="shared" si="751"/>
        <v>PARI</v>
      </c>
      <c r="E8968" s="2" t="str">
        <f>"LISTAGEM DE ALTAS PREVISTAS NO PERÍODO"</f>
        <v>LISTAGEM DE ALTAS PREVISTAS NO PERÍODO</v>
      </c>
      <c r="F8968" s="2" t="str">
        <f>"R_PREV_ALTAS_MEDICO"</f>
        <v>R_PREV_ALTAS_MEDICO</v>
      </c>
      <c r="G8968" s="2" t="str">
        <f>"MVSaude / Vendas / Internação / Relatórios / Operacionais / Altas / Lista de Altas Previstas para o Perído / Por Prestador (R_PREV_ALTAS_MEDICO)"</f>
        <v>MVSaude / Vendas / Internação / Relatórios / Operacionais / Altas / Lista de Altas Previstas para o Perído / Por Prestador (R_PREV_ALTAS_MEDICO)</v>
      </c>
    </row>
    <row r="8969" spans="1:7" x14ac:dyDescent="0.3">
      <c r="A8969" s="1" t="s">
        <v>4</v>
      </c>
      <c r="B8969" s="2" t="str">
        <f t="shared" si="749"/>
        <v>SISTEMA DE GERENCIAMENTO DE INTERNAÇÃO</v>
      </c>
      <c r="C8969" s="2" t="str">
        <f t="shared" si="750"/>
        <v>INTER</v>
      </c>
      <c r="D8969" s="2" t="str">
        <f t="shared" si="751"/>
        <v>PARI</v>
      </c>
      <c r="E8969" s="2" t="str">
        <f>"LISTAGEM DE ALTAS PREVISTAS NO PERÍODO"</f>
        <v>LISTAGEM DE ALTAS PREVISTAS NO PERÍODO</v>
      </c>
      <c r="F8969" s="2" t="str">
        <f>"R_PREV_ALTAS_MEDICO"</f>
        <v>R_PREV_ALTAS_MEDICO</v>
      </c>
      <c r="G8969" s="2" t="str">
        <f>"Atendimento / Internação / Relatórios / Operacionais / Altas / Lista de Altas Previstas para o Perído / Por Prestador (R_PREV_ALTAS_MEDICO)"</f>
        <v>Atendimento / Internação / Relatórios / Operacionais / Altas / Lista de Altas Previstas para o Perído / Por Prestador (R_PREV_ALTAS_MEDICO)</v>
      </c>
    </row>
    <row r="8970" spans="1:7" x14ac:dyDescent="0.3">
      <c r="A8970" s="1" t="s">
        <v>4</v>
      </c>
      <c r="B8970" s="2" t="str">
        <f t="shared" si="749"/>
        <v>SISTEMA DE GERENCIAMENTO DE INTERNAÇÃO</v>
      </c>
      <c r="C8970" s="2" t="str">
        <f t="shared" si="750"/>
        <v>INTER</v>
      </c>
      <c r="D8970" s="2" t="str">
        <f t="shared" si="751"/>
        <v>PARI</v>
      </c>
      <c r="E8970" s="2" t="str">
        <f>"LISTAGEM DE ALTAS PREVISTAS NO PERÍODO"</f>
        <v>LISTAGEM DE ALTAS PREVISTAS NO PERÍODO</v>
      </c>
      <c r="F8970" s="2" t="str">
        <f>"R_PREV_ALTAS_MEDICO"</f>
        <v>R_PREV_ALTAS_MEDICO</v>
      </c>
      <c r="G8970" s="2" t="str">
        <f>"MVSaude / Atendimento / Autorizações de Guias / Internação / Relatórios / Operacionais / Altas / Lista de Altas Previstas para o Perído / Por Prestador (R_PREV_ALTAS_MEDICO)"</f>
        <v>MVSaude / Atendimento / Autorizações de Guias / Internação / Relatórios / Operacionais / Altas / Lista de Altas Previstas para o Perído / Por Prestador (R_PREV_ALTAS_MEDICO)</v>
      </c>
    </row>
    <row r="8971" spans="1:7" x14ac:dyDescent="0.3">
      <c r="A8971" s="1" t="s">
        <v>4</v>
      </c>
      <c r="B8971" s="2" t="str">
        <f t="shared" si="749"/>
        <v>SISTEMA DE GERENCIAMENTO DE INTERNAÇÃO</v>
      </c>
      <c r="C8971" s="2" t="str">
        <f t="shared" si="750"/>
        <v>INTER</v>
      </c>
      <c r="D8971" s="2" t="str">
        <f t="shared" si="751"/>
        <v>PARI</v>
      </c>
      <c r="E8971" s="2" t="str">
        <f>"TRG_DW_ATENDIME"</f>
        <v>TRG_DW_ATENDIME</v>
      </c>
      <c r="F8971" s="2" t="str">
        <f>"TRG_DW_ATENDIME"</f>
        <v>TRG_DW_ATENDIME</v>
      </c>
      <c r="G8971" s="2" t="str">
        <f>" ()"</f>
        <v xml:space="preserve"> ()</v>
      </c>
    </row>
    <row r="8972" spans="1:7" x14ac:dyDescent="0.3">
      <c r="A8972" s="1" t="s">
        <v>4</v>
      </c>
      <c r="B8972" s="2" t="str">
        <f t="shared" si="749"/>
        <v>SISTEMA DE GERENCIAMENTO DE INTERNAÇÃO</v>
      </c>
      <c r="C8972" s="2" t="str">
        <f t="shared" si="750"/>
        <v>INTER</v>
      </c>
      <c r="D8972" s="2" t="str">
        <f t="shared" si="751"/>
        <v>PARI</v>
      </c>
      <c r="E8972" s="2" t="str">
        <f>"RELATÓRIOS/ ESTAT. / ATENDIMENTOS /POR T"</f>
        <v>RELATÓRIOS/ ESTAT. / ATENDIMENTOS /POR T</v>
      </c>
      <c r="F8972" s="2" t="str">
        <f>"R_TP_INTERN_X_CONV"</f>
        <v>R_TP_INTERN_X_CONV</v>
      </c>
      <c r="G8972" s="2" t="str">
        <f>"Serviços de Apoio / Serviço Arquivo Médico / Relatórios / Estatísticos / Atendimentos / Por Tipo de Internação X Convênio (R_TP_INTERN_X_CONV)"</f>
        <v>Serviços de Apoio / Serviço Arquivo Médico / Relatórios / Estatísticos / Atendimentos / Por Tipo de Internação X Convênio (R_TP_INTERN_X_CONV)</v>
      </c>
    </row>
    <row r="8973" spans="1:7" x14ac:dyDescent="0.3">
      <c r="A8973" s="1" t="s">
        <v>4</v>
      </c>
      <c r="B8973" s="2" t="str">
        <f t="shared" si="749"/>
        <v>SISTEMA DE GERENCIAMENTO DE INTERNAÇÃO</v>
      </c>
      <c r="C8973" s="2" t="str">
        <f t="shared" si="750"/>
        <v>INTER</v>
      </c>
      <c r="D8973" s="2" t="str">
        <f t="shared" si="751"/>
        <v>PARI</v>
      </c>
      <c r="E8973" s="2" t="str">
        <f>"RELATÓRIOS/ ESTAT. / ATENDIMENTOS /POR T"</f>
        <v>RELATÓRIOS/ ESTAT. / ATENDIMENTOS /POR T</v>
      </c>
      <c r="F8973" s="2" t="str">
        <f>"R_TP_INTERN_X_CONV"</f>
        <v>R_TP_INTERN_X_CONV</v>
      </c>
      <c r="G8973" s="2" t="str">
        <f>"Atendimento / Urgência e Emergência / Relatórios / Estatísticos / Atendimentos por / Tipo de Paciente X Convênio (R_TP_INTERN_X_CONV)"</f>
        <v>Atendimento / Urgência e Emergência / Relatórios / Estatísticos / Atendimentos por / Tipo de Paciente X Convênio (R_TP_INTERN_X_CONV)</v>
      </c>
    </row>
    <row r="8974" spans="1:7" x14ac:dyDescent="0.3">
      <c r="A8974" s="1" t="s">
        <v>4</v>
      </c>
      <c r="B8974" s="2" t="str">
        <f t="shared" ref="B8974:B9037" si="758">"SISTEMA DE GERENCIAMENTO DE INTERNAÇÃO"</f>
        <v>SISTEMA DE GERENCIAMENTO DE INTERNAÇÃO</v>
      </c>
      <c r="C8974" s="2" t="str">
        <f t="shared" ref="C8974:C9037" si="759">"INTER"</f>
        <v>INTER</v>
      </c>
      <c r="D8974" s="2" t="str">
        <f t="shared" ref="D8974:D9037" si="760">"PARI"</f>
        <v>PARI</v>
      </c>
      <c r="E8974" s="2" t="str">
        <f>"RELATÓRIOS/ ESTAT. / ATENDIMENTOS /POR T"</f>
        <v>RELATÓRIOS/ ESTAT. / ATENDIMENTOS /POR T</v>
      </c>
      <c r="F8974" s="2" t="str">
        <f>"R_TP_INTERN_X_CONV"</f>
        <v>R_TP_INTERN_X_CONV</v>
      </c>
      <c r="G8974" s="2" t="str">
        <f>"MVSaude / Vendas / Internação / Relatórios / Estatísticos / Atendimentos / Por Tipo de Internação X Convênio (R_TP_INTERN_X_CONV)"</f>
        <v>MVSaude / Vendas / Internação / Relatórios / Estatísticos / Atendimentos / Por Tipo de Internação X Convênio (R_TP_INTERN_X_CONV)</v>
      </c>
    </row>
    <row r="8975" spans="1:7" x14ac:dyDescent="0.3">
      <c r="A8975" s="1" t="s">
        <v>4</v>
      </c>
      <c r="B8975" s="2" t="str">
        <f t="shared" si="758"/>
        <v>SISTEMA DE GERENCIAMENTO DE INTERNAÇÃO</v>
      </c>
      <c r="C8975" s="2" t="str">
        <f t="shared" si="759"/>
        <v>INTER</v>
      </c>
      <c r="D8975" s="2" t="str">
        <f t="shared" si="760"/>
        <v>PARI</v>
      </c>
      <c r="E8975" s="2" t="str">
        <f>"RELATÓRIOS/ ESTAT. / ATENDIMENTOS /POR T"</f>
        <v>RELATÓRIOS/ ESTAT. / ATENDIMENTOS /POR T</v>
      </c>
      <c r="F8975" s="2" t="str">
        <f>"R_TP_INTERN_X_CONV"</f>
        <v>R_TP_INTERN_X_CONV</v>
      </c>
      <c r="G8975" s="2" t="str">
        <f>"Atendimento / Internação / Relatórios / Estatísticos / Atendimentos / Por Tipo de Internação X Convênio (R_TP_INTERN_X_CONV)"</f>
        <v>Atendimento / Internação / Relatórios / Estatísticos / Atendimentos / Por Tipo de Internação X Convênio (R_TP_INTERN_X_CONV)</v>
      </c>
    </row>
    <row r="8976" spans="1:7" x14ac:dyDescent="0.3">
      <c r="A8976" s="1" t="s">
        <v>4</v>
      </c>
      <c r="B8976" s="2" t="str">
        <f t="shared" si="758"/>
        <v>SISTEMA DE GERENCIAMENTO DE INTERNAÇÃO</v>
      </c>
      <c r="C8976" s="2" t="str">
        <f t="shared" si="759"/>
        <v>INTER</v>
      </c>
      <c r="D8976" s="2" t="str">
        <f t="shared" si="760"/>
        <v>PARI</v>
      </c>
      <c r="E8976" s="2" t="str">
        <f>"RELATÓRIOS/ ESTAT. / ATENDIMENTOS /POR T"</f>
        <v>RELATÓRIOS/ ESTAT. / ATENDIMENTOS /POR T</v>
      </c>
      <c r="F8976" s="2" t="str">
        <f>"R_TP_INTERN_X_CONV"</f>
        <v>R_TP_INTERN_X_CONV</v>
      </c>
      <c r="G8976" s="2" t="str">
        <f>"MVSaude / Atendimento / Autorizações de Guias / Internação / Relatórios / Estatísticos / Atendimentos / Por Tipo de Internação X Convênio (R_TP_INTERN_X_CONV)"</f>
        <v>MVSaude / Atendimento / Autorizações de Guias / Internação / Relatórios / Estatísticos / Atendimentos / Por Tipo de Internação X Convênio (R_TP_INTERN_X_CONV)</v>
      </c>
    </row>
    <row r="8977" spans="1:7" x14ac:dyDescent="0.3">
      <c r="A8977" s="1" t="s">
        <v>4</v>
      </c>
      <c r="B8977" s="2" t="str">
        <f t="shared" si="758"/>
        <v>SISTEMA DE GERENCIAMENTO DE INTERNAÇÃO</v>
      </c>
      <c r="C8977" s="2" t="str">
        <f t="shared" si="759"/>
        <v>INTER</v>
      </c>
      <c r="D8977" s="2" t="str">
        <f t="shared" si="760"/>
        <v>PARI</v>
      </c>
      <c r="E8977" s="2" t="str">
        <f>"TERMO DE OPCAO DE SERV PARTICULAR"</f>
        <v>TERMO DE OPCAO DE SERV PARTICULAR</v>
      </c>
      <c r="F8977" s="2" t="str">
        <f>"R_TERMO_SERVICO_PART"</f>
        <v>R_TERMO_SERVICO_PART</v>
      </c>
      <c r="G8977" s="2" t="str">
        <f>" ()"</f>
        <v xml:space="preserve"> ()</v>
      </c>
    </row>
    <row r="8978" spans="1:7" x14ac:dyDescent="0.3">
      <c r="A8978" s="1" t="s">
        <v>4</v>
      </c>
      <c r="B8978" s="2" t="str">
        <f t="shared" si="758"/>
        <v>SISTEMA DE GERENCIAMENTO DE INTERNAÇÃO</v>
      </c>
      <c r="C8978" s="2" t="str">
        <f t="shared" si="759"/>
        <v>INTER</v>
      </c>
      <c r="D8978" s="2" t="str">
        <f t="shared" si="760"/>
        <v>PARI</v>
      </c>
      <c r="E8978" s="2" t="str">
        <f>"REL DE TERMO DE RESPONSA. UNIMED"</f>
        <v>REL DE TERMO DE RESPONSA. UNIMED</v>
      </c>
      <c r="F8978" s="2" t="str">
        <f>"R_TERMO_COMP_UNIMED"</f>
        <v>R_TERMO_COMP_UNIMED</v>
      </c>
      <c r="G8978" s="2" t="str">
        <f>" ()"</f>
        <v xml:space="preserve"> ()</v>
      </c>
    </row>
    <row r="8979" spans="1:7" x14ac:dyDescent="0.3">
      <c r="A8979" s="1" t="s">
        <v>4</v>
      </c>
      <c r="B8979" s="2" t="str">
        <f t="shared" si="758"/>
        <v>SISTEMA DE GERENCIAMENTO DE INTERNAÇÃO</v>
      </c>
      <c r="C8979" s="2" t="str">
        <f t="shared" si="759"/>
        <v>INTER</v>
      </c>
      <c r="D8979" s="2" t="str">
        <f t="shared" si="760"/>
        <v>PARI</v>
      </c>
      <c r="E8979" s="2" t="str">
        <f t="shared" ref="E8979:E8989" si="761">"RELATÓRIO DE TERMOS"</f>
        <v>RELATÓRIO DE TERMOS</v>
      </c>
      <c r="F8979" s="2" t="str">
        <f>"R_TERMO_GERAL_MOD_9"</f>
        <v>R_TERMO_GERAL_MOD_9</v>
      </c>
      <c r="G8979" s="2" t="str">
        <f>"Atendimento / Internação / Relatórios / Declarações e Termos / Autorização para Amputação (R_TERMO_GERAL_MOD_9)"</f>
        <v>Atendimento / Internação / Relatórios / Declarações e Termos / Autorização para Amputação (R_TERMO_GERAL_MOD_9)</v>
      </c>
    </row>
    <row r="8980" spans="1:7" x14ac:dyDescent="0.3">
      <c r="A8980" s="1" t="s">
        <v>4</v>
      </c>
      <c r="B8980" s="2" t="str">
        <f t="shared" si="758"/>
        <v>SISTEMA DE GERENCIAMENTO DE INTERNAÇÃO</v>
      </c>
      <c r="C8980" s="2" t="str">
        <f t="shared" si="759"/>
        <v>INTER</v>
      </c>
      <c r="D8980" s="2" t="str">
        <f t="shared" si="760"/>
        <v>PARI</v>
      </c>
      <c r="E8980" s="2" t="str">
        <f t="shared" si="761"/>
        <v>RELATÓRIO DE TERMOS</v>
      </c>
      <c r="F8980" s="2" t="str">
        <f>"R_TERMO_GERAL_MOD_8"</f>
        <v>R_TERMO_GERAL_MOD_8</v>
      </c>
      <c r="G8980" s="2" t="str">
        <f>"Atendimento / Internação / Relatórios / Declarações e Termos / Questionário (R_TERMO_GERAL_MOD_8)"</f>
        <v>Atendimento / Internação / Relatórios / Declarações e Termos / Questionário (R_TERMO_GERAL_MOD_8)</v>
      </c>
    </row>
    <row r="8981" spans="1:7" x14ac:dyDescent="0.3">
      <c r="A8981" s="1" t="s">
        <v>4</v>
      </c>
      <c r="B8981" s="2" t="str">
        <f t="shared" si="758"/>
        <v>SISTEMA DE GERENCIAMENTO DE INTERNAÇÃO</v>
      </c>
      <c r="C8981" s="2" t="str">
        <f t="shared" si="759"/>
        <v>INTER</v>
      </c>
      <c r="D8981" s="2" t="str">
        <f t="shared" si="760"/>
        <v>PARI</v>
      </c>
      <c r="E8981" s="2" t="str">
        <f t="shared" si="761"/>
        <v>RELATÓRIO DE TERMOS</v>
      </c>
      <c r="F8981" s="2" t="str">
        <f>"R_TERMO_GERAL_MOD_7"</f>
        <v>R_TERMO_GERAL_MOD_7</v>
      </c>
      <c r="G8981" s="2" t="str">
        <f>"Atendimento / Internação / Relatórios / Declarações e Termos / Autorização para Realizar/Mudar Procedimentos (R_TERMO_GERAL_MOD_7)"</f>
        <v>Atendimento / Internação / Relatórios / Declarações e Termos / Autorização para Realizar/Mudar Procedimentos (R_TERMO_GERAL_MOD_7)</v>
      </c>
    </row>
    <row r="8982" spans="1:7" x14ac:dyDescent="0.3">
      <c r="A8982" s="1" t="s">
        <v>4</v>
      </c>
      <c r="B8982" s="2" t="str">
        <f t="shared" si="758"/>
        <v>SISTEMA DE GERENCIAMENTO DE INTERNAÇÃO</v>
      </c>
      <c r="C8982" s="2" t="str">
        <f t="shared" si="759"/>
        <v>INTER</v>
      </c>
      <c r="D8982" s="2" t="str">
        <f t="shared" si="760"/>
        <v>PARI</v>
      </c>
      <c r="E8982" s="2" t="str">
        <f t="shared" si="761"/>
        <v>RELATÓRIO DE TERMOS</v>
      </c>
      <c r="F8982" s="2" t="str">
        <f>"R_TERMO_GERAL_MOD_6"</f>
        <v>R_TERMO_GERAL_MOD_6</v>
      </c>
      <c r="G8982" s="2" t="str">
        <f>"Atendimento / Internação / Relatórios / Declarações e Termos / Autorização para Realização de Procedimento (R_TERMO_GERAL_MOD_6)"</f>
        <v>Atendimento / Internação / Relatórios / Declarações e Termos / Autorização para Realização de Procedimento (R_TERMO_GERAL_MOD_6)</v>
      </c>
    </row>
    <row r="8983" spans="1:7" x14ac:dyDescent="0.3">
      <c r="A8983" s="1" t="s">
        <v>4</v>
      </c>
      <c r="B8983" s="2" t="str">
        <f t="shared" si="758"/>
        <v>SISTEMA DE GERENCIAMENTO DE INTERNAÇÃO</v>
      </c>
      <c r="C8983" s="2" t="str">
        <f t="shared" si="759"/>
        <v>INTER</v>
      </c>
      <c r="D8983" s="2" t="str">
        <f t="shared" si="760"/>
        <v>PARI</v>
      </c>
      <c r="E8983" s="2" t="str">
        <f t="shared" si="761"/>
        <v>RELATÓRIO DE TERMOS</v>
      </c>
      <c r="F8983" s="2" t="str">
        <f>"R_TERMO_GERAL_MOD_5"</f>
        <v>R_TERMO_GERAL_MOD_5</v>
      </c>
      <c r="G8983" s="2" t="str">
        <f>"Atendimento / Internação / Relatórios / Declarações e Termos / Termo de Resp. para Testemunhas de Jeová (R_TERMO_GERAL_MOD_5)"</f>
        <v>Atendimento / Internação / Relatórios / Declarações e Termos / Termo de Resp. para Testemunhas de Jeová (R_TERMO_GERAL_MOD_5)</v>
      </c>
    </row>
    <row r="8984" spans="1:7" x14ac:dyDescent="0.3">
      <c r="A8984" s="1" t="s">
        <v>4</v>
      </c>
      <c r="B8984" s="2" t="str">
        <f t="shared" si="758"/>
        <v>SISTEMA DE GERENCIAMENTO DE INTERNAÇÃO</v>
      </c>
      <c r="C8984" s="2" t="str">
        <f t="shared" si="759"/>
        <v>INTER</v>
      </c>
      <c r="D8984" s="2" t="str">
        <f t="shared" si="760"/>
        <v>PARI</v>
      </c>
      <c r="E8984" s="2" t="str">
        <f t="shared" si="761"/>
        <v>RELATÓRIO DE TERMOS</v>
      </c>
      <c r="F8984" s="2" t="str">
        <f>"R_TERMO_GERAL_MOD_4"</f>
        <v>R_TERMO_GERAL_MOD_4</v>
      </c>
      <c r="G8984" s="2" t="str">
        <f>"Atendimento / Internação / Relatórios / Declarações e Termos / Termo de Alta a Pedido do Paciente (R_TERMO_GERAL_MOD_4)"</f>
        <v>Atendimento / Internação / Relatórios / Declarações e Termos / Termo de Alta a Pedido do Paciente (R_TERMO_GERAL_MOD_4)</v>
      </c>
    </row>
    <row r="8985" spans="1:7" x14ac:dyDescent="0.3">
      <c r="A8985" s="1" t="s">
        <v>4</v>
      </c>
      <c r="B8985" s="2" t="str">
        <f t="shared" si="758"/>
        <v>SISTEMA DE GERENCIAMENTO DE INTERNAÇÃO</v>
      </c>
      <c r="C8985" s="2" t="str">
        <f t="shared" si="759"/>
        <v>INTER</v>
      </c>
      <c r="D8985" s="2" t="str">
        <f t="shared" si="760"/>
        <v>PARI</v>
      </c>
      <c r="E8985" s="2" t="str">
        <f t="shared" si="761"/>
        <v>RELATÓRIO DE TERMOS</v>
      </c>
      <c r="F8985" s="2" t="str">
        <f>"R_TERMO_GERAL_MOD_3"</f>
        <v>R_TERMO_GERAL_MOD_3</v>
      </c>
      <c r="G8985" s="2" t="str">
        <f>"Atendimento / Internação / Relatórios / Declarações e Termos / Termo de Alta a Pedido do Responsável (R_TERMO_GERAL_MOD_3)"</f>
        <v>Atendimento / Internação / Relatórios / Declarações e Termos / Termo de Alta a Pedido do Responsável (R_TERMO_GERAL_MOD_3)</v>
      </c>
    </row>
    <row r="8986" spans="1:7" x14ac:dyDescent="0.3">
      <c r="A8986" s="1" t="s">
        <v>4</v>
      </c>
      <c r="B8986" s="2" t="str">
        <f t="shared" si="758"/>
        <v>SISTEMA DE GERENCIAMENTO DE INTERNAÇÃO</v>
      </c>
      <c r="C8986" s="2" t="str">
        <f t="shared" si="759"/>
        <v>INTER</v>
      </c>
      <c r="D8986" s="2" t="str">
        <f t="shared" si="760"/>
        <v>PARI</v>
      </c>
      <c r="E8986" s="2" t="str">
        <f t="shared" si="761"/>
        <v>RELATÓRIO DE TERMOS</v>
      </c>
      <c r="F8986" s="2" t="str">
        <f>"R_TERMO_GERAL_MOD_2"</f>
        <v>R_TERMO_GERAL_MOD_2</v>
      </c>
      <c r="G8986" s="2" t="str">
        <f>"Atendimento / Internação / Relatórios / Declarações e Termos / Termo de Acompanhamento do Responsável (R_TERMO_GERAL_MOD_2)"</f>
        <v>Atendimento / Internação / Relatórios / Declarações e Termos / Termo de Acompanhamento do Responsável (R_TERMO_GERAL_MOD_2)</v>
      </c>
    </row>
    <row r="8987" spans="1:7" x14ac:dyDescent="0.3">
      <c r="A8987" s="1" t="s">
        <v>4</v>
      </c>
      <c r="B8987" s="2" t="str">
        <f t="shared" si="758"/>
        <v>SISTEMA DE GERENCIAMENTO DE INTERNAÇÃO</v>
      </c>
      <c r="C8987" s="2" t="str">
        <f t="shared" si="759"/>
        <v>INTER</v>
      </c>
      <c r="D8987" s="2" t="str">
        <f t="shared" si="760"/>
        <v>PARI</v>
      </c>
      <c r="E8987" s="2" t="str">
        <f t="shared" si="761"/>
        <v>RELATÓRIO DE TERMOS</v>
      </c>
      <c r="F8987" s="2" t="str">
        <f>"R_TERMO_GERAL_MOD_10"</f>
        <v>R_TERMO_GERAL_MOD_10</v>
      </c>
      <c r="G8987" s="2" t="str">
        <f>"Atendimento / Internação / Relatórios / Declarações e Termos / Declaração de Internação (R_TERMO_GERAL_MOD_10)"</f>
        <v>Atendimento / Internação / Relatórios / Declarações e Termos / Declaração de Internação (R_TERMO_GERAL_MOD_10)</v>
      </c>
    </row>
    <row r="8988" spans="1:7" x14ac:dyDescent="0.3">
      <c r="A8988" s="1" t="s">
        <v>4</v>
      </c>
      <c r="B8988" s="2" t="str">
        <f t="shared" si="758"/>
        <v>SISTEMA DE GERENCIAMENTO DE INTERNAÇÃO</v>
      </c>
      <c r="C8988" s="2" t="str">
        <f t="shared" si="759"/>
        <v>INTER</v>
      </c>
      <c r="D8988" s="2" t="str">
        <f t="shared" si="760"/>
        <v>PARI</v>
      </c>
      <c r="E8988" s="2" t="str">
        <f t="shared" si="761"/>
        <v>RELATÓRIO DE TERMOS</v>
      </c>
      <c r="F8988" s="2" t="str">
        <f>"R_TERMO_GERAL_MOD_1"</f>
        <v>R_TERMO_GERAL_MOD_1</v>
      </c>
      <c r="G8988" s="2" t="str">
        <f>"Atendimento / Internação / Relatórios / Declarações e Termos / Declaração de Paciente Internado (R_TERMO_GERAL_MOD_1)"</f>
        <v>Atendimento / Internação / Relatórios / Declarações e Termos / Declaração de Paciente Internado (R_TERMO_GERAL_MOD_1)</v>
      </c>
    </row>
    <row r="8989" spans="1:7" x14ac:dyDescent="0.3">
      <c r="A8989" s="1" t="s">
        <v>4</v>
      </c>
      <c r="B8989" s="2" t="str">
        <f t="shared" si="758"/>
        <v>SISTEMA DE GERENCIAMENTO DE INTERNAÇÃO</v>
      </c>
      <c r="C8989" s="2" t="str">
        <f t="shared" si="759"/>
        <v>INTER</v>
      </c>
      <c r="D8989" s="2" t="str">
        <f t="shared" si="760"/>
        <v>PARI</v>
      </c>
      <c r="E8989" s="2" t="str">
        <f t="shared" si="761"/>
        <v>RELATÓRIO DE TERMOS</v>
      </c>
      <c r="F8989" s="2" t="str">
        <f>"R_TERMO_GERAL_PAEU"</f>
        <v>R_TERMO_GERAL_PAEU</v>
      </c>
      <c r="G8989" s="2" t="str">
        <f>"Atendimento / Urgência e Emergência / Relatórios / Declarações / Termo do Acompanhamento do Responsável (R_TERMO_GERAL_PAEU)"</f>
        <v>Atendimento / Urgência e Emergência / Relatórios / Declarações / Termo do Acompanhamento do Responsável (R_TERMO_GERAL_PAEU)</v>
      </c>
    </row>
    <row r="8990" spans="1:7" x14ac:dyDescent="0.3">
      <c r="A8990" s="1" t="s">
        <v>4</v>
      </c>
      <c r="B8990" s="2" t="str">
        <f t="shared" si="758"/>
        <v>SISTEMA DE GERENCIAMENTO DE INTERNAÇÃO</v>
      </c>
      <c r="C8990" s="2" t="str">
        <f t="shared" si="759"/>
        <v>INTER</v>
      </c>
      <c r="D8990" s="2" t="str">
        <f t="shared" si="760"/>
        <v>PARI</v>
      </c>
      <c r="E8990" s="2" t="str">
        <f>"R_SOLIC_LIMPEZA_ALTA"</f>
        <v>R_SOLIC_LIMPEZA_ALTA</v>
      </c>
      <c r="F8990" s="2" t="str">
        <f>"R_SOLIC_LIMPEZA_ALTA"</f>
        <v>R_SOLIC_LIMPEZA_ALTA</v>
      </c>
      <c r="G8990" s="2" t="str">
        <f>" ()"</f>
        <v xml:space="preserve"> ()</v>
      </c>
    </row>
    <row r="8991" spans="1:7" x14ac:dyDescent="0.3">
      <c r="A8991" s="1" t="s">
        <v>4</v>
      </c>
      <c r="B8991" s="2" t="str">
        <f t="shared" si="758"/>
        <v>SISTEMA DE GERENCIAMENTO DE INTERNAÇÃO</v>
      </c>
      <c r="C8991" s="2" t="str">
        <f t="shared" si="759"/>
        <v>INTER</v>
      </c>
      <c r="D8991" s="2" t="str">
        <f t="shared" si="760"/>
        <v>PARI</v>
      </c>
      <c r="E8991" s="2" t="str">
        <f>"REL. SITUAÇÃO DOS ATENDIMENTOS (AIH7)"</f>
        <v>REL. SITUAÇÃO DOS ATENDIMENTOS (AIH7)</v>
      </c>
      <c r="F8991" s="2" t="str">
        <f>"R_SIT_ATEND"</f>
        <v>R_SIT_ATEND</v>
      </c>
      <c r="G8991" s="2" t="str">
        <f>"MVSaude / Atendimento / Autorizações de Guias / Internação / Relatórios / AIH / Situação dos Atendimentos (R_SIT_ATEND)"</f>
        <v>MVSaude / Atendimento / Autorizações de Guias / Internação / Relatórios / AIH / Situação dos Atendimentos (R_SIT_ATEND)</v>
      </c>
    </row>
    <row r="8992" spans="1:7" x14ac:dyDescent="0.3">
      <c r="A8992" s="1" t="s">
        <v>4</v>
      </c>
      <c r="B8992" s="2" t="str">
        <f t="shared" si="758"/>
        <v>SISTEMA DE GERENCIAMENTO DE INTERNAÇÃO</v>
      </c>
      <c r="C8992" s="2" t="str">
        <f t="shared" si="759"/>
        <v>INTER</v>
      </c>
      <c r="D8992" s="2" t="str">
        <f t="shared" si="760"/>
        <v>PARI</v>
      </c>
      <c r="E8992" s="2" t="str">
        <f>"REL. SITUAÇÃO DOS ATENDIMENTOS (AIH7)"</f>
        <v>REL. SITUAÇÃO DOS ATENDIMENTOS (AIH7)</v>
      </c>
      <c r="F8992" s="2" t="str">
        <f>"R_SIT_ATEND"</f>
        <v>R_SIT_ATEND</v>
      </c>
      <c r="G8992" s="2" t="str">
        <f>"MVSaude / Vendas / Internação / Relatórios / AIH / Situação dos Atendimentos (R_SIT_ATEND)"</f>
        <v>MVSaude / Vendas / Internação / Relatórios / AIH / Situação dos Atendimentos (R_SIT_ATEND)</v>
      </c>
    </row>
    <row r="8993" spans="1:7" x14ac:dyDescent="0.3">
      <c r="A8993" s="1" t="s">
        <v>4</v>
      </c>
      <c r="B8993" s="2" t="str">
        <f t="shared" si="758"/>
        <v>SISTEMA DE GERENCIAMENTO DE INTERNAÇÃO</v>
      </c>
      <c r="C8993" s="2" t="str">
        <f t="shared" si="759"/>
        <v>INTER</v>
      </c>
      <c r="D8993" s="2" t="str">
        <f t="shared" si="760"/>
        <v>PARI</v>
      </c>
      <c r="E8993" s="2" t="str">
        <f>"REL. SITUAÇÃO DOS ATENDIMENTOS (AIH7)"</f>
        <v>REL. SITUAÇÃO DOS ATENDIMENTOS (AIH7)</v>
      </c>
      <c r="F8993" s="2" t="str">
        <f>"R_SIT_ATEND"</f>
        <v>R_SIT_ATEND</v>
      </c>
      <c r="G8993" s="2" t="str">
        <f>"Atendimento / Internação / Relatórios / AIH / Situação dos Atendimentos (R_SIT_ATEND)"</f>
        <v>Atendimento / Internação / Relatórios / AIH / Situação dos Atendimentos (R_SIT_ATEND)</v>
      </c>
    </row>
    <row r="8994" spans="1:7" x14ac:dyDescent="0.3">
      <c r="A8994" s="1" t="s">
        <v>4</v>
      </c>
      <c r="B8994" s="2" t="str">
        <f t="shared" si="758"/>
        <v>SISTEMA DE GERENCIAMENTO DE INTERNAÇÃO</v>
      </c>
      <c r="C8994" s="2" t="str">
        <f t="shared" si="759"/>
        <v>INTER</v>
      </c>
      <c r="D8994" s="2" t="str">
        <f t="shared" si="760"/>
        <v>PARI</v>
      </c>
      <c r="E8994" s="2" t="str">
        <f>"RECUSAS POR ACOMODAÇÕES"</f>
        <v>RECUSAS POR ACOMODAÇÕES</v>
      </c>
      <c r="F8994" s="2" t="str">
        <f>"R_RECUSA_ACOMODA"</f>
        <v>R_RECUSA_ACOMODA</v>
      </c>
      <c r="G8994" s="2" t="str">
        <f>"Atendimento / Internação / Relatórios / Estatísticos / Recusas de Acomodações (R_RECUSA_ACOMODA)"</f>
        <v>Atendimento / Internação / Relatórios / Estatísticos / Recusas de Acomodações (R_RECUSA_ACOMODA)</v>
      </c>
    </row>
    <row r="8995" spans="1:7" x14ac:dyDescent="0.3">
      <c r="A8995" s="1" t="s">
        <v>4</v>
      </c>
      <c r="B8995" s="2" t="str">
        <f t="shared" si="758"/>
        <v>SISTEMA DE GERENCIAMENTO DE INTERNAÇÃO</v>
      </c>
      <c r="C8995" s="2" t="str">
        <f t="shared" si="759"/>
        <v>INTER</v>
      </c>
      <c r="D8995" s="2" t="str">
        <f t="shared" si="760"/>
        <v>PARI</v>
      </c>
      <c r="E8995" s="2" t="str">
        <f>"RECUSAS POR ACOMODAÇÕES"</f>
        <v>RECUSAS POR ACOMODAÇÕES</v>
      </c>
      <c r="F8995" s="2" t="str">
        <f>"R_RECUSA_ACOMODA"</f>
        <v>R_RECUSA_ACOMODA</v>
      </c>
      <c r="G8995" s="2" t="str">
        <f>"MVSaude / Atendimento / Autorizações de Guias / Internação / Relatórios / Estatísticos / Recusas de Acomodações (R_RECUSA_ACOMODA)"</f>
        <v>MVSaude / Atendimento / Autorizações de Guias / Internação / Relatórios / Estatísticos / Recusas de Acomodações (R_RECUSA_ACOMODA)</v>
      </c>
    </row>
    <row r="8996" spans="1:7" x14ac:dyDescent="0.3">
      <c r="A8996" s="1" t="s">
        <v>4</v>
      </c>
      <c r="B8996" s="2" t="str">
        <f t="shared" si="758"/>
        <v>SISTEMA DE GERENCIAMENTO DE INTERNAÇÃO</v>
      </c>
      <c r="C8996" s="2" t="str">
        <f t="shared" si="759"/>
        <v>INTER</v>
      </c>
      <c r="D8996" s="2" t="str">
        <f t="shared" si="760"/>
        <v>PARI</v>
      </c>
      <c r="E8996" s="2" t="str">
        <f>"RECUSAS POR ACOMODAÇÕES"</f>
        <v>RECUSAS POR ACOMODAÇÕES</v>
      </c>
      <c r="F8996" s="2" t="str">
        <f>"R_RECUSA_ACOMODA"</f>
        <v>R_RECUSA_ACOMODA</v>
      </c>
      <c r="G8996" s="2" t="str">
        <f>"MVSaude / Vendas / Internação / Relatórios / Estatísticos / Recusas de Acomodações (R_RECUSA_ACOMODA)"</f>
        <v>MVSaude / Vendas / Internação / Relatórios / Estatísticos / Recusas de Acomodações (R_RECUSA_ACOMODA)</v>
      </c>
    </row>
    <row r="8997" spans="1:7" x14ac:dyDescent="0.3">
      <c r="A8997" s="1" t="s">
        <v>4</v>
      </c>
      <c r="B8997" s="2" t="str">
        <f t="shared" si="758"/>
        <v>SISTEMA DE GERENCIAMENTO DE INTERNAÇÃO</v>
      </c>
      <c r="C8997" s="2" t="str">
        <f t="shared" si="759"/>
        <v>INTER</v>
      </c>
      <c r="D8997" s="2" t="str">
        <f t="shared" si="760"/>
        <v>PARI</v>
      </c>
      <c r="E8997" s="2" t="str">
        <f>"CADASTRO E INTERNAÇÃO DE PACIENTE"</f>
        <v>CADASTRO E INTERNAÇÃO DE PACIENTE</v>
      </c>
      <c r="F8997" s="2" t="str">
        <f>"BUSCA_ATIVA"</f>
        <v>BUSCA_ATIVA</v>
      </c>
      <c r="G8997" s="2" t="str">
        <f>" ()"</f>
        <v xml:space="preserve"> ()</v>
      </c>
    </row>
    <row r="8998" spans="1:7" x14ac:dyDescent="0.3">
      <c r="A8998" s="1" t="s">
        <v>4</v>
      </c>
      <c r="B8998" s="2" t="str">
        <f t="shared" si="758"/>
        <v>SISTEMA DE GERENCIAMENTO DE INTERNAÇÃO</v>
      </c>
      <c r="C8998" s="2" t="str">
        <f t="shared" si="759"/>
        <v>INTER</v>
      </c>
      <c r="D8998" s="2" t="str">
        <f t="shared" si="760"/>
        <v>PARI</v>
      </c>
      <c r="E8998" s="2" t="str">
        <f>"REL DE ATEND DE PACI HOMONIMOS P/ COMPET"</f>
        <v>REL DE ATEND DE PACI HOMONIMOS P/ COMPET</v>
      </c>
      <c r="F8998" s="2" t="str">
        <f>"R_HOMONIMOS_POR_COMPET"</f>
        <v>R_HOMONIMOS_POR_COMPET</v>
      </c>
      <c r="G8998" s="2" t="str">
        <f>"MVSaude / Vendas / Internação / Relatórios / Operacionais / Pacientes / Homônimos por Competência (R_HOMONIMOS_POR_COMPET)"</f>
        <v>MVSaude / Vendas / Internação / Relatórios / Operacionais / Pacientes / Homônimos por Competência (R_HOMONIMOS_POR_COMPET)</v>
      </c>
    </row>
    <row r="8999" spans="1:7" x14ac:dyDescent="0.3">
      <c r="A8999" s="1" t="s">
        <v>4</v>
      </c>
      <c r="B8999" s="2" t="str">
        <f t="shared" si="758"/>
        <v>SISTEMA DE GERENCIAMENTO DE INTERNAÇÃO</v>
      </c>
      <c r="C8999" s="2" t="str">
        <f t="shared" si="759"/>
        <v>INTER</v>
      </c>
      <c r="D8999" s="2" t="str">
        <f t="shared" si="760"/>
        <v>PARI</v>
      </c>
      <c r="E8999" s="2" t="str">
        <f>"REL DE ATEND DE PACI HOMONIMOS P/ COMPET"</f>
        <v>REL DE ATEND DE PACI HOMONIMOS P/ COMPET</v>
      </c>
      <c r="F8999" s="2" t="str">
        <f>"R_HOMONIMOS_POR_COMPET"</f>
        <v>R_HOMONIMOS_POR_COMPET</v>
      </c>
      <c r="G8999" s="2" t="str">
        <f>"Atendimento / Internação / Relatórios / Operacionais / Pacientes / Homônimos por Competência (R_HOMONIMOS_POR_COMPET)"</f>
        <v>Atendimento / Internação / Relatórios / Operacionais / Pacientes / Homônimos por Competência (R_HOMONIMOS_POR_COMPET)</v>
      </c>
    </row>
    <row r="9000" spans="1:7" x14ac:dyDescent="0.3">
      <c r="A9000" s="1" t="s">
        <v>4</v>
      </c>
      <c r="B9000" s="2" t="str">
        <f t="shared" si="758"/>
        <v>SISTEMA DE GERENCIAMENTO DE INTERNAÇÃO</v>
      </c>
      <c r="C9000" s="2" t="str">
        <f t="shared" si="759"/>
        <v>INTER</v>
      </c>
      <c r="D9000" s="2" t="str">
        <f t="shared" si="760"/>
        <v>PARI</v>
      </c>
      <c r="E9000" s="2" t="str">
        <f>"REL DE ATEND DE PACI HOMONIMOS P/ COMPET"</f>
        <v>REL DE ATEND DE PACI HOMONIMOS P/ COMPET</v>
      </c>
      <c r="F9000" s="2" t="str">
        <f>"R_HOMONIMOS_POR_COMPET"</f>
        <v>R_HOMONIMOS_POR_COMPET</v>
      </c>
      <c r="G9000" s="2" t="str">
        <f>"Serviços de Apoio / Serviço Arquivo Médico / Relatórios / Operacionais / Pacientes / Homônimos por Competência (R_HOMONIMOS_POR_COMPET)"</f>
        <v>Serviços de Apoio / Serviço Arquivo Médico / Relatórios / Operacionais / Pacientes / Homônimos por Competência (R_HOMONIMOS_POR_COMPET)</v>
      </c>
    </row>
    <row r="9001" spans="1:7" x14ac:dyDescent="0.3">
      <c r="A9001" s="1" t="s">
        <v>4</v>
      </c>
      <c r="B9001" s="2" t="str">
        <f t="shared" si="758"/>
        <v>SISTEMA DE GERENCIAMENTO DE INTERNAÇÃO</v>
      </c>
      <c r="C9001" s="2" t="str">
        <f t="shared" si="759"/>
        <v>INTER</v>
      </c>
      <c r="D9001" s="2" t="str">
        <f t="shared" si="760"/>
        <v>PARI</v>
      </c>
      <c r="E9001" s="2" t="str">
        <f>"REL DE ATEND DE PACI HOMONIMOS P/ COMPET"</f>
        <v>REL DE ATEND DE PACI HOMONIMOS P/ COMPET</v>
      </c>
      <c r="F9001" s="2" t="str">
        <f>"R_HOMONIMOS_POR_COMPET"</f>
        <v>R_HOMONIMOS_POR_COMPET</v>
      </c>
      <c r="G9001" s="2" t="str">
        <f>"MVSaude / Atendimento / Autorizações de Guias / Internação / Relatórios / Operacionais / Pacientes / Homônimos por Competência (R_HOMONIMOS_POR_COMPET)"</f>
        <v>MVSaude / Atendimento / Autorizações de Guias / Internação / Relatórios / Operacionais / Pacientes / Homônimos por Competência (R_HOMONIMOS_POR_COMPET)</v>
      </c>
    </row>
    <row r="9002" spans="1:7" x14ac:dyDescent="0.3">
      <c r="A9002" s="1" t="s">
        <v>4</v>
      </c>
      <c r="B9002" s="2" t="str">
        <f t="shared" si="758"/>
        <v>SISTEMA DE GERENCIAMENTO DE INTERNAÇÃO</v>
      </c>
      <c r="C9002" s="2" t="str">
        <f t="shared" si="759"/>
        <v>INTER</v>
      </c>
      <c r="D9002" s="2" t="str">
        <f t="shared" si="760"/>
        <v>PARI</v>
      </c>
      <c r="E9002" s="2" t="str">
        <f>"ATENDIMENTOS DE HOMONIMOS"</f>
        <v>ATENDIMENTOS DE HOMONIMOS</v>
      </c>
      <c r="F9002" s="2" t="str">
        <f>"R_ATENDI_HOMONIMOS"</f>
        <v>R_ATENDI_HOMONIMOS</v>
      </c>
      <c r="G9002" s="2" t="str">
        <f>" ()"</f>
        <v xml:space="preserve"> ()</v>
      </c>
    </row>
    <row r="9003" spans="1:7" x14ac:dyDescent="0.3">
      <c r="A9003" s="1" t="s">
        <v>4</v>
      </c>
      <c r="B9003" s="2" t="str">
        <f t="shared" si="758"/>
        <v>SISTEMA DE GERENCIAMENTO DE INTERNAÇÃO</v>
      </c>
      <c r="C9003" s="2" t="str">
        <f t="shared" si="759"/>
        <v>INTER</v>
      </c>
      <c r="D9003" s="2" t="str">
        <f t="shared" si="760"/>
        <v>PARI</v>
      </c>
      <c r="E9003" s="2" t="str">
        <f>"RELAT. MAPA ESTATISTICO"</f>
        <v>RELAT. MAPA ESTATISTICO</v>
      </c>
      <c r="F9003" s="2" t="str">
        <f>"R_MAPA_ESTATISTICO"</f>
        <v>R_MAPA_ESTATISTICO</v>
      </c>
      <c r="G9003" s="2" t="str">
        <f>"Serviços de Apoio / Serviço Arquivo Médico / Relatórios / Estatísticos / Atendimentos / Análise Anual de Atendimentos (R_MAPA_ESTATISTICO)"</f>
        <v>Serviços de Apoio / Serviço Arquivo Médico / Relatórios / Estatísticos / Atendimentos / Análise Anual de Atendimentos (R_MAPA_ESTATISTICO)</v>
      </c>
    </row>
    <row r="9004" spans="1:7" x14ac:dyDescent="0.3">
      <c r="A9004" s="1" t="s">
        <v>4</v>
      </c>
      <c r="B9004" s="2" t="str">
        <f t="shared" si="758"/>
        <v>SISTEMA DE GERENCIAMENTO DE INTERNAÇÃO</v>
      </c>
      <c r="C9004" s="2" t="str">
        <f t="shared" si="759"/>
        <v>INTER</v>
      </c>
      <c r="D9004" s="2" t="str">
        <f t="shared" si="760"/>
        <v>PARI</v>
      </c>
      <c r="E9004" s="2" t="str">
        <f>"RELAT. MAPA ESTATISTICO"</f>
        <v>RELAT. MAPA ESTATISTICO</v>
      </c>
      <c r="F9004" s="2" t="str">
        <f>"R_MAPA_ESTATISTICO"</f>
        <v>R_MAPA_ESTATISTICO</v>
      </c>
      <c r="G9004" s="2" t="str">
        <f>"MVSaude / Vendas / Internação / Relatórios / Estatísticos / Atendimentos / Análise Anual de Atendimentos (R_MAPA_ESTATISTICO)"</f>
        <v>MVSaude / Vendas / Internação / Relatórios / Estatísticos / Atendimentos / Análise Anual de Atendimentos (R_MAPA_ESTATISTICO)</v>
      </c>
    </row>
    <row r="9005" spans="1:7" x14ac:dyDescent="0.3">
      <c r="A9005" s="1" t="s">
        <v>4</v>
      </c>
      <c r="B9005" s="2" t="str">
        <f t="shared" si="758"/>
        <v>SISTEMA DE GERENCIAMENTO DE INTERNAÇÃO</v>
      </c>
      <c r="C9005" s="2" t="str">
        <f t="shared" si="759"/>
        <v>INTER</v>
      </c>
      <c r="D9005" s="2" t="str">
        <f t="shared" si="760"/>
        <v>PARI</v>
      </c>
      <c r="E9005" s="2" t="str">
        <f>"RELAT. MAPA ESTATISTICO"</f>
        <v>RELAT. MAPA ESTATISTICO</v>
      </c>
      <c r="F9005" s="2" t="str">
        <f>"R_MAPA_ESTATISTICO"</f>
        <v>R_MAPA_ESTATISTICO</v>
      </c>
      <c r="G9005" s="2" t="str">
        <f>"Atendimento / Internação / Relatórios / Estatísticos / Atendimentos / Análise Anual de Atendimentos (R_MAPA_ESTATISTICO)"</f>
        <v>Atendimento / Internação / Relatórios / Estatísticos / Atendimentos / Análise Anual de Atendimentos (R_MAPA_ESTATISTICO)</v>
      </c>
    </row>
    <row r="9006" spans="1:7" x14ac:dyDescent="0.3">
      <c r="A9006" s="1" t="s">
        <v>4</v>
      </c>
      <c r="B9006" s="2" t="str">
        <f t="shared" si="758"/>
        <v>SISTEMA DE GERENCIAMENTO DE INTERNAÇÃO</v>
      </c>
      <c r="C9006" s="2" t="str">
        <f t="shared" si="759"/>
        <v>INTER</v>
      </c>
      <c r="D9006" s="2" t="str">
        <f t="shared" si="760"/>
        <v>PARI</v>
      </c>
      <c r="E9006" s="2" t="str">
        <f>"RELAT. MAPA ESTATISTICO"</f>
        <v>RELAT. MAPA ESTATISTICO</v>
      </c>
      <c r="F9006" s="2" t="str">
        <f>"R_MAPA_ESTATISTICO"</f>
        <v>R_MAPA_ESTATISTICO</v>
      </c>
      <c r="G9006" s="2" t="str">
        <f>"MVSaude / Atendimento / Autorizações de Guias / Internação / Relatórios / Estatísticos / Atendimentos / Análise Anual de Atendimentos (R_MAPA_ESTATISTICO)"</f>
        <v>MVSaude / Atendimento / Autorizações de Guias / Internação / Relatórios / Estatísticos / Atendimentos / Análise Anual de Atendimentos (R_MAPA_ESTATISTICO)</v>
      </c>
    </row>
    <row r="9007" spans="1:7" x14ac:dyDescent="0.3">
      <c r="A9007" s="1" t="s">
        <v>4</v>
      </c>
      <c r="B9007" s="2" t="str">
        <f t="shared" si="758"/>
        <v>SISTEMA DE GERENCIAMENTO DE INTERNAÇÃO</v>
      </c>
      <c r="C9007" s="2" t="str">
        <f t="shared" si="759"/>
        <v>INTER</v>
      </c>
      <c r="D9007" s="2" t="str">
        <f t="shared" si="760"/>
        <v>PARI</v>
      </c>
      <c r="E9007" s="2" t="str">
        <f>"REL DE MOVIMENTO DIARIO DE OBITOS"</f>
        <v>REL DE MOVIMENTO DIARIO DE OBITOS</v>
      </c>
      <c r="F9007" s="2" t="str">
        <f>"R_LIVRO_OBITOS"</f>
        <v>R_LIVRO_OBITOS</v>
      </c>
      <c r="G9007" s="2" t="str">
        <f>" ()"</f>
        <v xml:space="preserve"> ()</v>
      </c>
    </row>
    <row r="9008" spans="1:7" x14ac:dyDescent="0.3">
      <c r="A9008" s="1" t="s">
        <v>4</v>
      </c>
      <c r="B9008" s="2" t="str">
        <f t="shared" si="758"/>
        <v>SISTEMA DE GERENCIAMENTO DE INTERNAÇÃO</v>
      </c>
      <c r="C9008" s="2" t="str">
        <f t="shared" si="759"/>
        <v>INTER</v>
      </c>
      <c r="D9008" s="2" t="str">
        <f t="shared" si="760"/>
        <v>PARI</v>
      </c>
      <c r="E9008" s="2" t="str">
        <f>"INCONSISTÊNCIAS DA GERAÇÃO DO CIH"</f>
        <v>INCONSISTÊNCIAS DA GERAÇÃO DO CIH</v>
      </c>
      <c r="F9008" s="2" t="str">
        <f>"M_INCON_CIH"</f>
        <v>M_INCON_CIH</v>
      </c>
      <c r="G9008" s="2" t="str">
        <f>"MVSaude / Vendas / Internação / Configurações / Alteração de Procedimento da CIH (M_INCON_CIH)"</f>
        <v>MVSaude / Vendas / Internação / Configurações / Alteração de Procedimento da CIH (M_INCON_CIH)</v>
      </c>
    </row>
    <row r="9009" spans="1:7" x14ac:dyDescent="0.3">
      <c r="A9009" s="1" t="s">
        <v>4</v>
      </c>
      <c r="B9009" s="2" t="str">
        <f t="shared" si="758"/>
        <v>SISTEMA DE GERENCIAMENTO DE INTERNAÇÃO</v>
      </c>
      <c r="C9009" s="2" t="str">
        <f t="shared" si="759"/>
        <v>INTER</v>
      </c>
      <c r="D9009" s="2" t="str">
        <f t="shared" si="760"/>
        <v>PARI</v>
      </c>
      <c r="E9009" s="2" t="str">
        <f>"INCONSISTÊNCIAS DA GERAÇÃO DO CIH"</f>
        <v>INCONSISTÊNCIAS DA GERAÇÃO DO CIH</v>
      </c>
      <c r="F9009" s="2" t="str">
        <f>"M_INCON_CIH"</f>
        <v>M_INCON_CIH</v>
      </c>
      <c r="G9009" s="2" t="str">
        <f>"Atendimento / Internação / Configurações / Alteração de Procedimento da CIH (M_INCON_CIH)"</f>
        <v>Atendimento / Internação / Configurações / Alteração de Procedimento da CIH (M_INCON_CIH)</v>
      </c>
    </row>
    <row r="9010" spans="1:7" x14ac:dyDescent="0.3">
      <c r="A9010" s="1" t="s">
        <v>4</v>
      </c>
      <c r="B9010" s="2" t="str">
        <f t="shared" si="758"/>
        <v>SISTEMA DE GERENCIAMENTO DE INTERNAÇÃO</v>
      </c>
      <c r="C9010" s="2" t="str">
        <f t="shared" si="759"/>
        <v>INTER</v>
      </c>
      <c r="D9010" s="2" t="str">
        <f t="shared" si="760"/>
        <v>PARI</v>
      </c>
      <c r="E9010" s="2" t="str">
        <f>"INCONSISTÊNCIAS DA GERAÇÃO DO CIH"</f>
        <v>INCONSISTÊNCIAS DA GERAÇÃO DO CIH</v>
      </c>
      <c r="F9010" s="2" t="str">
        <f>"M_INCON_CIH"</f>
        <v>M_INCON_CIH</v>
      </c>
      <c r="G9010" s="2" t="str">
        <f>"MVSaude / Atendimento / Autorizações de Guias / Internação / Configurações / Alteração de Procedimento da CIH (M_INCON_CIH)"</f>
        <v>MVSaude / Atendimento / Autorizações de Guias / Internação / Configurações / Alteração de Procedimento da CIH (M_INCON_CIH)</v>
      </c>
    </row>
    <row r="9011" spans="1:7" x14ac:dyDescent="0.3">
      <c r="A9011" s="1" t="s">
        <v>4</v>
      </c>
      <c r="B9011" s="2" t="str">
        <f t="shared" si="758"/>
        <v>SISTEMA DE GERENCIAMENTO DE INTERNAÇÃO</v>
      </c>
      <c r="C9011" s="2" t="str">
        <f t="shared" si="759"/>
        <v>INTER</v>
      </c>
      <c r="D9011" s="2" t="str">
        <f t="shared" si="760"/>
        <v>PARI</v>
      </c>
      <c r="E9011" s="2" t="str">
        <f>"CONSULTA PROCEDIMENTOS SUS"</f>
        <v>CONSULTA PROCEDIMENTOS SUS</v>
      </c>
      <c r="F9011" s="2" t="str">
        <f>"C_SIH_SUS"</f>
        <v>C_SIH_SUS</v>
      </c>
      <c r="G9011" s="2" t="str">
        <f>" ()"</f>
        <v xml:space="preserve"> ()</v>
      </c>
    </row>
    <row r="9012" spans="1:7" x14ac:dyDescent="0.3">
      <c r="A9012" s="1" t="s">
        <v>4</v>
      </c>
      <c r="B9012" s="2" t="str">
        <f t="shared" si="758"/>
        <v>SISTEMA DE GERENCIAMENTO DE INTERNAÇÃO</v>
      </c>
      <c r="C9012" s="2" t="str">
        <f t="shared" si="759"/>
        <v>INTER</v>
      </c>
      <c r="D9012" s="2" t="str">
        <f t="shared" si="760"/>
        <v>PARI</v>
      </c>
      <c r="E9012" s="2" t="str">
        <f>"CONSULTA PROCEDIMENTO SUS"</f>
        <v>CONSULTA PROCEDIMENTO SUS</v>
      </c>
      <c r="F9012" s="2" t="str">
        <f>"C_PRO_FAT|_SUS"</f>
        <v>C_PRO_FAT|_SUS</v>
      </c>
      <c r="G9012" s="2" t="str">
        <f>" ()"</f>
        <v xml:space="preserve"> ()</v>
      </c>
    </row>
    <row r="9013" spans="1:7" x14ac:dyDescent="0.3">
      <c r="A9013" s="1" t="s">
        <v>4</v>
      </c>
      <c r="B9013" s="2" t="str">
        <f t="shared" si="758"/>
        <v>SISTEMA DE GERENCIAMENTO DE INTERNAÇÃO</v>
      </c>
      <c r="C9013" s="2" t="str">
        <f t="shared" si="759"/>
        <v>INTER</v>
      </c>
      <c r="D9013" s="2" t="str">
        <f t="shared" si="760"/>
        <v>PARI</v>
      </c>
      <c r="E9013" s="2" t="str">
        <f>"REL DE EMISSÃO DE TERMO DO ACOMPANHANTE"</f>
        <v>REL DE EMISSÃO DE TERMO DO ACOMPANHANTE</v>
      </c>
      <c r="F9013" s="2" t="str">
        <f>"R_TERMO_ACOMP"</f>
        <v>R_TERMO_ACOMP</v>
      </c>
      <c r="G9013" s="2" t="str">
        <f>" ()"</f>
        <v xml:space="preserve"> ()</v>
      </c>
    </row>
    <row r="9014" spans="1:7" x14ac:dyDescent="0.3">
      <c r="A9014" s="1" t="s">
        <v>4</v>
      </c>
      <c r="B9014" s="2" t="str">
        <f t="shared" si="758"/>
        <v>SISTEMA DE GERENCIAMENTO DE INTERNAÇÃO</v>
      </c>
      <c r="C9014" s="2" t="str">
        <f t="shared" si="759"/>
        <v>INTER</v>
      </c>
      <c r="D9014" s="2" t="str">
        <f t="shared" si="760"/>
        <v>PARI</v>
      </c>
      <c r="E9014" s="2" t="str">
        <f>"REL QUANTITATIVO DE PACIENTES POR CID"</f>
        <v>REL QUANTITATIVO DE PACIENTES POR CID</v>
      </c>
      <c r="F9014" s="2" t="str">
        <f>"R_QUANT_PACIENTE_POR_CID"</f>
        <v>R_QUANT_PACIENTE_POR_CID</v>
      </c>
      <c r="G9014" s="2" t="str">
        <f>"MVSaude / Vendas / Internação / Relatórios / Estatísticos / Cid / Quantitativo de Pacientes por Cid (R_QUANT_PACIENTE_POR_CID)"</f>
        <v>MVSaude / Vendas / Internação / Relatórios / Estatísticos / Cid / Quantitativo de Pacientes por Cid (R_QUANT_PACIENTE_POR_CID)</v>
      </c>
    </row>
    <row r="9015" spans="1:7" x14ac:dyDescent="0.3">
      <c r="A9015" s="1" t="s">
        <v>4</v>
      </c>
      <c r="B9015" s="2" t="str">
        <f t="shared" si="758"/>
        <v>SISTEMA DE GERENCIAMENTO DE INTERNAÇÃO</v>
      </c>
      <c r="C9015" s="2" t="str">
        <f t="shared" si="759"/>
        <v>INTER</v>
      </c>
      <c r="D9015" s="2" t="str">
        <f t="shared" si="760"/>
        <v>PARI</v>
      </c>
      <c r="E9015" s="2" t="str">
        <f>"REL QUANTITATIVO DE PACIENTES POR CID"</f>
        <v>REL QUANTITATIVO DE PACIENTES POR CID</v>
      </c>
      <c r="F9015" s="2" t="str">
        <f>"R_QUANT_PACIENTE_POR_CID"</f>
        <v>R_QUANT_PACIENTE_POR_CID</v>
      </c>
      <c r="G9015" s="2" t="str">
        <f>"Serviços de Apoio / Serviço Arquivo Médico / Relatórios / Estatísticos / Cid / Quantitativo de Pacientes por Cid (R_QUANT_PACIENTE_POR_CID)"</f>
        <v>Serviços de Apoio / Serviço Arquivo Médico / Relatórios / Estatísticos / Cid / Quantitativo de Pacientes por Cid (R_QUANT_PACIENTE_POR_CID)</v>
      </c>
    </row>
    <row r="9016" spans="1:7" x14ac:dyDescent="0.3">
      <c r="A9016" s="1" t="s">
        <v>4</v>
      </c>
      <c r="B9016" s="2" t="str">
        <f t="shared" si="758"/>
        <v>SISTEMA DE GERENCIAMENTO DE INTERNAÇÃO</v>
      </c>
      <c r="C9016" s="2" t="str">
        <f t="shared" si="759"/>
        <v>INTER</v>
      </c>
      <c r="D9016" s="2" t="str">
        <f t="shared" si="760"/>
        <v>PARI</v>
      </c>
      <c r="E9016" s="2" t="str">
        <f>"REL QUANTITATIVO DE PACIENTES POR CID"</f>
        <v>REL QUANTITATIVO DE PACIENTES POR CID</v>
      </c>
      <c r="F9016" s="2" t="str">
        <f>"R_QUANT_PACIENTE_POR_CID"</f>
        <v>R_QUANT_PACIENTE_POR_CID</v>
      </c>
      <c r="G9016" s="2" t="str">
        <f>"Atendimento / Internação / Relatórios / Estatísticos / Cid / Quantitativo de Pacientes por Cid (R_QUANT_PACIENTE_POR_CID)"</f>
        <v>Atendimento / Internação / Relatórios / Estatísticos / Cid / Quantitativo de Pacientes por Cid (R_QUANT_PACIENTE_POR_CID)</v>
      </c>
    </row>
    <row r="9017" spans="1:7" x14ac:dyDescent="0.3">
      <c r="A9017" s="1" t="s">
        <v>4</v>
      </c>
      <c r="B9017" s="2" t="str">
        <f t="shared" si="758"/>
        <v>SISTEMA DE GERENCIAMENTO DE INTERNAÇÃO</v>
      </c>
      <c r="C9017" s="2" t="str">
        <f t="shared" si="759"/>
        <v>INTER</v>
      </c>
      <c r="D9017" s="2" t="str">
        <f t="shared" si="760"/>
        <v>PARI</v>
      </c>
      <c r="E9017" s="2" t="str">
        <f>"REL QUANTITATIVO DE PACIENTES POR CID"</f>
        <v>REL QUANTITATIVO DE PACIENTES POR CID</v>
      </c>
      <c r="F9017" s="2" t="str">
        <f>"R_QUANT_PACIENTE_POR_CID"</f>
        <v>R_QUANT_PACIENTE_POR_CID</v>
      </c>
      <c r="G9017" s="2" t="str">
        <f>"MVSaude / Atendimento / Autorizações de Guias / Internação / Relatórios / Estatísticos / Cid / Quantitativo de Pacientes por Cid (R_QUANT_PACIENTE_POR_CID)"</f>
        <v>MVSaude / Atendimento / Autorizações de Guias / Internação / Relatórios / Estatísticos / Cid / Quantitativo de Pacientes por Cid (R_QUANT_PACIENTE_POR_CID)</v>
      </c>
    </row>
    <row r="9018" spans="1:7" x14ac:dyDescent="0.3">
      <c r="A9018" s="1" t="s">
        <v>4</v>
      </c>
      <c r="B9018" s="2" t="str">
        <f t="shared" si="758"/>
        <v>SISTEMA DE GERENCIAMENTO DE INTERNAÇÃO</v>
      </c>
      <c r="C9018" s="2" t="str">
        <f t="shared" si="759"/>
        <v>INTER</v>
      </c>
      <c r="D9018" s="2" t="str">
        <f t="shared" si="760"/>
        <v>PARI</v>
      </c>
      <c r="E9018" s="2" t="str">
        <f>"REL DE PACIENTES POR CID"</f>
        <v>REL DE PACIENTES POR CID</v>
      </c>
      <c r="F9018" s="2" t="str">
        <f>"R_PACIENTE_POR_CID"</f>
        <v>R_PACIENTE_POR_CID</v>
      </c>
      <c r="G9018" s="2" t="str">
        <f>"MVSaude / Vendas / Internação / Relatórios / Estatísticos / Cid / Pacientes por Cid (R_PACIENTE_POR_CID)"</f>
        <v>MVSaude / Vendas / Internação / Relatórios / Estatísticos / Cid / Pacientes por Cid (R_PACIENTE_POR_CID)</v>
      </c>
    </row>
    <row r="9019" spans="1:7" x14ac:dyDescent="0.3">
      <c r="A9019" s="1" t="s">
        <v>4</v>
      </c>
      <c r="B9019" s="2" t="str">
        <f t="shared" si="758"/>
        <v>SISTEMA DE GERENCIAMENTO DE INTERNAÇÃO</v>
      </c>
      <c r="C9019" s="2" t="str">
        <f t="shared" si="759"/>
        <v>INTER</v>
      </c>
      <c r="D9019" s="2" t="str">
        <f t="shared" si="760"/>
        <v>PARI</v>
      </c>
      <c r="E9019" s="2" t="str">
        <f>"REL DE PACIENTES POR CID"</f>
        <v>REL DE PACIENTES POR CID</v>
      </c>
      <c r="F9019" s="2" t="str">
        <f>"R_PACIENTE_POR_CID"</f>
        <v>R_PACIENTE_POR_CID</v>
      </c>
      <c r="G9019" s="2" t="str">
        <f>"Serviços de Apoio / Serviço Arquivo Médico / Relatórios / Estatísticos / Cid / Pacientes por Cid (R_PACIENTE_POR_CID)"</f>
        <v>Serviços de Apoio / Serviço Arquivo Médico / Relatórios / Estatísticos / Cid / Pacientes por Cid (R_PACIENTE_POR_CID)</v>
      </c>
    </row>
    <row r="9020" spans="1:7" x14ac:dyDescent="0.3">
      <c r="A9020" s="1" t="s">
        <v>4</v>
      </c>
      <c r="B9020" s="2" t="str">
        <f t="shared" si="758"/>
        <v>SISTEMA DE GERENCIAMENTO DE INTERNAÇÃO</v>
      </c>
      <c r="C9020" s="2" t="str">
        <f t="shared" si="759"/>
        <v>INTER</v>
      </c>
      <c r="D9020" s="2" t="str">
        <f t="shared" si="760"/>
        <v>PARI</v>
      </c>
      <c r="E9020" s="2" t="str">
        <f>"REL DE PACIENTES POR CID"</f>
        <v>REL DE PACIENTES POR CID</v>
      </c>
      <c r="F9020" s="2" t="str">
        <f>"R_PACIENTE_POR_CID"</f>
        <v>R_PACIENTE_POR_CID</v>
      </c>
      <c r="G9020" s="2" t="str">
        <f>"Atendimento / Internação / Relatórios / Estatísticos / Cid / Pacientes por Cid (R_PACIENTE_POR_CID)"</f>
        <v>Atendimento / Internação / Relatórios / Estatísticos / Cid / Pacientes por Cid (R_PACIENTE_POR_CID)</v>
      </c>
    </row>
    <row r="9021" spans="1:7" x14ac:dyDescent="0.3">
      <c r="A9021" s="1" t="s">
        <v>4</v>
      </c>
      <c r="B9021" s="2" t="str">
        <f t="shared" si="758"/>
        <v>SISTEMA DE GERENCIAMENTO DE INTERNAÇÃO</v>
      </c>
      <c r="C9021" s="2" t="str">
        <f t="shared" si="759"/>
        <v>INTER</v>
      </c>
      <c r="D9021" s="2" t="str">
        <f t="shared" si="760"/>
        <v>PARI</v>
      </c>
      <c r="E9021" s="2" t="str">
        <f>"REL DE PACIENTES POR CID"</f>
        <v>REL DE PACIENTES POR CID</v>
      </c>
      <c r="F9021" s="2" t="str">
        <f>"R_PACIENTE_POR_CID"</f>
        <v>R_PACIENTE_POR_CID</v>
      </c>
      <c r="G9021" s="2" t="str">
        <f>"MVSaude / Atendimento / Autorizações de Guias / Internação / Relatórios / Estatísticos / Cid / Pacientes por Cid (R_PACIENTE_POR_CID)"</f>
        <v>MVSaude / Atendimento / Autorizações de Guias / Internação / Relatórios / Estatísticos / Cid / Pacientes por Cid (R_PACIENTE_POR_CID)</v>
      </c>
    </row>
    <row r="9022" spans="1:7" x14ac:dyDescent="0.3">
      <c r="A9022" s="1" t="s">
        <v>4</v>
      </c>
      <c r="B9022" s="2" t="str">
        <f t="shared" si="758"/>
        <v>SISTEMA DE GERENCIAMENTO DE INTERNAÇÃO</v>
      </c>
      <c r="C9022" s="2" t="str">
        <f t="shared" si="759"/>
        <v>INTER</v>
      </c>
      <c r="D9022" s="2" t="str">
        <f t="shared" si="760"/>
        <v>PARI</v>
      </c>
      <c r="E9022" s="2" t="str">
        <f>"REL DE ESTATISTICAS DE OCUPACAO"</f>
        <v>REL DE ESTATISTICAS DE OCUPACAO</v>
      </c>
      <c r="F9022" s="2" t="str">
        <f>"R_EST_OCUPACAO"</f>
        <v>R_EST_OCUPACAO</v>
      </c>
      <c r="G9022" s="2" t="str">
        <f>"Atendimento / Internação / Relatórios / Estatísticos / Ocupação (R_EST_OCUPACAO)"</f>
        <v>Atendimento / Internação / Relatórios / Estatísticos / Ocupação (R_EST_OCUPACAO)</v>
      </c>
    </row>
    <row r="9023" spans="1:7" x14ac:dyDescent="0.3">
      <c r="A9023" s="1" t="s">
        <v>4</v>
      </c>
      <c r="B9023" s="2" t="str">
        <f t="shared" si="758"/>
        <v>SISTEMA DE GERENCIAMENTO DE INTERNAÇÃO</v>
      </c>
      <c r="C9023" s="2" t="str">
        <f t="shared" si="759"/>
        <v>INTER</v>
      </c>
      <c r="D9023" s="2" t="str">
        <f t="shared" si="760"/>
        <v>PARI</v>
      </c>
      <c r="E9023" s="2" t="str">
        <f>"REL DE ESTATISTICAS DE OCUPACAO"</f>
        <v>REL DE ESTATISTICAS DE OCUPACAO</v>
      </c>
      <c r="F9023" s="2" t="str">
        <f>"R_EST_OCUPACAO"</f>
        <v>R_EST_OCUPACAO</v>
      </c>
      <c r="G9023" s="2" t="str">
        <f>"Serviços de Apoio / Serviço Arquivo Médico / Relatórios / Estatísticos / Ocupação (R_EST_OCUPACAO)"</f>
        <v>Serviços de Apoio / Serviço Arquivo Médico / Relatórios / Estatísticos / Ocupação (R_EST_OCUPACAO)</v>
      </c>
    </row>
    <row r="9024" spans="1:7" x14ac:dyDescent="0.3">
      <c r="A9024" s="1" t="s">
        <v>4</v>
      </c>
      <c r="B9024" s="2" t="str">
        <f t="shared" si="758"/>
        <v>SISTEMA DE GERENCIAMENTO DE INTERNAÇÃO</v>
      </c>
      <c r="C9024" s="2" t="str">
        <f t="shared" si="759"/>
        <v>INTER</v>
      </c>
      <c r="D9024" s="2" t="str">
        <f t="shared" si="760"/>
        <v>PARI</v>
      </c>
      <c r="E9024" s="2" t="str">
        <f>"REL DE ESTATISTICAS DE OCUPACAO"</f>
        <v>REL DE ESTATISTICAS DE OCUPACAO</v>
      </c>
      <c r="F9024" s="2" t="str">
        <f>"R_EST_OCUPACAO"</f>
        <v>R_EST_OCUPACAO</v>
      </c>
      <c r="G9024" s="2" t="str">
        <f>"MVSaude / Vendas / Internação / Relatórios / Estatísticos / Ocupação (R_EST_OCUPACAO)"</f>
        <v>MVSaude / Vendas / Internação / Relatórios / Estatísticos / Ocupação (R_EST_OCUPACAO)</v>
      </c>
    </row>
    <row r="9025" spans="1:7" x14ac:dyDescent="0.3">
      <c r="A9025" s="1" t="s">
        <v>4</v>
      </c>
      <c r="B9025" s="2" t="str">
        <f t="shared" si="758"/>
        <v>SISTEMA DE GERENCIAMENTO DE INTERNAÇÃO</v>
      </c>
      <c r="C9025" s="2" t="str">
        <f t="shared" si="759"/>
        <v>INTER</v>
      </c>
      <c r="D9025" s="2" t="str">
        <f t="shared" si="760"/>
        <v>PARI</v>
      </c>
      <c r="E9025" s="2" t="str">
        <f>"REL DE ESTATISTICAS DE OCUPACAO"</f>
        <v>REL DE ESTATISTICAS DE OCUPACAO</v>
      </c>
      <c r="F9025" s="2" t="str">
        <f>"R_EST_OCUPACAO"</f>
        <v>R_EST_OCUPACAO</v>
      </c>
      <c r="G9025" s="2" t="str">
        <f>"MVSaude / Atendimento / Autorizações de Guias / Internação / Relatórios / Estatísticos / Ocupação (R_EST_OCUPACAO)"</f>
        <v>MVSaude / Atendimento / Autorizações de Guias / Internação / Relatórios / Estatísticos / Ocupação (R_EST_OCUPACAO)</v>
      </c>
    </row>
    <row r="9026" spans="1:7" x14ac:dyDescent="0.3">
      <c r="A9026" s="1" t="s">
        <v>4</v>
      </c>
      <c r="B9026" s="2" t="str">
        <f t="shared" si="758"/>
        <v>SISTEMA DE GERENCIAMENTO DE INTERNAÇÃO</v>
      </c>
      <c r="C9026" s="2" t="str">
        <f t="shared" si="759"/>
        <v>INTER</v>
      </c>
      <c r="D9026" s="2" t="str">
        <f t="shared" si="760"/>
        <v>PARI</v>
      </c>
      <c r="E9026" s="2" t="str">
        <f>"M_PARI."</f>
        <v>M_PARI.</v>
      </c>
      <c r="F9026" s="2" t="str">
        <f>"M_PARI."</f>
        <v>M_PARI.</v>
      </c>
      <c r="G9026" s="2" t="str">
        <f>" ()"</f>
        <v xml:space="preserve"> ()</v>
      </c>
    </row>
    <row r="9027" spans="1:7" x14ac:dyDescent="0.3">
      <c r="A9027" s="1" t="s">
        <v>4</v>
      </c>
      <c r="B9027" s="2" t="str">
        <f t="shared" si="758"/>
        <v>SISTEMA DE GERENCIAMENTO DE INTERNAÇÃO</v>
      </c>
      <c r="C9027" s="2" t="str">
        <f t="shared" si="759"/>
        <v>INTER</v>
      </c>
      <c r="D9027" s="2" t="str">
        <f t="shared" si="760"/>
        <v>PARI</v>
      </c>
      <c r="E9027" s="2" t="str">
        <f>"RELATÓRIO DE ETIQUETA DE INTERNAÇÃO"</f>
        <v>RELATÓRIO DE ETIQUETA DE INTERNAÇÃO</v>
      </c>
      <c r="F9027" s="2" t="str">
        <f>"R_ETIQUETA_INTERNACAO_380"</f>
        <v>R_ETIQUETA_INTERNACAO_380</v>
      </c>
      <c r="G9027" s="2" t="str">
        <f>" ()"</f>
        <v xml:space="preserve"> ()</v>
      </c>
    </row>
    <row r="9028" spans="1:7" x14ac:dyDescent="0.3">
      <c r="A9028" s="1" t="s">
        <v>4</v>
      </c>
      <c r="B9028" s="2" t="str">
        <f t="shared" si="758"/>
        <v>SISTEMA DE GERENCIAMENTO DE INTERNAÇÃO</v>
      </c>
      <c r="C9028" s="2" t="str">
        <f t="shared" si="759"/>
        <v>INTER</v>
      </c>
      <c r="D9028" s="2" t="str">
        <f t="shared" si="760"/>
        <v>PARI</v>
      </c>
      <c r="E9028" s="2" t="str">
        <f>"RELATÓRIO DE TAXA DIÁRIA DE OCUPAÇÃO"</f>
        <v>RELATÓRIO DE TAXA DIÁRIA DE OCUPAÇÃO</v>
      </c>
      <c r="F9028" s="2" t="str">
        <f>"R_PROD_MENSAL_734"</f>
        <v>R_PROD_MENSAL_734</v>
      </c>
      <c r="G9028" s="2" t="str">
        <f>" ()"</f>
        <v xml:space="preserve"> ()</v>
      </c>
    </row>
    <row r="9029" spans="1:7" x14ac:dyDescent="0.3">
      <c r="A9029" s="1" t="s">
        <v>4</v>
      </c>
      <c r="B9029" s="2" t="str">
        <f t="shared" si="758"/>
        <v>SISTEMA DE GERENCIAMENTO DE INTERNAÇÃO</v>
      </c>
      <c r="C9029" s="2" t="str">
        <f t="shared" si="759"/>
        <v>INTER</v>
      </c>
      <c r="D9029" s="2" t="str">
        <f t="shared" si="760"/>
        <v>PARI</v>
      </c>
      <c r="E9029" s="2" t="str">
        <f>"WIN_PRINCIPAL"</f>
        <v>WIN_PRINCIPAL</v>
      </c>
      <c r="F9029" s="2" t="str">
        <f>"R_ETIQUETA12"</f>
        <v>R_ETIQUETA12</v>
      </c>
      <c r="G9029" s="2" t="str">
        <f>" ()"</f>
        <v xml:space="preserve"> ()</v>
      </c>
    </row>
    <row r="9030" spans="1:7" x14ac:dyDescent="0.3">
      <c r="A9030" s="1" t="s">
        <v>4</v>
      </c>
      <c r="B9030" s="2" t="str">
        <f t="shared" si="758"/>
        <v>SISTEMA DE GERENCIAMENTO DE INTERNAÇÃO</v>
      </c>
      <c r="C9030" s="2" t="str">
        <f t="shared" si="759"/>
        <v>INTER</v>
      </c>
      <c r="D9030" s="2" t="str">
        <f t="shared" si="760"/>
        <v>PARI</v>
      </c>
      <c r="E9030" s="2" t="str">
        <f t="shared" ref="E9030:F9032" si="762">"R_GUIAS_CONVENIO"</f>
        <v>R_GUIAS_CONVENIO</v>
      </c>
      <c r="F9030" s="2" t="str">
        <f t="shared" si="762"/>
        <v>R_GUIAS_CONVENIO</v>
      </c>
      <c r="G9030" s="2" t="str">
        <f>"MVSaude / Vendas / Internação / Relatórios / Operacionais / Guias / Solicitadas X Autorizadas (R_GUIAS_CONVENIO)"</f>
        <v>MVSaude / Vendas / Internação / Relatórios / Operacionais / Guias / Solicitadas X Autorizadas (R_GUIAS_CONVENIO)</v>
      </c>
    </row>
    <row r="9031" spans="1:7" x14ac:dyDescent="0.3">
      <c r="A9031" s="1" t="s">
        <v>4</v>
      </c>
      <c r="B9031" s="2" t="str">
        <f t="shared" si="758"/>
        <v>SISTEMA DE GERENCIAMENTO DE INTERNAÇÃO</v>
      </c>
      <c r="C9031" s="2" t="str">
        <f t="shared" si="759"/>
        <v>INTER</v>
      </c>
      <c r="D9031" s="2" t="str">
        <f t="shared" si="760"/>
        <v>PARI</v>
      </c>
      <c r="E9031" s="2" t="str">
        <f t="shared" si="762"/>
        <v>R_GUIAS_CONVENIO</v>
      </c>
      <c r="F9031" s="2" t="str">
        <f t="shared" si="762"/>
        <v>R_GUIAS_CONVENIO</v>
      </c>
      <c r="G9031" s="2" t="str">
        <f>"Atendimento / Internação / Relatórios / Operacionais / Guias / Solicitadas X Autorizadas (R_GUIAS_CONVENIO)"</f>
        <v>Atendimento / Internação / Relatórios / Operacionais / Guias / Solicitadas X Autorizadas (R_GUIAS_CONVENIO)</v>
      </c>
    </row>
    <row r="9032" spans="1:7" x14ac:dyDescent="0.3">
      <c r="A9032" s="1" t="s">
        <v>4</v>
      </c>
      <c r="B9032" s="2" t="str">
        <f t="shared" si="758"/>
        <v>SISTEMA DE GERENCIAMENTO DE INTERNAÇÃO</v>
      </c>
      <c r="C9032" s="2" t="str">
        <f t="shared" si="759"/>
        <v>INTER</v>
      </c>
      <c r="D9032" s="2" t="str">
        <f t="shared" si="760"/>
        <v>PARI</v>
      </c>
      <c r="E9032" s="2" t="str">
        <f t="shared" si="762"/>
        <v>R_GUIAS_CONVENIO</v>
      </c>
      <c r="F9032" s="2" t="str">
        <f t="shared" si="762"/>
        <v>R_GUIAS_CONVENIO</v>
      </c>
      <c r="G9032" s="2" t="str">
        <f>"MVSaude / Atendimento / Autorizações de Guias / Internação / Relatórios / Operacionais / Guias / Solicitadas X Autorizadas (R_GUIAS_CONVENIO)"</f>
        <v>MVSaude / Atendimento / Autorizações de Guias / Internação / Relatórios / Operacionais / Guias / Solicitadas X Autorizadas (R_GUIAS_CONVENIO)</v>
      </c>
    </row>
    <row r="9033" spans="1:7" x14ac:dyDescent="0.3">
      <c r="A9033" s="1" t="s">
        <v>4</v>
      </c>
      <c r="B9033" s="2" t="str">
        <f t="shared" si="758"/>
        <v>SISTEMA DE GERENCIAMENTO DE INTERNAÇÃO</v>
      </c>
      <c r="C9033" s="2" t="str">
        <f t="shared" si="759"/>
        <v>INTER</v>
      </c>
      <c r="D9033" s="2" t="str">
        <f t="shared" si="760"/>
        <v>PARI</v>
      </c>
      <c r="E9033" s="2" t="str">
        <f>"RELATÓRIOS DE ÓBITOS X FUNERÁRIAS"</f>
        <v>RELATÓRIOS DE ÓBITOS X FUNERÁRIAS</v>
      </c>
      <c r="F9033" s="2" t="str">
        <f>"R_OBITO_FUNERARIA"</f>
        <v>R_OBITO_FUNERARIA</v>
      </c>
      <c r="G9033" s="2" t="str">
        <f>"Atendimento / Internação / Relatórios / Estatísticos / Óbito x Funerária (R_OBITO_FUNERARIA)"</f>
        <v>Atendimento / Internação / Relatórios / Estatísticos / Óbito x Funerária (R_OBITO_FUNERARIA)</v>
      </c>
    </row>
    <row r="9034" spans="1:7" x14ac:dyDescent="0.3">
      <c r="A9034" s="1" t="s">
        <v>4</v>
      </c>
      <c r="B9034" s="2" t="str">
        <f t="shared" si="758"/>
        <v>SISTEMA DE GERENCIAMENTO DE INTERNAÇÃO</v>
      </c>
      <c r="C9034" s="2" t="str">
        <f t="shared" si="759"/>
        <v>INTER</v>
      </c>
      <c r="D9034" s="2" t="str">
        <f t="shared" si="760"/>
        <v>PARI</v>
      </c>
      <c r="E9034" s="2" t="str">
        <f>"RELATÓRIOS DE ÓBITOS X FUNERÁRIAS"</f>
        <v>RELATÓRIOS DE ÓBITOS X FUNERÁRIAS</v>
      </c>
      <c r="F9034" s="2" t="str">
        <f>"R_OBITO_FUNERARIA"</f>
        <v>R_OBITO_FUNERARIA</v>
      </c>
      <c r="G9034" s="2" t="str">
        <f>"MVSaude / Vendas / Internação / Relatórios / Estatísticos / Óbito x Funerária (R_OBITO_FUNERARIA)"</f>
        <v>MVSaude / Vendas / Internação / Relatórios / Estatísticos / Óbito x Funerária (R_OBITO_FUNERARIA)</v>
      </c>
    </row>
    <row r="9035" spans="1:7" x14ac:dyDescent="0.3">
      <c r="A9035" s="1" t="s">
        <v>4</v>
      </c>
      <c r="B9035" s="2" t="str">
        <f t="shared" si="758"/>
        <v>SISTEMA DE GERENCIAMENTO DE INTERNAÇÃO</v>
      </c>
      <c r="C9035" s="2" t="str">
        <f t="shared" si="759"/>
        <v>INTER</v>
      </c>
      <c r="D9035" s="2" t="str">
        <f t="shared" si="760"/>
        <v>PARI</v>
      </c>
      <c r="E9035" s="2" t="str">
        <f>"RELATÓRIOS DE ÓBITOS X FUNERÁRIAS"</f>
        <v>RELATÓRIOS DE ÓBITOS X FUNERÁRIAS</v>
      </c>
      <c r="F9035" s="2" t="str">
        <f>"R_OBITO_FUNERARIA"</f>
        <v>R_OBITO_FUNERARIA</v>
      </c>
      <c r="G9035" s="2" t="str">
        <f>"MVSaude / Atendimento / Autorizações de Guias / Internação / Relatórios / Estatísticos / Óbito x Funerária (R_OBITO_FUNERARIA)"</f>
        <v>MVSaude / Atendimento / Autorizações de Guias / Internação / Relatórios / Estatísticos / Óbito x Funerária (R_OBITO_FUNERARIA)</v>
      </c>
    </row>
    <row r="9036" spans="1:7" x14ac:dyDescent="0.3">
      <c r="A9036" s="1" t="s">
        <v>4</v>
      </c>
      <c r="B9036" s="2" t="str">
        <f t="shared" si="758"/>
        <v>SISTEMA DE GERENCIAMENTO DE INTERNAÇÃO</v>
      </c>
      <c r="C9036" s="2" t="str">
        <f t="shared" si="759"/>
        <v>INTER</v>
      </c>
      <c r="D9036" s="2" t="str">
        <f t="shared" si="760"/>
        <v>PARI</v>
      </c>
      <c r="E9036" s="2" t="str">
        <f>"DOCUMENTO DE ÓBITO"</f>
        <v>DOCUMENTO DE ÓBITO</v>
      </c>
      <c r="F9036" s="2" t="str">
        <f>"CAD_OBITO"</f>
        <v>CAD_OBITO</v>
      </c>
      <c r="G9036" s="2" t="str">
        <f>" ()"</f>
        <v xml:space="preserve"> ()</v>
      </c>
    </row>
    <row r="9037" spans="1:7" x14ac:dyDescent="0.3">
      <c r="A9037" s="1" t="s">
        <v>4</v>
      </c>
      <c r="B9037" s="2" t="str">
        <f t="shared" si="758"/>
        <v>SISTEMA DE GERENCIAMENTO DE INTERNAÇÃO</v>
      </c>
      <c r="C9037" s="2" t="str">
        <f t="shared" si="759"/>
        <v>INTER</v>
      </c>
      <c r="D9037" s="2" t="str">
        <f t="shared" si="760"/>
        <v>PARI</v>
      </c>
      <c r="E9037" s="2" t="str">
        <f t="shared" ref="E9037:F9039" si="763">"R_OBITOS_UNID_CONV"</f>
        <v>R_OBITOS_UNID_CONV</v>
      </c>
      <c r="F9037" s="2" t="str">
        <f t="shared" si="763"/>
        <v>R_OBITOS_UNID_CONV</v>
      </c>
      <c r="G9037" s="2" t="str">
        <f>"MVSaude / Vendas / Internação / Relatórios / Operacionais / Óbitos x Unid. Intern. x Convênio (R_OBITOS_UNID_CONV)"</f>
        <v>MVSaude / Vendas / Internação / Relatórios / Operacionais / Óbitos x Unid. Intern. x Convênio (R_OBITOS_UNID_CONV)</v>
      </c>
    </row>
    <row r="9038" spans="1:7" x14ac:dyDescent="0.3">
      <c r="A9038" s="1" t="s">
        <v>4</v>
      </c>
      <c r="B9038" s="2" t="str">
        <f t="shared" ref="B9038:B9101" si="764">"SISTEMA DE GERENCIAMENTO DE INTERNAÇÃO"</f>
        <v>SISTEMA DE GERENCIAMENTO DE INTERNAÇÃO</v>
      </c>
      <c r="C9038" s="2" t="str">
        <f t="shared" ref="C9038:C9101" si="765">"INTER"</f>
        <v>INTER</v>
      </c>
      <c r="D9038" s="2" t="str">
        <f t="shared" ref="D9038:D9101" si="766">"PARI"</f>
        <v>PARI</v>
      </c>
      <c r="E9038" s="2" t="str">
        <f t="shared" si="763"/>
        <v>R_OBITOS_UNID_CONV</v>
      </c>
      <c r="F9038" s="2" t="str">
        <f t="shared" si="763"/>
        <v>R_OBITOS_UNID_CONV</v>
      </c>
      <c r="G9038" s="2" t="str">
        <f>"Atendimento / Internação / Relatórios / Operacionais / Óbitos x Unid. Intern. x Convênio (R_OBITOS_UNID_CONV)"</f>
        <v>Atendimento / Internação / Relatórios / Operacionais / Óbitos x Unid. Intern. x Convênio (R_OBITOS_UNID_CONV)</v>
      </c>
    </row>
    <row r="9039" spans="1:7" x14ac:dyDescent="0.3">
      <c r="A9039" s="1" t="s">
        <v>4</v>
      </c>
      <c r="B9039" s="2" t="str">
        <f t="shared" si="764"/>
        <v>SISTEMA DE GERENCIAMENTO DE INTERNAÇÃO</v>
      </c>
      <c r="C9039" s="2" t="str">
        <f t="shared" si="765"/>
        <v>INTER</v>
      </c>
      <c r="D9039" s="2" t="str">
        <f t="shared" si="766"/>
        <v>PARI</v>
      </c>
      <c r="E9039" s="2" t="str">
        <f t="shared" si="763"/>
        <v>R_OBITOS_UNID_CONV</v>
      </c>
      <c r="F9039" s="2" t="str">
        <f t="shared" si="763"/>
        <v>R_OBITOS_UNID_CONV</v>
      </c>
      <c r="G9039" s="2" t="str">
        <f>"MVSaude / Atendimento / Autorizações de Guias / Internação / Relatórios / Operacionais / Óbitos x Unid. Intern. x Convênio (R_OBITOS_UNID_CONV)"</f>
        <v>MVSaude / Atendimento / Autorizações de Guias / Internação / Relatórios / Operacionais / Óbitos x Unid. Intern. x Convênio (R_OBITOS_UNID_CONV)</v>
      </c>
    </row>
    <row r="9040" spans="1:7" x14ac:dyDescent="0.3">
      <c r="A9040" s="1" t="s">
        <v>4</v>
      </c>
      <c r="B9040" s="2" t="str">
        <f t="shared" si="764"/>
        <v>SISTEMA DE GERENCIAMENTO DE INTERNAÇÃO</v>
      </c>
      <c r="C9040" s="2" t="str">
        <f t="shared" si="765"/>
        <v>INTER</v>
      </c>
      <c r="D9040" s="2" t="str">
        <f t="shared" si="766"/>
        <v>PARI</v>
      </c>
      <c r="E9040" s="2" t="str">
        <f t="shared" ref="E9040:F9042" si="767">"R_ALTA_MED_HOSP"</f>
        <v>R_ALTA_MED_HOSP</v>
      </c>
      <c r="F9040" s="2" t="str">
        <f t="shared" si="767"/>
        <v>R_ALTA_MED_HOSP</v>
      </c>
      <c r="G9040" s="2" t="str">
        <f>"MVSaude / Vendas / Internação / Relatórios / Operacionais / Altas / Médica x Hospitalar (R_ALTA_MED_HOSP)"</f>
        <v>MVSaude / Vendas / Internação / Relatórios / Operacionais / Altas / Médica x Hospitalar (R_ALTA_MED_HOSP)</v>
      </c>
    </row>
    <row r="9041" spans="1:7" x14ac:dyDescent="0.3">
      <c r="A9041" s="1" t="s">
        <v>4</v>
      </c>
      <c r="B9041" s="2" t="str">
        <f t="shared" si="764"/>
        <v>SISTEMA DE GERENCIAMENTO DE INTERNAÇÃO</v>
      </c>
      <c r="C9041" s="2" t="str">
        <f t="shared" si="765"/>
        <v>INTER</v>
      </c>
      <c r="D9041" s="2" t="str">
        <f t="shared" si="766"/>
        <v>PARI</v>
      </c>
      <c r="E9041" s="2" t="str">
        <f t="shared" si="767"/>
        <v>R_ALTA_MED_HOSP</v>
      </c>
      <c r="F9041" s="2" t="str">
        <f t="shared" si="767"/>
        <v>R_ALTA_MED_HOSP</v>
      </c>
      <c r="G9041" s="2" t="str">
        <f>"Atendimento / Internação / Relatórios / Operacionais / Altas / Médica x Hospitalar (R_ALTA_MED_HOSP)"</f>
        <v>Atendimento / Internação / Relatórios / Operacionais / Altas / Médica x Hospitalar (R_ALTA_MED_HOSP)</v>
      </c>
    </row>
    <row r="9042" spans="1:7" x14ac:dyDescent="0.3">
      <c r="A9042" s="1" t="s">
        <v>4</v>
      </c>
      <c r="B9042" s="2" t="str">
        <f t="shared" si="764"/>
        <v>SISTEMA DE GERENCIAMENTO DE INTERNAÇÃO</v>
      </c>
      <c r="C9042" s="2" t="str">
        <f t="shared" si="765"/>
        <v>INTER</v>
      </c>
      <c r="D9042" s="2" t="str">
        <f t="shared" si="766"/>
        <v>PARI</v>
      </c>
      <c r="E9042" s="2" t="str">
        <f t="shared" si="767"/>
        <v>R_ALTA_MED_HOSP</v>
      </c>
      <c r="F9042" s="2" t="str">
        <f t="shared" si="767"/>
        <v>R_ALTA_MED_HOSP</v>
      </c>
      <c r="G9042" s="2" t="str">
        <f>"MVSaude / Atendimento / Autorizações de Guias / Internação / Relatórios / Operacionais / Altas / Médica x Hospitalar (R_ALTA_MED_HOSP)"</f>
        <v>MVSaude / Atendimento / Autorizações de Guias / Internação / Relatórios / Operacionais / Altas / Médica x Hospitalar (R_ALTA_MED_HOSP)</v>
      </c>
    </row>
    <row r="9043" spans="1:7" x14ac:dyDescent="0.3">
      <c r="A9043" s="1" t="s">
        <v>4</v>
      </c>
      <c r="B9043" s="2" t="str">
        <f t="shared" si="764"/>
        <v>SISTEMA DE GERENCIAMENTO DE INTERNAÇÃO</v>
      </c>
      <c r="C9043" s="2" t="str">
        <f t="shared" si="765"/>
        <v>INTER</v>
      </c>
      <c r="D9043" s="2" t="str">
        <f t="shared" si="766"/>
        <v>PARI</v>
      </c>
      <c r="E9043" s="2" t="str">
        <f>"GERAÇÃO DE DISQUETE CIH"</f>
        <v>GERAÇÃO DE DISQUETE CIH</v>
      </c>
      <c r="F9043" s="2" t="str">
        <f>"G_CIH_N"</f>
        <v>G_CIH_N</v>
      </c>
      <c r="G9043" s="2" t="str">
        <f>" ()"</f>
        <v xml:space="preserve"> ()</v>
      </c>
    </row>
    <row r="9044" spans="1:7" x14ac:dyDescent="0.3">
      <c r="A9044" s="1" t="s">
        <v>4</v>
      </c>
      <c r="B9044" s="2" t="str">
        <f t="shared" si="764"/>
        <v>SISTEMA DE GERENCIAMENTO DE INTERNAÇÃO</v>
      </c>
      <c r="C9044" s="2" t="str">
        <f t="shared" si="765"/>
        <v>INTER</v>
      </c>
      <c r="D9044" s="2" t="str">
        <f t="shared" si="766"/>
        <v>PARI</v>
      </c>
      <c r="E9044" s="2" t="str">
        <f>"AVISO DE ALTA MEDICA"</f>
        <v>AVISO DE ALTA MEDICA</v>
      </c>
      <c r="F9044" s="2" t="str">
        <f>"R_AVISO_ALTA_MEDICA"</f>
        <v>R_AVISO_ALTA_MEDICA</v>
      </c>
      <c r="G9044" s="2" t="str">
        <f>" ()"</f>
        <v xml:space="preserve"> ()</v>
      </c>
    </row>
    <row r="9045" spans="1:7" x14ac:dyDescent="0.3">
      <c r="A9045" s="1" t="s">
        <v>4</v>
      </c>
      <c r="B9045" s="2" t="str">
        <f t="shared" si="764"/>
        <v>SISTEMA DE GERENCIAMENTO DE INTERNAÇÃO</v>
      </c>
      <c r="C9045" s="2" t="str">
        <f t="shared" si="765"/>
        <v>INTER</v>
      </c>
      <c r="D9045" s="2" t="str">
        <f t="shared" si="766"/>
        <v>PARI</v>
      </c>
      <c r="E9045" s="2" t="str">
        <f>"RELATÓRIO DE AVISO ALTA HOSP"</f>
        <v>RELATÓRIO DE AVISO ALTA HOSP</v>
      </c>
      <c r="F9045" s="2" t="str">
        <f>"R_AVISO_ALTA"</f>
        <v>R_AVISO_ALTA</v>
      </c>
      <c r="G9045" s="2" t="str">
        <f>" ()"</f>
        <v xml:space="preserve"> ()</v>
      </c>
    </row>
    <row r="9046" spans="1:7" x14ac:dyDescent="0.3">
      <c r="A9046" s="1" t="s">
        <v>4</v>
      </c>
      <c r="B9046" s="2" t="str">
        <f t="shared" si="764"/>
        <v>SISTEMA DE GERENCIAMENTO DE INTERNAÇÃO</v>
      </c>
      <c r="C9046" s="2" t="str">
        <f t="shared" si="765"/>
        <v>INTER</v>
      </c>
      <c r="D9046" s="2" t="str">
        <f t="shared" si="766"/>
        <v>PARI</v>
      </c>
      <c r="E9046" s="2" t="str">
        <f>"RELATÓRIO DE ESTATÍSTICAS DE OCUPAÇÃO"</f>
        <v>RELATÓRIO DE ESTATÍSTICAS DE OCUPAÇÃO</v>
      </c>
      <c r="F9046" s="2" t="str">
        <f>"R_EST_OCUPACAO_297"</f>
        <v>R_EST_OCUPACAO_297</v>
      </c>
      <c r="G9046" s="2" t="str">
        <f>" ()"</f>
        <v xml:space="preserve"> ()</v>
      </c>
    </row>
    <row r="9047" spans="1:7" x14ac:dyDescent="0.3">
      <c r="A9047" s="1" t="s">
        <v>4</v>
      </c>
      <c r="B9047" s="2" t="str">
        <f t="shared" si="764"/>
        <v>SISTEMA DE GERENCIAMENTO DE INTERNAÇÃO</v>
      </c>
      <c r="C9047" s="2" t="str">
        <f t="shared" si="765"/>
        <v>INTER</v>
      </c>
      <c r="D9047" s="2" t="str">
        <f t="shared" si="766"/>
        <v>PARI</v>
      </c>
      <c r="E9047" s="2" t="str">
        <f>"PACK DE VALIDACAO DE MATRICULAS CONVENIO"</f>
        <v>PACK DE VALIDACAO DE MATRICULAS CONVENIO</v>
      </c>
      <c r="F9047" s="2" t="str">
        <f>"PACK_VAL_MATRICULA"</f>
        <v>PACK_VAL_MATRICULA</v>
      </c>
      <c r="G9047" s="2" t="str">
        <f>" ()"</f>
        <v xml:space="preserve"> ()</v>
      </c>
    </row>
    <row r="9048" spans="1:7" x14ac:dyDescent="0.3">
      <c r="A9048" s="1" t="s">
        <v>4</v>
      </c>
      <c r="B9048" s="2" t="str">
        <f t="shared" si="764"/>
        <v>SISTEMA DE GERENCIAMENTO DE INTERNAÇÃO</v>
      </c>
      <c r="C9048" s="2" t="str">
        <f t="shared" si="765"/>
        <v>INTER</v>
      </c>
      <c r="D9048" s="2" t="str">
        <f t="shared" si="766"/>
        <v>PARI</v>
      </c>
      <c r="E9048" s="2" t="str">
        <f>"RELATÓRIO DE ALTAS POR CIDADE"</f>
        <v>RELATÓRIO DE ALTAS POR CIDADE</v>
      </c>
      <c r="F9048" s="2" t="str">
        <f>"R_OPE_ALTA_CIDADE"</f>
        <v>R_OPE_ALTA_CIDADE</v>
      </c>
      <c r="G9048" s="2" t="str">
        <f>"MVSaude / Vendas / Internação / Relatórios / Operacionais / Altas / Por Cidade (R_OPE_ALTA_CIDADE)"</f>
        <v>MVSaude / Vendas / Internação / Relatórios / Operacionais / Altas / Por Cidade (R_OPE_ALTA_CIDADE)</v>
      </c>
    </row>
    <row r="9049" spans="1:7" x14ac:dyDescent="0.3">
      <c r="A9049" s="1" t="s">
        <v>4</v>
      </c>
      <c r="B9049" s="2" t="str">
        <f t="shared" si="764"/>
        <v>SISTEMA DE GERENCIAMENTO DE INTERNAÇÃO</v>
      </c>
      <c r="C9049" s="2" t="str">
        <f t="shared" si="765"/>
        <v>INTER</v>
      </c>
      <c r="D9049" s="2" t="str">
        <f t="shared" si="766"/>
        <v>PARI</v>
      </c>
      <c r="E9049" s="2" t="str">
        <f>"RELATÓRIO DE ALTAS POR CIDADE"</f>
        <v>RELATÓRIO DE ALTAS POR CIDADE</v>
      </c>
      <c r="F9049" s="2" t="str">
        <f>"R_OPE_ALTA_CIDADE"</f>
        <v>R_OPE_ALTA_CIDADE</v>
      </c>
      <c r="G9049" s="2" t="str">
        <f>"Atendimento / Internação / Relatórios / Operacionais / Altas / Por Cidade (R_OPE_ALTA_CIDADE)"</f>
        <v>Atendimento / Internação / Relatórios / Operacionais / Altas / Por Cidade (R_OPE_ALTA_CIDADE)</v>
      </c>
    </row>
    <row r="9050" spans="1:7" x14ac:dyDescent="0.3">
      <c r="A9050" s="1" t="s">
        <v>4</v>
      </c>
      <c r="B9050" s="2" t="str">
        <f t="shared" si="764"/>
        <v>SISTEMA DE GERENCIAMENTO DE INTERNAÇÃO</v>
      </c>
      <c r="C9050" s="2" t="str">
        <f t="shared" si="765"/>
        <v>INTER</v>
      </c>
      <c r="D9050" s="2" t="str">
        <f t="shared" si="766"/>
        <v>PARI</v>
      </c>
      <c r="E9050" s="2" t="str">
        <f>"RELATÓRIO DE ALTAS POR CIDADE"</f>
        <v>RELATÓRIO DE ALTAS POR CIDADE</v>
      </c>
      <c r="F9050" s="2" t="str">
        <f>"R_OPE_ALTA_CIDADE"</f>
        <v>R_OPE_ALTA_CIDADE</v>
      </c>
      <c r="G9050" s="2" t="str">
        <f>"MVSaude / Atendimento / Autorizações de Guias / Internação / Relatórios / Operacionais / Altas / Por Cidade (R_OPE_ALTA_CIDADE)"</f>
        <v>MVSaude / Atendimento / Autorizações de Guias / Internação / Relatórios / Operacionais / Altas / Por Cidade (R_OPE_ALTA_CIDADE)</v>
      </c>
    </row>
    <row r="9051" spans="1:7" x14ac:dyDescent="0.3">
      <c r="A9051" s="1" t="s">
        <v>4</v>
      </c>
      <c r="B9051" s="2" t="str">
        <f t="shared" si="764"/>
        <v>SISTEMA DE GERENCIAMENTO DE INTERNAÇÃO</v>
      </c>
      <c r="C9051" s="2" t="str">
        <f t="shared" si="765"/>
        <v>INTER</v>
      </c>
      <c r="D9051" s="2" t="str">
        <f t="shared" si="766"/>
        <v>PARI</v>
      </c>
      <c r="E9051" s="2" t="str">
        <f>"REL DE ETIQUETAS DA INTERNAÇÃO"</f>
        <v>REL DE ETIQUETAS DA INTERNAÇÃO</v>
      </c>
      <c r="F9051" s="2" t="str">
        <f>"R_ETIQUETA_INTER755"</f>
        <v>R_ETIQUETA_INTER755</v>
      </c>
      <c r="G9051" s="2" t="str">
        <f>" ()"</f>
        <v xml:space="preserve"> ()</v>
      </c>
    </row>
    <row r="9052" spans="1:7" x14ac:dyDescent="0.3">
      <c r="A9052" s="1" t="s">
        <v>4</v>
      </c>
      <c r="B9052" s="2" t="str">
        <f t="shared" si="764"/>
        <v>SISTEMA DE GERENCIAMENTO DE INTERNAÇÃO</v>
      </c>
      <c r="C9052" s="2" t="str">
        <f t="shared" si="765"/>
        <v>INTER</v>
      </c>
      <c r="D9052" s="2" t="str">
        <f t="shared" si="766"/>
        <v>PARI</v>
      </c>
      <c r="E9052" s="2" t="str">
        <f t="shared" ref="E9052:E9057" si="768">"REL DE HISTORICO DE PACIENTE"</f>
        <v>REL DE HISTORICO DE PACIENTE</v>
      </c>
      <c r="F9052" s="2" t="str">
        <f t="shared" ref="F9052:F9057" si="769">"R_HISTORICO_PACI"</f>
        <v>R_HISTORICO_PACI</v>
      </c>
      <c r="G9052" s="2" t="str">
        <f>"MVSaude / Vendas / Internação / Relatórios / Operacionais / Pacientes / Histórico de Paciente (R_HISTORICO_PACI)"</f>
        <v>MVSaude / Vendas / Internação / Relatórios / Operacionais / Pacientes / Histórico de Paciente (R_HISTORICO_PACI)</v>
      </c>
    </row>
    <row r="9053" spans="1:7" x14ac:dyDescent="0.3">
      <c r="A9053" s="1" t="s">
        <v>4</v>
      </c>
      <c r="B9053" s="2" t="str">
        <f t="shared" si="764"/>
        <v>SISTEMA DE GERENCIAMENTO DE INTERNAÇÃO</v>
      </c>
      <c r="C9053" s="2" t="str">
        <f t="shared" si="765"/>
        <v>INTER</v>
      </c>
      <c r="D9053" s="2" t="str">
        <f t="shared" si="766"/>
        <v>PARI</v>
      </c>
      <c r="E9053" s="2" t="str">
        <f t="shared" si="768"/>
        <v>REL DE HISTORICO DE PACIENTE</v>
      </c>
      <c r="F9053" s="2" t="str">
        <f t="shared" si="769"/>
        <v>R_HISTORICO_PACI</v>
      </c>
      <c r="G9053" s="2" t="str">
        <f>"Atendimento / Internação / Relatórios / Operacionais / Pacientes / Histórico de Paciente (R_HISTORICO_PACI)"</f>
        <v>Atendimento / Internação / Relatórios / Operacionais / Pacientes / Histórico de Paciente (R_HISTORICO_PACI)</v>
      </c>
    </row>
    <row r="9054" spans="1:7" x14ac:dyDescent="0.3">
      <c r="A9054" s="1" t="s">
        <v>4</v>
      </c>
      <c r="B9054" s="2" t="str">
        <f t="shared" si="764"/>
        <v>SISTEMA DE GERENCIAMENTO DE INTERNAÇÃO</v>
      </c>
      <c r="C9054" s="2" t="str">
        <f t="shared" si="765"/>
        <v>INTER</v>
      </c>
      <c r="D9054" s="2" t="str">
        <f t="shared" si="766"/>
        <v>PARI</v>
      </c>
      <c r="E9054" s="2" t="str">
        <f t="shared" si="768"/>
        <v>REL DE HISTORICO DE PACIENTE</v>
      </c>
      <c r="F9054" s="2" t="str">
        <f t="shared" si="769"/>
        <v>R_HISTORICO_PACI</v>
      </c>
      <c r="G9054" s="2" t="str">
        <f>"Atendimento / Ambulatório / Relatórios / Operacionais / Historico de Pacientes (R_HISTORICO_PACI)"</f>
        <v>Atendimento / Ambulatório / Relatórios / Operacionais / Historico de Pacientes (R_HISTORICO_PACI)</v>
      </c>
    </row>
    <row r="9055" spans="1:7" x14ac:dyDescent="0.3">
      <c r="A9055" s="1" t="s">
        <v>4</v>
      </c>
      <c r="B9055" s="2" t="str">
        <f t="shared" si="764"/>
        <v>SISTEMA DE GERENCIAMENTO DE INTERNAÇÃO</v>
      </c>
      <c r="C9055" s="2" t="str">
        <f t="shared" si="765"/>
        <v>INTER</v>
      </c>
      <c r="D9055" s="2" t="str">
        <f t="shared" si="766"/>
        <v>PARI</v>
      </c>
      <c r="E9055" s="2" t="str">
        <f t="shared" si="768"/>
        <v>REL DE HISTORICO DE PACIENTE</v>
      </c>
      <c r="F9055" s="2" t="str">
        <f t="shared" si="769"/>
        <v>R_HISTORICO_PACI</v>
      </c>
      <c r="G9055" s="2" t="str">
        <f>"Serviços de Apoio / Serviço Arquivo Médico / Relatórios / Operacionais / Pacientes / Histórico de Paciente (R_HISTORICO_PACI)"</f>
        <v>Serviços de Apoio / Serviço Arquivo Médico / Relatórios / Operacionais / Pacientes / Histórico de Paciente (R_HISTORICO_PACI)</v>
      </c>
    </row>
    <row r="9056" spans="1:7" x14ac:dyDescent="0.3">
      <c r="A9056" s="1" t="s">
        <v>4</v>
      </c>
      <c r="B9056" s="2" t="str">
        <f t="shared" si="764"/>
        <v>SISTEMA DE GERENCIAMENTO DE INTERNAÇÃO</v>
      </c>
      <c r="C9056" s="2" t="str">
        <f t="shared" si="765"/>
        <v>INTER</v>
      </c>
      <c r="D9056" s="2" t="str">
        <f t="shared" si="766"/>
        <v>PARI</v>
      </c>
      <c r="E9056" s="2" t="str">
        <f t="shared" si="768"/>
        <v>REL DE HISTORICO DE PACIENTE</v>
      </c>
      <c r="F9056" s="2" t="str">
        <f t="shared" si="769"/>
        <v>R_HISTORICO_PACI</v>
      </c>
      <c r="G9056" s="2" t="str">
        <f>"Outros / Fusam / Relatórios / Operacionais / Historico de Pacientes (R_HISTORICO_PACI)"</f>
        <v>Outros / Fusam / Relatórios / Operacionais / Historico de Pacientes (R_HISTORICO_PACI)</v>
      </c>
    </row>
    <row r="9057" spans="1:7" x14ac:dyDescent="0.3">
      <c r="A9057" s="1" t="s">
        <v>4</v>
      </c>
      <c r="B9057" s="2" t="str">
        <f t="shared" si="764"/>
        <v>SISTEMA DE GERENCIAMENTO DE INTERNAÇÃO</v>
      </c>
      <c r="C9057" s="2" t="str">
        <f t="shared" si="765"/>
        <v>INTER</v>
      </c>
      <c r="D9057" s="2" t="str">
        <f t="shared" si="766"/>
        <v>PARI</v>
      </c>
      <c r="E9057" s="2" t="str">
        <f t="shared" si="768"/>
        <v>REL DE HISTORICO DE PACIENTE</v>
      </c>
      <c r="F9057" s="2" t="str">
        <f t="shared" si="769"/>
        <v>R_HISTORICO_PACI</v>
      </c>
      <c r="G9057" s="2" t="str">
        <f>"MVSaude / Atendimento / Autorizações de Guias / Internação / Relatórios / Operacionais / Pacientes / Histórico de Paciente (R_HISTORICO_PACI)"</f>
        <v>MVSaude / Atendimento / Autorizações de Guias / Internação / Relatórios / Operacionais / Pacientes / Histórico de Paciente (R_HISTORICO_PACI)</v>
      </c>
    </row>
    <row r="9058" spans="1:7" x14ac:dyDescent="0.3">
      <c r="A9058" s="1" t="s">
        <v>4</v>
      </c>
      <c r="B9058" s="2" t="str">
        <f t="shared" si="764"/>
        <v>SISTEMA DE GERENCIAMENTO DE INTERNAÇÃO</v>
      </c>
      <c r="C9058" s="2" t="str">
        <f t="shared" si="765"/>
        <v>INTER</v>
      </c>
      <c r="D9058" s="2" t="str">
        <f t="shared" si="766"/>
        <v>PARI</v>
      </c>
      <c r="E9058" s="2" t="str">
        <f>"R_TEXT_PAD_ENF"</f>
        <v>R_TEXT_PAD_ENF</v>
      </c>
      <c r="F9058" s="2" t="str">
        <f>"R_TEXT_PAD_ENF"</f>
        <v>R_TEXT_PAD_ENF</v>
      </c>
      <c r="G9058" s="2" t="str">
        <f>" ()"</f>
        <v xml:space="preserve"> ()</v>
      </c>
    </row>
    <row r="9059" spans="1:7" x14ac:dyDescent="0.3">
      <c r="A9059" s="1" t="s">
        <v>4</v>
      </c>
      <c r="B9059" s="2" t="str">
        <f t="shared" si="764"/>
        <v>SISTEMA DE GERENCIAMENTO DE INTERNAÇÃO</v>
      </c>
      <c r="C9059" s="2" t="str">
        <f t="shared" si="765"/>
        <v>INTER</v>
      </c>
      <c r="D9059" s="2" t="str">
        <f t="shared" si="766"/>
        <v>PARI</v>
      </c>
      <c r="E9059" s="2" t="str">
        <f>"R_TEXT_PAD_EVO"</f>
        <v>R_TEXT_PAD_EVO</v>
      </c>
      <c r="F9059" s="2" t="str">
        <f>"R_TEXT_PAD_EVO"</f>
        <v>R_TEXT_PAD_EVO</v>
      </c>
      <c r="G9059" s="2" t="str">
        <f>" ()"</f>
        <v xml:space="preserve"> ()</v>
      </c>
    </row>
    <row r="9060" spans="1:7" x14ac:dyDescent="0.3">
      <c r="A9060" s="1" t="s">
        <v>4</v>
      </c>
      <c r="B9060" s="2" t="str">
        <f t="shared" si="764"/>
        <v>SISTEMA DE GERENCIAMENTO DE INTERNAÇÃO</v>
      </c>
      <c r="C9060" s="2" t="str">
        <f t="shared" si="765"/>
        <v>INTER</v>
      </c>
      <c r="D9060" s="2" t="str">
        <f t="shared" si="766"/>
        <v>PARI</v>
      </c>
      <c r="E9060" s="2" t="str">
        <f>"REL DE CAPA DE ATENDIMENTO"</f>
        <v>REL DE CAPA DE ATENDIMENTO</v>
      </c>
      <c r="F9060" s="2" t="str">
        <f>"R_CAPA_DE_ATENDIMENTO"</f>
        <v>R_CAPA_DE_ATENDIMENTO</v>
      </c>
      <c r="G9060" s="2" t="str">
        <f>" ()"</f>
        <v xml:space="preserve"> ()</v>
      </c>
    </row>
    <row r="9061" spans="1:7" x14ac:dyDescent="0.3">
      <c r="A9061" s="1" t="s">
        <v>4</v>
      </c>
      <c r="B9061" s="2" t="str">
        <f t="shared" si="764"/>
        <v>SISTEMA DE GERENCIAMENTO DE INTERNAÇÃO</v>
      </c>
      <c r="C9061" s="2" t="str">
        <f t="shared" si="765"/>
        <v>INTER</v>
      </c>
      <c r="D9061" s="2" t="str">
        <f t="shared" si="766"/>
        <v>PARI</v>
      </c>
      <c r="E9061" s="2" t="str">
        <f t="shared" ref="E9061:E9066" si="770">"CENSO RETROATIVO"</f>
        <v>CENSO RETROATIVO</v>
      </c>
      <c r="F9061" s="2" t="str">
        <f t="shared" ref="F9061:F9066" si="771">"R_CENSO_RETRO"</f>
        <v>R_CENSO_RETRO</v>
      </c>
      <c r="G9061" s="2" t="str">
        <f>"MVSaude / Vendas / Internação / Relatórios / Operacionais / Censo Retroativo (R_CENSO_RETRO)"</f>
        <v>MVSaude / Vendas / Internação / Relatórios / Operacionais / Censo Retroativo (R_CENSO_RETRO)</v>
      </c>
    </row>
    <row r="9062" spans="1:7" x14ac:dyDescent="0.3">
      <c r="A9062" s="1" t="s">
        <v>4</v>
      </c>
      <c r="B9062" s="2" t="str">
        <f t="shared" si="764"/>
        <v>SISTEMA DE GERENCIAMENTO DE INTERNAÇÃO</v>
      </c>
      <c r="C9062" s="2" t="str">
        <f t="shared" si="765"/>
        <v>INTER</v>
      </c>
      <c r="D9062" s="2" t="str">
        <f t="shared" si="766"/>
        <v>PARI</v>
      </c>
      <c r="E9062" s="2" t="str">
        <f t="shared" si="770"/>
        <v>CENSO RETROATIVO</v>
      </c>
      <c r="F9062" s="2" t="str">
        <f t="shared" si="771"/>
        <v>R_CENSO_RETRO</v>
      </c>
      <c r="G9062" s="2" t="str">
        <f>"Atendimento / Internação / Relatórios / Operacionais / Censo Retroativo (R_CENSO_RETRO)"</f>
        <v>Atendimento / Internação / Relatórios / Operacionais / Censo Retroativo (R_CENSO_RETRO)</v>
      </c>
    </row>
    <row r="9063" spans="1:7" x14ac:dyDescent="0.3">
      <c r="A9063" s="1" t="s">
        <v>4</v>
      </c>
      <c r="B9063" s="2" t="str">
        <f t="shared" si="764"/>
        <v>SISTEMA DE GERENCIAMENTO DE INTERNAÇÃO</v>
      </c>
      <c r="C9063" s="2" t="str">
        <f t="shared" si="765"/>
        <v>INTER</v>
      </c>
      <c r="D9063" s="2" t="str">
        <f t="shared" si="766"/>
        <v>PARI</v>
      </c>
      <c r="E9063" s="2" t="str">
        <f t="shared" si="770"/>
        <v>CENSO RETROATIVO</v>
      </c>
      <c r="F9063" s="2" t="str">
        <f t="shared" si="771"/>
        <v>R_CENSO_RETRO</v>
      </c>
      <c r="G9063" s="2" t="str">
        <f>"Clínica e Assistencial / Controle de Infecção Hospitalar / Relatórios / Operacionais / Relatórios - Censo Retroativo (R_CENSO_RETRO)"</f>
        <v>Clínica e Assistencial / Controle de Infecção Hospitalar / Relatórios / Operacionais / Relatórios - Censo Retroativo (R_CENSO_RETRO)</v>
      </c>
    </row>
    <row r="9064" spans="1:7" x14ac:dyDescent="0.3">
      <c r="A9064" s="1" t="s">
        <v>4</v>
      </c>
      <c r="B9064" s="2" t="str">
        <f t="shared" si="764"/>
        <v>SISTEMA DE GERENCIAMENTO DE INTERNAÇÃO</v>
      </c>
      <c r="C9064" s="2" t="str">
        <f t="shared" si="765"/>
        <v>INTER</v>
      </c>
      <c r="D9064" s="2" t="str">
        <f t="shared" si="766"/>
        <v>PARI</v>
      </c>
      <c r="E9064" s="2" t="str">
        <f t="shared" si="770"/>
        <v>CENSO RETROATIVO</v>
      </c>
      <c r="F9064" s="2" t="str">
        <f t="shared" si="771"/>
        <v>R_CENSO_RETRO</v>
      </c>
      <c r="G9064" s="2" t="str">
        <f>"Serviços de Apoio / Serviço Arquivo Médico / Relatórios / Operacionais / Censo Retroativo (R_CENSO_RETRO)"</f>
        <v>Serviços de Apoio / Serviço Arquivo Médico / Relatórios / Operacionais / Censo Retroativo (R_CENSO_RETRO)</v>
      </c>
    </row>
    <row r="9065" spans="1:7" x14ac:dyDescent="0.3">
      <c r="A9065" s="1" t="s">
        <v>4</v>
      </c>
      <c r="B9065" s="2" t="str">
        <f t="shared" si="764"/>
        <v>SISTEMA DE GERENCIAMENTO DE INTERNAÇÃO</v>
      </c>
      <c r="C9065" s="2" t="str">
        <f t="shared" si="765"/>
        <v>INTER</v>
      </c>
      <c r="D9065" s="2" t="str">
        <f t="shared" si="766"/>
        <v>PARI</v>
      </c>
      <c r="E9065" s="2" t="str">
        <f t="shared" si="770"/>
        <v>CENSO RETROATIVO</v>
      </c>
      <c r="F9065" s="2" t="str">
        <f t="shared" si="771"/>
        <v>R_CENSO_RETRO</v>
      </c>
      <c r="G9065" s="2" t="str">
        <f>"MVSaude / Atendimento / Autorizações de Guias / Internação / Relatórios / Operacionais / Censo Retroativo (R_CENSO_RETRO)"</f>
        <v>MVSaude / Atendimento / Autorizações de Guias / Internação / Relatórios / Operacionais / Censo Retroativo (R_CENSO_RETRO)</v>
      </c>
    </row>
    <row r="9066" spans="1:7" x14ac:dyDescent="0.3">
      <c r="A9066" s="1" t="s">
        <v>4</v>
      </c>
      <c r="B9066" s="2" t="str">
        <f t="shared" si="764"/>
        <v>SISTEMA DE GERENCIAMENTO DE INTERNAÇÃO</v>
      </c>
      <c r="C9066" s="2" t="str">
        <f t="shared" si="765"/>
        <v>INTER</v>
      </c>
      <c r="D9066" s="2" t="str">
        <f t="shared" si="766"/>
        <v>PARI</v>
      </c>
      <c r="E9066" s="2" t="str">
        <f t="shared" si="770"/>
        <v>CENSO RETROATIVO</v>
      </c>
      <c r="F9066" s="2" t="str">
        <f t="shared" si="771"/>
        <v>R_CENSO_RETRO</v>
      </c>
      <c r="G9066" s="2" t="str">
        <f>"Clínica e Assistencial / Gerenciamento de Unidades / Relatórios / Operacionais / Censo Retroativo (R_CENSO_RETRO)"</f>
        <v>Clínica e Assistencial / Gerenciamento de Unidades / Relatórios / Operacionais / Censo Retroativo (R_CENSO_RETRO)</v>
      </c>
    </row>
    <row r="9067" spans="1:7" x14ac:dyDescent="0.3">
      <c r="A9067" s="1" t="s">
        <v>4</v>
      </c>
      <c r="B9067" s="2" t="str">
        <f t="shared" si="764"/>
        <v>SISTEMA DE GERENCIAMENTO DE INTERNAÇÃO</v>
      </c>
      <c r="C9067" s="2" t="str">
        <f t="shared" si="765"/>
        <v>INTER</v>
      </c>
      <c r="D9067" s="2" t="str">
        <f t="shared" si="766"/>
        <v>PARI</v>
      </c>
      <c r="E9067" s="2" t="str">
        <f>"CENSO PERSONALIZADO UNIMED JP"</f>
        <v>CENSO PERSONALIZADO UNIMED JP</v>
      </c>
      <c r="F9067" s="2" t="str">
        <f>"R_CENSO501"</f>
        <v>R_CENSO501</v>
      </c>
      <c r="G9067" s="2" t="str">
        <f>" ()"</f>
        <v xml:space="preserve"> ()</v>
      </c>
    </row>
    <row r="9068" spans="1:7" x14ac:dyDescent="0.3">
      <c r="A9068" s="1" t="s">
        <v>4</v>
      </c>
      <c r="B9068" s="2" t="str">
        <f t="shared" si="764"/>
        <v>SISTEMA DE GERENCIAMENTO DE INTERNAÇÃO</v>
      </c>
      <c r="C9068" s="2" t="str">
        <f t="shared" si="765"/>
        <v>INTER</v>
      </c>
      <c r="D9068" s="2" t="str">
        <f t="shared" si="766"/>
        <v>PARI</v>
      </c>
      <c r="E9068" s="2" t="str">
        <f t="shared" ref="E9068:F9070" si="772">"R_PAC_INT_ACOMOD"</f>
        <v>R_PAC_INT_ACOMOD</v>
      </c>
      <c r="F9068" s="2" t="str">
        <f t="shared" si="772"/>
        <v>R_PAC_INT_ACOMOD</v>
      </c>
      <c r="G9068" s="2" t="str">
        <f>"MVSaude / Atendimento / Autorizações de Guias / Internação / Relatórios / Internados / por Tipo Acomodação (R_PAC_INT_ACOMOD)"</f>
        <v>MVSaude / Atendimento / Autorizações de Guias / Internação / Relatórios / Internados / por Tipo Acomodação (R_PAC_INT_ACOMOD)</v>
      </c>
    </row>
    <row r="9069" spans="1:7" x14ac:dyDescent="0.3">
      <c r="A9069" s="1" t="s">
        <v>4</v>
      </c>
      <c r="B9069" s="2" t="str">
        <f t="shared" si="764"/>
        <v>SISTEMA DE GERENCIAMENTO DE INTERNAÇÃO</v>
      </c>
      <c r="C9069" s="2" t="str">
        <f t="shared" si="765"/>
        <v>INTER</v>
      </c>
      <c r="D9069" s="2" t="str">
        <f t="shared" si="766"/>
        <v>PARI</v>
      </c>
      <c r="E9069" s="2" t="str">
        <f t="shared" si="772"/>
        <v>R_PAC_INT_ACOMOD</v>
      </c>
      <c r="F9069" s="2" t="str">
        <f t="shared" si="772"/>
        <v>R_PAC_INT_ACOMOD</v>
      </c>
      <c r="G9069" s="2" t="str">
        <f>"MVSaude / Vendas / Internação / Relatórios / Internados / por Tipo Acomodação (R_PAC_INT_ACOMOD)"</f>
        <v>MVSaude / Vendas / Internação / Relatórios / Internados / por Tipo Acomodação (R_PAC_INT_ACOMOD)</v>
      </c>
    </row>
    <row r="9070" spans="1:7" x14ac:dyDescent="0.3">
      <c r="A9070" s="1" t="s">
        <v>4</v>
      </c>
      <c r="B9070" s="2" t="str">
        <f t="shared" si="764"/>
        <v>SISTEMA DE GERENCIAMENTO DE INTERNAÇÃO</v>
      </c>
      <c r="C9070" s="2" t="str">
        <f t="shared" si="765"/>
        <v>INTER</v>
      </c>
      <c r="D9070" s="2" t="str">
        <f t="shared" si="766"/>
        <v>PARI</v>
      </c>
      <c r="E9070" s="2" t="str">
        <f t="shared" si="772"/>
        <v>R_PAC_INT_ACOMOD</v>
      </c>
      <c r="F9070" s="2" t="str">
        <f t="shared" si="772"/>
        <v>R_PAC_INT_ACOMOD</v>
      </c>
      <c r="G9070" s="2" t="str">
        <f>"Atendimento / Internação / Relatórios / Internados / por Tipo Acomodação (R_PAC_INT_ACOMOD)"</f>
        <v>Atendimento / Internação / Relatórios / Internados / por Tipo Acomodação (R_PAC_INT_ACOMOD)</v>
      </c>
    </row>
    <row r="9071" spans="1:7" x14ac:dyDescent="0.3">
      <c r="A9071" s="1" t="s">
        <v>4</v>
      </c>
      <c r="B9071" s="2" t="str">
        <f t="shared" si="764"/>
        <v>SISTEMA DE GERENCIAMENTO DE INTERNAÇÃO</v>
      </c>
      <c r="C9071" s="2" t="str">
        <f t="shared" si="765"/>
        <v>INTER</v>
      </c>
      <c r="D9071" s="2" t="str">
        <f t="shared" si="766"/>
        <v>PARI</v>
      </c>
      <c r="E9071" s="2" t="str">
        <f>"PAINEL DE LEITOS - CLINICA SAO VICENTE"</f>
        <v>PAINEL DE LEITOS - CLINICA SAO VICENTE</v>
      </c>
      <c r="F9071" s="2" t="str">
        <f>"C_LEITOS_GERENCIAL"</f>
        <v>C_LEITOS_GERENCIAL</v>
      </c>
      <c r="G9071" s="2" t="str">
        <f>"MVSaude / Vendas / Internação / Consultas / Painel de Leitos / Gerencial (C_LEITOS_GERENCIAL)"</f>
        <v>MVSaude / Vendas / Internação / Consultas / Painel de Leitos / Gerencial (C_LEITOS_GERENCIAL)</v>
      </c>
    </row>
    <row r="9072" spans="1:7" x14ac:dyDescent="0.3">
      <c r="A9072" s="1" t="s">
        <v>4</v>
      </c>
      <c r="B9072" s="2" t="str">
        <f t="shared" si="764"/>
        <v>SISTEMA DE GERENCIAMENTO DE INTERNAÇÃO</v>
      </c>
      <c r="C9072" s="2" t="str">
        <f t="shared" si="765"/>
        <v>INTER</v>
      </c>
      <c r="D9072" s="2" t="str">
        <f t="shared" si="766"/>
        <v>PARI</v>
      </c>
      <c r="E9072" s="2" t="str">
        <f>"PAINEL DE LEITOS - CLINICA SAO VICENTE"</f>
        <v>PAINEL DE LEITOS - CLINICA SAO VICENTE</v>
      </c>
      <c r="F9072" s="2" t="str">
        <f>"C_LEITOS_GERENCIAL"</f>
        <v>C_LEITOS_GERENCIAL</v>
      </c>
      <c r="G9072" s="2" t="str">
        <f>"MVSaude / Atendimento / Autorizações de Guias / Internação / Consultas / Painel de Leitos / Gerencial (C_LEITOS_GERENCIAL)"</f>
        <v>MVSaude / Atendimento / Autorizações de Guias / Internação / Consultas / Painel de Leitos / Gerencial (C_LEITOS_GERENCIAL)</v>
      </c>
    </row>
    <row r="9073" spans="1:7" x14ac:dyDescent="0.3">
      <c r="A9073" s="1" t="s">
        <v>4</v>
      </c>
      <c r="B9073" s="2" t="str">
        <f t="shared" si="764"/>
        <v>SISTEMA DE GERENCIAMENTO DE INTERNAÇÃO</v>
      </c>
      <c r="C9073" s="2" t="str">
        <f t="shared" si="765"/>
        <v>INTER</v>
      </c>
      <c r="D9073" s="2" t="str">
        <f t="shared" si="766"/>
        <v>PARI</v>
      </c>
      <c r="E9073" s="2" t="str">
        <f>"PAINEL DE LEITOS - CLINICA SAO VICENTE"</f>
        <v>PAINEL DE LEITOS - CLINICA SAO VICENTE</v>
      </c>
      <c r="F9073" s="2" t="str">
        <f>"C_LEITOS_GERENCIAL"</f>
        <v>C_LEITOS_GERENCIAL</v>
      </c>
      <c r="G9073" s="2" t="str">
        <f>"Atendimento / Internação / Consultas / Painel de Leitos / Gerencial (C_LEITOS_GERENCIAL)"</f>
        <v>Atendimento / Internação / Consultas / Painel de Leitos / Gerencial (C_LEITOS_GERENCIAL)</v>
      </c>
    </row>
    <row r="9074" spans="1:7" x14ac:dyDescent="0.3">
      <c r="A9074" s="1" t="s">
        <v>4</v>
      </c>
      <c r="B9074" s="2" t="str">
        <f t="shared" si="764"/>
        <v>SISTEMA DE GERENCIAMENTO DE INTERNAÇÃO</v>
      </c>
      <c r="C9074" s="2" t="str">
        <f t="shared" si="765"/>
        <v>INTER</v>
      </c>
      <c r="D9074" s="2" t="str">
        <f t="shared" si="766"/>
        <v>PARI</v>
      </c>
      <c r="E9074" s="2" t="str">
        <f>"CADASTRO DE MOTIVOS DA ALTA"</f>
        <v>CADASTRO DE MOTIVOS DA ALTA</v>
      </c>
      <c r="F9074" s="2" t="str">
        <f>"CAD_MOT_CAUCAO"</f>
        <v>CAD_MOT_CAUCAO</v>
      </c>
      <c r="G9074" s="2" t="str">
        <f>"MVSaude / Vendas / Internação / Tabelas / Motivos de Depósito de Pagamento Antecipado (CAD_MOT_CAUCAO)"</f>
        <v>MVSaude / Vendas / Internação / Tabelas / Motivos de Depósito de Pagamento Antecipado (CAD_MOT_CAUCAO)</v>
      </c>
    </row>
    <row r="9075" spans="1:7" x14ac:dyDescent="0.3">
      <c r="A9075" s="1" t="s">
        <v>4</v>
      </c>
      <c r="B9075" s="2" t="str">
        <f t="shared" si="764"/>
        <v>SISTEMA DE GERENCIAMENTO DE INTERNAÇÃO</v>
      </c>
      <c r="C9075" s="2" t="str">
        <f t="shared" si="765"/>
        <v>INTER</v>
      </c>
      <c r="D9075" s="2" t="str">
        <f t="shared" si="766"/>
        <v>PARI</v>
      </c>
      <c r="E9075" s="2" t="str">
        <f>"CADASTRO DE MOTIVOS DA ALTA"</f>
        <v>CADASTRO DE MOTIVOS DA ALTA</v>
      </c>
      <c r="F9075" s="2" t="str">
        <f>"CAD_MOT_CAUCAO"</f>
        <v>CAD_MOT_CAUCAO</v>
      </c>
      <c r="G9075" s="2" t="str">
        <f>"MVSaude / Atendimento / Autorizações de Guias / Internação / Tabelas / Motivos de Depósito de Pagamento Antecipado (CAD_MOT_CAUCAO)"</f>
        <v>MVSaude / Atendimento / Autorizações de Guias / Internação / Tabelas / Motivos de Depósito de Pagamento Antecipado (CAD_MOT_CAUCAO)</v>
      </c>
    </row>
    <row r="9076" spans="1:7" x14ac:dyDescent="0.3">
      <c r="A9076" s="1" t="s">
        <v>4</v>
      </c>
      <c r="B9076" s="2" t="str">
        <f t="shared" si="764"/>
        <v>SISTEMA DE GERENCIAMENTO DE INTERNAÇÃO</v>
      </c>
      <c r="C9076" s="2" t="str">
        <f t="shared" si="765"/>
        <v>INTER</v>
      </c>
      <c r="D9076" s="2" t="str">
        <f t="shared" si="766"/>
        <v>PARI</v>
      </c>
      <c r="E9076" s="2" t="str">
        <f>"CADASTRO DE MOTIVOS DA ALTA"</f>
        <v>CADASTRO DE MOTIVOS DA ALTA</v>
      </c>
      <c r="F9076" s="2" t="str">
        <f>"CAD_MOT_CAUCAO"</f>
        <v>CAD_MOT_CAUCAO</v>
      </c>
      <c r="G9076" s="2" t="str">
        <f>"Atendimento / Internação / Tabelas / Motivos de Depósito de Pagamento Antecipado (CAD_MOT_CAUCAO)"</f>
        <v>Atendimento / Internação / Tabelas / Motivos de Depósito de Pagamento Antecipado (CAD_MOT_CAUCAO)</v>
      </c>
    </row>
    <row r="9077" spans="1:7" x14ac:dyDescent="0.3">
      <c r="A9077" s="1" t="s">
        <v>4</v>
      </c>
      <c r="B9077" s="2" t="str">
        <f t="shared" si="764"/>
        <v>SISTEMA DE GERENCIAMENTO DE INTERNAÇÃO</v>
      </c>
      <c r="C9077" s="2" t="str">
        <f t="shared" si="765"/>
        <v>INTER</v>
      </c>
      <c r="D9077" s="2" t="str">
        <f t="shared" si="766"/>
        <v>PARI</v>
      </c>
      <c r="E9077" s="2" t="str">
        <f t="shared" ref="E9077:F9079" si="773">"R_PAC_INT_RELIGIAO"</f>
        <v>R_PAC_INT_RELIGIAO</v>
      </c>
      <c r="F9077" s="2" t="str">
        <f t="shared" si="773"/>
        <v>R_PAC_INT_RELIGIAO</v>
      </c>
      <c r="G9077" s="2" t="str">
        <f>"Atendimento / Internação / Relatórios / Internados / por Religião (R_PAC_INT_RELIGIAO)"</f>
        <v>Atendimento / Internação / Relatórios / Internados / por Religião (R_PAC_INT_RELIGIAO)</v>
      </c>
    </row>
    <row r="9078" spans="1:7" x14ac:dyDescent="0.3">
      <c r="A9078" s="1" t="s">
        <v>4</v>
      </c>
      <c r="B9078" s="2" t="str">
        <f t="shared" si="764"/>
        <v>SISTEMA DE GERENCIAMENTO DE INTERNAÇÃO</v>
      </c>
      <c r="C9078" s="2" t="str">
        <f t="shared" si="765"/>
        <v>INTER</v>
      </c>
      <c r="D9078" s="2" t="str">
        <f t="shared" si="766"/>
        <v>PARI</v>
      </c>
      <c r="E9078" s="2" t="str">
        <f t="shared" si="773"/>
        <v>R_PAC_INT_RELIGIAO</v>
      </c>
      <c r="F9078" s="2" t="str">
        <f t="shared" si="773"/>
        <v>R_PAC_INT_RELIGIAO</v>
      </c>
      <c r="G9078" s="2" t="str">
        <f>"MVSaude / Atendimento / Autorizações de Guias / Internação / Relatórios / Internados / por Religião (R_PAC_INT_RELIGIAO)"</f>
        <v>MVSaude / Atendimento / Autorizações de Guias / Internação / Relatórios / Internados / por Religião (R_PAC_INT_RELIGIAO)</v>
      </c>
    </row>
    <row r="9079" spans="1:7" x14ac:dyDescent="0.3">
      <c r="A9079" s="1" t="s">
        <v>4</v>
      </c>
      <c r="B9079" s="2" t="str">
        <f t="shared" si="764"/>
        <v>SISTEMA DE GERENCIAMENTO DE INTERNAÇÃO</v>
      </c>
      <c r="C9079" s="2" t="str">
        <f t="shared" si="765"/>
        <v>INTER</v>
      </c>
      <c r="D9079" s="2" t="str">
        <f t="shared" si="766"/>
        <v>PARI</v>
      </c>
      <c r="E9079" s="2" t="str">
        <f t="shared" si="773"/>
        <v>R_PAC_INT_RELIGIAO</v>
      </c>
      <c r="F9079" s="2" t="str">
        <f t="shared" si="773"/>
        <v>R_PAC_INT_RELIGIAO</v>
      </c>
      <c r="G9079" s="2" t="str">
        <f>"MVSaude / Vendas / Internação / Relatórios / Internados / por Religião (R_PAC_INT_RELIGIAO)"</f>
        <v>MVSaude / Vendas / Internação / Relatórios / Internados / por Religião (R_PAC_INT_RELIGIAO)</v>
      </c>
    </row>
    <row r="9080" spans="1:7" x14ac:dyDescent="0.3">
      <c r="A9080" s="1" t="s">
        <v>4</v>
      </c>
      <c r="B9080" s="2" t="str">
        <f t="shared" si="764"/>
        <v>SISTEMA DE GERENCIAMENTO DE INTERNAÇÃO</v>
      </c>
      <c r="C9080" s="2" t="str">
        <f t="shared" si="765"/>
        <v>INTER</v>
      </c>
      <c r="D9080" s="2" t="str">
        <f t="shared" si="766"/>
        <v>PARI</v>
      </c>
      <c r="E9080" s="2" t="str">
        <f t="shared" ref="E9080:F9082" si="774">"R_EST_SITUACAO_LEITO"</f>
        <v>R_EST_SITUACAO_LEITO</v>
      </c>
      <c r="F9080" s="2" t="str">
        <f t="shared" si="774"/>
        <v>R_EST_SITUACAO_LEITO</v>
      </c>
      <c r="G9080" s="2" t="str">
        <f>"Atendimento / Internação / Relatórios / Estatísticos / Leitos por Ocupação (R_EST_SITUACAO_LEITO)"</f>
        <v>Atendimento / Internação / Relatórios / Estatísticos / Leitos por Ocupação (R_EST_SITUACAO_LEITO)</v>
      </c>
    </row>
    <row r="9081" spans="1:7" x14ac:dyDescent="0.3">
      <c r="A9081" s="1" t="s">
        <v>4</v>
      </c>
      <c r="B9081" s="2" t="str">
        <f t="shared" si="764"/>
        <v>SISTEMA DE GERENCIAMENTO DE INTERNAÇÃO</v>
      </c>
      <c r="C9081" s="2" t="str">
        <f t="shared" si="765"/>
        <v>INTER</v>
      </c>
      <c r="D9081" s="2" t="str">
        <f t="shared" si="766"/>
        <v>PARI</v>
      </c>
      <c r="E9081" s="2" t="str">
        <f t="shared" si="774"/>
        <v>R_EST_SITUACAO_LEITO</v>
      </c>
      <c r="F9081" s="2" t="str">
        <f t="shared" si="774"/>
        <v>R_EST_SITUACAO_LEITO</v>
      </c>
      <c r="G9081" s="2" t="str">
        <f>"MVSaude / Vendas / Internação / Relatórios / Estatísticos / Leitos por Ocupação (R_EST_SITUACAO_LEITO)"</f>
        <v>MVSaude / Vendas / Internação / Relatórios / Estatísticos / Leitos por Ocupação (R_EST_SITUACAO_LEITO)</v>
      </c>
    </row>
    <row r="9082" spans="1:7" x14ac:dyDescent="0.3">
      <c r="A9082" s="1" t="s">
        <v>4</v>
      </c>
      <c r="B9082" s="2" t="str">
        <f t="shared" si="764"/>
        <v>SISTEMA DE GERENCIAMENTO DE INTERNAÇÃO</v>
      </c>
      <c r="C9082" s="2" t="str">
        <f t="shared" si="765"/>
        <v>INTER</v>
      </c>
      <c r="D9082" s="2" t="str">
        <f t="shared" si="766"/>
        <v>PARI</v>
      </c>
      <c r="E9082" s="2" t="str">
        <f t="shared" si="774"/>
        <v>R_EST_SITUACAO_LEITO</v>
      </c>
      <c r="F9082" s="2" t="str">
        <f t="shared" si="774"/>
        <v>R_EST_SITUACAO_LEITO</v>
      </c>
      <c r="G9082" s="2" t="str">
        <f>"MVSaude / Atendimento / Autorizações de Guias / Internação / Relatórios / Estatísticos / Leitos por Ocupação (R_EST_SITUACAO_LEITO)"</f>
        <v>MVSaude / Atendimento / Autorizações de Guias / Internação / Relatórios / Estatísticos / Leitos por Ocupação (R_EST_SITUACAO_LEITO)</v>
      </c>
    </row>
    <row r="9083" spans="1:7" x14ac:dyDescent="0.3">
      <c r="A9083" s="1" t="s">
        <v>4</v>
      </c>
      <c r="B9083" s="2" t="str">
        <f t="shared" si="764"/>
        <v>SISTEMA DE GERENCIAMENTO DE INTERNAÇÃO</v>
      </c>
      <c r="C9083" s="2" t="str">
        <f t="shared" si="765"/>
        <v>INTER</v>
      </c>
      <c r="D9083" s="2" t="str">
        <f t="shared" si="766"/>
        <v>PARI</v>
      </c>
      <c r="E9083" s="2" t="str">
        <f>"RELATÓRIO DE INTERNACAO POR CIDADE"</f>
        <v>RELATÓRIO DE INTERNACAO POR CIDADE</v>
      </c>
      <c r="F9083" s="2" t="str">
        <f>"R_OPE_INT_CID"</f>
        <v>R_OPE_INT_CID</v>
      </c>
      <c r="G9083" s="2" t="str">
        <f>"MVSaude / Vendas / Internação / Relatórios / Operacionais / Internações / Por Cidade (R_OPE_INT_CID)"</f>
        <v>MVSaude / Vendas / Internação / Relatórios / Operacionais / Internações / Por Cidade (R_OPE_INT_CID)</v>
      </c>
    </row>
    <row r="9084" spans="1:7" x14ac:dyDescent="0.3">
      <c r="A9084" s="1" t="s">
        <v>4</v>
      </c>
      <c r="B9084" s="2" t="str">
        <f t="shared" si="764"/>
        <v>SISTEMA DE GERENCIAMENTO DE INTERNAÇÃO</v>
      </c>
      <c r="C9084" s="2" t="str">
        <f t="shared" si="765"/>
        <v>INTER</v>
      </c>
      <c r="D9084" s="2" t="str">
        <f t="shared" si="766"/>
        <v>PARI</v>
      </c>
      <c r="E9084" s="2" t="str">
        <f>"RELATÓRIO DE INTERNACAO POR CIDADE"</f>
        <v>RELATÓRIO DE INTERNACAO POR CIDADE</v>
      </c>
      <c r="F9084" s="2" t="str">
        <f>"R_OPE_INT_CID"</f>
        <v>R_OPE_INT_CID</v>
      </c>
      <c r="G9084" s="2" t="str">
        <f>"Atendimento / Internação / Relatórios / Operacionais / Internações / Por Cidade (R_OPE_INT_CID)"</f>
        <v>Atendimento / Internação / Relatórios / Operacionais / Internações / Por Cidade (R_OPE_INT_CID)</v>
      </c>
    </row>
    <row r="9085" spans="1:7" x14ac:dyDescent="0.3">
      <c r="A9085" s="1" t="s">
        <v>4</v>
      </c>
      <c r="B9085" s="2" t="str">
        <f t="shared" si="764"/>
        <v>SISTEMA DE GERENCIAMENTO DE INTERNAÇÃO</v>
      </c>
      <c r="C9085" s="2" t="str">
        <f t="shared" si="765"/>
        <v>INTER</v>
      </c>
      <c r="D9085" s="2" t="str">
        <f t="shared" si="766"/>
        <v>PARI</v>
      </c>
      <c r="E9085" s="2" t="str">
        <f>"RELATÓRIO DE INTERNACAO POR CIDADE"</f>
        <v>RELATÓRIO DE INTERNACAO POR CIDADE</v>
      </c>
      <c r="F9085" s="2" t="str">
        <f>"R_OPE_INT_CID"</f>
        <v>R_OPE_INT_CID</v>
      </c>
      <c r="G9085" s="2" t="str">
        <f>"MVSaude / Atendimento / Autorizações de Guias / Internação / Relatórios / Operacionais / Internações / Por Cidade (R_OPE_INT_CID)"</f>
        <v>MVSaude / Atendimento / Autorizações de Guias / Internação / Relatórios / Operacionais / Internações / Por Cidade (R_OPE_INT_CID)</v>
      </c>
    </row>
    <row r="9086" spans="1:7" x14ac:dyDescent="0.3">
      <c r="A9086" s="1" t="s">
        <v>4</v>
      </c>
      <c r="B9086" s="2" t="str">
        <f t="shared" si="764"/>
        <v>SISTEMA DE GERENCIAMENTO DE INTERNAÇÃO</v>
      </c>
      <c r="C9086" s="2" t="str">
        <f t="shared" si="765"/>
        <v>INTER</v>
      </c>
      <c r="D9086" s="2" t="str">
        <f t="shared" si="766"/>
        <v>PARI</v>
      </c>
      <c r="E9086" s="2" t="str">
        <f>"RELATORIO DE OBITO ANALITICO"</f>
        <v>RELATORIO DE OBITO ANALITICO</v>
      </c>
      <c r="F9086" s="2" t="str">
        <f>"R_OBITOS_ANALIT"</f>
        <v>R_OBITOS_ANALIT</v>
      </c>
      <c r="G9086" s="2" t="str">
        <f>"MVSaude / Vendas / Internação / Relatórios / Estatísticos / Óbitos / Analítico (R_OBITOS_ANALIT)"</f>
        <v>MVSaude / Vendas / Internação / Relatórios / Estatísticos / Óbitos / Analítico (R_OBITOS_ANALIT)</v>
      </c>
    </row>
    <row r="9087" spans="1:7" x14ac:dyDescent="0.3">
      <c r="A9087" s="1" t="s">
        <v>4</v>
      </c>
      <c r="B9087" s="2" t="str">
        <f t="shared" si="764"/>
        <v>SISTEMA DE GERENCIAMENTO DE INTERNAÇÃO</v>
      </c>
      <c r="C9087" s="2" t="str">
        <f t="shared" si="765"/>
        <v>INTER</v>
      </c>
      <c r="D9087" s="2" t="str">
        <f t="shared" si="766"/>
        <v>PARI</v>
      </c>
      <c r="E9087" s="2" t="str">
        <f>"RELATORIO DE OBITO ANALITICO"</f>
        <v>RELATORIO DE OBITO ANALITICO</v>
      </c>
      <c r="F9087" s="2" t="str">
        <f>"R_OBITOS_ANALIT"</f>
        <v>R_OBITOS_ANALIT</v>
      </c>
      <c r="G9087" s="2" t="str">
        <f>"Atendimento / Internação / Relatórios / Estatísticos / Óbitos / Analítico (R_OBITOS_ANALIT)"</f>
        <v>Atendimento / Internação / Relatórios / Estatísticos / Óbitos / Analítico (R_OBITOS_ANALIT)</v>
      </c>
    </row>
    <row r="9088" spans="1:7" x14ac:dyDescent="0.3">
      <c r="A9088" s="1" t="s">
        <v>4</v>
      </c>
      <c r="B9088" s="2" t="str">
        <f t="shared" si="764"/>
        <v>SISTEMA DE GERENCIAMENTO DE INTERNAÇÃO</v>
      </c>
      <c r="C9088" s="2" t="str">
        <f t="shared" si="765"/>
        <v>INTER</v>
      </c>
      <c r="D9088" s="2" t="str">
        <f t="shared" si="766"/>
        <v>PARI</v>
      </c>
      <c r="E9088" s="2" t="str">
        <f>"RELATORIO DE OBITO ANALITICO"</f>
        <v>RELATORIO DE OBITO ANALITICO</v>
      </c>
      <c r="F9088" s="2" t="str">
        <f>"R_OBITOS_ANALIT"</f>
        <v>R_OBITOS_ANALIT</v>
      </c>
      <c r="G9088" s="2" t="str">
        <f>"MVSaude / Atendimento / Autorizações de Guias / Internação / Relatórios / Estatísticos / Óbitos / Analítico (R_OBITOS_ANALIT)"</f>
        <v>MVSaude / Atendimento / Autorizações de Guias / Internação / Relatórios / Estatísticos / Óbitos / Analítico (R_OBITOS_ANALIT)</v>
      </c>
    </row>
    <row r="9089" spans="1:7" x14ac:dyDescent="0.3">
      <c r="A9089" s="1" t="s">
        <v>4</v>
      </c>
      <c r="B9089" s="2" t="str">
        <f t="shared" si="764"/>
        <v>SISTEMA DE GERENCIAMENTO DE INTERNAÇÃO</v>
      </c>
      <c r="C9089" s="2" t="str">
        <f t="shared" si="765"/>
        <v>INTER</v>
      </c>
      <c r="D9089" s="2" t="str">
        <f t="shared" si="766"/>
        <v>PARI</v>
      </c>
      <c r="E9089" s="2" t="str">
        <f>"DECLARAÇÃO DE FILANTROPIA"</f>
        <v>DECLARAÇÃO DE FILANTROPIA</v>
      </c>
      <c r="F9089" s="2" t="str">
        <f>"R_TERMO_FILANT"</f>
        <v>R_TERMO_FILANT</v>
      </c>
      <c r="G9089" s="2" t="str">
        <f>"MVSaude / Vendas / Internação / Relatórios / Declarações e Termos / Declaração de Filantropia (R_TERMO_FILANT)"</f>
        <v>MVSaude / Vendas / Internação / Relatórios / Declarações e Termos / Declaração de Filantropia (R_TERMO_FILANT)</v>
      </c>
    </row>
    <row r="9090" spans="1:7" x14ac:dyDescent="0.3">
      <c r="A9090" s="1" t="s">
        <v>4</v>
      </c>
      <c r="B9090" s="2" t="str">
        <f t="shared" si="764"/>
        <v>SISTEMA DE GERENCIAMENTO DE INTERNAÇÃO</v>
      </c>
      <c r="C9090" s="2" t="str">
        <f t="shared" si="765"/>
        <v>INTER</v>
      </c>
      <c r="D9090" s="2" t="str">
        <f t="shared" si="766"/>
        <v>PARI</v>
      </c>
      <c r="E9090" s="2" t="str">
        <f>"DECLARAÇÃO DE FILANTROPIA"</f>
        <v>DECLARAÇÃO DE FILANTROPIA</v>
      </c>
      <c r="F9090" s="2" t="str">
        <f>"R_TERMO_FILANT"</f>
        <v>R_TERMO_FILANT</v>
      </c>
      <c r="G9090" s="2" t="str">
        <f>"Atendimento / Internação / Relatórios / Declarações e Termos / Declaração de Filantropia (R_TERMO_FILANT)"</f>
        <v>Atendimento / Internação / Relatórios / Declarações e Termos / Declaração de Filantropia (R_TERMO_FILANT)</v>
      </c>
    </row>
    <row r="9091" spans="1:7" x14ac:dyDescent="0.3">
      <c r="A9091" s="1" t="s">
        <v>4</v>
      </c>
      <c r="B9091" s="2" t="str">
        <f t="shared" si="764"/>
        <v>SISTEMA DE GERENCIAMENTO DE INTERNAÇÃO</v>
      </c>
      <c r="C9091" s="2" t="str">
        <f t="shared" si="765"/>
        <v>INTER</v>
      </c>
      <c r="D9091" s="2" t="str">
        <f t="shared" si="766"/>
        <v>PARI</v>
      </c>
      <c r="E9091" s="2" t="str">
        <f>"DECLARAÇÃO DE FILANTROPIA"</f>
        <v>DECLARAÇÃO DE FILANTROPIA</v>
      </c>
      <c r="F9091" s="2" t="str">
        <f>"R_TERMO_FILANT"</f>
        <v>R_TERMO_FILANT</v>
      </c>
      <c r="G9091" s="2" t="str">
        <f>"MVSaude / Atendimento / Autorizações de Guias / Internação / Relatórios / Declarações e Termos / Declaração de Filantropia (R_TERMO_FILANT)"</f>
        <v>MVSaude / Atendimento / Autorizações de Guias / Internação / Relatórios / Declarações e Termos / Declaração de Filantropia (R_TERMO_FILANT)</v>
      </c>
    </row>
    <row r="9092" spans="1:7" x14ac:dyDescent="0.3">
      <c r="A9092" s="1" t="s">
        <v>4</v>
      </c>
      <c r="B9092" s="2" t="str">
        <f t="shared" si="764"/>
        <v>SISTEMA DE GERENCIAMENTO DE INTERNAÇÃO</v>
      </c>
      <c r="C9092" s="2" t="str">
        <f t="shared" si="765"/>
        <v>INTER</v>
      </c>
      <c r="D9092" s="2" t="str">
        <f t="shared" si="766"/>
        <v>PARI</v>
      </c>
      <c r="E9092" s="2" t="str">
        <f t="shared" ref="E9092:F9094" si="775">"M_CON_PLA_PEND"</f>
        <v>M_CON_PLA_PEND</v>
      </c>
      <c r="F9092" s="2" t="str">
        <f t="shared" si="775"/>
        <v>M_CON_PLA_PEND</v>
      </c>
      <c r="G9092" s="2" t="str">
        <f>"MVSaude / Vendas / Internação / Tabelas / Pendências por Convênio/Plano (M_CON_PLA_PEND)"</f>
        <v>MVSaude / Vendas / Internação / Tabelas / Pendências por Convênio/Plano (M_CON_PLA_PEND)</v>
      </c>
    </row>
    <row r="9093" spans="1:7" x14ac:dyDescent="0.3">
      <c r="A9093" s="1" t="s">
        <v>4</v>
      </c>
      <c r="B9093" s="2" t="str">
        <f t="shared" si="764"/>
        <v>SISTEMA DE GERENCIAMENTO DE INTERNAÇÃO</v>
      </c>
      <c r="C9093" s="2" t="str">
        <f t="shared" si="765"/>
        <v>INTER</v>
      </c>
      <c r="D9093" s="2" t="str">
        <f t="shared" si="766"/>
        <v>PARI</v>
      </c>
      <c r="E9093" s="2" t="str">
        <f t="shared" si="775"/>
        <v>M_CON_PLA_PEND</v>
      </c>
      <c r="F9093" s="2" t="str">
        <f t="shared" si="775"/>
        <v>M_CON_PLA_PEND</v>
      </c>
      <c r="G9093" s="2" t="str">
        <f>"MVSaude / Atendimento / Autorizações de Guias / Internação / Tabelas / Pendências por Convênio/Plano (M_CON_PLA_PEND)"</f>
        <v>MVSaude / Atendimento / Autorizações de Guias / Internação / Tabelas / Pendências por Convênio/Plano (M_CON_PLA_PEND)</v>
      </c>
    </row>
    <row r="9094" spans="1:7" x14ac:dyDescent="0.3">
      <c r="A9094" s="1" t="s">
        <v>4</v>
      </c>
      <c r="B9094" s="2" t="str">
        <f t="shared" si="764"/>
        <v>SISTEMA DE GERENCIAMENTO DE INTERNAÇÃO</v>
      </c>
      <c r="C9094" s="2" t="str">
        <f t="shared" si="765"/>
        <v>INTER</v>
      </c>
      <c r="D9094" s="2" t="str">
        <f t="shared" si="766"/>
        <v>PARI</v>
      </c>
      <c r="E9094" s="2" t="str">
        <f t="shared" si="775"/>
        <v>M_CON_PLA_PEND</v>
      </c>
      <c r="F9094" s="2" t="str">
        <f t="shared" si="775"/>
        <v>M_CON_PLA_PEND</v>
      </c>
      <c r="G9094" s="2" t="str">
        <f>"Atendimento / Internação / Tabelas / Pendências por Convênio/Plano (M_CON_PLA_PEND)"</f>
        <v>Atendimento / Internação / Tabelas / Pendências por Convênio/Plano (M_CON_PLA_PEND)</v>
      </c>
    </row>
    <row r="9095" spans="1:7" x14ac:dyDescent="0.3">
      <c r="A9095" s="1" t="s">
        <v>4</v>
      </c>
      <c r="B9095" s="2" t="str">
        <f t="shared" si="764"/>
        <v>SISTEMA DE GERENCIAMENTO DE INTERNAÇÃO</v>
      </c>
      <c r="C9095" s="2" t="str">
        <f t="shared" si="765"/>
        <v>INTER</v>
      </c>
      <c r="D9095" s="2" t="str">
        <f t="shared" si="766"/>
        <v>PARI</v>
      </c>
      <c r="E9095" s="2" t="str">
        <f>"REL DE LIVRO DE ATENDIMENTOS NO PERIODO"</f>
        <v>REL DE LIVRO DE ATENDIMENTOS NO PERIODO</v>
      </c>
      <c r="F9095" s="2" t="str">
        <f>"R_LIVRO_ATENDIMENTO"</f>
        <v>R_LIVRO_ATENDIMENTO</v>
      </c>
      <c r="G9095" s="2" t="str">
        <f>" ()"</f>
        <v xml:space="preserve"> ()</v>
      </c>
    </row>
    <row r="9096" spans="1:7" x14ac:dyDescent="0.3">
      <c r="A9096" s="1" t="s">
        <v>4</v>
      </c>
      <c r="B9096" s="2" t="str">
        <f t="shared" si="764"/>
        <v>SISTEMA DE GERENCIAMENTO DE INTERNAÇÃO</v>
      </c>
      <c r="C9096" s="2" t="str">
        <f t="shared" si="765"/>
        <v>INTER</v>
      </c>
      <c r="D9096" s="2" t="str">
        <f t="shared" si="766"/>
        <v>PARI</v>
      </c>
      <c r="E9096" s="2" t="str">
        <f>"R_TIPOS_INTERNACAO_X_CONVENIOS"</f>
        <v>R_TIPOS_INTERNACAO_X_CONVENIOS</v>
      </c>
      <c r="F9096" s="2" t="str">
        <f>"R_TIPOS_INTERNACAO_X_CONVENIOS"</f>
        <v>R_TIPOS_INTERNACAO_X_CONVENIOS</v>
      </c>
      <c r="G9096" s="2" t="str">
        <f>" ()"</f>
        <v xml:space="preserve"> ()</v>
      </c>
    </row>
    <row r="9097" spans="1:7" x14ac:dyDescent="0.3">
      <c r="A9097" s="1" t="s">
        <v>4</v>
      </c>
      <c r="B9097" s="2" t="str">
        <f t="shared" si="764"/>
        <v>SISTEMA DE GERENCIAMENTO DE INTERNAÇÃO</v>
      </c>
      <c r="C9097" s="2" t="str">
        <f t="shared" si="765"/>
        <v>INTER</v>
      </c>
      <c r="D9097" s="2" t="str">
        <f t="shared" si="766"/>
        <v>PARI</v>
      </c>
      <c r="E9097" s="2" t="str">
        <f t="shared" ref="E9097:E9103" si="776">"ESTATÍSTICO DE ATENDIMENTO POR USUÁRIO"</f>
        <v>ESTATÍSTICO DE ATENDIMENTO POR USUÁRIO</v>
      </c>
      <c r="F9097" s="2" t="str">
        <f t="shared" ref="F9097:F9103" si="777">"R_EST_USUARIO"</f>
        <v>R_EST_USUARIO</v>
      </c>
      <c r="G9097" s="2" t="str">
        <f>"Atendimento / Ambulatório / Relatórios / Estatísticos / Atendimentos por Usuário (R_EST_USUARIO)"</f>
        <v>Atendimento / Ambulatório / Relatórios / Estatísticos / Atendimentos por Usuário (R_EST_USUARIO)</v>
      </c>
    </row>
    <row r="9098" spans="1:7" x14ac:dyDescent="0.3">
      <c r="A9098" s="1" t="s">
        <v>4</v>
      </c>
      <c r="B9098" s="2" t="str">
        <f t="shared" si="764"/>
        <v>SISTEMA DE GERENCIAMENTO DE INTERNAÇÃO</v>
      </c>
      <c r="C9098" s="2" t="str">
        <f t="shared" si="765"/>
        <v>INTER</v>
      </c>
      <c r="D9098" s="2" t="str">
        <f t="shared" si="766"/>
        <v>PARI</v>
      </c>
      <c r="E9098" s="2" t="str">
        <f t="shared" si="776"/>
        <v>ESTATÍSTICO DE ATENDIMENTO POR USUÁRIO</v>
      </c>
      <c r="F9098" s="2" t="str">
        <f t="shared" si="777"/>
        <v>R_EST_USUARIO</v>
      </c>
      <c r="G9098" s="2" t="str">
        <f>"Diagnóstico e Terapia / Diagnóstico por Imagem / Relatórios / Estatísticos / Atendimentos por Usuário (R_EST_USUARIO)"</f>
        <v>Diagnóstico e Terapia / Diagnóstico por Imagem / Relatórios / Estatísticos / Atendimentos por Usuário (R_EST_USUARIO)</v>
      </c>
    </row>
    <row r="9099" spans="1:7" x14ac:dyDescent="0.3">
      <c r="A9099" s="1" t="s">
        <v>4</v>
      </c>
      <c r="B9099" s="2" t="str">
        <f t="shared" si="764"/>
        <v>SISTEMA DE GERENCIAMENTO DE INTERNAÇÃO</v>
      </c>
      <c r="C9099" s="2" t="str">
        <f t="shared" si="765"/>
        <v>INTER</v>
      </c>
      <c r="D9099" s="2" t="str">
        <f t="shared" si="766"/>
        <v>PARI</v>
      </c>
      <c r="E9099" s="2" t="str">
        <f t="shared" si="776"/>
        <v>ESTATÍSTICO DE ATENDIMENTO POR USUÁRIO</v>
      </c>
      <c r="F9099" s="2" t="str">
        <f t="shared" si="777"/>
        <v>R_EST_USUARIO</v>
      </c>
      <c r="G9099" s="2" t="str">
        <f>"Serviços de Apoio / Serviço Arquivo Médico / Relatórios / Estatísticos / Atendimentos / Por Usuário (R_EST_USUARIO)"</f>
        <v>Serviços de Apoio / Serviço Arquivo Médico / Relatórios / Estatísticos / Atendimentos / Por Usuário (R_EST_USUARIO)</v>
      </c>
    </row>
    <row r="9100" spans="1:7" x14ac:dyDescent="0.3">
      <c r="A9100" s="1" t="s">
        <v>4</v>
      </c>
      <c r="B9100" s="2" t="str">
        <f t="shared" si="764"/>
        <v>SISTEMA DE GERENCIAMENTO DE INTERNAÇÃO</v>
      </c>
      <c r="C9100" s="2" t="str">
        <f t="shared" si="765"/>
        <v>INTER</v>
      </c>
      <c r="D9100" s="2" t="str">
        <f t="shared" si="766"/>
        <v>PARI</v>
      </c>
      <c r="E9100" s="2" t="str">
        <f t="shared" si="776"/>
        <v>ESTATÍSTICO DE ATENDIMENTO POR USUÁRIO</v>
      </c>
      <c r="F9100" s="2" t="str">
        <f t="shared" si="777"/>
        <v>R_EST_USUARIO</v>
      </c>
      <c r="G9100" s="2" t="str">
        <f>"Atendimento / Urgência e Emergência / Relatórios / Estatísticos / Atendimentos por / Usuário (R_EST_USUARIO)"</f>
        <v>Atendimento / Urgência e Emergência / Relatórios / Estatísticos / Atendimentos por / Usuário (R_EST_USUARIO)</v>
      </c>
    </row>
    <row r="9101" spans="1:7" x14ac:dyDescent="0.3">
      <c r="A9101" s="1" t="s">
        <v>4</v>
      </c>
      <c r="B9101" s="2" t="str">
        <f t="shared" si="764"/>
        <v>SISTEMA DE GERENCIAMENTO DE INTERNAÇÃO</v>
      </c>
      <c r="C9101" s="2" t="str">
        <f t="shared" si="765"/>
        <v>INTER</v>
      </c>
      <c r="D9101" s="2" t="str">
        <f t="shared" si="766"/>
        <v>PARI</v>
      </c>
      <c r="E9101" s="2" t="str">
        <f t="shared" si="776"/>
        <v>ESTATÍSTICO DE ATENDIMENTO POR USUÁRIO</v>
      </c>
      <c r="F9101" s="2" t="str">
        <f t="shared" si="777"/>
        <v>R_EST_USUARIO</v>
      </c>
      <c r="G9101" s="2" t="str">
        <f>"MVSaude / Vendas / Internação / Relatórios / Estatísticos / Atendimentos / Por Usuário (R_EST_USUARIO)"</f>
        <v>MVSaude / Vendas / Internação / Relatórios / Estatísticos / Atendimentos / Por Usuário (R_EST_USUARIO)</v>
      </c>
    </row>
    <row r="9102" spans="1:7" x14ac:dyDescent="0.3">
      <c r="A9102" s="1" t="s">
        <v>4</v>
      </c>
      <c r="B9102" s="2" t="str">
        <f t="shared" ref="B9102:B9165" si="778">"SISTEMA DE GERENCIAMENTO DE INTERNAÇÃO"</f>
        <v>SISTEMA DE GERENCIAMENTO DE INTERNAÇÃO</v>
      </c>
      <c r="C9102" s="2" t="str">
        <f t="shared" ref="C9102:C9165" si="779">"INTER"</f>
        <v>INTER</v>
      </c>
      <c r="D9102" s="2" t="str">
        <f t="shared" ref="D9102:D9165" si="780">"PARI"</f>
        <v>PARI</v>
      </c>
      <c r="E9102" s="2" t="str">
        <f t="shared" si="776"/>
        <v>ESTATÍSTICO DE ATENDIMENTO POR USUÁRIO</v>
      </c>
      <c r="F9102" s="2" t="str">
        <f t="shared" si="777"/>
        <v>R_EST_USUARIO</v>
      </c>
      <c r="G9102" s="2" t="str">
        <f>"Atendimento / Internação / Relatórios / Estatísticos / Atendimentos / Por Usuário (R_EST_USUARIO)"</f>
        <v>Atendimento / Internação / Relatórios / Estatísticos / Atendimentos / Por Usuário (R_EST_USUARIO)</v>
      </c>
    </row>
    <row r="9103" spans="1:7" x14ac:dyDescent="0.3">
      <c r="A9103" s="1" t="s">
        <v>4</v>
      </c>
      <c r="B9103" s="2" t="str">
        <f t="shared" si="778"/>
        <v>SISTEMA DE GERENCIAMENTO DE INTERNAÇÃO</v>
      </c>
      <c r="C9103" s="2" t="str">
        <f t="shared" si="779"/>
        <v>INTER</v>
      </c>
      <c r="D9103" s="2" t="str">
        <f t="shared" si="780"/>
        <v>PARI</v>
      </c>
      <c r="E9103" s="2" t="str">
        <f t="shared" si="776"/>
        <v>ESTATÍSTICO DE ATENDIMENTO POR USUÁRIO</v>
      </c>
      <c r="F9103" s="2" t="str">
        <f t="shared" si="777"/>
        <v>R_EST_USUARIO</v>
      </c>
      <c r="G9103" s="2" t="str">
        <f>"MVSaude / Atendimento / Autorizações de Guias / Internação / Relatórios / Estatísticos / Atendimentos / Por Usuário (R_EST_USUARIO)"</f>
        <v>MVSaude / Atendimento / Autorizações de Guias / Internação / Relatórios / Estatísticos / Atendimentos / Por Usuário (R_EST_USUARIO)</v>
      </c>
    </row>
    <row r="9104" spans="1:7" x14ac:dyDescent="0.3">
      <c r="A9104" s="1" t="s">
        <v>4</v>
      </c>
      <c r="B9104" s="2" t="str">
        <f t="shared" si="778"/>
        <v>SISTEMA DE GERENCIAMENTO DE INTERNAÇÃO</v>
      </c>
      <c r="C9104" s="2" t="str">
        <f t="shared" si="779"/>
        <v>INTER</v>
      </c>
      <c r="D9104" s="2" t="str">
        <f t="shared" si="780"/>
        <v>PARI</v>
      </c>
      <c r="E9104" s="2" t="str">
        <f>"½¾"</f>
        <v>½¾</v>
      </c>
      <c r="F9104" s="2" t="str">
        <f>"½¾"</f>
        <v>½¾</v>
      </c>
      <c r="G9104" s="2" t="str">
        <f>" ()"</f>
        <v xml:space="preserve"> ()</v>
      </c>
    </row>
    <row r="9105" spans="1:7" x14ac:dyDescent="0.3">
      <c r="A9105" s="1" t="s">
        <v>4</v>
      </c>
      <c r="B9105" s="2" t="str">
        <f t="shared" si="778"/>
        <v>SISTEMA DE GERENCIAMENTO DE INTERNAÇÃO</v>
      </c>
      <c r="C9105" s="2" t="str">
        <f t="shared" si="779"/>
        <v>INTER</v>
      </c>
      <c r="D9105" s="2" t="str">
        <f t="shared" si="780"/>
        <v>PARI</v>
      </c>
      <c r="E9105" s="2" t="str">
        <f>"RELAT. PAC. INTERNADOS CONV. POR PLANO"</f>
        <v>RELAT. PAC. INTERNADOS CONV. POR PLANO</v>
      </c>
      <c r="F9105" s="2" t="str">
        <f>"R_ATEND_CONV_PLANO_C"</f>
        <v>R_ATEND_CONV_PLANO_C</v>
      </c>
      <c r="G9105" s="2" t="str">
        <f>" ()"</f>
        <v xml:space="preserve"> ()</v>
      </c>
    </row>
    <row r="9106" spans="1:7" x14ac:dyDescent="0.3">
      <c r="A9106" s="1" t="s">
        <v>4</v>
      </c>
      <c r="B9106" s="2" t="str">
        <f t="shared" si="778"/>
        <v>SISTEMA DE GERENCIAMENTO DE INTERNAÇÃO</v>
      </c>
      <c r="C9106" s="2" t="str">
        <f t="shared" si="779"/>
        <v>INTER</v>
      </c>
      <c r="D9106" s="2" t="str">
        <f t="shared" si="780"/>
        <v>PARI</v>
      </c>
      <c r="E9106" s="2" t="str">
        <f>"RELAT. PAC. INTERNADOS CONV. PLANO"</f>
        <v>RELAT. PAC. INTERNADOS CONV. PLANO</v>
      </c>
      <c r="F9106" s="2" t="str">
        <f>"R_ATEND_CONV_PLANO"</f>
        <v>R_ATEND_CONV_PLANO</v>
      </c>
      <c r="G9106" s="2" t="str">
        <f>"Atendimento / Internação / Relatórios / Internados / por Convênio x Plano (R_ATEND_CONV_PLANO)"</f>
        <v>Atendimento / Internação / Relatórios / Internados / por Convênio x Plano (R_ATEND_CONV_PLANO)</v>
      </c>
    </row>
    <row r="9107" spans="1:7" x14ac:dyDescent="0.3">
      <c r="A9107" s="1" t="s">
        <v>4</v>
      </c>
      <c r="B9107" s="2" t="str">
        <f t="shared" si="778"/>
        <v>SISTEMA DE GERENCIAMENTO DE INTERNAÇÃO</v>
      </c>
      <c r="C9107" s="2" t="str">
        <f t="shared" si="779"/>
        <v>INTER</v>
      </c>
      <c r="D9107" s="2" t="str">
        <f t="shared" si="780"/>
        <v>PARI</v>
      </c>
      <c r="E9107" s="2" t="str">
        <f>"RELAT. PAC. INTERNADOS CONV. PLANO"</f>
        <v>RELAT. PAC. INTERNADOS CONV. PLANO</v>
      </c>
      <c r="F9107" s="2" t="str">
        <f>"R_ATEND_CONV_PLANO"</f>
        <v>R_ATEND_CONV_PLANO</v>
      </c>
      <c r="G9107" s="2" t="str">
        <f>"MVSaude / Atendimento / Autorizações de Guias / Internação / Relatórios / Internados / por Convênio x Plano (R_ATEND_CONV_PLANO)"</f>
        <v>MVSaude / Atendimento / Autorizações de Guias / Internação / Relatórios / Internados / por Convênio x Plano (R_ATEND_CONV_PLANO)</v>
      </c>
    </row>
    <row r="9108" spans="1:7" x14ac:dyDescent="0.3">
      <c r="A9108" s="1" t="s">
        <v>4</v>
      </c>
      <c r="B9108" s="2" t="str">
        <f t="shared" si="778"/>
        <v>SISTEMA DE GERENCIAMENTO DE INTERNAÇÃO</v>
      </c>
      <c r="C9108" s="2" t="str">
        <f t="shared" si="779"/>
        <v>INTER</v>
      </c>
      <c r="D9108" s="2" t="str">
        <f t="shared" si="780"/>
        <v>PARI</v>
      </c>
      <c r="E9108" s="2" t="str">
        <f>"RELAT. PAC. INTERNADOS CONV. PLANO"</f>
        <v>RELAT. PAC. INTERNADOS CONV. PLANO</v>
      </c>
      <c r="F9108" s="2" t="str">
        <f>"R_ATEND_CONV_PLANO"</f>
        <v>R_ATEND_CONV_PLANO</v>
      </c>
      <c r="G9108" s="2" t="str">
        <f>"MVSaude / Vendas / Internação / Relatórios / Internados / por Convênio x Plano (R_ATEND_CONV_PLANO)"</f>
        <v>MVSaude / Vendas / Internação / Relatórios / Internados / por Convênio x Plano (R_ATEND_CONV_PLANO)</v>
      </c>
    </row>
    <row r="9109" spans="1:7" x14ac:dyDescent="0.3">
      <c r="A9109" s="1" t="s">
        <v>4</v>
      </c>
      <c r="B9109" s="2" t="str">
        <f t="shared" si="778"/>
        <v>SISTEMA DE GERENCIAMENTO DE INTERNAÇÃO</v>
      </c>
      <c r="C9109" s="2" t="str">
        <f t="shared" si="779"/>
        <v>INTER</v>
      </c>
      <c r="D9109" s="2" t="str">
        <f t="shared" si="780"/>
        <v>PARI</v>
      </c>
      <c r="E9109" s="2" t="str">
        <f>"PERSONALIZADOS DO PARI"</f>
        <v>PERSONALIZADOS DO PARI</v>
      </c>
      <c r="F9109" s="2" t="str">
        <f>"R_PERSON_PARI"</f>
        <v>R_PERSON_PARI</v>
      </c>
      <c r="G9109" s="2" t="str">
        <f>"Atendimento / Internação / Relatórios / Personalizados (R_PERSON_PARI)"</f>
        <v>Atendimento / Internação / Relatórios / Personalizados (R_PERSON_PARI)</v>
      </c>
    </row>
    <row r="9110" spans="1:7" x14ac:dyDescent="0.3">
      <c r="A9110" s="1" t="s">
        <v>4</v>
      </c>
      <c r="B9110" s="2" t="str">
        <f t="shared" si="778"/>
        <v>SISTEMA DE GERENCIAMENTO DE INTERNAÇÃO</v>
      </c>
      <c r="C9110" s="2" t="str">
        <f t="shared" si="779"/>
        <v>INTER</v>
      </c>
      <c r="D9110" s="2" t="str">
        <f t="shared" si="780"/>
        <v>PARI</v>
      </c>
      <c r="E9110" s="2" t="str">
        <f>"PROGRAMAÇÃO DE ALTA"</f>
        <v>PROGRAMAÇÃO DE ALTA</v>
      </c>
      <c r="F9110" s="2" t="str">
        <f>"M_PROGRAMA_ALTA_MANUTENCAO"</f>
        <v>M_PROGRAMA_ALTA_MANUTENCAO</v>
      </c>
      <c r="G9110" s="2" t="str">
        <f>" ()"</f>
        <v xml:space="preserve"> ()</v>
      </c>
    </row>
    <row r="9111" spans="1:7" x14ac:dyDescent="0.3">
      <c r="A9111" s="1" t="s">
        <v>4</v>
      </c>
      <c r="B9111" s="2" t="str">
        <f t="shared" si="778"/>
        <v>SISTEMA DE GERENCIAMENTO DE INTERNAÇÃO</v>
      </c>
      <c r="C9111" s="2" t="str">
        <f t="shared" si="779"/>
        <v>INTER</v>
      </c>
      <c r="D9111" s="2" t="str">
        <f t="shared" si="780"/>
        <v>PARI</v>
      </c>
      <c r="E9111" s="2" t="str">
        <f>"MANUTENÇÃO ALTAS ADMINISTRATIVAS"</f>
        <v>MANUTENÇÃO ALTAS ADMINISTRATIVAS</v>
      </c>
      <c r="F9111" s="2" t="str">
        <f>"M_AIH_ALTA_ADM"</f>
        <v>M_AIH_ALTA_ADM</v>
      </c>
      <c r="G9111" s="2" t="str">
        <f>"MVSaude / Vendas / Internação / Tabelas / Altas Administrativas (M_AIH_ALTA_ADM)"</f>
        <v>MVSaude / Vendas / Internação / Tabelas / Altas Administrativas (M_AIH_ALTA_ADM)</v>
      </c>
    </row>
    <row r="9112" spans="1:7" x14ac:dyDescent="0.3">
      <c r="A9112" s="1" t="s">
        <v>4</v>
      </c>
      <c r="B9112" s="2" t="str">
        <f t="shared" si="778"/>
        <v>SISTEMA DE GERENCIAMENTO DE INTERNAÇÃO</v>
      </c>
      <c r="C9112" s="2" t="str">
        <f t="shared" si="779"/>
        <v>INTER</v>
      </c>
      <c r="D9112" s="2" t="str">
        <f t="shared" si="780"/>
        <v>PARI</v>
      </c>
      <c r="E9112" s="2" t="str">
        <f>"MANUTENÇÃO ALTAS ADMINISTRATIVAS"</f>
        <v>MANUTENÇÃO ALTAS ADMINISTRATIVAS</v>
      </c>
      <c r="F9112" s="2" t="str">
        <f>"M_AIH_ALTA_ADM"</f>
        <v>M_AIH_ALTA_ADM</v>
      </c>
      <c r="G9112" s="2" t="str">
        <f>"MVSaude / Atendimento / Autorizações de Guias / Internação / Tabelas / Altas Administrativas (M_AIH_ALTA_ADM)"</f>
        <v>MVSaude / Atendimento / Autorizações de Guias / Internação / Tabelas / Altas Administrativas (M_AIH_ALTA_ADM)</v>
      </c>
    </row>
    <row r="9113" spans="1:7" x14ac:dyDescent="0.3">
      <c r="A9113" s="1" t="s">
        <v>4</v>
      </c>
      <c r="B9113" s="2" t="str">
        <f t="shared" si="778"/>
        <v>SISTEMA DE GERENCIAMENTO DE INTERNAÇÃO</v>
      </c>
      <c r="C9113" s="2" t="str">
        <f t="shared" si="779"/>
        <v>INTER</v>
      </c>
      <c r="D9113" s="2" t="str">
        <f t="shared" si="780"/>
        <v>PARI</v>
      </c>
      <c r="E9113" s="2" t="str">
        <f>"MANUTENÇÃO ALTAS ADMINISTRATIVAS"</f>
        <v>MANUTENÇÃO ALTAS ADMINISTRATIVAS</v>
      </c>
      <c r="F9113" s="2" t="str">
        <f>"M_AIH_ALTA_ADM"</f>
        <v>M_AIH_ALTA_ADM</v>
      </c>
      <c r="G9113" s="2" t="str">
        <f>"Atendimento / Internação / Tabelas / Altas Administrativas (M_AIH_ALTA_ADM)"</f>
        <v>Atendimento / Internação / Tabelas / Altas Administrativas (M_AIH_ALTA_ADM)</v>
      </c>
    </row>
    <row r="9114" spans="1:7" x14ac:dyDescent="0.3">
      <c r="A9114" s="1" t="s">
        <v>4</v>
      </c>
      <c r="B9114" s="2" t="str">
        <f t="shared" si="778"/>
        <v>SISTEMA DE GERENCIAMENTO DE INTERNAÇÃO</v>
      </c>
      <c r="C9114" s="2" t="str">
        <f t="shared" si="779"/>
        <v>INTER</v>
      </c>
      <c r="D9114" s="2" t="str">
        <f t="shared" si="780"/>
        <v>PARI</v>
      </c>
      <c r="E9114" s="2" t="str">
        <f>"REL.PAC.INTERNADOS X SERVIÇO"</f>
        <v>REL.PAC.INTERNADOS X SERVIÇO</v>
      </c>
      <c r="F9114" s="2" t="str">
        <f>"R_INTERNOSSERVICO"</f>
        <v>R_INTERNOSSERVICO</v>
      </c>
      <c r="G9114" s="2" t="str">
        <f>"MVSaude / Vendas / Internação / Relatórios / Operacionais / Internações / Por Serviço (R_INTERNOSSERVICO)"</f>
        <v>MVSaude / Vendas / Internação / Relatórios / Operacionais / Internações / Por Serviço (R_INTERNOSSERVICO)</v>
      </c>
    </row>
    <row r="9115" spans="1:7" x14ac:dyDescent="0.3">
      <c r="A9115" s="1" t="s">
        <v>4</v>
      </c>
      <c r="B9115" s="2" t="str">
        <f t="shared" si="778"/>
        <v>SISTEMA DE GERENCIAMENTO DE INTERNAÇÃO</v>
      </c>
      <c r="C9115" s="2" t="str">
        <f t="shared" si="779"/>
        <v>INTER</v>
      </c>
      <c r="D9115" s="2" t="str">
        <f t="shared" si="780"/>
        <v>PARI</v>
      </c>
      <c r="E9115" s="2" t="str">
        <f>"REL.PAC.INTERNADOS X SERVIÇO"</f>
        <v>REL.PAC.INTERNADOS X SERVIÇO</v>
      </c>
      <c r="F9115" s="2" t="str">
        <f>"R_INTERNOSSERVICO"</f>
        <v>R_INTERNOSSERVICO</v>
      </c>
      <c r="G9115" s="2" t="str">
        <f>"Atendimento / Internação / Relatórios / Operacionais / Internações / Por Serviço (R_INTERNOSSERVICO)"</f>
        <v>Atendimento / Internação / Relatórios / Operacionais / Internações / Por Serviço (R_INTERNOSSERVICO)</v>
      </c>
    </row>
    <row r="9116" spans="1:7" x14ac:dyDescent="0.3">
      <c r="A9116" s="1" t="s">
        <v>4</v>
      </c>
      <c r="B9116" s="2" t="str">
        <f t="shared" si="778"/>
        <v>SISTEMA DE GERENCIAMENTO DE INTERNAÇÃO</v>
      </c>
      <c r="C9116" s="2" t="str">
        <f t="shared" si="779"/>
        <v>INTER</v>
      </c>
      <c r="D9116" s="2" t="str">
        <f t="shared" si="780"/>
        <v>PARI</v>
      </c>
      <c r="E9116" s="2" t="str">
        <f>"REL.PAC.INTERNADOS X SERVIÇO"</f>
        <v>REL.PAC.INTERNADOS X SERVIÇO</v>
      </c>
      <c r="F9116" s="2" t="str">
        <f>"R_INTERNOSSERVICO"</f>
        <v>R_INTERNOSSERVICO</v>
      </c>
      <c r="G9116" s="2" t="str">
        <f>"Serviços de Apoio / Serviço Arquivo Médico / Relatórios / Operacionais / Internações / Por Serviço (R_INTERNOSSERVICO)"</f>
        <v>Serviços de Apoio / Serviço Arquivo Médico / Relatórios / Operacionais / Internações / Por Serviço (R_INTERNOSSERVICO)</v>
      </c>
    </row>
    <row r="9117" spans="1:7" x14ac:dyDescent="0.3">
      <c r="A9117" s="1" t="s">
        <v>4</v>
      </c>
      <c r="B9117" s="2" t="str">
        <f t="shared" si="778"/>
        <v>SISTEMA DE GERENCIAMENTO DE INTERNAÇÃO</v>
      </c>
      <c r="C9117" s="2" t="str">
        <f t="shared" si="779"/>
        <v>INTER</v>
      </c>
      <c r="D9117" s="2" t="str">
        <f t="shared" si="780"/>
        <v>PARI</v>
      </c>
      <c r="E9117" s="2" t="str">
        <f>"REL.PAC.INTERNADOS X SERVIÇO"</f>
        <v>REL.PAC.INTERNADOS X SERVIÇO</v>
      </c>
      <c r="F9117" s="2" t="str">
        <f>"R_INTERNOSSERVICO"</f>
        <v>R_INTERNOSSERVICO</v>
      </c>
      <c r="G9117" s="2" t="str">
        <f>"Atendimento / Internação Domiciliar (Home Care) / Relatórios / Internados / por Serviço (R_INTERNOSSERVICO)"</f>
        <v>Atendimento / Internação Domiciliar (Home Care) / Relatórios / Internados / por Serviço (R_INTERNOSSERVICO)</v>
      </c>
    </row>
    <row r="9118" spans="1:7" x14ac:dyDescent="0.3">
      <c r="A9118" s="1" t="s">
        <v>4</v>
      </c>
      <c r="B9118" s="2" t="str">
        <f t="shared" si="778"/>
        <v>SISTEMA DE GERENCIAMENTO DE INTERNAÇÃO</v>
      </c>
      <c r="C9118" s="2" t="str">
        <f t="shared" si="779"/>
        <v>INTER</v>
      </c>
      <c r="D9118" s="2" t="str">
        <f t="shared" si="780"/>
        <v>PARI</v>
      </c>
      <c r="E9118" s="2" t="str">
        <f>"REL.PAC.INTERNADOS X SERVIÇO"</f>
        <v>REL.PAC.INTERNADOS X SERVIÇO</v>
      </c>
      <c r="F9118" s="2" t="str">
        <f>"R_INTERNOSSERVICO"</f>
        <v>R_INTERNOSSERVICO</v>
      </c>
      <c r="G9118" s="2" t="str">
        <f>"MVSaude / Atendimento / Autorizações de Guias / Internação / Relatórios / Operacionais / Internações / Por Serviço (R_INTERNOSSERVICO)"</f>
        <v>MVSaude / Atendimento / Autorizações de Guias / Internação / Relatórios / Operacionais / Internações / Por Serviço (R_INTERNOSSERVICO)</v>
      </c>
    </row>
    <row r="9119" spans="1:7" x14ac:dyDescent="0.3">
      <c r="A9119" s="1" t="s">
        <v>4</v>
      </c>
      <c r="B9119" s="2" t="str">
        <f t="shared" si="778"/>
        <v>SISTEMA DE GERENCIAMENTO DE INTERNAÇÃO</v>
      </c>
      <c r="C9119" s="2" t="str">
        <f t="shared" si="779"/>
        <v>INTER</v>
      </c>
      <c r="D9119" s="2" t="str">
        <f t="shared" si="780"/>
        <v>PARI</v>
      </c>
      <c r="E9119" s="2" t="str">
        <f>"ETIQUETAS ATENDIMENTO 755"</f>
        <v>ETIQUETAS ATENDIMENTO 755</v>
      </c>
      <c r="F9119" s="2" t="str">
        <f>"R_ETQ_ATEND_755"</f>
        <v>R_ETQ_ATEND_755</v>
      </c>
      <c r="G9119" s="2" t="str">
        <f>" ()"</f>
        <v xml:space="preserve"> ()</v>
      </c>
    </row>
    <row r="9120" spans="1:7" x14ac:dyDescent="0.3">
      <c r="A9120" s="1" t="s">
        <v>4</v>
      </c>
      <c r="B9120" s="2" t="str">
        <f t="shared" si="778"/>
        <v>SISTEMA DE GERENCIAMENTO DE INTERNAÇÃO</v>
      </c>
      <c r="C9120" s="2" t="str">
        <f t="shared" si="779"/>
        <v>INTER</v>
      </c>
      <c r="D9120" s="2" t="str">
        <f t="shared" si="780"/>
        <v>PARI</v>
      </c>
      <c r="E9120" s="2" t="str">
        <f>"REL. ESTAT. OCUPACAO DOS LEITOS"</f>
        <v>REL. ESTAT. OCUPACAO DOS LEITOS</v>
      </c>
      <c r="F9120" s="2" t="str">
        <f>"R_EST_OCUP_LEITO"</f>
        <v>R_EST_OCUP_LEITO</v>
      </c>
      <c r="G9120" s="2" t="str">
        <f>"Atendimento / Internação / Relatórios / Estatísticos / Ocupação por Unidade de Internação (R_EST_OCUP_LEITO)"</f>
        <v>Atendimento / Internação / Relatórios / Estatísticos / Ocupação por Unidade de Internação (R_EST_OCUP_LEITO)</v>
      </c>
    </row>
    <row r="9121" spans="1:7" x14ac:dyDescent="0.3">
      <c r="A9121" s="1" t="s">
        <v>4</v>
      </c>
      <c r="B9121" s="2" t="str">
        <f t="shared" si="778"/>
        <v>SISTEMA DE GERENCIAMENTO DE INTERNAÇÃO</v>
      </c>
      <c r="C9121" s="2" t="str">
        <f t="shared" si="779"/>
        <v>INTER</v>
      </c>
      <c r="D9121" s="2" t="str">
        <f t="shared" si="780"/>
        <v>PARI</v>
      </c>
      <c r="E9121" s="2" t="str">
        <f>"REL. ESTAT. OCUPACAO DOS LEITOS"</f>
        <v>REL. ESTAT. OCUPACAO DOS LEITOS</v>
      </c>
      <c r="F9121" s="2" t="str">
        <f>"R_EST_OCUP_LEITO"</f>
        <v>R_EST_OCUP_LEITO</v>
      </c>
      <c r="G9121" s="2" t="str">
        <f>"Serviços de Apoio / Serviço Arquivo Médico / Relatórios / Estatísticos / Ocupação por Unidade de Internação (R_EST_OCUP_LEITO)"</f>
        <v>Serviços de Apoio / Serviço Arquivo Médico / Relatórios / Estatísticos / Ocupação por Unidade de Internação (R_EST_OCUP_LEITO)</v>
      </c>
    </row>
    <row r="9122" spans="1:7" x14ac:dyDescent="0.3">
      <c r="A9122" s="1" t="s">
        <v>4</v>
      </c>
      <c r="B9122" s="2" t="str">
        <f t="shared" si="778"/>
        <v>SISTEMA DE GERENCIAMENTO DE INTERNAÇÃO</v>
      </c>
      <c r="C9122" s="2" t="str">
        <f t="shared" si="779"/>
        <v>INTER</v>
      </c>
      <c r="D9122" s="2" t="str">
        <f t="shared" si="780"/>
        <v>PARI</v>
      </c>
      <c r="E9122" s="2" t="str">
        <f>"REL. ESTAT. OCUPACAO DOS LEITOS"</f>
        <v>REL. ESTAT. OCUPACAO DOS LEITOS</v>
      </c>
      <c r="F9122" s="2" t="str">
        <f>"R_EST_OCUP_LEITO"</f>
        <v>R_EST_OCUP_LEITO</v>
      </c>
      <c r="G9122" s="2" t="str">
        <f>"MVSaude / Vendas / Internação / Relatórios / Estatísticos / Ocupação por Unidade de Internação (R_EST_OCUP_LEITO)"</f>
        <v>MVSaude / Vendas / Internação / Relatórios / Estatísticos / Ocupação por Unidade de Internação (R_EST_OCUP_LEITO)</v>
      </c>
    </row>
    <row r="9123" spans="1:7" x14ac:dyDescent="0.3">
      <c r="A9123" s="1" t="s">
        <v>4</v>
      </c>
      <c r="B9123" s="2" t="str">
        <f t="shared" si="778"/>
        <v>SISTEMA DE GERENCIAMENTO DE INTERNAÇÃO</v>
      </c>
      <c r="C9123" s="2" t="str">
        <f t="shared" si="779"/>
        <v>INTER</v>
      </c>
      <c r="D9123" s="2" t="str">
        <f t="shared" si="780"/>
        <v>PARI</v>
      </c>
      <c r="E9123" s="2" t="str">
        <f>"REL. ESTAT. OCUPACAO DOS LEITOS"</f>
        <v>REL. ESTAT. OCUPACAO DOS LEITOS</v>
      </c>
      <c r="F9123" s="2" t="str">
        <f>"R_EST_OCUP_LEITO"</f>
        <v>R_EST_OCUP_LEITO</v>
      </c>
      <c r="G9123" s="2" t="str">
        <f>"MVSaude / Atendimento / Autorizações de Guias / Internação / Relatórios / Estatísticos / Ocupação por Unidade de Internação (R_EST_OCUP_LEITO)"</f>
        <v>MVSaude / Atendimento / Autorizações de Guias / Internação / Relatórios / Estatísticos / Ocupação por Unidade de Internação (R_EST_OCUP_LEITO)</v>
      </c>
    </row>
    <row r="9124" spans="1:7" x14ac:dyDescent="0.3">
      <c r="A9124" s="1" t="s">
        <v>4</v>
      </c>
      <c r="B9124" s="2" t="str">
        <f t="shared" si="778"/>
        <v>SISTEMA DE GERENCIAMENTO DE INTERNAÇÃO</v>
      </c>
      <c r="C9124" s="2" t="str">
        <f t="shared" si="779"/>
        <v>INTER</v>
      </c>
      <c r="D9124" s="2" t="str">
        <f t="shared" si="780"/>
        <v>PARI</v>
      </c>
      <c r="E9124" s="2" t="str">
        <f>"REL. ESTAT. PERMAN. X CID"</f>
        <v>REL. ESTAT. PERMAN. X CID</v>
      </c>
      <c r="F9124" s="2" t="str">
        <f>"R_EST_PERM_CID"</f>
        <v>R_EST_PERM_CID</v>
      </c>
      <c r="G9124" s="2" t="str">
        <f>"Serviços de Apoio / Serviço Arquivo Médico / Relatórios / Estatísticos / Cid / Média de Permanência por Cid (R_EST_PERM_CID)"</f>
        <v>Serviços de Apoio / Serviço Arquivo Médico / Relatórios / Estatísticos / Cid / Média de Permanência por Cid (R_EST_PERM_CID)</v>
      </c>
    </row>
    <row r="9125" spans="1:7" x14ac:dyDescent="0.3">
      <c r="A9125" s="1" t="s">
        <v>4</v>
      </c>
      <c r="B9125" s="2" t="str">
        <f t="shared" si="778"/>
        <v>SISTEMA DE GERENCIAMENTO DE INTERNAÇÃO</v>
      </c>
      <c r="C9125" s="2" t="str">
        <f t="shared" si="779"/>
        <v>INTER</v>
      </c>
      <c r="D9125" s="2" t="str">
        <f t="shared" si="780"/>
        <v>PARI</v>
      </c>
      <c r="E9125" s="2" t="str">
        <f>"REL. ESTAT. PERMAN. X CID"</f>
        <v>REL. ESTAT. PERMAN. X CID</v>
      </c>
      <c r="F9125" s="2" t="str">
        <f>"R_EST_PERM_CID"</f>
        <v>R_EST_PERM_CID</v>
      </c>
      <c r="G9125" s="2" t="str">
        <f>"MVSaude / Vendas / Internação / Relatórios / Estatísticos / Cid / Média de Permanência por Cid (R_EST_PERM_CID)"</f>
        <v>MVSaude / Vendas / Internação / Relatórios / Estatísticos / Cid / Média de Permanência por Cid (R_EST_PERM_CID)</v>
      </c>
    </row>
    <row r="9126" spans="1:7" x14ac:dyDescent="0.3">
      <c r="A9126" s="1" t="s">
        <v>4</v>
      </c>
      <c r="B9126" s="2" t="str">
        <f t="shared" si="778"/>
        <v>SISTEMA DE GERENCIAMENTO DE INTERNAÇÃO</v>
      </c>
      <c r="C9126" s="2" t="str">
        <f t="shared" si="779"/>
        <v>INTER</v>
      </c>
      <c r="D9126" s="2" t="str">
        <f t="shared" si="780"/>
        <v>PARI</v>
      </c>
      <c r="E9126" s="2" t="str">
        <f>"REL. ESTAT. PERMAN. X CID"</f>
        <v>REL. ESTAT. PERMAN. X CID</v>
      </c>
      <c r="F9126" s="2" t="str">
        <f>"R_EST_PERM_CID"</f>
        <v>R_EST_PERM_CID</v>
      </c>
      <c r="G9126" s="2" t="str">
        <f>"Atendimento / Internação / Relatórios / Estatísticos / Cid / Média de Permanência por Cid (R_EST_PERM_CID)"</f>
        <v>Atendimento / Internação / Relatórios / Estatísticos / Cid / Média de Permanência por Cid (R_EST_PERM_CID)</v>
      </c>
    </row>
    <row r="9127" spans="1:7" x14ac:dyDescent="0.3">
      <c r="A9127" s="1" t="s">
        <v>4</v>
      </c>
      <c r="B9127" s="2" t="str">
        <f t="shared" si="778"/>
        <v>SISTEMA DE GERENCIAMENTO DE INTERNAÇÃO</v>
      </c>
      <c r="C9127" s="2" t="str">
        <f t="shared" si="779"/>
        <v>INTER</v>
      </c>
      <c r="D9127" s="2" t="str">
        <f t="shared" si="780"/>
        <v>PARI</v>
      </c>
      <c r="E9127" s="2" t="str">
        <f>"REL. ESTAT. PERMAN. X CID"</f>
        <v>REL. ESTAT. PERMAN. X CID</v>
      </c>
      <c r="F9127" s="2" t="str">
        <f>"R_EST_PERM_CID"</f>
        <v>R_EST_PERM_CID</v>
      </c>
      <c r="G9127" s="2" t="str">
        <f>"MVSaude / Atendimento / Autorizações de Guias / Internação / Relatórios / Estatísticos / Cid / Média de Permanência por Cid (R_EST_PERM_CID)"</f>
        <v>MVSaude / Atendimento / Autorizações de Guias / Internação / Relatórios / Estatísticos / Cid / Média de Permanência por Cid (R_EST_PERM_CID)</v>
      </c>
    </row>
    <row r="9128" spans="1:7" x14ac:dyDescent="0.3">
      <c r="A9128" s="1" t="s">
        <v>4</v>
      </c>
      <c r="B9128" s="2" t="str">
        <f t="shared" si="778"/>
        <v>SISTEMA DE GERENCIAMENTO DE INTERNAÇÃO</v>
      </c>
      <c r="C9128" s="2" t="str">
        <f t="shared" si="779"/>
        <v>INTER</v>
      </c>
      <c r="D9128" s="2" t="str">
        <f t="shared" si="780"/>
        <v>PARI</v>
      </c>
      <c r="E9128" s="2" t="str">
        <f>"CONSULTA DE ATENDIMENTO - SOS MAO"</f>
        <v>CONSULTA DE ATENDIMENTO - SOS MAO</v>
      </c>
      <c r="F9128" s="2" t="str">
        <f>"CON_ATE_760"</f>
        <v>CON_ATE_760</v>
      </c>
      <c r="G9128" s="2" t="str">
        <f>" ()"</f>
        <v xml:space="preserve"> ()</v>
      </c>
    </row>
    <row r="9129" spans="1:7" x14ac:dyDescent="0.3">
      <c r="A9129" s="1" t="s">
        <v>4</v>
      </c>
      <c r="B9129" s="2" t="str">
        <f t="shared" si="778"/>
        <v>SISTEMA DE GERENCIAMENTO DE INTERNAÇÃO</v>
      </c>
      <c r="C9129" s="2" t="str">
        <f t="shared" si="779"/>
        <v>INTER</v>
      </c>
      <c r="D9129" s="2" t="str">
        <f t="shared" si="780"/>
        <v>PARI</v>
      </c>
      <c r="E9129" s="2" t="str">
        <f>"LAUDO MEDICO PARA AIH"</f>
        <v>LAUDO MEDICO PARA AIH</v>
      </c>
      <c r="F9129" s="2" t="str">
        <f>"R_LAUDO_AIH"</f>
        <v>R_LAUDO_AIH</v>
      </c>
      <c r="G9129" s="2" t="str">
        <f>"Faturamento / Faturamento de Internação SUS (AIH) / Relatórios / Operacionais / Laudo AIH (R_LAUDO_AIH)"</f>
        <v>Faturamento / Faturamento de Internação SUS (AIH) / Relatórios / Operacionais / Laudo AIH (R_LAUDO_AIH)</v>
      </c>
    </row>
    <row r="9130" spans="1:7" x14ac:dyDescent="0.3">
      <c r="A9130" s="1" t="s">
        <v>4</v>
      </c>
      <c r="B9130" s="2" t="str">
        <f t="shared" si="778"/>
        <v>SISTEMA DE GERENCIAMENTO DE INTERNAÇÃO</v>
      </c>
      <c r="C9130" s="2" t="str">
        <f t="shared" si="779"/>
        <v>INTER</v>
      </c>
      <c r="D9130" s="2" t="str">
        <f t="shared" si="780"/>
        <v>PARI</v>
      </c>
      <c r="E9130" s="2" t="str">
        <f>"LAUDO MEDICO PARA AIH"</f>
        <v>LAUDO MEDICO PARA AIH</v>
      </c>
      <c r="F9130" s="2" t="str">
        <f>"R_LAUDO_AIH"</f>
        <v>R_LAUDO_AIH</v>
      </c>
      <c r="G9130" s="2" t="str">
        <f>"MVSaude / Atendimento / Autorizações de Guias / Internação / Relatórios / AIH / Laudo AIH (R_LAUDO_AIH)"</f>
        <v>MVSaude / Atendimento / Autorizações de Guias / Internação / Relatórios / AIH / Laudo AIH (R_LAUDO_AIH)</v>
      </c>
    </row>
    <row r="9131" spans="1:7" x14ac:dyDescent="0.3">
      <c r="A9131" s="1" t="s">
        <v>4</v>
      </c>
      <c r="B9131" s="2" t="str">
        <f t="shared" si="778"/>
        <v>SISTEMA DE GERENCIAMENTO DE INTERNAÇÃO</v>
      </c>
      <c r="C9131" s="2" t="str">
        <f t="shared" si="779"/>
        <v>INTER</v>
      </c>
      <c r="D9131" s="2" t="str">
        <f t="shared" si="780"/>
        <v>PARI</v>
      </c>
      <c r="E9131" s="2" t="str">
        <f>"LAUDO MEDICO PARA AIH"</f>
        <v>LAUDO MEDICO PARA AIH</v>
      </c>
      <c r="F9131" s="2" t="str">
        <f>"R_LAUDO_AIH"</f>
        <v>R_LAUDO_AIH</v>
      </c>
      <c r="G9131" s="2" t="str">
        <f>"MVSaude / Vendas / Internação / Relatórios / AIH / Laudo AIH (R_LAUDO_AIH)"</f>
        <v>MVSaude / Vendas / Internação / Relatórios / AIH / Laudo AIH (R_LAUDO_AIH)</v>
      </c>
    </row>
    <row r="9132" spans="1:7" x14ac:dyDescent="0.3">
      <c r="A9132" s="1" t="s">
        <v>4</v>
      </c>
      <c r="B9132" s="2" t="str">
        <f t="shared" si="778"/>
        <v>SISTEMA DE GERENCIAMENTO DE INTERNAÇÃO</v>
      </c>
      <c r="C9132" s="2" t="str">
        <f t="shared" si="779"/>
        <v>INTER</v>
      </c>
      <c r="D9132" s="2" t="str">
        <f t="shared" si="780"/>
        <v>PARI</v>
      </c>
      <c r="E9132" s="2" t="str">
        <f>"LAUDO MEDICO PARA AIH"</f>
        <v>LAUDO MEDICO PARA AIH</v>
      </c>
      <c r="F9132" s="2" t="str">
        <f>"R_LAUDO_AIH"</f>
        <v>R_LAUDO_AIH</v>
      </c>
      <c r="G9132" s="2" t="str">
        <f>"Atendimento / Internação / Relatórios / AIH / Laudo AIH (R_LAUDO_AIH)"</f>
        <v>Atendimento / Internação / Relatórios / AIH / Laudo AIH (R_LAUDO_AIH)</v>
      </c>
    </row>
    <row r="9133" spans="1:7" x14ac:dyDescent="0.3">
      <c r="A9133" s="1" t="s">
        <v>4</v>
      </c>
      <c r="B9133" s="2" t="str">
        <f t="shared" si="778"/>
        <v>SISTEMA DE GERENCIAMENTO DE INTERNAÇÃO</v>
      </c>
      <c r="C9133" s="2" t="str">
        <f t="shared" si="779"/>
        <v>INTER</v>
      </c>
      <c r="D9133" s="2" t="str">
        <f t="shared" si="780"/>
        <v>PARI</v>
      </c>
      <c r="E9133" s="2" t="str">
        <f>"LAUDO MEDICO PARA AIH"</f>
        <v>LAUDO MEDICO PARA AIH</v>
      </c>
      <c r="F9133" s="2" t="str">
        <f>"R_LAUDO_AIH"</f>
        <v>R_LAUDO_AIH</v>
      </c>
      <c r="G9133" s="2" t="str">
        <f>"Clínica e Assistencial / Gerenciamento de Unidades / Relatórios / Prescrição / Laudo de Aih (R_LAUDO_AIH)"</f>
        <v>Clínica e Assistencial / Gerenciamento de Unidades / Relatórios / Prescrição / Laudo de Aih (R_LAUDO_AIH)</v>
      </c>
    </row>
    <row r="9134" spans="1:7" x14ac:dyDescent="0.3">
      <c r="A9134" s="1" t="s">
        <v>4</v>
      </c>
      <c r="B9134" s="2" t="str">
        <f t="shared" si="778"/>
        <v>SISTEMA DE GERENCIAMENTO DE INTERNAÇÃO</v>
      </c>
      <c r="C9134" s="2" t="str">
        <f t="shared" si="779"/>
        <v>INTER</v>
      </c>
      <c r="D9134" s="2" t="str">
        <f t="shared" si="780"/>
        <v>PARI</v>
      </c>
      <c r="E9134" s="2" t="str">
        <f>"MOVIMENTAÇÃO ANALÍTICO (360)"</f>
        <v>MOVIMENTAÇÃO ANALÍTICO (360)</v>
      </c>
      <c r="F9134" s="2" t="str">
        <f>"R_MOV_GERAL_360"</f>
        <v>R_MOV_GERAL_360</v>
      </c>
      <c r="G9134" s="2" t="str">
        <f>" ()"</f>
        <v xml:space="preserve"> ()</v>
      </c>
    </row>
    <row r="9135" spans="1:7" x14ac:dyDescent="0.3">
      <c r="A9135" s="1" t="s">
        <v>4</v>
      </c>
      <c r="B9135" s="2" t="str">
        <f t="shared" si="778"/>
        <v>SISTEMA DE GERENCIAMENTO DE INTERNAÇÃO</v>
      </c>
      <c r="C9135" s="2" t="str">
        <f t="shared" si="779"/>
        <v>INTER</v>
      </c>
      <c r="D9135" s="2" t="str">
        <f t="shared" si="780"/>
        <v>PARI</v>
      </c>
      <c r="E9135" s="2" t="str">
        <f>"FICHA DE PACIENTE"</f>
        <v>FICHA DE PACIENTE</v>
      </c>
      <c r="F9135" s="2" t="str">
        <f>"R_FICHAPAC"</f>
        <v>R_FICHAPAC</v>
      </c>
      <c r="G9135" s="2" t="str">
        <f>" ()"</f>
        <v xml:space="preserve"> ()</v>
      </c>
    </row>
    <row r="9136" spans="1:7" x14ac:dyDescent="0.3">
      <c r="A9136" s="1" t="s">
        <v>4</v>
      </c>
      <c r="B9136" s="2" t="str">
        <f t="shared" si="778"/>
        <v>SISTEMA DE GERENCIAMENTO DE INTERNAÇÃO</v>
      </c>
      <c r="C9136" s="2" t="str">
        <f t="shared" si="779"/>
        <v>INTER</v>
      </c>
      <c r="D9136" s="2" t="str">
        <f t="shared" si="780"/>
        <v>PARI</v>
      </c>
      <c r="E9136" s="2" t="str">
        <f>"CENSO PERSONALIZADO HR"</f>
        <v>CENSO PERSONALIZADO HR</v>
      </c>
      <c r="F9136" s="2" t="str">
        <f>"R_CENSO012"</f>
        <v>R_CENSO012</v>
      </c>
      <c r="G9136" s="2" t="str">
        <f>" ()"</f>
        <v xml:space="preserve"> ()</v>
      </c>
    </row>
    <row r="9137" spans="1:7" x14ac:dyDescent="0.3">
      <c r="A9137" s="1" t="s">
        <v>4</v>
      </c>
      <c r="B9137" s="2" t="str">
        <f t="shared" si="778"/>
        <v>SISTEMA DE GERENCIAMENTO DE INTERNAÇÃO</v>
      </c>
      <c r="C9137" s="2" t="str">
        <f t="shared" si="779"/>
        <v>INTER</v>
      </c>
      <c r="D9137" s="2" t="str">
        <f t="shared" si="780"/>
        <v>PARI</v>
      </c>
      <c r="E9137" s="2" t="str">
        <f>"REL ESTAT DE PROCED REALIZADOS POR CONV"</f>
        <v>REL ESTAT DE PROCED REALIZADOS POR CONV</v>
      </c>
      <c r="F9137" s="2" t="str">
        <f>"R_EST_INTER_PROCED_CONV"</f>
        <v>R_EST_INTER_PROCED_CONV</v>
      </c>
      <c r="G9137" s="2" t="str">
        <f>"Serviços de Apoio / Serviço Arquivo Médico / Relatórios / Estatísticos / Procedimentos / Realizados por Convênio (R_EST_INTER_PROCED_CONV)"</f>
        <v>Serviços de Apoio / Serviço Arquivo Médico / Relatórios / Estatísticos / Procedimentos / Realizados por Convênio (R_EST_INTER_PROCED_CONV)</v>
      </c>
    </row>
    <row r="9138" spans="1:7" x14ac:dyDescent="0.3">
      <c r="A9138" s="1" t="s">
        <v>4</v>
      </c>
      <c r="B9138" s="2" t="str">
        <f t="shared" si="778"/>
        <v>SISTEMA DE GERENCIAMENTO DE INTERNAÇÃO</v>
      </c>
      <c r="C9138" s="2" t="str">
        <f t="shared" si="779"/>
        <v>INTER</v>
      </c>
      <c r="D9138" s="2" t="str">
        <f t="shared" si="780"/>
        <v>PARI</v>
      </c>
      <c r="E9138" s="2" t="str">
        <f>"REL ESTAT DE PROCED REALIZADOS POR CONV"</f>
        <v>REL ESTAT DE PROCED REALIZADOS POR CONV</v>
      </c>
      <c r="F9138" s="2" t="str">
        <f>"R_EST_INTER_PROCED_CONV"</f>
        <v>R_EST_INTER_PROCED_CONV</v>
      </c>
      <c r="G9138" s="2" t="str">
        <f>"MVSaude / Vendas / Internação / Relatórios / Estatísticos / Procedimentos / Realizados por Convênio (R_EST_INTER_PROCED_CONV)"</f>
        <v>MVSaude / Vendas / Internação / Relatórios / Estatísticos / Procedimentos / Realizados por Convênio (R_EST_INTER_PROCED_CONV)</v>
      </c>
    </row>
    <row r="9139" spans="1:7" x14ac:dyDescent="0.3">
      <c r="A9139" s="1" t="s">
        <v>4</v>
      </c>
      <c r="B9139" s="2" t="str">
        <f t="shared" si="778"/>
        <v>SISTEMA DE GERENCIAMENTO DE INTERNAÇÃO</v>
      </c>
      <c r="C9139" s="2" t="str">
        <f t="shared" si="779"/>
        <v>INTER</v>
      </c>
      <c r="D9139" s="2" t="str">
        <f t="shared" si="780"/>
        <v>PARI</v>
      </c>
      <c r="E9139" s="2" t="str">
        <f>"REL ESTAT DE PROCED REALIZADOS POR CONV"</f>
        <v>REL ESTAT DE PROCED REALIZADOS POR CONV</v>
      </c>
      <c r="F9139" s="2" t="str">
        <f>"R_EST_INTER_PROCED_CONV"</f>
        <v>R_EST_INTER_PROCED_CONV</v>
      </c>
      <c r="G9139" s="2" t="str">
        <f>"Atendimento / Internação / Relatórios / Estatísticos / Procedimentos / Realizados por Convênio (R_EST_INTER_PROCED_CONV)"</f>
        <v>Atendimento / Internação / Relatórios / Estatísticos / Procedimentos / Realizados por Convênio (R_EST_INTER_PROCED_CONV)</v>
      </c>
    </row>
    <row r="9140" spans="1:7" x14ac:dyDescent="0.3">
      <c r="A9140" s="1" t="s">
        <v>4</v>
      </c>
      <c r="B9140" s="2" t="str">
        <f t="shared" si="778"/>
        <v>SISTEMA DE GERENCIAMENTO DE INTERNAÇÃO</v>
      </c>
      <c r="C9140" s="2" t="str">
        <f t="shared" si="779"/>
        <v>INTER</v>
      </c>
      <c r="D9140" s="2" t="str">
        <f t="shared" si="780"/>
        <v>PARI</v>
      </c>
      <c r="E9140" s="2" t="str">
        <f>"REL ESTAT DE PROCED REALIZADOS POR CONV"</f>
        <v>REL ESTAT DE PROCED REALIZADOS POR CONV</v>
      </c>
      <c r="F9140" s="2" t="str">
        <f>"R_EST_INTER_PROCED_CONV"</f>
        <v>R_EST_INTER_PROCED_CONV</v>
      </c>
      <c r="G9140" s="2" t="str">
        <f>"MVSaude / Atendimento / Autorizações de Guias / Internação / Relatórios / Estatísticos / Procedimentos / Realizados por Convênio (R_EST_INTER_PROCED_CONV)"</f>
        <v>MVSaude / Atendimento / Autorizações de Guias / Internação / Relatórios / Estatísticos / Procedimentos / Realizados por Convênio (R_EST_INTER_PROCED_CONV)</v>
      </c>
    </row>
    <row r="9141" spans="1:7" x14ac:dyDescent="0.3">
      <c r="A9141" s="1" t="s">
        <v>4</v>
      </c>
      <c r="B9141" s="2" t="str">
        <f t="shared" si="778"/>
        <v>SISTEMA DE GERENCIAMENTO DE INTERNAÇÃO</v>
      </c>
      <c r="C9141" s="2" t="str">
        <f t="shared" si="779"/>
        <v>INTER</v>
      </c>
      <c r="D9141" s="2" t="str">
        <f t="shared" si="780"/>
        <v>PARI</v>
      </c>
      <c r="E9141" s="2" t="str">
        <f>"MENU DO SISTEMA PARI"</f>
        <v>MENU DO SISTEMA PARI</v>
      </c>
      <c r="F9141" s="2" t="str">
        <f>"M_PARI"</f>
        <v>M_PARI</v>
      </c>
      <c r="G9141" s="2" t="str">
        <f>" ()"</f>
        <v xml:space="preserve"> ()</v>
      </c>
    </row>
    <row r="9142" spans="1:7" x14ac:dyDescent="0.3">
      <c r="A9142" s="1" t="s">
        <v>4</v>
      </c>
      <c r="B9142" s="2" t="str">
        <f t="shared" si="778"/>
        <v>SISTEMA DE GERENCIAMENTO DE INTERNAÇÃO</v>
      </c>
      <c r="C9142" s="2" t="str">
        <f t="shared" si="779"/>
        <v>INTER</v>
      </c>
      <c r="D9142" s="2" t="str">
        <f t="shared" si="780"/>
        <v>PARI</v>
      </c>
      <c r="E9142" s="2" t="str">
        <f>"REL DE ATENDIMENTOS EXCLUIDOS"</f>
        <v>REL DE ATENDIMENTOS EXCLUIDOS</v>
      </c>
      <c r="F9142" s="2" t="str">
        <f>"R_ATENDIMENTOS_EXCLUIDOS"</f>
        <v>R_ATENDIMENTOS_EXCLUIDOS</v>
      </c>
      <c r="G9142" s="2" t="str">
        <f>"MVSaude / Vendas / Internação / Relatórios / Operacionais / Atendimentos / Excluídos (R_ATENDIMENTOS_EXCLUIDOS)"</f>
        <v>MVSaude / Vendas / Internação / Relatórios / Operacionais / Atendimentos / Excluídos (R_ATENDIMENTOS_EXCLUIDOS)</v>
      </c>
    </row>
    <row r="9143" spans="1:7" x14ac:dyDescent="0.3">
      <c r="A9143" s="1" t="s">
        <v>4</v>
      </c>
      <c r="B9143" s="2" t="str">
        <f t="shared" si="778"/>
        <v>SISTEMA DE GERENCIAMENTO DE INTERNAÇÃO</v>
      </c>
      <c r="C9143" s="2" t="str">
        <f t="shared" si="779"/>
        <v>INTER</v>
      </c>
      <c r="D9143" s="2" t="str">
        <f t="shared" si="780"/>
        <v>PARI</v>
      </c>
      <c r="E9143" s="2" t="str">
        <f>"REL DE ATENDIMENTOS EXCLUIDOS"</f>
        <v>REL DE ATENDIMENTOS EXCLUIDOS</v>
      </c>
      <c r="F9143" s="2" t="str">
        <f>"R_ATENDIMENTOS_EXCLUIDOS"</f>
        <v>R_ATENDIMENTOS_EXCLUIDOS</v>
      </c>
      <c r="G9143" s="2" t="str">
        <f>"Atendimento / Internação / Relatórios / Operacionais / Atendimentos / Excluídos (R_ATENDIMENTOS_EXCLUIDOS)"</f>
        <v>Atendimento / Internação / Relatórios / Operacionais / Atendimentos / Excluídos (R_ATENDIMENTOS_EXCLUIDOS)</v>
      </c>
    </row>
    <row r="9144" spans="1:7" x14ac:dyDescent="0.3">
      <c r="A9144" s="1" t="s">
        <v>4</v>
      </c>
      <c r="B9144" s="2" t="str">
        <f t="shared" si="778"/>
        <v>SISTEMA DE GERENCIAMENTO DE INTERNAÇÃO</v>
      </c>
      <c r="C9144" s="2" t="str">
        <f t="shared" si="779"/>
        <v>INTER</v>
      </c>
      <c r="D9144" s="2" t="str">
        <f t="shared" si="780"/>
        <v>PARI</v>
      </c>
      <c r="E9144" s="2" t="str">
        <f>"REL DE ATENDIMENTOS EXCLUIDOS"</f>
        <v>REL DE ATENDIMENTOS EXCLUIDOS</v>
      </c>
      <c r="F9144" s="2" t="str">
        <f>"R_ATENDIMENTOS_EXCLUIDOS"</f>
        <v>R_ATENDIMENTOS_EXCLUIDOS</v>
      </c>
      <c r="G9144" s="2" t="str">
        <f>"Serviços de Apoio / Serviço Arquivo Médico / Relatórios / Operacionais / Atendimentos / Excluídos (R_ATENDIMENTOS_EXCLUIDOS)"</f>
        <v>Serviços de Apoio / Serviço Arquivo Médico / Relatórios / Operacionais / Atendimentos / Excluídos (R_ATENDIMENTOS_EXCLUIDOS)</v>
      </c>
    </row>
    <row r="9145" spans="1:7" x14ac:dyDescent="0.3">
      <c r="A9145" s="1" t="s">
        <v>4</v>
      </c>
      <c r="B9145" s="2" t="str">
        <f t="shared" si="778"/>
        <v>SISTEMA DE GERENCIAMENTO DE INTERNAÇÃO</v>
      </c>
      <c r="C9145" s="2" t="str">
        <f t="shared" si="779"/>
        <v>INTER</v>
      </c>
      <c r="D9145" s="2" t="str">
        <f t="shared" si="780"/>
        <v>PARI</v>
      </c>
      <c r="E9145" s="2" t="str">
        <f>"REL DE ATENDIMENTOS EXCLUIDOS"</f>
        <v>REL DE ATENDIMENTOS EXCLUIDOS</v>
      </c>
      <c r="F9145" s="2" t="str">
        <f>"R_ATENDIMENTOS_EXCLUIDOS"</f>
        <v>R_ATENDIMENTOS_EXCLUIDOS</v>
      </c>
      <c r="G9145" s="2" t="str">
        <f>"MVSaude / Atendimento / Autorizações de Guias / Internação / Relatórios / Operacionais / Atendimentos / Excluídos (R_ATENDIMENTOS_EXCLUIDOS)"</f>
        <v>MVSaude / Atendimento / Autorizações de Guias / Internação / Relatórios / Operacionais / Atendimentos / Excluídos (R_ATENDIMENTOS_EXCLUIDOS)</v>
      </c>
    </row>
    <row r="9146" spans="1:7" x14ac:dyDescent="0.3">
      <c r="A9146" s="1" t="s">
        <v>4</v>
      </c>
      <c r="B9146" s="2" t="str">
        <f t="shared" si="778"/>
        <v>SISTEMA DE GERENCIAMENTO DE INTERNAÇÃO</v>
      </c>
      <c r="C9146" s="2" t="str">
        <f t="shared" si="779"/>
        <v>INTER</v>
      </c>
      <c r="D9146" s="2" t="str">
        <f t="shared" si="780"/>
        <v>PARI</v>
      </c>
      <c r="E9146" s="2" t="str">
        <f>"EMPRESA DA CARTEIRA DO CONVÊNIO"</f>
        <v>EMPRESA DA CARTEIRA DO CONVÊNIO</v>
      </c>
      <c r="F9146" s="2" t="str">
        <f>"M_EMPR_CART"</f>
        <v>M_EMPR_CART</v>
      </c>
      <c r="G9146" s="2" t="str">
        <f>"MVSaude / Vendas / Internação / Tabelas / Empresas da Carteira do Convênio (M_EMPR_CART)"</f>
        <v>MVSaude / Vendas / Internação / Tabelas / Empresas da Carteira do Convênio (M_EMPR_CART)</v>
      </c>
    </row>
    <row r="9147" spans="1:7" x14ac:dyDescent="0.3">
      <c r="A9147" s="1" t="s">
        <v>4</v>
      </c>
      <c r="B9147" s="2" t="str">
        <f t="shared" si="778"/>
        <v>SISTEMA DE GERENCIAMENTO DE INTERNAÇÃO</v>
      </c>
      <c r="C9147" s="2" t="str">
        <f t="shared" si="779"/>
        <v>INTER</v>
      </c>
      <c r="D9147" s="2" t="str">
        <f t="shared" si="780"/>
        <v>PARI</v>
      </c>
      <c r="E9147" s="2" t="str">
        <f>"EMPRESA DA CARTEIRA DO CONVÊNIO"</f>
        <v>EMPRESA DA CARTEIRA DO CONVÊNIO</v>
      </c>
      <c r="F9147" s="2" t="str">
        <f>"M_EMPR_CART"</f>
        <v>M_EMPR_CART</v>
      </c>
      <c r="G9147" s="2" t="str">
        <f>"MVSaude / Atendimento / Autorizações de Guias / Internação / Tabelas / Empresas da Carteira do Convênio (M_EMPR_CART)"</f>
        <v>MVSaude / Atendimento / Autorizações de Guias / Internação / Tabelas / Empresas da Carteira do Convênio (M_EMPR_CART)</v>
      </c>
    </row>
    <row r="9148" spans="1:7" x14ac:dyDescent="0.3">
      <c r="A9148" s="1" t="s">
        <v>4</v>
      </c>
      <c r="B9148" s="2" t="str">
        <f t="shared" si="778"/>
        <v>SISTEMA DE GERENCIAMENTO DE INTERNAÇÃO</v>
      </c>
      <c r="C9148" s="2" t="str">
        <f t="shared" si="779"/>
        <v>INTER</v>
      </c>
      <c r="D9148" s="2" t="str">
        <f t="shared" si="780"/>
        <v>PARI</v>
      </c>
      <c r="E9148" s="2" t="str">
        <f>"EMPRESA DA CARTEIRA DO CONVÊNIO"</f>
        <v>EMPRESA DA CARTEIRA DO CONVÊNIO</v>
      </c>
      <c r="F9148" s="2" t="str">
        <f>"M_EMPR_CART"</f>
        <v>M_EMPR_CART</v>
      </c>
      <c r="G9148" s="2" t="str">
        <f>"Atendimento / Internação / Tabelas / Empresas da Carteira do Convênio (M_EMPR_CART)"</f>
        <v>Atendimento / Internação / Tabelas / Empresas da Carteira do Convênio (M_EMPR_CART)</v>
      </c>
    </row>
    <row r="9149" spans="1:7" x14ac:dyDescent="0.3">
      <c r="A9149" s="1" t="s">
        <v>4</v>
      </c>
      <c r="B9149" s="2" t="str">
        <f t="shared" si="778"/>
        <v>SISTEMA DE GERENCIAMENTO DE INTERNAÇÃO</v>
      </c>
      <c r="C9149" s="2" t="str">
        <f t="shared" si="779"/>
        <v>INTER</v>
      </c>
      <c r="D9149" s="2" t="str">
        <f t="shared" si="780"/>
        <v>PARI</v>
      </c>
      <c r="E9149" s="2" t="str">
        <f>"EMPRESA DA CARTEIRA DO CONVÊNIO"</f>
        <v>EMPRESA DA CARTEIRA DO CONVÊNIO</v>
      </c>
      <c r="F9149" s="2" t="str">
        <f>"M_EMPR_CART"</f>
        <v>M_EMPR_CART</v>
      </c>
      <c r="G9149" s="2" t="str">
        <f>"Atendimento / Internação Domiciliar (Home Care) / Tabelas / Empresas da Carteira do Convênio (M_EMPR_CART)"</f>
        <v>Atendimento / Internação Domiciliar (Home Care) / Tabelas / Empresas da Carteira do Convênio (M_EMPR_CART)</v>
      </c>
    </row>
    <row r="9150" spans="1:7" x14ac:dyDescent="0.3">
      <c r="A9150" s="1" t="s">
        <v>4</v>
      </c>
      <c r="B9150" s="2" t="str">
        <f t="shared" si="778"/>
        <v>SISTEMA DE GERENCIAMENTO DE INTERNAÇÃO</v>
      </c>
      <c r="C9150" s="2" t="str">
        <f t="shared" si="779"/>
        <v>INTER</v>
      </c>
      <c r="D9150" s="2" t="str">
        <f t="shared" si="780"/>
        <v>PARI</v>
      </c>
      <c r="E9150" s="2" t="str">
        <f t="shared" ref="E9150:E9155" si="781">"REL. DE DECLARACAO DE COMPARECIMENTO"</f>
        <v>REL. DE DECLARACAO DE COMPARECIMENTO</v>
      </c>
      <c r="F9150" s="2" t="str">
        <f t="shared" ref="F9150:F9155" si="782">"R_DECLARA_COMP"</f>
        <v>R_DECLARA_COMP</v>
      </c>
      <c r="G9150" s="2" t="str">
        <f>"MVSaude / Vendas / Internação / Relatórios / Declarações e Termos / Declaração de Comparecimento (R_DECLARA_COMP)"</f>
        <v>MVSaude / Vendas / Internação / Relatórios / Declarações e Termos / Declaração de Comparecimento (R_DECLARA_COMP)</v>
      </c>
    </row>
    <row r="9151" spans="1:7" x14ac:dyDescent="0.3">
      <c r="A9151" s="1" t="s">
        <v>4</v>
      </c>
      <c r="B9151" s="2" t="str">
        <f t="shared" si="778"/>
        <v>SISTEMA DE GERENCIAMENTO DE INTERNAÇÃO</v>
      </c>
      <c r="C9151" s="2" t="str">
        <f t="shared" si="779"/>
        <v>INTER</v>
      </c>
      <c r="D9151" s="2" t="str">
        <f t="shared" si="780"/>
        <v>PARI</v>
      </c>
      <c r="E9151" s="2" t="str">
        <f t="shared" si="781"/>
        <v>REL. DE DECLARACAO DE COMPARECIMENTO</v>
      </c>
      <c r="F9151" s="2" t="str">
        <f t="shared" si="782"/>
        <v>R_DECLARA_COMP</v>
      </c>
      <c r="G9151" s="2" t="str">
        <f>"Atendimento / Urgência e Emergência / Relatórios / Declarações / Declaração de Comparecimento (R_DECLARA_COMP)"</f>
        <v>Atendimento / Urgência e Emergência / Relatórios / Declarações / Declaração de Comparecimento (R_DECLARA_COMP)</v>
      </c>
    </row>
    <row r="9152" spans="1:7" x14ac:dyDescent="0.3">
      <c r="A9152" s="1" t="s">
        <v>4</v>
      </c>
      <c r="B9152" s="2" t="str">
        <f t="shared" si="778"/>
        <v>SISTEMA DE GERENCIAMENTO DE INTERNAÇÃO</v>
      </c>
      <c r="C9152" s="2" t="str">
        <f t="shared" si="779"/>
        <v>INTER</v>
      </c>
      <c r="D9152" s="2" t="str">
        <f t="shared" si="780"/>
        <v>PARI</v>
      </c>
      <c r="E9152" s="2" t="str">
        <f t="shared" si="781"/>
        <v>REL. DE DECLARACAO DE COMPARECIMENTO</v>
      </c>
      <c r="F9152" s="2" t="str">
        <f t="shared" si="782"/>
        <v>R_DECLARA_COMP</v>
      </c>
      <c r="G9152" s="2" t="str">
        <f>"Atendimento / Internação / Relatórios / Declarações e Termos / Declaração de Comparecimento (R_DECLARA_COMP)"</f>
        <v>Atendimento / Internação / Relatórios / Declarações e Termos / Declaração de Comparecimento (R_DECLARA_COMP)</v>
      </c>
    </row>
    <row r="9153" spans="1:7" x14ac:dyDescent="0.3">
      <c r="A9153" s="1" t="s">
        <v>4</v>
      </c>
      <c r="B9153" s="2" t="str">
        <f t="shared" si="778"/>
        <v>SISTEMA DE GERENCIAMENTO DE INTERNAÇÃO</v>
      </c>
      <c r="C9153" s="2" t="str">
        <f t="shared" si="779"/>
        <v>INTER</v>
      </c>
      <c r="D9153" s="2" t="str">
        <f t="shared" si="780"/>
        <v>PARI</v>
      </c>
      <c r="E9153" s="2" t="str">
        <f t="shared" si="781"/>
        <v>REL. DE DECLARACAO DE COMPARECIMENTO</v>
      </c>
      <c r="F9153" s="2" t="str">
        <f t="shared" si="782"/>
        <v>R_DECLARA_COMP</v>
      </c>
      <c r="G9153" s="2" t="str">
        <f>"Atendimento / Ambulatório / Relatórios / Operacionais / Declaração de Comparecimento (R_DECLARA_COMP)"</f>
        <v>Atendimento / Ambulatório / Relatórios / Operacionais / Declaração de Comparecimento (R_DECLARA_COMP)</v>
      </c>
    </row>
    <row r="9154" spans="1:7" x14ac:dyDescent="0.3">
      <c r="A9154" s="1" t="s">
        <v>4</v>
      </c>
      <c r="B9154" s="2" t="str">
        <f t="shared" si="778"/>
        <v>SISTEMA DE GERENCIAMENTO DE INTERNAÇÃO</v>
      </c>
      <c r="C9154" s="2" t="str">
        <f t="shared" si="779"/>
        <v>INTER</v>
      </c>
      <c r="D9154" s="2" t="str">
        <f t="shared" si="780"/>
        <v>PARI</v>
      </c>
      <c r="E9154" s="2" t="str">
        <f t="shared" si="781"/>
        <v>REL. DE DECLARACAO DE COMPARECIMENTO</v>
      </c>
      <c r="F9154" s="2" t="str">
        <f t="shared" si="782"/>
        <v>R_DECLARA_COMP</v>
      </c>
      <c r="G9154" s="2" t="str">
        <f>"MVSaude / Atendimento / Autorizações de Guias / Internação / Relatórios / Declarações e Termos / Declaração de Comparecimento (R_DECLARA_COMP)"</f>
        <v>MVSaude / Atendimento / Autorizações de Guias / Internação / Relatórios / Declarações e Termos / Declaração de Comparecimento (R_DECLARA_COMP)</v>
      </c>
    </row>
    <row r="9155" spans="1:7" x14ac:dyDescent="0.3">
      <c r="A9155" s="1" t="s">
        <v>4</v>
      </c>
      <c r="B9155" s="2" t="str">
        <f t="shared" si="778"/>
        <v>SISTEMA DE GERENCIAMENTO DE INTERNAÇÃO</v>
      </c>
      <c r="C9155" s="2" t="str">
        <f t="shared" si="779"/>
        <v>INTER</v>
      </c>
      <c r="D9155" s="2" t="str">
        <f t="shared" si="780"/>
        <v>PARI</v>
      </c>
      <c r="E9155" s="2" t="str">
        <f t="shared" si="781"/>
        <v>REL. DE DECLARACAO DE COMPARECIMENTO</v>
      </c>
      <c r="F9155" s="2" t="str">
        <f t="shared" si="782"/>
        <v>R_DECLARA_COMP</v>
      </c>
      <c r="G9155" s="2" t="str">
        <f>"Diagnóstico e Terapia / Diagnóstico por Imagem / Relatórios / Operacionais / Declaração de Comparecimento (R_DECLARA_COMP)"</f>
        <v>Diagnóstico e Terapia / Diagnóstico por Imagem / Relatórios / Operacionais / Declaração de Comparecimento (R_DECLARA_COMP)</v>
      </c>
    </row>
    <row r="9156" spans="1:7" x14ac:dyDescent="0.3">
      <c r="A9156" s="1" t="s">
        <v>4</v>
      </c>
      <c r="B9156" s="2" t="str">
        <f t="shared" si="778"/>
        <v>SISTEMA DE GERENCIAMENTO DE INTERNAÇÃO</v>
      </c>
      <c r="C9156" s="2" t="str">
        <f t="shared" si="779"/>
        <v>INTER</v>
      </c>
      <c r="D9156" s="2" t="str">
        <f t="shared" si="780"/>
        <v>PARI</v>
      </c>
      <c r="E9156" s="2" t="str">
        <f>"REL. PREVISÃO DE ALTA"</f>
        <v>REL. PREVISÃO DE ALTA</v>
      </c>
      <c r="F9156" s="2" t="str">
        <f>"R_PREV_ALTA"</f>
        <v>R_PREV_ALTA</v>
      </c>
      <c r="G9156" s="2" t="str">
        <f>"MVSaude / Vendas / Internação / Relatórios / Operacionais / Altas / Previsão de Altas (R_PREV_ALTA)"</f>
        <v>MVSaude / Vendas / Internação / Relatórios / Operacionais / Altas / Previsão de Altas (R_PREV_ALTA)</v>
      </c>
    </row>
    <row r="9157" spans="1:7" x14ac:dyDescent="0.3">
      <c r="A9157" s="1" t="s">
        <v>4</v>
      </c>
      <c r="B9157" s="2" t="str">
        <f t="shared" si="778"/>
        <v>SISTEMA DE GERENCIAMENTO DE INTERNAÇÃO</v>
      </c>
      <c r="C9157" s="2" t="str">
        <f t="shared" si="779"/>
        <v>INTER</v>
      </c>
      <c r="D9157" s="2" t="str">
        <f t="shared" si="780"/>
        <v>PARI</v>
      </c>
      <c r="E9157" s="2" t="str">
        <f>"REL. PREVISÃO DE ALTA"</f>
        <v>REL. PREVISÃO DE ALTA</v>
      </c>
      <c r="F9157" s="2" t="str">
        <f>"R_PREV_ALTA"</f>
        <v>R_PREV_ALTA</v>
      </c>
      <c r="G9157" s="2" t="str">
        <f>"Atendimento / Internação / Relatórios / Operacionais / Altas / Previsão de Altas (R_PREV_ALTA)"</f>
        <v>Atendimento / Internação / Relatórios / Operacionais / Altas / Previsão de Altas (R_PREV_ALTA)</v>
      </c>
    </row>
    <row r="9158" spans="1:7" x14ac:dyDescent="0.3">
      <c r="A9158" s="1" t="s">
        <v>4</v>
      </c>
      <c r="B9158" s="2" t="str">
        <f t="shared" si="778"/>
        <v>SISTEMA DE GERENCIAMENTO DE INTERNAÇÃO</v>
      </c>
      <c r="C9158" s="2" t="str">
        <f t="shared" si="779"/>
        <v>INTER</v>
      </c>
      <c r="D9158" s="2" t="str">
        <f t="shared" si="780"/>
        <v>PARI</v>
      </c>
      <c r="E9158" s="2" t="str">
        <f>"REL. PREVISÃO DE ALTA"</f>
        <v>REL. PREVISÃO DE ALTA</v>
      </c>
      <c r="F9158" s="2" t="str">
        <f>"R_PREV_ALTA"</f>
        <v>R_PREV_ALTA</v>
      </c>
      <c r="G9158" s="2" t="str">
        <f>"Serviços de Apoio / Serviço Arquivo Médico / Relatórios / Operacionais / Altas / Previsão de Altas (R_PREV_ALTA)"</f>
        <v>Serviços de Apoio / Serviço Arquivo Médico / Relatórios / Operacionais / Altas / Previsão de Altas (R_PREV_ALTA)</v>
      </c>
    </row>
    <row r="9159" spans="1:7" x14ac:dyDescent="0.3">
      <c r="A9159" s="1" t="s">
        <v>4</v>
      </c>
      <c r="B9159" s="2" t="str">
        <f t="shared" si="778"/>
        <v>SISTEMA DE GERENCIAMENTO DE INTERNAÇÃO</v>
      </c>
      <c r="C9159" s="2" t="str">
        <f t="shared" si="779"/>
        <v>INTER</v>
      </c>
      <c r="D9159" s="2" t="str">
        <f t="shared" si="780"/>
        <v>PARI</v>
      </c>
      <c r="E9159" s="2" t="str">
        <f>"REL. PREVISÃO DE ALTA"</f>
        <v>REL. PREVISÃO DE ALTA</v>
      </c>
      <c r="F9159" s="2" t="str">
        <f>"R_PREV_ALTA"</f>
        <v>R_PREV_ALTA</v>
      </c>
      <c r="G9159" s="2" t="str">
        <f>"Serviços de Apoio / Lavanderia e Rouparia / Relatórios / Operacionais / Previsão das Altas (R_PREV_ALTA)"</f>
        <v>Serviços de Apoio / Lavanderia e Rouparia / Relatórios / Operacionais / Previsão das Altas (R_PREV_ALTA)</v>
      </c>
    </row>
    <row r="9160" spans="1:7" x14ac:dyDescent="0.3">
      <c r="A9160" s="1" t="s">
        <v>4</v>
      </c>
      <c r="B9160" s="2" t="str">
        <f t="shared" si="778"/>
        <v>SISTEMA DE GERENCIAMENTO DE INTERNAÇÃO</v>
      </c>
      <c r="C9160" s="2" t="str">
        <f t="shared" si="779"/>
        <v>INTER</v>
      </c>
      <c r="D9160" s="2" t="str">
        <f t="shared" si="780"/>
        <v>PARI</v>
      </c>
      <c r="E9160" s="2" t="str">
        <f>"REL. PREVISÃO DE ALTA"</f>
        <v>REL. PREVISÃO DE ALTA</v>
      </c>
      <c r="F9160" s="2" t="str">
        <f>"R_PREV_ALTA"</f>
        <v>R_PREV_ALTA</v>
      </c>
      <c r="G9160" s="2" t="str">
        <f>"MVSaude / Atendimento / Autorizações de Guias / Internação / Relatórios / Operacionais / Altas / Previsão de Altas (R_PREV_ALTA)"</f>
        <v>MVSaude / Atendimento / Autorizações de Guias / Internação / Relatórios / Operacionais / Altas / Previsão de Altas (R_PREV_ALTA)</v>
      </c>
    </row>
    <row r="9161" spans="1:7" x14ac:dyDescent="0.3">
      <c r="A9161" s="1" t="s">
        <v>4</v>
      </c>
      <c r="B9161" s="2" t="str">
        <f t="shared" si="778"/>
        <v>SISTEMA DE GERENCIAMENTO DE INTERNAÇÃO</v>
      </c>
      <c r="C9161" s="2" t="str">
        <f t="shared" si="779"/>
        <v>INTER</v>
      </c>
      <c r="D9161" s="2" t="str">
        <f t="shared" si="780"/>
        <v>PARI</v>
      </c>
      <c r="E9161" s="2" t="str">
        <f>"REL DE TERMO DE RESPONS PARTICULAR"</f>
        <v>REL DE TERMO DE RESPONS PARTICULAR</v>
      </c>
      <c r="F9161" s="2" t="str">
        <f>"R_TERMO_COMP_PART"</f>
        <v>R_TERMO_COMP_PART</v>
      </c>
      <c r="G9161" s="2" t="str">
        <f>" ()"</f>
        <v xml:space="preserve"> ()</v>
      </c>
    </row>
    <row r="9162" spans="1:7" x14ac:dyDescent="0.3">
      <c r="A9162" s="1" t="s">
        <v>4</v>
      </c>
      <c r="B9162" s="2" t="str">
        <f t="shared" si="778"/>
        <v>SISTEMA DE GERENCIAMENTO DE INTERNAÇÃO</v>
      </c>
      <c r="C9162" s="2" t="str">
        <f t="shared" si="779"/>
        <v>INTER</v>
      </c>
      <c r="D9162" s="2" t="str">
        <f t="shared" si="780"/>
        <v>PARI</v>
      </c>
      <c r="E9162" s="2" t="str">
        <f>"REL.IMPRESSÃO AIH7"</f>
        <v>REL.IMPRESSÃO AIH7</v>
      </c>
      <c r="F9162" s="2" t="str">
        <f>"IMP_AIH7"</f>
        <v>IMP_AIH7</v>
      </c>
      <c r="G9162" s="2" t="str">
        <f>" ()"</f>
        <v xml:space="preserve"> ()</v>
      </c>
    </row>
    <row r="9163" spans="1:7" x14ac:dyDescent="0.3">
      <c r="A9163" s="1" t="s">
        <v>4</v>
      </c>
      <c r="B9163" s="2" t="str">
        <f t="shared" si="778"/>
        <v>SISTEMA DE GERENCIAMENTO DE INTERNAÇÃO</v>
      </c>
      <c r="C9163" s="2" t="str">
        <f t="shared" si="779"/>
        <v>INTER</v>
      </c>
      <c r="D9163" s="2" t="str">
        <f t="shared" si="780"/>
        <v>PARI</v>
      </c>
      <c r="E9163" s="2" t="str">
        <f t="shared" ref="E9163:E9182" si="783">"RELATÓRIO DE TERMOS"</f>
        <v>RELATÓRIO DE TERMOS</v>
      </c>
      <c r="F9163" s="2" t="str">
        <f t="shared" ref="F9163:F9182" si="784">"R_TERMO_GERAL"</f>
        <v>R_TERMO_GERAL</v>
      </c>
      <c r="G9163" s="2" t="str">
        <f>"MVSaude / Vendas / Internação / Relatórios / Declarações e Termos / Autorização para Amputação (R_TERMO_GERAL)"</f>
        <v>MVSaude / Vendas / Internação / Relatórios / Declarações e Termos / Autorização para Amputação (R_TERMO_GERAL)</v>
      </c>
    </row>
    <row r="9164" spans="1:7" x14ac:dyDescent="0.3">
      <c r="A9164" s="1" t="s">
        <v>4</v>
      </c>
      <c r="B9164" s="2" t="str">
        <f t="shared" si="778"/>
        <v>SISTEMA DE GERENCIAMENTO DE INTERNAÇÃO</v>
      </c>
      <c r="C9164" s="2" t="str">
        <f t="shared" si="779"/>
        <v>INTER</v>
      </c>
      <c r="D9164" s="2" t="str">
        <f t="shared" si="780"/>
        <v>PARI</v>
      </c>
      <c r="E9164" s="2" t="str">
        <f t="shared" si="783"/>
        <v>RELATÓRIO DE TERMOS</v>
      </c>
      <c r="F9164" s="2" t="str">
        <f t="shared" si="784"/>
        <v>R_TERMO_GERAL</v>
      </c>
      <c r="G9164" s="2" t="str">
        <f>"MVSaude / Vendas / Internação / Relatórios / Declarações e Termos / Questionário (R_TERMO_GERAL)"</f>
        <v>MVSaude / Vendas / Internação / Relatórios / Declarações e Termos / Questionário (R_TERMO_GERAL)</v>
      </c>
    </row>
    <row r="9165" spans="1:7" x14ac:dyDescent="0.3">
      <c r="A9165" s="1" t="s">
        <v>4</v>
      </c>
      <c r="B9165" s="2" t="str">
        <f t="shared" si="778"/>
        <v>SISTEMA DE GERENCIAMENTO DE INTERNAÇÃO</v>
      </c>
      <c r="C9165" s="2" t="str">
        <f t="shared" si="779"/>
        <v>INTER</v>
      </c>
      <c r="D9165" s="2" t="str">
        <f t="shared" si="780"/>
        <v>PARI</v>
      </c>
      <c r="E9165" s="2" t="str">
        <f t="shared" si="783"/>
        <v>RELATÓRIO DE TERMOS</v>
      </c>
      <c r="F9165" s="2" t="str">
        <f t="shared" si="784"/>
        <v>R_TERMO_GERAL</v>
      </c>
      <c r="G9165" s="2" t="str">
        <f>"MVSaude / Vendas / Internação / Relatórios / Declarações e Termos / Autorização para Realizar/Mudar Procedimentos (R_TERMO_GERAL)"</f>
        <v>MVSaude / Vendas / Internação / Relatórios / Declarações e Termos / Autorização para Realizar/Mudar Procedimentos (R_TERMO_GERAL)</v>
      </c>
    </row>
    <row r="9166" spans="1:7" x14ac:dyDescent="0.3">
      <c r="A9166" s="1" t="s">
        <v>4</v>
      </c>
      <c r="B9166" s="2" t="str">
        <f t="shared" ref="B9166:B9229" si="785">"SISTEMA DE GERENCIAMENTO DE INTERNAÇÃO"</f>
        <v>SISTEMA DE GERENCIAMENTO DE INTERNAÇÃO</v>
      </c>
      <c r="C9166" s="2" t="str">
        <f t="shared" ref="C9166:C9229" si="786">"INTER"</f>
        <v>INTER</v>
      </c>
      <c r="D9166" s="2" t="str">
        <f t="shared" ref="D9166:D9229" si="787">"PARI"</f>
        <v>PARI</v>
      </c>
      <c r="E9166" s="2" t="str">
        <f t="shared" si="783"/>
        <v>RELATÓRIO DE TERMOS</v>
      </c>
      <c r="F9166" s="2" t="str">
        <f t="shared" si="784"/>
        <v>R_TERMO_GERAL</v>
      </c>
      <c r="G9166" s="2" t="str">
        <f>"MVSaude / Vendas / Internação / Relatórios / Declarações e Termos / Autorização para Realização de Procedimento (R_TERMO_GERAL)"</f>
        <v>MVSaude / Vendas / Internação / Relatórios / Declarações e Termos / Autorização para Realização de Procedimento (R_TERMO_GERAL)</v>
      </c>
    </row>
    <row r="9167" spans="1:7" x14ac:dyDescent="0.3">
      <c r="A9167" s="1" t="s">
        <v>4</v>
      </c>
      <c r="B9167" s="2" t="str">
        <f t="shared" si="785"/>
        <v>SISTEMA DE GERENCIAMENTO DE INTERNAÇÃO</v>
      </c>
      <c r="C9167" s="2" t="str">
        <f t="shared" si="786"/>
        <v>INTER</v>
      </c>
      <c r="D9167" s="2" t="str">
        <f t="shared" si="787"/>
        <v>PARI</v>
      </c>
      <c r="E9167" s="2" t="str">
        <f t="shared" si="783"/>
        <v>RELATÓRIO DE TERMOS</v>
      </c>
      <c r="F9167" s="2" t="str">
        <f t="shared" si="784"/>
        <v>R_TERMO_GERAL</v>
      </c>
      <c r="G9167" s="2" t="str">
        <f>"MVSaude / Vendas / Internação / Relatórios / Declarações e Termos / Termo de Resp. para Testemunhas de Jeová (R_TERMO_GERAL)"</f>
        <v>MVSaude / Vendas / Internação / Relatórios / Declarações e Termos / Termo de Resp. para Testemunhas de Jeová (R_TERMO_GERAL)</v>
      </c>
    </row>
    <row r="9168" spans="1:7" x14ac:dyDescent="0.3">
      <c r="A9168" s="1" t="s">
        <v>4</v>
      </c>
      <c r="B9168" s="2" t="str">
        <f t="shared" si="785"/>
        <v>SISTEMA DE GERENCIAMENTO DE INTERNAÇÃO</v>
      </c>
      <c r="C9168" s="2" t="str">
        <f t="shared" si="786"/>
        <v>INTER</v>
      </c>
      <c r="D9168" s="2" t="str">
        <f t="shared" si="787"/>
        <v>PARI</v>
      </c>
      <c r="E9168" s="2" t="str">
        <f t="shared" si="783"/>
        <v>RELATÓRIO DE TERMOS</v>
      </c>
      <c r="F9168" s="2" t="str">
        <f t="shared" si="784"/>
        <v>R_TERMO_GERAL</v>
      </c>
      <c r="G9168" s="2" t="str">
        <f>"MVSaude / Vendas / Internação / Relatórios / Declarações e Termos / Termo de Alta a Pedido do Paciente (R_TERMO_GERAL)"</f>
        <v>MVSaude / Vendas / Internação / Relatórios / Declarações e Termos / Termo de Alta a Pedido do Paciente (R_TERMO_GERAL)</v>
      </c>
    </row>
    <row r="9169" spans="1:7" x14ac:dyDescent="0.3">
      <c r="A9169" s="1" t="s">
        <v>4</v>
      </c>
      <c r="B9169" s="2" t="str">
        <f t="shared" si="785"/>
        <v>SISTEMA DE GERENCIAMENTO DE INTERNAÇÃO</v>
      </c>
      <c r="C9169" s="2" t="str">
        <f t="shared" si="786"/>
        <v>INTER</v>
      </c>
      <c r="D9169" s="2" t="str">
        <f t="shared" si="787"/>
        <v>PARI</v>
      </c>
      <c r="E9169" s="2" t="str">
        <f t="shared" si="783"/>
        <v>RELATÓRIO DE TERMOS</v>
      </c>
      <c r="F9169" s="2" t="str">
        <f t="shared" si="784"/>
        <v>R_TERMO_GERAL</v>
      </c>
      <c r="G9169" s="2" t="str">
        <f>"MVSaude / Vendas / Internação / Relatórios / Declarações e Termos / Termo de Alta a Pedido do Responsável (R_TERMO_GERAL)"</f>
        <v>MVSaude / Vendas / Internação / Relatórios / Declarações e Termos / Termo de Alta a Pedido do Responsável (R_TERMO_GERAL)</v>
      </c>
    </row>
    <row r="9170" spans="1:7" x14ac:dyDescent="0.3">
      <c r="A9170" s="1" t="s">
        <v>4</v>
      </c>
      <c r="B9170" s="2" t="str">
        <f t="shared" si="785"/>
        <v>SISTEMA DE GERENCIAMENTO DE INTERNAÇÃO</v>
      </c>
      <c r="C9170" s="2" t="str">
        <f t="shared" si="786"/>
        <v>INTER</v>
      </c>
      <c r="D9170" s="2" t="str">
        <f t="shared" si="787"/>
        <v>PARI</v>
      </c>
      <c r="E9170" s="2" t="str">
        <f t="shared" si="783"/>
        <v>RELATÓRIO DE TERMOS</v>
      </c>
      <c r="F9170" s="2" t="str">
        <f t="shared" si="784"/>
        <v>R_TERMO_GERAL</v>
      </c>
      <c r="G9170" s="2" t="str">
        <f>"MVSaude / Vendas / Internação / Relatórios / Declarações e Termos / Termo de Acompanhamento do Responsável (R_TERMO_GERAL)"</f>
        <v>MVSaude / Vendas / Internação / Relatórios / Declarações e Termos / Termo de Acompanhamento do Responsável (R_TERMO_GERAL)</v>
      </c>
    </row>
    <row r="9171" spans="1:7" x14ac:dyDescent="0.3">
      <c r="A9171" s="1" t="s">
        <v>4</v>
      </c>
      <c r="B9171" s="2" t="str">
        <f t="shared" si="785"/>
        <v>SISTEMA DE GERENCIAMENTO DE INTERNAÇÃO</v>
      </c>
      <c r="C9171" s="2" t="str">
        <f t="shared" si="786"/>
        <v>INTER</v>
      </c>
      <c r="D9171" s="2" t="str">
        <f t="shared" si="787"/>
        <v>PARI</v>
      </c>
      <c r="E9171" s="2" t="str">
        <f t="shared" si="783"/>
        <v>RELATÓRIO DE TERMOS</v>
      </c>
      <c r="F9171" s="2" t="str">
        <f t="shared" si="784"/>
        <v>R_TERMO_GERAL</v>
      </c>
      <c r="G9171" s="2" t="str">
        <f>"MVSaude / Vendas / Internação / Relatórios / Declarações e Termos / Declaração de Internação (R_TERMO_GERAL)"</f>
        <v>MVSaude / Vendas / Internação / Relatórios / Declarações e Termos / Declaração de Internação (R_TERMO_GERAL)</v>
      </c>
    </row>
    <row r="9172" spans="1:7" x14ac:dyDescent="0.3">
      <c r="A9172" s="1" t="s">
        <v>4</v>
      </c>
      <c r="B9172" s="2" t="str">
        <f t="shared" si="785"/>
        <v>SISTEMA DE GERENCIAMENTO DE INTERNAÇÃO</v>
      </c>
      <c r="C9172" s="2" t="str">
        <f t="shared" si="786"/>
        <v>INTER</v>
      </c>
      <c r="D9172" s="2" t="str">
        <f t="shared" si="787"/>
        <v>PARI</v>
      </c>
      <c r="E9172" s="2" t="str">
        <f t="shared" si="783"/>
        <v>RELATÓRIO DE TERMOS</v>
      </c>
      <c r="F9172" s="2" t="str">
        <f t="shared" si="784"/>
        <v>R_TERMO_GERAL</v>
      </c>
      <c r="G9172" s="2" t="str">
        <f>"MVSaude / Vendas / Internação / Relatórios / Declarações e Termos / Declaração de Paciente Internado (R_TERMO_GERAL)"</f>
        <v>MVSaude / Vendas / Internação / Relatórios / Declarações e Termos / Declaração de Paciente Internado (R_TERMO_GERAL)</v>
      </c>
    </row>
    <row r="9173" spans="1:7" x14ac:dyDescent="0.3">
      <c r="A9173" s="1" t="s">
        <v>4</v>
      </c>
      <c r="B9173" s="2" t="str">
        <f t="shared" si="785"/>
        <v>SISTEMA DE GERENCIAMENTO DE INTERNAÇÃO</v>
      </c>
      <c r="C9173" s="2" t="str">
        <f t="shared" si="786"/>
        <v>INTER</v>
      </c>
      <c r="D9173" s="2" t="str">
        <f t="shared" si="787"/>
        <v>PARI</v>
      </c>
      <c r="E9173" s="2" t="str">
        <f t="shared" si="783"/>
        <v>RELATÓRIO DE TERMOS</v>
      </c>
      <c r="F9173" s="2" t="str">
        <f t="shared" si="784"/>
        <v>R_TERMO_GERAL</v>
      </c>
      <c r="G9173" s="2" t="str">
        <f>"MVSaude / Atendimento / Autorizações de Guias / Internação / Relatórios / Declarações e Termos / Autorização para Amputação (R_TERMO_GERAL)"</f>
        <v>MVSaude / Atendimento / Autorizações de Guias / Internação / Relatórios / Declarações e Termos / Autorização para Amputação (R_TERMO_GERAL)</v>
      </c>
    </row>
    <row r="9174" spans="1:7" x14ac:dyDescent="0.3">
      <c r="A9174" s="1" t="s">
        <v>4</v>
      </c>
      <c r="B9174" s="2" t="str">
        <f t="shared" si="785"/>
        <v>SISTEMA DE GERENCIAMENTO DE INTERNAÇÃO</v>
      </c>
      <c r="C9174" s="2" t="str">
        <f t="shared" si="786"/>
        <v>INTER</v>
      </c>
      <c r="D9174" s="2" t="str">
        <f t="shared" si="787"/>
        <v>PARI</v>
      </c>
      <c r="E9174" s="2" t="str">
        <f t="shared" si="783"/>
        <v>RELATÓRIO DE TERMOS</v>
      </c>
      <c r="F9174" s="2" t="str">
        <f t="shared" si="784"/>
        <v>R_TERMO_GERAL</v>
      </c>
      <c r="G9174" s="2" t="str">
        <f>"MVSaude / Atendimento / Autorizações de Guias / Internação / Relatórios / Declarações e Termos / Questionário (R_TERMO_GERAL)"</f>
        <v>MVSaude / Atendimento / Autorizações de Guias / Internação / Relatórios / Declarações e Termos / Questionário (R_TERMO_GERAL)</v>
      </c>
    </row>
    <row r="9175" spans="1:7" x14ac:dyDescent="0.3">
      <c r="A9175" s="1" t="s">
        <v>4</v>
      </c>
      <c r="B9175" s="2" t="str">
        <f t="shared" si="785"/>
        <v>SISTEMA DE GERENCIAMENTO DE INTERNAÇÃO</v>
      </c>
      <c r="C9175" s="2" t="str">
        <f t="shared" si="786"/>
        <v>INTER</v>
      </c>
      <c r="D9175" s="2" t="str">
        <f t="shared" si="787"/>
        <v>PARI</v>
      </c>
      <c r="E9175" s="2" t="str">
        <f t="shared" si="783"/>
        <v>RELATÓRIO DE TERMOS</v>
      </c>
      <c r="F9175" s="2" t="str">
        <f t="shared" si="784"/>
        <v>R_TERMO_GERAL</v>
      </c>
      <c r="G9175" s="2" t="str">
        <f>"MVSaude / Atendimento / Autorizações de Guias / Internação / Relatórios / Declarações e Termos / Autorização para Realizar/Mudar Procedimentos (R_TERMO_GERAL)"</f>
        <v>MVSaude / Atendimento / Autorizações de Guias / Internação / Relatórios / Declarações e Termos / Autorização para Realizar/Mudar Procedimentos (R_TERMO_GERAL)</v>
      </c>
    </row>
    <row r="9176" spans="1:7" x14ac:dyDescent="0.3">
      <c r="A9176" s="1" t="s">
        <v>4</v>
      </c>
      <c r="B9176" s="2" t="str">
        <f t="shared" si="785"/>
        <v>SISTEMA DE GERENCIAMENTO DE INTERNAÇÃO</v>
      </c>
      <c r="C9176" s="2" t="str">
        <f t="shared" si="786"/>
        <v>INTER</v>
      </c>
      <c r="D9176" s="2" t="str">
        <f t="shared" si="787"/>
        <v>PARI</v>
      </c>
      <c r="E9176" s="2" t="str">
        <f t="shared" si="783"/>
        <v>RELATÓRIO DE TERMOS</v>
      </c>
      <c r="F9176" s="2" t="str">
        <f t="shared" si="784"/>
        <v>R_TERMO_GERAL</v>
      </c>
      <c r="G9176" s="2" t="str">
        <f>"MVSaude / Atendimento / Autorizações de Guias / Internação / Relatórios / Declarações e Termos / Autorização para Realização de Procedimento (R_TERMO_GERAL)"</f>
        <v>MVSaude / Atendimento / Autorizações de Guias / Internação / Relatórios / Declarações e Termos / Autorização para Realização de Procedimento (R_TERMO_GERAL)</v>
      </c>
    </row>
    <row r="9177" spans="1:7" x14ac:dyDescent="0.3">
      <c r="A9177" s="1" t="s">
        <v>4</v>
      </c>
      <c r="B9177" s="2" t="str">
        <f t="shared" si="785"/>
        <v>SISTEMA DE GERENCIAMENTO DE INTERNAÇÃO</v>
      </c>
      <c r="C9177" s="2" t="str">
        <f t="shared" si="786"/>
        <v>INTER</v>
      </c>
      <c r="D9177" s="2" t="str">
        <f t="shared" si="787"/>
        <v>PARI</v>
      </c>
      <c r="E9177" s="2" t="str">
        <f t="shared" si="783"/>
        <v>RELATÓRIO DE TERMOS</v>
      </c>
      <c r="F9177" s="2" t="str">
        <f t="shared" si="784"/>
        <v>R_TERMO_GERAL</v>
      </c>
      <c r="G9177" s="2" t="str">
        <f>"MVSaude / Atendimento / Autorizações de Guias / Internação / Relatórios / Declarações e Termos / Termo de Resp. para Testemunhas de Jeová (R_TERMO_GERAL)"</f>
        <v>MVSaude / Atendimento / Autorizações de Guias / Internação / Relatórios / Declarações e Termos / Termo de Resp. para Testemunhas de Jeová (R_TERMO_GERAL)</v>
      </c>
    </row>
    <row r="9178" spans="1:7" x14ac:dyDescent="0.3">
      <c r="A9178" s="1" t="s">
        <v>4</v>
      </c>
      <c r="B9178" s="2" t="str">
        <f t="shared" si="785"/>
        <v>SISTEMA DE GERENCIAMENTO DE INTERNAÇÃO</v>
      </c>
      <c r="C9178" s="2" t="str">
        <f t="shared" si="786"/>
        <v>INTER</v>
      </c>
      <c r="D9178" s="2" t="str">
        <f t="shared" si="787"/>
        <v>PARI</v>
      </c>
      <c r="E9178" s="2" t="str">
        <f t="shared" si="783"/>
        <v>RELATÓRIO DE TERMOS</v>
      </c>
      <c r="F9178" s="2" t="str">
        <f t="shared" si="784"/>
        <v>R_TERMO_GERAL</v>
      </c>
      <c r="G9178" s="2" t="str">
        <f>"MVSaude / Atendimento / Autorizações de Guias / Internação / Relatórios / Declarações e Termos / Termo de Alta a Pedido do Paciente (R_TERMO_GERAL)"</f>
        <v>MVSaude / Atendimento / Autorizações de Guias / Internação / Relatórios / Declarações e Termos / Termo de Alta a Pedido do Paciente (R_TERMO_GERAL)</v>
      </c>
    </row>
    <row r="9179" spans="1:7" x14ac:dyDescent="0.3">
      <c r="A9179" s="1" t="s">
        <v>4</v>
      </c>
      <c r="B9179" s="2" t="str">
        <f t="shared" si="785"/>
        <v>SISTEMA DE GERENCIAMENTO DE INTERNAÇÃO</v>
      </c>
      <c r="C9179" s="2" t="str">
        <f t="shared" si="786"/>
        <v>INTER</v>
      </c>
      <c r="D9179" s="2" t="str">
        <f t="shared" si="787"/>
        <v>PARI</v>
      </c>
      <c r="E9179" s="2" t="str">
        <f t="shared" si="783"/>
        <v>RELATÓRIO DE TERMOS</v>
      </c>
      <c r="F9179" s="2" t="str">
        <f t="shared" si="784"/>
        <v>R_TERMO_GERAL</v>
      </c>
      <c r="G9179" s="2" t="str">
        <f>"MVSaude / Atendimento / Autorizações de Guias / Internação / Relatórios / Declarações e Termos / Termo de Alta a Pedido do Responsável (R_TERMO_GERAL)"</f>
        <v>MVSaude / Atendimento / Autorizações de Guias / Internação / Relatórios / Declarações e Termos / Termo de Alta a Pedido do Responsável (R_TERMO_GERAL)</v>
      </c>
    </row>
    <row r="9180" spans="1:7" x14ac:dyDescent="0.3">
      <c r="A9180" s="1" t="s">
        <v>4</v>
      </c>
      <c r="B9180" s="2" t="str">
        <f t="shared" si="785"/>
        <v>SISTEMA DE GERENCIAMENTO DE INTERNAÇÃO</v>
      </c>
      <c r="C9180" s="2" t="str">
        <f t="shared" si="786"/>
        <v>INTER</v>
      </c>
      <c r="D9180" s="2" t="str">
        <f t="shared" si="787"/>
        <v>PARI</v>
      </c>
      <c r="E9180" s="2" t="str">
        <f t="shared" si="783"/>
        <v>RELATÓRIO DE TERMOS</v>
      </c>
      <c r="F9180" s="2" t="str">
        <f t="shared" si="784"/>
        <v>R_TERMO_GERAL</v>
      </c>
      <c r="G9180" s="2" t="str">
        <f>"MVSaude / Atendimento / Autorizações de Guias / Internação / Relatórios / Declarações e Termos / Termo de Acompanhamento do Responsável (R_TERMO_GERAL)"</f>
        <v>MVSaude / Atendimento / Autorizações de Guias / Internação / Relatórios / Declarações e Termos / Termo de Acompanhamento do Responsável (R_TERMO_GERAL)</v>
      </c>
    </row>
    <row r="9181" spans="1:7" x14ac:dyDescent="0.3">
      <c r="A9181" s="1" t="s">
        <v>4</v>
      </c>
      <c r="B9181" s="2" t="str">
        <f t="shared" si="785"/>
        <v>SISTEMA DE GERENCIAMENTO DE INTERNAÇÃO</v>
      </c>
      <c r="C9181" s="2" t="str">
        <f t="shared" si="786"/>
        <v>INTER</v>
      </c>
      <c r="D9181" s="2" t="str">
        <f t="shared" si="787"/>
        <v>PARI</v>
      </c>
      <c r="E9181" s="2" t="str">
        <f t="shared" si="783"/>
        <v>RELATÓRIO DE TERMOS</v>
      </c>
      <c r="F9181" s="2" t="str">
        <f t="shared" si="784"/>
        <v>R_TERMO_GERAL</v>
      </c>
      <c r="G9181" s="2" t="str">
        <f>"MVSaude / Atendimento / Autorizações de Guias / Internação / Relatórios / Declarações e Termos / Declaração de Internação (R_TERMO_GERAL)"</f>
        <v>MVSaude / Atendimento / Autorizações de Guias / Internação / Relatórios / Declarações e Termos / Declaração de Internação (R_TERMO_GERAL)</v>
      </c>
    </row>
    <row r="9182" spans="1:7" x14ac:dyDescent="0.3">
      <c r="A9182" s="1" t="s">
        <v>4</v>
      </c>
      <c r="B9182" s="2" t="str">
        <f t="shared" si="785"/>
        <v>SISTEMA DE GERENCIAMENTO DE INTERNAÇÃO</v>
      </c>
      <c r="C9182" s="2" t="str">
        <f t="shared" si="786"/>
        <v>INTER</v>
      </c>
      <c r="D9182" s="2" t="str">
        <f t="shared" si="787"/>
        <v>PARI</v>
      </c>
      <c r="E9182" s="2" t="str">
        <f t="shared" si="783"/>
        <v>RELATÓRIO DE TERMOS</v>
      </c>
      <c r="F9182" s="2" t="str">
        <f t="shared" si="784"/>
        <v>R_TERMO_GERAL</v>
      </c>
      <c r="G9182" s="2" t="str">
        <f>"MVSaude / Atendimento / Autorizações de Guias / Internação / Relatórios / Declarações e Termos / Declaração de Paciente Internado (R_TERMO_GERAL)"</f>
        <v>MVSaude / Atendimento / Autorizações de Guias / Internação / Relatórios / Declarações e Termos / Declaração de Paciente Internado (R_TERMO_GERAL)</v>
      </c>
    </row>
    <row r="9183" spans="1:7" x14ac:dyDescent="0.3">
      <c r="A9183" s="1" t="s">
        <v>4</v>
      </c>
      <c r="B9183" s="2" t="str">
        <f t="shared" si="785"/>
        <v>SISTEMA DE GERENCIAMENTO DE INTERNAÇÃO</v>
      </c>
      <c r="C9183" s="2" t="str">
        <f t="shared" si="786"/>
        <v>INTER</v>
      </c>
      <c r="D9183" s="2" t="str">
        <f t="shared" si="787"/>
        <v>PARI</v>
      </c>
      <c r="E9183" s="2" t="str">
        <f>"CADASTRO DE PACIENTES"</f>
        <v>CADASTRO DE PACIENTES</v>
      </c>
      <c r="F9183" s="2" t="str">
        <f>"CAD_PAC_360"</f>
        <v>CAD_PAC_360</v>
      </c>
      <c r="G9183" s="2" t="str">
        <f>" ()"</f>
        <v xml:space="preserve"> ()</v>
      </c>
    </row>
    <row r="9184" spans="1:7" x14ac:dyDescent="0.3">
      <c r="A9184" s="1" t="s">
        <v>4</v>
      </c>
      <c r="B9184" s="2" t="str">
        <f t="shared" si="785"/>
        <v>SISTEMA DE GERENCIAMENTO DE INTERNAÇÃO</v>
      </c>
      <c r="C9184" s="2" t="str">
        <f t="shared" si="786"/>
        <v>INTER</v>
      </c>
      <c r="D9184" s="2" t="str">
        <f t="shared" si="787"/>
        <v>PARI</v>
      </c>
      <c r="E9184" s="2" t="str">
        <f>"CONSULTA DE PACIENTE"</f>
        <v>CONSULTA DE PACIENTE</v>
      </c>
      <c r="F9184" s="2" t="str">
        <f>"CONS_PAC"</f>
        <v>CONS_PAC</v>
      </c>
      <c r="G9184" s="2" t="str">
        <f>" ()"</f>
        <v xml:space="preserve"> ()</v>
      </c>
    </row>
    <row r="9185" spans="1:7" x14ac:dyDescent="0.3">
      <c r="A9185" s="1" t="s">
        <v>4</v>
      </c>
      <c r="B9185" s="2" t="str">
        <f t="shared" si="785"/>
        <v>SISTEMA DE GERENCIAMENTO DE INTERNAÇÃO</v>
      </c>
      <c r="C9185" s="2" t="str">
        <f t="shared" si="786"/>
        <v>INTER</v>
      </c>
      <c r="D9185" s="2" t="str">
        <f t="shared" si="787"/>
        <v>PARI</v>
      </c>
      <c r="E9185" s="2" t="str">
        <f>"FICHA PADRÃO PERSONALIZADA HOSP 360"</f>
        <v>FICHA PADRÃO PERSONALIZADA HOSP 360</v>
      </c>
      <c r="F9185" s="2" t="str">
        <f>"R_FICHA360.REP"</f>
        <v>R_FICHA360.REP</v>
      </c>
      <c r="G9185" s="2" t="str">
        <f>" ()"</f>
        <v xml:space="preserve"> ()</v>
      </c>
    </row>
    <row r="9186" spans="1:7" x14ac:dyDescent="0.3">
      <c r="A9186" s="1" t="s">
        <v>4</v>
      </c>
      <c r="B9186" s="2" t="str">
        <f t="shared" si="785"/>
        <v>SISTEMA DE GERENCIAMENTO DE INTERNAÇÃO</v>
      </c>
      <c r="C9186" s="2" t="str">
        <f t="shared" si="786"/>
        <v>INTER</v>
      </c>
      <c r="D9186" s="2" t="str">
        <f t="shared" si="787"/>
        <v>PARI</v>
      </c>
      <c r="E9186" s="2" t="str">
        <f>"REL EST DE INTER POR UNID_INT E CONVENIO"</f>
        <v>REL EST DE INTER POR UNID_INT E CONVENIO</v>
      </c>
      <c r="F9186" s="2" t="str">
        <f>"R_EST_INTER_UNID_COND"</f>
        <v>R_EST_INTER_UNID_COND</v>
      </c>
      <c r="G9186" s="2" t="str">
        <f>" ()"</f>
        <v xml:space="preserve"> ()</v>
      </c>
    </row>
    <row r="9187" spans="1:7" x14ac:dyDescent="0.3">
      <c r="A9187" s="1" t="s">
        <v>4</v>
      </c>
      <c r="B9187" s="2" t="str">
        <f t="shared" si="785"/>
        <v>SISTEMA DE GERENCIAMENTO DE INTERNAÇÃO</v>
      </c>
      <c r="C9187" s="2" t="str">
        <f t="shared" si="786"/>
        <v>INTER</v>
      </c>
      <c r="D9187" s="2" t="str">
        <f t="shared" si="787"/>
        <v>PARI</v>
      </c>
      <c r="E9187" s="2" t="str">
        <f>"REL EST. DE INTER POR SERVICO E CONVENIO"</f>
        <v>REL EST. DE INTER POR SERVICO E CONVENIO</v>
      </c>
      <c r="F9187" s="2" t="str">
        <f>"R_EST_INTER_SERV_CONV"</f>
        <v>R_EST_INTER_SERV_CONV</v>
      </c>
      <c r="G9187" s="2" t="str">
        <f>"Serviços de Apoio / Serviço Arquivo Médico / Relatórios / Estatísticos / Internações / Por Serviço X Convênio (R_EST_INTER_SERV_CONV)"</f>
        <v>Serviços de Apoio / Serviço Arquivo Médico / Relatórios / Estatísticos / Internações / Por Serviço X Convênio (R_EST_INTER_SERV_CONV)</v>
      </c>
    </row>
    <row r="9188" spans="1:7" x14ac:dyDescent="0.3">
      <c r="A9188" s="1" t="s">
        <v>4</v>
      </c>
      <c r="B9188" s="2" t="str">
        <f t="shared" si="785"/>
        <v>SISTEMA DE GERENCIAMENTO DE INTERNAÇÃO</v>
      </c>
      <c r="C9188" s="2" t="str">
        <f t="shared" si="786"/>
        <v>INTER</v>
      </c>
      <c r="D9188" s="2" t="str">
        <f t="shared" si="787"/>
        <v>PARI</v>
      </c>
      <c r="E9188" s="2" t="str">
        <f>"REL EST. DE INTER POR SERVICO E CONVENIO"</f>
        <v>REL EST. DE INTER POR SERVICO E CONVENIO</v>
      </c>
      <c r="F9188" s="2" t="str">
        <f>"R_EST_INTER_SERV_CONV"</f>
        <v>R_EST_INTER_SERV_CONV</v>
      </c>
      <c r="G9188" s="2" t="str">
        <f>"MVSaude / Vendas / Internação / Relatórios / Estatísticos / Internações / Por Serviço X Convênio (R_EST_INTER_SERV_CONV)"</f>
        <v>MVSaude / Vendas / Internação / Relatórios / Estatísticos / Internações / Por Serviço X Convênio (R_EST_INTER_SERV_CONV)</v>
      </c>
    </row>
    <row r="9189" spans="1:7" x14ac:dyDescent="0.3">
      <c r="A9189" s="1" t="s">
        <v>4</v>
      </c>
      <c r="B9189" s="2" t="str">
        <f t="shared" si="785"/>
        <v>SISTEMA DE GERENCIAMENTO DE INTERNAÇÃO</v>
      </c>
      <c r="C9189" s="2" t="str">
        <f t="shared" si="786"/>
        <v>INTER</v>
      </c>
      <c r="D9189" s="2" t="str">
        <f t="shared" si="787"/>
        <v>PARI</v>
      </c>
      <c r="E9189" s="2" t="str">
        <f>"REL EST. DE INTER POR SERVICO E CONVENIO"</f>
        <v>REL EST. DE INTER POR SERVICO E CONVENIO</v>
      </c>
      <c r="F9189" s="2" t="str">
        <f>"R_EST_INTER_SERV_CONV"</f>
        <v>R_EST_INTER_SERV_CONV</v>
      </c>
      <c r="G9189" s="2" t="str">
        <f>"Atendimento / Internação / Relatórios / Estatísticos / Internações / Por Serviço X Convênio (R_EST_INTER_SERV_CONV)"</f>
        <v>Atendimento / Internação / Relatórios / Estatísticos / Internações / Por Serviço X Convênio (R_EST_INTER_SERV_CONV)</v>
      </c>
    </row>
    <row r="9190" spans="1:7" x14ac:dyDescent="0.3">
      <c r="A9190" s="1" t="s">
        <v>4</v>
      </c>
      <c r="B9190" s="2" t="str">
        <f t="shared" si="785"/>
        <v>SISTEMA DE GERENCIAMENTO DE INTERNAÇÃO</v>
      </c>
      <c r="C9190" s="2" t="str">
        <f t="shared" si="786"/>
        <v>INTER</v>
      </c>
      <c r="D9190" s="2" t="str">
        <f t="shared" si="787"/>
        <v>PARI</v>
      </c>
      <c r="E9190" s="2" t="str">
        <f>"REL EST. DE INTER POR SERVICO E CONVENIO"</f>
        <v>REL EST. DE INTER POR SERVICO E CONVENIO</v>
      </c>
      <c r="F9190" s="2" t="str">
        <f>"R_EST_INTER_SERV_CONV"</f>
        <v>R_EST_INTER_SERV_CONV</v>
      </c>
      <c r="G9190" s="2" t="str">
        <f>"MVSaude / Atendimento / Autorizações de Guias / Internação / Relatórios / Estatísticos / Internações / Por Serviço X Convênio (R_EST_INTER_SERV_CONV)"</f>
        <v>MVSaude / Atendimento / Autorizações de Guias / Internação / Relatórios / Estatísticos / Internações / Por Serviço X Convênio (R_EST_INTER_SERV_CONV)</v>
      </c>
    </row>
    <row r="9191" spans="1:7" x14ac:dyDescent="0.3">
      <c r="A9191" s="1" t="s">
        <v>4</v>
      </c>
      <c r="B9191" s="2" t="str">
        <f t="shared" si="785"/>
        <v>SISTEMA DE GERENCIAMENTO DE INTERNAÇÃO</v>
      </c>
      <c r="C9191" s="2" t="str">
        <f t="shared" si="786"/>
        <v>INTER</v>
      </c>
      <c r="D9191" s="2" t="str">
        <f t="shared" si="787"/>
        <v>PARI</v>
      </c>
      <c r="E9191" s="2" t="str">
        <f>"REL DE MEDICOS SEM ATEND. NO PERIODO"</f>
        <v>REL DE MEDICOS SEM ATEND. NO PERIODO</v>
      </c>
      <c r="F9191" s="2" t="str">
        <f>"R_MEDICO_SEM_ATENDE"</f>
        <v>R_MEDICO_SEM_ATENDE</v>
      </c>
      <c r="G9191" s="2" t="str">
        <f>"Serviços de Apoio / Serviço Arquivo Médico / Relatórios / Estatísticos / Atendimentos / Médicos sem Atendimentos no Período (R_MEDICO_SEM_ATENDE)"</f>
        <v>Serviços de Apoio / Serviço Arquivo Médico / Relatórios / Estatísticos / Atendimentos / Médicos sem Atendimentos no Período (R_MEDICO_SEM_ATENDE)</v>
      </c>
    </row>
    <row r="9192" spans="1:7" x14ac:dyDescent="0.3">
      <c r="A9192" s="1" t="s">
        <v>4</v>
      </c>
      <c r="B9192" s="2" t="str">
        <f t="shared" si="785"/>
        <v>SISTEMA DE GERENCIAMENTO DE INTERNAÇÃO</v>
      </c>
      <c r="C9192" s="2" t="str">
        <f t="shared" si="786"/>
        <v>INTER</v>
      </c>
      <c r="D9192" s="2" t="str">
        <f t="shared" si="787"/>
        <v>PARI</v>
      </c>
      <c r="E9192" s="2" t="str">
        <f>"REL DE MEDICOS SEM ATEND. NO PERIODO"</f>
        <v>REL DE MEDICOS SEM ATEND. NO PERIODO</v>
      </c>
      <c r="F9192" s="2" t="str">
        <f>"R_MEDICO_SEM_ATENDE"</f>
        <v>R_MEDICO_SEM_ATENDE</v>
      </c>
      <c r="G9192" s="2" t="str">
        <f>"Atendimento / Urgência e Emergência / Relatórios / Administrativos / Médicos sem Atendimentos (R_MEDICO_SEM_ATENDE)"</f>
        <v>Atendimento / Urgência e Emergência / Relatórios / Administrativos / Médicos sem Atendimentos (R_MEDICO_SEM_ATENDE)</v>
      </c>
    </row>
    <row r="9193" spans="1:7" x14ac:dyDescent="0.3">
      <c r="A9193" s="1" t="s">
        <v>4</v>
      </c>
      <c r="B9193" s="2" t="str">
        <f t="shared" si="785"/>
        <v>SISTEMA DE GERENCIAMENTO DE INTERNAÇÃO</v>
      </c>
      <c r="C9193" s="2" t="str">
        <f t="shared" si="786"/>
        <v>INTER</v>
      </c>
      <c r="D9193" s="2" t="str">
        <f t="shared" si="787"/>
        <v>PARI</v>
      </c>
      <c r="E9193" s="2" t="str">
        <f>"REL DE MEDICOS SEM ATEND. NO PERIODO"</f>
        <v>REL DE MEDICOS SEM ATEND. NO PERIODO</v>
      </c>
      <c r="F9193" s="2" t="str">
        <f>"R_MEDICO_SEM_ATENDE"</f>
        <v>R_MEDICO_SEM_ATENDE</v>
      </c>
      <c r="G9193" s="2" t="str">
        <f>"MVSaude / Vendas / Internação / Relatórios / Estatísticos / Atendimentos / Médicos sem Atendimentos no Período (R_MEDICO_SEM_ATENDE)"</f>
        <v>MVSaude / Vendas / Internação / Relatórios / Estatísticos / Atendimentos / Médicos sem Atendimentos no Período (R_MEDICO_SEM_ATENDE)</v>
      </c>
    </row>
    <row r="9194" spans="1:7" x14ac:dyDescent="0.3">
      <c r="A9194" s="1" t="s">
        <v>4</v>
      </c>
      <c r="B9194" s="2" t="str">
        <f t="shared" si="785"/>
        <v>SISTEMA DE GERENCIAMENTO DE INTERNAÇÃO</v>
      </c>
      <c r="C9194" s="2" t="str">
        <f t="shared" si="786"/>
        <v>INTER</v>
      </c>
      <c r="D9194" s="2" t="str">
        <f t="shared" si="787"/>
        <v>PARI</v>
      </c>
      <c r="E9194" s="2" t="str">
        <f>"REL DE MEDICOS SEM ATEND. NO PERIODO"</f>
        <v>REL DE MEDICOS SEM ATEND. NO PERIODO</v>
      </c>
      <c r="F9194" s="2" t="str">
        <f>"R_MEDICO_SEM_ATENDE"</f>
        <v>R_MEDICO_SEM_ATENDE</v>
      </c>
      <c r="G9194" s="2" t="str">
        <f>"Atendimento / Internação / Relatórios / Estatísticos / Atendimentos / Médicos sem Atendimentos no Período (R_MEDICO_SEM_ATENDE)"</f>
        <v>Atendimento / Internação / Relatórios / Estatísticos / Atendimentos / Médicos sem Atendimentos no Período (R_MEDICO_SEM_ATENDE)</v>
      </c>
    </row>
    <row r="9195" spans="1:7" x14ac:dyDescent="0.3">
      <c r="A9195" s="1" t="s">
        <v>4</v>
      </c>
      <c r="B9195" s="2" t="str">
        <f t="shared" si="785"/>
        <v>SISTEMA DE GERENCIAMENTO DE INTERNAÇÃO</v>
      </c>
      <c r="C9195" s="2" t="str">
        <f t="shared" si="786"/>
        <v>INTER</v>
      </c>
      <c r="D9195" s="2" t="str">
        <f t="shared" si="787"/>
        <v>PARI</v>
      </c>
      <c r="E9195" s="2" t="str">
        <f>"REL DE MEDICOS SEM ATEND. NO PERIODO"</f>
        <v>REL DE MEDICOS SEM ATEND. NO PERIODO</v>
      </c>
      <c r="F9195" s="2" t="str">
        <f>"R_MEDICO_SEM_ATENDE"</f>
        <v>R_MEDICO_SEM_ATENDE</v>
      </c>
      <c r="G9195" s="2" t="str">
        <f>"MVSaude / Atendimento / Autorizações de Guias / Internação / Relatórios / Estatísticos / Atendimentos / Médicos sem Atendimentos no Período (R_MEDICO_SEM_ATENDE)"</f>
        <v>MVSaude / Atendimento / Autorizações de Guias / Internação / Relatórios / Estatísticos / Atendimentos / Médicos sem Atendimentos no Período (R_MEDICO_SEM_ATENDE)</v>
      </c>
    </row>
    <row r="9196" spans="1:7" x14ac:dyDescent="0.3">
      <c r="A9196" s="1" t="s">
        <v>4</v>
      </c>
      <c r="B9196" s="2" t="str">
        <f t="shared" si="785"/>
        <v>SISTEMA DE GERENCIAMENTO DE INTERNAÇÃO</v>
      </c>
      <c r="C9196" s="2" t="str">
        <f t="shared" si="786"/>
        <v>INTER</v>
      </c>
      <c r="D9196" s="2" t="str">
        <f t="shared" si="787"/>
        <v>PARI</v>
      </c>
      <c r="E9196" s="2" t="str">
        <f>"R_CENSO005"</f>
        <v>R_CENSO005</v>
      </c>
      <c r="F9196" s="2" t="str">
        <f>"R_CENSO005"</f>
        <v>R_CENSO005</v>
      </c>
      <c r="G9196" s="2" t="str">
        <f>" ()"</f>
        <v xml:space="preserve"> ()</v>
      </c>
    </row>
    <row r="9197" spans="1:7" x14ac:dyDescent="0.3">
      <c r="A9197" s="1" t="s">
        <v>4</v>
      </c>
      <c r="B9197" s="2" t="str">
        <f t="shared" si="785"/>
        <v>SISTEMA DE GERENCIAMENTO DE INTERNAÇÃO</v>
      </c>
      <c r="C9197" s="2" t="str">
        <f t="shared" si="786"/>
        <v>INTER</v>
      </c>
      <c r="D9197" s="2" t="str">
        <f t="shared" si="787"/>
        <v>PARI</v>
      </c>
      <c r="E9197" s="2" t="str">
        <f>"R_HTOPAC"</f>
        <v>R_HTOPAC</v>
      </c>
      <c r="F9197" s="2" t="str">
        <f>"R_HTOPAC"</f>
        <v>R_HTOPAC</v>
      </c>
      <c r="G9197" s="2" t="str">
        <f>" ()"</f>
        <v xml:space="preserve"> ()</v>
      </c>
    </row>
    <row r="9198" spans="1:7" x14ac:dyDescent="0.3">
      <c r="A9198" s="1" t="s">
        <v>4</v>
      </c>
      <c r="B9198" s="2" t="str">
        <f t="shared" si="785"/>
        <v>SISTEMA DE GERENCIAMENTO DE INTERNAÇÃO</v>
      </c>
      <c r="C9198" s="2" t="str">
        <f t="shared" si="786"/>
        <v>INTER</v>
      </c>
      <c r="D9198" s="2" t="str">
        <f t="shared" si="787"/>
        <v>PARI</v>
      </c>
      <c r="E9198" s="2" t="str">
        <f>"R_ETIQUETA005_URG"</f>
        <v>R_ETIQUETA005_URG</v>
      </c>
      <c r="F9198" s="2" t="str">
        <f>"R_ETIQUETA005_URG"</f>
        <v>R_ETIQUETA005_URG</v>
      </c>
      <c r="G9198" s="2" t="str">
        <f>" ()"</f>
        <v xml:space="preserve"> ()</v>
      </c>
    </row>
    <row r="9199" spans="1:7" x14ac:dyDescent="0.3">
      <c r="A9199" s="1" t="s">
        <v>4</v>
      </c>
      <c r="B9199" s="2" t="str">
        <f t="shared" si="785"/>
        <v>SISTEMA DE GERENCIAMENTO DE INTERNAÇÃO</v>
      </c>
      <c r="C9199" s="2" t="str">
        <f t="shared" si="786"/>
        <v>INTER</v>
      </c>
      <c r="D9199" s="2" t="str">
        <f t="shared" si="787"/>
        <v>PARI</v>
      </c>
      <c r="E9199" s="2" t="str">
        <f>"R_ETIQUETA005"</f>
        <v>R_ETIQUETA005</v>
      </c>
      <c r="F9199" s="2" t="str">
        <f>"R_ETIQUETA005"</f>
        <v>R_ETIQUETA005</v>
      </c>
      <c r="G9199" s="2" t="str">
        <f>" ()"</f>
        <v xml:space="preserve"> ()</v>
      </c>
    </row>
    <row r="9200" spans="1:7" x14ac:dyDescent="0.3">
      <c r="A9200" s="1" t="s">
        <v>4</v>
      </c>
      <c r="B9200" s="2" t="str">
        <f t="shared" si="785"/>
        <v>SISTEMA DE GERENCIAMENTO DE INTERNAÇÃO</v>
      </c>
      <c r="C9200" s="2" t="str">
        <f t="shared" si="786"/>
        <v>INTER</v>
      </c>
      <c r="D9200" s="2" t="str">
        <f t="shared" si="787"/>
        <v>PARI</v>
      </c>
      <c r="E9200" s="2" t="str">
        <f>"CONSULTA PACIENTES INTERNADOS ALFABÉTICA"</f>
        <v>CONSULTA PACIENTES INTERNADOS ALFABÉTICA</v>
      </c>
      <c r="F9200" s="2" t="str">
        <f>"C_PAC_INT_ALFA"</f>
        <v>C_PAC_INT_ALFA</v>
      </c>
      <c r="G9200" s="2" t="str">
        <f>"MVSaude / Vendas / Internação / Consultas / Pacientes Internados / Internados por Ordem Alfabética (C_PAC_INT_ALFA)"</f>
        <v>MVSaude / Vendas / Internação / Consultas / Pacientes Internados / Internados por Ordem Alfabética (C_PAC_INT_ALFA)</v>
      </c>
    </row>
    <row r="9201" spans="1:7" x14ac:dyDescent="0.3">
      <c r="A9201" s="1" t="s">
        <v>4</v>
      </c>
      <c r="B9201" s="2" t="str">
        <f t="shared" si="785"/>
        <v>SISTEMA DE GERENCIAMENTO DE INTERNAÇÃO</v>
      </c>
      <c r="C9201" s="2" t="str">
        <f t="shared" si="786"/>
        <v>INTER</v>
      </c>
      <c r="D9201" s="2" t="str">
        <f t="shared" si="787"/>
        <v>PARI</v>
      </c>
      <c r="E9201" s="2" t="str">
        <f>"CONSULTA PACIENTES INTERNADOS ALFABÉTICA"</f>
        <v>CONSULTA PACIENTES INTERNADOS ALFABÉTICA</v>
      </c>
      <c r="F9201" s="2" t="str">
        <f>"C_PAC_INT_ALFA"</f>
        <v>C_PAC_INT_ALFA</v>
      </c>
      <c r="G9201" s="2" t="str">
        <f>"MVSaude / Atendimento / Autorizações de Guias / Internação / Consultas / Pacientes Internados / Internados por Ordem Alfabética (C_PAC_INT_ALFA)"</f>
        <v>MVSaude / Atendimento / Autorizações de Guias / Internação / Consultas / Pacientes Internados / Internados por Ordem Alfabética (C_PAC_INT_ALFA)</v>
      </c>
    </row>
    <row r="9202" spans="1:7" x14ac:dyDescent="0.3">
      <c r="A9202" s="1" t="s">
        <v>4</v>
      </c>
      <c r="B9202" s="2" t="str">
        <f t="shared" si="785"/>
        <v>SISTEMA DE GERENCIAMENTO DE INTERNAÇÃO</v>
      </c>
      <c r="C9202" s="2" t="str">
        <f t="shared" si="786"/>
        <v>INTER</v>
      </c>
      <c r="D9202" s="2" t="str">
        <f t="shared" si="787"/>
        <v>PARI</v>
      </c>
      <c r="E9202" s="2" t="str">
        <f>"CONSULTA PACIENTES INTERNADOS ALFABÉTICA"</f>
        <v>CONSULTA PACIENTES INTERNADOS ALFABÉTICA</v>
      </c>
      <c r="F9202" s="2" t="str">
        <f>"C_PAC_INT_ALFA"</f>
        <v>C_PAC_INT_ALFA</v>
      </c>
      <c r="G9202" s="2" t="str">
        <f>"Atendimento / Internação / Consultas / Pacientes Internados / Internados por Ordem Alfabética (C_PAC_INT_ALFA)"</f>
        <v>Atendimento / Internação / Consultas / Pacientes Internados / Internados por Ordem Alfabética (C_PAC_INT_ALFA)</v>
      </c>
    </row>
    <row r="9203" spans="1:7" x14ac:dyDescent="0.3">
      <c r="A9203" s="1" t="s">
        <v>4</v>
      </c>
      <c r="B9203" s="2" t="str">
        <f t="shared" si="785"/>
        <v>SISTEMA DE GERENCIAMENTO DE INTERNAÇÃO</v>
      </c>
      <c r="C9203" s="2" t="str">
        <f t="shared" si="786"/>
        <v>INTER</v>
      </c>
      <c r="D9203" s="2" t="str">
        <f t="shared" si="787"/>
        <v>PARI</v>
      </c>
      <c r="E9203" s="2" t="str">
        <f t="shared" ref="E9203:E9208" si="788">"RELATÓRIOS DE ALTAS POR MÉDICO"</f>
        <v>RELATÓRIOS DE ALTAS POR MÉDICO</v>
      </c>
      <c r="F9203" s="2" t="str">
        <f t="shared" ref="F9203:F9208" si="789">"R_ALTASMEDICO"</f>
        <v>R_ALTASMEDICO</v>
      </c>
      <c r="G9203" s="2" t="str">
        <f>"MVSaude / Vendas / Internação / Relatórios / Operacionais / Altas / Por Médico (R_ALTASMEDICO)"</f>
        <v>MVSaude / Vendas / Internação / Relatórios / Operacionais / Altas / Por Médico (R_ALTASMEDICO)</v>
      </c>
    </row>
    <row r="9204" spans="1:7" x14ac:dyDescent="0.3">
      <c r="A9204" s="1" t="s">
        <v>4</v>
      </c>
      <c r="B9204" s="2" t="str">
        <f t="shared" si="785"/>
        <v>SISTEMA DE GERENCIAMENTO DE INTERNAÇÃO</v>
      </c>
      <c r="C9204" s="2" t="str">
        <f t="shared" si="786"/>
        <v>INTER</v>
      </c>
      <c r="D9204" s="2" t="str">
        <f t="shared" si="787"/>
        <v>PARI</v>
      </c>
      <c r="E9204" s="2" t="str">
        <f t="shared" si="788"/>
        <v>RELATÓRIOS DE ALTAS POR MÉDICO</v>
      </c>
      <c r="F9204" s="2" t="str">
        <f t="shared" si="789"/>
        <v>R_ALTASMEDICO</v>
      </c>
      <c r="G9204" s="2" t="str">
        <f>"Atendimento / Internação / Relatórios / Operacionais / Altas / Por Médico (R_ALTASMEDICO)"</f>
        <v>Atendimento / Internação / Relatórios / Operacionais / Altas / Por Médico (R_ALTASMEDICO)</v>
      </c>
    </row>
    <row r="9205" spans="1:7" x14ac:dyDescent="0.3">
      <c r="A9205" s="1" t="s">
        <v>4</v>
      </c>
      <c r="B9205" s="2" t="str">
        <f t="shared" si="785"/>
        <v>SISTEMA DE GERENCIAMENTO DE INTERNAÇÃO</v>
      </c>
      <c r="C9205" s="2" t="str">
        <f t="shared" si="786"/>
        <v>INTER</v>
      </c>
      <c r="D9205" s="2" t="str">
        <f t="shared" si="787"/>
        <v>PARI</v>
      </c>
      <c r="E9205" s="2" t="str">
        <f t="shared" si="788"/>
        <v>RELATÓRIOS DE ALTAS POR MÉDICO</v>
      </c>
      <c r="F9205" s="2" t="str">
        <f t="shared" si="789"/>
        <v>R_ALTASMEDICO</v>
      </c>
      <c r="G9205" s="2" t="str">
        <f>"Controladoria / Tesouraria / Relatórios / Internação / Altas por Médico (R_ALTASMEDICO)"</f>
        <v>Controladoria / Tesouraria / Relatórios / Internação / Altas por Médico (R_ALTASMEDICO)</v>
      </c>
    </row>
    <row r="9206" spans="1:7" x14ac:dyDescent="0.3">
      <c r="A9206" s="1" t="s">
        <v>4</v>
      </c>
      <c r="B9206" s="2" t="str">
        <f t="shared" si="785"/>
        <v>SISTEMA DE GERENCIAMENTO DE INTERNAÇÃO</v>
      </c>
      <c r="C9206" s="2" t="str">
        <f t="shared" si="786"/>
        <v>INTER</v>
      </c>
      <c r="D9206" s="2" t="str">
        <f t="shared" si="787"/>
        <v>PARI</v>
      </c>
      <c r="E9206" s="2" t="str">
        <f t="shared" si="788"/>
        <v>RELATÓRIOS DE ALTAS POR MÉDICO</v>
      </c>
      <c r="F9206" s="2" t="str">
        <f t="shared" si="789"/>
        <v>R_ALTASMEDICO</v>
      </c>
      <c r="G9206" s="2" t="str">
        <f>"Serviços de Apoio / Serviço Arquivo Médico / Relatórios / Operacionais / Altas / Por Médico (R_ALTASMEDICO)"</f>
        <v>Serviços de Apoio / Serviço Arquivo Médico / Relatórios / Operacionais / Altas / Por Médico (R_ALTASMEDICO)</v>
      </c>
    </row>
    <row r="9207" spans="1:7" x14ac:dyDescent="0.3">
      <c r="A9207" s="1" t="s">
        <v>4</v>
      </c>
      <c r="B9207" s="2" t="str">
        <f t="shared" si="785"/>
        <v>SISTEMA DE GERENCIAMENTO DE INTERNAÇÃO</v>
      </c>
      <c r="C9207" s="2" t="str">
        <f t="shared" si="786"/>
        <v>INTER</v>
      </c>
      <c r="D9207" s="2" t="str">
        <f t="shared" si="787"/>
        <v>PARI</v>
      </c>
      <c r="E9207" s="2" t="str">
        <f t="shared" si="788"/>
        <v>RELATÓRIOS DE ALTAS POR MÉDICO</v>
      </c>
      <c r="F9207" s="2" t="str">
        <f t="shared" si="789"/>
        <v>R_ALTASMEDICO</v>
      </c>
      <c r="G9207" s="2" t="str">
        <f>"Atendimento / Internação Domiciliar (Home Care) / Relatórios / Operacionais / Altas por Médico (R_ALTASMEDICO)"</f>
        <v>Atendimento / Internação Domiciliar (Home Care) / Relatórios / Operacionais / Altas por Médico (R_ALTASMEDICO)</v>
      </c>
    </row>
    <row r="9208" spans="1:7" x14ac:dyDescent="0.3">
      <c r="A9208" s="1" t="s">
        <v>4</v>
      </c>
      <c r="B9208" s="2" t="str">
        <f t="shared" si="785"/>
        <v>SISTEMA DE GERENCIAMENTO DE INTERNAÇÃO</v>
      </c>
      <c r="C9208" s="2" t="str">
        <f t="shared" si="786"/>
        <v>INTER</v>
      </c>
      <c r="D9208" s="2" t="str">
        <f t="shared" si="787"/>
        <v>PARI</v>
      </c>
      <c r="E9208" s="2" t="str">
        <f t="shared" si="788"/>
        <v>RELATÓRIOS DE ALTAS POR MÉDICO</v>
      </c>
      <c r="F9208" s="2" t="str">
        <f t="shared" si="789"/>
        <v>R_ALTASMEDICO</v>
      </c>
      <c r="G9208" s="2" t="str">
        <f>"MVSaude / Atendimento / Autorizações de Guias / Internação / Relatórios / Operacionais / Altas / Por Médico (R_ALTASMEDICO)"</f>
        <v>MVSaude / Atendimento / Autorizações de Guias / Internação / Relatórios / Operacionais / Altas / Por Médico (R_ALTASMEDICO)</v>
      </c>
    </row>
    <row r="9209" spans="1:7" x14ac:dyDescent="0.3">
      <c r="A9209" s="1" t="s">
        <v>4</v>
      </c>
      <c r="B9209" s="2" t="str">
        <f t="shared" si="785"/>
        <v>SISTEMA DE GERENCIAMENTO DE INTERNAÇÃO</v>
      </c>
      <c r="C9209" s="2" t="str">
        <f t="shared" si="786"/>
        <v>INTER</v>
      </c>
      <c r="D9209" s="2" t="str">
        <f t="shared" si="787"/>
        <v>PARI</v>
      </c>
      <c r="E9209" s="2" t="str">
        <f t="shared" ref="E9209:E9214" si="790">"REL. INTERNAÇÕES X CONVÊNIO"</f>
        <v>REL. INTERNAÇÕES X CONVÊNIO</v>
      </c>
      <c r="F9209" s="2" t="str">
        <f t="shared" ref="F9209:F9214" si="791">"R_INTERNACOESCONVENIO"</f>
        <v>R_INTERNACOESCONVENIO</v>
      </c>
      <c r="G9209" s="2" t="str">
        <f>"MVSaude / Vendas / Internação / Relatórios / Operacionais / Internações / Por Convênio (R_INTERNACOESCONVENIO)"</f>
        <v>MVSaude / Vendas / Internação / Relatórios / Operacionais / Internações / Por Convênio (R_INTERNACOESCONVENIO)</v>
      </c>
    </row>
    <row r="9210" spans="1:7" x14ac:dyDescent="0.3">
      <c r="A9210" s="1" t="s">
        <v>4</v>
      </c>
      <c r="B9210" s="2" t="str">
        <f t="shared" si="785"/>
        <v>SISTEMA DE GERENCIAMENTO DE INTERNAÇÃO</v>
      </c>
      <c r="C9210" s="2" t="str">
        <f t="shared" si="786"/>
        <v>INTER</v>
      </c>
      <c r="D9210" s="2" t="str">
        <f t="shared" si="787"/>
        <v>PARI</v>
      </c>
      <c r="E9210" s="2" t="str">
        <f t="shared" si="790"/>
        <v>REL. INTERNAÇÕES X CONVÊNIO</v>
      </c>
      <c r="F9210" s="2" t="str">
        <f t="shared" si="791"/>
        <v>R_INTERNACOESCONVENIO</v>
      </c>
      <c r="G9210" s="2" t="str">
        <f>"Controladoria / Tesouraria / Relatórios / Internação / Internações por Convenio (R_INTERNACOESCONVENIO)"</f>
        <v>Controladoria / Tesouraria / Relatórios / Internação / Internações por Convenio (R_INTERNACOESCONVENIO)</v>
      </c>
    </row>
    <row r="9211" spans="1:7" x14ac:dyDescent="0.3">
      <c r="A9211" s="1" t="s">
        <v>4</v>
      </c>
      <c r="B9211" s="2" t="str">
        <f t="shared" si="785"/>
        <v>SISTEMA DE GERENCIAMENTO DE INTERNAÇÃO</v>
      </c>
      <c r="C9211" s="2" t="str">
        <f t="shared" si="786"/>
        <v>INTER</v>
      </c>
      <c r="D9211" s="2" t="str">
        <f t="shared" si="787"/>
        <v>PARI</v>
      </c>
      <c r="E9211" s="2" t="str">
        <f t="shared" si="790"/>
        <v>REL. INTERNAÇÕES X CONVÊNIO</v>
      </c>
      <c r="F9211" s="2" t="str">
        <f t="shared" si="791"/>
        <v>R_INTERNACOESCONVENIO</v>
      </c>
      <c r="G9211" s="2" t="str">
        <f>"Serviços de Apoio / Serviço Arquivo Médico / Relatórios / Operacionais / Internações / Por Convênio (R_INTERNACOESCONVENIO)"</f>
        <v>Serviços de Apoio / Serviço Arquivo Médico / Relatórios / Operacionais / Internações / Por Convênio (R_INTERNACOESCONVENIO)</v>
      </c>
    </row>
    <row r="9212" spans="1:7" x14ac:dyDescent="0.3">
      <c r="A9212" s="1" t="s">
        <v>4</v>
      </c>
      <c r="B9212" s="2" t="str">
        <f t="shared" si="785"/>
        <v>SISTEMA DE GERENCIAMENTO DE INTERNAÇÃO</v>
      </c>
      <c r="C9212" s="2" t="str">
        <f t="shared" si="786"/>
        <v>INTER</v>
      </c>
      <c r="D9212" s="2" t="str">
        <f t="shared" si="787"/>
        <v>PARI</v>
      </c>
      <c r="E9212" s="2" t="str">
        <f t="shared" si="790"/>
        <v>REL. INTERNAÇÕES X CONVÊNIO</v>
      </c>
      <c r="F9212" s="2" t="str">
        <f t="shared" si="791"/>
        <v>R_INTERNACOESCONVENIO</v>
      </c>
      <c r="G9212" s="2" t="str">
        <f>"Atendimento / Internação / Relatórios / Operacionais / Internações / Por Convênio (R_INTERNACOESCONVENIO)"</f>
        <v>Atendimento / Internação / Relatórios / Operacionais / Internações / Por Convênio (R_INTERNACOESCONVENIO)</v>
      </c>
    </row>
    <row r="9213" spans="1:7" x14ac:dyDescent="0.3">
      <c r="A9213" s="1" t="s">
        <v>4</v>
      </c>
      <c r="B9213" s="2" t="str">
        <f t="shared" si="785"/>
        <v>SISTEMA DE GERENCIAMENTO DE INTERNAÇÃO</v>
      </c>
      <c r="C9213" s="2" t="str">
        <f t="shared" si="786"/>
        <v>INTER</v>
      </c>
      <c r="D9213" s="2" t="str">
        <f t="shared" si="787"/>
        <v>PARI</v>
      </c>
      <c r="E9213" s="2" t="str">
        <f t="shared" si="790"/>
        <v>REL. INTERNAÇÕES X CONVÊNIO</v>
      </c>
      <c r="F9213" s="2" t="str">
        <f t="shared" si="791"/>
        <v>R_INTERNACOESCONVENIO</v>
      </c>
      <c r="G9213" s="2" t="str">
        <f>"Atendimento / Internação Domiciliar (Home Care) / Relatórios / Operacionais / Internações por Convênio (R_INTERNACOESCONVENIO)"</f>
        <v>Atendimento / Internação Domiciliar (Home Care) / Relatórios / Operacionais / Internações por Convênio (R_INTERNACOESCONVENIO)</v>
      </c>
    </row>
    <row r="9214" spans="1:7" x14ac:dyDescent="0.3">
      <c r="A9214" s="1" t="s">
        <v>4</v>
      </c>
      <c r="B9214" s="2" t="str">
        <f t="shared" si="785"/>
        <v>SISTEMA DE GERENCIAMENTO DE INTERNAÇÃO</v>
      </c>
      <c r="C9214" s="2" t="str">
        <f t="shared" si="786"/>
        <v>INTER</v>
      </c>
      <c r="D9214" s="2" t="str">
        <f t="shared" si="787"/>
        <v>PARI</v>
      </c>
      <c r="E9214" s="2" t="str">
        <f t="shared" si="790"/>
        <v>REL. INTERNAÇÕES X CONVÊNIO</v>
      </c>
      <c r="F9214" s="2" t="str">
        <f t="shared" si="791"/>
        <v>R_INTERNACOESCONVENIO</v>
      </c>
      <c r="G9214" s="2" t="str">
        <f>"MVSaude / Atendimento / Autorizações de Guias / Internação / Relatórios / Operacionais / Internações / Por Convênio (R_INTERNACOESCONVENIO)"</f>
        <v>MVSaude / Atendimento / Autorizações de Guias / Internação / Relatórios / Operacionais / Internações / Por Convênio (R_INTERNACOESCONVENIO)</v>
      </c>
    </row>
    <row r="9215" spans="1:7" x14ac:dyDescent="0.3">
      <c r="A9215" s="1" t="s">
        <v>4</v>
      </c>
      <c r="B9215" s="2" t="str">
        <f t="shared" si="785"/>
        <v>SISTEMA DE GERENCIAMENTO DE INTERNAÇÃO</v>
      </c>
      <c r="C9215" s="2" t="str">
        <f t="shared" si="786"/>
        <v>INTER</v>
      </c>
      <c r="D9215" s="2" t="str">
        <f t="shared" si="787"/>
        <v>PARI</v>
      </c>
      <c r="E9215" s="2" t="str">
        <f t="shared" ref="E9215:E9221" si="792">"REL. INTERNAÇÕES X MÉDICO"</f>
        <v>REL. INTERNAÇÕES X MÉDICO</v>
      </c>
      <c r="F9215" s="2" t="str">
        <f t="shared" ref="F9215:F9221" si="793">"R_INTERNACOESMEDICO"</f>
        <v>R_INTERNACOESMEDICO</v>
      </c>
      <c r="G9215" s="2" t="str">
        <f>"MVSaude / Vendas / Internação / Relatórios / Operacionais / Internações / Por Médico (R_INTERNACOESMEDICO)"</f>
        <v>MVSaude / Vendas / Internação / Relatórios / Operacionais / Internações / Por Médico (R_INTERNACOESMEDICO)</v>
      </c>
    </row>
    <row r="9216" spans="1:7" x14ac:dyDescent="0.3">
      <c r="A9216" s="1" t="s">
        <v>4</v>
      </c>
      <c r="B9216" s="2" t="str">
        <f t="shared" si="785"/>
        <v>SISTEMA DE GERENCIAMENTO DE INTERNAÇÃO</v>
      </c>
      <c r="C9216" s="2" t="str">
        <f t="shared" si="786"/>
        <v>INTER</v>
      </c>
      <c r="D9216" s="2" t="str">
        <f t="shared" si="787"/>
        <v>PARI</v>
      </c>
      <c r="E9216" s="2" t="str">
        <f t="shared" si="792"/>
        <v>REL. INTERNAÇÕES X MÉDICO</v>
      </c>
      <c r="F9216" s="2" t="str">
        <f t="shared" si="793"/>
        <v>R_INTERNACOESMEDICO</v>
      </c>
      <c r="G9216" s="2" t="str">
        <f>"Atendimento / Internação / Relatórios / Operacionais / Internações / Por Médico (R_INTERNACOESMEDICO)"</f>
        <v>Atendimento / Internação / Relatórios / Operacionais / Internações / Por Médico (R_INTERNACOESMEDICO)</v>
      </c>
    </row>
    <row r="9217" spans="1:7" x14ac:dyDescent="0.3">
      <c r="A9217" s="1" t="s">
        <v>4</v>
      </c>
      <c r="B9217" s="2" t="str">
        <f t="shared" si="785"/>
        <v>SISTEMA DE GERENCIAMENTO DE INTERNAÇÃO</v>
      </c>
      <c r="C9217" s="2" t="str">
        <f t="shared" si="786"/>
        <v>INTER</v>
      </c>
      <c r="D9217" s="2" t="str">
        <f t="shared" si="787"/>
        <v>PARI</v>
      </c>
      <c r="E9217" s="2" t="str">
        <f t="shared" si="792"/>
        <v>REL. INTERNAÇÕES X MÉDICO</v>
      </c>
      <c r="F9217" s="2" t="str">
        <f t="shared" si="793"/>
        <v>R_INTERNACOESMEDICO</v>
      </c>
      <c r="G9217" s="2" t="str">
        <f>"Controladoria / Tesouraria / Relatórios / Internação / Internações por Médico (R_INTERNACOESMEDICO)"</f>
        <v>Controladoria / Tesouraria / Relatórios / Internação / Internações por Médico (R_INTERNACOESMEDICO)</v>
      </c>
    </row>
    <row r="9218" spans="1:7" x14ac:dyDescent="0.3">
      <c r="A9218" s="1" t="s">
        <v>4</v>
      </c>
      <c r="B9218" s="2" t="str">
        <f t="shared" si="785"/>
        <v>SISTEMA DE GERENCIAMENTO DE INTERNAÇÃO</v>
      </c>
      <c r="C9218" s="2" t="str">
        <f t="shared" si="786"/>
        <v>INTER</v>
      </c>
      <c r="D9218" s="2" t="str">
        <f t="shared" si="787"/>
        <v>PARI</v>
      </c>
      <c r="E9218" s="2" t="str">
        <f t="shared" si="792"/>
        <v>REL. INTERNAÇÕES X MÉDICO</v>
      </c>
      <c r="F9218" s="2" t="str">
        <f t="shared" si="793"/>
        <v>R_INTERNACOESMEDICO</v>
      </c>
      <c r="G9218" s="2" t="str">
        <f>"Atendimento / Central de Agendamento / Relatórios / Operacionais / Internações / Por Médico (R_INTERNACOESMEDICO)"</f>
        <v>Atendimento / Central de Agendamento / Relatórios / Operacionais / Internações / Por Médico (R_INTERNACOESMEDICO)</v>
      </c>
    </row>
    <row r="9219" spans="1:7" x14ac:dyDescent="0.3">
      <c r="A9219" s="1" t="s">
        <v>4</v>
      </c>
      <c r="B9219" s="2" t="str">
        <f t="shared" si="785"/>
        <v>SISTEMA DE GERENCIAMENTO DE INTERNAÇÃO</v>
      </c>
      <c r="C9219" s="2" t="str">
        <f t="shared" si="786"/>
        <v>INTER</v>
      </c>
      <c r="D9219" s="2" t="str">
        <f t="shared" si="787"/>
        <v>PARI</v>
      </c>
      <c r="E9219" s="2" t="str">
        <f t="shared" si="792"/>
        <v>REL. INTERNAÇÕES X MÉDICO</v>
      </c>
      <c r="F9219" s="2" t="str">
        <f t="shared" si="793"/>
        <v>R_INTERNACOESMEDICO</v>
      </c>
      <c r="G9219" s="2" t="str">
        <f>"Serviços de Apoio / Serviço Arquivo Médico / Relatórios / Operacionais / Internações / Por Médico (R_INTERNACOESMEDICO)"</f>
        <v>Serviços de Apoio / Serviço Arquivo Médico / Relatórios / Operacionais / Internações / Por Médico (R_INTERNACOESMEDICO)</v>
      </c>
    </row>
    <row r="9220" spans="1:7" x14ac:dyDescent="0.3">
      <c r="A9220" s="1" t="s">
        <v>4</v>
      </c>
      <c r="B9220" s="2" t="str">
        <f t="shared" si="785"/>
        <v>SISTEMA DE GERENCIAMENTO DE INTERNAÇÃO</v>
      </c>
      <c r="C9220" s="2" t="str">
        <f t="shared" si="786"/>
        <v>INTER</v>
      </c>
      <c r="D9220" s="2" t="str">
        <f t="shared" si="787"/>
        <v>PARI</v>
      </c>
      <c r="E9220" s="2" t="str">
        <f t="shared" si="792"/>
        <v>REL. INTERNAÇÕES X MÉDICO</v>
      </c>
      <c r="F9220" s="2" t="str">
        <f t="shared" si="793"/>
        <v>R_INTERNACOESMEDICO</v>
      </c>
      <c r="G9220" s="2" t="str">
        <f>"Atendimento / Internação Domiciliar (Home Care) / Relatórios / Operacionais / Internações por Médico (R_INTERNACOESMEDICO)"</f>
        <v>Atendimento / Internação Domiciliar (Home Care) / Relatórios / Operacionais / Internações por Médico (R_INTERNACOESMEDICO)</v>
      </c>
    </row>
    <row r="9221" spans="1:7" x14ac:dyDescent="0.3">
      <c r="A9221" s="1" t="s">
        <v>4</v>
      </c>
      <c r="B9221" s="2" t="str">
        <f t="shared" si="785"/>
        <v>SISTEMA DE GERENCIAMENTO DE INTERNAÇÃO</v>
      </c>
      <c r="C9221" s="2" t="str">
        <f t="shared" si="786"/>
        <v>INTER</v>
      </c>
      <c r="D9221" s="2" t="str">
        <f t="shared" si="787"/>
        <v>PARI</v>
      </c>
      <c r="E9221" s="2" t="str">
        <f t="shared" si="792"/>
        <v>REL. INTERNAÇÕES X MÉDICO</v>
      </c>
      <c r="F9221" s="2" t="str">
        <f t="shared" si="793"/>
        <v>R_INTERNACOESMEDICO</v>
      </c>
      <c r="G9221" s="2" t="str">
        <f>"MVSaude / Atendimento / Autorizações de Guias / Internação / Relatórios / Operacionais / Internações / Por Médico (R_INTERNACOESMEDICO)"</f>
        <v>MVSaude / Atendimento / Autorizações de Guias / Internação / Relatórios / Operacionais / Internações / Por Médico (R_INTERNACOESMEDICO)</v>
      </c>
    </row>
    <row r="9222" spans="1:7" x14ac:dyDescent="0.3">
      <c r="A9222" s="1" t="s">
        <v>4</v>
      </c>
      <c r="B9222" s="2" t="str">
        <f t="shared" si="785"/>
        <v>SISTEMA DE GERENCIAMENTO DE INTERNAÇÃO</v>
      </c>
      <c r="C9222" s="2" t="str">
        <f t="shared" si="786"/>
        <v>INTER</v>
      </c>
      <c r="D9222" s="2" t="str">
        <f t="shared" si="787"/>
        <v>PARI</v>
      </c>
      <c r="E9222" s="2" t="str">
        <f>"R_CENSO759"</f>
        <v>R_CENSO759</v>
      </c>
      <c r="F9222" s="2" t="str">
        <f>"R_CENSO759"</f>
        <v>R_CENSO759</v>
      </c>
      <c r="G9222" s="2" t="str">
        <f>" ()"</f>
        <v xml:space="preserve"> ()</v>
      </c>
    </row>
    <row r="9223" spans="1:7" x14ac:dyDescent="0.3">
      <c r="A9223" s="1" t="s">
        <v>4</v>
      </c>
      <c r="B9223" s="2" t="str">
        <f t="shared" si="785"/>
        <v>SISTEMA DE GERENCIAMENTO DE INTERNAÇÃO</v>
      </c>
      <c r="C9223" s="2" t="str">
        <f t="shared" si="786"/>
        <v>INTER</v>
      </c>
      <c r="D9223" s="2" t="str">
        <f t="shared" si="787"/>
        <v>PARI</v>
      </c>
      <c r="E9223" s="2" t="str">
        <f>"REL.ESTAT.ATEND. X UNIDADE DE INTERNAÇÃO"</f>
        <v>REL.ESTAT.ATEND. X UNIDADE DE INTERNAÇÃO</v>
      </c>
      <c r="F9223" s="2" t="str">
        <f>"R_EST_INTER_UNID"</f>
        <v>R_EST_INTER_UNID</v>
      </c>
      <c r="G9223" s="2" t="str">
        <f>"Serviços de Apoio / Serviço Arquivo Médico / Relatórios / Estatísticos / Internações / Por Unidade de Internação (R_EST_INTER_UNID)"</f>
        <v>Serviços de Apoio / Serviço Arquivo Médico / Relatórios / Estatísticos / Internações / Por Unidade de Internação (R_EST_INTER_UNID)</v>
      </c>
    </row>
    <row r="9224" spans="1:7" x14ac:dyDescent="0.3">
      <c r="A9224" s="1" t="s">
        <v>4</v>
      </c>
      <c r="B9224" s="2" t="str">
        <f t="shared" si="785"/>
        <v>SISTEMA DE GERENCIAMENTO DE INTERNAÇÃO</v>
      </c>
      <c r="C9224" s="2" t="str">
        <f t="shared" si="786"/>
        <v>INTER</v>
      </c>
      <c r="D9224" s="2" t="str">
        <f t="shared" si="787"/>
        <v>PARI</v>
      </c>
      <c r="E9224" s="2" t="str">
        <f>"REL.ESTAT.ATEND. X UNIDADE DE INTERNAÇÃO"</f>
        <v>REL.ESTAT.ATEND. X UNIDADE DE INTERNAÇÃO</v>
      </c>
      <c r="F9224" s="2" t="str">
        <f>"R_EST_INTER_UNID"</f>
        <v>R_EST_INTER_UNID</v>
      </c>
      <c r="G9224" s="2" t="str">
        <f>"MVSaude / Vendas / Internação / Relatórios / Estatísticos / Internações / Por Unidade de Internação (R_EST_INTER_UNID)"</f>
        <v>MVSaude / Vendas / Internação / Relatórios / Estatísticos / Internações / Por Unidade de Internação (R_EST_INTER_UNID)</v>
      </c>
    </row>
    <row r="9225" spans="1:7" x14ac:dyDescent="0.3">
      <c r="A9225" s="1" t="s">
        <v>4</v>
      </c>
      <c r="B9225" s="2" t="str">
        <f t="shared" si="785"/>
        <v>SISTEMA DE GERENCIAMENTO DE INTERNAÇÃO</v>
      </c>
      <c r="C9225" s="2" t="str">
        <f t="shared" si="786"/>
        <v>INTER</v>
      </c>
      <c r="D9225" s="2" t="str">
        <f t="shared" si="787"/>
        <v>PARI</v>
      </c>
      <c r="E9225" s="2" t="str">
        <f>"REL.ESTAT.ATEND. X UNIDADE DE INTERNAÇÃO"</f>
        <v>REL.ESTAT.ATEND. X UNIDADE DE INTERNAÇÃO</v>
      </c>
      <c r="F9225" s="2" t="str">
        <f>"R_EST_INTER_UNID"</f>
        <v>R_EST_INTER_UNID</v>
      </c>
      <c r="G9225" s="2" t="str">
        <f>"Atendimento / Internação / Relatórios / Estatísticos / Internações / Por Unidade de Internação (R_EST_INTER_UNID)"</f>
        <v>Atendimento / Internação / Relatórios / Estatísticos / Internações / Por Unidade de Internação (R_EST_INTER_UNID)</v>
      </c>
    </row>
    <row r="9226" spans="1:7" x14ac:dyDescent="0.3">
      <c r="A9226" s="1" t="s">
        <v>4</v>
      </c>
      <c r="B9226" s="2" t="str">
        <f t="shared" si="785"/>
        <v>SISTEMA DE GERENCIAMENTO DE INTERNAÇÃO</v>
      </c>
      <c r="C9226" s="2" t="str">
        <f t="shared" si="786"/>
        <v>INTER</v>
      </c>
      <c r="D9226" s="2" t="str">
        <f t="shared" si="787"/>
        <v>PARI</v>
      </c>
      <c r="E9226" s="2" t="str">
        <f>"REL.ESTAT.ATEND. X UNIDADE DE INTERNAÇÃO"</f>
        <v>REL.ESTAT.ATEND. X UNIDADE DE INTERNAÇÃO</v>
      </c>
      <c r="F9226" s="2" t="str">
        <f>"R_EST_INTER_UNID"</f>
        <v>R_EST_INTER_UNID</v>
      </c>
      <c r="G9226" s="2" t="str">
        <f>"Atendimento / Internação Domiciliar (Home Care) / Relatórios / Estatísticos / de Unidades de Internação (R_EST_INTER_UNID)"</f>
        <v>Atendimento / Internação Domiciliar (Home Care) / Relatórios / Estatísticos / de Unidades de Internação (R_EST_INTER_UNID)</v>
      </c>
    </row>
    <row r="9227" spans="1:7" x14ac:dyDescent="0.3">
      <c r="A9227" s="1" t="s">
        <v>4</v>
      </c>
      <c r="B9227" s="2" t="str">
        <f t="shared" si="785"/>
        <v>SISTEMA DE GERENCIAMENTO DE INTERNAÇÃO</v>
      </c>
      <c r="C9227" s="2" t="str">
        <f t="shared" si="786"/>
        <v>INTER</v>
      </c>
      <c r="D9227" s="2" t="str">
        <f t="shared" si="787"/>
        <v>PARI</v>
      </c>
      <c r="E9227" s="2" t="str">
        <f>"REL.ESTAT.ATEND. X UNIDADE DE INTERNAÇÃO"</f>
        <v>REL.ESTAT.ATEND. X UNIDADE DE INTERNAÇÃO</v>
      </c>
      <c r="F9227" s="2" t="str">
        <f>"R_EST_INTER_UNID"</f>
        <v>R_EST_INTER_UNID</v>
      </c>
      <c r="G9227" s="2" t="str">
        <f>"MVSaude / Atendimento / Autorizações de Guias / Internação / Relatórios / Estatísticos / Internações / Por Unidade de Internação (R_EST_INTER_UNID)"</f>
        <v>MVSaude / Atendimento / Autorizações de Guias / Internação / Relatórios / Estatísticos / Internações / Por Unidade de Internação (R_EST_INTER_UNID)</v>
      </c>
    </row>
    <row r="9228" spans="1:7" x14ac:dyDescent="0.3">
      <c r="A9228" s="1" t="s">
        <v>4</v>
      </c>
      <c r="B9228" s="2" t="str">
        <f t="shared" si="785"/>
        <v>SISTEMA DE GERENCIAMENTO DE INTERNAÇÃO</v>
      </c>
      <c r="C9228" s="2" t="str">
        <f t="shared" si="786"/>
        <v>INTER</v>
      </c>
      <c r="D9228" s="2" t="str">
        <f t="shared" si="787"/>
        <v>PARI</v>
      </c>
      <c r="E9228" s="2" t="str">
        <f>"TERMO DE ATENDIMENTO DO RESPONSÁVEL"</f>
        <v>TERMO DE ATENDIMENTO DO RESPONSÁVEL</v>
      </c>
      <c r="F9228" s="2" t="str">
        <f>"R_TERMO_RESP"</f>
        <v>R_TERMO_RESP</v>
      </c>
      <c r="G9228" s="2" t="str">
        <f>" ()"</f>
        <v xml:space="preserve"> ()</v>
      </c>
    </row>
    <row r="9229" spans="1:7" x14ac:dyDescent="0.3">
      <c r="A9229" s="1" t="s">
        <v>4</v>
      </c>
      <c r="B9229" s="2" t="str">
        <f t="shared" si="785"/>
        <v>SISTEMA DE GERENCIAMENTO DE INTERNAÇÃO</v>
      </c>
      <c r="C9229" s="2" t="str">
        <f t="shared" si="786"/>
        <v>INTER</v>
      </c>
      <c r="D9229" s="2" t="str">
        <f t="shared" si="787"/>
        <v>PARI</v>
      </c>
      <c r="E9229" s="2" t="str">
        <f>"R_ETIQUETAS_ATENDIMENTO"</f>
        <v>R_ETIQUETAS_ATENDIMENTO</v>
      </c>
      <c r="F9229" s="2" t="str">
        <f>"R_ETIQUETAS_ATENDIMENTO"</f>
        <v>R_ETIQUETAS_ATENDIMENTO</v>
      </c>
      <c r="G9229" s="2" t="str">
        <f>" ()"</f>
        <v xml:space="preserve"> ()</v>
      </c>
    </row>
    <row r="9230" spans="1:7" x14ac:dyDescent="0.3">
      <c r="A9230" s="1" t="s">
        <v>4</v>
      </c>
      <c r="B9230" s="2" t="str">
        <f t="shared" ref="B9230:B9293" si="794">"SISTEMA DE GERENCIAMENTO DE INTERNAÇÃO"</f>
        <v>SISTEMA DE GERENCIAMENTO DE INTERNAÇÃO</v>
      </c>
      <c r="C9230" s="2" t="str">
        <f t="shared" ref="C9230:C9293" si="795">"INTER"</f>
        <v>INTER</v>
      </c>
      <c r="D9230" s="2" t="str">
        <f t="shared" ref="D9230:D9293" si="796">"PARI"</f>
        <v>PARI</v>
      </c>
      <c r="E9230" s="2" t="str">
        <f>"R_CENSO200"</f>
        <v>R_CENSO200</v>
      </c>
      <c r="F9230" s="2" t="str">
        <f>"R_CENSO200"</f>
        <v>R_CENSO200</v>
      </c>
      <c r="G9230" s="2" t="str">
        <f>" ()"</f>
        <v xml:space="preserve"> ()</v>
      </c>
    </row>
    <row r="9231" spans="1:7" x14ac:dyDescent="0.3">
      <c r="A9231" s="1" t="s">
        <v>4</v>
      </c>
      <c r="B9231" s="2" t="str">
        <f t="shared" si="794"/>
        <v>SISTEMA DE GERENCIAMENTO DE INTERNAÇÃO</v>
      </c>
      <c r="C9231" s="2" t="str">
        <f t="shared" si="795"/>
        <v>INTER</v>
      </c>
      <c r="D9231" s="2" t="str">
        <f t="shared" si="796"/>
        <v>PARI</v>
      </c>
      <c r="E9231" s="2" t="str">
        <f>"R_ETIQUETA200"</f>
        <v>R_ETIQUETA200</v>
      </c>
      <c r="F9231" s="2" t="str">
        <f>"R_ETIQUETA200"</f>
        <v>R_ETIQUETA200</v>
      </c>
      <c r="G9231" s="2" t="str">
        <f>" ()"</f>
        <v xml:space="preserve"> ()</v>
      </c>
    </row>
    <row r="9232" spans="1:7" x14ac:dyDescent="0.3">
      <c r="A9232" s="1" t="s">
        <v>4</v>
      </c>
      <c r="B9232" s="2" t="str">
        <f t="shared" si="794"/>
        <v>SISTEMA DE GERENCIAMENTO DE INTERNAÇÃO</v>
      </c>
      <c r="C9232" s="2" t="str">
        <f t="shared" si="795"/>
        <v>INTER</v>
      </c>
      <c r="D9232" s="2" t="str">
        <f t="shared" si="796"/>
        <v>PARI</v>
      </c>
      <c r="E9232" s="2" t="str">
        <f>"ETIQUETA 200"</f>
        <v>ETIQUETA 200</v>
      </c>
      <c r="F9232" s="2" t="str">
        <f>"ETIQUETA200"</f>
        <v>ETIQUETA200</v>
      </c>
      <c r="G9232" s="2" t="str">
        <f>" ()"</f>
        <v xml:space="preserve"> ()</v>
      </c>
    </row>
    <row r="9233" spans="1:7" x14ac:dyDescent="0.3">
      <c r="A9233" s="1" t="s">
        <v>4</v>
      </c>
      <c r="B9233" s="2" t="str">
        <f t="shared" si="794"/>
        <v>SISTEMA DE GERENCIAMENTO DE INTERNAÇÃO</v>
      </c>
      <c r="C9233" s="2" t="str">
        <f t="shared" si="795"/>
        <v>INTER</v>
      </c>
      <c r="D9233" s="2" t="str">
        <f t="shared" si="796"/>
        <v>PARI</v>
      </c>
      <c r="E9233" s="2" t="str">
        <f>"REL. PACIENTES COM PENDÊNCIAS"</f>
        <v>REL. PACIENTES COM PENDÊNCIAS</v>
      </c>
      <c r="F9233" s="2" t="str">
        <f>"R_PACIENTE_PENDENCIA"</f>
        <v>R_PACIENTE_PENDENCIA</v>
      </c>
      <c r="G9233" s="2" t="str">
        <f>"MVSaude / Vendas / Internação / Relatórios / Operacionais / Pacientes / Com Pendências (R_PACIENTE_PENDENCIA)"</f>
        <v>MVSaude / Vendas / Internação / Relatórios / Operacionais / Pacientes / Com Pendências (R_PACIENTE_PENDENCIA)</v>
      </c>
    </row>
    <row r="9234" spans="1:7" x14ac:dyDescent="0.3">
      <c r="A9234" s="1" t="s">
        <v>4</v>
      </c>
      <c r="B9234" s="2" t="str">
        <f t="shared" si="794"/>
        <v>SISTEMA DE GERENCIAMENTO DE INTERNAÇÃO</v>
      </c>
      <c r="C9234" s="2" t="str">
        <f t="shared" si="795"/>
        <v>INTER</v>
      </c>
      <c r="D9234" s="2" t="str">
        <f t="shared" si="796"/>
        <v>PARI</v>
      </c>
      <c r="E9234" s="2" t="str">
        <f>"REL. PACIENTES COM PENDÊNCIAS"</f>
        <v>REL. PACIENTES COM PENDÊNCIAS</v>
      </c>
      <c r="F9234" s="2" t="str">
        <f>"R_PACIENTE_PENDENCIA"</f>
        <v>R_PACIENTE_PENDENCIA</v>
      </c>
      <c r="G9234" s="2" t="str">
        <f>"Atendimento / Internação / Relatórios / Operacionais / Pacientes / Com Pendências (R_PACIENTE_PENDENCIA)"</f>
        <v>Atendimento / Internação / Relatórios / Operacionais / Pacientes / Com Pendências (R_PACIENTE_PENDENCIA)</v>
      </c>
    </row>
    <row r="9235" spans="1:7" x14ac:dyDescent="0.3">
      <c r="A9235" s="1" t="s">
        <v>4</v>
      </c>
      <c r="B9235" s="2" t="str">
        <f t="shared" si="794"/>
        <v>SISTEMA DE GERENCIAMENTO DE INTERNAÇÃO</v>
      </c>
      <c r="C9235" s="2" t="str">
        <f t="shared" si="795"/>
        <v>INTER</v>
      </c>
      <c r="D9235" s="2" t="str">
        <f t="shared" si="796"/>
        <v>PARI</v>
      </c>
      <c r="E9235" s="2" t="str">
        <f>"REL. PACIENTES COM PENDÊNCIAS"</f>
        <v>REL. PACIENTES COM PENDÊNCIAS</v>
      </c>
      <c r="F9235" s="2" t="str">
        <f>"R_PACIENTE_PENDENCIA"</f>
        <v>R_PACIENTE_PENDENCIA</v>
      </c>
      <c r="G9235" s="2" t="str">
        <f>"Controladoria / Tesouraria / Relatórios / Internação / Paciente com Pendencias (R_PACIENTE_PENDENCIA)"</f>
        <v>Controladoria / Tesouraria / Relatórios / Internação / Paciente com Pendencias (R_PACIENTE_PENDENCIA)</v>
      </c>
    </row>
    <row r="9236" spans="1:7" x14ac:dyDescent="0.3">
      <c r="A9236" s="1" t="s">
        <v>4</v>
      </c>
      <c r="B9236" s="2" t="str">
        <f t="shared" si="794"/>
        <v>SISTEMA DE GERENCIAMENTO DE INTERNAÇÃO</v>
      </c>
      <c r="C9236" s="2" t="str">
        <f t="shared" si="795"/>
        <v>INTER</v>
      </c>
      <c r="D9236" s="2" t="str">
        <f t="shared" si="796"/>
        <v>PARI</v>
      </c>
      <c r="E9236" s="2" t="str">
        <f>"REL. PACIENTES COM PENDÊNCIAS"</f>
        <v>REL. PACIENTES COM PENDÊNCIAS</v>
      </c>
      <c r="F9236" s="2" t="str">
        <f>"R_PACIENTE_PENDENCIA"</f>
        <v>R_PACIENTE_PENDENCIA</v>
      </c>
      <c r="G9236" s="2" t="str">
        <f>"Serviços de Apoio / Serviço Arquivo Médico / Relatórios / Operacionais / Pacientes / Com Pendências (R_PACIENTE_PENDENCIA)"</f>
        <v>Serviços de Apoio / Serviço Arquivo Médico / Relatórios / Operacionais / Pacientes / Com Pendências (R_PACIENTE_PENDENCIA)</v>
      </c>
    </row>
    <row r="9237" spans="1:7" x14ac:dyDescent="0.3">
      <c r="A9237" s="1" t="s">
        <v>4</v>
      </c>
      <c r="B9237" s="2" t="str">
        <f t="shared" si="794"/>
        <v>SISTEMA DE GERENCIAMENTO DE INTERNAÇÃO</v>
      </c>
      <c r="C9237" s="2" t="str">
        <f t="shared" si="795"/>
        <v>INTER</v>
      </c>
      <c r="D9237" s="2" t="str">
        <f t="shared" si="796"/>
        <v>PARI</v>
      </c>
      <c r="E9237" s="2" t="str">
        <f>"REL. PACIENTES COM PENDÊNCIAS"</f>
        <v>REL. PACIENTES COM PENDÊNCIAS</v>
      </c>
      <c r="F9237" s="2" t="str">
        <f>"R_PACIENTE_PENDENCIA"</f>
        <v>R_PACIENTE_PENDENCIA</v>
      </c>
      <c r="G9237" s="2" t="str">
        <f>"MVSaude / Atendimento / Autorizações de Guias / Internação / Relatórios / Operacionais / Pacientes / Com Pendências (R_PACIENTE_PENDENCIA)"</f>
        <v>MVSaude / Atendimento / Autorizações de Guias / Internação / Relatórios / Operacionais / Pacientes / Com Pendências (R_PACIENTE_PENDENCIA)</v>
      </c>
    </row>
    <row r="9238" spans="1:7" x14ac:dyDescent="0.3">
      <c r="A9238" s="1" t="s">
        <v>4</v>
      </c>
      <c r="B9238" s="2" t="str">
        <f t="shared" si="794"/>
        <v>SISTEMA DE GERENCIAMENTO DE INTERNAÇÃO</v>
      </c>
      <c r="C9238" s="2" t="str">
        <f t="shared" si="795"/>
        <v>INTER</v>
      </c>
      <c r="D9238" s="2" t="str">
        <f t="shared" si="796"/>
        <v>PARI</v>
      </c>
      <c r="E9238" s="2" t="str">
        <f>"COMPARATIVO DE INTERNAÇÕES POR CONVÊNIO"</f>
        <v>COMPARATIVO DE INTERNAÇÕES POR CONVÊNIO</v>
      </c>
      <c r="F9238" s="2" t="str">
        <f>"R_COMP_INT_CONV"</f>
        <v>R_COMP_INT_CONV</v>
      </c>
      <c r="G9238" s="2" t="str">
        <f>"Atendimento / Internação / Relatórios / Estatísticos / Comparativo de Internações por Convênio (R_COMP_INT_CONV)"</f>
        <v>Atendimento / Internação / Relatórios / Estatísticos / Comparativo de Internações por Convênio (R_COMP_INT_CONV)</v>
      </c>
    </row>
    <row r="9239" spans="1:7" x14ac:dyDescent="0.3">
      <c r="A9239" s="1" t="s">
        <v>4</v>
      </c>
      <c r="B9239" s="2" t="str">
        <f t="shared" si="794"/>
        <v>SISTEMA DE GERENCIAMENTO DE INTERNAÇÃO</v>
      </c>
      <c r="C9239" s="2" t="str">
        <f t="shared" si="795"/>
        <v>INTER</v>
      </c>
      <c r="D9239" s="2" t="str">
        <f t="shared" si="796"/>
        <v>PARI</v>
      </c>
      <c r="E9239" s="2" t="str">
        <f>"COMPARATIVO DE INTERNAÇÕES POR CONVÊNIO"</f>
        <v>COMPARATIVO DE INTERNAÇÕES POR CONVÊNIO</v>
      </c>
      <c r="F9239" s="2" t="str">
        <f>"R_COMP_INT_CONV"</f>
        <v>R_COMP_INT_CONV</v>
      </c>
      <c r="G9239" s="2" t="str">
        <f>"MVSaude / Atendimento / Autorizações de Guias / Internação / Relatórios / Estatísticos / Comparativo de Internações por Convênio (R_COMP_INT_CONV)"</f>
        <v>MVSaude / Atendimento / Autorizações de Guias / Internação / Relatórios / Estatísticos / Comparativo de Internações por Convênio (R_COMP_INT_CONV)</v>
      </c>
    </row>
    <row r="9240" spans="1:7" x14ac:dyDescent="0.3">
      <c r="A9240" s="1" t="s">
        <v>4</v>
      </c>
      <c r="B9240" s="2" t="str">
        <f t="shared" si="794"/>
        <v>SISTEMA DE GERENCIAMENTO DE INTERNAÇÃO</v>
      </c>
      <c r="C9240" s="2" t="str">
        <f t="shared" si="795"/>
        <v>INTER</v>
      </c>
      <c r="D9240" s="2" t="str">
        <f t="shared" si="796"/>
        <v>PARI</v>
      </c>
      <c r="E9240" s="2" t="str">
        <f>"COMPARATIVO DE INTERNAÇÕES POR CONVÊNIO"</f>
        <v>COMPARATIVO DE INTERNAÇÕES POR CONVÊNIO</v>
      </c>
      <c r="F9240" s="2" t="str">
        <f>"R_COMP_INT_CONV"</f>
        <v>R_COMP_INT_CONV</v>
      </c>
      <c r="G9240" s="2" t="str">
        <f>"MVSaude / Vendas / Internação / Relatórios / Estatísticos / Comparativo de Internações por Convênio (R_COMP_INT_CONV)"</f>
        <v>MVSaude / Vendas / Internação / Relatórios / Estatísticos / Comparativo de Internações por Convênio (R_COMP_INT_CONV)</v>
      </c>
    </row>
    <row r="9241" spans="1:7" x14ac:dyDescent="0.3">
      <c r="A9241" s="1" t="s">
        <v>4</v>
      </c>
      <c r="B9241" s="2" t="str">
        <f t="shared" si="794"/>
        <v>SISTEMA DE GERENCIAMENTO DE INTERNAÇÃO</v>
      </c>
      <c r="C9241" s="2" t="str">
        <f t="shared" si="795"/>
        <v>INTER</v>
      </c>
      <c r="D9241" s="2" t="str">
        <f t="shared" si="796"/>
        <v>PARI</v>
      </c>
      <c r="E9241" s="2" t="str">
        <f>"COMPARATIVO DE INTERNAÇÕES POR CONVÊNIO"</f>
        <v>COMPARATIVO DE INTERNAÇÕES POR CONVÊNIO</v>
      </c>
      <c r="F9241" s="2" t="str">
        <f>"R_COMP_INT_CONV"</f>
        <v>R_COMP_INT_CONV</v>
      </c>
      <c r="G9241" s="2" t="str">
        <f>"Serviços de Apoio / Serviço Arquivo Médico / Relatórios / Estatísticos / Comparativo de Internações por Convênio (R_COMP_INT_CONV)"</f>
        <v>Serviços de Apoio / Serviço Arquivo Médico / Relatórios / Estatísticos / Comparativo de Internações por Convênio (R_COMP_INT_CONV)</v>
      </c>
    </row>
    <row r="9242" spans="1:7" x14ac:dyDescent="0.3">
      <c r="A9242" s="1" t="s">
        <v>4</v>
      </c>
      <c r="B9242" s="2" t="str">
        <f t="shared" si="794"/>
        <v>SISTEMA DE GERENCIAMENTO DE INTERNAÇÃO</v>
      </c>
      <c r="C9242" s="2" t="str">
        <f t="shared" si="795"/>
        <v>INTER</v>
      </c>
      <c r="D9242" s="2" t="str">
        <f t="shared" si="796"/>
        <v>PARI</v>
      </c>
      <c r="E9242" s="2" t="str">
        <f t="shared" ref="E9242:F9244" si="797">"M_CONFIG_PARI"</f>
        <v>M_CONFIG_PARI</v>
      </c>
      <c r="F9242" s="2" t="str">
        <f t="shared" si="797"/>
        <v>M_CONFIG_PARI</v>
      </c>
      <c r="G9242" s="2" t="str">
        <f>"MVSaude / Vendas / Internação / Configurações / Parâmetros (M_CONFIG_PARI)"</f>
        <v>MVSaude / Vendas / Internação / Configurações / Parâmetros (M_CONFIG_PARI)</v>
      </c>
    </row>
    <row r="9243" spans="1:7" x14ac:dyDescent="0.3">
      <c r="A9243" s="1" t="s">
        <v>4</v>
      </c>
      <c r="B9243" s="2" t="str">
        <f t="shared" si="794"/>
        <v>SISTEMA DE GERENCIAMENTO DE INTERNAÇÃO</v>
      </c>
      <c r="C9243" s="2" t="str">
        <f t="shared" si="795"/>
        <v>INTER</v>
      </c>
      <c r="D9243" s="2" t="str">
        <f t="shared" si="796"/>
        <v>PARI</v>
      </c>
      <c r="E9243" s="2" t="str">
        <f t="shared" si="797"/>
        <v>M_CONFIG_PARI</v>
      </c>
      <c r="F9243" s="2" t="str">
        <f t="shared" si="797"/>
        <v>M_CONFIG_PARI</v>
      </c>
      <c r="G9243" s="2" t="str">
        <f>"Atendimento / Internação / Configurações / Parâmetros (M_CONFIG_PARI)"</f>
        <v>Atendimento / Internação / Configurações / Parâmetros (M_CONFIG_PARI)</v>
      </c>
    </row>
    <row r="9244" spans="1:7" x14ac:dyDescent="0.3">
      <c r="A9244" s="1" t="s">
        <v>4</v>
      </c>
      <c r="B9244" s="2" t="str">
        <f t="shared" si="794"/>
        <v>SISTEMA DE GERENCIAMENTO DE INTERNAÇÃO</v>
      </c>
      <c r="C9244" s="2" t="str">
        <f t="shared" si="795"/>
        <v>INTER</v>
      </c>
      <c r="D9244" s="2" t="str">
        <f t="shared" si="796"/>
        <v>PARI</v>
      </c>
      <c r="E9244" s="2" t="str">
        <f t="shared" si="797"/>
        <v>M_CONFIG_PARI</v>
      </c>
      <c r="F9244" s="2" t="str">
        <f t="shared" si="797"/>
        <v>M_CONFIG_PARI</v>
      </c>
      <c r="G9244" s="2" t="str">
        <f>"MVSaude / Atendimento / Autorizações de Guias / Internação / Configurações / Parâmetros (M_CONFIG_PARI)"</f>
        <v>MVSaude / Atendimento / Autorizações de Guias / Internação / Configurações / Parâmetros (M_CONFIG_PARI)</v>
      </c>
    </row>
    <row r="9245" spans="1:7" x14ac:dyDescent="0.3">
      <c r="A9245" s="1" t="s">
        <v>4</v>
      </c>
      <c r="B9245" s="2" t="str">
        <f t="shared" si="794"/>
        <v>SISTEMA DE GERENCIAMENTO DE INTERNAÇÃO</v>
      </c>
      <c r="C9245" s="2" t="str">
        <f t="shared" si="795"/>
        <v>INTER</v>
      </c>
      <c r="D9245" s="2" t="str">
        <f t="shared" si="796"/>
        <v>PARI</v>
      </c>
      <c r="E9245" s="2" t="str">
        <f t="shared" ref="E9245:F9248" si="798">"R_INTERNACOES_UNIDADE"</f>
        <v>R_INTERNACOES_UNIDADE</v>
      </c>
      <c r="F9245" s="2" t="str">
        <f t="shared" si="798"/>
        <v>R_INTERNACOES_UNIDADE</v>
      </c>
      <c r="G9245" s="2" t="str">
        <f>"MVSaude / Vendas / Internação / Relatórios / Operacionais / Internações / Por Unidade de Internação (R_INTERNACOES_UNIDADE)"</f>
        <v>MVSaude / Vendas / Internação / Relatórios / Operacionais / Internações / Por Unidade de Internação (R_INTERNACOES_UNIDADE)</v>
      </c>
    </row>
    <row r="9246" spans="1:7" x14ac:dyDescent="0.3">
      <c r="A9246" s="1" t="s">
        <v>4</v>
      </c>
      <c r="B9246" s="2" t="str">
        <f t="shared" si="794"/>
        <v>SISTEMA DE GERENCIAMENTO DE INTERNAÇÃO</v>
      </c>
      <c r="C9246" s="2" t="str">
        <f t="shared" si="795"/>
        <v>INTER</v>
      </c>
      <c r="D9246" s="2" t="str">
        <f t="shared" si="796"/>
        <v>PARI</v>
      </c>
      <c r="E9246" s="2" t="str">
        <f t="shared" si="798"/>
        <v>R_INTERNACOES_UNIDADE</v>
      </c>
      <c r="F9246" s="2" t="str">
        <f t="shared" si="798"/>
        <v>R_INTERNACOES_UNIDADE</v>
      </c>
      <c r="G9246" s="2" t="str">
        <f>"Atendimento / Internação / Relatórios / Operacionais / Internações / Por Unidade de Internação (R_INTERNACOES_UNIDADE)"</f>
        <v>Atendimento / Internação / Relatórios / Operacionais / Internações / Por Unidade de Internação (R_INTERNACOES_UNIDADE)</v>
      </c>
    </row>
    <row r="9247" spans="1:7" x14ac:dyDescent="0.3">
      <c r="A9247" s="1" t="s">
        <v>4</v>
      </c>
      <c r="B9247" s="2" t="str">
        <f t="shared" si="794"/>
        <v>SISTEMA DE GERENCIAMENTO DE INTERNAÇÃO</v>
      </c>
      <c r="C9247" s="2" t="str">
        <f t="shared" si="795"/>
        <v>INTER</v>
      </c>
      <c r="D9247" s="2" t="str">
        <f t="shared" si="796"/>
        <v>PARI</v>
      </c>
      <c r="E9247" s="2" t="str">
        <f t="shared" si="798"/>
        <v>R_INTERNACOES_UNIDADE</v>
      </c>
      <c r="F9247" s="2" t="str">
        <f t="shared" si="798"/>
        <v>R_INTERNACOES_UNIDADE</v>
      </c>
      <c r="G9247" s="2" t="str">
        <f>"Serviços de Apoio / Serviço Arquivo Médico / Relatórios / Operacionais / Internações / Por Unidade de Internação (R_INTERNACOES_UNIDADE)"</f>
        <v>Serviços de Apoio / Serviço Arquivo Médico / Relatórios / Operacionais / Internações / Por Unidade de Internação (R_INTERNACOES_UNIDADE)</v>
      </c>
    </row>
    <row r="9248" spans="1:7" x14ac:dyDescent="0.3">
      <c r="A9248" s="1" t="s">
        <v>4</v>
      </c>
      <c r="B9248" s="2" t="str">
        <f t="shared" si="794"/>
        <v>SISTEMA DE GERENCIAMENTO DE INTERNAÇÃO</v>
      </c>
      <c r="C9248" s="2" t="str">
        <f t="shared" si="795"/>
        <v>INTER</v>
      </c>
      <c r="D9248" s="2" t="str">
        <f t="shared" si="796"/>
        <v>PARI</v>
      </c>
      <c r="E9248" s="2" t="str">
        <f t="shared" si="798"/>
        <v>R_INTERNACOES_UNIDADE</v>
      </c>
      <c r="F9248" s="2" t="str">
        <f t="shared" si="798"/>
        <v>R_INTERNACOES_UNIDADE</v>
      </c>
      <c r="G9248" s="2" t="str">
        <f>"MVSaude / Atendimento / Autorizações de Guias / Internação / Relatórios / Operacionais / Internações / Por Unidade de Internação (R_INTERNACOES_UNIDADE)"</f>
        <v>MVSaude / Atendimento / Autorizações de Guias / Internação / Relatórios / Operacionais / Internações / Por Unidade de Internação (R_INTERNACOES_UNIDADE)</v>
      </c>
    </row>
    <row r="9249" spans="1:7" x14ac:dyDescent="0.3">
      <c r="A9249" s="1" t="s">
        <v>4</v>
      </c>
      <c r="B9249" s="2" t="str">
        <f t="shared" si="794"/>
        <v>SISTEMA DE GERENCIAMENTO DE INTERNAÇÃO</v>
      </c>
      <c r="C9249" s="2" t="str">
        <f t="shared" si="795"/>
        <v>INTER</v>
      </c>
      <c r="D9249" s="2" t="str">
        <f t="shared" si="796"/>
        <v>PARI</v>
      </c>
      <c r="E9249" s="2" t="str">
        <f>"RELATORIO DE INT. POR UNIDADE SINTETICO"</f>
        <v>RELATORIO DE INT. POR UNIDADE SINTETICO</v>
      </c>
      <c r="F9249" s="2" t="str">
        <f>"R_INTERNACOES_UNIDADE_SINT"</f>
        <v>R_INTERNACOES_UNIDADE_SINT</v>
      </c>
      <c r="G9249" s="2" t="str">
        <f>" ()"</f>
        <v xml:space="preserve"> ()</v>
      </c>
    </row>
    <row r="9250" spans="1:7" x14ac:dyDescent="0.3">
      <c r="A9250" s="1" t="s">
        <v>4</v>
      </c>
      <c r="B9250" s="2" t="str">
        <f t="shared" si="794"/>
        <v>SISTEMA DE GERENCIAMENTO DE INTERNAÇÃO</v>
      </c>
      <c r="C9250" s="2" t="str">
        <f t="shared" si="795"/>
        <v>INTER</v>
      </c>
      <c r="D9250" s="2" t="str">
        <f t="shared" si="796"/>
        <v>PARI</v>
      </c>
      <c r="E9250" s="2" t="str">
        <f>"REL DE PAC INTERNADOS Q PASSARAM DE MES"</f>
        <v>REL DE PAC INTERNADOS Q PASSARAM DE MES</v>
      </c>
      <c r="F9250" s="2" t="str">
        <f>"R_PAC_INT_MES"</f>
        <v>R_PAC_INT_MES</v>
      </c>
      <c r="G9250" s="2" t="str">
        <f>"Atendimento / Internação / Relatórios / Internados / que Passaram de Mês (R_PAC_INT_MES)"</f>
        <v>Atendimento / Internação / Relatórios / Internados / que Passaram de Mês (R_PAC_INT_MES)</v>
      </c>
    </row>
    <row r="9251" spans="1:7" x14ac:dyDescent="0.3">
      <c r="A9251" s="1" t="s">
        <v>4</v>
      </c>
      <c r="B9251" s="2" t="str">
        <f t="shared" si="794"/>
        <v>SISTEMA DE GERENCIAMENTO DE INTERNAÇÃO</v>
      </c>
      <c r="C9251" s="2" t="str">
        <f t="shared" si="795"/>
        <v>INTER</v>
      </c>
      <c r="D9251" s="2" t="str">
        <f t="shared" si="796"/>
        <v>PARI</v>
      </c>
      <c r="E9251" s="2" t="str">
        <f>"REL DE PAC INTERNADOS Q PASSARAM DE MES"</f>
        <v>REL DE PAC INTERNADOS Q PASSARAM DE MES</v>
      </c>
      <c r="F9251" s="2" t="str">
        <f>"R_PAC_INT_MES"</f>
        <v>R_PAC_INT_MES</v>
      </c>
      <c r="G9251" s="2" t="str">
        <f>"MVSaude / Atendimento / Autorizações de Guias / Internação / Relatórios / Internados / que Passaram de Mês (R_PAC_INT_MES)"</f>
        <v>MVSaude / Atendimento / Autorizações de Guias / Internação / Relatórios / Internados / que Passaram de Mês (R_PAC_INT_MES)</v>
      </c>
    </row>
    <row r="9252" spans="1:7" x14ac:dyDescent="0.3">
      <c r="A9252" s="1" t="s">
        <v>4</v>
      </c>
      <c r="B9252" s="2" t="str">
        <f t="shared" si="794"/>
        <v>SISTEMA DE GERENCIAMENTO DE INTERNAÇÃO</v>
      </c>
      <c r="C9252" s="2" t="str">
        <f t="shared" si="795"/>
        <v>INTER</v>
      </c>
      <c r="D9252" s="2" t="str">
        <f t="shared" si="796"/>
        <v>PARI</v>
      </c>
      <c r="E9252" s="2" t="str">
        <f>"REL DE PAC INTERNADOS Q PASSARAM DE MES"</f>
        <v>REL DE PAC INTERNADOS Q PASSARAM DE MES</v>
      </c>
      <c r="F9252" s="2" t="str">
        <f>"R_PAC_INT_MES"</f>
        <v>R_PAC_INT_MES</v>
      </c>
      <c r="G9252" s="2" t="str">
        <f>"MVSaude / Vendas / Internação / Relatórios / Internados / que Passaram de Mês (R_PAC_INT_MES)"</f>
        <v>MVSaude / Vendas / Internação / Relatórios / Internados / que Passaram de Mês (R_PAC_INT_MES)</v>
      </c>
    </row>
    <row r="9253" spans="1:7" x14ac:dyDescent="0.3">
      <c r="A9253" s="1" t="s">
        <v>4</v>
      </c>
      <c r="B9253" s="2" t="str">
        <f t="shared" si="794"/>
        <v>SISTEMA DE GERENCIAMENTO DE INTERNAÇÃO</v>
      </c>
      <c r="C9253" s="2" t="str">
        <f t="shared" si="795"/>
        <v>INTER</v>
      </c>
      <c r="D9253" s="2" t="str">
        <f t="shared" si="796"/>
        <v>PARI</v>
      </c>
      <c r="E9253" s="2" t="str">
        <f>"RELATÓRIO DE CONTROLE DE PERMANENCIA"</f>
        <v>RELATÓRIO DE CONTROLE DE PERMANENCIA</v>
      </c>
      <c r="F9253" s="2" t="str">
        <f>"R_CONTROLE_PERMANENCIA"</f>
        <v>R_CONTROLE_PERMANENCIA</v>
      </c>
      <c r="G9253" s="2" t="str">
        <f>"Atendimento / Internação / Relatórios / Estatísticos / Controle de Permanência (R_CONTROLE_PERMANENCIA)"</f>
        <v>Atendimento / Internação / Relatórios / Estatísticos / Controle de Permanência (R_CONTROLE_PERMANENCIA)</v>
      </c>
    </row>
    <row r="9254" spans="1:7" x14ac:dyDescent="0.3">
      <c r="A9254" s="1" t="s">
        <v>4</v>
      </c>
      <c r="B9254" s="2" t="str">
        <f t="shared" si="794"/>
        <v>SISTEMA DE GERENCIAMENTO DE INTERNAÇÃO</v>
      </c>
      <c r="C9254" s="2" t="str">
        <f t="shared" si="795"/>
        <v>INTER</v>
      </c>
      <c r="D9254" s="2" t="str">
        <f t="shared" si="796"/>
        <v>PARI</v>
      </c>
      <c r="E9254" s="2" t="str">
        <f>"RELATÓRIO DE CONTROLE DE PERMANENCIA"</f>
        <v>RELATÓRIO DE CONTROLE DE PERMANENCIA</v>
      </c>
      <c r="F9254" s="2" t="str">
        <f>"R_CONTROLE_PERMANENCIA"</f>
        <v>R_CONTROLE_PERMANENCIA</v>
      </c>
      <c r="G9254" s="2" t="str">
        <f>"Serviços de Apoio / Serviço Arquivo Médico / Relatórios / Estatísticos / Controle de Permanência (R_CONTROLE_PERMANENCIA)"</f>
        <v>Serviços de Apoio / Serviço Arquivo Médico / Relatórios / Estatísticos / Controle de Permanência (R_CONTROLE_PERMANENCIA)</v>
      </c>
    </row>
    <row r="9255" spans="1:7" x14ac:dyDescent="0.3">
      <c r="A9255" s="1" t="s">
        <v>4</v>
      </c>
      <c r="B9255" s="2" t="str">
        <f t="shared" si="794"/>
        <v>SISTEMA DE GERENCIAMENTO DE INTERNAÇÃO</v>
      </c>
      <c r="C9255" s="2" t="str">
        <f t="shared" si="795"/>
        <v>INTER</v>
      </c>
      <c r="D9255" s="2" t="str">
        <f t="shared" si="796"/>
        <v>PARI</v>
      </c>
      <c r="E9255" s="2" t="str">
        <f>"RELATÓRIO DE CONTROLE DE PERMANENCIA"</f>
        <v>RELATÓRIO DE CONTROLE DE PERMANENCIA</v>
      </c>
      <c r="F9255" s="2" t="str">
        <f>"R_CONTROLE_PERMANENCIA"</f>
        <v>R_CONTROLE_PERMANENCIA</v>
      </c>
      <c r="G9255" s="2" t="str">
        <f>"MVSaude / Vendas / Internação / Relatórios / Estatísticos / Controle de Permanência (R_CONTROLE_PERMANENCIA)"</f>
        <v>MVSaude / Vendas / Internação / Relatórios / Estatísticos / Controle de Permanência (R_CONTROLE_PERMANENCIA)</v>
      </c>
    </row>
    <row r="9256" spans="1:7" x14ac:dyDescent="0.3">
      <c r="A9256" s="1" t="s">
        <v>4</v>
      </c>
      <c r="B9256" s="2" t="str">
        <f t="shared" si="794"/>
        <v>SISTEMA DE GERENCIAMENTO DE INTERNAÇÃO</v>
      </c>
      <c r="C9256" s="2" t="str">
        <f t="shared" si="795"/>
        <v>INTER</v>
      </c>
      <c r="D9256" s="2" t="str">
        <f t="shared" si="796"/>
        <v>PARI</v>
      </c>
      <c r="E9256" s="2" t="str">
        <f>"RELATÓRIO DE CONTROLE DE PERMANENCIA"</f>
        <v>RELATÓRIO DE CONTROLE DE PERMANENCIA</v>
      </c>
      <c r="F9256" s="2" t="str">
        <f>"R_CONTROLE_PERMANENCIA"</f>
        <v>R_CONTROLE_PERMANENCIA</v>
      </c>
      <c r="G9256" s="2" t="str">
        <f>"MVSaude / Atendimento / Autorizações de Guias / Internação / Relatórios / Estatísticos / Controle de Permanência (R_CONTROLE_PERMANENCIA)"</f>
        <v>MVSaude / Atendimento / Autorizações de Guias / Internação / Relatórios / Estatísticos / Controle de Permanência (R_CONTROLE_PERMANENCIA)</v>
      </c>
    </row>
    <row r="9257" spans="1:7" x14ac:dyDescent="0.3">
      <c r="A9257" s="1" t="s">
        <v>4</v>
      </c>
      <c r="B9257" s="2" t="str">
        <f t="shared" si="794"/>
        <v>SISTEMA DE GERENCIAMENTO DE INTERNAÇÃO</v>
      </c>
      <c r="C9257" s="2" t="str">
        <f t="shared" si="795"/>
        <v>INTER</v>
      </c>
      <c r="D9257" s="2" t="str">
        <f t="shared" si="796"/>
        <v>PARI</v>
      </c>
      <c r="E9257" s="2" t="str">
        <f>"REL ENTRADAS X SAIDAS P/ ESPECIALIDADE"</f>
        <v>REL ENTRADAS X SAIDAS P/ ESPECIALIDADE</v>
      </c>
      <c r="F9257" s="2" t="str">
        <f>"R_RESUMO_ENTRADA_SAIDA"</f>
        <v>R_RESUMO_ENTRADA_SAIDA</v>
      </c>
      <c r="G9257" s="2" t="str">
        <f>"Atendimento / Internação / Relatórios / Estatísticos / Entradas X Saídas por Especialidade (R_RESUMO_ENTRADA_SAIDA)"</f>
        <v>Atendimento / Internação / Relatórios / Estatísticos / Entradas X Saídas por Especialidade (R_RESUMO_ENTRADA_SAIDA)</v>
      </c>
    </row>
    <row r="9258" spans="1:7" x14ac:dyDescent="0.3">
      <c r="A9258" s="1" t="s">
        <v>4</v>
      </c>
      <c r="B9258" s="2" t="str">
        <f t="shared" si="794"/>
        <v>SISTEMA DE GERENCIAMENTO DE INTERNAÇÃO</v>
      </c>
      <c r="C9258" s="2" t="str">
        <f t="shared" si="795"/>
        <v>INTER</v>
      </c>
      <c r="D9258" s="2" t="str">
        <f t="shared" si="796"/>
        <v>PARI</v>
      </c>
      <c r="E9258" s="2" t="str">
        <f>"REL ENTRADAS X SAIDAS P/ ESPECIALIDADE"</f>
        <v>REL ENTRADAS X SAIDAS P/ ESPECIALIDADE</v>
      </c>
      <c r="F9258" s="2" t="str">
        <f>"R_RESUMO_ENTRADA_SAIDA"</f>
        <v>R_RESUMO_ENTRADA_SAIDA</v>
      </c>
      <c r="G9258" s="2" t="str">
        <f>"Serviços de Apoio / Serviço Arquivo Médico / Relatórios / Estatísticos / Entradas X Saídas por Especialidade (R_RESUMO_ENTRADA_SAIDA)"</f>
        <v>Serviços de Apoio / Serviço Arquivo Médico / Relatórios / Estatísticos / Entradas X Saídas por Especialidade (R_RESUMO_ENTRADA_SAIDA)</v>
      </c>
    </row>
    <row r="9259" spans="1:7" x14ac:dyDescent="0.3">
      <c r="A9259" s="1" t="s">
        <v>4</v>
      </c>
      <c r="B9259" s="2" t="str">
        <f t="shared" si="794"/>
        <v>SISTEMA DE GERENCIAMENTO DE INTERNAÇÃO</v>
      </c>
      <c r="C9259" s="2" t="str">
        <f t="shared" si="795"/>
        <v>INTER</v>
      </c>
      <c r="D9259" s="2" t="str">
        <f t="shared" si="796"/>
        <v>PARI</v>
      </c>
      <c r="E9259" s="2" t="str">
        <f>"REL ENTRADAS X SAIDAS P/ ESPECIALIDADE"</f>
        <v>REL ENTRADAS X SAIDAS P/ ESPECIALIDADE</v>
      </c>
      <c r="F9259" s="2" t="str">
        <f>"R_RESUMO_ENTRADA_SAIDA"</f>
        <v>R_RESUMO_ENTRADA_SAIDA</v>
      </c>
      <c r="G9259" s="2" t="str">
        <f>"MVSaude / Vendas / Internação / Relatórios / Estatísticos / Entradas X Saídas por Especialidade (R_RESUMO_ENTRADA_SAIDA)"</f>
        <v>MVSaude / Vendas / Internação / Relatórios / Estatísticos / Entradas X Saídas por Especialidade (R_RESUMO_ENTRADA_SAIDA)</v>
      </c>
    </row>
    <row r="9260" spans="1:7" x14ac:dyDescent="0.3">
      <c r="A9260" s="1" t="s">
        <v>4</v>
      </c>
      <c r="B9260" s="2" t="str">
        <f t="shared" si="794"/>
        <v>SISTEMA DE GERENCIAMENTO DE INTERNAÇÃO</v>
      </c>
      <c r="C9260" s="2" t="str">
        <f t="shared" si="795"/>
        <v>INTER</v>
      </c>
      <c r="D9260" s="2" t="str">
        <f t="shared" si="796"/>
        <v>PARI</v>
      </c>
      <c r="E9260" s="2" t="str">
        <f>"REL ENTRADAS X SAIDAS P/ ESPECIALIDADE"</f>
        <v>REL ENTRADAS X SAIDAS P/ ESPECIALIDADE</v>
      </c>
      <c r="F9260" s="2" t="str">
        <f>"R_RESUMO_ENTRADA_SAIDA"</f>
        <v>R_RESUMO_ENTRADA_SAIDA</v>
      </c>
      <c r="G9260" s="2" t="str">
        <f>"MVSaude / Atendimento / Autorizações de Guias / Internação / Relatórios / Estatísticos / Entradas X Saídas por Especialidade (R_RESUMO_ENTRADA_SAIDA)"</f>
        <v>MVSaude / Atendimento / Autorizações de Guias / Internação / Relatórios / Estatísticos / Entradas X Saídas por Especialidade (R_RESUMO_ENTRADA_SAIDA)</v>
      </c>
    </row>
    <row r="9261" spans="1:7" x14ac:dyDescent="0.3">
      <c r="A9261" s="1" t="s">
        <v>4</v>
      </c>
      <c r="B9261" s="2" t="str">
        <f t="shared" si="794"/>
        <v>SISTEMA DE GERENCIAMENTO DE INTERNAÇÃO</v>
      </c>
      <c r="C9261" s="2" t="str">
        <f t="shared" si="795"/>
        <v>INTER</v>
      </c>
      <c r="D9261" s="2" t="str">
        <f t="shared" si="796"/>
        <v>PARI</v>
      </c>
      <c r="E9261" s="2" t="str">
        <f>"REL DE PAC INTERNADOS POR ESPECIALIDADE"</f>
        <v>REL DE PAC INTERNADOS POR ESPECIALIDADE</v>
      </c>
      <c r="F9261" s="2" t="str">
        <f>"R_INT_ESPEC"</f>
        <v>R_INT_ESPEC</v>
      </c>
      <c r="G9261" s="2" t="str">
        <f>"Atendimento / Internação / Relatórios / Internados / por Especialidade (R_INT_ESPEC)"</f>
        <v>Atendimento / Internação / Relatórios / Internados / por Especialidade (R_INT_ESPEC)</v>
      </c>
    </row>
    <row r="9262" spans="1:7" x14ac:dyDescent="0.3">
      <c r="A9262" s="1" t="s">
        <v>4</v>
      </c>
      <c r="B9262" s="2" t="str">
        <f t="shared" si="794"/>
        <v>SISTEMA DE GERENCIAMENTO DE INTERNAÇÃO</v>
      </c>
      <c r="C9262" s="2" t="str">
        <f t="shared" si="795"/>
        <v>INTER</v>
      </c>
      <c r="D9262" s="2" t="str">
        <f t="shared" si="796"/>
        <v>PARI</v>
      </c>
      <c r="E9262" s="2" t="str">
        <f>"REL DE PAC INTERNADOS POR ESPECIALIDADE"</f>
        <v>REL DE PAC INTERNADOS POR ESPECIALIDADE</v>
      </c>
      <c r="F9262" s="2" t="str">
        <f>"R_INT_ESPEC"</f>
        <v>R_INT_ESPEC</v>
      </c>
      <c r="G9262" s="2" t="str">
        <f>"MVSaude / Atendimento / Autorizações de Guias / Internação / Relatórios / Internados / por Especialidade (R_INT_ESPEC)"</f>
        <v>MVSaude / Atendimento / Autorizações de Guias / Internação / Relatórios / Internados / por Especialidade (R_INT_ESPEC)</v>
      </c>
    </row>
    <row r="9263" spans="1:7" x14ac:dyDescent="0.3">
      <c r="A9263" s="1" t="s">
        <v>4</v>
      </c>
      <c r="B9263" s="2" t="str">
        <f t="shared" si="794"/>
        <v>SISTEMA DE GERENCIAMENTO DE INTERNAÇÃO</v>
      </c>
      <c r="C9263" s="2" t="str">
        <f t="shared" si="795"/>
        <v>INTER</v>
      </c>
      <c r="D9263" s="2" t="str">
        <f t="shared" si="796"/>
        <v>PARI</v>
      </c>
      <c r="E9263" s="2" t="str">
        <f>"REL DE PAC INTERNADOS POR ESPECIALIDADE"</f>
        <v>REL DE PAC INTERNADOS POR ESPECIALIDADE</v>
      </c>
      <c r="F9263" s="2" t="str">
        <f>"R_INT_ESPEC"</f>
        <v>R_INT_ESPEC</v>
      </c>
      <c r="G9263" s="2" t="str">
        <f>"MVSaude / Vendas / Internação / Relatórios / Internados / por Especialidade (R_INT_ESPEC)"</f>
        <v>MVSaude / Vendas / Internação / Relatórios / Internados / por Especialidade (R_INT_ESPEC)</v>
      </c>
    </row>
    <row r="9264" spans="1:7" x14ac:dyDescent="0.3">
      <c r="A9264" s="1" t="s">
        <v>4</v>
      </c>
      <c r="B9264" s="2" t="str">
        <f t="shared" si="794"/>
        <v>SISTEMA DE GERENCIAMENTO DE INTERNAÇÃO</v>
      </c>
      <c r="C9264" s="2" t="str">
        <f t="shared" si="795"/>
        <v>INTER</v>
      </c>
      <c r="D9264" s="2" t="str">
        <f t="shared" si="796"/>
        <v>PARI</v>
      </c>
      <c r="E9264" s="2" t="str">
        <f>"REL DE ALTAS POR ESPECIALIDADE"</f>
        <v>REL DE ALTAS POR ESPECIALIDADE</v>
      </c>
      <c r="F9264" s="2" t="str">
        <f>"R_ALTASESPECIALIDADE"</f>
        <v>R_ALTASESPECIALIDADE</v>
      </c>
      <c r="G9264" s="2" t="str">
        <f>"MVSaude / Vendas / Internação / Relatórios / Operacionais / Altas / Por Especialidade (R_ALTASESPECIALIDADE)"</f>
        <v>MVSaude / Vendas / Internação / Relatórios / Operacionais / Altas / Por Especialidade (R_ALTASESPECIALIDADE)</v>
      </c>
    </row>
    <row r="9265" spans="1:7" x14ac:dyDescent="0.3">
      <c r="A9265" s="1" t="s">
        <v>4</v>
      </c>
      <c r="B9265" s="2" t="str">
        <f t="shared" si="794"/>
        <v>SISTEMA DE GERENCIAMENTO DE INTERNAÇÃO</v>
      </c>
      <c r="C9265" s="2" t="str">
        <f t="shared" si="795"/>
        <v>INTER</v>
      </c>
      <c r="D9265" s="2" t="str">
        <f t="shared" si="796"/>
        <v>PARI</v>
      </c>
      <c r="E9265" s="2" t="str">
        <f>"REL DE ALTAS POR ESPECIALIDADE"</f>
        <v>REL DE ALTAS POR ESPECIALIDADE</v>
      </c>
      <c r="F9265" s="2" t="str">
        <f>"R_ALTASESPECIALIDADE"</f>
        <v>R_ALTASESPECIALIDADE</v>
      </c>
      <c r="G9265" s="2" t="str">
        <f>"Serviços de Apoio / Serviço Arquivo Médico / Relatórios / Operacionais / Altas / Por Especialidade (R_ALTASESPECIALIDADE)"</f>
        <v>Serviços de Apoio / Serviço Arquivo Médico / Relatórios / Operacionais / Altas / Por Especialidade (R_ALTASESPECIALIDADE)</v>
      </c>
    </row>
    <row r="9266" spans="1:7" x14ac:dyDescent="0.3">
      <c r="A9266" s="1" t="s">
        <v>4</v>
      </c>
      <c r="B9266" s="2" t="str">
        <f t="shared" si="794"/>
        <v>SISTEMA DE GERENCIAMENTO DE INTERNAÇÃO</v>
      </c>
      <c r="C9266" s="2" t="str">
        <f t="shared" si="795"/>
        <v>INTER</v>
      </c>
      <c r="D9266" s="2" t="str">
        <f t="shared" si="796"/>
        <v>PARI</v>
      </c>
      <c r="E9266" s="2" t="str">
        <f>"REL DE ALTAS POR ESPECIALIDADE"</f>
        <v>REL DE ALTAS POR ESPECIALIDADE</v>
      </c>
      <c r="F9266" s="2" t="str">
        <f>"R_ALTASESPECIALIDADE"</f>
        <v>R_ALTASESPECIALIDADE</v>
      </c>
      <c r="G9266" s="2" t="str">
        <f>"Atendimento / Internação / Relatórios / Operacionais / Altas / Por Especialidade (R_ALTASESPECIALIDADE)"</f>
        <v>Atendimento / Internação / Relatórios / Operacionais / Altas / Por Especialidade (R_ALTASESPECIALIDADE)</v>
      </c>
    </row>
    <row r="9267" spans="1:7" x14ac:dyDescent="0.3">
      <c r="A9267" s="1" t="s">
        <v>4</v>
      </c>
      <c r="B9267" s="2" t="str">
        <f t="shared" si="794"/>
        <v>SISTEMA DE GERENCIAMENTO DE INTERNAÇÃO</v>
      </c>
      <c r="C9267" s="2" t="str">
        <f t="shared" si="795"/>
        <v>INTER</v>
      </c>
      <c r="D9267" s="2" t="str">
        <f t="shared" si="796"/>
        <v>PARI</v>
      </c>
      <c r="E9267" s="2" t="str">
        <f>"REL DE ALTAS POR ESPECIALIDADE"</f>
        <v>REL DE ALTAS POR ESPECIALIDADE</v>
      </c>
      <c r="F9267" s="2" t="str">
        <f>"R_ALTASESPECIALIDADE"</f>
        <v>R_ALTASESPECIALIDADE</v>
      </c>
      <c r="G9267" s="2" t="str">
        <f>"MVSaude / Atendimento / Autorizações de Guias / Internação / Relatórios / Operacionais / Altas / Por Especialidade (R_ALTASESPECIALIDADE)"</f>
        <v>MVSaude / Atendimento / Autorizações de Guias / Internação / Relatórios / Operacionais / Altas / Por Especialidade (R_ALTASESPECIALIDADE)</v>
      </c>
    </row>
    <row r="9268" spans="1:7" x14ac:dyDescent="0.3">
      <c r="A9268" s="1" t="s">
        <v>4</v>
      </c>
      <c r="B9268" s="2" t="str">
        <f t="shared" si="794"/>
        <v>SISTEMA DE GERENCIAMENTO DE INTERNAÇÃO</v>
      </c>
      <c r="C9268" s="2" t="str">
        <f t="shared" si="795"/>
        <v>INTER</v>
      </c>
      <c r="D9268" s="2" t="str">
        <f t="shared" si="796"/>
        <v>PARI</v>
      </c>
      <c r="E9268" s="2" t="str">
        <f>"R_CENSO600"</f>
        <v>R_CENSO600</v>
      </c>
      <c r="F9268" s="2" t="str">
        <f>"R_CENSO600"</f>
        <v>R_CENSO600</v>
      </c>
      <c r="G9268" s="2" t="str">
        <f>" ()"</f>
        <v xml:space="preserve"> ()</v>
      </c>
    </row>
    <row r="9269" spans="1:7" x14ac:dyDescent="0.3">
      <c r="A9269" s="1" t="s">
        <v>4</v>
      </c>
      <c r="B9269" s="2" t="str">
        <f t="shared" si="794"/>
        <v>SISTEMA DE GERENCIAMENTO DE INTERNAÇÃO</v>
      </c>
      <c r="C9269" s="2" t="str">
        <f t="shared" si="795"/>
        <v>INTER</v>
      </c>
      <c r="D9269" s="2" t="str">
        <f t="shared" si="796"/>
        <v>PARI</v>
      </c>
      <c r="E9269" s="2" t="str">
        <f>"ESTATÍSTICA DE ALTAS"</f>
        <v>ESTATÍSTICA DE ALTAS</v>
      </c>
      <c r="F9269" s="2" t="str">
        <f>"R_ESTATISTICO_ALTAS"</f>
        <v>R_ESTATISTICO_ALTAS</v>
      </c>
      <c r="G9269" s="2" t="str">
        <f>"Atendimento / Internação / Relatórios / Estatísticos / Altas (R_ESTATISTICO_ALTAS)"</f>
        <v>Atendimento / Internação / Relatórios / Estatísticos / Altas (R_ESTATISTICO_ALTAS)</v>
      </c>
    </row>
    <row r="9270" spans="1:7" x14ac:dyDescent="0.3">
      <c r="A9270" s="1" t="s">
        <v>4</v>
      </c>
      <c r="B9270" s="2" t="str">
        <f t="shared" si="794"/>
        <v>SISTEMA DE GERENCIAMENTO DE INTERNAÇÃO</v>
      </c>
      <c r="C9270" s="2" t="str">
        <f t="shared" si="795"/>
        <v>INTER</v>
      </c>
      <c r="D9270" s="2" t="str">
        <f t="shared" si="796"/>
        <v>PARI</v>
      </c>
      <c r="E9270" s="2" t="str">
        <f>"ESTATÍSTICA DE ALTAS"</f>
        <v>ESTATÍSTICA DE ALTAS</v>
      </c>
      <c r="F9270" s="2" t="str">
        <f>"R_ESTATISTICO_ALTAS"</f>
        <v>R_ESTATISTICO_ALTAS</v>
      </c>
      <c r="G9270" s="2" t="str">
        <f>"Serviços de Apoio / Serviço Arquivo Médico / Relatórios / Estatísticos / Altas (R_ESTATISTICO_ALTAS)"</f>
        <v>Serviços de Apoio / Serviço Arquivo Médico / Relatórios / Estatísticos / Altas (R_ESTATISTICO_ALTAS)</v>
      </c>
    </row>
    <row r="9271" spans="1:7" x14ac:dyDescent="0.3">
      <c r="A9271" s="1" t="s">
        <v>4</v>
      </c>
      <c r="B9271" s="2" t="str">
        <f t="shared" si="794"/>
        <v>SISTEMA DE GERENCIAMENTO DE INTERNAÇÃO</v>
      </c>
      <c r="C9271" s="2" t="str">
        <f t="shared" si="795"/>
        <v>INTER</v>
      </c>
      <c r="D9271" s="2" t="str">
        <f t="shared" si="796"/>
        <v>PARI</v>
      </c>
      <c r="E9271" s="2" t="str">
        <f>"ESTATÍSTICA DE ALTAS"</f>
        <v>ESTATÍSTICA DE ALTAS</v>
      </c>
      <c r="F9271" s="2" t="str">
        <f>"R_ESTATISTICO_ALTAS"</f>
        <v>R_ESTATISTICO_ALTAS</v>
      </c>
      <c r="G9271" s="2" t="str">
        <f>"MVSaude / Vendas / Internação / Relatórios / Estatísticos / Altas (R_ESTATISTICO_ALTAS)"</f>
        <v>MVSaude / Vendas / Internação / Relatórios / Estatísticos / Altas (R_ESTATISTICO_ALTAS)</v>
      </c>
    </row>
    <row r="9272" spans="1:7" x14ac:dyDescent="0.3">
      <c r="A9272" s="1" t="s">
        <v>4</v>
      </c>
      <c r="B9272" s="2" t="str">
        <f t="shared" si="794"/>
        <v>SISTEMA DE GERENCIAMENTO DE INTERNAÇÃO</v>
      </c>
      <c r="C9272" s="2" t="str">
        <f t="shared" si="795"/>
        <v>INTER</v>
      </c>
      <c r="D9272" s="2" t="str">
        <f t="shared" si="796"/>
        <v>PARI</v>
      </c>
      <c r="E9272" s="2" t="str">
        <f>"ESTATÍSTICA DE ALTAS"</f>
        <v>ESTATÍSTICA DE ALTAS</v>
      </c>
      <c r="F9272" s="2" t="str">
        <f>"R_ESTATISTICO_ALTAS"</f>
        <v>R_ESTATISTICO_ALTAS</v>
      </c>
      <c r="G9272" s="2" t="str">
        <f>"MVSaude / Atendimento / Autorizações de Guias / Internação / Relatórios / Estatísticos / Altas (R_ESTATISTICO_ALTAS)"</f>
        <v>MVSaude / Atendimento / Autorizações de Guias / Internação / Relatórios / Estatísticos / Altas (R_ESTATISTICO_ALTAS)</v>
      </c>
    </row>
    <row r="9273" spans="1:7" x14ac:dyDescent="0.3">
      <c r="A9273" s="1" t="s">
        <v>4</v>
      </c>
      <c r="B9273" s="2" t="str">
        <f t="shared" si="794"/>
        <v>SISTEMA DE GERENCIAMENTO DE INTERNAÇÃO</v>
      </c>
      <c r="C9273" s="2" t="str">
        <f t="shared" si="795"/>
        <v>INTER</v>
      </c>
      <c r="D9273" s="2" t="str">
        <f t="shared" si="796"/>
        <v>PARI</v>
      </c>
      <c r="E9273" s="2" t="str">
        <f>"ESTATÍSTICA DE ÓBITOS"</f>
        <v>ESTATÍSTICA DE ÓBITOS</v>
      </c>
      <c r="F9273" s="2" t="str">
        <f>"R_ESTATISTICO_OBITOS"</f>
        <v>R_ESTATISTICO_OBITOS</v>
      </c>
      <c r="G9273" s="2" t="str">
        <f>"Serviços de Apoio / Serviço Arquivo Médico / Relatórios / Estatísticos / Óbitos (R_ESTATISTICO_OBITOS)"</f>
        <v>Serviços de Apoio / Serviço Arquivo Médico / Relatórios / Estatísticos / Óbitos (R_ESTATISTICO_OBITOS)</v>
      </c>
    </row>
    <row r="9274" spans="1:7" x14ac:dyDescent="0.3">
      <c r="A9274" s="1" t="s">
        <v>4</v>
      </c>
      <c r="B9274" s="2" t="str">
        <f t="shared" si="794"/>
        <v>SISTEMA DE GERENCIAMENTO DE INTERNAÇÃO</v>
      </c>
      <c r="C9274" s="2" t="str">
        <f t="shared" si="795"/>
        <v>INTER</v>
      </c>
      <c r="D9274" s="2" t="str">
        <f t="shared" si="796"/>
        <v>PARI</v>
      </c>
      <c r="E9274" s="2" t="str">
        <f>"ESTATÍSTICA DE ÓBITOS"</f>
        <v>ESTATÍSTICA DE ÓBITOS</v>
      </c>
      <c r="F9274" s="2" t="str">
        <f>"R_ESTATISTICO_OBITOS"</f>
        <v>R_ESTATISTICO_OBITOS</v>
      </c>
      <c r="G9274" s="2" t="str">
        <f>"MVSaude / Vendas / Internação / Relatórios / Estatísticos / Óbitos / Sintético (R_ESTATISTICO_OBITOS)"</f>
        <v>MVSaude / Vendas / Internação / Relatórios / Estatísticos / Óbitos / Sintético (R_ESTATISTICO_OBITOS)</v>
      </c>
    </row>
    <row r="9275" spans="1:7" x14ac:dyDescent="0.3">
      <c r="A9275" s="1" t="s">
        <v>4</v>
      </c>
      <c r="B9275" s="2" t="str">
        <f t="shared" si="794"/>
        <v>SISTEMA DE GERENCIAMENTO DE INTERNAÇÃO</v>
      </c>
      <c r="C9275" s="2" t="str">
        <f t="shared" si="795"/>
        <v>INTER</v>
      </c>
      <c r="D9275" s="2" t="str">
        <f t="shared" si="796"/>
        <v>PARI</v>
      </c>
      <c r="E9275" s="2" t="str">
        <f>"ESTATÍSTICA DE ÓBITOS"</f>
        <v>ESTATÍSTICA DE ÓBITOS</v>
      </c>
      <c r="F9275" s="2" t="str">
        <f>"R_ESTATISTICO_OBITOS"</f>
        <v>R_ESTATISTICO_OBITOS</v>
      </c>
      <c r="G9275" s="2" t="str">
        <f>"Atendimento / Internação / Relatórios / Estatísticos / Óbitos / Sintético (R_ESTATISTICO_OBITOS)"</f>
        <v>Atendimento / Internação / Relatórios / Estatísticos / Óbitos / Sintético (R_ESTATISTICO_OBITOS)</v>
      </c>
    </row>
    <row r="9276" spans="1:7" x14ac:dyDescent="0.3">
      <c r="A9276" s="1" t="s">
        <v>4</v>
      </c>
      <c r="B9276" s="2" t="str">
        <f t="shared" si="794"/>
        <v>SISTEMA DE GERENCIAMENTO DE INTERNAÇÃO</v>
      </c>
      <c r="C9276" s="2" t="str">
        <f t="shared" si="795"/>
        <v>INTER</v>
      </c>
      <c r="D9276" s="2" t="str">
        <f t="shared" si="796"/>
        <v>PARI</v>
      </c>
      <c r="E9276" s="2" t="str">
        <f>"ESTATÍSTICA DE ÓBITOS"</f>
        <v>ESTATÍSTICA DE ÓBITOS</v>
      </c>
      <c r="F9276" s="2" t="str">
        <f>"R_ESTATISTICO_OBITOS"</f>
        <v>R_ESTATISTICO_OBITOS</v>
      </c>
      <c r="G9276" s="2" t="str">
        <f>"MVSaude / Atendimento / Autorizações de Guias / Internação / Relatórios / Estatísticos / Óbitos / Sintético (R_ESTATISTICO_OBITOS)"</f>
        <v>MVSaude / Atendimento / Autorizações de Guias / Internação / Relatórios / Estatísticos / Óbitos / Sintético (R_ESTATISTICO_OBITOS)</v>
      </c>
    </row>
    <row r="9277" spans="1:7" x14ac:dyDescent="0.3">
      <c r="A9277" s="1" t="s">
        <v>4</v>
      </c>
      <c r="B9277" s="2" t="str">
        <f t="shared" si="794"/>
        <v>SISTEMA DE GERENCIAMENTO DE INTERNAÇÃO</v>
      </c>
      <c r="C9277" s="2" t="str">
        <f t="shared" si="795"/>
        <v>INTER</v>
      </c>
      <c r="D9277" s="2" t="str">
        <f t="shared" si="796"/>
        <v>PARI</v>
      </c>
      <c r="E9277" s="2" t="str">
        <f>"CADASTRO DE MOTIVOS DA ALTA"</f>
        <v>CADASTRO DE MOTIVOS DA ALTA</v>
      </c>
      <c r="F9277" s="2" t="str">
        <f>"M_RECUSA_ACOMODA"</f>
        <v>M_RECUSA_ACOMODA</v>
      </c>
      <c r="G9277" s="2" t="str">
        <f>" ()"</f>
        <v xml:space="preserve"> ()</v>
      </c>
    </row>
    <row r="9278" spans="1:7" x14ac:dyDescent="0.3">
      <c r="A9278" s="1" t="s">
        <v>4</v>
      </c>
      <c r="B9278" s="2" t="str">
        <f t="shared" si="794"/>
        <v>SISTEMA DE GERENCIAMENTO DE INTERNAÇÃO</v>
      </c>
      <c r="C9278" s="2" t="str">
        <f t="shared" si="795"/>
        <v>INTER</v>
      </c>
      <c r="D9278" s="2" t="str">
        <f t="shared" si="796"/>
        <v>PARI</v>
      </c>
      <c r="E9278" s="2" t="str">
        <f>"PACIENTES INTERNADOS POR IDADES"</f>
        <v>PACIENTES INTERNADOS POR IDADES</v>
      </c>
      <c r="F9278" s="2" t="str">
        <f>"R_PAC_INT_IDADE"</f>
        <v>R_PAC_INT_IDADE</v>
      </c>
      <c r="G9278" s="2" t="str">
        <f>"Atendimento / Internação / Relatórios / Internados / por Faixa Etária (R_PAC_INT_IDADE)"</f>
        <v>Atendimento / Internação / Relatórios / Internados / por Faixa Etária (R_PAC_INT_IDADE)</v>
      </c>
    </row>
    <row r="9279" spans="1:7" x14ac:dyDescent="0.3">
      <c r="A9279" s="1" t="s">
        <v>4</v>
      </c>
      <c r="B9279" s="2" t="str">
        <f t="shared" si="794"/>
        <v>SISTEMA DE GERENCIAMENTO DE INTERNAÇÃO</v>
      </c>
      <c r="C9279" s="2" t="str">
        <f t="shared" si="795"/>
        <v>INTER</v>
      </c>
      <c r="D9279" s="2" t="str">
        <f t="shared" si="796"/>
        <v>PARI</v>
      </c>
      <c r="E9279" s="2" t="str">
        <f>"PACIENTES INTERNADOS POR IDADES"</f>
        <v>PACIENTES INTERNADOS POR IDADES</v>
      </c>
      <c r="F9279" s="2" t="str">
        <f>"R_PAC_INT_IDADE"</f>
        <v>R_PAC_INT_IDADE</v>
      </c>
      <c r="G9279" s="2" t="str">
        <f>"MVSaude / Atendimento / Autorizações de Guias / Internação / Relatórios / Internados / por Faixa Etária (R_PAC_INT_IDADE)"</f>
        <v>MVSaude / Atendimento / Autorizações de Guias / Internação / Relatórios / Internados / por Faixa Etária (R_PAC_INT_IDADE)</v>
      </c>
    </row>
    <row r="9280" spans="1:7" x14ac:dyDescent="0.3">
      <c r="A9280" s="1" t="s">
        <v>4</v>
      </c>
      <c r="B9280" s="2" t="str">
        <f t="shared" si="794"/>
        <v>SISTEMA DE GERENCIAMENTO DE INTERNAÇÃO</v>
      </c>
      <c r="C9280" s="2" t="str">
        <f t="shared" si="795"/>
        <v>INTER</v>
      </c>
      <c r="D9280" s="2" t="str">
        <f t="shared" si="796"/>
        <v>PARI</v>
      </c>
      <c r="E9280" s="2" t="str">
        <f>"PACIENTES INTERNADOS POR IDADES"</f>
        <v>PACIENTES INTERNADOS POR IDADES</v>
      </c>
      <c r="F9280" s="2" t="str">
        <f>"R_PAC_INT_IDADE"</f>
        <v>R_PAC_INT_IDADE</v>
      </c>
      <c r="G9280" s="2" t="str">
        <f>"MVSaude / Vendas / Internação / Relatórios / Internados / por Faixa Etária (R_PAC_INT_IDADE)"</f>
        <v>MVSaude / Vendas / Internação / Relatórios / Internados / por Faixa Etária (R_PAC_INT_IDADE)</v>
      </c>
    </row>
    <row r="9281" spans="1:7" x14ac:dyDescent="0.3">
      <c r="A9281" s="1" t="s">
        <v>4</v>
      </c>
      <c r="B9281" s="2" t="str">
        <f t="shared" si="794"/>
        <v>SISTEMA DE GERENCIAMENTO DE INTERNAÇÃO</v>
      </c>
      <c r="C9281" s="2" t="str">
        <f t="shared" si="795"/>
        <v>INTER</v>
      </c>
      <c r="D9281" s="2" t="str">
        <f t="shared" si="796"/>
        <v>PARI</v>
      </c>
      <c r="E9281" s="2" t="str">
        <f>"RELATÓRIO LISTA DE ANIVERSARIANTES"</f>
        <v>RELATÓRIO LISTA DE ANIVERSARIANTES</v>
      </c>
      <c r="F9281" s="2" t="str">
        <f>"R_ANIVER_PAC"</f>
        <v>R_ANIVER_PAC</v>
      </c>
      <c r="G9281" s="2" t="str">
        <f>"MVSaude / Vendas / Internação / Relatórios / Operacionais / Pacientes / Aniversariantes (R_ANIVER_PAC)"</f>
        <v>MVSaude / Vendas / Internação / Relatórios / Operacionais / Pacientes / Aniversariantes (R_ANIVER_PAC)</v>
      </c>
    </row>
    <row r="9282" spans="1:7" x14ac:dyDescent="0.3">
      <c r="A9282" s="1" t="s">
        <v>4</v>
      </c>
      <c r="B9282" s="2" t="str">
        <f t="shared" si="794"/>
        <v>SISTEMA DE GERENCIAMENTO DE INTERNAÇÃO</v>
      </c>
      <c r="C9282" s="2" t="str">
        <f t="shared" si="795"/>
        <v>INTER</v>
      </c>
      <c r="D9282" s="2" t="str">
        <f t="shared" si="796"/>
        <v>PARI</v>
      </c>
      <c r="E9282" s="2" t="str">
        <f>"RELATÓRIO LISTA DE ANIVERSARIANTES"</f>
        <v>RELATÓRIO LISTA DE ANIVERSARIANTES</v>
      </c>
      <c r="F9282" s="2" t="str">
        <f>"R_ANIVER_PAC"</f>
        <v>R_ANIVER_PAC</v>
      </c>
      <c r="G9282" s="2" t="str">
        <f>"Atendimento / Internação / Relatórios / Operacionais / Pacientes / Aniversariantes (R_ANIVER_PAC)"</f>
        <v>Atendimento / Internação / Relatórios / Operacionais / Pacientes / Aniversariantes (R_ANIVER_PAC)</v>
      </c>
    </row>
    <row r="9283" spans="1:7" x14ac:dyDescent="0.3">
      <c r="A9283" s="1" t="s">
        <v>4</v>
      </c>
      <c r="B9283" s="2" t="str">
        <f t="shared" si="794"/>
        <v>SISTEMA DE GERENCIAMENTO DE INTERNAÇÃO</v>
      </c>
      <c r="C9283" s="2" t="str">
        <f t="shared" si="795"/>
        <v>INTER</v>
      </c>
      <c r="D9283" s="2" t="str">
        <f t="shared" si="796"/>
        <v>PARI</v>
      </c>
      <c r="E9283" s="2" t="str">
        <f>"RELATÓRIO LISTA DE ANIVERSARIANTES"</f>
        <v>RELATÓRIO LISTA DE ANIVERSARIANTES</v>
      </c>
      <c r="F9283" s="2" t="str">
        <f>"R_ANIVER_PAC"</f>
        <v>R_ANIVER_PAC</v>
      </c>
      <c r="G9283" s="2" t="str">
        <f>"Serviços de Apoio / Serviço Arquivo Médico / Relatórios / Operacionais / Pacientes / Aniversariantes (R_ANIVER_PAC)"</f>
        <v>Serviços de Apoio / Serviço Arquivo Médico / Relatórios / Operacionais / Pacientes / Aniversariantes (R_ANIVER_PAC)</v>
      </c>
    </row>
    <row r="9284" spans="1:7" x14ac:dyDescent="0.3">
      <c r="A9284" s="1" t="s">
        <v>4</v>
      </c>
      <c r="B9284" s="2" t="str">
        <f t="shared" si="794"/>
        <v>SISTEMA DE GERENCIAMENTO DE INTERNAÇÃO</v>
      </c>
      <c r="C9284" s="2" t="str">
        <f t="shared" si="795"/>
        <v>INTER</v>
      </c>
      <c r="D9284" s="2" t="str">
        <f t="shared" si="796"/>
        <v>PARI</v>
      </c>
      <c r="E9284" s="2" t="str">
        <f>"RELATÓRIO LISTA DE ANIVERSARIANTES"</f>
        <v>RELATÓRIO LISTA DE ANIVERSARIANTES</v>
      </c>
      <c r="F9284" s="2" t="str">
        <f>"R_ANIVER_PAC"</f>
        <v>R_ANIVER_PAC</v>
      </c>
      <c r="G9284" s="2" t="str">
        <f>"MVSaude / Atendimento / Autorizações de Guias / Internação / Relatórios / Operacionais / Pacientes / Aniversariantes (R_ANIVER_PAC)"</f>
        <v>MVSaude / Atendimento / Autorizações de Guias / Internação / Relatórios / Operacionais / Pacientes / Aniversariantes (R_ANIVER_PAC)</v>
      </c>
    </row>
    <row r="9285" spans="1:7" x14ac:dyDescent="0.3">
      <c r="A9285" s="1" t="s">
        <v>4</v>
      </c>
      <c r="B9285" s="2" t="str">
        <f t="shared" si="794"/>
        <v>SISTEMA DE GERENCIAMENTO DE INTERNAÇÃO</v>
      </c>
      <c r="C9285" s="2" t="str">
        <f t="shared" si="795"/>
        <v>INTER</v>
      </c>
      <c r="D9285" s="2" t="str">
        <f t="shared" si="796"/>
        <v>PARI</v>
      </c>
      <c r="E9285" s="2" t="str">
        <f>"REL. PACIENTES RÉ-INTERNADOS"</f>
        <v>REL. PACIENTES RÉ-INTERNADOS</v>
      </c>
      <c r="F9285" s="2" t="str">
        <f>"R_PACIENTE_REINTERNADO"</f>
        <v>R_PACIENTE_REINTERNADO</v>
      </c>
      <c r="G9285" s="2" t="str">
        <f>"MVSaude / Vendas / Internação / Relatórios / Operacionais / Pacientes / Re-Internados no Período (R_PACIENTE_REINTERNADO)"</f>
        <v>MVSaude / Vendas / Internação / Relatórios / Operacionais / Pacientes / Re-Internados no Período (R_PACIENTE_REINTERNADO)</v>
      </c>
    </row>
    <row r="9286" spans="1:7" x14ac:dyDescent="0.3">
      <c r="A9286" s="1" t="s">
        <v>4</v>
      </c>
      <c r="B9286" s="2" t="str">
        <f t="shared" si="794"/>
        <v>SISTEMA DE GERENCIAMENTO DE INTERNAÇÃO</v>
      </c>
      <c r="C9286" s="2" t="str">
        <f t="shared" si="795"/>
        <v>INTER</v>
      </c>
      <c r="D9286" s="2" t="str">
        <f t="shared" si="796"/>
        <v>PARI</v>
      </c>
      <c r="E9286" s="2" t="str">
        <f>"REL. PACIENTES RÉ-INTERNADOS"</f>
        <v>REL. PACIENTES RÉ-INTERNADOS</v>
      </c>
      <c r="F9286" s="2" t="str">
        <f>"R_PACIENTE_REINTERNADO"</f>
        <v>R_PACIENTE_REINTERNADO</v>
      </c>
      <c r="G9286" s="2" t="str">
        <f>"Atendimento / Internação / Relatórios / Operacionais / Pacientes / Re-Internados no Período (R_PACIENTE_REINTERNADO)"</f>
        <v>Atendimento / Internação / Relatórios / Operacionais / Pacientes / Re-Internados no Período (R_PACIENTE_REINTERNADO)</v>
      </c>
    </row>
    <row r="9287" spans="1:7" x14ac:dyDescent="0.3">
      <c r="A9287" s="1" t="s">
        <v>4</v>
      </c>
      <c r="B9287" s="2" t="str">
        <f t="shared" si="794"/>
        <v>SISTEMA DE GERENCIAMENTO DE INTERNAÇÃO</v>
      </c>
      <c r="C9287" s="2" t="str">
        <f t="shared" si="795"/>
        <v>INTER</v>
      </c>
      <c r="D9287" s="2" t="str">
        <f t="shared" si="796"/>
        <v>PARI</v>
      </c>
      <c r="E9287" s="2" t="str">
        <f>"REL. PACIENTES RÉ-INTERNADOS"</f>
        <v>REL. PACIENTES RÉ-INTERNADOS</v>
      </c>
      <c r="F9287" s="2" t="str">
        <f>"R_PACIENTE_REINTERNADO"</f>
        <v>R_PACIENTE_REINTERNADO</v>
      </c>
      <c r="G9287" s="2" t="str">
        <f>"Serviços de Apoio / Serviço Arquivo Médico / Relatórios / Operacionais / Pacientes / Ré-Internados no Período (R_PACIENTE_REINTERNADO)"</f>
        <v>Serviços de Apoio / Serviço Arquivo Médico / Relatórios / Operacionais / Pacientes / Ré-Internados no Período (R_PACIENTE_REINTERNADO)</v>
      </c>
    </row>
    <row r="9288" spans="1:7" x14ac:dyDescent="0.3">
      <c r="A9288" s="1" t="s">
        <v>4</v>
      </c>
      <c r="B9288" s="2" t="str">
        <f t="shared" si="794"/>
        <v>SISTEMA DE GERENCIAMENTO DE INTERNAÇÃO</v>
      </c>
      <c r="C9288" s="2" t="str">
        <f t="shared" si="795"/>
        <v>INTER</v>
      </c>
      <c r="D9288" s="2" t="str">
        <f t="shared" si="796"/>
        <v>PARI</v>
      </c>
      <c r="E9288" s="2" t="str">
        <f>"REL. PACIENTES RÉ-INTERNADOS"</f>
        <v>REL. PACIENTES RÉ-INTERNADOS</v>
      </c>
      <c r="F9288" s="2" t="str">
        <f>"R_PACIENTE_REINTERNADO"</f>
        <v>R_PACIENTE_REINTERNADO</v>
      </c>
      <c r="G9288" s="2" t="str">
        <f>"MVSaude / Atendimento / Autorizações de Guias / Internação / Relatórios / Operacionais / Pacientes / Re-Internados no Período (R_PACIENTE_REINTERNADO)"</f>
        <v>MVSaude / Atendimento / Autorizações de Guias / Internação / Relatórios / Operacionais / Pacientes / Re-Internados no Período (R_PACIENTE_REINTERNADO)</v>
      </c>
    </row>
    <row r="9289" spans="1:7" x14ac:dyDescent="0.3">
      <c r="A9289" s="1" t="s">
        <v>4</v>
      </c>
      <c r="B9289" s="2" t="str">
        <f t="shared" si="794"/>
        <v>SISTEMA DE GERENCIAMENTO DE INTERNAÇÃO</v>
      </c>
      <c r="C9289" s="2" t="str">
        <f t="shared" si="795"/>
        <v>INTER</v>
      </c>
      <c r="D9289" s="2" t="str">
        <f t="shared" si="796"/>
        <v>PARI</v>
      </c>
      <c r="E9289" s="2" t="str">
        <f>"RELATORIO DE TABELAS DE SERVICOS"</f>
        <v>RELATORIO DE TABELAS DE SERVICOS</v>
      </c>
      <c r="F9289" s="2" t="str">
        <f>"R_SERVPREST"</f>
        <v>R_SERVPREST</v>
      </c>
      <c r="G9289" s="2" t="str">
        <f>"MVSaude / Vendas / Internação / Relatórios / Tabelas / Serviços Prestados (R_SERVPREST)"</f>
        <v>MVSaude / Vendas / Internação / Relatórios / Tabelas / Serviços Prestados (R_SERVPREST)</v>
      </c>
    </row>
    <row r="9290" spans="1:7" x14ac:dyDescent="0.3">
      <c r="A9290" s="1" t="s">
        <v>4</v>
      </c>
      <c r="B9290" s="2" t="str">
        <f t="shared" si="794"/>
        <v>SISTEMA DE GERENCIAMENTO DE INTERNAÇÃO</v>
      </c>
      <c r="C9290" s="2" t="str">
        <f t="shared" si="795"/>
        <v>INTER</v>
      </c>
      <c r="D9290" s="2" t="str">
        <f t="shared" si="796"/>
        <v>PARI</v>
      </c>
      <c r="E9290" s="2" t="str">
        <f>"RELATORIO DE TABELAS DE SERVICOS"</f>
        <v>RELATORIO DE TABELAS DE SERVICOS</v>
      </c>
      <c r="F9290" s="2" t="str">
        <f>"R_SERVPREST"</f>
        <v>R_SERVPREST</v>
      </c>
      <c r="G9290" s="2" t="str">
        <f>"Atendimento / Internação / Relatórios / Tabelas / Serviços Prestados (R_SERVPREST)"</f>
        <v>Atendimento / Internação / Relatórios / Tabelas / Serviços Prestados (R_SERVPREST)</v>
      </c>
    </row>
    <row r="9291" spans="1:7" x14ac:dyDescent="0.3">
      <c r="A9291" s="1" t="s">
        <v>4</v>
      </c>
      <c r="B9291" s="2" t="str">
        <f t="shared" si="794"/>
        <v>SISTEMA DE GERENCIAMENTO DE INTERNAÇÃO</v>
      </c>
      <c r="C9291" s="2" t="str">
        <f t="shared" si="795"/>
        <v>INTER</v>
      </c>
      <c r="D9291" s="2" t="str">
        <f t="shared" si="796"/>
        <v>PARI</v>
      </c>
      <c r="E9291" s="2" t="str">
        <f>"RELATORIO DE TABELAS DE SERVICOS"</f>
        <v>RELATORIO DE TABELAS DE SERVICOS</v>
      </c>
      <c r="F9291" s="2" t="str">
        <f>"R_SERVPREST"</f>
        <v>R_SERVPREST</v>
      </c>
      <c r="G9291" s="2" t="str">
        <f>"MVSaude / Atendimento / Autorizações de Guias / Internação / Relatórios / Tabelas / Serviços Prestados (R_SERVPREST)"</f>
        <v>MVSaude / Atendimento / Autorizações de Guias / Internação / Relatórios / Tabelas / Serviços Prestados (R_SERVPREST)</v>
      </c>
    </row>
    <row r="9292" spans="1:7" x14ac:dyDescent="0.3">
      <c r="A9292" s="1" t="s">
        <v>4</v>
      </c>
      <c r="B9292" s="2" t="str">
        <f t="shared" si="794"/>
        <v>SISTEMA DE GERENCIAMENTO DE INTERNAÇÃO</v>
      </c>
      <c r="C9292" s="2" t="str">
        <f t="shared" si="795"/>
        <v>INTER</v>
      </c>
      <c r="D9292" s="2" t="str">
        <f t="shared" si="796"/>
        <v>PARI</v>
      </c>
      <c r="E9292" s="2" t="str">
        <f>"REL DE LAUDO AIH"</f>
        <v>REL DE LAUDO AIH</v>
      </c>
      <c r="F9292" s="2" t="str">
        <f>"R_LAUDO_AIH379"</f>
        <v>R_LAUDO_AIH379</v>
      </c>
      <c r="G9292" s="2" t="str">
        <f>" ()"</f>
        <v xml:space="preserve"> ()</v>
      </c>
    </row>
    <row r="9293" spans="1:7" x14ac:dyDescent="0.3">
      <c r="A9293" s="1" t="s">
        <v>4</v>
      </c>
      <c r="B9293" s="2" t="str">
        <f t="shared" si="794"/>
        <v>SISTEMA DE GERENCIAMENTO DE INTERNAÇÃO</v>
      </c>
      <c r="C9293" s="2" t="str">
        <f t="shared" si="795"/>
        <v>INTER</v>
      </c>
      <c r="D9293" s="2" t="str">
        <f t="shared" si="796"/>
        <v>PARI</v>
      </c>
      <c r="E9293" s="2" t="str">
        <f>"R_RESUMO_OBTO_POR_CLINICA"</f>
        <v>R_RESUMO_OBTO_POR_CLINICA</v>
      </c>
      <c r="F9293" s="2" t="str">
        <f>"R_RESUMO_OBTO_POR_CLINICA"</f>
        <v>R_RESUMO_OBTO_POR_CLINICA</v>
      </c>
      <c r="G9293" s="2" t="str">
        <f>" ()"</f>
        <v xml:space="preserve"> ()</v>
      </c>
    </row>
    <row r="9294" spans="1:7" x14ac:dyDescent="0.3">
      <c r="A9294" s="1" t="s">
        <v>4</v>
      </c>
      <c r="B9294" s="2" t="str">
        <f t="shared" ref="B9294:B9357" si="799">"SISTEMA DE GERENCIAMENTO DE INTERNAÇÃO"</f>
        <v>SISTEMA DE GERENCIAMENTO DE INTERNAÇÃO</v>
      </c>
      <c r="C9294" s="2" t="str">
        <f t="shared" ref="C9294:C9357" si="800">"INTER"</f>
        <v>INTER</v>
      </c>
      <c r="D9294" s="2" t="str">
        <f t="shared" ref="D9294:D9357" si="801">"PARI"</f>
        <v>PARI</v>
      </c>
      <c r="E9294" s="2" t="str">
        <f>"RELAT. PROCEDIMENTOS POR ESPECIALIDADE"</f>
        <v>RELAT. PROCEDIMENTOS POR ESPECIALIDADE</v>
      </c>
      <c r="F9294" s="2" t="str">
        <f>"R_PROCED_ESPECIALID"</f>
        <v>R_PROCED_ESPECIALID</v>
      </c>
      <c r="G9294" s="2" t="str">
        <f>"Serviços de Apoio / Serviço Arquivo Médico / Relatórios / Estatísticos / Procedimentos / Por Especialidade (R_PROCED_ESPECIALID)"</f>
        <v>Serviços de Apoio / Serviço Arquivo Médico / Relatórios / Estatísticos / Procedimentos / Por Especialidade (R_PROCED_ESPECIALID)</v>
      </c>
    </row>
    <row r="9295" spans="1:7" x14ac:dyDescent="0.3">
      <c r="A9295" s="1" t="s">
        <v>4</v>
      </c>
      <c r="B9295" s="2" t="str">
        <f t="shared" si="799"/>
        <v>SISTEMA DE GERENCIAMENTO DE INTERNAÇÃO</v>
      </c>
      <c r="C9295" s="2" t="str">
        <f t="shared" si="800"/>
        <v>INTER</v>
      </c>
      <c r="D9295" s="2" t="str">
        <f t="shared" si="801"/>
        <v>PARI</v>
      </c>
      <c r="E9295" s="2" t="str">
        <f>"RELAT. PROCEDIMENTOS POR ESPECIALIDADE"</f>
        <v>RELAT. PROCEDIMENTOS POR ESPECIALIDADE</v>
      </c>
      <c r="F9295" s="2" t="str">
        <f>"R_PROCED_ESPECIALID"</f>
        <v>R_PROCED_ESPECIALID</v>
      </c>
      <c r="G9295" s="2" t="str">
        <f>"MVSaude / Vendas / Internação / Relatórios / Estatísticos / Procedimentos / Por Especialidade (R_PROCED_ESPECIALID)"</f>
        <v>MVSaude / Vendas / Internação / Relatórios / Estatísticos / Procedimentos / Por Especialidade (R_PROCED_ESPECIALID)</v>
      </c>
    </row>
    <row r="9296" spans="1:7" x14ac:dyDescent="0.3">
      <c r="A9296" s="1" t="s">
        <v>4</v>
      </c>
      <c r="B9296" s="2" t="str">
        <f t="shared" si="799"/>
        <v>SISTEMA DE GERENCIAMENTO DE INTERNAÇÃO</v>
      </c>
      <c r="C9296" s="2" t="str">
        <f t="shared" si="800"/>
        <v>INTER</v>
      </c>
      <c r="D9296" s="2" t="str">
        <f t="shared" si="801"/>
        <v>PARI</v>
      </c>
      <c r="E9296" s="2" t="str">
        <f>"RELAT. PROCEDIMENTOS POR ESPECIALIDADE"</f>
        <v>RELAT. PROCEDIMENTOS POR ESPECIALIDADE</v>
      </c>
      <c r="F9296" s="2" t="str">
        <f>"R_PROCED_ESPECIALID"</f>
        <v>R_PROCED_ESPECIALID</v>
      </c>
      <c r="G9296" s="2" t="str">
        <f>"Atendimento / Internação / Relatórios / Estatísticos / Procedimentos / Por Especialidade (R_PROCED_ESPECIALID)"</f>
        <v>Atendimento / Internação / Relatórios / Estatísticos / Procedimentos / Por Especialidade (R_PROCED_ESPECIALID)</v>
      </c>
    </row>
    <row r="9297" spans="1:7" x14ac:dyDescent="0.3">
      <c r="A9297" s="1" t="s">
        <v>4</v>
      </c>
      <c r="B9297" s="2" t="str">
        <f t="shared" si="799"/>
        <v>SISTEMA DE GERENCIAMENTO DE INTERNAÇÃO</v>
      </c>
      <c r="C9297" s="2" t="str">
        <f t="shared" si="800"/>
        <v>INTER</v>
      </c>
      <c r="D9297" s="2" t="str">
        <f t="shared" si="801"/>
        <v>PARI</v>
      </c>
      <c r="E9297" s="2" t="str">
        <f>"RELAT. PROCEDIMENTOS POR ESPECIALIDADE"</f>
        <v>RELAT. PROCEDIMENTOS POR ESPECIALIDADE</v>
      </c>
      <c r="F9297" s="2" t="str">
        <f>"R_PROCED_ESPECIALID"</f>
        <v>R_PROCED_ESPECIALID</v>
      </c>
      <c r="G9297" s="2" t="str">
        <f>"MVSaude / Atendimento / Autorizações de Guias / Internação / Relatórios / Estatísticos / Procedimentos / Por Especialidade (R_PROCED_ESPECIALID)"</f>
        <v>MVSaude / Atendimento / Autorizações de Guias / Internação / Relatórios / Estatísticos / Procedimentos / Por Especialidade (R_PROCED_ESPECIALID)</v>
      </c>
    </row>
    <row r="9298" spans="1:7" x14ac:dyDescent="0.3">
      <c r="A9298" s="1" t="s">
        <v>4</v>
      </c>
      <c r="B9298" s="2" t="str">
        <f t="shared" si="799"/>
        <v>SISTEMA DE GERENCIAMENTO DE INTERNAÇÃO</v>
      </c>
      <c r="C9298" s="2" t="str">
        <f t="shared" si="800"/>
        <v>INTER</v>
      </c>
      <c r="D9298" s="2" t="str">
        <f t="shared" si="801"/>
        <v>PARI</v>
      </c>
      <c r="E9298" s="2" t="str">
        <f>"R_CONTA_PAC"</f>
        <v>R_CONTA_PAC</v>
      </c>
      <c r="F9298" s="2" t="str">
        <f>"R_CONTA_PAC"</f>
        <v>R_CONTA_PAC</v>
      </c>
      <c r="G9298" s="2" t="str">
        <f>" ()"</f>
        <v xml:space="preserve"> ()</v>
      </c>
    </row>
    <row r="9299" spans="1:7" x14ac:dyDescent="0.3">
      <c r="A9299" s="1" t="s">
        <v>4</v>
      </c>
      <c r="B9299" s="2" t="str">
        <f t="shared" si="799"/>
        <v>SISTEMA DE GERENCIAMENTO DE INTERNAÇÃO</v>
      </c>
      <c r="C9299" s="2" t="str">
        <f t="shared" si="800"/>
        <v>INTER</v>
      </c>
      <c r="D9299" s="2" t="str">
        <f t="shared" si="801"/>
        <v>PARI</v>
      </c>
      <c r="E9299" s="2" t="str">
        <f>"RELAT DE EXAMES DOS PACIENTES INTERNADOS"</f>
        <v>RELAT DE EXAMES DOS PACIENTES INTERNADOS</v>
      </c>
      <c r="F9299" s="2" t="str">
        <f>"R_MVTO_PACIENTES_INTERNADOS"</f>
        <v>R_MVTO_PACIENTES_INTERNADOS</v>
      </c>
      <c r="G9299" s="2" t="str">
        <f>"Atendimento / Internação / Relatórios / Movimentação / Movimento Hospitalar de Pacientes Internados (R_MVTO_PACIENTES_INTERNADOS)"</f>
        <v>Atendimento / Internação / Relatórios / Movimentação / Movimento Hospitalar de Pacientes Internados (R_MVTO_PACIENTES_INTERNADOS)</v>
      </c>
    </row>
    <row r="9300" spans="1:7" x14ac:dyDescent="0.3">
      <c r="A9300" s="1" t="s">
        <v>4</v>
      </c>
      <c r="B9300" s="2" t="str">
        <f t="shared" si="799"/>
        <v>SISTEMA DE GERENCIAMENTO DE INTERNAÇÃO</v>
      </c>
      <c r="C9300" s="2" t="str">
        <f t="shared" si="800"/>
        <v>INTER</v>
      </c>
      <c r="D9300" s="2" t="str">
        <f t="shared" si="801"/>
        <v>PARI</v>
      </c>
      <c r="E9300" s="2" t="str">
        <f>"RELAT DE EXAMES DOS PACIENTES INTERNADOS"</f>
        <v>RELAT DE EXAMES DOS PACIENTES INTERNADOS</v>
      </c>
      <c r="F9300" s="2" t="str">
        <f>"R_MVTO_PACIENTES_INTERNADOS"</f>
        <v>R_MVTO_PACIENTES_INTERNADOS</v>
      </c>
      <c r="G9300" s="2" t="str">
        <f>"MVSaude / Atendimento / Autorizações de Guias / Internação / Relatórios / Movimentação / Movimento Hospitalar de Pacientes Internados (R_MVTO_PACIENTES_INTERNADOS)"</f>
        <v>MVSaude / Atendimento / Autorizações de Guias / Internação / Relatórios / Movimentação / Movimento Hospitalar de Pacientes Internados (R_MVTO_PACIENTES_INTERNADOS)</v>
      </c>
    </row>
    <row r="9301" spans="1:7" x14ac:dyDescent="0.3">
      <c r="A9301" s="1" t="s">
        <v>4</v>
      </c>
      <c r="B9301" s="2" t="str">
        <f t="shared" si="799"/>
        <v>SISTEMA DE GERENCIAMENTO DE INTERNAÇÃO</v>
      </c>
      <c r="C9301" s="2" t="str">
        <f t="shared" si="800"/>
        <v>INTER</v>
      </c>
      <c r="D9301" s="2" t="str">
        <f t="shared" si="801"/>
        <v>PARI</v>
      </c>
      <c r="E9301" s="2" t="str">
        <f>"RELAT DE EXAMES DOS PACIENTES INTERNADOS"</f>
        <v>RELAT DE EXAMES DOS PACIENTES INTERNADOS</v>
      </c>
      <c r="F9301" s="2" t="str">
        <f>"R_MVTO_PACIENTES_INTERNADOS"</f>
        <v>R_MVTO_PACIENTES_INTERNADOS</v>
      </c>
      <c r="G9301" s="2" t="str">
        <f>"MVSaude / Vendas / Internação / Relatórios / Movimentação / Movimento Hospitalar de Pacientes Internados (R_MVTO_PACIENTES_INTERNADOS)"</f>
        <v>MVSaude / Vendas / Internação / Relatórios / Movimentação / Movimento Hospitalar de Pacientes Internados (R_MVTO_PACIENTES_INTERNADOS)</v>
      </c>
    </row>
    <row r="9302" spans="1:7" x14ac:dyDescent="0.3">
      <c r="A9302" s="1" t="s">
        <v>4</v>
      </c>
      <c r="B9302" s="2" t="str">
        <f t="shared" si="799"/>
        <v>SISTEMA DE GERENCIAMENTO DE INTERNAÇÃO</v>
      </c>
      <c r="C9302" s="2" t="str">
        <f t="shared" si="800"/>
        <v>INTER</v>
      </c>
      <c r="D9302" s="2" t="str">
        <f t="shared" si="801"/>
        <v>PARI</v>
      </c>
      <c r="E9302" s="2" t="str">
        <f>"CONSULTA DE PREVISÃO DE INTERNAÇÃO"</f>
        <v>CONSULTA DE PREVISÃO DE INTERNAÇÃO</v>
      </c>
      <c r="F9302" s="2" t="str">
        <f>"CON_RES_LEI"</f>
        <v>CON_RES_LEI</v>
      </c>
      <c r="G9302" s="2" t="str">
        <f>"MVSaude / Vendas / Internação / Consultas / Previsões de Internação (CON_RES_LEI)"</f>
        <v>MVSaude / Vendas / Internação / Consultas / Previsões de Internação (CON_RES_LEI)</v>
      </c>
    </row>
    <row r="9303" spans="1:7" x14ac:dyDescent="0.3">
      <c r="A9303" s="1" t="s">
        <v>4</v>
      </c>
      <c r="B9303" s="2" t="str">
        <f t="shared" si="799"/>
        <v>SISTEMA DE GERENCIAMENTO DE INTERNAÇÃO</v>
      </c>
      <c r="C9303" s="2" t="str">
        <f t="shared" si="800"/>
        <v>INTER</v>
      </c>
      <c r="D9303" s="2" t="str">
        <f t="shared" si="801"/>
        <v>PARI</v>
      </c>
      <c r="E9303" s="2" t="str">
        <f>"CONSULTA DE PREVISÃO DE INTERNAÇÃO"</f>
        <v>CONSULTA DE PREVISÃO DE INTERNAÇÃO</v>
      </c>
      <c r="F9303" s="2" t="str">
        <f>"CON_RES_LEI"</f>
        <v>CON_RES_LEI</v>
      </c>
      <c r="G9303" s="2" t="str">
        <f>"MVSaude / Atendimento / Autorizações de Guias / Internação / Consultas / Previsões de Internação (CON_RES_LEI)"</f>
        <v>MVSaude / Atendimento / Autorizações de Guias / Internação / Consultas / Previsões de Internação (CON_RES_LEI)</v>
      </c>
    </row>
    <row r="9304" spans="1:7" x14ac:dyDescent="0.3">
      <c r="A9304" s="1" t="s">
        <v>4</v>
      </c>
      <c r="B9304" s="2" t="str">
        <f t="shared" si="799"/>
        <v>SISTEMA DE GERENCIAMENTO DE INTERNAÇÃO</v>
      </c>
      <c r="C9304" s="2" t="str">
        <f t="shared" si="800"/>
        <v>INTER</v>
      </c>
      <c r="D9304" s="2" t="str">
        <f t="shared" si="801"/>
        <v>PARI</v>
      </c>
      <c r="E9304" s="2" t="str">
        <f>"CONSULTA DE PREVISÃO DE INTERNAÇÃO"</f>
        <v>CONSULTA DE PREVISÃO DE INTERNAÇÃO</v>
      </c>
      <c r="F9304" s="2" t="str">
        <f>"CON_RES_LEI"</f>
        <v>CON_RES_LEI</v>
      </c>
      <c r="G9304" s="2" t="str">
        <f>"Atendimento / Internação / Consultas / Previsões de Internação (CON_RES_LEI)"</f>
        <v>Atendimento / Internação / Consultas / Previsões de Internação (CON_RES_LEI)</v>
      </c>
    </row>
    <row r="9305" spans="1:7" x14ac:dyDescent="0.3">
      <c r="A9305" s="1" t="s">
        <v>4</v>
      </c>
      <c r="B9305" s="2" t="str">
        <f t="shared" si="799"/>
        <v>SISTEMA DE GERENCIAMENTO DE INTERNAÇÃO</v>
      </c>
      <c r="C9305" s="2" t="str">
        <f t="shared" si="800"/>
        <v>INTER</v>
      </c>
      <c r="D9305" s="2" t="str">
        <f t="shared" si="801"/>
        <v>PARI</v>
      </c>
      <c r="E9305" s="2" t="str">
        <f>"REL DE ETIQUETA DE INTERNACAO"</f>
        <v>REL DE ETIQUETA DE INTERNACAO</v>
      </c>
      <c r="F9305" s="2" t="str">
        <f>"R_ETIQUETA_INTERNACAO"</f>
        <v>R_ETIQUETA_INTERNACAO</v>
      </c>
      <c r="G9305" s="2" t="str">
        <f>"MVSaude / Vendas / Internação / Relatórios / Operacionais / Etiqueta de Internação (R_ETIQUETA_INTERNACAO)"</f>
        <v>MVSaude / Vendas / Internação / Relatórios / Operacionais / Etiqueta de Internação (R_ETIQUETA_INTERNACAO)</v>
      </c>
    </row>
    <row r="9306" spans="1:7" x14ac:dyDescent="0.3">
      <c r="A9306" s="1" t="s">
        <v>4</v>
      </c>
      <c r="B9306" s="2" t="str">
        <f t="shared" si="799"/>
        <v>SISTEMA DE GERENCIAMENTO DE INTERNAÇÃO</v>
      </c>
      <c r="C9306" s="2" t="str">
        <f t="shared" si="800"/>
        <v>INTER</v>
      </c>
      <c r="D9306" s="2" t="str">
        <f t="shared" si="801"/>
        <v>PARI</v>
      </c>
      <c r="E9306" s="2" t="str">
        <f>"REL DE ETIQUETA DE INTERNACAO"</f>
        <v>REL DE ETIQUETA DE INTERNACAO</v>
      </c>
      <c r="F9306" s="2" t="str">
        <f>"R_ETIQUETA_INTERNACAO"</f>
        <v>R_ETIQUETA_INTERNACAO</v>
      </c>
      <c r="G9306" s="2" t="str">
        <f>"Atendimento / Internação / Relatórios / Operacionais / Etiqueta de Internação (R_ETIQUETA_INTERNACAO)"</f>
        <v>Atendimento / Internação / Relatórios / Operacionais / Etiqueta de Internação (R_ETIQUETA_INTERNACAO)</v>
      </c>
    </row>
    <row r="9307" spans="1:7" x14ac:dyDescent="0.3">
      <c r="A9307" s="1" t="s">
        <v>4</v>
      </c>
      <c r="B9307" s="2" t="str">
        <f t="shared" si="799"/>
        <v>SISTEMA DE GERENCIAMENTO DE INTERNAÇÃO</v>
      </c>
      <c r="C9307" s="2" t="str">
        <f t="shared" si="800"/>
        <v>INTER</v>
      </c>
      <c r="D9307" s="2" t="str">
        <f t="shared" si="801"/>
        <v>PARI</v>
      </c>
      <c r="E9307" s="2" t="str">
        <f>"REL DE ETIQUETA DE INTERNACAO"</f>
        <v>REL DE ETIQUETA DE INTERNACAO</v>
      </c>
      <c r="F9307" s="2" t="str">
        <f>"R_ETIQUETA_INTERNACAO"</f>
        <v>R_ETIQUETA_INTERNACAO</v>
      </c>
      <c r="G9307" s="2" t="str">
        <f>"MVSaude / Atendimento / Autorizações de Guias / Internação / Relatórios / Operacionais / Etiqueta de Internação (R_ETIQUETA_INTERNACAO)"</f>
        <v>MVSaude / Atendimento / Autorizações de Guias / Internação / Relatórios / Operacionais / Etiqueta de Internação (R_ETIQUETA_INTERNACAO)</v>
      </c>
    </row>
    <row r="9308" spans="1:7" x14ac:dyDescent="0.3">
      <c r="A9308" s="1" t="s">
        <v>4</v>
      </c>
      <c r="B9308" s="2" t="str">
        <f t="shared" si="799"/>
        <v>SISTEMA DE GERENCIAMENTO DE INTERNAÇÃO</v>
      </c>
      <c r="C9308" s="2" t="str">
        <f t="shared" si="800"/>
        <v>INTER</v>
      </c>
      <c r="D9308" s="2" t="str">
        <f t="shared" si="801"/>
        <v>PARI</v>
      </c>
      <c r="E9308" s="2" t="str">
        <f>"REL DE ETIQUETA DE INTERNACAO"</f>
        <v>REL DE ETIQUETA DE INTERNACAO</v>
      </c>
      <c r="F9308" s="2" t="str">
        <f>"R_ETIQUETA_INTERNACAO"</f>
        <v>R_ETIQUETA_INTERNACAO</v>
      </c>
      <c r="G9308" s="2" t="str">
        <f>"Clínica e Assistencial / Gerenciamento de Unidades / Relatórios / Operacionais / Etiqueta de Paciente (R_ETIQUETA_INTERNACAO)"</f>
        <v>Clínica e Assistencial / Gerenciamento de Unidades / Relatórios / Operacionais / Etiqueta de Paciente (R_ETIQUETA_INTERNACAO)</v>
      </c>
    </row>
    <row r="9309" spans="1:7" x14ac:dyDescent="0.3">
      <c r="A9309" s="1" t="s">
        <v>4</v>
      </c>
      <c r="B9309" s="2" t="str">
        <f t="shared" si="799"/>
        <v>SISTEMA DE GERENCIAMENTO DE INTERNAÇÃO</v>
      </c>
      <c r="C9309" s="2" t="str">
        <f t="shared" si="800"/>
        <v>INTER</v>
      </c>
      <c r="D9309" s="2" t="str">
        <f t="shared" si="801"/>
        <v>PARI</v>
      </c>
      <c r="E9309" s="2" t="str">
        <f>"REL DE UNIDADE INT X PACIENTES POR CID"</f>
        <v>REL DE UNIDADE INT X PACIENTES POR CID</v>
      </c>
      <c r="F9309" s="2" t="str">
        <f>"R_PACIENTE_POR_CID_UNID"</f>
        <v>R_PACIENTE_POR_CID_UNID</v>
      </c>
      <c r="G9309" s="2" t="str">
        <f>"MVSaude / Vendas / Internação / Relatórios / Estatísticos / Cid / Unidade de Internação X Pacientes por Cid (R_PACIENTE_POR_CID_UNID)"</f>
        <v>MVSaude / Vendas / Internação / Relatórios / Estatísticos / Cid / Unidade de Internação X Pacientes por Cid (R_PACIENTE_POR_CID_UNID)</v>
      </c>
    </row>
    <row r="9310" spans="1:7" x14ac:dyDescent="0.3">
      <c r="A9310" s="1" t="s">
        <v>4</v>
      </c>
      <c r="B9310" s="2" t="str">
        <f t="shared" si="799"/>
        <v>SISTEMA DE GERENCIAMENTO DE INTERNAÇÃO</v>
      </c>
      <c r="C9310" s="2" t="str">
        <f t="shared" si="800"/>
        <v>INTER</v>
      </c>
      <c r="D9310" s="2" t="str">
        <f t="shared" si="801"/>
        <v>PARI</v>
      </c>
      <c r="E9310" s="2" t="str">
        <f>"REL DE UNIDADE INT X PACIENTES POR CID"</f>
        <v>REL DE UNIDADE INT X PACIENTES POR CID</v>
      </c>
      <c r="F9310" s="2" t="str">
        <f>"R_PACIENTE_POR_CID_UNID"</f>
        <v>R_PACIENTE_POR_CID_UNID</v>
      </c>
      <c r="G9310" s="2" t="str">
        <f>"Serviços de Apoio / Serviço Arquivo Médico / Relatórios / Estatísticos / Cid / Unidade de Interção X Pacientes por Cid (R_PACIENTE_POR_CID_UNID)"</f>
        <v>Serviços de Apoio / Serviço Arquivo Médico / Relatórios / Estatísticos / Cid / Unidade de Interção X Pacientes por Cid (R_PACIENTE_POR_CID_UNID)</v>
      </c>
    </row>
    <row r="9311" spans="1:7" x14ac:dyDescent="0.3">
      <c r="A9311" s="1" t="s">
        <v>4</v>
      </c>
      <c r="B9311" s="2" t="str">
        <f t="shared" si="799"/>
        <v>SISTEMA DE GERENCIAMENTO DE INTERNAÇÃO</v>
      </c>
      <c r="C9311" s="2" t="str">
        <f t="shared" si="800"/>
        <v>INTER</v>
      </c>
      <c r="D9311" s="2" t="str">
        <f t="shared" si="801"/>
        <v>PARI</v>
      </c>
      <c r="E9311" s="2" t="str">
        <f>"REL DE UNIDADE INT X PACIENTES POR CID"</f>
        <v>REL DE UNIDADE INT X PACIENTES POR CID</v>
      </c>
      <c r="F9311" s="2" t="str">
        <f>"R_PACIENTE_POR_CID_UNID"</f>
        <v>R_PACIENTE_POR_CID_UNID</v>
      </c>
      <c r="G9311" s="2" t="str">
        <f>"Atendimento / Internação / Relatórios / Estatísticos / Cid / Unidade de Internação X Pacientes por Cid (R_PACIENTE_POR_CID_UNID)"</f>
        <v>Atendimento / Internação / Relatórios / Estatísticos / Cid / Unidade de Internação X Pacientes por Cid (R_PACIENTE_POR_CID_UNID)</v>
      </c>
    </row>
    <row r="9312" spans="1:7" x14ac:dyDescent="0.3">
      <c r="A9312" s="1" t="s">
        <v>4</v>
      </c>
      <c r="B9312" s="2" t="str">
        <f t="shared" si="799"/>
        <v>SISTEMA DE GERENCIAMENTO DE INTERNAÇÃO</v>
      </c>
      <c r="C9312" s="2" t="str">
        <f t="shared" si="800"/>
        <v>INTER</v>
      </c>
      <c r="D9312" s="2" t="str">
        <f t="shared" si="801"/>
        <v>PARI</v>
      </c>
      <c r="E9312" s="2" t="str">
        <f>"REL DE UNIDADE INT X PACIENTES POR CID"</f>
        <v>REL DE UNIDADE INT X PACIENTES POR CID</v>
      </c>
      <c r="F9312" s="2" t="str">
        <f>"R_PACIENTE_POR_CID_UNID"</f>
        <v>R_PACIENTE_POR_CID_UNID</v>
      </c>
      <c r="G9312" s="2" t="str">
        <f>"MVSaude / Atendimento / Autorizações de Guias / Internação / Relatórios / Estatísticos / Cid / Unidade de Internação X Pacientes por Cid (R_PACIENTE_POR_CID_UNID)"</f>
        <v>MVSaude / Atendimento / Autorizações de Guias / Internação / Relatórios / Estatísticos / Cid / Unidade de Internação X Pacientes por Cid (R_PACIENTE_POR_CID_UNID)</v>
      </c>
    </row>
    <row r="9313" spans="1:7" x14ac:dyDescent="0.3">
      <c r="A9313" s="1" t="s">
        <v>4</v>
      </c>
      <c r="B9313" s="2" t="str">
        <f t="shared" si="799"/>
        <v>SISTEMA DE GERENCIAMENTO DE INTERNAÇÃO</v>
      </c>
      <c r="C9313" s="2" t="str">
        <f t="shared" si="800"/>
        <v>INTER</v>
      </c>
      <c r="D9313" s="2" t="str">
        <f t="shared" si="801"/>
        <v>PARI</v>
      </c>
      <c r="E9313" s="2" t="str">
        <f>"CARTAO DE OBITO"</f>
        <v>CARTAO DE OBITO</v>
      </c>
      <c r="F9313" s="2" t="str">
        <f>"R_CARTAO_OBITO"</f>
        <v>R_CARTAO_OBITO</v>
      </c>
      <c r="G9313" s="2" t="str">
        <f>"MVSaude / Vendas / Internação / Relatórios / Operacionais / Cartão de Óbito (R_CARTAO_OBITO)"</f>
        <v>MVSaude / Vendas / Internação / Relatórios / Operacionais / Cartão de Óbito (R_CARTAO_OBITO)</v>
      </c>
    </row>
    <row r="9314" spans="1:7" x14ac:dyDescent="0.3">
      <c r="A9314" s="1" t="s">
        <v>4</v>
      </c>
      <c r="B9314" s="2" t="str">
        <f t="shared" si="799"/>
        <v>SISTEMA DE GERENCIAMENTO DE INTERNAÇÃO</v>
      </c>
      <c r="C9314" s="2" t="str">
        <f t="shared" si="800"/>
        <v>INTER</v>
      </c>
      <c r="D9314" s="2" t="str">
        <f t="shared" si="801"/>
        <v>PARI</v>
      </c>
      <c r="E9314" s="2" t="str">
        <f>"CARTAO DE OBITO"</f>
        <v>CARTAO DE OBITO</v>
      </c>
      <c r="F9314" s="2" t="str">
        <f>"R_CARTAO_OBITO"</f>
        <v>R_CARTAO_OBITO</v>
      </c>
      <c r="G9314" s="2" t="str">
        <f>"Atendimento / Internação / Relatórios / Operacionais / Cartão de Óbito (R_CARTAO_OBITO)"</f>
        <v>Atendimento / Internação / Relatórios / Operacionais / Cartão de Óbito (R_CARTAO_OBITO)</v>
      </c>
    </row>
    <row r="9315" spans="1:7" x14ac:dyDescent="0.3">
      <c r="A9315" s="1" t="s">
        <v>4</v>
      </c>
      <c r="B9315" s="2" t="str">
        <f t="shared" si="799"/>
        <v>SISTEMA DE GERENCIAMENTO DE INTERNAÇÃO</v>
      </c>
      <c r="C9315" s="2" t="str">
        <f t="shared" si="800"/>
        <v>INTER</v>
      </c>
      <c r="D9315" s="2" t="str">
        <f t="shared" si="801"/>
        <v>PARI</v>
      </c>
      <c r="E9315" s="2" t="str">
        <f>"CARTAO DE OBITO"</f>
        <v>CARTAO DE OBITO</v>
      </c>
      <c r="F9315" s="2" t="str">
        <f>"R_CARTAO_OBITO"</f>
        <v>R_CARTAO_OBITO</v>
      </c>
      <c r="G9315" s="2" t="str">
        <f>"Serviços de Apoio / Serviço Arquivo Médico / Relatórios / Operacionais / Cartão de Óbito (R_CARTAO_OBITO)"</f>
        <v>Serviços de Apoio / Serviço Arquivo Médico / Relatórios / Operacionais / Cartão de Óbito (R_CARTAO_OBITO)</v>
      </c>
    </row>
    <row r="9316" spans="1:7" x14ac:dyDescent="0.3">
      <c r="A9316" s="1" t="s">
        <v>4</v>
      </c>
      <c r="B9316" s="2" t="str">
        <f t="shared" si="799"/>
        <v>SISTEMA DE GERENCIAMENTO DE INTERNAÇÃO</v>
      </c>
      <c r="C9316" s="2" t="str">
        <f t="shared" si="800"/>
        <v>INTER</v>
      </c>
      <c r="D9316" s="2" t="str">
        <f t="shared" si="801"/>
        <v>PARI</v>
      </c>
      <c r="E9316" s="2" t="str">
        <f>"CARTAO DE OBITO"</f>
        <v>CARTAO DE OBITO</v>
      </c>
      <c r="F9316" s="2" t="str">
        <f>"R_CARTAO_OBITO"</f>
        <v>R_CARTAO_OBITO</v>
      </c>
      <c r="G9316" s="2" t="str">
        <f>"MVSaude / Atendimento / Autorizações de Guias / Internação / Relatórios / Operacionais / Cartão de Óbito (R_CARTAO_OBITO)"</f>
        <v>MVSaude / Atendimento / Autorizações de Guias / Internação / Relatórios / Operacionais / Cartão de Óbito (R_CARTAO_OBITO)</v>
      </c>
    </row>
    <row r="9317" spans="1:7" x14ac:dyDescent="0.3">
      <c r="A9317" s="1" t="s">
        <v>4</v>
      </c>
      <c r="B9317" s="2" t="str">
        <f t="shared" si="799"/>
        <v>SISTEMA DE GERENCIAMENTO DE INTERNAÇÃO</v>
      </c>
      <c r="C9317" s="2" t="str">
        <f t="shared" si="800"/>
        <v>INTER</v>
      </c>
      <c r="D9317" s="2" t="str">
        <f t="shared" si="801"/>
        <v>PARI</v>
      </c>
      <c r="E9317" s="2" t="str">
        <f>"BANCO DE PROCEDIMENTOS"</f>
        <v>BANCO DE PROCEDIMENTOS</v>
      </c>
      <c r="F9317" s="2" t="str">
        <f>"M_BANCO_PROCEDIMENTOS"</f>
        <v>M_BANCO_PROCEDIMENTOS</v>
      </c>
      <c r="G9317" s="2" t="str">
        <f>" ()"</f>
        <v xml:space="preserve"> ()</v>
      </c>
    </row>
    <row r="9318" spans="1:7" x14ac:dyDescent="0.3">
      <c r="A9318" s="1" t="s">
        <v>4</v>
      </c>
      <c r="B9318" s="2" t="str">
        <f t="shared" si="799"/>
        <v>SISTEMA DE GERENCIAMENTO DE INTERNAÇÃO</v>
      </c>
      <c r="C9318" s="2" t="str">
        <f t="shared" si="800"/>
        <v>INTER</v>
      </c>
      <c r="D9318" s="2" t="str">
        <f t="shared" si="801"/>
        <v>PARI</v>
      </c>
      <c r="E9318" s="2" t="str">
        <f>"ETIQUETA CADASTRAL C/ CODIGO DE BARRAS"</f>
        <v>ETIQUETA CADASTRAL C/ CODIGO DE BARRAS</v>
      </c>
      <c r="F9318" s="2" t="str">
        <f>"R_ETIQUETA_CAD_BARRAS"</f>
        <v>R_ETIQUETA_CAD_BARRAS</v>
      </c>
      <c r="G9318" s="2" t="str">
        <f>" ()"</f>
        <v xml:space="preserve"> ()</v>
      </c>
    </row>
    <row r="9319" spans="1:7" x14ac:dyDescent="0.3">
      <c r="A9319" s="1" t="s">
        <v>4</v>
      </c>
      <c r="B9319" s="2" t="str">
        <f t="shared" si="799"/>
        <v>SISTEMA DE GERENCIAMENTO DE INTERNAÇÃO</v>
      </c>
      <c r="C9319" s="2" t="str">
        <f t="shared" si="800"/>
        <v>INTER</v>
      </c>
      <c r="D9319" s="2" t="str">
        <f t="shared" si="801"/>
        <v>PARI</v>
      </c>
      <c r="E9319" s="2" t="str">
        <f>"RELATORIO DE INTERNAÇOES POR UNIDADE"</f>
        <v>RELATORIO DE INTERNAÇOES POR UNIDADE</v>
      </c>
      <c r="F9319" s="2" t="str">
        <f>"R_INTERNACOES_UNIDADES"</f>
        <v>R_INTERNACOES_UNIDADES</v>
      </c>
      <c r="G9319" s="2" t="str">
        <f>" ()"</f>
        <v xml:space="preserve"> ()</v>
      </c>
    </row>
    <row r="9320" spans="1:7" x14ac:dyDescent="0.3">
      <c r="A9320" s="1" t="s">
        <v>4</v>
      </c>
      <c r="B9320" s="2" t="str">
        <f t="shared" si="799"/>
        <v>SISTEMA DE GERENCIAMENTO DE INTERNAÇÃO</v>
      </c>
      <c r="C9320" s="2" t="str">
        <f t="shared" si="800"/>
        <v>INTER</v>
      </c>
      <c r="D9320" s="2" t="str">
        <f t="shared" si="801"/>
        <v>PARI</v>
      </c>
      <c r="E9320" s="2" t="str">
        <f>"RELAT. DE TRANSFERENCIA DE PACIENTE"</f>
        <v>RELAT. DE TRANSFERENCIA DE PACIENTE</v>
      </c>
      <c r="F9320" s="2" t="str">
        <f>"R_MAPA_TRANSF"</f>
        <v>R_MAPA_TRANSF</v>
      </c>
      <c r="G9320" s="2" t="str">
        <f>"Atendimento / Internação / Relatórios / Movimentação / Movimento de Transf. de Pacientes Internados (R_MAPA_TRANSF)"</f>
        <v>Atendimento / Internação / Relatórios / Movimentação / Movimento de Transf. de Pacientes Internados (R_MAPA_TRANSF)</v>
      </c>
    </row>
    <row r="9321" spans="1:7" x14ac:dyDescent="0.3">
      <c r="A9321" s="1" t="s">
        <v>4</v>
      </c>
      <c r="B9321" s="2" t="str">
        <f t="shared" si="799"/>
        <v>SISTEMA DE GERENCIAMENTO DE INTERNAÇÃO</v>
      </c>
      <c r="C9321" s="2" t="str">
        <f t="shared" si="800"/>
        <v>INTER</v>
      </c>
      <c r="D9321" s="2" t="str">
        <f t="shared" si="801"/>
        <v>PARI</v>
      </c>
      <c r="E9321" s="2" t="str">
        <f>"RELAT. DE TRANSFERENCIA DE PACIENTE"</f>
        <v>RELAT. DE TRANSFERENCIA DE PACIENTE</v>
      </c>
      <c r="F9321" s="2" t="str">
        <f>"R_MAPA_TRANSF"</f>
        <v>R_MAPA_TRANSF</v>
      </c>
      <c r="G9321" s="2" t="str">
        <f>"MVSaude / Atendimento / Autorizações de Guias / Internação / Relatórios / Movimentação / Movimento de Transf. de Pacientes Internados (R_MAPA_TRANSF)"</f>
        <v>MVSaude / Atendimento / Autorizações de Guias / Internação / Relatórios / Movimentação / Movimento de Transf. de Pacientes Internados (R_MAPA_TRANSF)</v>
      </c>
    </row>
    <row r="9322" spans="1:7" x14ac:dyDescent="0.3">
      <c r="A9322" s="1" t="s">
        <v>4</v>
      </c>
      <c r="B9322" s="2" t="str">
        <f t="shared" si="799"/>
        <v>SISTEMA DE GERENCIAMENTO DE INTERNAÇÃO</v>
      </c>
      <c r="C9322" s="2" t="str">
        <f t="shared" si="800"/>
        <v>INTER</v>
      </c>
      <c r="D9322" s="2" t="str">
        <f t="shared" si="801"/>
        <v>PARI</v>
      </c>
      <c r="E9322" s="2" t="str">
        <f>"RELAT. DE TRANSFERENCIA DE PACIENTE"</f>
        <v>RELAT. DE TRANSFERENCIA DE PACIENTE</v>
      </c>
      <c r="F9322" s="2" t="str">
        <f>"R_MAPA_TRANSF"</f>
        <v>R_MAPA_TRANSF</v>
      </c>
      <c r="G9322" s="2" t="str">
        <f>"MVSaude / Vendas / Internação / Relatórios / Movimentação / Movimento de Transf. de Pacientes Internados (R_MAPA_TRANSF)"</f>
        <v>MVSaude / Vendas / Internação / Relatórios / Movimentação / Movimento de Transf. de Pacientes Internados (R_MAPA_TRANSF)</v>
      </c>
    </row>
    <row r="9323" spans="1:7" x14ac:dyDescent="0.3">
      <c r="A9323" s="1" t="s">
        <v>4</v>
      </c>
      <c r="B9323" s="2" t="str">
        <f t="shared" si="799"/>
        <v>SISTEMA DE GERENCIAMENTO DE INTERNAÇÃO</v>
      </c>
      <c r="C9323" s="2" t="str">
        <f t="shared" si="800"/>
        <v>INTER</v>
      </c>
      <c r="D9323" s="2" t="str">
        <f t="shared" si="801"/>
        <v>PARI</v>
      </c>
      <c r="E9323" s="2" t="str">
        <f>"CALCULO DE HONORARIOS"</f>
        <v>CALCULO DE HONORARIOS</v>
      </c>
      <c r="F9323" s="2" t="str">
        <f>"CALC_VL_HONOR"</f>
        <v>CALC_VL_HONOR</v>
      </c>
      <c r="G9323" s="2" t="str">
        <f t="shared" ref="G9323:G9331" si="802">" ()"</f>
        <v xml:space="preserve"> ()</v>
      </c>
    </row>
    <row r="9324" spans="1:7" x14ac:dyDescent="0.3">
      <c r="A9324" s="1" t="s">
        <v>4</v>
      </c>
      <c r="B9324" s="2" t="str">
        <f t="shared" si="799"/>
        <v>SISTEMA DE GERENCIAMENTO DE INTERNAÇÃO</v>
      </c>
      <c r="C9324" s="2" t="str">
        <f t="shared" si="800"/>
        <v>INTER</v>
      </c>
      <c r="D9324" s="2" t="str">
        <f t="shared" si="801"/>
        <v>PARI</v>
      </c>
      <c r="E9324" s="2" t="str">
        <f>"REL DE IMPRESSOES"</f>
        <v>REL DE IMPRESSOES</v>
      </c>
      <c r="F9324" s="2" t="str">
        <f>"R_FICHA360"</f>
        <v>R_FICHA360</v>
      </c>
      <c r="G9324" s="2" t="str">
        <f t="shared" si="802"/>
        <v xml:space="preserve"> ()</v>
      </c>
    </row>
    <row r="9325" spans="1:7" x14ac:dyDescent="0.3">
      <c r="A9325" s="1" t="s">
        <v>4</v>
      </c>
      <c r="B9325" s="2" t="str">
        <f t="shared" si="799"/>
        <v>SISTEMA DE GERENCIAMENTO DE INTERNAÇÃO</v>
      </c>
      <c r="C9325" s="2" t="str">
        <f t="shared" si="800"/>
        <v>INTER</v>
      </c>
      <c r="D9325" s="2" t="str">
        <f t="shared" si="801"/>
        <v>PARI</v>
      </c>
      <c r="E9325" s="2" t="str">
        <f>"EMISSAO DE LAUDO SUS"</f>
        <v>EMISSAO DE LAUDO SUS</v>
      </c>
      <c r="F9325" s="2" t="str">
        <f>"R_LAUDOSUS"</f>
        <v>R_LAUDOSUS</v>
      </c>
      <c r="G9325" s="2" t="str">
        <f t="shared" si="802"/>
        <v xml:space="preserve"> ()</v>
      </c>
    </row>
    <row r="9326" spans="1:7" x14ac:dyDescent="0.3">
      <c r="A9326" s="1" t="s">
        <v>4</v>
      </c>
      <c r="B9326" s="2" t="str">
        <f t="shared" si="799"/>
        <v>SISTEMA DE GERENCIAMENTO DE INTERNAÇÃO</v>
      </c>
      <c r="C9326" s="2" t="str">
        <f t="shared" si="800"/>
        <v>INTER</v>
      </c>
      <c r="D9326" s="2" t="str">
        <f t="shared" si="801"/>
        <v>PARI</v>
      </c>
      <c r="E9326" s="2" t="str">
        <f>"REL DE TERMO DO ATENDIMENTO"</f>
        <v>REL DE TERMO DO ATENDIMENTO</v>
      </c>
      <c r="F9326" s="2" t="str">
        <f>"R_TERMO_ATENDIMENTO759"</f>
        <v>R_TERMO_ATENDIMENTO759</v>
      </c>
      <c r="G9326" s="2" t="str">
        <f t="shared" si="802"/>
        <v xml:space="preserve"> ()</v>
      </c>
    </row>
    <row r="9327" spans="1:7" x14ac:dyDescent="0.3">
      <c r="A9327" s="1" t="s">
        <v>4</v>
      </c>
      <c r="B9327" s="2" t="str">
        <f t="shared" si="799"/>
        <v>SISTEMA DE GERENCIAMENTO DE INTERNAÇÃO</v>
      </c>
      <c r="C9327" s="2" t="str">
        <f t="shared" si="800"/>
        <v>INTER</v>
      </c>
      <c r="D9327" s="2" t="str">
        <f t="shared" si="801"/>
        <v>PARI</v>
      </c>
      <c r="E9327" s="2" t="str">
        <f>"REL DE ANAMNESE DO PARI"</f>
        <v>REL DE ANAMNESE DO PARI</v>
      </c>
      <c r="F9327" s="2" t="str">
        <f>"R_ANAMNESE759"</f>
        <v>R_ANAMNESE759</v>
      </c>
      <c r="G9327" s="2" t="str">
        <f t="shared" si="802"/>
        <v xml:space="preserve"> ()</v>
      </c>
    </row>
    <row r="9328" spans="1:7" x14ac:dyDescent="0.3">
      <c r="A9328" s="1" t="s">
        <v>4</v>
      </c>
      <c r="B9328" s="2" t="str">
        <f t="shared" si="799"/>
        <v>SISTEMA DE GERENCIAMENTO DE INTERNAÇÃO</v>
      </c>
      <c r="C9328" s="2" t="str">
        <f t="shared" si="800"/>
        <v>INTER</v>
      </c>
      <c r="D9328" s="2" t="str">
        <f t="shared" si="801"/>
        <v>PARI</v>
      </c>
      <c r="E9328" s="2" t="str">
        <f>"REL DE FICHA DE INTERNACAO E ALTA"</f>
        <v>REL DE FICHA DE INTERNACAO E ALTA</v>
      </c>
      <c r="F9328" s="2" t="str">
        <f>"R_FICHA_INTER_ALTA755"</f>
        <v>R_FICHA_INTER_ALTA755</v>
      </c>
      <c r="G9328" s="2" t="str">
        <f t="shared" si="802"/>
        <v xml:space="preserve"> ()</v>
      </c>
    </row>
    <row r="9329" spans="1:7" x14ac:dyDescent="0.3">
      <c r="A9329" s="1" t="s">
        <v>4</v>
      </c>
      <c r="B9329" s="2" t="str">
        <f t="shared" si="799"/>
        <v>SISTEMA DE GERENCIAMENTO DE INTERNAÇÃO</v>
      </c>
      <c r="C9329" s="2" t="str">
        <f t="shared" si="800"/>
        <v>INTER</v>
      </c>
      <c r="D9329" s="2" t="str">
        <f t="shared" si="801"/>
        <v>PARI</v>
      </c>
      <c r="E9329" s="2" t="str">
        <f>"REL ESTAT. DE INTERNAÇÕES POR CONVÊNIO"</f>
        <v>REL ESTAT. DE INTERNAÇÕES POR CONVÊNIO</v>
      </c>
      <c r="F9329" s="2" t="str">
        <f>"R_EST_INTER_CONVENIO755"</f>
        <v>R_EST_INTER_CONVENIO755</v>
      </c>
      <c r="G9329" s="2" t="str">
        <f t="shared" si="802"/>
        <v xml:space="preserve"> ()</v>
      </c>
    </row>
    <row r="9330" spans="1:7" x14ac:dyDescent="0.3">
      <c r="A9330" s="1" t="s">
        <v>4</v>
      </c>
      <c r="B9330" s="2" t="str">
        <f t="shared" si="799"/>
        <v>SISTEMA DE GERENCIAMENTO DE INTERNAÇÃO</v>
      </c>
      <c r="C9330" s="2" t="str">
        <f t="shared" si="800"/>
        <v>INTER</v>
      </c>
      <c r="D9330" s="2" t="str">
        <f t="shared" si="801"/>
        <v>PARI</v>
      </c>
      <c r="E9330" s="2" t="str">
        <f>"REL ESTATIST. DE INTERNAÇÕES POR MÉDICO"</f>
        <v>REL ESTATIST. DE INTERNAÇÕES POR MÉDICO</v>
      </c>
      <c r="F9330" s="2" t="str">
        <f>"R_EST_INTER_MEDICO755"</f>
        <v>R_EST_INTER_MEDICO755</v>
      </c>
      <c r="G9330" s="2" t="str">
        <f t="shared" si="802"/>
        <v xml:space="preserve"> ()</v>
      </c>
    </row>
    <row r="9331" spans="1:7" x14ac:dyDescent="0.3">
      <c r="A9331" s="1" t="s">
        <v>4</v>
      </c>
      <c r="B9331" s="2" t="str">
        <f t="shared" si="799"/>
        <v>SISTEMA DE GERENCIAMENTO DE INTERNAÇÃO</v>
      </c>
      <c r="C9331" s="2" t="str">
        <f t="shared" si="800"/>
        <v>INTER</v>
      </c>
      <c r="D9331" s="2" t="str">
        <f t="shared" si="801"/>
        <v>PARI</v>
      </c>
      <c r="E9331" s="2" t="str">
        <f>"RELATÓRIO DE TAXA DIÁRIA DE OCUPAÇÃO"</f>
        <v>RELATÓRIO DE TAXA DIÁRIA DE OCUPAÇÃO</v>
      </c>
      <c r="F9331" s="2" t="str">
        <f>"R_PROD_DIA_734"</f>
        <v>R_PROD_DIA_734</v>
      </c>
      <c r="G9331" s="2" t="str">
        <f t="shared" si="802"/>
        <v xml:space="preserve"> ()</v>
      </c>
    </row>
    <row r="9332" spans="1:7" x14ac:dyDescent="0.3">
      <c r="A9332" s="1" t="s">
        <v>4</v>
      </c>
      <c r="B9332" s="2" t="str">
        <f t="shared" si="799"/>
        <v>SISTEMA DE GERENCIAMENTO DE INTERNAÇÃO</v>
      </c>
      <c r="C9332" s="2" t="str">
        <f t="shared" si="800"/>
        <v>INTER</v>
      </c>
      <c r="D9332" s="2" t="str">
        <f t="shared" si="801"/>
        <v>PARI</v>
      </c>
      <c r="E9332" s="2" t="str">
        <f>"REL DE PACIENTES DUPLICADOS"</f>
        <v>REL DE PACIENTES DUPLICADOS</v>
      </c>
      <c r="F9332" s="2" t="str">
        <f>"R_PAC_DUPLIC"</f>
        <v>R_PAC_DUPLIC</v>
      </c>
      <c r="G9332" s="2" t="str">
        <f>"MVSaude / Vendas / Internação / Relatórios / Operacionais / Pacientes / Em Duplicidade (R_PAC_DUPLIC)"</f>
        <v>MVSaude / Vendas / Internação / Relatórios / Operacionais / Pacientes / Em Duplicidade (R_PAC_DUPLIC)</v>
      </c>
    </row>
    <row r="9333" spans="1:7" x14ac:dyDescent="0.3">
      <c r="A9333" s="1" t="s">
        <v>4</v>
      </c>
      <c r="B9333" s="2" t="str">
        <f t="shared" si="799"/>
        <v>SISTEMA DE GERENCIAMENTO DE INTERNAÇÃO</v>
      </c>
      <c r="C9333" s="2" t="str">
        <f t="shared" si="800"/>
        <v>INTER</v>
      </c>
      <c r="D9333" s="2" t="str">
        <f t="shared" si="801"/>
        <v>PARI</v>
      </c>
      <c r="E9333" s="2" t="str">
        <f>"REL DE PACIENTES DUPLICADOS"</f>
        <v>REL DE PACIENTES DUPLICADOS</v>
      </c>
      <c r="F9333" s="2" t="str">
        <f>"R_PAC_DUPLIC"</f>
        <v>R_PAC_DUPLIC</v>
      </c>
      <c r="G9333" s="2" t="str">
        <f>"Atendimento / Internação / Relatórios / Operacionais / Pacientes / Em Duplicidade (R_PAC_DUPLIC)"</f>
        <v>Atendimento / Internação / Relatórios / Operacionais / Pacientes / Em Duplicidade (R_PAC_DUPLIC)</v>
      </c>
    </row>
    <row r="9334" spans="1:7" x14ac:dyDescent="0.3">
      <c r="A9334" s="1" t="s">
        <v>4</v>
      </c>
      <c r="B9334" s="2" t="str">
        <f t="shared" si="799"/>
        <v>SISTEMA DE GERENCIAMENTO DE INTERNAÇÃO</v>
      </c>
      <c r="C9334" s="2" t="str">
        <f t="shared" si="800"/>
        <v>INTER</v>
      </c>
      <c r="D9334" s="2" t="str">
        <f t="shared" si="801"/>
        <v>PARI</v>
      </c>
      <c r="E9334" s="2" t="str">
        <f>"REL DE PACIENTES DUPLICADOS"</f>
        <v>REL DE PACIENTES DUPLICADOS</v>
      </c>
      <c r="F9334" s="2" t="str">
        <f>"R_PAC_DUPLIC"</f>
        <v>R_PAC_DUPLIC</v>
      </c>
      <c r="G9334" s="2" t="str">
        <f>"Serviços de Apoio / Serviço Arquivo Médico / Relatórios / Operacionais / Pacientes / Em Duplicidade (R_PAC_DUPLIC)"</f>
        <v>Serviços de Apoio / Serviço Arquivo Médico / Relatórios / Operacionais / Pacientes / Em Duplicidade (R_PAC_DUPLIC)</v>
      </c>
    </row>
    <row r="9335" spans="1:7" x14ac:dyDescent="0.3">
      <c r="A9335" s="1" t="s">
        <v>4</v>
      </c>
      <c r="B9335" s="2" t="str">
        <f t="shared" si="799"/>
        <v>SISTEMA DE GERENCIAMENTO DE INTERNAÇÃO</v>
      </c>
      <c r="C9335" s="2" t="str">
        <f t="shared" si="800"/>
        <v>INTER</v>
      </c>
      <c r="D9335" s="2" t="str">
        <f t="shared" si="801"/>
        <v>PARI</v>
      </c>
      <c r="E9335" s="2" t="str">
        <f>"REL DE PACIENTES DUPLICADOS"</f>
        <v>REL DE PACIENTES DUPLICADOS</v>
      </c>
      <c r="F9335" s="2" t="str">
        <f>"R_PAC_DUPLIC"</f>
        <v>R_PAC_DUPLIC</v>
      </c>
      <c r="G9335" s="2" t="str">
        <f>"Atendimento / Internação Domiciliar (Home Care) / Relatórios / Operacionais / Duplicidade de Pacientes (R_PAC_DUPLIC)"</f>
        <v>Atendimento / Internação Domiciliar (Home Care) / Relatórios / Operacionais / Duplicidade de Pacientes (R_PAC_DUPLIC)</v>
      </c>
    </row>
    <row r="9336" spans="1:7" x14ac:dyDescent="0.3">
      <c r="A9336" s="1" t="s">
        <v>4</v>
      </c>
      <c r="B9336" s="2" t="str">
        <f t="shared" si="799"/>
        <v>SISTEMA DE GERENCIAMENTO DE INTERNAÇÃO</v>
      </c>
      <c r="C9336" s="2" t="str">
        <f t="shared" si="800"/>
        <v>INTER</v>
      </c>
      <c r="D9336" s="2" t="str">
        <f t="shared" si="801"/>
        <v>PARI</v>
      </c>
      <c r="E9336" s="2" t="str">
        <f>"REL DE PACIENTES DUPLICADOS"</f>
        <v>REL DE PACIENTES DUPLICADOS</v>
      </c>
      <c r="F9336" s="2" t="str">
        <f>"R_PAC_DUPLIC"</f>
        <v>R_PAC_DUPLIC</v>
      </c>
      <c r="G9336" s="2" t="str">
        <f>"MVSaude / Atendimento / Autorizações de Guias / Internação / Relatórios / Operacionais / Pacientes / Em Duplicidade (R_PAC_DUPLIC)"</f>
        <v>MVSaude / Atendimento / Autorizações de Guias / Internação / Relatórios / Operacionais / Pacientes / Em Duplicidade (R_PAC_DUPLIC)</v>
      </c>
    </row>
    <row r="9337" spans="1:7" x14ac:dyDescent="0.3">
      <c r="A9337" s="1" t="s">
        <v>4</v>
      </c>
      <c r="B9337" s="2" t="str">
        <f t="shared" si="799"/>
        <v>SISTEMA DE GERENCIAMENTO DE INTERNAÇÃO</v>
      </c>
      <c r="C9337" s="2" t="str">
        <f t="shared" si="800"/>
        <v>INTER</v>
      </c>
      <c r="D9337" s="2" t="str">
        <f t="shared" si="801"/>
        <v>PARI</v>
      </c>
      <c r="E9337" s="2" t="str">
        <f t="shared" ref="E9337:E9342" si="803">"REL. PACIENTES CADASTRADOS NO PERÍODO"</f>
        <v>REL. PACIENTES CADASTRADOS NO PERÍODO</v>
      </c>
      <c r="F9337" s="2" t="str">
        <f t="shared" ref="F9337:F9342" si="804">"R_PAC_CAD"</f>
        <v>R_PAC_CAD</v>
      </c>
      <c r="G9337" s="2" t="str">
        <f>"MVSaude / Vendas / Internação / Relatórios / Operacionais / Pacientes / Cadastrados no Período (R_PAC_CAD)"</f>
        <v>MVSaude / Vendas / Internação / Relatórios / Operacionais / Pacientes / Cadastrados no Período (R_PAC_CAD)</v>
      </c>
    </row>
    <row r="9338" spans="1:7" x14ac:dyDescent="0.3">
      <c r="A9338" s="1" t="s">
        <v>4</v>
      </c>
      <c r="B9338" s="2" t="str">
        <f t="shared" si="799"/>
        <v>SISTEMA DE GERENCIAMENTO DE INTERNAÇÃO</v>
      </c>
      <c r="C9338" s="2" t="str">
        <f t="shared" si="800"/>
        <v>INTER</v>
      </c>
      <c r="D9338" s="2" t="str">
        <f t="shared" si="801"/>
        <v>PARI</v>
      </c>
      <c r="E9338" s="2" t="str">
        <f t="shared" si="803"/>
        <v>REL. PACIENTES CADASTRADOS NO PERÍODO</v>
      </c>
      <c r="F9338" s="2" t="str">
        <f t="shared" si="804"/>
        <v>R_PAC_CAD</v>
      </c>
      <c r="G9338" s="2" t="str">
        <f>"Atendimento / Urgência e Emergência / Relatórios / Administrativos / Pacientes Cadastrados no Período (R_PAC_CAD)"</f>
        <v>Atendimento / Urgência e Emergência / Relatórios / Administrativos / Pacientes Cadastrados no Período (R_PAC_CAD)</v>
      </c>
    </row>
    <row r="9339" spans="1:7" x14ac:dyDescent="0.3">
      <c r="A9339" s="1" t="s">
        <v>4</v>
      </c>
      <c r="B9339" s="2" t="str">
        <f t="shared" si="799"/>
        <v>SISTEMA DE GERENCIAMENTO DE INTERNAÇÃO</v>
      </c>
      <c r="C9339" s="2" t="str">
        <f t="shared" si="800"/>
        <v>INTER</v>
      </c>
      <c r="D9339" s="2" t="str">
        <f t="shared" si="801"/>
        <v>PARI</v>
      </c>
      <c r="E9339" s="2" t="str">
        <f t="shared" si="803"/>
        <v>REL. PACIENTES CADASTRADOS NO PERÍODO</v>
      </c>
      <c r="F9339" s="2" t="str">
        <f t="shared" si="804"/>
        <v>R_PAC_CAD</v>
      </c>
      <c r="G9339" s="2" t="str">
        <f>"Atendimento / Internação / Relatórios / Operacionais / Pacientes / Cadastrados no Período (R_PAC_CAD)"</f>
        <v>Atendimento / Internação / Relatórios / Operacionais / Pacientes / Cadastrados no Período (R_PAC_CAD)</v>
      </c>
    </row>
    <row r="9340" spans="1:7" x14ac:dyDescent="0.3">
      <c r="A9340" s="1" t="s">
        <v>4</v>
      </c>
      <c r="B9340" s="2" t="str">
        <f t="shared" si="799"/>
        <v>SISTEMA DE GERENCIAMENTO DE INTERNAÇÃO</v>
      </c>
      <c r="C9340" s="2" t="str">
        <f t="shared" si="800"/>
        <v>INTER</v>
      </c>
      <c r="D9340" s="2" t="str">
        <f t="shared" si="801"/>
        <v>PARI</v>
      </c>
      <c r="E9340" s="2" t="str">
        <f t="shared" si="803"/>
        <v>REL. PACIENTES CADASTRADOS NO PERÍODO</v>
      </c>
      <c r="F9340" s="2" t="str">
        <f t="shared" si="804"/>
        <v>R_PAC_CAD</v>
      </c>
      <c r="G9340" s="2" t="str">
        <f>"Atendimento / Ambulatório / Relatórios / Operacionais / Pacientes Cadastrados no Período (R_PAC_CAD)"</f>
        <v>Atendimento / Ambulatório / Relatórios / Operacionais / Pacientes Cadastrados no Período (R_PAC_CAD)</v>
      </c>
    </row>
    <row r="9341" spans="1:7" x14ac:dyDescent="0.3">
      <c r="A9341" s="1" t="s">
        <v>4</v>
      </c>
      <c r="B9341" s="2" t="str">
        <f t="shared" si="799"/>
        <v>SISTEMA DE GERENCIAMENTO DE INTERNAÇÃO</v>
      </c>
      <c r="C9341" s="2" t="str">
        <f t="shared" si="800"/>
        <v>INTER</v>
      </c>
      <c r="D9341" s="2" t="str">
        <f t="shared" si="801"/>
        <v>PARI</v>
      </c>
      <c r="E9341" s="2" t="str">
        <f t="shared" si="803"/>
        <v>REL. PACIENTES CADASTRADOS NO PERÍODO</v>
      </c>
      <c r="F9341" s="2" t="str">
        <f t="shared" si="804"/>
        <v>R_PAC_CAD</v>
      </c>
      <c r="G9341" s="2" t="str">
        <f>"Serviços de Apoio / Serviço Arquivo Médico / Relatórios / Operacionais / Pacientes / Cadastrados no Período (R_PAC_CAD)"</f>
        <v>Serviços de Apoio / Serviço Arquivo Médico / Relatórios / Operacionais / Pacientes / Cadastrados no Período (R_PAC_CAD)</v>
      </c>
    </row>
    <row r="9342" spans="1:7" x14ac:dyDescent="0.3">
      <c r="A9342" s="1" t="s">
        <v>4</v>
      </c>
      <c r="B9342" s="2" t="str">
        <f t="shared" si="799"/>
        <v>SISTEMA DE GERENCIAMENTO DE INTERNAÇÃO</v>
      </c>
      <c r="C9342" s="2" t="str">
        <f t="shared" si="800"/>
        <v>INTER</v>
      </c>
      <c r="D9342" s="2" t="str">
        <f t="shared" si="801"/>
        <v>PARI</v>
      </c>
      <c r="E9342" s="2" t="str">
        <f t="shared" si="803"/>
        <v>REL. PACIENTES CADASTRADOS NO PERÍODO</v>
      </c>
      <c r="F9342" s="2" t="str">
        <f t="shared" si="804"/>
        <v>R_PAC_CAD</v>
      </c>
      <c r="G9342" s="2" t="str">
        <f>"MVSaude / Atendimento / Autorizações de Guias / Internação / Relatórios / Operacionais / Pacientes / Cadastrados no Período (R_PAC_CAD)"</f>
        <v>MVSaude / Atendimento / Autorizações de Guias / Internação / Relatórios / Operacionais / Pacientes / Cadastrados no Período (R_PAC_CAD)</v>
      </c>
    </row>
    <row r="9343" spans="1:7" x14ac:dyDescent="0.3">
      <c r="A9343" s="1" t="s">
        <v>4</v>
      </c>
      <c r="B9343" s="2" t="str">
        <f t="shared" si="799"/>
        <v>SISTEMA DE GERENCIAMENTO DE INTERNAÇÃO</v>
      </c>
      <c r="C9343" s="2" t="str">
        <f t="shared" si="800"/>
        <v>INTER</v>
      </c>
      <c r="D9343" s="2" t="str">
        <f t="shared" si="801"/>
        <v>PARI</v>
      </c>
      <c r="E9343" s="2" t="str">
        <f>"ÓBITOS POR UNID DE INTERNAÇÃO X FAIXA ET"</f>
        <v>ÓBITOS POR UNID DE INTERNAÇÃO X FAIXA ET</v>
      </c>
      <c r="F9343" s="2" t="str">
        <f>"R_OBITOS_FAIXA_ETARIA"</f>
        <v>R_OBITOS_FAIXA_ETARIA</v>
      </c>
      <c r="G9343" s="2" t="str">
        <f>" ()"</f>
        <v xml:space="preserve"> ()</v>
      </c>
    </row>
    <row r="9344" spans="1:7" x14ac:dyDescent="0.3">
      <c r="A9344" s="1" t="s">
        <v>4</v>
      </c>
      <c r="B9344" s="2" t="str">
        <f t="shared" si="799"/>
        <v>SISTEMA DE GERENCIAMENTO DE INTERNAÇÃO</v>
      </c>
      <c r="C9344" s="2" t="str">
        <f t="shared" si="800"/>
        <v>INTER</v>
      </c>
      <c r="D9344" s="2" t="str">
        <f t="shared" si="801"/>
        <v>PARI</v>
      </c>
      <c r="E9344" s="2" t="str">
        <f>"R_ETIQUE_PAC_EXA"</f>
        <v>R_ETIQUE_PAC_EXA</v>
      </c>
      <c r="F9344" s="2" t="str">
        <f>"R_ETIQUE_PAC_EXA"</f>
        <v>R_ETIQUE_PAC_EXA</v>
      </c>
      <c r="G9344" s="2" t="str">
        <f>" ()"</f>
        <v xml:space="preserve"> ()</v>
      </c>
    </row>
    <row r="9345" spans="1:7" x14ac:dyDescent="0.3">
      <c r="A9345" s="1" t="s">
        <v>4</v>
      </c>
      <c r="B9345" s="2" t="str">
        <f t="shared" si="799"/>
        <v>SISTEMA DE GERENCIAMENTO DE INTERNAÇÃO</v>
      </c>
      <c r="C9345" s="2" t="str">
        <f t="shared" si="800"/>
        <v>INTER</v>
      </c>
      <c r="D9345" s="2" t="str">
        <f t="shared" si="801"/>
        <v>PARI</v>
      </c>
      <c r="E9345" s="2" t="str">
        <f>"LIBERAÇÃO E INTERDIÇÃO DE LEITOS"</f>
        <v>LIBERAÇÃO E INTERDIÇÃO DE LEITOS</v>
      </c>
      <c r="F9345" s="2" t="str">
        <f>"M_INT_LEITOS"</f>
        <v>M_INT_LEITOS</v>
      </c>
      <c r="G9345" s="2" t="str">
        <f>"MVSaude / Atendimento / Autorizações de Guias / Internação / Atendimento / Liberação e Interdição de Leitos (M_INT_LEITOS)"</f>
        <v>MVSaude / Atendimento / Autorizações de Guias / Internação / Atendimento / Liberação e Interdição de Leitos (M_INT_LEITOS)</v>
      </c>
    </row>
    <row r="9346" spans="1:7" x14ac:dyDescent="0.3">
      <c r="A9346" s="1" t="s">
        <v>4</v>
      </c>
      <c r="B9346" s="2" t="str">
        <f t="shared" si="799"/>
        <v>SISTEMA DE GERENCIAMENTO DE INTERNAÇÃO</v>
      </c>
      <c r="C9346" s="2" t="str">
        <f t="shared" si="800"/>
        <v>INTER</v>
      </c>
      <c r="D9346" s="2" t="str">
        <f t="shared" si="801"/>
        <v>PARI</v>
      </c>
      <c r="E9346" s="2" t="str">
        <f>"LIBERAÇÃO E INTERDIÇÃO DE LEITOS"</f>
        <v>LIBERAÇÃO E INTERDIÇÃO DE LEITOS</v>
      </c>
      <c r="F9346" s="2" t="str">
        <f>"M_INT_LEITOS"</f>
        <v>M_INT_LEITOS</v>
      </c>
      <c r="G9346" s="2" t="str">
        <f>"Atendimento / Internação / Atendimento / Liberação e Interdição de Leitos (M_INT_LEITOS)"</f>
        <v>Atendimento / Internação / Atendimento / Liberação e Interdição de Leitos (M_INT_LEITOS)</v>
      </c>
    </row>
    <row r="9347" spans="1:7" x14ac:dyDescent="0.3">
      <c r="A9347" s="1" t="s">
        <v>4</v>
      </c>
      <c r="B9347" s="2" t="str">
        <f t="shared" si="799"/>
        <v>SISTEMA DE GERENCIAMENTO DE INTERNAÇÃO</v>
      </c>
      <c r="C9347" s="2" t="str">
        <f t="shared" si="800"/>
        <v>INTER</v>
      </c>
      <c r="D9347" s="2" t="str">
        <f t="shared" si="801"/>
        <v>PARI</v>
      </c>
      <c r="E9347" s="2" t="str">
        <f>"LIBERAÇÃO E INTERDIÇÃO DE LEITOS"</f>
        <v>LIBERAÇÃO E INTERDIÇÃO DE LEITOS</v>
      </c>
      <c r="F9347" s="2" t="str">
        <f>"M_INT_LEITOS"</f>
        <v>M_INT_LEITOS</v>
      </c>
      <c r="G9347" s="2" t="str">
        <f>"Serviços de Apoio / Manutenção / Ordem Serviço / Liberação e Interdição de Leitos (M_INT_LEITOS)"</f>
        <v>Serviços de Apoio / Manutenção / Ordem Serviço / Liberação e Interdição de Leitos (M_INT_LEITOS)</v>
      </c>
    </row>
    <row r="9348" spans="1:7" x14ac:dyDescent="0.3">
      <c r="A9348" s="1" t="s">
        <v>4</v>
      </c>
      <c r="B9348" s="2" t="str">
        <f t="shared" si="799"/>
        <v>SISTEMA DE GERENCIAMENTO DE INTERNAÇÃO</v>
      </c>
      <c r="C9348" s="2" t="str">
        <f t="shared" si="800"/>
        <v>INTER</v>
      </c>
      <c r="D9348" s="2" t="str">
        <f t="shared" si="801"/>
        <v>PARI</v>
      </c>
      <c r="E9348" s="2" t="str">
        <f>"LIBERAÇÃO E INTERDIÇÃO DE LEITOS"</f>
        <v>LIBERAÇÃO E INTERDIÇÃO DE LEITOS</v>
      </c>
      <c r="F9348" s="2" t="str">
        <f>"M_INT_LEITOS"</f>
        <v>M_INT_LEITOS</v>
      </c>
      <c r="G9348" s="2" t="str">
        <f>"MVSaude / Vendas / Internação / Atendimento / Liberação e Interdição de Leitos (M_INT_LEITOS)"</f>
        <v>MVSaude / Vendas / Internação / Atendimento / Liberação e Interdição de Leitos (M_INT_LEITOS)</v>
      </c>
    </row>
    <row r="9349" spans="1:7" x14ac:dyDescent="0.3">
      <c r="A9349" s="1" t="s">
        <v>4</v>
      </c>
      <c r="B9349" s="2" t="str">
        <f t="shared" si="799"/>
        <v>SISTEMA DE GERENCIAMENTO DE INTERNAÇÃO</v>
      </c>
      <c r="C9349" s="2" t="str">
        <f t="shared" si="800"/>
        <v>INTER</v>
      </c>
      <c r="D9349" s="2" t="str">
        <f t="shared" si="801"/>
        <v>PARI</v>
      </c>
      <c r="E9349" s="2" t="str">
        <f t="shared" ref="E9349:E9356" si="805">"CENSO HOSPITALAR"</f>
        <v>CENSO HOSPITALAR</v>
      </c>
      <c r="F9349" s="2" t="str">
        <f t="shared" ref="F9349:F9356" si="806">"R_CENSO"</f>
        <v>R_CENSO</v>
      </c>
      <c r="G9349" s="2" t="str">
        <f>"MVSaude / Vendas / Internação / Relatórios / Operacionais / Censo (R_CENSO)"</f>
        <v>MVSaude / Vendas / Internação / Relatórios / Operacionais / Censo (R_CENSO)</v>
      </c>
    </row>
    <row r="9350" spans="1:7" x14ac:dyDescent="0.3">
      <c r="A9350" s="1" t="s">
        <v>4</v>
      </c>
      <c r="B9350" s="2" t="str">
        <f t="shared" si="799"/>
        <v>SISTEMA DE GERENCIAMENTO DE INTERNAÇÃO</v>
      </c>
      <c r="C9350" s="2" t="str">
        <f t="shared" si="800"/>
        <v>INTER</v>
      </c>
      <c r="D9350" s="2" t="str">
        <f t="shared" si="801"/>
        <v>PARI</v>
      </c>
      <c r="E9350" s="2" t="str">
        <f t="shared" si="805"/>
        <v>CENSO HOSPITALAR</v>
      </c>
      <c r="F9350" s="2" t="str">
        <f t="shared" si="806"/>
        <v>R_CENSO</v>
      </c>
      <c r="G9350" s="2" t="str">
        <f>"Atendimento / Internação / Relatórios / Operacionais / Censo (R_CENSO)"</f>
        <v>Atendimento / Internação / Relatórios / Operacionais / Censo (R_CENSO)</v>
      </c>
    </row>
    <row r="9351" spans="1:7" x14ac:dyDescent="0.3">
      <c r="A9351" s="1" t="s">
        <v>4</v>
      </c>
      <c r="B9351" s="2" t="str">
        <f t="shared" si="799"/>
        <v>SISTEMA DE GERENCIAMENTO DE INTERNAÇÃO</v>
      </c>
      <c r="C9351" s="2" t="str">
        <f t="shared" si="800"/>
        <v>INTER</v>
      </c>
      <c r="D9351" s="2" t="str">
        <f t="shared" si="801"/>
        <v>PARI</v>
      </c>
      <c r="E9351" s="2" t="str">
        <f t="shared" si="805"/>
        <v>CENSO HOSPITALAR</v>
      </c>
      <c r="F9351" s="2" t="str">
        <f t="shared" si="806"/>
        <v>R_CENSO</v>
      </c>
      <c r="G9351" s="2" t="str">
        <f>"Controladoria / Tesouraria / Relatórios / Internação / Censo (R_CENSO)"</f>
        <v>Controladoria / Tesouraria / Relatórios / Internação / Censo (R_CENSO)</v>
      </c>
    </row>
    <row r="9352" spans="1:7" x14ac:dyDescent="0.3">
      <c r="A9352" s="1" t="s">
        <v>4</v>
      </c>
      <c r="B9352" s="2" t="str">
        <f t="shared" si="799"/>
        <v>SISTEMA DE GERENCIAMENTO DE INTERNAÇÃO</v>
      </c>
      <c r="C9352" s="2" t="str">
        <f t="shared" si="800"/>
        <v>INTER</v>
      </c>
      <c r="D9352" s="2" t="str">
        <f t="shared" si="801"/>
        <v>PARI</v>
      </c>
      <c r="E9352" s="2" t="str">
        <f t="shared" si="805"/>
        <v>CENSO HOSPITALAR</v>
      </c>
      <c r="F9352" s="2" t="str">
        <f t="shared" si="806"/>
        <v>R_CENSO</v>
      </c>
      <c r="G9352" s="2" t="str">
        <f>"Clínica e Assistencial / Controle de Infecção Hospitalar / Relatórios / Operacionais / Relatórios - Censo Hospitalar (R_CENSO)"</f>
        <v>Clínica e Assistencial / Controle de Infecção Hospitalar / Relatórios / Operacionais / Relatórios - Censo Hospitalar (R_CENSO)</v>
      </c>
    </row>
    <row r="9353" spans="1:7" x14ac:dyDescent="0.3">
      <c r="A9353" s="1" t="s">
        <v>4</v>
      </c>
      <c r="B9353" s="2" t="str">
        <f t="shared" si="799"/>
        <v>SISTEMA DE GERENCIAMENTO DE INTERNAÇÃO</v>
      </c>
      <c r="C9353" s="2" t="str">
        <f t="shared" si="800"/>
        <v>INTER</v>
      </c>
      <c r="D9353" s="2" t="str">
        <f t="shared" si="801"/>
        <v>PARI</v>
      </c>
      <c r="E9353" s="2" t="str">
        <f t="shared" si="805"/>
        <v>CENSO HOSPITALAR</v>
      </c>
      <c r="F9353" s="2" t="str">
        <f t="shared" si="806"/>
        <v>R_CENSO</v>
      </c>
      <c r="G9353" s="2" t="str">
        <f>"Serviços de Apoio / Lavanderia e Rouparia / Relatórios / Operacionais / Censo (R_CENSO)"</f>
        <v>Serviços de Apoio / Lavanderia e Rouparia / Relatórios / Operacionais / Censo (R_CENSO)</v>
      </c>
    </row>
    <row r="9354" spans="1:7" x14ac:dyDescent="0.3">
      <c r="A9354" s="1" t="s">
        <v>4</v>
      </c>
      <c r="B9354" s="2" t="str">
        <f t="shared" si="799"/>
        <v>SISTEMA DE GERENCIAMENTO DE INTERNAÇÃO</v>
      </c>
      <c r="C9354" s="2" t="str">
        <f t="shared" si="800"/>
        <v>INTER</v>
      </c>
      <c r="D9354" s="2" t="str">
        <f t="shared" si="801"/>
        <v>PARI</v>
      </c>
      <c r="E9354" s="2" t="str">
        <f t="shared" si="805"/>
        <v>CENSO HOSPITALAR</v>
      </c>
      <c r="F9354" s="2" t="str">
        <f t="shared" si="806"/>
        <v>R_CENSO</v>
      </c>
      <c r="G9354" s="2" t="str">
        <f>"Serviços de Apoio / Serviço Arquivo Médico / Relatórios / Operacionais / Censo (R_CENSO)"</f>
        <v>Serviços de Apoio / Serviço Arquivo Médico / Relatórios / Operacionais / Censo (R_CENSO)</v>
      </c>
    </row>
    <row r="9355" spans="1:7" x14ac:dyDescent="0.3">
      <c r="A9355" s="1" t="s">
        <v>4</v>
      </c>
      <c r="B9355" s="2" t="str">
        <f t="shared" si="799"/>
        <v>SISTEMA DE GERENCIAMENTO DE INTERNAÇÃO</v>
      </c>
      <c r="C9355" s="2" t="str">
        <f t="shared" si="800"/>
        <v>INTER</v>
      </c>
      <c r="D9355" s="2" t="str">
        <f t="shared" si="801"/>
        <v>PARI</v>
      </c>
      <c r="E9355" s="2" t="str">
        <f t="shared" si="805"/>
        <v>CENSO HOSPITALAR</v>
      </c>
      <c r="F9355" s="2" t="str">
        <f t="shared" si="806"/>
        <v>R_CENSO</v>
      </c>
      <c r="G9355" s="2" t="str">
        <f>"MVSaude / Atendimento / Autorizações de Guias / Internação / Relatórios / Operacionais / Censo (R_CENSO)"</f>
        <v>MVSaude / Atendimento / Autorizações de Guias / Internação / Relatórios / Operacionais / Censo (R_CENSO)</v>
      </c>
    </row>
    <row r="9356" spans="1:7" x14ac:dyDescent="0.3">
      <c r="A9356" s="1" t="s">
        <v>4</v>
      </c>
      <c r="B9356" s="2" t="str">
        <f t="shared" si="799"/>
        <v>SISTEMA DE GERENCIAMENTO DE INTERNAÇÃO</v>
      </c>
      <c r="C9356" s="2" t="str">
        <f t="shared" si="800"/>
        <v>INTER</v>
      </c>
      <c r="D9356" s="2" t="str">
        <f t="shared" si="801"/>
        <v>PARI</v>
      </c>
      <c r="E9356" s="2" t="str">
        <f t="shared" si="805"/>
        <v>CENSO HOSPITALAR</v>
      </c>
      <c r="F9356" s="2" t="str">
        <f t="shared" si="806"/>
        <v>R_CENSO</v>
      </c>
      <c r="G9356" s="2" t="str">
        <f>"Clínica e Assistencial / Gerenciamento de Unidades / Relatórios / Operacionais / Censo Hospitalar (R_CENSO)"</f>
        <v>Clínica e Assistencial / Gerenciamento de Unidades / Relatórios / Operacionais / Censo Hospitalar (R_CENSO)</v>
      </c>
    </row>
    <row r="9357" spans="1:7" x14ac:dyDescent="0.3">
      <c r="A9357" s="1" t="s">
        <v>4</v>
      </c>
      <c r="B9357" s="2" t="str">
        <f t="shared" si="799"/>
        <v>SISTEMA DE GERENCIAMENTO DE INTERNAÇÃO</v>
      </c>
      <c r="C9357" s="2" t="str">
        <f t="shared" si="800"/>
        <v>INTER</v>
      </c>
      <c r="D9357" s="2" t="str">
        <f t="shared" si="801"/>
        <v>PARI</v>
      </c>
      <c r="E9357" s="2" t="str">
        <f>"R_ESTATISTICO_DIARIAS_970"</f>
        <v>R_ESTATISTICO_DIARIAS_970</v>
      </c>
      <c r="F9357" s="2" t="str">
        <f>"R_ESTATISTICO_DIARIAS_970"</f>
        <v>R_ESTATISTICO_DIARIAS_970</v>
      </c>
      <c r="G9357" s="2" t="str">
        <f t="shared" ref="G9357:G9391" si="807">" ()"</f>
        <v xml:space="preserve"> ()</v>
      </c>
    </row>
    <row r="9358" spans="1:7" x14ac:dyDescent="0.3">
      <c r="A9358" s="1" t="s">
        <v>4</v>
      </c>
      <c r="B9358" s="2" t="str">
        <f t="shared" ref="B9358:B9421" si="808">"SISTEMA DE GERENCIAMENTO DE INTERNAÇÃO"</f>
        <v>SISTEMA DE GERENCIAMENTO DE INTERNAÇÃO</v>
      </c>
      <c r="C9358" s="2" t="str">
        <f t="shared" ref="C9358:C9421" si="809">"INTER"</f>
        <v>INTER</v>
      </c>
      <c r="D9358" s="2" t="str">
        <f t="shared" ref="D9358:D9421" si="810">"PARI"</f>
        <v>PARI</v>
      </c>
      <c r="E9358" s="2" t="str">
        <f>"M_TAB_SIASUS_GRUPO_PROCED_970"</f>
        <v>M_TAB_SIASUS_GRUPO_PROCED_970</v>
      </c>
      <c r="F9358" s="2" t="str">
        <f>"M_TAB_SIASUS_GRUPO_PROCED_970"</f>
        <v>M_TAB_SIASUS_GRUPO_PROCED_970</v>
      </c>
      <c r="G9358" s="2" t="str">
        <f t="shared" si="807"/>
        <v xml:space="preserve"> ()</v>
      </c>
    </row>
    <row r="9359" spans="1:7" x14ac:dyDescent="0.3">
      <c r="A9359" s="1" t="s">
        <v>4</v>
      </c>
      <c r="B9359" s="2" t="str">
        <f t="shared" si="808"/>
        <v>SISTEMA DE GERENCIAMENTO DE INTERNAÇÃO</v>
      </c>
      <c r="C9359" s="2" t="str">
        <f t="shared" si="809"/>
        <v>INTER</v>
      </c>
      <c r="D9359" s="2" t="str">
        <f t="shared" si="810"/>
        <v>PARI</v>
      </c>
      <c r="E9359" s="2" t="str">
        <f>"M_PRO_FAT_GRUPO_PROCED_970"</f>
        <v>M_PRO_FAT_GRUPO_PROCED_970</v>
      </c>
      <c r="F9359" s="2" t="str">
        <f>"M_PRO_FAT_GRUPO_PROCED_970"</f>
        <v>M_PRO_FAT_GRUPO_PROCED_970</v>
      </c>
      <c r="G9359" s="2" t="str">
        <f t="shared" si="807"/>
        <v xml:space="preserve"> ()</v>
      </c>
    </row>
    <row r="9360" spans="1:7" x14ac:dyDescent="0.3">
      <c r="A9360" s="1" t="s">
        <v>4</v>
      </c>
      <c r="B9360" s="2" t="str">
        <f t="shared" si="808"/>
        <v>SISTEMA DE GERENCIAMENTO DE INTERNAÇÃO</v>
      </c>
      <c r="C9360" s="2" t="str">
        <f t="shared" si="809"/>
        <v>INTER</v>
      </c>
      <c r="D9360" s="2" t="str">
        <f t="shared" si="810"/>
        <v>PARI</v>
      </c>
      <c r="E9360" s="2" t="str">
        <f>"M_GRUPO_PROCED_RESUMIDO_970"</f>
        <v>M_GRUPO_PROCED_RESUMIDO_970</v>
      </c>
      <c r="F9360" s="2" t="str">
        <f>"M_GRUPO_PROCED_RESUMIDO_970"</f>
        <v>M_GRUPO_PROCED_RESUMIDO_970</v>
      </c>
      <c r="G9360" s="2" t="str">
        <f t="shared" si="807"/>
        <v xml:space="preserve"> ()</v>
      </c>
    </row>
    <row r="9361" spans="1:7" x14ac:dyDescent="0.3">
      <c r="A9361" s="1" t="s">
        <v>4</v>
      </c>
      <c r="B9361" s="2" t="str">
        <f t="shared" si="808"/>
        <v>SISTEMA DE GERENCIAMENTO DE INTERNAÇÃO</v>
      </c>
      <c r="C9361" s="2" t="str">
        <f t="shared" si="809"/>
        <v>INTER</v>
      </c>
      <c r="D9361" s="2" t="str">
        <f t="shared" si="810"/>
        <v>PARI</v>
      </c>
      <c r="E9361" s="2" t="str">
        <f>"M_GRUPO_PROCED_970"</f>
        <v>M_GRUPO_PROCED_970</v>
      </c>
      <c r="F9361" s="2" t="str">
        <f>"M_GRUPO_PROCED_970"</f>
        <v>M_GRUPO_PROCED_970</v>
      </c>
      <c r="G9361" s="2" t="str">
        <f t="shared" si="807"/>
        <v xml:space="preserve"> ()</v>
      </c>
    </row>
    <row r="9362" spans="1:7" x14ac:dyDescent="0.3">
      <c r="A9362" s="1" t="s">
        <v>4</v>
      </c>
      <c r="B9362" s="2" t="str">
        <f t="shared" si="808"/>
        <v>SISTEMA DE GERENCIAMENTO DE INTERNAÇÃO</v>
      </c>
      <c r="C9362" s="2" t="str">
        <f t="shared" si="809"/>
        <v>INTER</v>
      </c>
      <c r="D9362" s="2" t="str">
        <f t="shared" si="810"/>
        <v>PARI</v>
      </c>
      <c r="E9362" s="2" t="str">
        <f>"M_GRUPO_ESPECIALID_970"</f>
        <v>M_GRUPO_ESPECIALID_970</v>
      </c>
      <c r="F9362" s="2" t="str">
        <f>"M_GRUPO_ESPECIALID_970"</f>
        <v>M_GRUPO_ESPECIALID_970</v>
      </c>
      <c r="G9362" s="2" t="str">
        <f t="shared" si="807"/>
        <v xml:space="preserve"> ()</v>
      </c>
    </row>
    <row r="9363" spans="1:7" x14ac:dyDescent="0.3">
      <c r="A9363" s="1" t="s">
        <v>4</v>
      </c>
      <c r="B9363" s="2" t="str">
        <f t="shared" si="808"/>
        <v>SISTEMA DE GERENCIAMENTO DE INTERNAÇÃO</v>
      </c>
      <c r="C9363" s="2" t="str">
        <f t="shared" si="809"/>
        <v>INTER</v>
      </c>
      <c r="D9363" s="2" t="str">
        <f t="shared" si="810"/>
        <v>PARI</v>
      </c>
      <c r="E9363" s="2" t="str">
        <f>"M_ESPECIALID_GRUPO_ESPECIALID_970"</f>
        <v>M_ESPECIALID_GRUPO_ESPECIALID_970</v>
      </c>
      <c r="F9363" s="2" t="str">
        <f>"M_ESPECIALID_GRUPO_ESPECIALID_970"</f>
        <v>M_ESPECIALID_GRUPO_ESPECIALID_970</v>
      </c>
      <c r="G9363" s="2" t="str">
        <f t="shared" si="807"/>
        <v xml:space="preserve"> ()</v>
      </c>
    </row>
    <row r="9364" spans="1:7" x14ac:dyDescent="0.3">
      <c r="A9364" s="1" t="s">
        <v>4</v>
      </c>
      <c r="B9364" s="2" t="str">
        <f t="shared" si="808"/>
        <v>SISTEMA DE GERENCIAMENTO DE INTERNAÇÃO</v>
      </c>
      <c r="C9364" s="2" t="str">
        <f t="shared" si="809"/>
        <v>INTER</v>
      </c>
      <c r="D9364" s="2" t="str">
        <f t="shared" si="810"/>
        <v>PARI</v>
      </c>
      <c r="E9364" s="2" t="str">
        <f>"R_CENSO_757"</f>
        <v>R_CENSO_757</v>
      </c>
      <c r="F9364" s="2" t="str">
        <f>"R_CENSO_757"</f>
        <v>R_CENSO_757</v>
      </c>
      <c r="G9364" s="2" t="str">
        <f t="shared" si="807"/>
        <v xml:space="preserve"> ()</v>
      </c>
    </row>
    <row r="9365" spans="1:7" x14ac:dyDescent="0.3">
      <c r="A9365" s="1" t="s">
        <v>4</v>
      </c>
      <c r="B9365" s="2" t="str">
        <f t="shared" si="808"/>
        <v>SISTEMA DE GERENCIAMENTO DE INTERNAÇÃO</v>
      </c>
      <c r="C9365" s="2" t="str">
        <f t="shared" si="809"/>
        <v>INTER</v>
      </c>
      <c r="D9365" s="2" t="str">
        <f t="shared" si="810"/>
        <v>PARI</v>
      </c>
      <c r="E9365" s="2" t="str">
        <f>"R_EST_HOSP_RESUMOS_755"</f>
        <v>R_EST_HOSP_RESUMOS_755</v>
      </c>
      <c r="F9365" s="2" t="str">
        <f>"R_EST_HOSP_RESUMOS_755"</f>
        <v>R_EST_HOSP_RESUMOS_755</v>
      </c>
      <c r="G9365" s="2" t="str">
        <f t="shared" si="807"/>
        <v xml:space="preserve"> ()</v>
      </c>
    </row>
    <row r="9366" spans="1:7" x14ac:dyDescent="0.3">
      <c r="A9366" s="1" t="s">
        <v>4</v>
      </c>
      <c r="B9366" s="2" t="str">
        <f t="shared" si="808"/>
        <v>SISTEMA DE GERENCIAMENTO DE INTERNAÇÃO</v>
      </c>
      <c r="C9366" s="2" t="str">
        <f t="shared" si="809"/>
        <v>INTER</v>
      </c>
      <c r="D9366" s="2" t="str">
        <f t="shared" si="810"/>
        <v>PARI</v>
      </c>
      <c r="E9366" s="2" t="str">
        <f>"R_PAC_DIA_734"</f>
        <v>R_PAC_DIA_734</v>
      </c>
      <c r="F9366" s="2" t="str">
        <f>"R_PAC_DIA_734"</f>
        <v>R_PAC_DIA_734</v>
      </c>
      <c r="G9366" s="2" t="str">
        <f t="shared" si="807"/>
        <v xml:space="preserve"> ()</v>
      </c>
    </row>
    <row r="9367" spans="1:7" x14ac:dyDescent="0.3">
      <c r="A9367" s="1" t="s">
        <v>4</v>
      </c>
      <c r="B9367" s="2" t="str">
        <f t="shared" si="808"/>
        <v>SISTEMA DE GERENCIAMENTO DE INTERNAÇÃO</v>
      </c>
      <c r="C9367" s="2" t="str">
        <f t="shared" si="809"/>
        <v>INTER</v>
      </c>
      <c r="D9367" s="2" t="str">
        <f t="shared" si="810"/>
        <v>PARI</v>
      </c>
      <c r="E9367" s="2" t="str">
        <f>"R_CIR_REALIZ_PORTE_734"</f>
        <v>R_CIR_REALIZ_PORTE_734</v>
      </c>
      <c r="F9367" s="2" t="str">
        <f>"R_CIR_REALIZ_PORTE_734"</f>
        <v>R_CIR_REALIZ_PORTE_734</v>
      </c>
      <c r="G9367" s="2" t="str">
        <f t="shared" si="807"/>
        <v xml:space="preserve"> ()</v>
      </c>
    </row>
    <row r="9368" spans="1:7" x14ac:dyDescent="0.3">
      <c r="A9368" s="1" t="s">
        <v>4</v>
      </c>
      <c r="B9368" s="2" t="str">
        <f t="shared" si="808"/>
        <v>SISTEMA DE GERENCIAMENTO DE INTERNAÇÃO</v>
      </c>
      <c r="C9368" s="2" t="str">
        <f t="shared" si="809"/>
        <v>INTER</v>
      </c>
      <c r="D9368" s="2" t="str">
        <f t="shared" si="810"/>
        <v>PARI</v>
      </c>
      <c r="E9368" s="2" t="str">
        <f>"R_ETIQUETA_INTER_433"</f>
        <v>R_ETIQUETA_INTER_433</v>
      </c>
      <c r="F9368" s="2" t="str">
        <f>"R_ETIQUETA_INTER_433"</f>
        <v>R_ETIQUETA_INTER_433</v>
      </c>
      <c r="G9368" s="2" t="str">
        <f t="shared" si="807"/>
        <v xml:space="preserve"> ()</v>
      </c>
    </row>
    <row r="9369" spans="1:7" x14ac:dyDescent="0.3">
      <c r="A9369" s="1" t="s">
        <v>4</v>
      </c>
      <c r="B9369" s="2" t="str">
        <f t="shared" si="808"/>
        <v>SISTEMA DE GERENCIAMENTO DE INTERNAÇÃO</v>
      </c>
      <c r="C9369" s="2" t="str">
        <f t="shared" si="809"/>
        <v>INTER</v>
      </c>
      <c r="D9369" s="2" t="str">
        <f t="shared" si="810"/>
        <v>PARI</v>
      </c>
      <c r="E9369" s="2" t="str">
        <f>"R_ETIQUETA410"</f>
        <v>R_ETIQUETA410</v>
      </c>
      <c r="F9369" s="2" t="str">
        <f>"R_ETIQUETA410"</f>
        <v>R_ETIQUETA410</v>
      </c>
      <c r="G9369" s="2" t="str">
        <f t="shared" si="807"/>
        <v xml:space="preserve"> ()</v>
      </c>
    </row>
    <row r="9370" spans="1:7" x14ac:dyDescent="0.3">
      <c r="A9370" s="1" t="s">
        <v>4</v>
      </c>
      <c r="B9370" s="2" t="str">
        <f t="shared" si="808"/>
        <v>SISTEMA DE GERENCIAMENTO DE INTERNAÇÃO</v>
      </c>
      <c r="C9370" s="2" t="str">
        <f t="shared" si="809"/>
        <v>INTER</v>
      </c>
      <c r="D9370" s="2" t="str">
        <f t="shared" si="810"/>
        <v>PARI</v>
      </c>
      <c r="E9370" s="2" t="str">
        <f>"R_DEMONSTRATIVO_DESPESA_410"</f>
        <v>R_DEMONSTRATIVO_DESPESA_410</v>
      </c>
      <c r="F9370" s="2" t="str">
        <f>"R_DEMONSTRATIVO_DESPESA_410"</f>
        <v>R_DEMONSTRATIVO_DESPESA_410</v>
      </c>
      <c r="G9370" s="2" t="str">
        <f t="shared" si="807"/>
        <v xml:space="preserve"> ()</v>
      </c>
    </row>
    <row r="9371" spans="1:7" x14ac:dyDescent="0.3">
      <c r="A9371" s="1" t="s">
        <v>4</v>
      </c>
      <c r="B9371" s="2" t="str">
        <f t="shared" si="808"/>
        <v>SISTEMA DE GERENCIAMENTO DE INTERNAÇÃO</v>
      </c>
      <c r="C9371" s="2" t="str">
        <f t="shared" si="809"/>
        <v>INTER</v>
      </c>
      <c r="D9371" s="2" t="str">
        <f t="shared" si="810"/>
        <v>PARI</v>
      </c>
      <c r="E9371" s="2" t="str">
        <f>"R_AUTORIZA_AMPUTACAO_410"</f>
        <v>R_AUTORIZA_AMPUTACAO_410</v>
      </c>
      <c r="F9371" s="2" t="str">
        <f>"R_AUTORIZA_AMPUTACAO_410"</f>
        <v>R_AUTORIZA_AMPUTACAO_410</v>
      </c>
      <c r="G9371" s="2" t="str">
        <f t="shared" si="807"/>
        <v xml:space="preserve"> ()</v>
      </c>
    </row>
    <row r="9372" spans="1:7" x14ac:dyDescent="0.3">
      <c r="A9372" s="1" t="s">
        <v>4</v>
      </c>
      <c r="B9372" s="2" t="str">
        <f t="shared" si="808"/>
        <v>SISTEMA DE GERENCIAMENTO DE INTERNAÇÃO</v>
      </c>
      <c r="C9372" s="2" t="str">
        <f t="shared" si="809"/>
        <v>INTER</v>
      </c>
      <c r="D9372" s="2" t="str">
        <f t="shared" si="810"/>
        <v>PARI</v>
      </c>
      <c r="E9372" s="2" t="str">
        <f>"R_SALDO_CAUCAO_380"</f>
        <v>R_SALDO_CAUCAO_380</v>
      </c>
      <c r="F9372" s="2" t="str">
        <f>"R_SALDO_CAUCAO_380"</f>
        <v>R_SALDO_CAUCAO_380</v>
      </c>
      <c r="G9372" s="2" t="str">
        <f t="shared" si="807"/>
        <v xml:space="preserve"> ()</v>
      </c>
    </row>
    <row r="9373" spans="1:7" x14ac:dyDescent="0.3">
      <c r="A9373" s="1" t="s">
        <v>4</v>
      </c>
      <c r="B9373" s="2" t="str">
        <f t="shared" si="808"/>
        <v>SISTEMA DE GERENCIAMENTO DE INTERNAÇÃO</v>
      </c>
      <c r="C9373" s="2" t="str">
        <f t="shared" si="809"/>
        <v>INTER</v>
      </c>
      <c r="D9373" s="2" t="str">
        <f t="shared" si="810"/>
        <v>PARI</v>
      </c>
      <c r="E9373" s="2" t="str">
        <f>"R_CAUCAO_DEVOLVIDA_380"</f>
        <v>R_CAUCAO_DEVOLVIDA_380</v>
      </c>
      <c r="F9373" s="2" t="str">
        <f>"R_CAUCAO_DEVOLVIDA_380"</f>
        <v>R_CAUCAO_DEVOLVIDA_380</v>
      </c>
      <c r="G9373" s="2" t="str">
        <f t="shared" si="807"/>
        <v xml:space="preserve"> ()</v>
      </c>
    </row>
    <row r="9374" spans="1:7" x14ac:dyDescent="0.3">
      <c r="A9374" s="1" t="s">
        <v>4</v>
      </c>
      <c r="B9374" s="2" t="str">
        <f t="shared" si="808"/>
        <v>SISTEMA DE GERENCIAMENTO DE INTERNAÇÃO</v>
      </c>
      <c r="C9374" s="2" t="str">
        <f t="shared" si="809"/>
        <v>INTER</v>
      </c>
      <c r="D9374" s="2" t="str">
        <f t="shared" si="810"/>
        <v>PARI</v>
      </c>
      <c r="E9374" s="2" t="str">
        <f>"R_PAC_INTERNADO_340"</f>
        <v>R_PAC_INTERNADO_340</v>
      </c>
      <c r="F9374" s="2" t="str">
        <f>"R_PAC_INTERNADO_340"</f>
        <v>R_PAC_INTERNADO_340</v>
      </c>
      <c r="G9374" s="2" t="str">
        <f t="shared" si="807"/>
        <v xml:space="preserve"> ()</v>
      </c>
    </row>
    <row r="9375" spans="1:7" x14ac:dyDescent="0.3">
      <c r="A9375" s="1" t="s">
        <v>4</v>
      </c>
      <c r="B9375" s="2" t="str">
        <f t="shared" si="808"/>
        <v>SISTEMA DE GERENCIAMENTO DE INTERNAÇÃO</v>
      </c>
      <c r="C9375" s="2" t="str">
        <f t="shared" si="809"/>
        <v>INTER</v>
      </c>
      <c r="D9375" s="2" t="str">
        <f t="shared" si="810"/>
        <v>PARI</v>
      </c>
      <c r="E9375" s="2" t="str">
        <f>"R_ALTAS_HOSP_340"</f>
        <v>R_ALTAS_HOSP_340</v>
      </c>
      <c r="F9375" s="2" t="str">
        <f>"R_ALTAS_HOSP_340"</f>
        <v>R_ALTAS_HOSP_340</v>
      </c>
      <c r="G9375" s="2" t="str">
        <f t="shared" si="807"/>
        <v xml:space="preserve"> ()</v>
      </c>
    </row>
    <row r="9376" spans="1:7" x14ac:dyDescent="0.3">
      <c r="A9376" s="1" t="s">
        <v>4</v>
      </c>
      <c r="B9376" s="2" t="str">
        <f t="shared" si="808"/>
        <v>SISTEMA DE GERENCIAMENTO DE INTERNAÇÃO</v>
      </c>
      <c r="C9376" s="2" t="str">
        <f t="shared" si="809"/>
        <v>INTER</v>
      </c>
      <c r="D9376" s="2" t="str">
        <f t="shared" si="810"/>
        <v>PARI</v>
      </c>
      <c r="E9376" s="2" t="str">
        <f>"R_CENSO_338"</f>
        <v>R_CENSO_338</v>
      </c>
      <c r="F9376" s="2" t="str">
        <f>"R_CENSO_338"</f>
        <v>R_CENSO_338</v>
      </c>
      <c r="G9376" s="2" t="str">
        <f t="shared" si="807"/>
        <v xml:space="preserve"> ()</v>
      </c>
    </row>
    <row r="9377" spans="1:7" x14ac:dyDescent="0.3">
      <c r="A9377" s="1" t="s">
        <v>4</v>
      </c>
      <c r="B9377" s="2" t="str">
        <f t="shared" si="808"/>
        <v>SISTEMA DE GERENCIAMENTO DE INTERNAÇÃO</v>
      </c>
      <c r="C9377" s="2" t="str">
        <f t="shared" si="809"/>
        <v>INTER</v>
      </c>
      <c r="D9377" s="2" t="str">
        <f t="shared" si="810"/>
        <v>PARI</v>
      </c>
      <c r="E9377" s="2" t="str">
        <f>"R_ATENDI_URG_INT_338"</f>
        <v>R_ATENDI_URG_INT_338</v>
      </c>
      <c r="F9377" s="2" t="str">
        <f>"R_ATENDI_URG_INT_338"</f>
        <v>R_ATENDI_URG_INT_338</v>
      </c>
      <c r="G9377" s="2" t="str">
        <f t="shared" si="807"/>
        <v xml:space="preserve"> ()</v>
      </c>
    </row>
    <row r="9378" spans="1:7" x14ac:dyDescent="0.3">
      <c r="A9378" s="1" t="s">
        <v>4</v>
      </c>
      <c r="B9378" s="2" t="str">
        <f t="shared" si="808"/>
        <v>SISTEMA DE GERENCIAMENTO DE INTERNAÇÃO</v>
      </c>
      <c r="C9378" s="2" t="str">
        <f t="shared" si="809"/>
        <v>INTER</v>
      </c>
      <c r="D9378" s="2" t="str">
        <f t="shared" si="810"/>
        <v>PARI</v>
      </c>
      <c r="E9378" s="2" t="str">
        <f>"R_TERMO_RESPONSA_297"</f>
        <v>R_TERMO_RESPONSA_297</v>
      </c>
      <c r="F9378" s="2" t="str">
        <f>"R_TERMO_RESPONSA_297"</f>
        <v>R_TERMO_RESPONSA_297</v>
      </c>
      <c r="G9378" s="2" t="str">
        <f t="shared" si="807"/>
        <v xml:space="preserve"> ()</v>
      </c>
    </row>
    <row r="9379" spans="1:7" x14ac:dyDescent="0.3">
      <c r="A9379" s="1" t="s">
        <v>4</v>
      </c>
      <c r="B9379" s="2" t="str">
        <f t="shared" si="808"/>
        <v>SISTEMA DE GERENCIAMENTO DE INTERNAÇÃO</v>
      </c>
      <c r="C9379" s="2" t="str">
        <f t="shared" si="809"/>
        <v>INTER</v>
      </c>
      <c r="D9379" s="2" t="str">
        <f t="shared" si="810"/>
        <v>PARI</v>
      </c>
      <c r="E9379" s="2" t="str">
        <f>"R_TROPLA_PARI"</f>
        <v>R_TROPLA_PARI</v>
      </c>
      <c r="F9379" s="2" t="str">
        <f>"R_TROPLA_PARI"</f>
        <v>R_TROPLA_PARI</v>
      </c>
      <c r="G9379" s="2" t="str">
        <f t="shared" si="807"/>
        <v xml:space="preserve"> ()</v>
      </c>
    </row>
    <row r="9380" spans="1:7" x14ac:dyDescent="0.3">
      <c r="A9380" s="1" t="s">
        <v>4</v>
      </c>
      <c r="B9380" s="2" t="str">
        <f t="shared" si="808"/>
        <v>SISTEMA DE GERENCIAMENTO DE INTERNAÇÃO</v>
      </c>
      <c r="C9380" s="2" t="str">
        <f t="shared" si="809"/>
        <v>INTER</v>
      </c>
      <c r="D9380" s="2" t="str">
        <f t="shared" si="810"/>
        <v>PARI</v>
      </c>
      <c r="E9380" s="2" t="str">
        <f>"R_MAPA_ESTATISTICO_SIN_ULBRA"</f>
        <v>R_MAPA_ESTATISTICO_SIN_ULBRA</v>
      </c>
      <c r="F9380" s="2" t="str">
        <f>"R_MAPA_ESTATISTICO_SIN_ULBRA"</f>
        <v>R_MAPA_ESTATISTICO_SIN_ULBRA</v>
      </c>
      <c r="G9380" s="2" t="str">
        <f t="shared" si="807"/>
        <v xml:space="preserve"> ()</v>
      </c>
    </row>
    <row r="9381" spans="1:7" x14ac:dyDescent="0.3">
      <c r="A9381" s="1" t="s">
        <v>4</v>
      </c>
      <c r="B9381" s="2" t="str">
        <f t="shared" si="808"/>
        <v>SISTEMA DE GERENCIAMENTO DE INTERNAÇÃO</v>
      </c>
      <c r="C9381" s="2" t="str">
        <f t="shared" si="809"/>
        <v>INTER</v>
      </c>
      <c r="D9381" s="2" t="str">
        <f t="shared" si="810"/>
        <v>PARI</v>
      </c>
      <c r="E9381" s="2" t="str">
        <f>"M_RECUSA_ACOM2"</f>
        <v>M_RECUSA_ACOM2</v>
      </c>
      <c r="F9381" s="2" t="str">
        <f>"M_RECUSA_ACOM2"</f>
        <v>M_RECUSA_ACOM2</v>
      </c>
      <c r="G9381" s="2" t="str">
        <f t="shared" si="807"/>
        <v xml:space="preserve"> ()</v>
      </c>
    </row>
    <row r="9382" spans="1:7" x14ac:dyDescent="0.3">
      <c r="A9382" s="1" t="s">
        <v>4</v>
      </c>
      <c r="B9382" s="2" t="str">
        <f t="shared" si="808"/>
        <v>SISTEMA DE GERENCIAMENTO DE INTERNAÇÃO</v>
      </c>
      <c r="C9382" s="2" t="str">
        <f t="shared" si="809"/>
        <v>INTER</v>
      </c>
      <c r="D9382" s="2" t="str">
        <f t="shared" si="810"/>
        <v>PARI</v>
      </c>
      <c r="E9382" s="2" t="str">
        <f>"ESCOLHE_LEITO"</f>
        <v>ESCOLHE_LEITO</v>
      </c>
      <c r="F9382" s="2" t="str">
        <f>"ESCOLHE_LEITO"</f>
        <v>ESCOLHE_LEITO</v>
      </c>
      <c r="G9382" s="2" t="str">
        <f t="shared" si="807"/>
        <v xml:space="preserve"> ()</v>
      </c>
    </row>
    <row r="9383" spans="1:7" x14ac:dyDescent="0.3">
      <c r="A9383" s="1" t="s">
        <v>4</v>
      </c>
      <c r="B9383" s="2" t="str">
        <f t="shared" si="808"/>
        <v>SISTEMA DE GERENCIAMENTO DE INTERNAÇÃO</v>
      </c>
      <c r="C9383" s="2" t="str">
        <f t="shared" si="809"/>
        <v>INTER</v>
      </c>
      <c r="D9383" s="2" t="str">
        <f t="shared" si="810"/>
        <v>PARI</v>
      </c>
      <c r="E9383" s="2" t="str">
        <f>"C_LEITOS_OLD_NAO_EXCLUIR"</f>
        <v>C_LEITOS_OLD_NAO_EXCLUIR</v>
      </c>
      <c r="F9383" s="2" t="str">
        <f>"C_LEITOS_OLD_NAO_EXCLUIR"</f>
        <v>C_LEITOS_OLD_NAO_EXCLUIR</v>
      </c>
      <c r="G9383" s="2" t="str">
        <f t="shared" si="807"/>
        <v xml:space="preserve"> ()</v>
      </c>
    </row>
    <row r="9384" spans="1:7" x14ac:dyDescent="0.3">
      <c r="A9384" s="1" t="s">
        <v>4</v>
      </c>
      <c r="B9384" s="2" t="str">
        <f t="shared" si="808"/>
        <v>SISTEMA DE GERENCIAMENTO DE INTERNAÇÃO</v>
      </c>
      <c r="C9384" s="2" t="str">
        <f t="shared" si="809"/>
        <v>INTER</v>
      </c>
      <c r="D9384" s="2" t="str">
        <f t="shared" si="810"/>
        <v>PARI</v>
      </c>
      <c r="E9384" s="2" t="str">
        <f>"CONS_ATE_FLAVIA"</f>
        <v>CONS_ATE_FLAVIA</v>
      </c>
      <c r="F9384" s="2" t="str">
        <f>"CONS_ATE_FLAVIA"</f>
        <v>CONS_ATE_FLAVIA</v>
      </c>
      <c r="G9384" s="2" t="str">
        <f t="shared" si="807"/>
        <v xml:space="preserve"> ()</v>
      </c>
    </row>
    <row r="9385" spans="1:7" x14ac:dyDescent="0.3">
      <c r="A9385" s="1" t="s">
        <v>4</v>
      </c>
      <c r="B9385" s="2" t="str">
        <f t="shared" si="808"/>
        <v>SISTEMA DE GERENCIAMENTO DE INTERNAÇÃO</v>
      </c>
      <c r="C9385" s="2" t="str">
        <f t="shared" si="809"/>
        <v>INTER</v>
      </c>
      <c r="D9385" s="2" t="str">
        <f t="shared" si="810"/>
        <v>PARI</v>
      </c>
      <c r="E9385" s="2" t="str">
        <f>"PROTOCOLO DE NOTA FISCAL"</f>
        <v>PROTOCOLO DE NOTA FISCAL</v>
      </c>
      <c r="F9385" s="2" t="str">
        <f>"O_EXPORTA_PERDAS"</f>
        <v>O_EXPORTA_PERDAS</v>
      </c>
      <c r="G9385" s="2" t="str">
        <f t="shared" si="807"/>
        <v xml:space="preserve"> ()</v>
      </c>
    </row>
    <row r="9386" spans="1:7" x14ac:dyDescent="0.3">
      <c r="A9386" s="1" t="s">
        <v>4</v>
      </c>
      <c r="B9386" s="2" t="str">
        <f t="shared" si="808"/>
        <v>SISTEMA DE GERENCIAMENTO DE INTERNAÇÃO</v>
      </c>
      <c r="C9386" s="2" t="str">
        <f t="shared" si="809"/>
        <v>INTER</v>
      </c>
      <c r="D9386" s="2" t="str">
        <f t="shared" si="810"/>
        <v>PARI</v>
      </c>
      <c r="E9386" s="2" t="str">
        <f>"LOG DE INTEGRAÇÃO PACIENTE - CLIENTE"</f>
        <v>LOG DE INTEGRAÇÃO PACIENTE - CLIENTE</v>
      </c>
      <c r="F9386" s="2" t="str">
        <f>"C_LOG_PACIENTE_SAPIENS"</f>
        <v>C_LOG_PACIENTE_SAPIENS</v>
      </c>
      <c r="G9386" s="2" t="str">
        <f t="shared" si="807"/>
        <v xml:space="preserve"> ()</v>
      </c>
    </row>
    <row r="9387" spans="1:7" x14ac:dyDescent="0.3">
      <c r="A9387" s="1" t="s">
        <v>4</v>
      </c>
      <c r="B9387" s="2" t="str">
        <f t="shared" si="808"/>
        <v>SISTEMA DE GERENCIAMENTO DE INTERNAÇÃO</v>
      </c>
      <c r="C9387" s="2" t="str">
        <f t="shared" si="809"/>
        <v>INTER</v>
      </c>
      <c r="D9387" s="2" t="str">
        <f t="shared" si="810"/>
        <v>PARI</v>
      </c>
      <c r="E9387" s="2" t="str">
        <f>"TELA DE MANUTENÇÃO"</f>
        <v>TELA DE MANUTENÇÃO</v>
      </c>
      <c r="F9387" s="2" t="str">
        <f>"M_MANUTENCAO_SGPS"</f>
        <v>M_MANUTENCAO_SGPS</v>
      </c>
      <c r="G9387" s="2" t="str">
        <f t="shared" si="807"/>
        <v xml:space="preserve"> ()</v>
      </c>
    </row>
    <row r="9388" spans="1:7" x14ac:dyDescent="0.3">
      <c r="A9388" s="1" t="s">
        <v>4</v>
      </c>
      <c r="B9388" s="2" t="str">
        <f t="shared" si="808"/>
        <v>SISTEMA DE GERENCIAMENTO DE INTERNAÇÃO</v>
      </c>
      <c r="C9388" s="2" t="str">
        <f t="shared" si="809"/>
        <v>INTER</v>
      </c>
      <c r="D9388" s="2" t="str">
        <f t="shared" si="810"/>
        <v>PARI</v>
      </c>
      <c r="E9388" s="2" t="str">
        <f>"TELA DE PARÂMETROS"</f>
        <v>TELA DE PARÂMETROS</v>
      </c>
      <c r="F9388" s="2" t="str">
        <f>"M_PARAMETRO_SGPS"</f>
        <v>M_PARAMETRO_SGPS</v>
      </c>
      <c r="G9388" s="2" t="str">
        <f t="shared" si="807"/>
        <v xml:space="preserve"> ()</v>
      </c>
    </row>
    <row r="9389" spans="1:7" x14ac:dyDescent="0.3">
      <c r="A9389" s="1" t="s">
        <v>4</v>
      </c>
      <c r="B9389" s="2" t="str">
        <f t="shared" si="808"/>
        <v>SISTEMA DE GERENCIAMENTO DE INTERNAÇÃO</v>
      </c>
      <c r="C9389" s="2" t="str">
        <f t="shared" si="809"/>
        <v>INTER</v>
      </c>
      <c r="D9389" s="2" t="str">
        <f t="shared" si="810"/>
        <v>PARI</v>
      </c>
      <c r="E9389" s="2" t="str">
        <f>"C_STATUS_FECH_ESTOQUE_IMV263"</f>
        <v>C_STATUS_FECH_ESTOQUE_IMV263</v>
      </c>
      <c r="F9389" s="2" t="str">
        <f>"C_STATUS_FECH_ESTOQUE_IMV263"</f>
        <v>C_STATUS_FECH_ESTOQUE_IMV263</v>
      </c>
      <c r="G9389" s="2" t="str">
        <f t="shared" si="807"/>
        <v xml:space="preserve"> ()</v>
      </c>
    </row>
    <row r="9390" spans="1:7" x14ac:dyDescent="0.3">
      <c r="A9390" s="1" t="s">
        <v>4</v>
      </c>
      <c r="B9390" s="2" t="str">
        <f t="shared" si="808"/>
        <v>SISTEMA DE GERENCIAMENTO DE INTERNAÇÃO</v>
      </c>
      <c r="C9390" s="2" t="str">
        <f t="shared" si="809"/>
        <v>INTER</v>
      </c>
      <c r="D9390" s="2" t="str">
        <f t="shared" si="810"/>
        <v>PARI</v>
      </c>
      <c r="E9390" s="2" t="str">
        <f>"R_ESTATISTICO_SAIDA_970"</f>
        <v>R_ESTATISTICO_SAIDA_970</v>
      </c>
      <c r="F9390" s="2" t="str">
        <f>"R_ESTATISTICO_SAIDA_970"</f>
        <v>R_ESTATISTICO_SAIDA_970</v>
      </c>
      <c r="G9390" s="2" t="str">
        <f t="shared" si="807"/>
        <v xml:space="preserve"> ()</v>
      </c>
    </row>
    <row r="9391" spans="1:7" x14ac:dyDescent="0.3">
      <c r="A9391" s="1" t="s">
        <v>4</v>
      </c>
      <c r="B9391" s="2" t="str">
        <f t="shared" si="808"/>
        <v>SISTEMA DE GERENCIAMENTO DE INTERNAÇÃO</v>
      </c>
      <c r="C9391" s="2" t="str">
        <f t="shared" si="809"/>
        <v>INTER</v>
      </c>
      <c r="D9391" s="2" t="str">
        <f t="shared" si="810"/>
        <v>PARI</v>
      </c>
      <c r="E9391" s="2" t="str">
        <f>"RELATÓRIO DE ETIQUETA DE INTERNAÇÃO"</f>
        <v>RELATÓRIO DE ETIQUETA DE INTERNAÇÃO</v>
      </c>
      <c r="F9391" s="2" t="str">
        <f>"R_ETIQUETA_ATEND_PARI_970"</f>
        <v>R_ETIQUETA_ATEND_PARI_970</v>
      </c>
      <c r="G9391" s="2" t="str">
        <f t="shared" si="807"/>
        <v xml:space="preserve"> ()</v>
      </c>
    </row>
    <row r="9392" spans="1:7" x14ac:dyDescent="0.3">
      <c r="A9392" s="1" t="s">
        <v>4</v>
      </c>
      <c r="B9392" s="2" t="str">
        <f t="shared" si="808"/>
        <v>SISTEMA DE GERENCIAMENTO DE INTERNAÇÃO</v>
      </c>
      <c r="C9392" s="2" t="str">
        <f t="shared" si="809"/>
        <v>INTER</v>
      </c>
      <c r="D9392" s="2" t="str">
        <f t="shared" si="810"/>
        <v>PARI</v>
      </c>
      <c r="E9392" s="2" t="str">
        <f>"MOVIMENTAÇÃO POR UNIDADE DE INTERNAÇÃO"</f>
        <v>MOVIMENTAÇÃO POR UNIDADE DE INTERNAÇÃO</v>
      </c>
      <c r="F9392" s="2" t="str">
        <f>"R_MOV_UNID_INT"</f>
        <v>R_MOV_UNID_INT</v>
      </c>
      <c r="G9392" s="2" t="str">
        <f>"Atendimento / Internação / Relatórios / Movimentação / Por Unidade de Internação (R_MOV_UNID_INT)"</f>
        <v>Atendimento / Internação / Relatórios / Movimentação / Por Unidade de Internação (R_MOV_UNID_INT)</v>
      </c>
    </row>
    <row r="9393" spans="1:7" x14ac:dyDescent="0.3">
      <c r="A9393" s="1" t="s">
        <v>4</v>
      </c>
      <c r="B9393" s="2" t="str">
        <f t="shared" si="808"/>
        <v>SISTEMA DE GERENCIAMENTO DE INTERNAÇÃO</v>
      </c>
      <c r="C9393" s="2" t="str">
        <f t="shared" si="809"/>
        <v>INTER</v>
      </c>
      <c r="D9393" s="2" t="str">
        <f t="shared" si="810"/>
        <v>PARI</v>
      </c>
      <c r="E9393" s="2" t="str">
        <f>"MOVIMENTAÇÃO POR UNIDADE DE INTERNAÇÃO"</f>
        <v>MOVIMENTAÇÃO POR UNIDADE DE INTERNAÇÃO</v>
      </c>
      <c r="F9393" s="2" t="str">
        <f>"R_MOV_UNID_INT"</f>
        <v>R_MOV_UNID_INT</v>
      </c>
      <c r="G9393" s="2" t="str">
        <f>"MVSaude / Atendimento / Autorizações de Guias / Internação / Relatórios / Movimentação / Por Unidade de Internação (R_MOV_UNID_INT)"</f>
        <v>MVSaude / Atendimento / Autorizações de Guias / Internação / Relatórios / Movimentação / Por Unidade de Internação (R_MOV_UNID_INT)</v>
      </c>
    </row>
    <row r="9394" spans="1:7" x14ac:dyDescent="0.3">
      <c r="A9394" s="1" t="s">
        <v>4</v>
      </c>
      <c r="B9394" s="2" t="str">
        <f t="shared" si="808"/>
        <v>SISTEMA DE GERENCIAMENTO DE INTERNAÇÃO</v>
      </c>
      <c r="C9394" s="2" t="str">
        <f t="shared" si="809"/>
        <v>INTER</v>
      </c>
      <c r="D9394" s="2" t="str">
        <f t="shared" si="810"/>
        <v>PARI</v>
      </c>
      <c r="E9394" s="2" t="str">
        <f>"MOVIMENTAÇÃO POR UNIDADE DE INTERNAÇÃO"</f>
        <v>MOVIMENTAÇÃO POR UNIDADE DE INTERNAÇÃO</v>
      </c>
      <c r="F9394" s="2" t="str">
        <f>"R_MOV_UNID_INT"</f>
        <v>R_MOV_UNID_INT</v>
      </c>
      <c r="G9394" s="2" t="str">
        <f>"MVSaude / Vendas / Internação / Relatórios / Movimentação / Por Unidade de Internação (R_MOV_UNID_INT)"</f>
        <v>MVSaude / Vendas / Internação / Relatórios / Movimentação / Por Unidade de Internação (R_MOV_UNID_INT)</v>
      </c>
    </row>
    <row r="9395" spans="1:7" x14ac:dyDescent="0.3">
      <c r="A9395" s="1" t="s">
        <v>4</v>
      </c>
      <c r="B9395" s="2" t="str">
        <f t="shared" si="808"/>
        <v>SISTEMA DE GERENCIAMENTO DE INTERNAÇÃO</v>
      </c>
      <c r="C9395" s="2" t="str">
        <f t="shared" si="809"/>
        <v>INTER</v>
      </c>
      <c r="D9395" s="2" t="str">
        <f t="shared" si="810"/>
        <v>PARI</v>
      </c>
      <c r="E9395" s="2" t="str">
        <f>"CONSULTA DE PENDÊNCIAS POR ATENDIMENTO"</f>
        <v>CONSULTA DE PENDÊNCIAS POR ATENDIMENTO</v>
      </c>
      <c r="F9395" s="2" t="str">
        <f>"C_BAIXA_PEND"</f>
        <v>C_BAIXA_PEND</v>
      </c>
      <c r="G9395" s="2" t="str">
        <f>"MVSaude / Vendas / Internação / Consultas / Pendências por Atendimento (C_BAIXA_PEND)"</f>
        <v>MVSaude / Vendas / Internação / Consultas / Pendências por Atendimento (C_BAIXA_PEND)</v>
      </c>
    </row>
    <row r="9396" spans="1:7" x14ac:dyDescent="0.3">
      <c r="A9396" s="1" t="s">
        <v>4</v>
      </c>
      <c r="B9396" s="2" t="str">
        <f t="shared" si="808"/>
        <v>SISTEMA DE GERENCIAMENTO DE INTERNAÇÃO</v>
      </c>
      <c r="C9396" s="2" t="str">
        <f t="shared" si="809"/>
        <v>INTER</v>
      </c>
      <c r="D9396" s="2" t="str">
        <f t="shared" si="810"/>
        <v>PARI</v>
      </c>
      <c r="E9396" s="2" t="str">
        <f>"CONSULTA DE PENDÊNCIAS POR ATENDIMENTO"</f>
        <v>CONSULTA DE PENDÊNCIAS POR ATENDIMENTO</v>
      </c>
      <c r="F9396" s="2" t="str">
        <f>"C_BAIXA_PEND"</f>
        <v>C_BAIXA_PEND</v>
      </c>
      <c r="G9396" s="2" t="str">
        <f>"Atendimento / Internação / Consultas / Pendências por Atendimento (C_BAIXA_PEND)"</f>
        <v>Atendimento / Internação / Consultas / Pendências por Atendimento (C_BAIXA_PEND)</v>
      </c>
    </row>
    <row r="9397" spans="1:7" x14ac:dyDescent="0.3">
      <c r="A9397" s="1" t="s">
        <v>4</v>
      </c>
      <c r="B9397" s="2" t="str">
        <f t="shared" si="808"/>
        <v>SISTEMA DE GERENCIAMENTO DE INTERNAÇÃO</v>
      </c>
      <c r="C9397" s="2" t="str">
        <f t="shared" si="809"/>
        <v>INTER</v>
      </c>
      <c r="D9397" s="2" t="str">
        <f t="shared" si="810"/>
        <v>PARI</v>
      </c>
      <c r="E9397" s="2" t="str">
        <f>"CONSULTA DE PENDÊNCIAS POR ATENDIMENTO"</f>
        <v>CONSULTA DE PENDÊNCIAS POR ATENDIMENTO</v>
      </c>
      <c r="F9397" s="2" t="str">
        <f>"C_BAIXA_PEND"</f>
        <v>C_BAIXA_PEND</v>
      </c>
      <c r="G9397" s="2" t="str">
        <f>"MVSaude / Atendimento / Autorizações de Guias / Internação / Consultas / Pendências por Atendimento (C_BAIXA_PEND)"</f>
        <v>MVSaude / Atendimento / Autorizações de Guias / Internação / Consultas / Pendências por Atendimento (C_BAIXA_PEND)</v>
      </c>
    </row>
    <row r="9398" spans="1:7" x14ac:dyDescent="0.3">
      <c r="A9398" s="1" t="s">
        <v>4</v>
      </c>
      <c r="B9398" s="2" t="str">
        <f t="shared" si="808"/>
        <v>SISTEMA DE GERENCIAMENTO DE INTERNAÇÃO</v>
      </c>
      <c r="C9398" s="2" t="str">
        <f t="shared" si="809"/>
        <v>INTER</v>
      </c>
      <c r="D9398" s="2" t="str">
        <f t="shared" si="810"/>
        <v>PARI</v>
      </c>
      <c r="E9398" s="2" t="str">
        <f>"ETIQUETA DE INTERNACAO 734"</f>
        <v>ETIQUETA DE INTERNACAO 734</v>
      </c>
      <c r="F9398" s="2" t="str">
        <f>"R_ETIQUETA_INTERNACAO_734"</f>
        <v>R_ETIQUETA_INTERNACAO_734</v>
      </c>
      <c r="G9398" s="2" t="str">
        <f>" ()"</f>
        <v xml:space="preserve"> ()</v>
      </c>
    </row>
    <row r="9399" spans="1:7" x14ac:dyDescent="0.3">
      <c r="A9399" s="1" t="s">
        <v>4</v>
      </c>
      <c r="B9399" s="2" t="str">
        <f t="shared" si="808"/>
        <v>SISTEMA DE GERENCIAMENTO DE INTERNAÇÃO</v>
      </c>
      <c r="C9399" s="2" t="str">
        <f t="shared" si="809"/>
        <v>INTER</v>
      </c>
      <c r="D9399" s="2" t="str">
        <f t="shared" si="810"/>
        <v>PARI</v>
      </c>
      <c r="E9399" s="2" t="str">
        <f>"ETIQUETA DE EXAMES"</f>
        <v>ETIQUETA DE EXAMES</v>
      </c>
      <c r="F9399" s="2" t="str">
        <f>"R_ETIQ_INTERNACAO_734"</f>
        <v>R_ETIQ_INTERNACAO_734</v>
      </c>
      <c r="G9399" s="2" t="str">
        <f>" ()"</f>
        <v xml:space="preserve"> ()</v>
      </c>
    </row>
    <row r="9400" spans="1:7" x14ac:dyDescent="0.3">
      <c r="A9400" s="1" t="s">
        <v>4</v>
      </c>
      <c r="B9400" s="2" t="str">
        <f t="shared" si="808"/>
        <v>SISTEMA DE GERENCIAMENTO DE INTERNAÇÃO</v>
      </c>
      <c r="C9400" s="2" t="str">
        <f t="shared" si="809"/>
        <v>INTER</v>
      </c>
      <c r="D9400" s="2" t="str">
        <f t="shared" si="810"/>
        <v>PARI</v>
      </c>
      <c r="E9400" s="2" t="str">
        <f>"TERMOS E DECLARAÇÕES"</f>
        <v>TERMOS E DECLARAÇÕES</v>
      </c>
      <c r="F9400" s="2" t="str">
        <f>"R_TERMO_410"</f>
        <v>R_TERMO_410</v>
      </c>
      <c r="G9400" s="2" t="str">
        <f>" ()"</f>
        <v xml:space="preserve"> ()</v>
      </c>
    </row>
    <row r="9401" spans="1:7" x14ac:dyDescent="0.3">
      <c r="A9401" s="1" t="s">
        <v>4</v>
      </c>
      <c r="B9401" s="2" t="str">
        <f t="shared" si="808"/>
        <v>SISTEMA DE GERENCIAMENTO DE INTERNAÇÃO</v>
      </c>
      <c r="C9401" s="2" t="str">
        <f t="shared" si="809"/>
        <v>INTER</v>
      </c>
      <c r="D9401" s="2" t="str">
        <f t="shared" si="810"/>
        <v>PARI</v>
      </c>
      <c r="E9401" s="2" t="str">
        <f>"RELATÓRIO DE ATENDIMENTOS POR USUÁRIO"</f>
        <v>RELATÓRIO DE ATENDIMENTOS POR USUÁRIO</v>
      </c>
      <c r="F9401" s="2" t="str">
        <f>"R_EST_USUARIO.RDF"</f>
        <v>R_EST_USUARIO.RDF</v>
      </c>
      <c r="G9401" s="2" t="str">
        <f>" ()"</f>
        <v xml:space="preserve"> ()</v>
      </c>
    </row>
    <row r="9402" spans="1:7" x14ac:dyDescent="0.3">
      <c r="A9402" s="1" t="s">
        <v>4</v>
      </c>
      <c r="B9402" s="2" t="str">
        <f t="shared" si="808"/>
        <v>SISTEMA DE GERENCIAMENTO DE INTERNAÇÃO</v>
      </c>
      <c r="C9402" s="2" t="str">
        <f t="shared" si="809"/>
        <v>INTER</v>
      </c>
      <c r="D9402" s="2" t="str">
        <f t="shared" si="810"/>
        <v>PARI</v>
      </c>
      <c r="E9402" s="2" t="str">
        <f>"RELATÓRIO DE ALTAS MÉDICAS X HOSPITALAR"</f>
        <v>RELATÓRIO DE ALTAS MÉDICAS X HOSPITALAR</v>
      </c>
      <c r="F9402" s="2" t="str">
        <f>"R_ALTA_MED_HOSP.RDF"</f>
        <v>R_ALTA_MED_HOSP.RDF</v>
      </c>
      <c r="G9402" s="2" t="str">
        <f>" ()"</f>
        <v xml:space="preserve"> ()</v>
      </c>
    </row>
    <row r="9403" spans="1:7" x14ac:dyDescent="0.3">
      <c r="A9403" s="1" t="s">
        <v>4</v>
      </c>
      <c r="B9403" s="2" t="str">
        <f t="shared" si="808"/>
        <v>SISTEMA DE GERENCIAMENTO DE INTERNAÇÃO</v>
      </c>
      <c r="C9403" s="2" t="str">
        <f t="shared" si="809"/>
        <v>INTER</v>
      </c>
      <c r="D9403" s="2" t="str">
        <f t="shared" si="810"/>
        <v>PARI</v>
      </c>
      <c r="E9403" s="2" t="str">
        <f>"PAINEL DE INTERNAÇÃO"</f>
        <v>PAINEL DE INTERNAÇÃO</v>
      </c>
      <c r="F9403" s="2" t="str">
        <f>"C_PAINEL_LEITOS"</f>
        <v>C_PAINEL_LEITOS</v>
      </c>
      <c r="G9403" s="2" t="str">
        <f>"MVSaude / Vendas / Internação / Atendimento / Painel da Internação (C_PAINEL_LEITOS)"</f>
        <v>MVSaude / Vendas / Internação / Atendimento / Painel da Internação (C_PAINEL_LEITOS)</v>
      </c>
    </row>
    <row r="9404" spans="1:7" x14ac:dyDescent="0.3">
      <c r="A9404" s="1" t="s">
        <v>4</v>
      </c>
      <c r="B9404" s="2" t="str">
        <f t="shared" si="808"/>
        <v>SISTEMA DE GERENCIAMENTO DE INTERNAÇÃO</v>
      </c>
      <c r="C9404" s="2" t="str">
        <f t="shared" si="809"/>
        <v>INTER</v>
      </c>
      <c r="D9404" s="2" t="str">
        <f t="shared" si="810"/>
        <v>PARI</v>
      </c>
      <c r="E9404" s="2" t="str">
        <f>"PAINEL DE INTERNAÇÃO"</f>
        <v>PAINEL DE INTERNAÇÃO</v>
      </c>
      <c r="F9404" s="2" t="str">
        <f>"C_PAINEL_LEITOS"</f>
        <v>C_PAINEL_LEITOS</v>
      </c>
      <c r="G9404" s="2" t="str">
        <f>"MVSaude / Atendimento / Autorizações de Guias / Internação / Atendimento / Painel da Internação (C_PAINEL_LEITOS)"</f>
        <v>MVSaude / Atendimento / Autorizações de Guias / Internação / Atendimento / Painel da Internação (C_PAINEL_LEITOS)</v>
      </c>
    </row>
    <row r="9405" spans="1:7" x14ac:dyDescent="0.3">
      <c r="A9405" s="1" t="s">
        <v>4</v>
      </c>
      <c r="B9405" s="2" t="str">
        <f t="shared" si="808"/>
        <v>SISTEMA DE GERENCIAMENTO DE INTERNAÇÃO</v>
      </c>
      <c r="C9405" s="2" t="str">
        <f t="shared" si="809"/>
        <v>INTER</v>
      </c>
      <c r="D9405" s="2" t="str">
        <f t="shared" si="810"/>
        <v>PARI</v>
      </c>
      <c r="E9405" s="2" t="str">
        <f>"PAINEL DE INTERNAÇÃO"</f>
        <v>PAINEL DE INTERNAÇÃO</v>
      </c>
      <c r="F9405" s="2" t="str">
        <f>"C_PAINEL_LEITOS"</f>
        <v>C_PAINEL_LEITOS</v>
      </c>
      <c r="G9405" s="2" t="str">
        <f>"Atendimento / Internação / Atendimento / Painel da Internação (C_PAINEL_LEITOS)"</f>
        <v>Atendimento / Internação / Atendimento / Painel da Internação (C_PAINEL_LEITOS)</v>
      </c>
    </row>
    <row r="9406" spans="1:7" x14ac:dyDescent="0.3">
      <c r="A9406" s="1" t="s">
        <v>4</v>
      </c>
      <c r="B9406" s="2" t="str">
        <f t="shared" si="808"/>
        <v>SISTEMA DE GERENCIAMENTO DE INTERNAÇÃO</v>
      </c>
      <c r="C9406" s="2" t="str">
        <f t="shared" si="809"/>
        <v>INTER</v>
      </c>
      <c r="D9406" s="2" t="str">
        <f t="shared" si="810"/>
        <v>PARI</v>
      </c>
      <c r="E9406" s="2" t="str">
        <f>"POR TIPO DE ACOMODAÇÃO"</f>
        <v>POR TIPO DE ACOMODAÇÃO</v>
      </c>
      <c r="F9406" s="2" t="str">
        <f>"R_PAC_INT_ACOMOD.RDF"</f>
        <v>R_PAC_INT_ACOMOD.RDF</v>
      </c>
      <c r="G9406" s="2" t="str">
        <f t="shared" ref="G9406:G9420" si="811">" ()"</f>
        <v xml:space="preserve"> ()</v>
      </c>
    </row>
    <row r="9407" spans="1:7" x14ac:dyDescent="0.3">
      <c r="A9407" s="1" t="s">
        <v>4</v>
      </c>
      <c r="B9407" s="2" t="str">
        <f t="shared" si="808"/>
        <v>SISTEMA DE GERENCIAMENTO DE INTERNAÇÃO</v>
      </c>
      <c r="C9407" s="2" t="str">
        <f t="shared" si="809"/>
        <v>INTER</v>
      </c>
      <c r="D9407" s="2" t="str">
        <f t="shared" si="810"/>
        <v>PARI</v>
      </c>
      <c r="E9407" s="2" t="str">
        <f>"POR RELIGIÃO"</f>
        <v>POR RELIGIÃO</v>
      </c>
      <c r="F9407" s="2" t="str">
        <f>"R_PAC_INT_RELIGIAO.RDF"</f>
        <v>R_PAC_INT_RELIGIAO.RDF</v>
      </c>
      <c r="G9407" s="2" t="str">
        <f t="shared" si="811"/>
        <v xml:space="preserve"> ()</v>
      </c>
    </row>
    <row r="9408" spans="1:7" x14ac:dyDescent="0.3">
      <c r="A9408" s="1" t="s">
        <v>4</v>
      </c>
      <c r="B9408" s="2" t="str">
        <f t="shared" si="808"/>
        <v>SISTEMA DE GERENCIAMENTO DE INTERNAÇÃO</v>
      </c>
      <c r="C9408" s="2" t="str">
        <f t="shared" si="809"/>
        <v>INTER</v>
      </c>
      <c r="D9408" s="2" t="str">
        <f t="shared" si="810"/>
        <v>PARI</v>
      </c>
      <c r="E9408" s="2" t="str">
        <f>"PACIENTES INTERNADOS POR IDADES"</f>
        <v>PACIENTES INTERNADOS POR IDADES</v>
      </c>
      <c r="F9408" s="2" t="str">
        <f>"R_PAC_INT_IDADE.RDF"</f>
        <v>R_PAC_INT_IDADE.RDF</v>
      </c>
      <c r="G9408" s="2" t="str">
        <f t="shared" si="811"/>
        <v xml:space="preserve"> ()</v>
      </c>
    </row>
    <row r="9409" spans="1:7" x14ac:dyDescent="0.3">
      <c r="A9409" s="1" t="s">
        <v>4</v>
      </c>
      <c r="B9409" s="2" t="str">
        <f t="shared" si="808"/>
        <v>SISTEMA DE GERENCIAMENTO DE INTERNAÇÃO</v>
      </c>
      <c r="C9409" s="2" t="str">
        <f t="shared" si="809"/>
        <v>INTER</v>
      </c>
      <c r="D9409" s="2" t="str">
        <f t="shared" si="810"/>
        <v>PARI</v>
      </c>
      <c r="E9409" s="2" t="str">
        <f>"RELATÓRIO DE OCUPAÇÃO POR LEITOS"</f>
        <v>RELATÓRIO DE OCUPAÇÃO POR LEITOS</v>
      </c>
      <c r="F9409" s="2" t="str">
        <f>"R_EST_OCUP_POR_LEIT.RDF"</f>
        <v>R_EST_OCUP_POR_LEIT.RDF</v>
      </c>
      <c r="G9409" s="2" t="str">
        <f t="shared" si="811"/>
        <v xml:space="preserve"> ()</v>
      </c>
    </row>
    <row r="9410" spans="1:7" x14ac:dyDescent="0.3">
      <c r="A9410" s="1" t="s">
        <v>4</v>
      </c>
      <c r="B9410" s="2" t="str">
        <f t="shared" si="808"/>
        <v>SISTEMA DE GERENCIAMENTO DE INTERNAÇÃO</v>
      </c>
      <c r="C9410" s="2" t="str">
        <f t="shared" si="809"/>
        <v>INTER</v>
      </c>
      <c r="D9410" s="2" t="str">
        <f t="shared" si="810"/>
        <v>PARI</v>
      </c>
      <c r="E9410" s="2" t="str">
        <f>"RESUMO DE ÓBITOS POR CLÍNICA"</f>
        <v>RESUMO DE ÓBITOS POR CLÍNICA</v>
      </c>
      <c r="F9410" s="2" t="str">
        <f>"R_RESUMO_OBTOS_CLI.RDF"</f>
        <v>R_RESUMO_OBTOS_CLI.RDF</v>
      </c>
      <c r="G9410" s="2" t="str">
        <f t="shared" si="811"/>
        <v xml:space="preserve"> ()</v>
      </c>
    </row>
    <row r="9411" spans="1:7" x14ac:dyDescent="0.3">
      <c r="A9411" s="1" t="s">
        <v>4</v>
      </c>
      <c r="B9411" s="2" t="str">
        <f t="shared" si="808"/>
        <v>SISTEMA DE GERENCIAMENTO DE INTERNAÇÃO</v>
      </c>
      <c r="C9411" s="2" t="str">
        <f t="shared" si="809"/>
        <v>INTER</v>
      </c>
      <c r="D9411" s="2" t="str">
        <f t="shared" si="810"/>
        <v>PARI</v>
      </c>
      <c r="E9411" s="2" t="str">
        <f>"RELAÇÃO DE ÓBITOS - ANALÍTICO"</f>
        <v>RELAÇÃO DE ÓBITOS - ANALÍTICO</v>
      </c>
      <c r="F9411" s="2" t="str">
        <f>"R_OBITOS_ANALIT.RDF"</f>
        <v>R_OBITOS_ANALIT.RDF</v>
      </c>
      <c r="G9411" s="2" t="str">
        <f t="shared" si="811"/>
        <v xml:space="preserve"> ()</v>
      </c>
    </row>
    <row r="9412" spans="1:7" x14ac:dyDescent="0.3">
      <c r="A9412" s="1" t="s">
        <v>4</v>
      </c>
      <c r="B9412" s="2" t="str">
        <f t="shared" si="808"/>
        <v>SISTEMA DE GERENCIAMENTO DE INTERNAÇÃO</v>
      </c>
      <c r="C9412" s="2" t="str">
        <f t="shared" si="809"/>
        <v>INTER</v>
      </c>
      <c r="D9412" s="2" t="str">
        <f t="shared" si="810"/>
        <v>PARI</v>
      </c>
      <c r="E9412" s="2" t="str">
        <f>"RELATÓRIO DE PACIENTES EM ISOLAMENTO"</f>
        <v>RELATÓRIO DE PACIENTES EM ISOLAMENTO</v>
      </c>
      <c r="F9412" s="2" t="str">
        <f>"R_PAC_ISOLAMENTO.RDF"</f>
        <v>R_PAC_ISOLAMENTO.RDF</v>
      </c>
      <c r="G9412" s="2" t="str">
        <f t="shared" si="811"/>
        <v xml:space="preserve"> ()</v>
      </c>
    </row>
    <row r="9413" spans="1:7" x14ac:dyDescent="0.3">
      <c r="A9413" s="1" t="s">
        <v>4</v>
      </c>
      <c r="B9413" s="2" t="str">
        <f t="shared" si="808"/>
        <v>SISTEMA DE GERENCIAMENTO DE INTERNAÇÃO</v>
      </c>
      <c r="C9413" s="2" t="str">
        <f t="shared" si="809"/>
        <v>INTER</v>
      </c>
      <c r="D9413" s="2" t="str">
        <f t="shared" si="810"/>
        <v>PARI</v>
      </c>
      <c r="E9413" s="2" t="str">
        <f>"RELATORIO DE LAUDOS AIH BA"</f>
        <v>RELATORIO DE LAUDOS AIH BA</v>
      </c>
      <c r="F9413" s="2" t="str">
        <f>"R_LAUDO_AIH_BA"</f>
        <v>R_LAUDO_AIH_BA</v>
      </c>
      <c r="G9413" s="2" t="str">
        <f t="shared" si="811"/>
        <v xml:space="preserve"> ()</v>
      </c>
    </row>
    <row r="9414" spans="1:7" x14ac:dyDescent="0.3">
      <c r="A9414" s="1" t="s">
        <v>4</v>
      </c>
      <c r="B9414" s="2" t="str">
        <f t="shared" si="808"/>
        <v>SISTEMA DE GERENCIAMENTO DE INTERNAÇÃO</v>
      </c>
      <c r="C9414" s="2" t="str">
        <f t="shared" si="809"/>
        <v>INTER</v>
      </c>
      <c r="D9414" s="2" t="str">
        <f t="shared" si="810"/>
        <v>PARI</v>
      </c>
      <c r="E9414" s="2" t="str">
        <f>"R_CONTRATO_755"</f>
        <v>R_CONTRATO_755</v>
      </c>
      <c r="F9414" s="2" t="str">
        <f>"R_CONTRATO_755"</f>
        <v>R_CONTRATO_755</v>
      </c>
      <c r="G9414" s="2" t="str">
        <f t="shared" si="811"/>
        <v xml:space="preserve"> ()</v>
      </c>
    </row>
    <row r="9415" spans="1:7" x14ac:dyDescent="0.3">
      <c r="A9415" s="1" t="s">
        <v>4</v>
      </c>
      <c r="B9415" s="2" t="str">
        <f t="shared" si="808"/>
        <v>SISTEMA DE GERENCIAMENTO DE INTERNAÇÃO</v>
      </c>
      <c r="C9415" s="2" t="str">
        <f t="shared" si="809"/>
        <v>INTER</v>
      </c>
      <c r="D9415" s="2" t="str">
        <f t="shared" si="810"/>
        <v>PARI</v>
      </c>
      <c r="E9415" s="2" t="str">
        <f>"TERMOS DE DECLARAÇÃO"</f>
        <v>TERMOS DE DECLARAÇÃO</v>
      </c>
      <c r="F9415" s="2" t="str">
        <f>"R_DECLARACAO_755"</f>
        <v>R_DECLARACAO_755</v>
      </c>
      <c r="G9415" s="2" t="str">
        <f t="shared" si="811"/>
        <v xml:space="preserve"> ()</v>
      </c>
    </row>
    <row r="9416" spans="1:7" x14ac:dyDescent="0.3">
      <c r="A9416" s="1" t="s">
        <v>4</v>
      </c>
      <c r="B9416" s="2" t="str">
        <f t="shared" si="808"/>
        <v>SISTEMA DE GERENCIAMENTO DE INTERNAÇÃO</v>
      </c>
      <c r="C9416" s="2" t="str">
        <f t="shared" si="809"/>
        <v>INTER</v>
      </c>
      <c r="D9416" s="2" t="str">
        <f t="shared" si="810"/>
        <v>PARI</v>
      </c>
      <c r="E9416" s="2" t="str">
        <f>"CENSO RETROATIVO 860"</f>
        <v>CENSO RETROATIVO 860</v>
      </c>
      <c r="F9416" s="2" t="str">
        <f>"R_CENSO_RETRO860"</f>
        <v>R_CENSO_RETRO860</v>
      </c>
      <c r="G9416" s="2" t="str">
        <f t="shared" si="811"/>
        <v xml:space="preserve"> ()</v>
      </c>
    </row>
    <row r="9417" spans="1:7" x14ac:dyDescent="0.3">
      <c r="A9417" s="1" t="s">
        <v>4</v>
      </c>
      <c r="B9417" s="2" t="str">
        <f t="shared" si="808"/>
        <v>SISTEMA DE GERENCIAMENTO DE INTERNAÇÃO</v>
      </c>
      <c r="C9417" s="2" t="str">
        <f t="shared" si="809"/>
        <v>INTER</v>
      </c>
      <c r="D9417" s="2" t="str">
        <f t="shared" si="810"/>
        <v>PARI</v>
      </c>
      <c r="E9417" s="2" t="str">
        <f>"PACK DO PARI"</f>
        <v>PACK DO PARI</v>
      </c>
      <c r="F9417" s="2" t="str">
        <f>"PACK_INTERNAMENTO"</f>
        <v>PACK_INTERNAMENTO</v>
      </c>
      <c r="G9417" s="2" t="str">
        <f t="shared" si="811"/>
        <v xml:space="preserve"> ()</v>
      </c>
    </row>
    <row r="9418" spans="1:7" x14ac:dyDescent="0.3">
      <c r="A9418" s="1" t="s">
        <v>4</v>
      </c>
      <c r="B9418" s="2" t="str">
        <f t="shared" si="808"/>
        <v>SISTEMA DE GERENCIAMENTO DE INTERNAÇÃO</v>
      </c>
      <c r="C9418" s="2" t="str">
        <f t="shared" si="809"/>
        <v>INTER</v>
      </c>
      <c r="D9418" s="2" t="str">
        <f t="shared" si="810"/>
        <v>PARI</v>
      </c>
      <c r="E9418" s="2" t="str">
        <f>"R_INT_MED_BITMAP"</f>
        <v>R_INT_MED_BITMAP</v>
      </c>
      <c r="F9418" s="2" t="str">
        <f>"R_INT_MED_BITMAP"</f>
        <v>R_INT_MED_BITMAP</v>
      </c>
      <c r="G9418" s="2" t="str">
        <f t="shared" si="811"/>
        <v xml:space="preserve"> ()</v>
      </c>
    </row>
    <row r="9419" spans="1:7" x14ac:dyDescent="0.3">
      <c r="A9419" s="1" t="s">
        <v>4</v>
      </c>
      <c r="B9419" s="2" t="str">
        <f t="shared" si="808"/>
        <v>SISTEMA DE GERENCIAMENTO DE INTERNAÇÃO</v>
      </c>
      <c r="C9419" s="2" t="str">
        <f t="shared" si="809"/>
        <v>INTER</v>
      </c>
      <c r="D9419" s="2" t="str">
        <f t="shared" si="810"/>
        <v>PARI</v>
      </c>
      <c r="E9419" s="2" t="str">
        <f>"ETIQUETA DE ANIVERSARIANTES"</f>
        <v>ETIQUETA DE ANIVERSARIANTES</v>
      </c>
      <c r="F9419" s="2" t="str">
        <f>"R_ETIQUETA_ANIVERSARIANTE860"</f>
        <v>R_ETIQUETA_ANIVERSARIANTE860</v>
      </c>
      <c r="G9419" s="2" t="str">
        <f t="shared" si="811"/>
        <v xml:space="preserve"> ()</v>
      </c>
    </row>
    <row r="9420" spans="1:7" x14ac:dyDescent="0.3">
      <c r="A9420" s="1" t="s">
        <v>4</v>
      </c>
      <c r="B9420" s="2" t="str">
        <f t="shared" si="808"/>
        <v>SISTEMA DE GERENCIAMENTO DE INTERNAÇÃO</v>
      </c>
      <c r="C9420" s="2" t="str">
        <f t="shared" si="809"/>
        <v>INTER</v>
      </c>
      <c r="D9420" s="2" t="str">
        <f t="shared" si="810"/>
        <v>PARI</v>
      </c>
      <c r="E9420" s="2" t="str">
        <f>"R_EST_INTER_UNID_CONV860"</f>
        <v>R_EST_INTER_UNID_CONV860</v>
      </c>
      <c r="F9420" s="2" t="str">
        <f>"R_EST_INTER_UNID_CONV860"</f>
        <v>R_EST_INTER_UNID_CONV860</v>
      </c>
      <c r="G9420" s="2" t="str">
        <f t="shared" si="811"/>
        <v xml:space="preserve"> ()</v>
      </c>
    </row>
    <row r="9421" spans="1:7" x14ac:dyDescent="0.3">
      <c r="A9421" s="1" t="s">
        <v>4</v>
      </c>
      <c r="B9421" s="2" t="str">
        <f t="shared" si="808"/>
        <v>SISTEMA DE GERENCIAMENTO DE INTERNAÇÃO</v>
      </c>
      <c r="C9421" s="2" t="str">
        <f t="shared" si="809"/>
        <v>INTER</v>
      </c>
      <c r="D9421" s="2" t="str">
        <f t="shared" si="810"/>
        <v>PARI</v>
      </c>
      <c r="E9421" s="2" t="str">
        <f t="shared" ref="E9421:F9423" si="812">"C_AGENDA_CIRURGIA"</f>
        <v>C_AGENDA_CIRURGIA</v>
      </c>
      <c r="F9421" s="2" t="str">
        <f t="shared" si="812"/>
        <v>C_AGENDA_CIRURGIA</v>
      </c>
      <c r="G9421" s="2" t="s">
        <v>49</v>
      </c>
    </row>
    <row r="9422" spans="1:7" x14ac:dyDescent="0.3">
      <c r="A9422" s="1" t="s">
        <v>4</v>
      </c>
      <c r="B9422" s="2" t="str">
        <f t="shared" ref="B9422:B9485" si="813">"SISTEMA DE GERENCIAMENTO DE INTERNAÇÃO"</f>
        <v>SISTEMA DE GERENCIAMENTO DE INTERNAÇÃO</v>
      </c>
      <c r="C9422" s="2" t="str">
        <f t="shared" ref="C9422:C9485" si="814">"INTER"</f>
        <v>INTER</v>
      </c>
      <c r="D9422" s="2" t="str">
        <f t="shared" ref="D9422:D9485" si="815">"PARI"</f>
        <v>PARI</v>
      </c>
      <c r="E9422" s="2" t="str">
        <f t="shared" si="812"/>
        <v>C_AGENDA_CIRURGIA</v>
      </c>
      <c r="F9422" s="2" t="str">
        <f t="shared" si="812"/>
        <v>C_AGENDA_CIRURGIA</v>
      </c>
      <c r="G9422" s="2" t="s">
        <v>50</v>
      </c>
    </row>
    <row r="9423" spans="1:7" x14ac:dyDescent="0.3">
      <c r="A9423" s="1" t="s">
        <v>4</v>
      </c>
      <c r="B9423" s="2" t="str">
        <f t="shared" si="813"/>
        <v>SISTEMA DE GERENCIAMENTO DE INTERNAÇÃO</v>
      </c>
      <c r="C9423" s="2" t="str">
        <f t="shared" si="814"/>
        <v>INTER</v>
      </c>
      <c r="D9423" s="2" t="str">
        <f t="shared" si="815"/>
        <v>PARI</v>
      </c>
      <c r="E9423" s="2" t="str">
        <f t="shared" si="812"/>
        <v>C_AGENDA_CIRURGIA</v>
      </c>
      <c r="F9423" s="2" t="str">
        <f t="shared" si="812"/>
        <v>C_AGENDA_CIRURGIA</v>
      </c>
      <c r="G9423" s="2" t="s">
        <v>51</v>
      </c>
    </row>
    <row r="9424" spans="1:7" x14ac:dyDescent="0.3">
      <c r="A9424" s="1" t="s">
        <v>4</v>
      </c>
      <c r="B9424" s="2" t="str">
        <f t="shared" si="813"/>
        <v>SISTEMA DE GERENCIAMENTO DE INTERNAÇÃO</v>
      </c>
      <c r="C9424" s="2" t="str">
        <f t="shared" si="814"/>
        <v>INTER</v>
      </c>
      <c r="D9424" s="2" t="str">
        <f t="shared" si="815"/>
        <v>PARI</v>
      </c>
      <c r="E9424" s="2" t="str">
        <f>"AUTORIZA_GUIA"</f>
        <v>AUTORIZA_GUIA</v>
      </c>
      <c r="F9424" s="2" t="str">
        <f>"AUTORIZA_GUIA"</f>
        <v>AUTORIZA_GUIA</v>
      </c>
      <c r="G9424" s="2" t="str">
        <f>" ()"</f>
        <v xml:space="preserve"> ()</v>
      </c>
    </row>
    <row r="9425" spans="1:7" x14ac:dyDescent="0.3">
      <c r="A9425" s="1" t="s">
        <v>4</v>
      </c>
      <c r="B9425" s="2" t="str">
        <f t="shared" si="813"/>
        <v>SISTEMA DE GERENCIAMENTO DE INTERNAÇÃO</v>
      </c>
      <c r="C9425" s="2" t="str">
        <f t="shared" si="814"/>
        <v>INTER</v>
      </c>
      <c r="D9425" s="2" t="str">
        <f t="shared" si="815"/>
        <v>PARI</v>
      </c>
      <c r="E9425" s="2" t="str">
        <f>"R_ESTATISTICA_OBITOS"</f>
        <v>R_ESTATISTICA_OBITOS</v>
      </c>
      <c r="F9425" s="2" t="str">
        <f>"R_ESTATISTICA_OBITOS"</f>
        <v>R_ESTATISTICA_OBITOS</v>
      </c>
      <c r="G9425" s="2" t="str">
        <f>" ()"</f>
        <v xml:space="preserve"> ()</v>
      </c>
    </row>
    <row r="9426" spans="1:7" x14ac:dyDescent="0.3">
      <c r="A9426" s="1" t="s">
        <v>4</v>
      </c>
      <c r="B9426" s="2" t="str">
        <f t="shared" si="813"/>
        <v>SISTEMA DE GERENCIAMENTO DE INTERNAÇÃO</v>
      </c>
      <c r="C9426" s="2" t="str">
        <f t="shared" si="814"/>
        <v>INTER</v>
      </c>
      <c r="D9426" s="2" t="str">
        <f t="shared" si="815"/>
        <v>PARI</v>
      </c>
      <c r="E9426" s="2" t="str">
        <f>"ESTATISTICAS DE OBITOS"</f>
        <v>ESTATISTICAS DE OBITOS</v>
      </c>
      <c r="F9426" s="2" t="str">
        <f>"R_ESTATISTICOS_OBITOS"</f>
        <v>R_ESTATISTICOS_OBITOS</v>
      </c>
      <c r="G9426" s="2" t="str">
        <f>" ()"</f>
        <v xml:space="preserve"> ()</v>
      </c>
    </row>
    <row r="9427" spans="1:7" x14ac:dyDescent="0.3">
      <c r="A9427" s="1" t="s">
        <v>4</v>
      </c>
      <c r="B9427" s="2" t="str">
        <f t="shared" si="813"/>
        <v>SISTEMA DE GERENCIAMENTO DE INTERNAÇÃO</v>
      </c>
      <c r="C9427" s="2" t="str">
        <f t="shared" si="814"/>
        <v>INTER</v>
      </c>
      <c r="D9427" s="2" t="str">
        <f t="shared" si="815"/>
        <v>PARI</v>
      </c>
      <c r="E9427" s="2" t="str">
        <f>"CENSO HOSPITALAR"</f>
        <v>CENSO HOSPITALAR</v>
      </c>
      <c r="F9427" s="2" t="str">
        <f>"R_CENSO860"</f>
        <v>R_CENSO860</v>
      </c>
      <c r="G9427" s="2" t="str">
        <f>" ()"</f>
        <v xml:space="preserve"> ()</v>
      </c>
    </row>
    <row r="9428" spans="1:7" x14ac:dyDescent="0.3">
      <c r="A9428" s="1" t="s">
        <v>4</v>
      </c>
      <c r="B9428" s="2" t="str">
        <f t="shared" si="813"/>
        <v>SISTEMA DE GERENCIAMENTO DE INTERNAÇÃO</v>
      </c>
      <c r="C9428" s="2" t="str">
        <f t="shared" si="814"/>
        <v>INTER</v>
      </c>
      <c r="D9428" s="2" t="str">
        <f t="shared" si="815"/>
        <v>PARI</v>
      </c>
      <c r="E9428" s="2" t="str">
        <f>"RECUSA DE ACOMODAÇÃO"</f>
        <v>RECUSA DE ACOMODAÇÃO</v>
      </c>
      <c r="F9428" s="2" t="str">
        <f>"M_RECUSA_ACOM"</f>
        <v>M_RECUSA_ACOM</v>
      </c>
      <c r="G9428" s="2" t="str">
        <f>"MVSaude / Atendimento / Autorizações de Guias / Internação / Atendimento / Registros / Recusas de Acomodações (M_RECUSA_ACOM)"</f>
        <v>MVSaude / Atendimento / Autorizações de Guias / Internação / Atendimento / Registros / Recusas de Acomodações (M_RECUSA_ACOM)</v>
      </c>
    </row>
    <row r="9429" spans="1:7" x14ac:dyDescent="0.3">
      <c r="A9429" s="1" t="s">
        <v>4</v>
      </c>
      <c r="B9429" s="2" t="str">
        <f t="shared" si="813"/>
        <v>SISTEMA DE GERENCIAMENTO DE INTERNAÇÃO</v>
      </c>
      <c r="C9429" s="2" t="str">
        <f t="shared" si="814"/>
        <v>INTER</v>
      </c>
      <c r="D9429" s="2" t="str">
        <f t="shared" si="815"/>
        <v>PARI</v>
      </c>
      <c r="E9429" s="2" t="str">
        <f>"RECUSA DE ACOMODAÇÃO"</f>
        <v>RECUSA DE ACOMODAÇÃO</v>
      </c>
      <c r="F9429" s="2" t="str">
        <f>"M_RECUSA_ACOM"</f>
        <v>M_RECUSA_ACOM</v>
      </c>
      <c r="G9429" s="2" t="str">
        <f>"Atendimento / Internação / Atendimento / Registros / Recusas de Acomodações (M_RECUSA_ACOM)"</f>
        <v>Atendimento / Internação / Atendimento / Registros / Recusas de Acomodações (M_RECUSA_ACOM)</v>
      </c>
    </row>
    <row r="9430" spans="1:7" x14ac:dyDescent="0.3">
      <c r="A9430" s="1" t="s">
        <v>4</v>
      </c>
      <c r="B9430" s="2" t="str">
        <f t="shared" si="813"/>
        <v>SISTEMA DE GERENCIAMENTO DE INTERNAÇÃO</v>
      </c>
      <c r="C9430" s="2" t="str">
        <f t="shared" si="814"/>
        <v>INTER</v>
      </c>
      <c r="D9430" s="2" t="str">
        <f t="shared" si="815"/>
        <v>PARI</v>
      </c>
      <c r="E9430" s="2" t="str">
        <f>"RECUSA DE ACOMODAÇÃO"</f>
        <v>RECUSA DE ACOMODAÇÃO</v>
      </c>
      <c r="F9430" s="2" t="str">
        <f>"M_RECUSA_ACOM"</f>
        <v>M_RECUSA_ACOM</v>
      </c>
      <c r="G9430" s="2" t="str">
        <f>"MVSaude / Vendas / Internação / Atendimento / Registros / Recusas de Acomodações (M_RECUSA_ACOM)"</f>
        <v>MVSaude / Vendas / Internação / Atendimento / Registros / Recusas de Acomodações (M_RECUSA_ACOM)</v>
      </c>
    </row>
    <row r="9431" spans="1:7" x14ac:dyDescent="0.3">
      <c r="A9431" s="1" t="s">
        <v>4</v>
      </c>
      <c r="B9431" s="2" t="str">
        <f t="shared" si="813"/>
        <v>SISTEMA DE GERENCIAMENTO DE INTERNAÇÃO</v>
      </c>
      <c r="C9431" s="2" t="str">
        <f t="shared" si="814"/>
        <v>INTER</v>
      </c>
      <c r="D9431" s="2" t="str">
        <f t="shared" si="815"/>
        <v>PARI</v>
      </c>
      <c r="E9431" s="2" t="str">
        <f>"TRANSFERÊNCIA DE MÉDICO"</f>
        <v>TRANSFERÊNCIA DE MÉDICO</v>
      </c>
      <c r="F9431" s="2" t="str">
        <f>"O_TRANSF_PREST"</f>
        <v>O_TRANSF_PREST</v>
      </c>
      <c r="G9431" s="2" t="str">
        <f>"Clínica e Assistencial / Controle de Infecção Hospitalar / Atendimento / Transferência de Médico (O_TRANSF_PREST)"</f>
        <v>Clínica e Assistencial / Controle de Infecção Hospitalar / Atendimento / Transferência de Médico (O_TRANSF_PREST)</v>
      </c>
    </row>
    <row r="9432" spans="1:7" x14ac:dyDescent="0.3">
      <c r="A9432" s="1" t="s">
        <v>4</v>
      </c>
      <c r="B9432" s="2" t="str">
        <f t="shared" si="813"/>
        <v>SISTEMA DE GERENCIAMENTO DE INTERNAÇÃO</v>
      </c>
      <c r="C9432" s="2" t="str">
        <f t="shared" si="814"/>
        <v>INTER</v>
      </c>
      <c r="D9432" s="2" t="str">
        <f t="shared" si="815"/>
        <v>PARI</v>
      </c>
      <c r="E9432" s="2" t="str">
        <f>"TRANSFERÊNCIA DE MÉDICO"</f>
        <v>TRANSFERÊNCIA DE MÉDICO</v>
      </c>
      <c r="F9432" s="2" t="str">
        <f>"O_TRANSF_PREST"</f>
        <v>O_TRANSF_PREST</v>
      </c>
      <c r="G9432" s="2" t="str">
        <f>"MVSaude / Atendimento / Autorizações de Guias / Internação / Atendimento / Transferência de Médico (O_TRANSF_PREST)"</f>
        <v>MVSaude / Atendimento / Autorizações de Guias / Internação / Atendimento / Transferência de Médico (O_TRANSF_PREST)</v>
      </c>
    </row>
    <row r="9433" spans="1:7" x14ac:dyDescent="0.3">
      <c r="A9433" s="1" t="s">
        <v>4</v>
      </c>
      <c r="B9433" s="2" t="str">
        <f t="shared" si="813"/>
        <v>SISTEMA DE GERENCIAMENTO DE INTERNAÇÃO</v>
      </c>
      <c r="C9433" s="2" t="str">
        <f t="shared" si="814"/>
        <v>INTER</v>
      </c>
      <c r="D9433" s="2" t="str">
        <f t="shared" si="815"/>
        <v>PARI</v>
      </c>
      <c r="E9433" s="2" t="str">
        <f>"TRANSFERÊNCIA DE MÉDICO"</f>
        <v>TRANSFERÊNCIA DE MÉDICO</v>
      </c>
      <c r="F9433" s="2" t="str">
        <f>"O_TRANSF_PREST"</f>
        <v>O_TRANSF_PREST</v>
      </c>
      <c r="G9433" s="2" t="str">
        <f>"Atendimento / Internação / Atendimento / Transferência de Médico (O_TRANSF_PREST)"</f>
        <v>Atendimento / Internação / Atendimento / Transferência de Médico (O_TRANSF_PREST)</v>
      </c>
    </row>
    <row r="9434" spans="1:7" x14ac:dyDescent="0.3">
      <c r="A9434" s="1" t="s">
        <v>4</v>
      </c>
      <c r="B9434" s="2" t="str">
        <f t="shared" si="813"/>
        <v>SISTEMA DE GERENCIAMENTO DE INTERNAÇÃO</v>
      </c>
      <c r="C9434" s="2" t="str">
        <f t="shared" si="814"/>
        <v>INTER</v>
      </c>
      <c r="D9434" s="2" t="str">
        <f t="shared" si="815"/>
        <v>PARI</v>
      </c>
      <c r="E9434" s="2" t="str">
        <f>"TRANSFERÊNCIA DE MÉDICO"</f>
        <v>TRANSFERÊNCIA DE MÉDICO</v>
      </c>
      <c r="F9434" s="2" t="str">
        <f>"O_TRANSF_PREST"</f>
        <v>O_TRANSF_PREST</v>
      </c>
      <c r="G9434" s="2" t="str">
        <f>"Atendimento / Ambulatório / Atendimentos / Transferência de Médico (O_TRANSF_PREST)"</f>
        <v>Atendimento / Ambulatório / Atendimentos / Transferência de Médico (O_TRANSF_PREST)</v>
      </c>
    </row>
    <row r="9435" spans="1:7" x14ac:dyDescent="0.3">
      <c r="A9435" s="1" t="s">
        <v>4</v>
      </c>
      <c r="B9435" s="2" t="str">
        <f t="shared" si="813"/>
        <v>SISTEMA DE GERENCIAMENTO DE INTERNAÇÃO</v>
      </c>
      <c r="C9435" s="2" t="str">
        <f t="shared" si="814"/>
        <v>INTER</v>
      </c>
      <c r="D9435" s="2" t="str">
        <f t="shared" si="815"/>
        <v>PARI</v>
      </c>
      <c r="E9435" s="2" t="str">
        <f>"TRANSFERÊNCIA DE MÉDICO"</f>
        <v>TRANSFERÊNCIA DE MÉDICO</v>
      </c>
      <c r="F9435" s="2" t="str">
        <f>"O_TRANSF_PREST"</f>
        <v>O_TRANSF_PREST</v>
      </c>
      <c r="G9435" s="2" t="str">
        <f>"MVSaude / Vendas / Internação / Atendimento / Transferência de Médico (O_TRANSF_PREST)"</f>
        <v>MVSaude / Vendas / Internação / Atendimento / Transferência de Médico (O_TRANSF_PREST)</v>
      </c>
    </row>
    <row r="9436" spans="1:7" x14ac:dyDescent="0.3">
      <c r="A9436" s="1" t="s">
        <v>4</v>
      </c>
      <c r="B9436" s="2" t="str">
        <f t="shared" si="813"/>
        <v>SISTEMA DE GERENCIAMENTO DE INTERNAÇÃO</v>
      </c>
      <c r="C9436" s="2" t="str">
        <f t="shared" si="814"/>
        <v>INTER</v>
      </c>
      <c r="D9436" s="2" t="str">
        <f t="shared" si="815"/>
        <v>PARI</v>
      </c>
      <c r="E9436" s="2" t="str">
        <f>"RELATORIO HOSPITALAR ANALITICO"</f>
        <v>RELATORIO HOSPITALAR ANALITICO</v>
      </c>
      <c r="F9436" s="2" t="str">
        <f>"R_EST_HOSPITALAR_ANAL"</f>
        <v>R_EST_HOSPITALAR_ANAL</v>
      </c>
      <c r="G9436" s="2" t="str">
        <f>"Serviços de Apoio / Serviço Arquivo Médico / Relatórios / Estatísticos / Hospitalar / Analítico (R_EST_HOSPITALAR_ANAL)"</f>
        <v>Serviços de Apoio / Serviço Arquivo Médico / Relatórios / Estatísticos / Hospitalar / Analítico (R_EST_HOSPITALAR_ANAL)</v>
      </c>
    </row>
    <row r="9437" spans="1:7" x14ac:dyDescent="0.3">
      <c r="A9437" s="1" t="s">
        <v>4</v>
      </c>
      <c r="B9437" s="2" t="str">
        <f t="shared" si="813"/>
        <v>SISTEMA DE GERENCIAMENTO DE INTERNAÇÃO</v>
      </c>
      <c r="C9437" s="2" t="str">
        <f t="shared" si="814"/>
        <v>INTER</v>
      </c>
      <c r="D9437" s="2" t="str">
        <f t="shared" si="815"/>
        <v>PARI</v>
      </c>
      <c r="E9437" s="2" t="str">
        <f>"RELATORIO HOSPITALAR ANALITICO"</f>
        <v>RELATORIO HOSPITALAR ANALITICO</v>
      </c>
      <c r="F9437" s="2" t="str">
        <f>"R_EST_HOSPITALAR_ANAL"</f>
        <v>R_EST_HOSPITALAR_ANAL</v>
      </c>
      <c r="G9437" s="2" t="str">
        <f>"MVSaude / Vendas / Internação / Relatórios / Estatísticos / Hospitalar / Analítico (SUS) (R_EST_HOSPITALAR_ANAL)"</f>
        <v>MVSaude / Vendas / Internação / Relatórios / Estatísticos / Hospitalar / Analítico (SUS) (R_EST_HOSPITALAR_ANAL)</v>
      </c>
    </row>
    <row r="9438" spans="1:7" x14ac:dyDescent="0.3">
      <c r="A9438" s="1" t="s">
        <v>4</v>
      </c>
      <c r="B9438" s="2" t="str">
        <f t="shared" si="813"/>
        <v>SISTEMA DE GERENCIAMENTO DE INTERNAÇÃO</v>
      </c>
      <c r="C9438" s="2" t="str">
        <f t="shared" si="814"/>
        <v>INTER</v>
      </c>
      <c r="D9438" s="2" t="str">
        <f t="shared" si="815"/>
        <v>PARI</v>
      </c>
      <c r="E9438" s="2" t="str">
        <f>"RELATORIO HOSPITALAR ANALITICO"</f>
        <v>RELATORIO HOSPITALAR ANALITICO</v>
      </c>
      <c r="F9438" s="2" t="str">
        <f>"R_EST_HOSPITALAR_ANAL"</f>
        <v>R_EST_HOSPITALAR_ANAL</v>
      </c>
      <c r="G9438" s="2" t="str">
        <f>"Atendimento / Internação / Relatórios / Estatísticos / Hospitalar / Analítico (SUS) (R_EST_HOSPITALAR_ANAL)"</f>
        <v>Atendimento / Internação / Relatórios / Estatísticos / Hospitalar / Analítico (SUS) (R_EST_HOSPITALAR_ANAL)</v>
      </c>
    </row>
    <row r="9439" spans="1:7" x14ac:dyDescent="0.3">
      <c r="A9439" s="1" t="s">
        <v>4</v>
      </c>
      <c r="B9439" s="2" t="str">
        <f t="shared" si="813"/>
        <v>SISTEMA DE GERENCIAMENTO DE INTERNAÇÃO</v>
      </c>
      <c r="C9439" s="2" t="str">
        <f t="shared" si="814"/>
        <v>INTER</v>
      </c>
      <c r="D9439" s="2" t="str">
        <f t="shared" si="815"/>
        <v>PARI</v>
      </c>
      <c r="E9439" s="2" t="str">
        <f>"RELATORIO HOSPITALAR ANALITICO"</f>
        <v>RELATORIO HOSPITALAR ANALITICO</v>
      </c>
      <c r="F9439" s="2" t="str">
        <f>"R_EST_HOSPITALAR_ANAL"</f>
        <v>R_EST_HOSPITALAR_ANAL</v>
      </c>
      <c r="G9439" s="2" t="str">
        <f>"MVSaude / Atendimento / Autorizações de Guias / Internação / Relatórios / Estatísticos / Hospitalar / Analítico (SUS) (R_EST_HOSPITALAR_ANAL)"</f>
        <v>MVSaude / Atendimento / Autorizações de Guias / Internação / Relatórios / Estatísticos / Hospitalar / Analítico (SUS) (R_EST_HOSPITALAR_ANAL)</v>
      </c>
    </row>
    <row r="9440" spans="1:7" x14ac:dyDescent="0.3">
      <c r="A9440" s="1" t="s">
        <v>4</v>
      </c>
      <c r="B9440" s="2" t="str">
        <f t="shared" si="813"/>
        <v>SISTEMA DE GERENCIAMENTO DE INTERNAÇÃO</v>
      </c>
      <c r="C9440" s="2" t="str">
        <f t="shared" si="814"/>
        <v>INTER</v>
      </c>
      <c r="D9440" s="2" t="str">
        <f t="shared" si="815"/>
        <v>PARI</v>
      </c>
      <c r="E9440" s="2" t="str">
        <f>"REL DE ETIQUETA CADASTRAL"</f>
        <v>REL DE ETIQUETA CADASTRAL</v>
      </c>
      <c r="F9440" s="2" t="str">
        <f>"R_ETIQUETA_CADASTRAL"</f>
        <v>R_ETIQUETA_CADASTRAL</v>
      </c>
      <c r="G9440" s="2" t="str">
        <f>" ()"</f>
        <v xml:space="preserve"> ()</v>
      </c>
    </row>
    <row r="9441" spans="1:7" x14ac:dyDescent="0.3">
      <c r="A9441" s="1" t="s">
        <v>4</v>
      </c>
      <c r="B9441" s="2" t="str">
        <f t="shared" si="813"/>
        <v>SISTEMA DE GERENCIAMENTO DE INTERNAÇÃO</v>
      </c>
      <c r="C9441" s="2" t="str">
        <f t="shared" si="814"/>
        <v>INTER</v>
      </c>
      <c r="D9441" s="2" t="str">
        <f t="shared" si="815"/>
        <v>PARI</v>
      </c>
      <c r="E9441" s="2" t="str">
        <f>"ACOPLAMENTO DE CONVÊNIO"</f>
        <v>ACOPLAMENTO DE CONVÊNIO</v>
      </c>
      <c r="F9441" s="2" t="str">
        <f>"M_ACOPL_CONVENIO"</f>
        <v>M_ACOPL_CONVENIO</v>
      </c>
      <c r="G9441" s="2" t="str">
        <f>"MVSaude / Atendimento / Autorizações de Guias / Internação / Atendimento / Acoplamento de Convênio (M_ACOPL_CONVENIO)"</f>
        <v>MVSaude / Atendimento / Autorizações de Guias / Internação / Atendimento / Acoplamento de Convênio (M_ACOPL_CONVENIO)</v>
      </c>
    </row>
    <row r="9442" spans="1:7" x14ac:dyDescent="0.3">
      <c r="A9442" s="1" t="s">
        <v>4</v>
      </c>
      <c r="B9442" s="2" t="str">
        <f t="shared" si="813"/>
        <v>SISTEMA DE GERENCIAMENTO DE INTERNAÇÃO</v>
      </c>
      <c r="C9442" s="2" t="str">
        <f t="shared" si="814"/>
        <v>INTER</v>
      </c>
      <c r="D9442" s="2" t="str">
        <f t="shared" si="815"/>
        <v>PARI</v>
      </c>
      <c r="E9442" s="2" t="str">
        <f>"ACOPLAMENTO DE CONVÊNIO"</f>
        <v>ACOPLAMENTO DE CONVÊNIO</v>
      </c>
      <c r="F9442" s="2" t="str">
        <f>"M_ACOPL_CONVENIO"</f>
        <v>M_ACOPL_CONVENIO</v>
      </c>
      <c r="G9442" s="2" t="str">
        <f>"Atendimento / Internação / Atendimento / Acoplamento de Convênio (M_ACOPL_CONVENIO)"</f>
        <v>Atendimento / Internação / Atendimento / Acoplamento de Convênio (M_ACOPL_CONVENIO)</v>
      </c>
    </row>
    <row r="9443" spans="1:7" x14ac:dyDescent="0.3">
      <c r="A9443" s="1" t="s">
        <v>4</v>
      </c>
      <c r="B9443" s="2" t="str">
        <f t="shared" si="813"/>
        <v>SISTEMA DE GERENCIAMENTO DE INTERNAÇÃO</v>
      </c>
      <c r="C9443" s="2" t="str">
        <f t="shared" si="814"/>
        <v>INTER</v>
      </c>
      <c r="D9443" s="2" t="str">
        <f t="shared" si="815"/>
        <v>PARI</v>
      </c>
      <c r="E9443" s="2" t="str">
        <f>"ACOPLAMENTO DE CONVÊNIO"</f>
        <v>ACOPLAMENTO DE CONVÊNIO</v>
      </c>
      <c r="F9443" s="2" t="str">
        <f>"M_ACOPL_CONVENIO"</f>
        <v>M_ACOPL_CONVENIO</v>
      </c>
      <c r="G9443" s="2" t="str">
        <f>"MVSaude / Vendas / Internação / Atendimento / Acoplamento de Convênio (M_ACOPL_CONVENIO)"</f>
        <v>MVSaude / Vendas / Internação / Atendimento / Acoplamento de Convênio (M_ACOPL_CONVENIO)</v>
      </c>
    </row>
    <row r="9444" spans="1:7" x14ac:dyDescent="0.3">
      <c r="A9444" s="1" t="s">
        <v>4</v>
      </c>
      <c r="B9444" s="2" t="str">
        <f t="shared" si="813"/>
        <v>SISTEMA DE GERENCIAMENTO DE INTERNAÇÃO</v>
      </c>
      <c r="C9444" s="2" t="str">
        <f t="shared" si="814"/>
        <v>INTER</v>
      </c>
      <c r="D9444" s="2" t="str">
        <f t="shared" si="815"/>
        <v>PARI</v>
      </c>
      <c r="E9444" s="2" t="str">
        <f>"Programação de Alta"</f>
        <v>Programação de Alta</v>
      </c>
      <c r="F9444" s="2" t="str">
        <f>"M_PROGRAMA_ALTA"</f>
        <v>M_PROGRAMA_ALTA</v>
      </c>
      <c r="G9444" s="2" t="str">
        <f>" ()"</f>
        <v xml:space="preserve"> ()</v>
      </c>
    </row>
    <row r="9445" spans="1:7" x14ac:dyDescent="0.3">
      <c r="A9445" s="1" t="s">
        <v>4</v>
      </c>
      <c r="B9445" s="2" t="str">
        <f t="shared" si="813"/>
        <v>SISTEMA DE GERENCIAMENTO DE INTERNAÇÃO</v>
      </c>
      <c r="C9445" s="2" t="str">
        <f t="shared" si="814"/>
        <v>INTER</v>
      </c>
      <c r="D9445" s="2" t="str">
        <f t="shared" si="815"/>
        <v>PARI</v>
      </c>
      <c r="E9445" s="2" t="str">
        <f>".."</f>
        <v>..</v>
      </c>
      <c r="F9445" s="2" t="str">
        <f>".."</f>
        <v>..</v>
      </c>
      <c r="G9445" s="2" t="str">
        <f>" ()"</f>
        <v xml:space="preserve"> ()</v>
      </c>
    </row>
    <row r="9446" spans="1:7" x14ac:dyDescent="0.3">
      <c r="A9446" s="1" t="s">
        <v>4</v>
      </c>
      <c r="B9446" s="2" t="str">
        <f t="shared" si="813"/>
        <v>SISTEMA DE GERENCIAMENTO DE INTERNAÇÃO</v>
      </c>
      <c r="C9446" s="2" t="str">
        <f t="shared" si="814"/>
        <v>INTER</v>
      </c>
      <c r="D9446" s="2" t="str">
        <f t="shared" si="815"/>
        <v>PARI</v>
      </c>
      <c r="E9446" s="2" t="str">
        <f>"RELATÓRIO DE OCUPAÇÃO POR LEITO"</f>
        <v>RELATÓRIO DE OCUPAÇÃO POR LEITO</v>
      </c>
      <c r="F9446" s="2" t="str">
        <f>"R_EST_OCUP_POR_LEIT"</f>
        <v>R_EST_OCUP_POR_LEIT</v>
      </c>
      <c r="G9446" s="2" t="str">
        <f>"Atendimento / Internação / Relatórios / Estatísticos / Ocupação por Leito (R_EST_OCUP_POR_LEIT)"</f>
        <v>Atendimento / Internação / Relatórios / Estatísticos / Ocupação por Leito (R_EST_OCUP_POR_LEIT)</v>
      </c>
    </row>
    <row r="9447" spans="1:7" x14ac:dyDescent="0.3">
      <c r="A9447" s="1" t="s">
        <v>4</v>
      </c>
      <c r="B9447" s="2" t="str">
        <f t="shared" si="813"/>
        <v>SISTEMA DE GERENCIAMENTO DE INTERNAÇÃO</v>
      </c>
      <c r="C9447" s="2" t="str">
        <f t="shared" si="814"/>
        <v>INTER</v>
      </c>
      <c r="D9447" s="2" t="str">
        <f t="shared" si="815"/>
        <v>PARI</v>
      </c>
      <c r="E9447" s="2" t="str">
        <f>"RELATÓRIO DE OCUPAÇÃO POR LEITO"</f>
        <v>RELATÓRIO DE OCUPAÇÃO POR LEITO</v>
      </c>
      <c r="F9447" s="2" t="str">
        <f>"R_EST_OCUP_POR_LEIT"</f>
        <v>R_EST_OCUP_POR_LEIT</v>
      </c>
      <c r="G9447" s="2" t="str">
        <f>"MVSaude / Vendas / Internação / Relatórios / Estatísticos / Ocupação por Leito (R_EST_OCUP_POR_LEIT)"</f>
        <v>MVSaude / Vendas / Internação / Relatórios / Estatísticos / Ocupação por Leito (R_EST_OCUP_POR_LEIT)</v>
      </c>
    </row>
    <row r="9448" spans="1:7" x14ac:dyDescent="0.3">
      <c r="A9448" s="1" t="s">
        <v>4</v>
      </c>
      <c r="B9448" s="2" t="str">
        <f t="shared" si="813"/>
        <v>SISTEMA DE GERENCIAMENTO DE INTERNAÇÃO</v>
      </c>
      <c r="C9448" s="2" t="str">
        <f t="shared" si="814"/>
        <v>INTER</v>
      </c>
      <c r="D9448" s="2" t="str">
        <f t="shared" si="815"/>
        <v>PARI</v>
      </c>
      <c r="E9448" s="2" t="str">
        <f>"RELATÓRIO DE OCUPAÇÃO POR LEITO"</f>
        <v>RELATÓRIO DE OCUPAÇÃO POR LEITO</v>
      </c>
      <c r="F9448" s="2" t="str">
        <f>"R_EST_OCUP_POR_LEIT"</f>
        <v>R_EST_OCUP_POR_LEIT</v>
      </c>
      <c r="G9448" s="2" t="str">
        <f>"MVSaude / Atendimento / Autorizações de Guias / Internação / Relatórios / Estatísticos / Ocupação por Leito (R_EST_OCUP_POR_LEIT)"</f>
        <v>MVSaude / Atendimento / Autorizações de Guias / Internação / Relatórios / Estatísticos / Ocupação por Leito (R_EST_OCUP_POR_LEIT)</v>
      </c>
    </row>
    <row r="9449" spans="1:7" x14ac:dyDescent="0.3">
      <c r="A9449" s="1" t="s">
        <v>4</v>
      </c>
      <c r="B9449" s="2" t="str">
        <f t="shared" si="813"/>
        <v>SISTEMA DE GERENCIAMENTO DE INTERNAÇÃO</v>
      </c>
      <c r="C9449" s="2" t="str">
        <f t="shared" si="814"/>
        <v>INTER</v>
      </c>
      <c r="D9449" s="2" t="str">
        <f t="shared" si="815"/>
        <v>PARI</v>
      </c>
      <c r="E9449" s="2" t="str">
        <f>"CENSO HOSPITALAR RETROATIVO - SINTÉTICO"</f>
        <v>CENSO HOSPITALAR RETROATIVO - SINTÉTICO</v>
      </c>
      <c r="F9449" s="2" t="str">
        <f>"R_CENSO_RETRO_900"</f>
        <v>R_CENSO_RETRO_900</v>
      </c>
      <c r="G9449" s="2" t="str">
        <f t="shared" ref="G9449:G9457" si="816">" ()"</f>
        <v xml:space="preserve"> ()</v>
      </c>
    </row>
    <row r="9450" spans="1:7" x14ac:dyDescent="0.3">
      <c r="A9450" s="1" t="s">
        <v>4</v>
      </c>
      <c r="B9450" s="2" t="str">
        <f t="shared" si="813"/>
        <v>SISTEMA DE GERENCIAMENTO DE INTERNAÇÃO</v>
      </c>
      <c r="C9450" s="2" t="str">
        <f t="shared" si="814"/>
        <v>INTER</v>
      </c>
      <c r="D9450" s="2" t="str">
        <f t="shared" si="815"/>
        <v>PARI</v>
      </c>
      <c r="E9450" s="2" t="str">
        <f>"]"</f>
        <v>]</v>
      </c>
      <c r="F9450" s="2" t="str">
        <f>"]"</f>
        <v>]</v>
      </c>
      <c r="G9450" s="2" t="str">
        <f t="shared" si="816"/>
        <v xml:space="preserve"> ()</v>
      </c>
    </row>
    <row r="9451" spans="1:7" x14ac:dyDescent="0.3">
      <c r="A9451" s="1" t="s">
        <v>4</v>
      </c>
      <c r="B9451" s="2" t="str">
        <f t="shared" si="813"/>
        <v>SISTEMA DE GERENCIAMENTO DE INTERNAÇÃO</v>
      </c>
      <c r="C9451" s="2" t="str">
        <f t="shared" si="814"/>
        <v>INTER</v>
      </c>
      <c r="D9451" s="2" t="str">
        <f t="shared" si="815"/>
        <v>PARI</v>
      </c>
      <c r="E9451" s="2" t="str">
        <f>"CENSO HOSPITALAR RETROATIVO - SINTÉTICO"</f>
        <v>CENSO HOSPITALAR RETROATIVO - SINTÉTICO</v>
      </c>
      <c r="F9451" s="2" t="str">
        <f>"R_CENSO_RETRO_SINT_900"</f>
        <v>R_CENSO_RETRO_SINT_900</v>
      </c>
      <c r="G9451" s="2" t="str">
        <f t="shared" si="816"/>
        <v xml:space="preserve"> ()</v>
      </c>
    </row>
    <row r="9452" spans="1:7" x14ac:dyDescent="0.3">
      <c r="A9452" s="1" t="s">
        <v>4</v>
      </c>
      <c r="B9452" s="2" t="str">
        <f t="shared" si="813"/>
        <v>SISTEMA DE GERENCIAMENTO DE INTERNAÇÃO</v>
      </c>
      <c r="C9452" s="2" t="str">
        <f t="shared" si="814"/>
        <v>INTER</v>
      </c>
      <c r="D9452" s="2" t="str">
        <f t="shared" si="815"/>
        <v>PARI</v>
      </c>
      <c r="E9452" s="2" t="str">
        <f>"SEGURO_SAUDE"</f>
        <v>SEGURO_SAUDE</v>
      </c>
      <c r="F9452" s="2" t="str">
        <f>"SEGURO_SAUDE"</f>
        <v>SEGURO_SAUDE</v>
      </c>
      <c r="G9452" s="2" t="str">
        <f t="shared" si="816"/>
        <v xml:space="preserve"> ()</v>
      </c>
    </row>
    <row r="9453" spans="1:7" x14ac:dyDescent="0.3">
      <c r="A9453" s="1" t="s">
        <v>4</v>
      </c>
      <c r="B9453" s="2" t="str">
        <f t="shared" si="813"/>
        <v>SISTEMA DE GERENCIAMENTO DE INTERNAÇÃO</v>
      </c>
      <c r="C9453" s="2" t="str">
        <f t="shared" si="814"/>
        <v>INTER</v>
      </c>
      <c r="D9453" s="2" t="str">
        <f t="shared" si="815"/>
        <v>PARI</v>
      </c>
      <c r="E9453" s="2" t="str">
        <f>"AUTORIZAÇÃO DE GUIAS UNIMED ARARAQUARA"</f>
        <v>AUTORIZAÇÃO DE GUIAS UNIMED ARARAQUARA</v>
      </c>
      <c r="F9453" s="2" t="str">
        <f>"AUTORIZA_GUIA_UNIMEDARA"</f>
        <v>AUTORIZA_GUIA_UNIMEDARA</v>
      </c>
      <c r="G9453" s="2" t="str">
        <f t="shared" si="816"/>
        <v xml:space="preserve"> ()</v>
      </c>
    </row>
    <row r="9454" spans="1:7" x14ac:dyDescent="0.3">
      <c r="A9454" s="1" t="s">
        <v>4</v>
      </c>
      <c r="B9454" s="2" t="str">
        <f t="shared" si="813"/>
        <v>SISTEMA DE GERENCIAMENTO DE INTERNAÇÃO</v>
      </c>
      <c r="C9454" s="2" t="str">
        <f t="shared" si="814"/>
        <v>INTER</v>
      </c>
      <c r="D9454" s="2" t="str">
        <f t="shared" si="815"/>
        <v>PARI</v>
      </c>
      <c r="E9454" s="2" t="str">
        <f>"TERMO DE RESPONSABILIDADE"</f>
        <v>TERMO DE RESPONSABILIDADE</v>
      </c>
      <c r="F9454" s="2" t="str">
        <f>"R_TERMO_RESPONSA_900"</f>
        <v>R_TERMO_RESPONSA_900</v>
      </c>
      <c r="G9454" s="2" t="str">
        <f t="shared" si="816"/>
        <v xml:space="preserve"> ()</v>
      </c>
    </row>
    <row r="9455" spans="1:7" x14ac:dyDescent="0.3">
      <c r="A9455" s="1" t="s">
        <v>4</v>
      </c>
      <c r="B9455" s="2" t="str">
        <f t="shared" si="813"/>
        <v>SISTEMA DE GERENCIAMENTO DE INTERNAÇÃO</v>
      </c>
      <c r="C9455" s="2" t="str">
        <f t="shared" si="814"/>
        <v>INTER</v>
      </c>
      <c r="D9455" s="2" t="str">
        <f t="shared" si="815"/>
        <v>PARI</v>
      </c>
      <c r="E9455" s="2" t="str">
        <f>"RECIBO DE CAUÇÃO"</f>
        <v>RECIBO DE CAUÇÃO</v>
      </c>
      <c r="F9455" s="2" t="str">
        <f>"R_RECEBECAUCAO_900"</f>
        <v>R_RECEBECAUCAO_900</v>
      </c>
      <c r="G9455" s="2" t="str">
        <f t="shared" si="816"/>
        <v xml:space="preserve"> ()</v>
      </c>
    </row>
    <row r="9456" spans="1:7" x14ac:dyDescent="0.3">
      <c r="A9456" s="1" t="s">
        <v>4</v>
      </c>
      <c r="B9456" s="2" t="str">
        <f t="shared" si="813"/>
        <v>SISTEMA DE GERENCIAMENTO DE INTERNAÇÃO</v>
      </c>
      <c r="C9456" s="2" t="str">
        <f t="shared" si="814"/>
        <v>INTER</v>
      </c>
      <c r="D9456" s="2" t="str">
        <f t="shared" si="815"/>
        <v>PARI</v>
      </c>
      <c r="E9456" s="2" t="str">
        <f>"ANAMNESE DA INTERNAÇÃO"</f>
        <v>ANAMNESE DA INTERNAÇÃO</v>
      </c>
      <c r="F9456" s="2" t="str">
        <f>"R_ANAMNESE_900"</f>
        <v>R_ANAMNESE_900</v>
      </c>
      <c r="G9456" s="2" t="str">
        <f t="shared" si="816"/>
        <v xml:space="preserve"> ()</v>
      </c>
    </row>
    <row r="9457" spans="1:7" x14ac:dyDescent="0.3">
      <c r="A9457" s="1" t="s">
        <v>4</v>
      </c>
      <c r="B9457" s="2" t="str">
        <f t="shared" si="813"/>
        <v>SISTEMA DE GERENCIAMENTO DE INTERNAÇÃO</v>
      </c>
      <c r="C9457" s="2" t="str">
        <f t="shared" si="814"/>
        <v>INTER</v>
      </c>
      <c r="D9457" s="2" t="str">
        <f t="shared" si="815"/>
        <v>PARI</v>
      </c>
      <c r="E9457" s="2" t="str">
        <f>"REL.EST.ATEN. MEDICO X CONVENIO (SINT)"</f>
        <v>REL.EST.ATEN. MEDICO X CONVENIO (SINT)</v>
      </c>
      <c r="F9457" s="2" t="str">
        <f>"R_EST_ATEN_MED_CONV_SINT"</f>
        <v>R_EST_ATEN_MED_CONV_SINT</v>
      </c>
      <c r="G9457" s="2" t="str">
        <f t="shared" si="816"/>
        <v xml:space="preserve"> ()</v>
      </c>
    </row>
    <row r="9458" spans="1:7" x14ac:dyDescent="0.3">
      <c r="A9458" s="1" t="s">
        <v>4</v>
      </c>
      <c r="B9458" s="2" t="str">
        <f t="shared" si="813"/>
        <v>SISTEMA DE GERENCIAMENTO DE INTERNAÇÃO</v>
      </c>
      <c r="C9458" s="2" t="str">
        <f t="shared" si="814"/>
        <v>INTER</v>
      </c>
      <c r="D9458" s="2" t="str">
        <f t="shared" si="815"/>
        <v>PARI</v>
      </c>
      <c r="E9458" s="2" t="str">
        <f>"REL.EST.ATEN. MEDICO X CONVENIO (ANAL)"</f>
        <v>REL.EST.ATEN. MEDICO X CONVENIO (ANAL)</v>
      </c>
      <c r="F9458" s="2" t="str">
        <f>"R_EST_ATEN_MED_CONV"</f>
        <v>R_EST_ATEN_MED_CONV</v>
      </c>
      <c r="G9458" s="2" t="str">
        <f>"MVSaude / Vendas / Internação / Relatórios / Estatísticos / Atendimentos / Por Médico X Convênio (R_EST_ATEN_MED_CONV)"</f>
        <v>MVSaude / Vendas / Internação / Relatórios / Estatísticos / Atendimentos / Por Médico X Convênio (R_EST_ATEN_MED_CONV)</v>
      </c>
    </row>
    <row r="9459" spans="1:7" x14ac:dyDescent="0.3">
      <c r="A9459" s="1" t="s">
        <v>4</v>
      </c>
      <c r="B9459" s="2" t="str">
        <f t="shared" si="813"/>
        <v>SISTEMA DE GERENCIAMENTO DE INTERNAÇÃO</v>
      </c>
      <c r="C9459" s="2" t="str">
        <f t="shared" si="814"/>
        <v>INTER</v>
      </c>
      <c r="D9459" s="2" t="str">
        <f t="shared" si="815"/>
        <v>PARI</v>
      </c>
      <c r="E9459" s="2" t="str">
        <f>"REL.EST.ATEN. MEDICO X CONVENIO (ANAL)"</f>
        <v>REL.EST.ATEN. MEDICO X CONVENIO (ANAL)</v>
      </c>
      <c r="F9459" s="2" t="str">
        <f>"R_EST_ATEN_MED_CONV"</f>
        <v>R_EST_ATEN_MED_CONV</v>
      </c>
      <c r="G9459" s="2" t="str">
        <f>"Atendimento / Internação / Relatórios / Estatísticos / Atendimentos / Por Médico X Convênio (R_EST_ATEN_MED_CONV)"</f>
        <v>Atendimento / Internação / Relatórios / Estatísticos / Atendimentos / Por Médico X Convênio (R_EST_ATEN_MED_CONV)</v>
      </c>
    </row>
    <row r="9460" spans="1:7" x14ac:dyDescent="0.3">
      <c r="A9460" s="1" t="s">
        <v>4</v>
      </c>
      <c r="B9460" s="2" t="str">
        <f t="shared" si="813"/>
        <v>SISTEMA DE GERENCIAMENTO DE INTERNAÇÃO</v>
      </c>
      <c r="C9460" s="2" t="str">
        <f t="shared" si="814"/>
        <v>INTER</v>
      </c>
      <c r="D9460" s="2" t="str">
        <f t="shared" si="815"/>
        <v>PARI</v>
      </c>
      <c r="E9460" s="2" t="str">
        <f>"REL.EST.ATEN. MEDICO X CONVENIO (ANAL)"</f>
        <v>REL.EST.ATEN. MEDICO X CONVENIO (ANAL)</v>
      </c>
      <c r="F9460" s="2" t="str">
        <f>"R_EST_ATEN_MED_CONV"</f>
        <v>R_EST_ATEN_MED_CONV</v>
      </c>
      <c r="G9460" s="2" t="str">
        <f>"MVSaude / Atendimento / Autorizações de Guias / Internação / Relatórios / Estatísticos / Atendimentos / Por Médico X Convênio (R_EST_ATEN_MED_CONV)"</f>
        <v>MVSaude / Atendimento / Autorizações de Guias / Internação / Relatórios / Estatísticos / Atendimentos / Por Médico X Convênio (R_EST_ATEN_MED_CONV)</v>
      </c>
    </row>
    <row r="9461" spans="1:7" x14ac:dyDescent="0.3">
      <c r="A9461" s="1" t="s">
        <v>4</v>
      </c>
      <c r="B9461" s="2" t="str">
        <f t="shared" si="813"/>
        <v>SISTEMA DE GERENCIAMENTO DE INTERNAÇÃO</v>
      </c>
      <c r="C9461" s="2" t="str">
        <f t="shared" si="814"/>
        <v>INTER</v>
      </c>
      <c r="D9461" s="2" t="str">
        <f t="shared" si="815"/>
        <v>PARI</v>
      </c>
      <c r="E9461" s="2" t="str">
        <f>"REL. EST. ATEND. POR MEDICO X CONVENIO"</f>
        <v>REL. EST. ATEND. POR MEDICO X CONVENIO</v>
      </c>
      <c r="F9461" s="2" t="str">
        <f>"R_EST_ATEN_MED_CONV.FMB"</f>
        <v>R_EST_ATEN_MED_CONV.FMB</v>
      </c>
      <c r="G9461" s="2" t="str">
        <f t="shared" ref="G9461:G9472" si="817">" ()"</f>
        <v xml:space="preserve"> ()</v>
      </c>
    </row>
    <row r="9462" spans="1:7" x14ac:dyDescent="0.3">
      <c r="A9462" s="1" t="s">
        <v>4</v>
      </c>
      <c r="B9462" s="2" t="str">
        <f t="shared" si="813"/>
        <v>SISTEMA DE GERENCIAMENTO DE INTERNAÇÃO</v>
      </c>
      <c r="C9462" s="2" t="str">
        <f t="shared" si="814"/>
        <v>INTER</v>
      </c>
      <c r="D9462" s="2" t="str">
        <f t="shared" si="815"/>
        <v>PARI</v>
      </c>
      <c r="E9462" s="2" t="str">
        <f>"ETIQUETA DE CODIGO DE BARRAS DE PACIENTE"</f>
        <v>ETIQUETA DE CODIGO DE BARRAS DE PACIENTE</v>
      </c>
      <c r="F9462" s="2" t="str">
        <f>"R_ETIQUETA_CARTAO"</f>
        <v>R_ETIQUETA_CARTAO</v>
      </c>
      <c r="G9462" s="2" t="str">
        <f t="shared" si="817"/>
        <v xml:space="preserve"> ()</v>
      </c>
    </row>
    <row r="9463" spans="1:7" x14ac:dyDescent="0.3">
      <c r="A9463" s="1" t="s">
        <v>4</v>
      </c>
      <c r="B9463" s="2" t="str">
        <f t="shared" si="813"/>
        <v>SISTEMA DE GERENCIAMENTO DE INTERNAÇÃO</v>
      </c>
      <c r="C9463" s="2" t="str">
        <f t="shared" si="814"/>
        <v>INTER</v>
      </c>
      <c r="D9463" s="2" t="str">
        <f t="shared" si="815"/>
        <v>PARI</v>
      </c>
      <c r="E9463" s="2" t="str">
        <f>"R_LAUDO_AIH_ULBRA"</f>
        <v>R_LAUDO_AIH_ULBRA</v>
      </c>
      <c r="F9463" s="2" t="str">
        <f>"R_LAUDO_AIH_ULBRA"</f>
        <v>R_LAUDO_AIH_ULBRA</v>
      </c>
      <c r="G9463" s="2" t="str">
        <f t="shared" si="817"/>
        <v xml:space="preserve"> ()</v>
      </c>
    </row>
    <row r="9464" spans="1:7" x14ac:dyDescent="0.3">
      <c r="A9464" s="1" t="s">
        <v>4</v>
      </c>
      <c r="B9464" s="2" t="str">
        <f t="shared" si="813"/>
        <v>SISTEMA DE GERENCIAMENTO DE INTERNAÇÃO</v>
      </c>
      <c r="C9464" s="2" t="str">
        <f t="shared" si="814"/>
        <v>INTER</v>
      </c>
      <c r="D9464" s="2" t="str">
        <f t="shared" si="815"/>
        <v>PARI</v>
      </c>
      <c r="E9464" s="2" t="str">
        <f>"R_ANAMNESE445"</f>
        <v>R_ANAMNESE445</v>
      </c>
      <c r="F9464" s="2" t="str">
        <f>"R_ANAMNESE445"</f>
        <v>R_ANAMNESE445</v>
      </c>
      <c r="G9464" s="2" t="str">
        <f t="shared" si="817"/>
        <v xml:space="preserve"> ()</v>
      </c>
    </row>
    <row r="9465" spans="1:7" x14ac:dyDescent="0.3">
      <c r="A9465" s="1" t="s">
        <v>4</v>
      </c>
      <c r="B9465" s="2" t="str">
        <f t="shared" si="813"/>
        <v>SISTEMA DE GERENCIAMENTO DE INTERNAÇÃO</v>
      </c>
      <c r="C9465" s="2" t="str">
        <f t="shared" si="814"/>
        <v>INTER</v>
      </c>
      <c r="D9465" s="2" t="str">
        <f t="shared" si="815"/>
        <v>PARI</v>
      </c>
      <c r="E9465" s="2" t="str">
        <f>"R_INT_PAC_ULBRA"</f>
        <v>R_INT_PAC_ULBRA</v>
      </c>
      <c r="F9465" s="2" t="str">
        <f>"R_INT_PAC_ULBRA"</f>
        <v>R_INT_PAC_ULBRA</v>
      </c>
      <c r="G9465" s="2" t="str">
        <f t="shared" si="817"/>
        <v xml:space="preserve"> ()</v>
      </c>
    </row>
    <row r="9466" spans="1:7" x14ac:dyDescent="0.3">
      <c r="A9466" s="1" t="s">
        <v>4</v>
      </c>
      <c r="B9466" s="2" t="str">
        <f t="shared" si="813"/>
        <v>SISTEMA DE GERENCIAMENTO DE INTERNAÇÃO</v>
      </c>
      <c r="C9466" s="2" t="str">
        <f t="shared" si="814"/>
        <v>INTER</v>
      </c>
      <c r="D9466" s="2" t="str">
        <f t="shared" si="815"/>
        <v>PARI</v>
      </c>
      <c r="E9466" s="2" t="str">
        <f>"CENSO HOSPITALAR"</f>
        <v>CENSO HOSPITALAR</v>
      </c>
      <c r="F9466" s="2" t="str">
        <f>"R_CENSO_ULBRA"</f>
        <v>R_CENSO_ULBRA</v>
      </c>
      <c r="G9466" s="2" t="str">
        <f t="shared" si="817"/>
        <v xml:space="preserve"> ()</v>
      </c>
    </row>
    <row r="9467" spans="1:7" x14ac:dyDescent="0.3">
      <c r="A9467" s="1" t="s">
        <v>4</v>
      </c>
      <c r="B9467" s="2" t="str">
        <f t="shared" si="813"/>
        <v>SISTEMA DE GERENCIAMENTO DE INTERNAÇÃO</v>
      </c>
      <c r="C9467" s="2" t="str">
        <f t="shared" si="814"/>
        <v>INTER</v>
      </c>
      <c r="D9467" s="2" t="str">
        <f t="shared" si="815"/>
        <v>PARI</v>
      </c>
      <c r="E9467" s="2" t="str">
        <f>"RELATÓRIO DE ALTAS NO PERÍODO"</f>
        <v>RELATÓRIO DE ALTAS NO PERÍODO</v>
      </c>
      <c r="F9467" s="2" t="str">
        <f>"R_MAPA_ESTATISTICO_ULBRA"</f>
        <v>R_MAPA_ESTATISTICO_ULBRA</v>
      </c>
      <c r="G9467" s="2" t="str">
        <f t="shared" si="817"/>
        <v xml:space="preserve"> ()</v>
      </c>
    </row>
    <row r="9468" spans="1:7" x14ac:dyDescent="0.3">
      <c r="A9468" s="1" t="s">
        <v>4</v>
      </c>
      <c r="B9468" s="2" t="str">
        <f t="shared" si="813"/>
        <v>SISTEMA DE GERENCIAMENTO DE INTERNAÇÃO</v>
      </c>
      <c r="C9468" s="2" t="str">
        <f t="shared" si="814"/>
        <v>INTER</v>
      </c>
      <c r="D9468" s="2" t="str">
        <f t="shared" si="815"/>
        <v>PARI</v>
      </c>
      <c r="E9468" s="2" t="str">
        <f>"R_ETIQUETA_INTERNACAO_747"</f>
        <v>R_ETIQUETA_INTERNACAO_747</v>
      </c>
      <c r="F9468" s="2" t="str">
        <f>"R_ETIQUETA_INTERNACAO_747"</f>
        <v>R_ETIQUETA_INTERNACAO_747</v>
      </c>
      <c r="G9468" s="2" t="str">
        <f t="shared" si="817"/>
        <v xml:space="preserve"> ()</v>
      </c>
    </row>
    <row r="9469" spans="1:7" x14ac:dyDescent="0.3">
      <c r="A9469" s="1" t="s">
        <v>4</v>
      </c>
      <c r="B9469" s="2" t="str">
        <f t="shared" si="813"/>
        <v>SISTEMA DE GERENCIAMENTO DE INTERNAÇÃO</v>
      </c>
      <c r="C9469" s="2" t="str">
        <f t="shared" si="814"/>
        <v>INTER</v>
      </c>
      <c r="D9469" s="2" t="str">
        <f t="shared" si="815"/>
        <v>PARI</v>
      </c>
      <c r="E9469" s="2" t="str">
        <f>"R_ETIQUETA_INTERNACAO_377"</f>
        <v>R_ETIQUETA_INTERNACAO_377</v>
      </c>
      <c r="F9469" s="2" t="str">
        <f>"R_ETIQUETA_INTERNACAO_377"</f>
        <v>R_ETIQUETA_INTERNACAO_377</v>
      </c>
      <c r="G9469" s="2" t="str">
        <f t="shared" si="817"/>
        <v xml:space="preserve"> ()</v>
      </c>
    </row>
    <row r="9470" spans="1:7" x14ac:dyDescent="0.3">
      <c r="A9470" s="1" t="s">
        <v>4</v>
      </c>
      <c r="B9470" s="2" t="str">
        <f t="shared" si="813"/>
        <v>SISTEMA DE GERENCIAMENTO DE INTERNAÇÃO</v>
      </c>
      <c r="C9470" s="2" t="str">
        <f t="shared" si="814"/>
        <v>INTER</v>
      </c>
      <c r="D9470" s="2" t="str">
        <f t="shared" si="815"/>
        <v>PARI</v>
      </c>
      <c r="E9470" s="2" t="str">
        <f>"R_CENSO612"</f>
        <v>R_CENSO612</v>
      </c>
      <c r="F9470" s="2" t="str">
        <f>"R_CENSO612"</f>
        <v>R_CENSO612</v>
      </c>
      <c r="G9470" s="2" t="str">
        <f t="shared" si="817"/>
        <v xml:space="preserve"> ()</v>
      </c>
    </row>
    <row r="9471" spans="1:7" x14ac:dyDescent="0.3">
      <c r="A9471" s="1" t="s">
        <v>4</v>
      </c>
      <c r="B9471" s="2" t="str">
        <f t="shared" si="813"/>
        <v>SISTEMA DE GERENCIAMENTO DE INTERNAÇÃO</v>
      </c>
      <c r="C9471" s="2" t="str">
        <f t="shared" si="814"/>
        <v>INTER</v>
      </c>
      <c r="D9471" s="2" t="str">
        <f t="shared" si="815"/>
        <v>PARI</v>
      </c>
      <c r="E9471" s="2" t="str">
        <f>"R_EST_OCUPACIONAL_297"</f>
        <v>R_EST_OCUPACIONAL_297</v>
      </c>
      <c r="F9471" s="2" t="str">
        <f>"R_EST_OCUPACIONAL_297"</f>
        <v>R_EST_OCUPACIONAL_297</v>
      </c>
      <c r="G9471" s="2" t="str">
        <f t="shared" si="817"/>
        <v xml:space="preserve"> ()</v>
      </c>
    </row>
    <row r="9472" spans="1:7" x14ac:dyDescent="0.3">
      <c r="A9472" s="1" t="s">
        <v>4</v>
      </c>
      <c r="B9472" s="2" t="str">
        <f t="shared" si="813"/>
        <v>SISTEMA DE GERENCIAMENTO DE INTERNAÇÃO</v>
      </c>
      <c r="C9472" s="2" t="str">
        <f t="shared" si="814"/>
        <v>INTER</v>
      </c>
      <c r="D9472" s="2" t="str">
        <f t="shared" si="815"/>
        <v>PARI</v>
      </c>
      <c r="E9472" s="2" t="str">
        <f>"RELATÓRIO DE ETIQUETA DE INTERNAÇÃO"</f>
        <v>RELATÓRIO DE ETIQUETA DE INTERNAÇÃO</v>
      </c>
      <c r="F9472" s="2" t="str">
        <f>"R_ETIQ_AGEND_RAP_110"</f>
        <v>R_ETIQ_AGEND_RAP_110</v>
      </c>
      <c r="G9472" s="2" t="str">
        <f t="shared" si="817"/>
        <v xml:space="preserve"> ()</v>
      </c>
    </row>
    <row r="9473" spans="1:7" x14ac:dyDescent="0.3">
      <c r="A9473" s="1" t="s">
        <v>4</v>
      </c>
      <c r="B9473" s="2" t="str">
        <f t="shared" si="813"/>
        <v>SISTEMA DE GERENCIAMENTO DE INTERNAÇÃO</v>
      </c>
      <c r="C9473" s="2" t="str">
        <f t="shared" si="814"/>
        <v>INTER</v>
      </c>
      <c r="D9473" s="2" t="str">
        <f t="shared" si="815"/>
        <v>PARI</v>
      </c>
      <c r="E9473" s="2" t="str">
        <f t="shared" ref="E9473:F9475" si="818">"R_CANCELA_TRANSF"</f>
        <v>R_CANCELA_TRANSF</v>
      </c>
      <c r="F9473" s="2" t="str">
        <f t="shared" si="818"/>
        <v>R_CANCELA_TRANSF</v>
      </c>
      <c r="G9473" s="2" t="str">
        <f>"MVSaude / Vendas / Internação / Relatórios / Declarações e Termos / Aviso de Cancelamento de Transferencia de Paciente (R_CANCELA_TRANSF)"</f>
        <v>MVSaude / Vendas / Internação / Relatórios / Declarações e Termos / Aviso de Cancelamento de Transferencia de Paciente (R_CANCELA_TRANSF)</v>
      </c>
    </row>
    <row r="9474" spans="1:7" x14ac:dyDescent="0.3">
      <c r="A9474" s="1" t="s">
        <v>4</v>
      </c>
      <c r="B9474" s="2" t="str">
        <f t="shared" si="813"/>
        <v>SISTEMA DE GERENCIAMENTO DE INTERNAÇÃO</v>
      </c>
      <c r="C9474" s="2" t="str">
        <f t="shared" si="814"/>
        <v>INTER</v>
      </c>
      <c r="D9474" s="2" t="str">
        <f t="shared" si="815"/>
        <v>PARI</v>
      </c>
      <c r="E9474" s="2" t="str">
        <f t="shared" si="818"/>
        <v>R_CANCELA_TRANSF</v>
      </c>
      <c r="F9474" s="2" t="str">
        <f t="shared" si="818"/>
        <v>R_CANCELA_TRANSF</v>
      </c>
      <c r="G9474" s="2" t="str">
        <f>"Atendimento / Internação / Relatórios / Declarações e Termos / Aviso de Cancelamento de Transferencia de Paciente (R_CANCELA_TRANSF)"</f>
        <v>Atendimento / Internação / Relatórios / Declarações e Termos / Aviso de Cancelamento de Transferencia de Paciente (R_CANCELA_TRANSF)</v>
      </c>
    </row>
    <row r="9475" spans="1:7" x14ac:dyDescent="0.3">
      <c r="A9475" s="1" t="s">
        <v>4</v>
      </c>
      <c r="B9475" s="2" t="str">
        <f t="shared" si="813"/>
        <v>SISTEMA DE GERENCIAMENTO DE INTERNAÇÃO</v>
      </c>
      <c r="C9475" s="2" t="str">
        <f t="shared" si="814"/>
        <v>INTER</v>
      </c>
      <c r="D9475" s="2" t="str">
        <f t="shared" si="815"/>
        <v>PARI</v>
      </c>
      <c r="E9475" s="2" t="str">
        <f t="shared" si="818"/>
        <v>R_CANCELA_TRANSF</v>
      </c>
      <c r="F9475" s="2" t="str">
        <f t="shared" si="818"/>
        <v>R_CANCELA_TRANSF</v>
      </c>
      <c r="G9475" s="2" t="str">
        <f>"MVSaude / Atendimento / Autorizações de Guias / Internação / Relatórios / Declarações e Termos / Aviso de Cancelamento de Transferencia de Paciente (R_CANCELA_TRANSF)"</f>
        <v>MVSaude / Atendimento / Autorizações de Guias / Internação / Relatórios / Declarações e Termos / Aviso de Cancelamento de Transferencia de Paciente (R_CANCELA_TRANSF)</v>
      </c>
    </row>
    <row r="9476" spans="1:7" x14ac:dyDescent="0.3">
      <c r="A9476" s="1" t="s">
        <v>4</v>
      </c>
      <c r="B9476" s="2" t="str">
        <f t="shared" si="813"/>
        <v>SISTEMA DE GERENCIAMENTO DE INTERNAÇÃO</v>
      </c>
      <c r="C9476" s="2" t="str">
        <f t="shared" si="814"/>
        <v>INTER</v>
      </c>
      <c r="D9476" s="2" t="str">
        <f t="shared" si="815"/>
        <v>PARI</v>
      </c>
      <c r="E9476" s="2" t="str">
        <f>"R_PENDENCIA_PECIENTE"</f>
        <v>R_PENDENCIA_PECIENTE</v>
      </c>
      <c r="F9476" s="2" t="str">
        <f>"R_PENDENCIA_PECIENTE"</f>
        <v>R_PENDENCIA_PECIENTE</v>
      </c>
      <c r="G9476" s="2" t="str">
        <f>" ()"</f>
        <v xml:space="preserve"> ()</v>
      </c>
    </row>
    <row r="9477" spans="1:7" x14ac:dyDescent="0.3">
      <c r="A9477" s="1" t="s">
        <v>4</v>
      </c>
      <c r="B9477" s="2" t="str">
        <f t="shared" si="813"/>
        <v>SISTEMA DE GERENCIAMENTO DE INTERNAÇÃO</v>
      </c>
      <c r="C9477" s="2" t="str">
        <f t="shared" si="814"/>
        <v>INTER</v>
      </c>
      <c r="D9477" s="2" t="str">
        <f t="shared" si="815"/>
        <v>PARI</v>
      </c>
      <c r="E9477" s="2" t="str">
        <f>"CENSO OCUPACIONAL - TESTE"</f>
        <v>CENSO OCUPACIONAL - TESTE</v>
      </c>
      <c r="F9477" s="2" t="str">
        <f>"R_CENSO_OCUPACIONAL110"</f>
        <v>R_CENSO_OCUPACIONAL110</v>
      </c>
      <c r="G9477" s="2" t="str">
        <f>" ()"</f>
        <v xml:space="preserve"> ()</v>
      </c>
    </row>
    <row r="9478" spans="1:7" x14ac:dyDescent="0.3">
      <c r="A9478" s="1" t="s">
        <v>4</v>
      </c>
      <c r="B9478" s="2" t="str">
        <f t="shared" si="813"/>
        <v>SISTEMA DE GERENCIAMENTO DE INTERNAÇÃO</v>
      </c>
      <c r="C9478" s="2" t="str">
        <f t="shared" si="814"/>
        <v>INTER</v>
      </c>
      <c r="D9478" s="2" t="str">
        <f t="shared" si="815"/>
        <v>PARI</v>
      </c>
      <c r="E9478" s="2" t="str">
        <f t="shared" ref="E9478:F9480" si="819">"C_LOG_TRANS"</f>
        <v>C_LOG_TRANS</v>
      </c>
      <c r="F9478" s="2" t="str">
        <f t="shared" si="819"/>
        <v>C_LOG_TRANS</v>
      </c>
      <c r="G9478" s="2" t="str">
        <f>"MVSaude / Vendas / Internação / Consultas / Log de Tranferência de Pacientes (C_LOG_TRANS)"</f>
        <v>MVSaude / Vendas / Internação / Consultas / Log de Tranferência de Pacientes (C_LOG_TRANS)</v>
      </c>
    </row>
    <row r="9479" spans="1:7" x14ac:dyDescent="0.3">
      <c r="A9479" s="1" t="s">
        <v>4</v>
      </c>
      <c r="B9479" s="2" t="str">
        <f t="shared" si="813"/>
        <v>SISTEMA DE GERENCIAMENTO DE INTERNAÇÃO</v>
      </c>
      <c r="C9479" s="2" t="str">
        <f t="shared" si="814"/>
        <v>INTER</v>
      </c>
      <c r="D9479" s="2" t="str">
        <f t="shared" si="815"/>
        <v>PARI</v>
      </c>
      <c r="E9479" s="2" t="str">
        <f t="shared" si="819"/>
        <v>C_LOG_TRANS</v>
      </c>
      <c r="F9479" s="2" t="str">
        <f t="shared" si="819"/>
        <v>C_LOG_TRANS</v>
      </c>
      <c r="G9479" s="2" t="str">
        <f>"Atendimento / Internação / Consultas / Log de Tranferência de Pacientes (C_LOG_TRANS)"</f>
        <v>Atendimento / Internação / Consultas / Log de Tranferência de Pacientes (C_LOG_TRANS)</v>
      </c>
    </row>
    <row r="9480" spans="1:7" x14ac:dyDescent="0.3">
      <c r="A9480" s="1" t="s">
        <v>4</v>
      </c>
      <c r="B9480" s="2" t="str">
        <f t="shared" si="813"/>
        <v>SISTEMA DE GERENCIAMENTO DE INTERNAÇÃO</v>
      </c>
      <c r="C9480" s="2" t="str">
        <f t="shared" si="814"/>
        <v>INTER</v>
      </c>
      <c r="D9480" s="2" t="str">
        <f t="shared" si="815"/>
        <v>PARI</v>
      </c>
      <c r="E9480" s="2" t="str">
        <f t="shared" si="819"/>
        <v>C_LOG_TRANS</v>
      </c>
      <c r="F9480" s="2" t="str">
        <f t="shared" si="819"/>
        <v>C_LOG_TRANS</v>
      </c>
      <c r="G9480" s="2" t="str">
        <f>"MVSaude / Atendimento / Autorizações de Guias / Internação / Consultas / Log de Tranferência de Pacientes (C_LOG_TRANS)"</f>
        <v>MVSaude / Atendimento / Autorizações de Guias / Internação / Consultas / Log de Tranferência de Pacientes (C_LOG_TRANS)</v>
      </c>
    </row>
    <row r="9481" spans="1:7" x14ac:dyDescent="0.3">
      <c r="A9481" s="1" t="s">
        <v>4</v>
      </c>
      <c r="B9481" s="2" t="str">
        <f t="shared" si="813"/>
        <v>SISTEMA DE GERENCIAMENTO DE INTERNAÇÃO</v>
      </c>
      <c r="C9481" s="2" t="str">
        <f t="shared" si="814"/>
        <v>INTER</v>
      </c>
      <c r="D9481" s="2" t="str">
        <f t="shared" si="815"/>
        <v>PARI</v>
      </c>
      <c r="E9481" s="2" t="str">
        <f>"M_TROC_PAC"</f>
        <v>M_TROC_PAC</v>
      </c>
      <c r="F9481" s="2" t="str">
        <f>"M_TROC_PAC"</f>
        <v>M_TROC_PAC</v>
      </c>
      <c r="G9481" s="2" t="str">
        <f>" ()"</f>
        <v xml:space="preserve"> ()</v>
      </c>
    </row>
    <row r="9482" spans="1:7" x14ac:dyDescent="0.3">
      <c r="A9482" s="1" t="s">
        <v>4</v>
      </c>
      <c r="B9482" s="2" t="str">
        <f t="shared" si="813"/>
        <v>SISTEMA DE GERENCIAMENTO DE INTERNAÇÃO</v>
      </c>
      <c r="C9482" s="2" t="str">
        <f t="shared" si="814"/>
        <v>INTER</v>
      </c>
      <c r="D9482" s="2" t="str">
        <f t="shared" si="815"/>
        <v>PARI</v>
      </c>
      <c r="E9482" s="2" t="str">
        <f>"CENSO HOSPITALAR - TESTE"</f>
        <v>CENSO HOSPITALAR - TESTE</v>
      </c>
      <c r="F9482" s="2" t="str">
        <f>"R_CENSO110"</f>
        <v>R_CENSO110</v>
      </c>
      <c r="G9482" s="2" t="str">
        <f>" ()"</f>
        <v xml:space="preserve"> ()</v>
      </c>
    </row>
    <row r="9483" spans="1:7" x14ac:dyDescent="0.3">
      <c r="A9483" s="1" t="s">
        <v>4</v>
      </c>
      <c r="B9483" s="2" t="str">
        <f t="shared" si="813"/>
        <v>SISTEMA DE GERENCIAMENTO DE INTERNAÇÃO</v>
      </c>
      <c r="C9483" s="2" t="str">
        <f t="shared" si="814"/>
        <v>INTER</v>
      </c>
      <c r="D9483" s="2" t="str">
        <f t="shared" si="815"/>
        <v>PARI</v>
      </c>
      <c r="E9483" s="2" t="str">
        <f>"REL ESTATISTICO ATENDIM P/ ESPECIALIDADE"</f>
        <v>REL ESTATISTICO ATENDIM P/ ESPECIALIDADE</v>
      </c>
      <c r="F9483" s="2" t="str">
        <f>"R_EST_ESPECIALIDAD"</f>
        <v>R_EST_ESPECIALIDAD</v>
      </c>
      <c r="G9483" s="2" t="str">
        <f>"MVSaude / Vendas / Internação / Relatórios / Estatísticos / Atendimentos / Por Especialidade (R_EST_ESPECIALIDAD)"</f>
        <v>MVSaude / Vendas / Internação / Relatórios / Estatísticos / Atendimentos / Por Especialidade (R_EST_ESPECIALIDAD)</v>
      </c>
    </row>
    <row r="9484" spans="1:7" x14ac:dyDescent="0.3">
      <c r="A9484" s="1" t="s">
        <v>4</v>
      </c>
      <c r="B9484" s="2" t="str">
        <f t="shared" si="813"/>
        <v>SISTEMA DE GERENCIAMENTO DE INTERNAÇÃO</v>
      </c>
      <c r="C9484" s="2" t="str">
        <f t="shared" si="814"/>
        <v>INTER</v>
      </c>
      <c r="D9484" s="2" t="str">
        <f t="shared" si="815"/>
        <v>PARI</v>
      </c>
      <c r="E9484" s="2" t="str">
        <f>"REL ESTATISTICO ATENDIM P/ ESPECIALIDADE"</f>
        <v>REL ESTATISTICO ATENDIM P/ ESPECIALIDADE</v>
      </c>
      <c r="F9484" s="2" t="str">
        <f>"R_EST_ESPECIALIDAD"</f>
        <v>R_EST_ESPECIALIDAD</v>
      </c>
      <c r="G9484" s="2" t="str">
        <f>"MVSaude / Atendimento / Autorizações de Guias / Internação / Relatórios / Estatísticos / Atendimentos / Por Especialidade (R_EST_ESPECIALIDAD)"</f>
        <v>MVSaude / Atendimento / Autorizações de Guias / Internação / Relatórios / Estatísticos / Atendimentos / Por Especialidade (R_EST_ESPECIALIDAD)</v>
      </c>
    </row>
    <row r="9485" spans="1:7" x14ac:dyDescent="0.3">
      <c r="A9485" s="1" t="s">
        <v>4</v>
      </c>
      <c r="B9485" s="2" t="str">
        <f t="shared" si="813"/>
        <v>SISTEMA DE GERENCIAMENTO DE INTERNAÇÃO</v>
      </c>
      <c r="C9485" s="2" t="str">
        <f t="shared" si="814"/>
        <v>INTER</v>
      </c>
      <c r="D9485" s="2" t="str">
        <f t="shared" si="815"/>
        <v>PARI</v>
      </c>
      <c r="E9485" s="2" t="str">
        <f>"RESUMO DE ÓBITOS POR CLÍNICA"</f>
        <v>RESUMO DE ÓBITOS POR CLÍNICA</v>
      </c>
      <c r="F9485" s="2" t="str">
        <f>"R_RESUMO_OBTOS_CLI"</f>
        <v>R_RESUMO_OBTOS_CLI</v>
      </c>
      <c r="G9485" s="2" t="str">
        <f>"Atendimento / Internação / Relatórios / Estatísticos /  Resumo de Óbitos por Clínica (R_RESUMO_OBTOS_CLI)"</f>
        <v>Atendimento / Internação / Relatórios / Estatísticos /  Resumo de Óbitos por Clínica (R_RESUMO_OBTOS_CLI)</v>
      </c>
    </row>
    <row r="9486" spans="1:7" x14ac:dyDescent="0.3">
      <c r="A9486" s="1" t="s">
        <v>4</v>
      </c>
      <c r="B9486" s="2" t="str">
        <f t="shared" ref="B9486:B9549" si="820">"SISTEMA DE GERENCIAMENTO DE INTERNAÇÃO"</f>
        <v>SISTEMA DE GERENCIAMENTO DE INTERNAÇÃO</v>
      </c>
      <c r="C9486" s="2" t="str">
        <f t="shared" ref="C9486:C9549" si="821">"INTER"</f>
        <v>INTER</v>
      </c>
      <c r="D9486" s="2" t="str">
        <f t="shared" ref="D9486:D9549" si="822">"PARI"</f>
        <v>PARI</v>
      </c>
      <c r="E9486" s="2" t="str">
        <f>"RESUMO DE ÓBITOS POR CLÍNICA"</f>
        <v>RESUMO DE ÓBITOS POR CLÍNICA</v>
      </c>
      <c r="F9486" s="2" t="str">
        <f>"R_RESUMO_OBTOS_CLI"</f>
        <v>R_RESUMO_OBTOS_CLI</v>
      </c>
      <c r="G9486" s="2" t="str">
        <f>"Serviços de Apoio / Serviço Arquivo Médico / Relatórios / Estatísticos / Resumo de Óbitos por Clínica (R_RESUMO_OBTOS_CLI)"</f>
        <v>Serviços de Apoio / Serviço Arquivo Médico / Relatórios / Estatísticos / Resumo de Óbitos por Clínica (R_RESUMO_OBTOS_CLI)</v>
      </c>
    </row>
    <row r="9487" spans="1:7" x14ac:dyDescent="0.3">
      <c r="A9487" s="1" t="s">
        <v>4</v>
      </c>
      <c r="B9487" s="2" t="str">
        <f t="shared" si="820"/>
        <v>SISTEMA DE GERENCIAMENTO DE INTERNAÇÃO</v>
      </c>
      <c r="C9487" s="2" t="str">
        <f t="shared" si="821"/>
        <v>INTER</v>
      </c>
      <c r="D9487" s="2" t="str">
        <f t="shared" si="822"/>
        <v>PARI</v>
      </c>
      <c r="E9487" s="2" t="str">
        <f>"RESUMO DE ÓBITOS POR CLÍNICA"</f>
        <v>RESUMO DE ÓBITOS POR CLÍNICA</v>
      </c>
      <c r="F9487" s="2" t="str">
        <f>"R_RESUMO_OBTOS_CLI"</f>
        <v>R_RESUMO_OBTOS_CLI</v>
      </c>
      <c r="G9487" s="2" t="str">
        <f>"MVSaude / Vendas / Internação / Relatórios / Estatísticos /  Resumo de Óbitos por Clínica (R_RESUMO_OBTOS_CLI)"</f>
        <v>MVSaude / Vendas / Internação / Relatórios / Estatísticos /  Resumo de Óbitos por Clínica (R_RESUMO_OBTOS_CLI)</v>
      </c>
    </row>
    <row r="9488" spans="1:7" x14ac:dyDescent="0.3">
      <c r="A9488" s="1" t="s">
        <v>4</v>
      </c>
      <c r="B9488" s="2" t="str">
        <f t="shared" si="820"/>
        <v>SISTEMA DE GERENCIAMENTO DE INTERNAÇÃO</v>
      </c>
      <c r="C9488" s="2" t="str">
        <f t="shared" si="821"/>
        <v>INTER</v>
      </c>
      <c r="D9488" s="2" t="str">
        <f t="shared" si="822"/>
        <v>PARI</v>
      </c>
      <c r="E9488" s="2" t="str">
        <f>"RESUMO DE ÓBITOS POR CLÍNICA"</f>
        <v>RESUMO DE ÓBITOS POR CLÍNICA</v>
      </c>
      <c r="F9488" s="2" t="str">
        <f>"R_RESUMO_OBTOS_CLI"</f>
        <v>R_RESUMO_OBTOS_CLI</v>
      </c>
      <c r="G9488" s="2" t="str">
        <f>"MVSaude / Atendimento / Autorizações de Guias / Internação / Relatórios / Estatísticos /  Resumo de Óbitos por Clínica (R_RESUMO_OBTOS_CLI)"</f>
        <v>MVSaude / Atendimento / Autorizações de Guias / Internação / Relatórios / Estatísticos /  Resumo de Óbitos por Clínica (R_RESUMO_OBTOS_CLI)</v>
      </c>
    </row>
    <row r="9489" spans="1:7" x14ac:dyDescent="0.3">
      <c r="A9489" s="1" t="s">
        <v>4</v>
      </c>
      <c r="B9489" s="2" t="str">
        <f t="shared" si="820"/>
        <v>SISTEMA DE GERENCIAMENTO DE INTERNAÇÃO</v>
      </c>
      <c r="C9489" s="2" t="str">
        <f t="shared" si="821"/>
        <v>INTER</v>
      </c>
      <c r="D9489" s="2" t="str">
        <f t="shared" si="822"/>
        <v>PARI</v>
      </c>
      <c r="E9489" s="2" t="str">
        <f>"PACK_PENDENCIA"</f>
        <v>PACK_PENDENCIA</v>
      </c>
      <c r="F9489" s="2" t="str">
        <f>"PACK_PENDENCIA"</f>
        <v>PACK_PENDENCIA</v>
      </c>
      <c r="G9489" s="2" t="str">
        <f>" ()"</f>
        <v xml:space="preserve"> ()</v>
      </c>
    </row>
    <row r="9490" spans="1:7" x14ac:dyDescent="0.3">
      <c r="A9490" s="1" t="s">
        <v>4</v>
      </c>
      <c r="B9490" s="2" t="str">
        <f t="shared" si="820"/>
        <v>SISTEMA DE GERENCIAMENTO DE INTERNAÇÃO</v>
      </c>
      <c r="C9490" s="2" t="str">
        <f t="shared" si="821"/>
        <v>INTER</v>
      </c>
      <c r="D9490" s="2" t="str">
        <f t="shared" si="822"/>
        <v>PARI</v>
      </c>
      <c r="E9490" s="2" t="str">
        <f>"RELATÓRIO DE ALTAS NO PERÍODO"</f>
        <v>RELATÓRIO DE ALTAS NO PERÍODO</v>
      </c>
      <c r="F9490" s="2" t="str">
        <f>"R_MAPA_ESTATISTICO_EMP_ULBRA"</f>
        <v>R_MAPA_ESTATISTICO_EMP_ULBRA</v>
      </c>
      <c r="G9490" s="2" t="str">
        <f>" ()"</f>
        <v xml:space="preserve"> ()</v>
      </c>
    </row>
    <row r="9491" spans="1:7" x14ac:dyDescent="0.3">
      <c r="A9491" s="1" t="s">
        <v>4</v>
      </c>
      <c r="B9491" s="2" t="str">
        <f t="shared" si="820"/>
        <v>SISTEMA DE GERENCIAMENTO DE INTERNAÇÃO</v>
      </c>
      <c r="C9491" s="2" t="str">
        <f t="shared" si="821"/>
        <v>INTER</v>
      </c>
      <c r="D9491" s="2" t="str">
        <f t="shared" si="822"/>
        <v>PARI</v>
      </c>
      <c r="E9491" s="2" t="str">
        <f>"R_EST_HOSPITALAR_ANAL.REP"</f>
        <v>R_EST_HOSPITALAR_ANAL.REP</v>
      </c>
      <c r="F9491" s="2" t="str">
        <f>"R_EST_HOSPITALAR_ANAL.REP"</f>
        <v>R_EST_HOSPITALAR_ANAL.REP</v>
      </c>
      <c r="G9491" s="2" t="str">
        <f>" ()"</f>
        <v xml:space="preserve"> ()</v>
      </c>
    </row>
    <row r="9492" spans="1:7" x14ac:dyDescent="0.3">
      <c r="A9492" s="1" t="s">
        <v>4</v>
      </c>
      <c r="B9492" s="2" t="str">
        <f t="shared" si="820"/>
        <v>SISTEMA DE GERENCIAMENTO DE INTERNAÇÃO</v>
      </c>
      <c r="C9492" s="2" t="str">
        <f t="shared" si="821"/>
        <v>INTER</v>
      </c>
      <c r="D9492" s="2" t="str">
        <f t="shared" si="822"/>
        <v>PARI</v>
      </c>
      <c r="E9492" s="2" t="str">
        <f>"RELATÓRIO MENSAL DE DESEMPENHO"</f>
        <v>RELATÓRIO MENSAL DE DESEMPENHO</v>
      </c>
      <c r="F9492" s="2" t="str">
        <f>"R_MENS_DESEMP"</f>
        <v>R_MENS_DESEMP</v>
      </c>
      <c r="G9492" s="2" t="str">
        <f>"Atendimento / Internação / Relatórios / Estatísticos / Mensal de Desempenho (R_MENS_DESEMP)"</f>
        <v>Atendimento / Internação / Relatórios / Estatísticos / Mensal de Desempenho (R_MENS_DESEMP)</v>
      </c>
    </row>
    <row r="9493" spans="1:7" x14ac:dyDescent="0.3">
      <c r="A9493" s="1" t="s">
        <v>4</v>
      </c>
      <c r="B9493" s="2" t="str">
        <f t="shared" si="820"/>
        <v>SISTEMA DE GERENCIAMENTO DE INTERNAÇÃO</v>
      </c>
      <c r="C9493" s="2" t="str">
        <f t="shared" si="821"/>
        <v>INTER</v>
      </c>
      <c r="D9493" s="2" t="str">
        <f t="shared" si="822"/>
        <v>PARI</v>
      </c>
      <c r="E9493" s="2" t="str">
        <f>"RELATÓRIO MENSAL DE DESEMPENHO"</f>
        <v>RELATÓRIO MENSAL DE DESEMPENHO</v>
      </c>
      <c r="F9493" s="2" t="str">
        <f>"R_MENS_DESEMP"</f>
        <v>R_MENS_DESEMP</v>
      </c>
      <c r="G9493" s="2" t="str">
        <f>"MVSaude / Atendimento / Autorizações de Guias / Internação / Relatórios / Estatísticos / Mensal de Desempenho (R_MENS_DESEMP)"</f>
        <v>MVSaude / Atendimento / Autorizações de Guias / Internação / Relatórios / Estatísticos / Mensal de Desempenho (R_MENS_DESEMP)</v>
      </c>
    </row>
    <row r="9494" spans="1:7" x14ac:dyDescent="0.3">
      <c r="A9494" s="1" t="s">
        <v>4</v>
      </c>
      <c r="B9494" s="2" t="str">
        <f t="shared" si="820"/>
        <v>SISTEMA DE GERENCIAMENTO DE INTERNAÇÃO</v>
      </c>
      <c r="C9494" s="2" t="str">
        <f t="shared" si="821"/>
        <v>INTER</v>
      </c>
      <c r="D9494" s="2" t="str">
        <f t="shared" si="822"/>
        <v>PARI</v>
      </c>
      <c r="E9494" s="2" t="str">
        <f>"RELATÓRIO MENSAL DE DESEMPENHO"</f>
        <v>RELATÓRIO MENSAL DE DESEMPENHO</v>
      </c>
      <c r="F9494" s="2" t="str">
        <f>"R_MENS_DESEMP"</f>
        <v>R_MENS_DESEMP</v>
      </c>
      <c r="G9494" s="2" t="str">
        <f>"MVSaude / Vendas / Internação / Relatórios / Estatísticos / Mensal de Desempenho (R_MENS_DESEMP)"</f>
        <v>MVSaude / Vendas / Internação / Relatórios / Estatísticos / Mensal de Desempenho (R_MENS_DESEMP)</v>
      </c>
    </row>
    <row r="9495" spans="1:7" x14ac:dyDescent="0.3">
      <c r="A9495" s="1" t="s">
        <v>4</v>
      </c>
      <c r="B9495" s="2" t="str">
        <f t="shared" si="820"/>
        <v>SISTEMA DE GERENCIAMENTO DE INTERNAÇÃO</v>
      </c>
      <c r="C9495" s="2" t="str">
        <f t="shared" si="821"/>
        <v>INTER</v>
      </c>
      <c r="D9495" s="2" t="str">
        <f t="shared" si="822"/>
        <v>PARI</v>
      </c>
      <c r="E9495" s="2" t="str">
        <f>"ETIQUETA DE INTERNAÇÃO - 445"</f>
        <v>ETIQUETA DE INTERNAÇÃO - 445</v>
      </c>
      <c r="F9495" s="2" t="str">
        <f>"R_ETIQUETA_INTER445"</f>
        <v>R_ETIQUETA_INTER445</v>
      </c>
      <c r="G9495" s="2" t="str">
        <f>" ()"</f>
        <v xml:space="preserve"> ()</v>
      </c>
    </row>
    <row r="9496" spans="1:7" x14ac:dyDescent="0.3">
      <c r="A9496" s="1" t="s">
        <v>4</v>
      </c>
      <c r="B9496" s="2" t="str">
        <f t="shared" si="820"/>
        <v>SISTEMA DE GERENCIAMENTO DE INTERNAÇÃO</v>
      </c>
      <c r="C9496" s="2" t="str">
        <f t="shared" si="821"/>
        <v>INTER</v>
      </c>
      <c r="D9496" s="2" t="str">
        <f t="shared" si="822"/>
        <v>PARI</v>
      </c>
      <c r="E9496" s="2" t="str">
        <f>"R_CONVENIOS_X_ORIGENS"</f>
        <v>R_CONVENIOS_X_ORIGENS</v>
      </c>
      <c r="F9496" s="2" t="str">
        <f>"R_CONVENIOS_X_ORIGENS"</f>
        <v>R_CONVENIOS_X_ORIGENS</v>
      </c>
      <c r="G9496" s="2" t="str">
        <f>"MVSaude / Atendimento / Autorizações de Guias / Internação / Relatórios / Estatísticos / Atendimentos / Por Convênio X Origem (R_CONVENIOS_X_ORIGENS)"</f>
        <v>MVSaude / Atendimento / Autorizações de Guias / Internação / Relatórios / Estatísticos / Atendimentos / Por Convênio X Origem (R_CONVENIOS_X_ORIGENS)</v>
      </c>
    </row>
    <row r="9497" spans="1:7" x14ac:dyDescent="0.3">
      <c r="A9497" s="1" t="s">
        <v>4</v>
      </c>
      <c r="B9497" s="2" t="str">
        <f t="shared" si="820"/>
        <v>SISTEMA DE GERENCIAMENTO DE INTERNAÇÃO</v>
      </c>
      <c r="C9497" s="2" t="str">
        <f t="shared" si="821"/>
        <v>INTER</v>
      </c>
      <c r="D9497" s="2" t="str">
        <f t="shared" si="822"/>
        <v>PARI</v>
      </c>
      <c r="E9497" s="2" t="str">
        <f>"CENSO 750"</f>
        <v>CENSO 750</v>
      </c>
      <c r="F9497" s="2" t="str">
        <f>"R_CENSO750"</f>
        <v>R_CENSO750</v>
      </c>
      <c r="G9497" s="2" t="str">
        <f t="shared" ref="G9497:G9503" si="823">" ()"</f>
        <v xml:space="preserve"> ()</v>
      </c>
    </row>
    <row r="9498" spans="1:7" x14ac:dyDescent="0.3">
      <c r="A9498" s="1" t="s">
        <v>4</v>
      </c>
      <c r="B9498" s="2" t="str">
        <f t="shared" si="820"/>
        <v>SISTEMA DE GERENCIAMENTO DE INTERNAÇÃO</v>
      </c>
      <c r="C9498" s="2" t="str">
        <f t="shared" si="821"/>
        <v>INTER</v>
      </c>
      <c r="D9498" s="2" t="str">
        <f t="shared" si="822"/>
        <v>PARI</v>
      </c>
      <c r="E9498" s="2" t="str">
        <f>"CENSO POR COPA"</f>
        <v>CENSO POR COPA</v>
      </c>
      <c r="F9498" s="2" t="str">
        <f>"R_ETIQUETA_INTERNACAO_749"</f>
        <v>R_ETIQUETA_INTERNACAO_749</v>
      </c>
      <c r="G9498" s="2" t="str">
        <f t="shared" si="823"/>
        <v xml:space="preserve"> ()</v>
      </c>
    </row>
    <row r="9499" spans="1:7" x14ac:dyDescent="0.3">
      <c r="A9499" s="1" t="s">
        <v>4</v>
      </c>
      <c r="B9499" s="2" t="str">
        <f t="shared" si="820"/>
        <v>SISTEMA DE GERENCIAMENTO DE INTERNAÇÃO</v>
      </c>
      <c r="C9499" s="2" t="str">
        <f t="shared" si="821"/>
        <v>INTER</v>
      </c>
      <c r="D9499" s="2" t="str">
        <f t="shared" si="822"/>
        <v>PARI</v>
      </c>
      <c r="E9499" s="2" t="str">
        <f>"R_EST_ALTA_UNID_CONV860"</f>
        <v>R_EST_ALTA_UNID_CONV860</v>
      </c>
      <c r="F9499" s="2" t="str">
        <f>"R_EST_ALTA_UNID_CONV860"</f>
        <v>R_EST_ALTA_UNID_CONV860</v>
      </c>
      <c r="G9499" s="2" t="str">
        <f t="shared" si="823"/>
        <v xml:space="preserve"> ()</v>
      </c>
    </row>
    <row r="9500" spans="1:7" x14ac:dyDescent="0.3">
      <c r="A9500" s="1" t="s">
        <v>4</v>
      </c>
      <c r="B9500" s="2" t="str">
        <f t="shared" si="820"/>
        <v>SISTEMA DE GERENCIAMENTO DE INTERNAÇÃO</v>
      </c>
      <c r="C9500" s="2" t="str">
        <f t="shared" si="821"/>
        <v>INTER</v>
      </c>
      <c r="D9500" s="2" t="str">
        <f t="shared" si="822"/>
        <v>PARI</v>
      </c>
      <c r="E9500" s="2" t="str">
        <f>"R_TIPOS_INTERNACAO_X_CONV"</f>
        <v>R_TIPOS_INTERNACAO_X_CONV</v>
      </c>
      <c r="F9500" s="2" t="str">
        <f>"R_TIPOS_INTERNACAO_X_CONV"</f>
        <v>R_TIPOS_INTERNACAO_X_CONV</v>
      </c>
      <c r="G9500" s="2" t="str">
        <f t="shared" si="823"/>
        <v xml:space="preserve"> ()</v>
      </c>
    </row>
    <row r="9501" spans="1:7" x14ac:dyDescent="0.3">
      <c r="A9501" s="1" t="s">
        <v>4</v>
      </c>
      <c r="B9501" s="2" t="str">
        <f t="shared" si="820"/>
        <v>SISTEMA DE GERENCIAMENTO DE INTERNAÇÃO</v>
      </c>
      <c r="C9501" s="2" t="str">
        <f t="shared" si="821"/>
        <v>INTER</v>
      </c>
      <c r="D9501" s="2" t="str">
        <f t="shared" si="822"/>
        <v>PARI</v>
      </c>
      <c r="E9501" s="2" t="str">
        <f>"_EST_INTER_UNID_CONV860"</f>
        <v>_EST_INTER_UNID_CONV860</v>
      </c>
      <c r="F9501" s="2" t="str">
        <f>"_EST_INTER_UNID_CONV860"</f>
        <v>_EST_INTER_UNID_CONV860</v>
      </c>
      <c r="G9501" s="2" t="str">
        <f t="shared" si="823"/>
        <v xml:space="preserve"> ()</v>
      </c>
    </row>
    <row r="9502" spans="1:7" x14ac:dyDescent="0.3">
      <c r="A9502" s="1" t="s">
        <v>4</v>
      </c>
      <c r="B9502" s="2" t="str">
        <f t="shared" si="820"/>
        <v>SISTEMA DE GERENCIAMENTO DE INTERNAÇÃO</v>
      </c>
      <c r="C9502" s="2" t="str">
        <f t="shared" si="821"/>
        <v>INTER</v>
      </c>
      <c r="D9502" s="2" t="str">
        <f t="shared" si="822"/>
        <v>PARI</v>
      </c>
      <c r="E9502" s="2" t="str">
        <f>"PACK_JOB"</f>
        <v>PACK_JOB</v>
      </c>
      <c r="F9502" s="2" t="str">
        <f>"PACK_JOB"</f>
        <v>PACK_JOB</v>
      </c>
      <c r="G9502" s="2" t="str">
        <f t="shared" si="823"/>
        <v xml:space="preserve"> ()</v>
      </c>
    </row>
    <row r="9503" spans="1:7" x14ac:dyDescent="0.3">
      <c r="A9503" s="1" t="s">
        <v>4</v>
      </c>
      <c r="B9503" s="2" t="str">
        <f t="shared" si="820"/>
        <v>SISTEMA DE GERENCIAMENTO DE INTERNAÇÃO</v>
      </c>
      <c r="C9503" s="2" t="str">
        <f t="shared" si="821"/>
        <v>INTER</v>
      </c>
      <c r="D9503" s="2" t="str">
        <f t="shared" si="822"/>
        <v>PARI</v>
      </c>
      <c r="E9503" s="2" t="str">
        <f>"CONSIST_TP_OCUPACAO"</f>
        <v>CONSIST_TP_OCUPACAO</v>
      </c>
      <c r="F9503" s="2" t="str">
        <f>"CONSIST_TP_OCUPACAO"</f>
        <v>CONSIST_TP_OCUPACAO</v>
      </c>
      <c r="G9503" s="2" t="str">
        <f t="shared" si="823"/>
        <v xml:space="preserve"> ()</v>
      </c>
    </row>
    <row r="9504" spans="1:7" x14ac:dyDescent="0.3">
      <c r="A9504" s="1" t="s">
        <v>4</v>
      </c>
      <c r="B9504" s="2" t="str">
        <f t="shared" si="820"/>
        <v>SISTEMA DE GERENCIAMENTO DE INTERNAÇÃO</v>
      </c>
      <c r="C9504" s="2" t="str">
        <f t="shared" si="821"/>
        <v>INTER</v>
      </c>
      <c r="D9504" s="2" t="str">
        <f t="shared" si="822"/>
        <v>PARI</v>
      </c>
      <c r="E9504" s="2" t="str">
        <f>"CONSULTA: ESTATÍSTICA DE ATENDIMENTOS"</f>
        <v>CONSULTA: ESTATÍSTICA DE ATENDIMENTOS</v>
      </c>
      <c r="F9504" s="2" t="str">
        <f>"C_EST_ATENDE"</f>
        <v>C_EST_ATENDE</v>
      </c>
      <c r="G9504" s="2" t="str">
        <f>"MVSaude / Vendas / Internação / Consultas / Estatísticas de Produção / Atendimentos (C_EST_ATENDE)"</f>
        <v>MVSaude / Vendas / Internação / Consultas / Estatísticas de Produção / Atendimentos (C_EST_ATENDE)</v>
      </c>
    </row>
    <row r="9505" spans="1:7" x14ac:dyDescent="0.3">
      <c r="A9505" s="1" t="s">
        <v>4</v>
      </c>
      <c r="B9505" s="2" t="str">
        <f t="shared" si="820"/>
        <v>SISTEMA DE GERENCIAMENTO DE INTERNAÇÃO</v>
      </c>
      <c r="C9505" s="2" t="str">
        <f t="shared" si="821"/>
        <v>INTER</v>
      </c>
      <c r="D9505" s="2" t="str">
        <f t="shared" si="822"/>
        <v>PARI</v>
      </c>
      <c r="E9505" s="2" t="str">
        <f>"CONSULTA: ESTATÍSTICA DE ATENDIMENTOS"</f>
        <v>CONSULTA: ESTATÍSTICA DE ATENDIMENTOS</v>
      </c>
      <c r="F9505" s="2" t="str">
        <f>"C_EST_ATENDE"</f>
        <v>C_EST_ATENDE</v>
      </c>
      <c r="G9505" s="2" t="str">
        <f>"Atendimento / Internação / Consultas / Estatísticas de Produção / Atendimentos (C_EST_ATENDE)"</f>
        <v>Atendimento / Internação / Consultas / Estatísticas de Produção / Atendimentos (C_EST_ATENDE)</v>
      </c>
    </row>
    <row r="9506" spans="1:7" x14ac:dyDescent="0.3">
      <c r="A9506" s="1" t="s">
        <v>4</v>
      </c>
      <c r="B9506" s="2" t="str">
        <f t="shared" si="820"/>
        <v>SISTEMA DE GERENCIAMENTO DE INTERNAÇÃO</v>
      </c>
      <c r="C9506" s="2" t="str">
        <f t="shared" si="821"/>
        <v>INTER</v>
      </c>
      <c r="D9506" s="2" t="str">
        <f t="shared" si="822"/>
        <v>PARI</v>
      </c>
      <c r="E9506" s="2" t="str">
        <f>"CONSULTA: ESTATÍSTICA DE ATENDIMENTOS"</f>
        <v>CONSULTA: ESTATÍSTICA DE ATENDIMENTOS</v>
      </c>
      <c r="F9506" s="2" t="str">
        <f>"C_EST_ATENDE"</f>
        <v>C_EST_ATENDE</v>
      </c>
      <c r="G9506" s="2" t="str">
        <f>"MVSaude / Atendimento / Autorizações de Guias / Internação / Consultas / Estatísticas de Produção / Atendimentos (C_EST_ATENDE)"</f>
        <v>MVSaude / Atendimento / Autorizações de Guias / Internação / Consultas / Estatísticas de Produção / Atendimentos (C_EST_ATENDE)</v>
      </c>
    </row>
    <row r="9507" spans="1:7" x14ac:dyDescent="0.3">
      <c r="A9507" s="1" t="s">
        <v>4</v>
      </c>
      <c r="B9507" s="2" t="str">
        <f t="shared" si="820"/>
        <v>SISTEMA DE GERENCIAMENTO DE INTERNAÇÃO</v>
      </c>
      <c r="C9507" s="2" t="str">
        <f t="shared" si="821"/>
        <v>INTER</v>
      </c>
      <c r="D9507" s="2" t="str">
        <f t="shared" si="822"/>
        <v>PARI</v>
      </c>
      <c r="E9507" s="2" t="str">
        <f>"CADASTRO DE FAIXAS ETÁRIAS DE RELATÓRIO"</f>
        <v>CADASTRO DE FAIXAS ETÁRIAS DE RELATÓRIO</v>
      </c>
      <c r="F9507" s="2" t="str">
        <f>"CAD_FAIXA_ETARIA_RELATORIO"</f>
        <v>CAD_FAIXA_ETARIA_RELATORIO</v>
      </c>
      <c r="G9507" s="2" t="str">
        <f>"MVSaude / Vendas / Internação / Tabelas / Faixa Etária de Relatório (CAD_FAIXA_ETARIA_RELATORIO)"</f>
        <v>MVSaude / Vendas / Internação / Tabelas / Faixa Etária de Relatório (CAD_FAIXA_ETARIA_RELATORIO)</v>
      </c>
    </row>
    <row r="9508" spans="1:7" x14ac:dyDescent="0.3">
      <c r="A9508" s="1" t="s">
        <v>4</v>
      </c>
      <c r="B9508" s="2" t="str">
        <f t="shared" si="820"/>
        <v>SISTEMA DE GERENCIAMENTO DE INTERNAÇÃO</v>
      </c>
      <c r="C9508" s="2" t="str">
        <f t="shared" si="821"/>
        <v>INTER</v>
      </c>
      <c r="D9508" s="2" t="str">
        <f t="shared" si="822"/>
        <v>PARI</v>
      </c>
      <c r="E9508" s="2" t="str">
        <f>"CADASTRO DE FAIXAS ETÁRIAS DE RELATÓRIO"</f>
        <v>CADASTRO DE FAIXAS ETÁRIAS DE RELATÓRIO</v>
      </c>
      <c r="F9508" s="2" t="str">
        <f>"CAD_FAIXA_ETARIA_RELATORIO"</f>
        <v>CAD_FAIXA_ETARIA_RELATORIO</v>
      </c>
      <c r="G9508" s="2" t="str">
        <f>"MVSaude / Atendimento / Autorizações de Guias / Internação / Tabelas / Faixa Etária de Relatório (CAD_FAIXA_ETARIA_RELATORIO)"</f>
        <v>MVSaude / Atendimento / Autorizações de Guias / Internação / Tabelas / Faixa Etária de Relatório (CAD_FAIXA_ETARIA_RELATORIO)</v>
      </c>
    </row>
    <row r="9509" spans="1:7" x14ac:dyDescent="0.3">
      <c r="A9509" s="1" t="s">
        <v>4</v>
      </c>
      <c r="B9509" s="2" t="str">
        <f t="shared" si="820"/>
        <v>SISTEMA DE GERENCIAMENTO DE INTERNAÇÃO</v>
      </c>
      <c r="C9509" s="2" t="str">
        <f t="shared" si="821"/>
        <v>INTER</v>
      </c>
      <c r="D9509" s="2" t="str">
        <f t="shared" si="822"/>
        <v>PARI</v>
      </c>
      <c r="E9509" s="2" t="str">
        <f>"CADASTRO DE FAIXAS ETÁRIAS DE RELATÓRIO"</f>
        <v>CADASTRO DE FAIXAS ETÁRIAS DE RELATÓRIO</v>
      </c>
      <c r="F9509" s="2" t="str">
        <f>"CAD_FAIXA_ETARIA_RELATORIO"</f>
        <v>CAD_FAIXA_ETARIA_RELATORIO</v>
      </c>
      <c r="G9509" s="2" t="str">
        <f>"Atendimento / Internação / Tabelas / Faixa Etária de Relatório (CAD_FAIXA_ETARIA_RELATORIO)"</f>
        <v>Atendimento / Internação / Tabelas / Faixa Etária de Relatório (CAD_FAIXA_ETARIA_RELATORIO)</v>
      </c>
    </row>
    <row r="9510" spans="1:7" x14ac:dyDescent="0.3">
      <c r="A9510" s="1" t="s">
        <v>4</v>
      </c>
      <c r="B9510" s="2" t="str">
        <f t="shared" si="820"/>
        <v>SISTEMA DE GERENCIAMENTO DE INTERNAÇÃO</v>
      </c>
      <c r="C9510" s="2" t="str">
        <f t="shared" si="821"/>
        <v>INTER</v>
      </c>
      <c r="D9510" s="2" t="str">
        <f t="shared" si="822"/>
        <v>PARI</v>
      </c>
      <c r="E9510" s="2" t="str">
        <f>"R_EST_OCUP_CONV"</f>
        <v>R_EST_OCUP_CONV</v>
      </c>
      <c r="F9510" s="2" t="str">
        <f>"R_EST_OCUP_CONV"</f>
        <v>R_EST_OCUP_CONV</v>
      </c>
      <c r="G9510" s="2" t="str">
        <f t="shared" ref="G9510:G9520" si="824">" ()"</f>
        <v xml:space="preserve"> ()</v>
      </c>
    </row>
    <row r="9511" spans="1:7" x14ac:dyDescent="0.3">
      <c r="A9511" s="1" t="s">
        <v>4</v>
      </c>
      <c r="B9511" s="2" t="str">
        <f t="shared" si="820"/>
        <v>SISTEMA DE GERENCIAMENTO DE INTERNAÇÃO</v>
      </c>
      <c r="C9511" s="2" t="str">
        <f t="shared" si="821"/>
        <v>INTER</v>
      </c>
      <c r="D9511" s="2" t="str">
        <f t="shared" si="822"/>
        <v>PARI</v>
      </c>
      <c r="E9511" s="2" t="str">
        <f>"MENU DA ULBRA"</f>
        <v>MENU DA ULBRA</v>
      </c>
      <c r="F9511" s="2" t="str">
        <f>"M_ULBRA"</f>
        <v>M_ULBRA</v>
      </c>
      <c r="G9511" s="2" t="str">
        <f t="shared" si="824"/>
        <v xml:space="preserve"> ()</v>
      </c>
    </row>
    <row r="9512" spans="1:7" x14ac:dyDescent="0.3">
      <c r="A9512" s="1" t="s">
        <v>4</v>
      </c>
      <c r="B9512" s="2" t="str">
        <f t="shared" si="820"/>
        <v>SISTEMA DE GERENCIAMENTO DE INTERNAÇÃO</v>
      </c>
      <c r="C9512" s="2" t="str">
        <f t="shared" si="821"/>
        <v>INTER</v>
      </c>
      <c r="D9512" s="2" t="str">
        <f t="shared" si="822"/>
        <v>PARI</v>
      </c>
      <c r="E9512" s="2" t="str">
        <f>"R_NM_PAEU759"</f>
        <v>R_NM_PAEU759</v>
      </c>
      <c r="F9512" s="2" t="str">
        <f>"R_NM_PAEU759"</f>
        <v>R_NM_PAEU759</v>
      </c>
      <c r="G9512" s="2" t="str">
        <f t="shared" si="824"/>
        <v xml:space="preserve"> ()</v>
      </c>
    </row>
    <row r="9513" spans="1:7" x14ac:dyDescent="0.3">
      <c r="A9513" s="1" t="s">
        <v>4</v>
      </c>
      <c r="B9513" s="2" t="str">
        <f t="shared" si="820"/>
        <v>SISTEMA DE GERENCIAMENTO DE INTERNAÇÃO</v>
      </c>
      <c r="C9513" s="2" t="str">
        <f t="shared" si="821"/>
        <v>INTER</v>
      </c>
      <c r="D9513" s="2" t="str">
        <f t="shared" si="822"/>
        <v>PARI</v>
      </c>
      <c r="E9513" s="2" t="str">
        <f>"R_ANMNESE759"</f>
        <v>R_ANMNESE759</v>
      </c>
      <c r="F9513" s="2" t="str">
        <f>"R_ANMNESE759"</f>
        <v>R_ANMNESE759</v>
      </c>
      <c r="G9513" s="2" t="str">
        <f t="shared" si="824"/>
        <v xml:space="preserve"> ()</v>
      </c>
    </row>
    <row r="9514" spans="1:7" x14ac:dyDescent="0.3">
      <c r="A9514" s="1" t="s">
        <v>4</v>
      </c>
      <c r="B9514" s="2" t="str">
        <f t="shared" si="820"/>
        <v>SISTEMA DE GERENCIAMENTO DE INTERNAÇÃO</v>
      </c>
      <c r="C9514" s="2" t="str">
        <f t="shared" si="821"/>
        <v>INTER</v>
      </c>
      <c r="D9514" s="2" t="str">
        <f t="shared" si="822"/>
        <v>PARI</v>
      </c>
      <c r="E9514" s="2" t="str">
        <f>"ETIQUETA DE MALA DIRETA - CONVÊNIOS"</f>
        <v>ETIQUETA DE MALA DIRETA - CONVÊNIOS</v>
      </c>
      <c r="F9514" s="2" t="str">
        <f>"R_ETIQUETA_CONVENIO_445"</f>
        <v>R_ETIQUETA_CONVENIO_445</v>
      </c>
      <c r="G9514" s="2" t="str">
        <f t="shared" si="824"/>
        <v xml:space="preserve"> ()</v>
      </c>
    </row>
    <row r="9515" spans="1:7" x14ac:dyDescent="0.3">
      <c r="A9515" s="1" t="s">
        <v>4</v>
      </c>
      <c r="B9515" s="2" t="str">
        <f t="shared" si="820"/>
        <v>SISTEMA DE GERENCIAMENTO DE INTERNAÇÃO</v>
      </c>
      <c r="C9515" s="2" t="str">
        <f t="shared" si="821"/>
        <v>INTER</v>
      </c>
      <c r="D9515" s="2" t="str">
        <f t="shared" si="822"/>
        <v>PARI</v>
      </c>
      <c r="E9515" s="2" t="str">
        <f>"AUTORIZA_GUIA_ULBRA"</f>
        <v>AUTORIZA_GUIA_ULBRA</v>
      </c>
      <c r="F9515" s="2" t="str">
        <f>"AUTORIZA_GUIA_ULBRA"</f>
        <v>AUTORIZA_GUIA_ULBRA</v>
      </c>
      <c r="G9515" s="2" t="str">
        <f t="shared" si="824"/>
        <v xml:space="preserve"> ()</v>
      </c>
    </row>
    <row r="9516" spans="1:7" x14ac:dyDescent="0.3">
      <c r="A9516" s="1" t="s">
        <v>4</v>
      </c>
      <c r="B9516" s="2" t="str">
        <f t="shared" si="820"/>
        <v>SISTEMA DE GERENCIAMENTO DE INTERNAÇÃO</v>
      </c>
      <c r="C9516" s="2" t="str">
        <f t="shared" si="821"/>
        <v>INTER</v>
      </c>
      <c r="D9516" s="2" t="str">
        <f t="shared" si="822"/>
        <v>PARI</v>
      </c>
      <c r="E9516" s="2" t="str">
        <f>"CENSO HOSPITALAR"</f>
        <v>CENSO HOSPITALAR</v>
      </c>
      <c r="F9516" s="2" t="str">
        <f>"R_CENSO755"</f>
        <v>R_CENSO755</v>
      </c>
      <c r="G9516" s="2" t="str">
        <f t="shared" si="824"/>
        <v xml:space="preserve"> ()</v>
      </c>
    </row>
    <row r="9517" spans="1:7" x14ac:dyDescent="0.3">
      <c r="A9517" s="1" t="s">
        <v>4</v>
      </c>
      <c r="B9517" s="2" t="str">
        <f t="shared" si="820"/>
        <v>SISTEMA DE GERENCIAMENTO DE INTERNAÇÃO</v>
      </c>
      <c r="C9517" s="2" t="str">
        <f t="shared" si="821"/>
        <v>INTER</v>
      </c>
      <c r="D9517" s="2" t="str">
        <f t="shared" si="822"/>
        <v>PARI</v>
      </c>
      <c r="E9517" s="2" t="str">
        <f>"R_ALTASESPECIALIDADE860"</f>
        <v>R_ALTASESPECIALIDADE860</v>
      </c>
      <c r="F9517" s="2" t="str">
        <f>"R_ALTASESPECIALIDADE860"</f>
        <v>R_ALTASESPECIALIDADE860</v>
      </c>
      <c r="G9517" s="2" t="str">
        <f t="shared" si="824"/>
        <v xml:space="preserve"> ()</v>
      </c>
    </row>
    <row r="9518" spans="1:7" x14ac:dyDescent="0.3">
      <c r="A9518" s="1" t="s">
        <v>4</v>
      </c>
      <c r="B9518" s="2" t="str">
        <f t="shared" si="820"/>
        <v>SISTEMA DE GERENCIAMENTO DE INTERNAÇÃO</v>
      </c>
      <c r="C9518" s="2" t="str">
        <f t="shared" si="821"/>
        <v>INTER</v>
      </c>
      <c r="D9518" s="2" t="str">
        <f t="shared" si="822"/>
        <v>PARI</v>
      </c>
      <c r="E9518" s="2" t="str">
        <f>"RELA.T RESUMO DE ENTRADA / ALTA"</f>
        <v>RELA.T RESUMO DE ENTRADA / ALTA</v>
      </c>
      <c r="F9518" s="2" t="str">
        <f>"R_RESUMO_MVTO"</f>
        <v>R_RESUMO_MVTO</v>
      </c>
      <c r="G9518" s="2" t="str">
        <f t="shared" si="824"/>
        <v xml:space="preserve"> ()</v>
      </c>
    </row>
    <row r="9519" spans="1:7" x14ac:dyDescent="0.3">
      <c r="A9519" s="1" t="s">
        <v>4</v>
      </c>
      <c r="B9519" s="2" t="str">
        <f t="shared" si="820"/>
        <v>SISTEMA DE GERENCIAMENTO DE INTERNAÇÃO</v>
      </c>
      <c r="C9519" s="2" t="str">
        <f t="shared" si="821"/>
        <v>INTER</v>
      </c>
      <c r="D9519" s="2" t="str">
        <f t="shared" si="822"/>
        <v>PARI</v>
      </c>
      <c r="E9519" s="2" t="str">
        <f>"RELATORIO DE TIPO DE INTERNAÇÃO"</f>
        <v>RELATORIO DE TIPO DE INTERNAÇÃO</v>
      </c>
      <c r="F9519" s="2" t="str">
        <f>"R_TIPO_INTERNCAO"</f>
        <v>R_TIPO_INTERNCAO</v>
      </c>
      <c r="G9519" s="2" t="str">
        <f t="shared" si="824"/>
        <v xml:space="preserve"> ()</v>
      </c>
    </row>
    <row r="9520" spans="1:7" x14ac:dyDescent="0.3">
      <c r="A9520" s="1" t="s">
        <v>4</v>
      </c>
      <c r="B9520" s="2" t="str">
        <f t="shared" si="820"/>
        <v>SISTEMA DE GERENCIAMENTO DE INTERNAÇÃO</v>
      </c>
      <c r="C9520" s="2" t="str">
        <f t="shared" si="821"/>
        <v>INTER</v>
      </c>
      <c r="D9520" s="2" t="str">
        <f t="shared" si="822"/>
        <v>PARI</v>
      </c>
      <c r="E9520" s="2" t="str">
        <f>"CONSULTA DE EVOLUÇÕES FINANCEIRAS"</f>
        <v>CONSULTA DE EVOLUÇÕES FINANCEIRAS</v>
      </c>
      <c r="F9520" s="2" t="str">
        <f>"C_PRO_EVO_ADMIN"</f>
        <v>C_PRO_EVO_ADMIN</v>
      </c>
      <c r="G9520" s="2" t="str">
        <f t="shared" si="824"/>
        <v xml:space="preserve"> ()</v>
      </c>
    </row>
    <row r="9521" spans="1:7" x14ac:dyDescent="0.3">
      <c r="A9521" s="1" t="s">
        <v>4</v>
      </c>
      <c r="B9521" s="2" t="str">
        <f t="shared" si="820"/>
        <v>SISTEMA DE GERENCIAMENTO DE INTERNAÇÃO</v>
      </c>
      <c r="C9521" s="2" t="str">
        <f t="shared" si="821"/>
        <v>INTER</v>
      </c>
      <c r="D9521" s="2" t="str">
        <f t="shared" si="822"/>
        <v>PARI</v>
      </c>
      <c r="E9521" s="2" t="str">
        <f>"ESTATÍSTICOS/ HOSPITALAR/ RESUMO POR TIP"</f>
        <v>ESTATÍSTICOS/ HOSPITALAR/ RESUMO POR TIP</v>
      </c>
      <c r="F9521" s="2" t="str">
        <f>"R_EST_HOSP_RESUMOS"</f>
        <v>R_EST_HOSP_RESUMOS</v>
      </c>
      <c r="G9521" s="2" t="str">
        <f>"MVSaude / Vendas / Internação / Relatórios / Estatísticos / Hospitalar / Resumo por Tipo de Internação e Serviço (R_EST_HOSP_RESUMOS)"</f>
        <v>MVSaude / Vendas / Internação / Relatórios / Estatísticos / Hospitalar / Resumo por Tipo de Internação e Serviço (R_EST_HOSP_RESUMOS)</v>
      </c>
    </row>
    <row r="9522" spans="1:7" x14ac:dyDescent="0.3">
      <c r="A9522" s="1" t="s">
        <v>4</v>
      </c>
      <c r="B9522" s="2" t="str">
        <f t="shared" si="820"/>
        <v>SISTEMA DE GERENCIAMENTO DE INTERNAÇÃO</v>
      </c>
      <c r="C9522" s="2" t="str">
        <f t="shared" si="821"/>
        <v>INTER</v>
      </c>
      <c r="D9522" s="2" t="str">
        <f t="shared" si="822"/>
        <v>PARI</v>
      </c>
      <c r="E9522" s="2" t="str">
        <f>"ESTATÍSTICOS/ HOSPITALAR/ RESUMO POR TIP"</f>
        <v>ESTATÍSTICOS/ HOSPITALAR/ RESUMO POR TIP</v>
      </c>
      <c r="F9522" s="2" t="str">
        <f>"R_EST_HOSP_RESUMOS"</f>
        <v>R_EST_HOSP_RESUMOS</v>
      </c>
      <c r="G9522" s="2" t="str">
        <f>"Atendimento / Internação / Relatórios / Estatísticos / Hospitalar / Resumo por Tipo de Internação e Serviço (R_EST_HOSP_RESUMOS)"</f>
        <v>Atendimento / Internação / Relatórios / Estatísticos / Hospitalar / Resumo por Tipo de Internação e Serviço (R_EST_HOSP_RESUMOS)</v>
      </c>
    </row>
    <row r="9523" spans="1:7" x14ac:dyDescent="0.3">
      <c r="A9523" s="1" t="s">
        <v>4</v>
      </c>
      <c r="B9523" s="2" t="str">
        <f t="shared" si="820"/>
        <v>SISTEMA DE GERENCIAMENTO DE INTERNAÇÃO</v>
      </c>
      <c r="C9523" s="2" t="str">
        <f t="shared" si="821"/>
        <v>INTER</v>
      </c>
      <c r="D9523" s="2" t="str">
        <f t="shared" si="822"/>
        <v>PARI</v>
      </c>
      <c r="E9523" s="2" t="str">
        <f>"ESTATÍSTICOS/ HOSPITALAR/ RESUMO POR TIP"</f>
        <v>ESTATÍSTICOS/ HOSPITALAR/ RESUMO POR TIP</v>
      </c>
      <c r="F9523" s="2" t="str">
        <f>"R_EST_HOSP_RESUMOS"</f>
        <v>R_EST_HOSP_RESUMOS</v>
      </c>
      <c r="G9523" s="2" t="str">
        <f>"MVSaude / Atendimento / Autorizações de Guias / Internação / Relatórios / Estatísticos / Hospitalar / Resumo por Tipo de Internação e Serviço (R_EST_HOSP_RESUMOS)"</f>
        <v>MVSaude / Atendimento / Autorizações de Guias / Internação / Relatórios / Estatísticos / Hospitalar / Resumo por Tipo de Internação e Serviço (R_EST_HOSP_RESUMOS)</v>
      </c>
    </row>
    <row r="9524" spans="1:7" x14ac:dyDescent="0.3">
      <c r="A9524" s="1" t="s">
        <v>4</v>
      </c>
      <c r="B9524" s="2" t="str">
        <f t="shared" si="820"/>
        <v>SISTEMA DE GERENCIAMENTO DE INTERNAÇÃO</v>
      </c>
      <c r="C9524" s="2" t="str">
        <f t="shared" si="821"/>
        <v>INTER</v>
      </c>
      <c r="D9524" s="2" t="str">
        <f t="shared" si="822"/>
        <v>PARI</v>
      </c>
      <c r="E9524" s="2" t="str">
        <f>"CENTRO DE CUSTOS ( DE-PARA)"</f>
        <v>CENTRO DE CUSTOS ( DE-PARA)</v>
      </c>
      <c r="F9524" s="2" t="str">
        <f>"M_CONDICAO_PGTO_DE_PARA"</f>
        <v>M_CONDICAO_PGTO_DE_PARA</v>
      </c>
      <c r="G9524" s="2" t="str">
        <f t="shared" ref="G9524:G9529" si="825">" ()"</f>
        <v xml:space="preserve"> ()</v>
      </c>
    </row>
    <row r="9525" spans="1:7" x14ac:dyDescent="0.3">
      <c r="A9525" s="1" t="s">
        <v>4</v>
      </c>
      <c r="B9525" s="2" t="str">
        <f t="shared" si="820"/>
        <v>SISTEMA DE GERENCIAMENTO DE INTERNAÇÃO</v>
      </c>
      <c r="C9525" s="2" t="str">
        <f t="shared" si="821"/>
        <v>INTER</v>
      </c>
      <c r="D9525" s="2" t="str">
        <f t="shared" si="822"/>
        <v>PARI</v>
      </c>
      <c r="E9525" s="2" t="str">
        <f>"CENTRO DE CUSTOS ( DE-PARA)"</f>
        <v>CENTRO DE CUSTOS ( DE-PARA)</v>
      </c>
      <c r="F9525" s="2" t="str">
        <f>"M_CLAS_PRODUTO_DE_PARA"</f>
        <v>M_CLAS_PRODUTO_DE_PARA</v>
      </c>
      <c r="G9525" s="2" t="str">
        <f t="shared" si="825"/>
        <v xml:space="preserve"> ()</v>
      </c>
    </row>
    <row r="9526" spans="1:7" x14ac:dyDescent="0.3">
      <c r="A9526" s="1" t="s">
        <v>4</v>
      </c>
      <c r="B9526" s="2" t="str">
        <f t="shared" si="820"/>
        <v>SISTEMA DE GERENCIAMENTO DE INTERNAÇÃO</v>
      </c>
      <c r="C9526" s="2" t="str">
        <f t="shared" si="821"/>
        <v>INTER</v>
      </c>
      <c r="D9526" s="2" t="str">
        <f t="shared" si="822"/>
        <v>PARI</v>
      </c>
      <c r="E9526" s="2" t="str">
        <f>"CENTRO DE CUSTOS ( DE-PARA)"</f>
        <v>CENTRO DE CUSTOS ( DE-PARA)</v>
      </c>
      <c r="F9526" s="2" t="str">
        <f>"M_PRODUTO_DE_PARA"</f>
        <v>M_PRODUTO_DE_PARA</v>
      </c>
      <c r="G9526" s="2" t="str">
        <f t="shared" si="825"/>
        <v xml:space="preserve"> ()</v>
      </c>
    </row>
    <row r="9527" spans="1:7" x14ac:dyDescent="0.3">
      <c r="A9527" s="1" t="s">
        <v>4</v>
      </c>
      <c r="B9527" s="2" t="str">
        <f t="shared" si="820"/>
        <v>SISTEMA DE GERENCIAMENTO DE INTERNAÇÃO</v>
      </c>
      <c r="C9527" s="2" t="str">
        <f t="shared" si="821"/>
        <v>INTER</v>
      </c>
      <c r="D9527" s="2" t="str">
        <f t="shared" si="822"/>
        <v>PARI</v>
      </c>
      <c r="E9527" s="2" t="str">
        <f>"WIN_PRINCIPAL"</f>
        <v>WIN_PRINCIPAL</v>
      </c>
      <c r="F9527" s="2" t="str">
        <f>"O_IMPORTA_GERAL"</f>
        <v>O_IMPORTA_GERAL</v>
      </c>
      <c r="G9527" s="2" t="str">
        <f t="shared" si="825"/>
        <v xml:space="preserve"> ()</v>
      </c>
    </row>
    <row r="9528" spans="1:7" x14ac:dyDescent="0.3">
      <c r="A9528" s="1" t="s">
        <v>4</v>
      </c>
      <c r="B9528" s="2" t="str">
        <f t="shared" si="820"/>
        <v>SISTEMA DE GERENCIAMENTO DE INTERNAÇÃO</v>
      </c>
      <c r="C9528" s="2" t="str">
        <f t="shared" si="821"/>
        <v>INTER</v>
      </c>
      <c r="D9528" s="2" t="str">
        <f t="shared" si="822"/>
        <v>PARI</v>
      </c>
      <c r="E9528" s="2" t="str">
        <f>"WIN_PRINCIPAL"</f>
        <v>WIN_PRINCIPAL</v>
      </c>
      <c r="F9528" s="2" t="str">
        <f>"O_EXPORTA_GERAL"</f>
        <v>O_EXPORTA_GERAL</v>
      </c>
      <c r="G9528" s="2" t="str">
        <f t="shared" si="825"/>
        <v xml:space="preserve"> ()</v>
      </c>
    </row>
    <row r="9529" spans="1:7" x14ac:dyDescent="0.3">
      <c r="A9529" s="1" t="s">
        <v>4</v>
      </c>
      <c r="B9529" s="2" t="str">
        <f t="shared" si="820"/>
        <v>SISTEMA DE GERENCIAMENTO DE INTERNAÇÃO</v>
      </c>
      <c r="C9529" s="2" t="str">
        <f t="shared" si="821"/>
        <v>INTER</v>
      </c>
      <c r="D9529" s="2" t="str">
        <f t="shared" si="822"/>
        <v>PARI</v>
      </c>
      <c r="E9529" s="2" t="str">
        <f>"CENTRO DE CUSTOS ( DE-PARA)"</f>
        <v>CENTRO DE CUSTOS ( DE-PARA)</v>
      </c>
      <c r="F9529" s="2" t="str">
        <f>"M_UNIDADE_PRODUTO_DE_PARA"</f>
        <v>M_UNIDADE_PRODUTO_DE_PARA</v>
      </c>
      <c r="G9529" s="2" t="str">
        <f t="shared" si="825"/>
        <v xml:space="preserve"> ()</v>
      </c>
    </row>
    <row r="9530" spans="1:7" x14ac:dyDescent="0.3">
      <c r="A9530" s="1" t="s">
        <v>4</v>
      </c>
      <c r="B9530" s="2" t="str">
        <f t="shared" si="820"/>
        <v>SISTEMA DE GERENCIAMENTO DE INTERNAÇÃO</v>
      </c>
      <c r="C9530" s="2" t="str">
        <f t="shared" si="821"/>
        <v>INTER</v>
      </c>
      <c r="D9530" s="2" t="str">
        <f t="shared" si="822"/>
        <v>PARI</v>
      </c>
      <c r="E9530" s="2" t="str">
        <f>"RELATÓRIO DE PACIENTES EM ISOLAMENTO"</f>
        <v>RELATÓRIO DE PACIENTES EM ISOLAMENTO</v>
      </c>
      <c r="F9530" s="2" t="str">
        <f>"R_PAC_ISOLAMENTO"</f>
        <v>R_PAC_ISOLAMENTO</v>
      </c>
      <c r="G9530" s="2" t="str">
        <f>"MVSaude / Vendas / Internação / Relatórios / Operacionais / Pacientes / Em Isolamento (R_PAC_ISOLAMENTO)"</f>
        <v>MVSaude / Vendas / Internação / Relatórios / Operacionais / Pacientes / Em Isolamento (R_PAC_ISOLAMENTO)</v>
      </c>
    </row>
    <row r="9531" spans="1:7" x14ac:dyDescent="0.3">
      <c r="A9531" s="1" t="s">
        <v>4</v>
      </c>
      <c r="B9531" s="2" t="str">
        <f t="shared" si="820"/>
        <v>SISTEMA DE GERENCIAMENTO DE INTERNAÇÃO</v>
      </c>
      <c r="C9531" s="2" t="str">
        <f t="shared" si="821"/>
        <v>INTER</v>
      </c>
      <c r="D9531" s="2" t="str">
        <f t="shared" si="822"/>
        <v>PARI</v>
      </c>
      <c r="E9531" s="2" t="str">
        <f>"RELATÓRIO DE PACIENTES EM ISOLAMENTO"</f>
        <v>RELATÓRIO DE PACIENTES EM ISOLAMENTO</v>
      </c>
      <c r="F9531" s="2" t="str">
        <f>"R_PAC_ISOLAMENTO"</f>
        <v>R_PAC_ISOLAMENTO</v>
      </c>
      <c r="G9531" s="2" t="str">
        <f>"Atendimento / Internação / Relatórios / Operacionais / Pacientes / Em Isolamento (R_PAC_ISOLAMENTO)"</f>
        <v>Atendimento / Internação / Relatórios / Operacionais / Pacientes / Em Isolamento (R_PAC_ISOLAMENTO)</v>
      </c>
    </row>
    <row r="9532" spans="1:7" x14ac:dyDescent="0.3">
      <c r="A9532" s="1" t="s">
        <v>4</v>
      </c>
      <c r="B9532" s="2" t="str">
        <f t="shared" si="820"/>
        <v>SISTEMA DE GERENCIAMENTO DE INTERNAÇÃO</v>
      </c>
      <c r="C9532" s="2" t="str">
        <f t="shared" si="821"/>
        <v>INTER</v>
      </c>
      <c r="D9532" s="2" t="str">
        <f t="shared" si="822"/>
        <v>PARI</v>
      </c>
      <c r="E9532" s="2" t="str">
        <f>"RELATÓRIO DE PACIENTES EM ISOLAMENTO"</f>
        <v>RELATÓRIO DE PACIENTES EM ISOLAMENTO</v>
      </c>
      <c r="F9532" s="2" t="str">
        <f>"R_PAC_ISOLAMENTO"</f>
        <v>R_PAC_ISOLAMENTO</v>
      </c>
      <c r="G9532" s="2" t="str">
        <f>"MVSaude / Atendimento / Autorizações de Guias / Internação / Relatórios / Operacionais / Pacientes / Em Isolamento (R_PAC_ISOLAMENTO)"</f>
        <v>MVSaude / Atendimento / Autorizações de Guias / Internação / Relatórios / Operacionais / Pacientes / Em Isolamento (R_PAC_ISOLAMENTO)</v>
      </c>
    </row>
    <row r="9533" spans="1:7" x14ac:dyDescent="0.3">
      <c r="A9533" s="1" t="s">
        <v>4</v>
      </c>
      <c r="B9533" s="2" t="str">
        <f t="shared" si="820"/>
        <v>SISTEMA DE GERENCIAMENTO DE INTERNAÇÃO</v>
      </c>
      <c r="C9533" s="2" t="str">
        <f t="shared" si="821"/>
        <v>INTER</v>
      </c>
      <c r="D9533" s="2" t="str">
        <f t="shared" si="822"/>
        <v>PARI</v>
      </c>
      <c r="E9533" s="2" t="str">
        <f>"M_GERA_ARQ_FISEPE"</f>
        <v>M_GERA_ARQ_FISEPE</v>
      </c>
      <c r="F9533" s="2" t="str">
        <f>"M_GERA_ARQ_FISEPE"</f>
        <v>M_GERA_ARQ_FISEPE</v>
      </c>
      <c r="G9533" s="2" t="str">
        <f>" ()"</f>
        <v xml:space="preserve"> ()</v>
      </c>
    </row>
    <row r="9534" spans="1:7" x14ac:dyDescent="0.3">
      <c r="A9534" s="1" t="s">
        <v>4</v>
      </c>
      <c r="B9534" s="2" t="str">
        <f t="shared" si="820"/>
        <v>SISTEMA DE GERENCIAMENTO DE INTERNAÇÃO</v>
      </c>
      <c r="C9534" s="2" t="str">
        <f t="shared" si="821"/>
        <v>INTER</v>
      </c>
      <c r="D9534" s="2" t="str">
        <f t="shared" si="822"/>
        <v>PARI</v>
      </c>
      <c r="E9534" s="2" t="str">
        <f>"EXPORTAÇÃO DO SAS - HOSPITAL MV SISTEMAS"</f>
        <v>EXPORTAÇÃO DO SAS - HOSPITAL MV SISTEMAS</v>
      </c>
      <c r="F9534" s="2" t="str">
        <f>"M_EXPOR_SAS"</f>
        <v>M_EXPOR_SAS</v>
      </c>
      <c r="G9534" s="2" t="str">
        <f>" ()"</f>
        <v xml:space="preserve"> ()</v>
      </c>
    </row>
    <row r="9535" spans="1:7" x14ac:dyDescent="0.3">
      <c r="A9535" s="1" t="s">
        <v>4</v>
      </c>
      <c r="B9535" s="2" t="str">
        <f t="shared" si="820"/>
        <v>SISTEMA DE GERENCIAMENTO DE INTERNAÇÃO</v>
      </c>
      <c r="C9535" s="2" t="str">
        <f t="shared" si="821"/>
        <v>INTER</v>
      </c>
      <c r="D9535" s="2" t="str">
        <f t="shared" si="822"/>
        <v>PARI</v>
      </c>
      <c r="E9535" s="2" t="str">
        <f>"WIN_PRINCIPAL - HOSPITAL MV SISTEMAS"</f>
        <v>WIN_PRINCIPAL - HOSPITAL MV SISTEMAS</v>
      </c>
      <c r="F9535" s="2" t="str">
        <f>"C_REG_ENV_FISEPE"</f>
        <v>C_REG_ENV_FISEPE</v>
      </c>
      <c r="G9535" s="2" t="str">
        <f>" ()"</f>
        <v xml:space="preserve"> ()</v>
      </c>
    </row>
    <row r="9536" spans="1:7" x14ac:dyDescent="0.3">
      <c r="A9536" s="1" t="s">
        <v>4</v>
      </c>
      <c r="B9536" s="2" t="str">
        <f t="shared" si="820"/>
        <v>SISTEMA DE GERENCIAMENTO DE INTERNAÇÃO</v>
      </c>
      <c r="C9536" s="2" t="str">
        <f t="shared" si="821"/>
        <v>INTER</v>
      </c>
      <c r="D9536" s="2" t="str">
        <f t="shared" si="822"/>
        <v>PARI</v>
      </c>
      <c r="E9536" s="2" t="str">
        <f>"RELATÓRIO DE ESTATÍSTICA HOSPITALAR"</f>
        <v>RELATÓRIO DE ESTATÍSTICA HOSPITALAR</v>
      </c>
      <c r="F9536" s="2" t="str">
        <f>"R_EST_HOSPITALAR_970"</f>
        <v>R_EST_HOSPITALAR_970</v>
      </c>
      <c r="G9536" s="2" t="str">
        <f>"Atendimento / Internação Domiciliar (Home Care) / Relatórios / Estatísticos / Hospitalar (R_EST_HOSPITALAR_970)"</f>
        <v>Atendimento / Internação Domiciliar (Home Care) / Relatórios / Estatísticos / Hospitalar (R_EST_HOSPITALAR_970)</v>
      </c>
    </row>
    <row r="9537" spans="1:7" x14ac:dyDescent="0.3">
      <c r="A9537" s="1" t="s">
        <v>4</v>
      </c>
      <c r="B9537" s="2" t="str">
        <f t="shared" si="820"/>
        <v>SISTEMA DE GERENCIAMENTO DE INTERNAÇÃO</v>
      </c>
      <c r="C9537" s="2" t="str">
        <f t="shared" si="821"/>
        <v>INTER</v>
      </c>
      <c r="D9537" s="2" t="str">
        <f t="shared" si="822"/>
        <v>PARI</v>
      </c>
      <c r="E9537" s="2" t="str">
        <f>"REGISTRO DE ACOMPANHANTES PARA PACIENTES"</f>
        <v>REGISTRO DE ACOMPANHANTES PARA PACIENTES</v>
      </c>
      <c r="F9537" s="2" t="str">
        <f>"M_ACOMPANHANTE_PAC"</f>
        <v>M_ACOMPANHANTE_PAC</v>
      </c>
      <c r="G9537" s="2" t="str">
        <f>"Serviços de Apoio / Nutrição e Dietética / Consultas / Leitos com Acompanhantes (M_ACOMPANHANTE_PAC)"</f>
        <v>Serviços de Apoio / Nutrição e Dietética / Consultas / Leitos com Acompanhantes (M_ACOMPANHANTE_PAC)</v>
      </c>
    </row>
    <row r="9538" spans="1:7" x14ac:dyDescent="0.3">
      <c r="A9538" s="1" t="s">
        <v>4</v>
      </c>
      <c r="B9538" s="2" t="str">
        <f t="shared" si="820"/>
        <v>SISTEMA DE GERENCIAMENTO DE INTERNAÇÃO</v>
      </c>
      <c r="C9538" s="2" t="str">
        <f t="shared" si="821"/>
        <v>INTER</v>
      </c>
      <c r="D9538" s="2" t="str">
        <f t="shared" si="822"/>
        <v>PARI</v>
      </c>
      <c r="E9538" s="2" t="str">
        <f>"WIN_PRINCIPAL"</f>
        <v>WIN_PRINCIPAL</v>
      </c>
      <c r="F9538" s="2" t="str">
        <f>"C_PAC_DEPEND"</f>
        <v>C_PAC_DEPEND</v>
      </c>
      <c r="G9538" s="2" t="str">
        <f>" ()"</f>
        <v xml:space="preserve"> ()</v>
      </c>
    </row>
    <row r="9539" spans="1:7" x14ac:dyDescent="0.3">
      <c r="A9539" s="1" t="s">
        <v>4</v>
      </c>
      <c r="B9539" s="2" t="str">
        <f t="shared" si="820"/>
        <v>SISTEMA DE GERENCIAMENTO DE INTERNAÇÃO</v>
      </c>
      <c r="C9539" s="2" t="str">
        <f t="shared" si="821"/>
        <v>INTER</v>
      </c>
      <c r="D9539" s="2" t="str">
        <f t="shared" si="822"/>
        <v>PARI</v>
      </c>
      <c r="E9539" s="2" t="str">
        <f>"WIN_PRINCIPAL"</f>
        <v>WIN_PRINCIPAL</v>
      </c>
      <c r="F9539" s="2" t="str">
        <f>"R_PRE_INTERNACAO_PERIODO"</f>
        <v>R_PRE_INTERNACAO_PERIODO</v>
      </c>
      <c r="G9539" s="2" t="str">
        <f>"MVSaude / Vendas / Internação / Relatórios / Operacionais / Pré-Internações / Por Período (R_PRE_INTERNACAO_PERIODO)"</f>
        <v>MVSaude / Vendas / Internação / Relatórios / Operacionais / Pré-Internações / Por Período (R_PRE_INTERNACAO_PERIODO)</v>
      </c>
    </row>
    <row r="9540" spans="1:7" x14ac:dyDescent="0.3">
      <c r="A9540" s="1" t="s">
        <v>4</v>
      </c>
      <c r="B9540" s="2" t="str">
        <f t="shared" si="820"/>
        <v>SISTEMA DE GERENCIAMENTO DE INTERNAÇÃO</v>
      </c>
      <c r="C9540" s="2" t="str">
        <f t="shared" si="821"/>
        <v>INTER</v>
      </c>
      <c r="D9540" s="2" t="str">
        <f t="shared" si="822"/>
        <v>PARI</v>
      </c>
      <c r="E9540" s="2" t="str">
        <f>"WIN_PRINCIPAL"</f>
        <v>WIN_PRINCIPAL</v>
      </c>
      <c r="F9540" s="2" t="str">
        <f>"R_PRE_INTERNACAO_PERIODO"</f>
        <v>R_PRE_INTERNACAO_PERIODO</v>
      </c>
      <c r="G9540" s="2" t="str">
        <f>"Atendimento / Internação / Relatórios / Operacionais / Pré-Internações / Por Período (R_PRE_INTERNACAO_PERIODO)"</f>
        <v>Atendimento / Internação / Relatórios / Operacionais / Pré-Internações / Por Período (R_PRE_INTERNACAO_PERIODO)</v>
      </c>
    </row>
    <row r="9541" spans="1:7" x14ac:dyDescent="0.3">
      <c r="A9541" s="1" t="s">
        <v>4</v>
      </c>
      <c r="B9541" s="2" t="str">
        <f t="shared" si="820"/>
        <v>SISTEMA DE GERENCIAMENTO DE INTERNAÇÃO</v>
      </c>
      <c r="C9541" s="2" t="str">
        <f t="shared" si="821"/>
        <v>INTER</v>
      </c>
      <c r="D9541" s="2" t="str">
        <f t="shared" si="822"/>
        <v>PARI</v>
      </c>
      <c r="E9541" s="2" t="str">
        <f>"WIN_PRINCIPAL"</f>
        <v>WIN_PRINCIPAL</v>
      </c>
      <c r="F9541" s="2" t="str">
        <f>"R_PRE_INTERNACAO_PERIODO"</f>
        <v>R_PRE_INTERNACAO_PERIODO</v>
      </c>
      <c r="G9541" s="2" t="str">
        <f>"Serviços de Apoio / Serviço Arquivo Médico / Relatórios / Agendamentos / Lista de Pré-Internações no Período (R_PRE_INTERNACAO_PERIODO)"</f>
        <v>Serviços de Apoio / Serviço Arquivo Médico / Relatórios / Agendamentos / Lista de Pré-Internações no Período (R_PRE_INTERNACAO_PERIODO)</v>
      </c>
    </row>
    <row r="9542" spans="1:7" x14ac:dyDescent="0.3">
      <c r="A9542" s="1" t="s">
        <v>4</v>
      </c>
      <c r="B9542" s="2" t="str">
        <f t="shared" si="820"/>
        <v>SISTEMA DE GERENCIAMENTO DE INTERNAÇÃO</v>
      </c>
      <c r="C9542" s="2" t="str">
        <f t="shared" si="821"/>
        <v>INTER</v>
      </c>
      <c r="D9542" s="2" t="str">
        <f t="shared" si="822"/>
        <v>PARI</v>
      </c>
      <c r="E9542" s="2" t="str">
        <f>"WIN_PRINCIPAL"</f>
        <v>WIN_PRINCIPAL</v>
      </c>
      <c r="F9542" s="2" t="str">
        <f>"R_PRE_INTERNACAO_PERIODO"</f>
        <v>R_PRE_INTERNACAO_PERIODO</v>
      </c>
      <c r="G9542" s="2" t="str">
        <f>"MVSaude / Atendimento / Autorizações de Guias / Internação / Relatórios / Operacionais / Pré-Internações / Por Período (R_PRE_INTERNACAO_PERIODO)"</f>
        <v>MVSaude / Atendimento / Autorizações de Guias / Internação / Relatórios / Operacionais / Pré-Internações / Por Período (R_PRE_INTERNACAO_PERIODO)</v>
      </c>
    </row>
    <row r="9543" spans="1:7" x14ac:dyDescent="0.3">
      <c r="A9543" s="1" t="s">
        <v>4</v>
      </c>
      <c r="B9543" s="2" t="str">
        <f t="shared" si="820"/>
        <v>SISTEMA DE GERENCIAMENTO DE INTERNAÇÃO</v>
      </c>
      <c r="C9543" s="2" t="str">
        <f t="shared" si="821"/>
        <v>INTER</v>
      </c>
      <c r="D9543" s="2" t="str">
        <f t="shared" si="822"/>
        <v>PARI</v>
      </c>
      <c r="E9543" s="2" t="str">
        <f>"REGISTRO DE ACOMPANHANTES PACIENTE"</f>
        <v>REGISTRO DE ACOMPANHANTES PACIENTE</v>
      </c>
      <c r="F9543" s="2" t="str">
        <f>"M_ACOMPANHANTE_PAC_REGISTRO"</f>
        <v>M_ACOMPANHANTE_PAC_REGISTRO</v>
      </c>
      <c r="G9543" s="2" t="str">
        <f>"MVSaude / Atendimento / Autorizações de Guias / Internação / Atendimento / Registro de Acompanhantes (M_ACOMPANHANTE_PAC_REGISTRO)"</f>
        <v>MVSaude / Atendimento / Autorizações de Guias / Internação / Atendimento / Registro de Acompanhantes (M_ACOMPANHANTE_PAC_REGISTRO)</v>
      </c>
    </row>
    <row r="9544" spans="1:7" x14ac:dyDescent="0.3">
      <c r="A9544" s="1" t="s">
        <v>4</v>
      </c>
      <c r="B9544" s="2" t="str">
        <f t="shared" si="820"/>
        <v>SISTEMA DE GERENCIAMENTO DE INTERNAÇÃO</v>
      </c>
      <c r="C9544" s="2" t="str">
        <f t="shared" si="821"/>
        <v>INTER</v>
      </c>
      <c r="D9544" s="2" t="str">
        <f t="shared" si="822"/>
        <v>PARI</v>
      </c>
      <c r="E9544" s="2" t="str">
        <f>"REGISTRO DE ACOMPANHANTES PACIENTE"</f>
        <v>REGISTRO DE ACOMPANHANTES PACIENTE</v>
      </c>
      <c r="F9544" s="2" t="str">
        <f>"M_ACOMPANHANTE_PAC_REGISTRO"</f>
        <v>M_ACOMPANHANTE_PAC_REGISTRO</v>
      </c>
      <c r="G9544" s="2" t="str">
        <f>"Atendimento / Internação / Atendimento / Registro de Acompanhantes (M_ACOMPANHANTE_PAC_REGISTRO)"</f>
        <v>Atendimento / Internação / Atendimento / Registro de Acompanhantes (M_ACOMPANHANTE_PAC_REGISTRO)</v>
      </c>
    </row>
    <row r="9545" spans="1:7" x14ac:dyDescent="0.3">
      <c r="A9545" s="1" t="s">
        <v>4</v>
      </c>
      <c r="B9545" s="2" t="str">
        <f t="shared" si="820"/>
        <v>SISTEMA DE GERENCIAMENTO DE INTERNAÇÃO</v>
      </c>
      <c r="C9545" s="2" t="str">
        <f t="shared" si="821"/>
        <v>INTER</v>
      </c>
      <c r="D9545" s="2" t="str">
        <f t="shared" si="822"/>
        <v>PARI</v>
      </c>
      <c r="E9545" s="2" t="str">
        <f>"REGISTRO DE ACOMPANHANTES PACIENTE"</f>
        <v>REGISTRO DE ACOMPANHANTES PACIENTE</v>
      </c>
      <c r="F9545" s="2" t="str">
        <f>"M_ACOMPANHANTE_PAC_REGISTRO"</f>
        <v>M_ACOMPANHANTE_PAC_REGISTRO</v>
      </c>
      <c r="G9545" s="2" t="str">
        <f>"MVSaude / Vendas / Internação / Atendimento / Registro de Acompanhantes (M_ACOMPANHANTE_PAC_REGISTRO)"</f>
        <v>MVSaude / Vendas / Internação / Atendimento / Registro de Acompanhantes (M_ACOMPANHANTE_PAC_REGISTRO)</v>
      </c>
    </row>
    <row r="9546" spans="1:7" x14ac:dyDescent="0.3">
      <c r="A9546" s="1" t="s">
        <v>4</v>
      </c>
      <c r="B9546" s="2" t="str">
        <f t="shared" si="820"/>
        <v>SISTEMA DE GERENCIAMENTO DE INTERNAÇÃO</v>
      </c>
      <c r="C9546" s="2" t="str">
        <f t="shared" si="821"/>
        <v>INTER</v>
      </c>
      <c r="D9546" s="2" t="str">
        <f t="shared" si="822"/>
        <v>PARI</v>
      </c>
      <c r="E9546" s="2" t="str">
        <f>"PROGRAMA ALTA MANUTENCAO"</f>
        <v>PROGRAMA ALTA MANUTENCAO</v>
      </c>
      <c r="F9546" s="2" t="str">
        <f>"M_PROGRAMA_ALTA_MANUTECAO"</f>
        <v>M_PROGRAMA_ALTA_MANUTECAO</v>
      </c>
      <c r="G9546" s="2" t="str">
        <f>"MVSaude / Atendimento / Autorizações de Guias / Internação / Atendimento / Alta / Programação de Alta (M_PROGRAMA_ALTA_MANUTECAO)"</f>
        <v>MVSaude / Atendimento / Autorizações de Guias / Internação / Atendimento / Alta / Programação de Alta (M_PROGRAMA_ALTA_MANUTECAO)</v>
      </c>
    </row>
    <row r="9547" spans="1:7" x14ac:dyDescent="0.3">
      <c r="A9547" s="1" t="s">
        <v>4</v>
      </c>
      <c r="B9547" s="2" t="str">
        <f t="shared" si="820"/>
        <v>SISTEMA DE GERENCIAMENTO DE INTERNAÇÃO</v>
      </c>
      <c r="C9547" s="2" t="str">
        <f t="shared" si="821"/>
        <v>INTER</v>
      </c>
      <c r="D9547" s="2" t="str">
        <f t="shared" si="822"/>
        <v>PARI</v>
      </c>
      <c r="E9547" s="2" t="str">
        <f>"PROGRAMA ALTA MANUTENCAO"</f>
        <v>PROGRAMA ALTA MANUTENCAO</v>
      </c>
      <c r="F9547" s="2" t="str">
        <f>"M_PROGRAMA_ALTA_MANUTECAO"</f>
        <v>M_PROGRAMA_ALTA_MANUTECAO</v>
      </c>
      <c r="G9547" s="2" t="str">
        <f>"Atendimento / Internação / Atendimento / Alta / Programação de Alta (M_PROGRAMA_ALTA_MANUTECAO)"</f>
        <v>Atendimento / Internação / Atendimento / Alta / Programação de Alta (M_PROGRAMA_ALTA_MANUTECAO)</v>
      </c>
    </row>
    <row r="9548" spans="1:7" x14ac:dyDescent="0.3">
      <c r="A9548" s="1" t="s">
        <v>4</v>
      </c>
      <c r="B9548" s="2" t="str">
        <f t="shared" si="820"/>
        <v>SISTEMA DE GERENCIAMENTO DE INTERNAÇÃO</v>
      </c>
      <c r="C9548" s="2" t="str">
        <f t="shared" si="821"/>
        <v>INTER</v>
      </c>
      <c r="D9548" s="2" t="str">
        <f t="shared" si="822"/>
        <v>PARI</v>
      </c>
      <c r="E9548" s="2" t="str">
        <f>"PROGRAMA ALTA MANUTENCAO"</f>
        <v>PROGRAMA ALTA MANUTENCAO</v>
      </c>
      <c r="F9548" s="2" t="str">
        <f>"M_PROGRAMA_ALTA_MANUTECAO"</f>
        <v>M_PROGRAMA_ALTA_MANUTECAO</v>
      </c>
      <c r="G9548" s="2" t="str">
        <f>"MVSaude / Vendas / Internação / Atendimento / Alta / Programação de Alta (M_PROGRAMA_ALTA_MANUTECAO)"</f>
        <v>MVSaude / Vendas / Internação / Atendimento / Alta / Programação de Alta (M_PROGRAMA_ALTA_MANUTECAO)</v>
      </c>
    </row>
    <row r="9549" spans="1:7" x14ac:dyDescent="0.3">
      <c r="A9549" s="1" t="s">
        <v>4</v>
      </c>
      <c r="B9549" s="2" t="str">
        <f t="shared" si="820"/>
        <v>SISTEMA DE GERENCIAMENTO DE INTERNAÇÃO</v>
      </c>
      <c r="C9549" s="2" t="str">
        <f t="shared" si="821"/>
        <v>INTER</v>
      </c>
      <c r="D9549" s="2" t="str">
        <f t="shared" si="822"/>
        <v>PARI</v>
      </c>
      <c r="E9549" s="2" t="str">
        <f>"SOLICITAÇÃO DE TRANSFERENCIA"</f>
        <v>SOLICITAÇÃO DE TRANSFERENCIA</v>
      </c>
      <c r="F9549" s="2" t="str">
        <f>"M_MON_SOLIC_TRANSF_PARI"</f>
        <v>M_MON_SOLIC_TRANSF_PARI</v>
      </c>
      <c r="G9549" s="2" t="str">
        <f>"MVSaude / Atendimento / Autorizações de Guias / Internação / Atendimento / Transferência de Paciente / Solicitação de Transferências (M_MON_SOLIC_TRANSF_PARI)"</f>
        <v>MVSaude / Atendimento / Autorizações de Guias / Internação / Atendimento / Transferência de Paciente / Solicitação de Transferências (M_MON_SOLIC_TRANSF_PARI)</v>
      </c>
    </row>
    <row r="9550" spans="1:7" x14ac:dyDescent="0.3">
      <c r="A9550" s="1" t="s">
        <v>4</v>
      </c>
      <c r="B9550" s="2" t="str">
        <f t="shared" ref="B9550:B9613" si="826">"SISTEMA DE GERENCIAMENTO DE INTERNAÇÃO"</f>
        <v>SISTEMA DE GERENCIAMENTO DE INTERNAÇÃO</v>
      </c>
      <c r="C9550" s="2" t="str">
        <f t="shared" ref="C9550:C9613" si="827">"INTER"</f>
        <v>INTER</v>
      </c>
      <c r="D9550" s="2" t="str">
        <f t="shared" ref="D9550:D9613" si="828">"PARI"</f>
        <v>PARI</v>
      </c>
      <c r="E9550" s="2" t="str">
        <f>"SOLICITAÇÃO DE TRANSFERENCIA"</f>
        <v>SOLICITAÇÃO DE TRANSFERENCIA</v>
      </c>
      <c r="F9550" s="2" t="str">
        <f>"M_MON_SOLIC_TRANSF_PARI"</f>
        <v>M_MON_SOLIC_TRANSF_PARI</v>
      </c>
      <c r="G9550" s="2" t="str">
        <f>"MVSaude / Vendas / Internação / Atendimento / Transferência de Paciente / Solicitação de Transferências (M_MON_SOLIC_TRANSF_PARI)"</f>
        <v>MVSaude / Vendas / Internação / Atendimento / Transferência de Paciente / Solicitação de Transferências (M_MON_SOLIC_TRANSF_PARI)</v>
      </c>
    </row>
    <row r="9551" spans="1:7" x14ac:dyDescent="0.3">
      <c r="A9551" s="1" t="s">
        <v>4</v>
      </c>
      <c r="B9551" s="2" t="str">
        <f t="shared" si="826"/>
        <v>SISTEMA DE GERENCIAMENTO DE INTERNAÇÃO</v>
      </c>
      <c r="C9551" s="2" t="str">
        <f t="shared" si="827"/>
        <v>INTER</v>
      </c>
      <c r="D9551" s="2" t="str">
        <f t="shared" si="828"/>
        <v>PARI</v>
      </c>
      <c r="E9551" s="2" t="str">
        <f t="shared" ref="E9551:F9554" si="829">"R_CIH_N"</f>
        <v>R_CIH_N</v>
      </c>
      <c r="F9551" s="2" t="str">
        <f t="shared" si="829"/>
        <v>R_CIH_N</v>
      </c>
      <c r="G9551" s="2" t="str">
        <f>"MVSaude / Vendas / Internação / Configurações / Geração de disquete CIH (R_CIH_N)"</f>
        <v>MVSaude / Vendas / Internação / Configurações / Geração de disquete CIH (R_CIH_N)</v>
      </c>
    </row>
    <row r="9552" spans="1:7" x14ac:dyDescent="0.3">
      <c r="A9552" s="1" t="s">
        <v>4</v>
      </c>
      <c r="B9552" s="2" t="str">
        <f t="shared" si="826"/>
        <v>SISTEMA DE GERENCIAMENTO DE INTERNAÇÃO</v>
      </c>
      <c r="C9552" s="2" t="str">
        <f t="shared" si="827"/>
        <v>INTER</v>
      </c>
      <c r="D9552" s="2" t="str">
        <f t="shared" si="828"/>
        <v>PARI</v>
      </c>
      <c r="E9552" s="2" t="str">
        <f t="shared" si="829"/>
        <v>R_CIH_N</v>
      </c>
      <c r="F9552" s="2" t="str">
        <f t="shared" si="829"/>
        <v>R_CIH_N</v>
      </c>
      <c r="G9552" s="2" t="str">
        <f>"Atendimento / Internação / Configurações / Geração de Disquete CIH (R_CIH_N)"</f>
        <v>Atendimento / Internação / Configurações / Geração de Disquete CIH (R_CIH_N)</v>
      </c>
    </row>
    <row r="9553" spans="1:7" x14ac:dyDescent="0.3">
      <c r="A9553" s="1" t="s">
        <v>4</v>
      </c>
      <c r="B9553" s="2" t="str">
        <f t="shared" si="826"/>
        <v>SISTEMA DE GERENCIAMENTO DE INTERNAÇÃO</v>
      </c>
      <c r="C9553" s="2" t="str">
        <f t="shared" si="827"/>
        <v>INTER</v>
      </c>
      <c r="D9553" s="2" t="str">
        <f t="shared" si="828"/>
        <v>PARI</v>
      </c>
      <c r="E9553" s="2" t="str">
        <f t="shared" si="829"/>
        <v>R_CIH_N</v>
      </c>
      <c r="F9553" s="2" t="str">
        <f t="shared" si="829"/>
        <v>R_CIH_N</v>
      </c>
      <c r="G9553" s="2" t="str">
        <f>"MVSaude / Atendimento / Autorizações de Guias / Internação / Configurações / Geração de disquete CIH (R_CIH_N)"</f>
        <v>MVSaude / Atendimento / Autorizações de Guias / Internação / Configurações / Geração de disquete CIH (R_CIH_N)</v>
      </c>
    </row>
    <row r="9554" spans="1:7" x14ac:dyDescent="0.3">
      <c r="A9554" s="1" t="s">
        <v>4</v>
      </c>
      <c r="B9554" s="2" t="str">
        <f t="shared" si="826"/>
        <v>SISTEMA DE GERENCIAMENTO DE INTERNAÇÃO</v>
      </c>
      <c r="C9554" s="2" t="str">
        <f t="shared" si="827"/>
        <v>INTER</v>
      </c>
      <c r="D9554" s="2" t="str">
        <f t="shared" si="828"/>
        <v>PARI</v>
      </c>
      <c r="E9554" s="2" t="str">
        <f t="shared" si="829"/>
        <v>R_CIH_N</v>
      </c>
      <c r="F9554" s="2" t="str">
        <f t="shared" si="829"/>
        <v>R_CIH_N</v>
      </c>
      <c r="G9554" s="2" t="str">
        <f>"Atendimento / Internação Domiciliar (Home Care) / Tabelas / Geração de Disquete CIH (R_CIH_N)"</f>
        <v>Atendimento / Internação Domiciliar (Home Care) / Tabelas / Geração de Disquete CIH (R_CIH_N)</v>
      </c>
    </row>
    <row r="9555" spans="1:7" x14ac:dyDescent="0.3">
      <c r="A9555" s="1" t="s">
        <v>4</v>
      </c>
      <c r="B9555" s="2" t="str">
        <f t="shared" si="826"/>
        <v>SISTEMA DE GERENCIAMENTO DE INTERNAÇÃO</v>
      </c>
      <c r="C9555" s="2" t="str">
        <f t="shared" si="827"/>
        <v>INTER</v>
      </c>
      <c r="D9555" s="2" t="str">
        <f t="shared" si="828"/>
        <v>PARI</v>
      </c>
      <c r="E9555" s="2" t="str">
        <f>"CANCELA ALTA HOSPITALAR"</f>
        <v>CANCELA ALTA HOSPITALAR</v>
      </c>
      <c r="F9555" s="2" t="str">
        <f>"CANCELA_ALTA_HOSPITALAR"</f>
        <v>CANCELA_ALTA_HOSPITALAR</v>
      </c>
      <c r="G9555" s="2" t="str">
        <f>"MVSaude / Atendimento / Autorizações de Guias / Internação / Atendimento / Alta / Cancelamento / Alta Hospitalar (CANCELA_ALTA_HOSPITALAR)"</f>
        <v>MVSaude / Atendimento / Autorizações de Guias / Internação / Atendimento / Alta / Cancelamento / Alta Hospitalar (CANCELA_ALTA_HOSPITALAR)</v>
      </c>
    </row>
    <row r="9556" spans="1:7" x14ac:dyDescent="0.3">
      <c r="A9556" s="1" t="s">
        <v>4</v>
      </c>
      <c r="B9556" s="2" t="str">
        <f t="shared" si="826"/>
        <v>SISTEMA DE GERENCIAMENTO DE INTERNAÇÃO</v>
      </c>
      <c r="C9556" s="2" t="str">
        <f t="shared" si="827"/>
        <v>INTER</v>
      </c>
      <c r="D9556" s="2" t="str">
        <f t="shared" si="828"/>
        <v>PARI</v>
      </c>
      <c r="E9556" s="2" t="str">
        <f>"CANCELA ALTA HOSPITALAR"</f>
        <v>CANCELA ALTA HOSPITALAR</v>
      </c>
      <c r="F9556" s="2" t="str">
        <f>"CANCELA_ALTA_HOSPITALAR"</f>
        <v>CANCELA_ALTA_HOSPITALAR</v>
      </c>
      <c r="G9556" s="2" t="str">
        <f>"Atendimento / Internação / Atendimento / Alta / Cancelamento / Alta Hospitalar (CANCELA_ALTA_HOSPITALAR)"</f>
        <v>Atendimento / Internação / Atendimento / Alta / Cancelamento / Alta Hospitalar (CANCELA_ALTA_HOSPITALAR)</v>
      </c>
    </row>
    <row r="9557" spans="1:7" x14ac:dyDescent="0.3">
      <c r="A9557" s="1" t="s">
        <v>4</v>
      </c>
      <c r="B9557" s="2" t="str">
        <f t="shared" si="826"/>
        <v>SISTEMA DE GERENCIAMENTO DE INTERNAÇÃO</v>
      </c>
      <c r="C9557" s="2" t="str">
        <f t="shared" si="827"/>
        <v>INTER</v>
      </c>
      <c r="D9557" s="2" t="str">
        <f t="shared" si="828"/>
        <v>PARI</v>
      </c>
      <c r="E9557" s="2" t="str">
        <f>"CANCELA ALTA HOSPITALAR"</f>
        <v>CANCELA ALTA HOSPITALAR</v>
      </c>
      <c r="F9557" s="2" t="str">
        <f>"CANCELA_ALTA_HOSPITALAR"</f>
        <v>CANCELA_ALTA_HOSPITALAR</v>
      </c>
      <c r="G9557" s="2" t="str">
        <f>"MVSaude / Vendas / Internação / Atendimento / Alta / Cancelamento / Alta Hospitalar (CANCELA_ALTA_HOSPITALAR)"</f>
        <v>MVSaude / Vendas / Internação / Atendimento / Alta / Cancelamento / Alta Hospitalar (CANCELA_ALTA_HOSPITALAR)</v>
      </c>
    </row>
    <row r="9558" spans="1:7" x14ac:dyDescent="0.3">
      <c r="A9558" s="1" t="s">
        <v>4</v>
      </c>
      <c r="B9558" s="2" t="str">
        <f t="shared" si="826"/>
        <v>SISTEMA DE GERENCIAMENTO DE INTERNAÇÃO</v>
      </c>
      <c r="C9558" s="2" t="str">
        <f t="shared" si="827"/>
        <v>INTER</v>
      </c>
      <c r="D9558" s="2" t="str">
        <f t="shared" si="828"/>
        <v>PARI</v>
      </c>
      <c r="E9558" s="2" t="str">
        <f>"CANCELA ALTA MEDICA"</f>
        <v>CANCELA ALTA MEDICA</v>
      </c>
      <c r="F9558" s="2" t="str">
        <f>"CANCELA_ALTA_MEDICA"</f>
        <v>CANCELA_ALTA_MEDICA</v>
      </c>
      <c r="G9558" s="2" t="str">
        <f>"MVSaude / Atendimento / Autorizações de Guias / Internação / Atendimento / Alta / Cancelamento / Alta Médica (CANCELA_ALTA_MEDICA)"</f>
        <v>MVSaude / Atendimento / Autorizações de Guias / Internação / Atendimento / Alta / Cancelamento / Alta Médica (CANCELA_ALTA_MEDICA)</v>
      </c>
    </row>
    <row r="9559" spans="1:7" x14ac:dyDescent="0.3">
      <c r="A9559" s="1" t="s">
        <v>4</v>
      </c>
      <c r="B9559" s="2" t="str">
        <f t="shared" si="826"/>
        <v>SISTEMA DE GERENCIAMENTO DE INTERNAÇÃO</v>
      </c>
      <c r="C9559" s="2" t="str">
        <f t="shared" si="827"/>
        <v>INTER</v>
      </c>
      <c r="D9559" s="2" t="str">
        <f t="shared" si="828"/>
        <v>PARI</v>
      </c>
      <c r="E9559" s="2" t="str">
        <f>"CANCELA ALTA MEDICA"</f>
        <v>CANCELA ALTA MEDICA</v>
      </c>
      <c r="F9559" s="2" t="str">
        <f>"CANCELA_ALTA_MEDICA"</f>
        <v>CANCELA_ALTA_MEDICA</v>
      </c>
      <c r="G9559" s="2" t="str">
        <f>"Atendimento / Internação / Atendimento / Alta / Cancelamento / Alta Médica (CANCELA_ALTA_MEDICA)"</f>
        <v>Atendimento / Internação / Atendimento / Alta / Cancelamento / Alta Médica (CANCELA_ALTA_MEDICA)</v>
      </c>
    </row>
    <row r="9560" spans="1:7" x14ac:dyDescent="0.3">
      <c r="A9560" s="1" t="s">
        <v>4</v>
      </c>
      <c r="B9560" s="2" t="str">
        <f t="shared" si="826"/>
        <v>SISTEMA DE GERENCIAMENTO DE INTERNAÇÃO</v>
      </c>
      <c r="C9560" s="2" t="str">
        <f t="shared" si="827"/>
        <v>INTER</v>
      </c>
      <c r="D9560" s="2" t="str">
        <f t="shared" si="828"/>
        <v>PARI</v>
      </c>
      <c r="E9560" s="2" t="str">
        <f>"CANCELA ALTA MEDICA"</f>
        <v>CANCELA ALTA MEDICA</v>
      </c>
      <c r="F9560" s="2" t="str">
        <f>"CANCELA_ALTA_MEDICA"</f>
        <v>CANCELA_ALTA_MEDICA</v>
      </c>
      <c r="G9560" s="2" t="str">
        <f>"MVSaude / Vendas / Internação / Atendimento / Alta / Cancelamento / Alta Médica (CANCELA_ALTA_MEDICA)"</f>
        <v>MVSaude / Vendas / Internação / Atendimento / Alta / Cancelamento / Alta Médica (CANCELA_ALTA_MEDICA)</v>
      </c>
    </row>
    <row r="9561" spans="1:7" x14ac:dyDescent="0.3">
      <c r="A9561" s="1" t="s">
        <v>4</v>
      </c>
      <c r="B9561" s="2" t="str">
        <f t="shared" si="826"/>
        <v>SISTEMA DE GERENCIAMENTO DE INTERNAÇÃO</v>
      </c>
      <c r="C9561" s="2" t="str">
        <f t="shared" si="827"/>
        <v>INTER</v>
      </c>
      <c r="D9561" s="2" t="str">
        <f t="shared" si="828"/>
        <v>PARI</v>
      </c>
      <c r="E9561" s="2" t="str">
        <f>"ETIQUETA DE CÓDIGO DE BARRAS"</f>
        <v>ETIQUETA DE CÓDIGO DE BARRAS</v>
      </c>
      <c r="F9561" s="2" t="str">
        <f>"R_IMPRIMI_ETIQ_PARI.RDF"</f>
        <v>R_IMPRIMI_ETIQ_PARI.RDF</v>
      </c>
      <c r="G9561" s="2" t="str">
        <f t="shared" ref="G9561:G9566" si="830">" ()"</f>
        <v xml:space="preserve"> ()</v>
      </c>
    </row>
    <row r="9562" spans="1:7" x14ac:dyDescent="0.3">
      <c r="A9562" s="1" t="s">
        <v>4</v>
      </c>
      <c r="B9562" s="2" t="str">
        <f t="shared" si="826"/>
        <v>SISTEMA DE GERENCIAMENTO DE INTERNAÇÃO</v>
      </c>
      <c r="C9562" s="2" t="str">
        <f t="shared" si="827"/>
        <v>INTER</v>
      </c>
      <c r="D9562" s="2" t="str">
        <f t="shared" si="828"/>
        <v>PARI</v>
      </c>
      <c r="E9562" s="2" t="str">
        <f>"POR UNIDADE DE INTERNAÇÃO"</f>
        <v>POR UNIDADE DE INTERNAÇÃO</v>
      </c>
      <c r="F9562" s="2" t="str">
        <f>"R_MOV_UNID_INT.RDF"</f>
        <v>R_MOV_UNID_INT.RDF</v>
      </c>
      <c r="G9562" s="2" t="str">
        <f t="shared" si="830"/>
        <v xml:space="preserve"> ()</v>
      </c>
    </row>
    <row r="9563" spans="1:7" x14ac:dyDescent="0.3">
      <c r="A9563" s="1" t="s">
        <v>4</v>
      </c>
      <c r="B9563" s="2" t="str">
        <f t="shared" si="826"/>
        <v>SISTEMA DE GERENCIAMENTO DE INTERNAÇÃO</v>
      </c>
      <c r="C9563" s="2" t="str">
        <f t="shared" si="827"/>
        <v>INTER</v>
      </c>
      <c r="D9563" s="2" t="str">
        <f t="shared" si="828"/>
        <v>PARI</v>
      </c>
      <c r="E9563" s="2" t="str">
        <f>"MOVIMENTO HOSP DE PACIENTES INTERNADOS"</f>
        <v>MOVIMENTO HOSP DE PACIENTES INTERNADOS</v>
      </c>
      <c r="F9563" s="2" t="str">
        <f>"R_MVTO_PACIENTES_INTERNADOS.RDF"</f>
        <v>R_MVTO_PACIENTES_INTERNADOS.RDF</v>
      </c>
      <c r="G9563" s="2" t="str">
        <f t="shared" si="830"/>
        <v xml:space="preserve"> ()</v>
      </c>
    </row>
    <row r="9564" spans="1:7" x14ac:dyDescent="0.3">
      <c r="A9564" s="1" t="s">
        <v>4</v>
      </c>
      <c r="B9564" s="2" t="str">
        <f t="shared" si="826"/>
        <v>SISTEMA DE GERENCIAMENTO DE INTERNAÇÃO</v>
      </c>
      <c r="C9564" s="2" t="str">
        <f t="shared" si="827"/>
        <v>INTER</v>
      </c>
      <c r="D9564" s="2" t="str">
        <f t="shared" si="828"/>
        <v>PARI</v>
      </c>
      <c r="E9564" s="2" t="str">
        <f>"PROCEDIMENTOS POR ESPECIALIDADE"</f>
        <v>PROCEDIMENTOS POR ESPECIALIDADE</v>
      </c>
      <c r="F9564" s="2" t="str">
        <f>"R_PROCED_ESPECIALID.RDF"</f>
        <v>R_PROCED_ESPECIALID.RDF</v>
      </c>
      <c r="G9564" s="2" t="str">
        <f t="shared" si="830"/>
        <v xml:space="preserve"> ()</v>
      </c>
    </row>
    <row r="9565" spans="1:7" x14ac:dyDescent="0.3">
      <c r="A9565" s="1" t="s">
        <v>4</v>
      </c>
      <c r="B9565" s="2" t="str">
        <f t="shared" si="826"/>
        <v>SISTEMA DE GERENCIAMENTO DE INTERNAÇÃO</v>
      </c>
      <c r="C9565" s="2" t="str">
        <f t="shared" si="827"/>
        <v>INTER</v>
      </c>
      <c r="D9565" s="2" t="str">
        <f t="shared" si="828"/>
        <v>PARI</v>
      </c>
      <c r="E9565" s="2" t="str">
        <f>"M_PRO_FAT_GRUPO_PROCED"</f>
        <v>M_PRO_FAT_GRUPO_PROCED</v>
      </c>
      <c r="F9565" s="2" t="str">
        <f>"M_PRO_FAT_GRUPO_PROCED"</f>
        <v>M_PRO_FAT_GRUPO_PROCED</v>
      </c>
      <c r="G9565" s="2" t="str">
        <f t="shared" si="830"/>
        <v xml:space="preserve"> ()</v>
      </c>
    </row>
    <row r="9566" spans="1:7" x14ac:dyDescent="0.3">
      <c r="A9566" s="1" t="s">
        <v>4</v>
      </c>
      <c r="B9566" s="2" t="str">
        <f t="shared" si="826"/>
        <v>SISTEMA DE GERENCIAMENTO DE INTERNAÇÃO</v>
      </c>
      <c r="C9566" s="2" t="str">
        <f t="shared" si="827"/>
        <v>INTER</v>
      </c>
      <c r="D9566" s="2" t="str">
        <f t="shared" si="828"/>
        <v>PARI</v>
      </c>
      <c r="E9566" s="2" t="str">
        <f>"M_SOLIC_TRANSF_LEITO"</f>
        <v>M_SOLIC_TRANSF_LEITO</v>
      </c>
      <c r="F9566" s="2" t="str">
        <f>"M_SOLIC_TRANSF_LEITO"</f>
        <v>M_SOLIC_TRANSF_LEITO</v>
      </c>
      <c r="G9566" s="2" t="str">
        <f t="shared" si="830"/>
        <v xml:space="preserve"> ()</v>
      </c>
    </row>
    <row r="9567" spans="1:7" x14ac:dyDescent="0.3">
      <c r="A9567" s="1" t="s">
        <v>4</v>
      </c>
      <c r="B9567" s="2" t="str">
        <f t="shared" si="826"/>
        <v>SISTEMA DE GERENCIAMENTO DE INTERNAÇÃO</v>
      </c>
      <c r="C9567" s="2" t="str">
        <f t="shared" si="827"/>
        <v>INTER</v>
      </c>
      <c r="D9567" s="2" t="str">
        <f t="shared" si="828"/>
        <v>PARI</v>
      </c>
      <c r="E9567" s="2" t="str">
        <f>"PROTOCOLOS DE CONTATO"</f>
        <v>PROTOCOLOS DE CONTATO</v>
      </c>
      <c r="F9567" s="2" t="str">
        <f>"C_PROT_CONTATO"</f>
        <v>C_PROT_CONTATO</v>
      </c>
      <c r="G9567" s="2" t="str">
        <f>"MVSaude / Atendimento / Autorizações de Guias / Internação / Atendimento / Registros / Protocolos de Contato (C_PROT_CONTATO)"</f>
        <v>MVSaude / Atendimento / Autorizações de Guias / Internação / Atendimento / Registros / Protocolos de Contato (C_PROT_CONTATO)</v>
      </c>
    </row>
    <row r="9568" spans="1:7" x14ac:dyDescent="0.3">
      <c r="A9568" s="1" t="s">
        <v>4</v>
      </c>
      <c r="B9568" s="2" t="str">
        <f t="shared" si="826"/>
        <v>SISTEMA DE GERENCIAMENTO DE INTERNAÇÃO</v>
      </c>
      <c r="C9568" s="2" t="str">
        <f t="shared" si="827"/>
        <v>INTER</v>
      </c>
      <c r="D9568" s="2" t="str">
        <f t="shared" si="828"/>
        <v>PARI</v>
      </c>
      <c r="E9568" s="2" t="str">
        <f>"PROTOCOLOS DE CONTATO"</f>
        <v>PROTOCOLOS DE CONTATO</v>
      </c>
      <c r="F9568" s="2" t="str">
        <f>"C_PROT_CONTATO"</f>
        <v>C_PROT_CONTATO</v>
      </c>
      <c r="G9568" s="2" t="str">
        <f>"Atendimento / Internação / Atendimento / Registros / Protocolos de Contato (C_PROT_CONTATO)"</f>
        <v>Atendimento / Internação / Atendimento / Registros / Protocolos de Contato (C_PROT_CONTATO)</v>
      </c>
    </row>
    <row r="9569" spans="1:7" x14ac:dyDescent="0.3">
      <c r="A9569" s="1" t="s">
        <v>4</v>
      </c>
      <c r="B9569" s="2" t="str">
        <f t="shared" si="826"/>
        <v>SISTEMA DE GERENCIAMENTO DE INTERNAÇÃO</v>
      </c>
      <c r="C9569" s="2" t="str">
        <f t="shared" si="827"/>
        <v>INTER</v>
      </c>
      <c r="D9569" s="2" t="str">
        <f t="shared" si="828"/>
        <v>PARI</v>
      </c>
      <c r="E9569" s="2" t="str">
        <f>"PROTOCOLOS DE CONTATO"</f>
        <v>PROTOCOLOS DE CONTATO</v>
      </c>
      <c r="F9569" s="2" t="str">
        <f>"C_PROT_CONTATO"</f>
        <v>C_PROT_CONTATO</v>
      </c>
      <c r="G9569" s="2" t="str">
        <f>"MVSaude / Vendas / Internação / Atendimento / Registros / Protocolos de Contato (C_PROT_CONTATO)"</f>
        <v>MVSaude / Vendas / Internação / Atendimento / Registros / Protocolos de Contato (C_PROT_CONTATO)</v>
      </c>
    </row>
    <row r="9570" spans="1:7" x14ac:dyDescent="0.3">
      <c r="A9570" s="1" t="s">
        <v>4</v>
      </c>
      <c r="B9570" s="2" t="str">
        <f t="shared" si="826"/>
        <v>SISTEMA DE GERENCIAMENTO DE INTERNAÇÃO</v>
      </c>
      <c r="C9570" s="2" t="str">
        <f t="shared" si="827"/>
        <v>INTER</v>
      </c>
      <c r="D9570" s="2" t="str">
        <f t="shared" si="828"/>
        <v>PARI</v>
      </c>
      <c r="E9570" s="2" t="str">
        <f>"TELA DE MONITORAMENTO"</f>
        <v>TELA DE MONITORAMENTO</v>
      </c>
      <c r="F9570" s="2" t="str">
        <f>"M_MON_SOLIC_TRANSF"</f>
        <v>M_MON_SOLIC_TRANSF</v>
      </c>
      <c r="G9570" s="2" t="str">
        <f>"Atendimento / Internação / Atendimento / Transferência de Paciente / Solicitação de Transferência (M_MON_SOLIC_TRANSF)"</f>
        <v>Atendimento / Internação / Atendimento / Transferência de Paciente / Solicitação de Transferência (M_MON_SOLIC_TRANSF)</v>
      </c>
    </row>
    <row r="9571" spans="1:7" x14ac:dyDescent="0.3">
      <c r="A9571" s="1" t="s">
        <v>4</v>
      </c>
      <c r="B9571" s="2" t="str">
        <f t="shared" si="826"/>
        <v>SISTEMA DE GERENCIAMENTO DE INTERNAÇÃO</v>
      </c>
      <c r="C9571" s="2" t="str">
        <f t="shared" si="827"/>
        <v>INTER</v>
      </c>
      <c r="D9571" s="2" t="str">
        <f t="shared" si="828"/>
        <v>PARI</v>
      </c>
      <c r="E9571" s="2" t="str">
        <f>"CONSULTA DE DISPONIBILIDADE DE LEITOS"</f>
        <v>CONSULTA DE DISPONIBILIDADE DE LEITOS</v>
      </c>
      <c r="F9571" s="2" t="str">
        <f>"C_LEITO_DISPONIVEL"</f>
        <v>C_LEITO_DISPONIVEL</v>
      </c>
      <c r="G9571" s="2" t="str">
        <f>"MVSaude / Vendas / Internação / Consultas / Disponibilidade de Leitos (C_LEITO_DISPONIVEL)"</f>
        <v>MVSaude / Vendas / Internação / Consultas / Disponibilidade de Leitos (C_LEITO_DISPONIVEL)</v>
      </c>
    </row>
    <row r="9572" spans="1:7" x14ac:dyDescent="0.3">
      <c r="A9572" s="1" t="s">
        <v>4</v>
      </c>
      <c r="B9572" s="2" t="str">
        <f t="shared" si="826"/>
        <v>SISTEMA DE GERENCIAMENTO DE INTERNAÇÃO</v>
      </c>
      <c r="C9572" s="2" t="str">
        <f t="shared" si="827"/>
        <v>INTER</v>
      </c>
      <c r="D9572" s="2" t="str">
        <f t="shared" si="828"/>
        <v>PARI</v>
      </c>
      <c r="E9572" s="2" t="str">
        <f>"CONSULTA DE DISPONIBILIDADE DE LEITOS"</f>
        <v>CONSULTA DE DISPONIBILIDADE DE LEITOS</v>
      </c>
      <c r="F9572" s="2" t="str">
        <f>"C_LEITO_DISPONIVEL"</f>
        <v>C_LEITO_DISPONIVEL</v>
      </c>
      <c r="G9572" s="2" t="str">
        <f>"MVSaude / Atendimento / Autorizações de Guias / Internação / Consultas / Disponibilidade de Leitos (C_LEITO_DISPONIVEL)"</f>
        <v>MVSaude / Atendimento / Autorizações de Guias / Internação / Consultas / Disponibilidade de Leitos (C_LEITO_DISPONIVEL)</v>
      </c>
    </row>
    <row r="9573" spans="1:7" x14ac:dyDescent="0.3">
      <c r="A9573" s="1" t="s">
        <v>4</v>
      </c>
      <c r="B9573" s="2" t="str">
        <f t="shared" si="826"/>
        <v>SISTEMA DE GERENCIAMENTO DE INTERNAÇÃO</v>
      </c>
      <c r="C9573" s="2" t="str">
        <f t="shared" si="827"/>
        <v>INTER</v>
      </c>
      <c r="D9573" s="2" t="str">
        <f t="shared" si="828"/>
        <v>PARI</v>
      </c>
      <c r="E9573" s="2" t="str">
        <f>"CONSULTA DE DISPONIBILIDADE DE LEITOS"</f>
        <v>CONSULTA DE DISPONIBILIDADE DE LEITOS</v>
      </c>
      <c r="F9573" s="2" t="str">
        <f>"C_LEITO_DISPONIVEL"</f>
        <v>C_LEITO_DISPONIVEL</v>
      </c>
      <c r="G9573" s="2" t="str">
        <f>"Atendimento / Internação / Consultas / Disponibilidade de Leitos (C_LEITO_DISPONIVEL)"</f>
        <v>Atendimento / Internação / Consultas / Disponibilidade de Leitos (C_LEITO_DISPONIVEL)</v>
      </c>
    </row>
    <row r="9574" spans="1:7" x14ac:dyDescent="0.3">
      <c r="A9574" s="1" t="s">
        <v>4</v>
      </c>
      <c r="B9574" s="2" t="str">
        <f t="shared" si="826"/>
        <v>SISTEMA DE GERENCIAMENTO DE INTERNAÇÃO</v>
      </c>
      <c r="C9574" s="2" t="str">
        <f t="shared" si="827"/>
        <v>INTER</v>
      </c>
      <c r="D9574" s="2" t="str">
        <f t="shared" si="828"/>
        <v>PARI</v>
      </c>
      <c r="E9574" s="2" t="str">
        <f>"TELA DE MONITORAMENTO"</f>
        <v>TELA DE MONITORAMENTO</v>
      </c>
      <c r="F9574" s="2" t="str">
        <f>"M_CENTRAL_LEITOS"</f>
        <v>M_CENTRAL_LEITOS</v>
      </c>
      <c r="G9574" s="2" t="str">
        <f>"MVSaude / Atendimento / Autorizações de Guias / Internação / Atendimento / Leitos - Gestão Centralizada (M_CENTRAL_LEITOS)"</f>
        <v>MVSaude / Atendimento / Autorizações de Guias / Internação / Atendimento / Leitos - Gestão Centralizada (M_CENTRAL_LEITOS)</v>
      </c>
    </row>
    <row r="9575" spans="1:7" x14ac:dyDescent="0.3">
      <c r="A9575" s="1" t="s">
        <v>4</v>
      </c>
      <c r="B9575" s="2" t="str">
        <f t="shared" si="826"/>
        <v>SISTEMA DE GERENCIAMENTO DE INTERNAÇÃO</v>
      </c>
      <c r="C9575" s="2" t="str">
        <f t="shared" si="827"/>
        <v>INTER</v>
      </c>
      <c r="D9575" s="2" t="str">
        <f t="shared" si="828"/>
        <v>PARI</v>
      </c>
      <c r="E9575" s="2" t="str">
        <f>"TELA DE MONITORAMENTO"</f>
        <v>TELA DE MONITORAMENTO</v>
      </c>
      <c r="F9575" s="2" t="str">
        <f>"M_CENTRAL_LEITOS"</f>
        <v>M_CENTRAL_LEITOS</v>
      </c>
      <c r="G9575" s="2" t="str">
        <f>"Atendimento / Internação / Atendimento / Leitos - Gestão Centralizada (M_CENTRAL_LEITOS)"</f>
        <v>Atendimento / Internação / Atendimento / Leitos - Gestão Centralizada (M_CENTRAL_LEITOS)</v>
      </c>
    </row>
    <row r="9576" spans="1:7" x14ac:dyDescent="0.3">
      <c r="A9576" s="1" t="s">
        <v>4</v>
      </c>
      <c r="B9576" s="2" t="str">
        <f t="shared" si="826"/>
        <v>SISTEMA DE GERENCIAMENTO DE INTERNAÇÃO</v>
      </c>
      <c r="C9576" s="2" t="str">
        <f t="shared" si="827"/>
        <v>INTER</v>
      </c>
      <c r="D9576" s="2" t="str">
        <f t="shared" si="828"/>
        <v>PARI</v>
      </c>
      <c r="E9576" s="2" t="str">
        <f>"TELA DE MONITORAMENTO"</f>
        <v>TELA DE MONITORAMENTO</v>
      </c>
      <c r="F9576" s="2" t="str">
        <f>"M_CENTRAL_LEITOS"</f>
        <v>M_CENTRAL_LEITOS</v>
      </c>
      <c r="G9576" s="2" t="str">
        <f>"MVSaude / Vendas / Internação / Atendimento / Leitos - Gestão Centralizada (M_CENTRAL_LEITOS)"</f>
        <v>MVSaude / Vendas / Internação / Atendimento / Leitos - Gestão Centralizada (M_CENTRAL_LEITOS)</v>
      </c>
    </row>
    <row r="9577" spans="1:7" x14ac:dyDescent="0.3">
      <c r="A9577" s="1" t="s">
        <v>4</v>
      </c>
      <c r="B9577" s="2" t="str">
        <f t="shared" si="826"/>
        <v>SISTEMA DE GERENCIAMENTO DE INTERNAÇÃO</v>
      </c>
      <c r="C9577" s="2" t="str">
        <f t="shared" si="827"/>
        <v>INTER</v>
      </c>
      <c r="D9577" s="2" t="str">
        <f t="shared" si="828"/>
        <v>PARI</v>
      </c>
      <c r="E9577" s="2" t="str">
        <f t="shared" ref="E9577:E9587" si="831">"CONSULTA DE EVOLUÇÕES ADMINISTRATIVAS"</f>
        <v>CONSULTA DE EVOLUÇÕES ADMINISTRATIVAS</v>
      </c>
      <c r="F9577" s="2" t="str">
        <f t="shared" ref="F9577:F9587" si="832">"C_PROT_EVO_ADMIN"</f>
        <v>C_PROT_EVO_ADMIN</v>
      </c>
      <c r="G9577" s="2" t="str">
        <f>"Clínica e Assistencial / Controle de Infecção Hospitalar / Consultas / Consulta de Evoluções Administrativas (C_PROT_EVO_ADMIN)"</f>
        <v>Clínica e Assistencial / Controle de Infecção Hospitalar / Consultas / Consulta de Evoluções Administrativas (C_PROT_EVO_ADMIN)</v>
      </c>
    </row>
    <row r="9578" spans="1:7" x14ac:dyDescent="0.3">
      <c r="A9578" s="1" t="s">
        <v>4</v>
      </c>
      <c r="B9578" s="2" t="str">
        <f t="shared" si="826"/>
        <v>SISTEMA DE GERENCIAMENTO DE INTERNAÇÃO</v>
      </c>
      <c r="C9578" s="2" t="str">
        <f t="shared" si="827"/>
        <v>INTER</v>
      </c>
      <c r="D9578" s="2" t="str">
        <f t="shared" si="828"/>
        <v>PARI</v>
      </c>
      <c r="E9578" s="2" t="str">
        <f t="shared" si="831"/>
        <v>CONSULTA DE EVOLUÇÕES ADMINISTRATIVAS</v>
      </c>
      <c r="F9578" s="2" t="str">
        <f t="shared" si="832"/>
        <v>C_PROT_EVO_ADMIN</v>
      </c>
      <c r="G9578" s="2" t="str">
        <f>"MVSaude / Vendas / Internação / Consultas / Consulta de Evoluções Administrativas (C_PROT_EVO_ADMIN)"</f>
        <v>MVSaude / Vendas / Internação / Consultas / Consulta de Evoluções Administrativas (C_PROT_EVO_ADMIN)</v>
      </c>
    </row>
    <row r="9579" spans="1:7" x14ac:dyDescent="0.3">
      <c r="A9579" s="1" t="s">
        <v>4</v>
      </c>
      <c r="B9579" s="2" t="str">
        <f t="shared" si="826"/>
        <v>SISTEMA DE GERENCIAMENTO DE INTERNAÇÃO</v>
      </c>
      <c r="C9579" s="2" t="str">
        <f t="shared" si="827"/>
        <v>INTER</v>
      </c>
      <c r="D9579" s="2" t="str">
        <f t="shared" si="828"/>
        <v>PARI</v>
      </c>
      <c r="E9579" s="2" t="str">
        <f t="shared" si="831"/>
        <v>CONSULTA DE EVOLUÇÕES ADMINISTRATIVAS</v>
      </c>
      <c r="F9579" s="2" t="str">
        <f t="shared" si="832"/>
        <v>C_PROT_EVO_ADMIN</v>
      </c>
      <c r="G9579" s="2" t="str">
        <f>"Atendimento / Internação / Consultas / Consulta de Evoluções Administrativas (C_PROT_EVO_ADMIN)"</f>
        <v>Atendimento / Internação / Consultas / Consulta de Evoluções Administrativas (C_PROT_EVO_ADMIN)</v>
      </c>
    </row>
    <row r="9580" spans="1:7" x14ac:dyDescent="0.3">
      <c r="A9580" s="1" t="s">
        <v>4</v>
      </c>
      <c r="B9580" s="2" t="str">
        <f t="shared" si="826"/>
        <v>SISTEMA DE GERENCIAMENTO DE INTERNAÇÃO</v>
      </c>
      <c r="C9580" s="2" t="str">
        <f t="shared" si="827"/>
        <v>INTER</v>
      </c>
      <c r="D9580" s="2" t="str">
        <f t="shared" si="828"/>
        <v>PARI</v>
      </c>
      <c r="E9580" s="2" t="str">
        <f t="shared" si="831"/>
        <v>CONSULTA DE EVOLUÇÕES ADMINISTRATIVAS</v>
      </c>
      <c r="F9580" s="2" t="str">
        <f t="shared" si="832"/>
        <v>C_PROT_EVO_ADMIN</v>
      </c>
      <c r="G9580" s="2" t="str">
        <f>"MVSaude / Atendimento / Autorizações de Guias / Internação / Consultas / Consulta de Evoluções Administrativas (C_PROT_EVO_ADMIN)"</f>
        <v>MVSaude / Atendimento / Autorizações de Guias / Internação / Consultas / Consulta de Evoluções Administrativas (C_PROT_EVO_ADMIN)</v>
      </c>
    </row>
    <row r="9581" spans="1:7" x14ac:dyDescent="0.3">
      <c r="A9581" s="1" t="s">
        <v>4</v>
      </c>
      <c r="B9581" s="2" t="str">
        <f t="shared" si="826"/>
        <v>SISTEMA DE GERENCIAMENTO DE INTERNAÇÃO</v>
      </c>
      <c r="C9581" s="2" t="str">
        <f t="shared" si="827"/>
        <v>INTER</v>
      </c>
      <c r="D9581" s="2" t="str">
        <f t="shared" si="828"/>
        <v>PARI</v>
      </c>
      <c r="E9581" s="2" t="str">
        <f t="shared" si="831"/>
        <v>CONSULTA DE EVOLUÇÕES ADMINISTRATIVAS</v>
      </c>
      <c r="F9581" s="2" t="str">
        <f t="shared" si="832"/>
        <v>C_PROT_EVO_ADMIN</v>
      </c>
      <c r="G9581" s="2" t="str">
        <f>"Controladoria / Intercâmbio Eletrônico de Arquivos / Consultas / Consulta de Evoluções Administrativas (C_PROT_EVO_ADMIN)"</f>
        <v>Controladoria / Intercâmbio Eletrônico de Arquivos / Consultas / Consulta de Evoluções Administrativas (C_PROT_EVO_ADMIN)</v>
      </c>
    </row>
    <row r="9582" spans="1:7" x14ac:dyDescent="0.3">
      <c r="A9582" s="1" t="s">
        <v>4</v>
      </c>
      <c r="B9582" s="2" t="str">
        <f t="shared" si="826"/>
        <v>SISTEMA DE GERENCIAMENTO DE INTERNAÇÃO</v>
      </c>
      <c r="C9582" s="2" t="str">
        <f t="shared" si="827"/>
        <v>INTER</v>
      </c>
      <c r="D9582" s="2" t="str">
        <f t="shared" si="828"/>
        <v>PARI</v>
      </c>
      <c r="E9582" s="2" t="str">
        <f t="shared" si="831"/>
        <v>CONSULTA DE EVOLUÇÕES ADMINISTRATIVAS</v>
      </c>
      <c r="F9582" s="2" t="str">
        <f t="shared" si="832"/>
        <v>C_PROT_EVO_ADMIN</v>
      </c>
      <c r="G9582" s="2" t="str">
        <f>"Materiais e Logística / Patrimônio / Consultas / Consulta de Evoluções Administrativas (C_PROT_EVO_ADMIN)"</f>
        <v>Materiais e Logística / Patrimônio / Consultas / Consulta de Evoluções Administrativas (C_PROT_EVO_ADMIN)</v>
      </c>
    </row>
    <row r="9583" spans="1:7" x14ac:dyDescent="0.3">
      <c r="A9583" s="1" t="s">
        <v>4</v>
      </c>
      <c r="B9583" s="2" t="str">
        <f t="shared" si="826"/>
        <v>SISTEMA DE GERENCIAMENTO DE INTERNAÇÃO</v>
      </c>
      <c r="C9583" s="2" t="str">
        <f t="shared" si="827"/>
        <v>INTER</v>
      </c>
      <c r="D9583" s="2" t="str">
        <f t="shared" si="828"/>
        <v>PARI</v>
      </c>
      <c r="E9583" s="2" t="str">
        <f t="shared" si="831"/>
        <v>CONSULTA DE EVOLUÇÕES ADMINISTRATIVAS</v>
      </c>
      <c r="F9583" s="2" t="str">
        <f t="shared" si="832"/>
        <v>C_PROT_EVO_ADMIN</v>
      </c>
      <c r="G9583" s="2" t="str">
        <f>"Serviços de Apoio / Manutenção / Consultas / Consulta de Evoluções Administrativas (C_PROT_EVO_ADMIN)"</f>
        <v>Serviços de Apoio / Manutenção / Consultas / Consulta de Evoluções Administrativas (C_PROT_EVO_ADMIN)</v>
      </c>
    </row>
    <row r="9584" spans="1:7" x14ac:dyDescent="0.3">
      <c r="A9584" s="1" t="s">
        <v>4</v>
      </c>
      <c r="B9584" s="2" t="str">
        <f t="shared" si="826"/>
        <v>SISTEMA DE GERENCIAMENTO DE INTERNAÇÃO</v>
      </c>
      <c r="C9584" s="2" t="str">
        <f t="shared" si="827"/>
        <v>INTER</v>
      </c>
      <c r="D9584" s="2" t="str">
        <f t="shared" si="828"/>
        <v>PARI</v>
      </c>
      <c r="E9584" s="2" t="str">
        <f t="shared" si="831"/>
        <v>CONSULTA DE EVOLUÇÕES ADMINISTRATIVAS</v>
      </c>
      <c r="F9584" s="2" t="str">
        <f t="shared" si="832"/>
        <v>C_PROT_EVO_ADMIN</v>
      </c>
      <c r="G9584" s="2" t="str">
        <f>"Materiais e Logística / Farmácia / Consulta / Consulta de Evoluções Administrativas (C_PROT_EVO_ADMIN)"</f>
        <v>Materiais e Logística / Farmácia / Consulta / Consulta de Evoluções Administrativas (C_PROT_EVO_ADMIN)</v>
      </c>
    </row>
    <row r="9585" spans="1:7" x14ac:dyDescent="0.3">
      <c r="A9585" s="1" t="s">
        <v>4</v>
      </c>
      <c r="B9585" s="2" t="str">
        <f t="shared" si="826"/>
        <v>SISTEMA DE GERENCIAMENTO DE INTERNAÇÃO</v>
      </c>
      <c r="C9585" s="2" t="str">
        <f t="shared" si="827"/>
        <v>INTER</v>
      </c>
      <c r="D9585" s="2" t="str">
        <f t="shared" si="828"/>
        <v>PARI</v>
      </c>
      <c r="E9585" s="2" t="str">
        <f t="shared" si="831"/>
        <v>CONSULTA DE EVOLUÇÕES ADMINISTRATIVAS</v>
      </c>
      <c r="F9585" s="2" t="str">
        <f t="shared" si="832"/>
        <v>C_PROT_EVO_ADMIN</v>
      </c>
      <c r="G9585" s="2" t="str">
        <f>"Serviços de Apoio / Nutrição e Dietética / Consultas / Consulta de Evoluções Administrativas (C_PROT_EVO_ADMIN)"</f>
        <v>Serviços de Apoio / Nutrição e Dietética / Consultas / Consulta de Evoluções Administrativas (C_PROT_EVO_ADMIN)</v>
      </c>
    </row>
    <row r="9586" spans="1:7" x14ac:dyDescent="0.3">
      <c r="A9586" s="1" t="s">
        <v>4</v>
      </c>
      <c r="B9586" s="2" t="str">
        <f t="shared" si="826"/>
        <v>SISTEMA DE GERENCIAMENTO DE INTERNAÇÃO</v>
      </c>
      <c r="C9586" s="2" t="str">
        <f t="shared" si="827"/>
        <v>INTER</v>
      </c>
      <c r="D9586" s="2" t="str">
        <f t="shared" si="828"/>
        <v>PARI</v>
      </c>
      <c r="E9586" s="2" t="str">
        <f t="shared" si="831"/>
        <v>CONSULTA DE EVOLUÇÕES ADMINISTRATIVAS</v>
      </c>
      <c r="F9586" s="2" t="str">
        <f t="shared" si="832"/>
        <v>C_PROT_EVO_ADMIN</v>
      </c>
      <c r="G9586" s="2" t="str">
        <f>"Atendimento / Internação Domiciliar (Home Care) / Consultas / Consulta de Evoluções Administrativas (C_PROT_EVO_ADMIN)"</f>
        <v>Atendimento / Internação Domiciliar (Home Care) / Consultas / Consulta de Evoluções Administrativas (C_PROT_EVO_ADMIN)</v>
      </c>
    </row>
    <row r="9587" spans="1:7" x14ac:dyDescent="0.3">
      <c r="A9587" s="1" t="s">
        <v>4</v>
      </c>
      <c r="B9587" s="2" t="str">
        <f t="shared" si="826"/>
        <v>SISTEMA DE GERENCIAMENTO DE INTERNAÇÃO</v>
      </c>
      <c r="C9587" s="2" t="str">
        <f t="shared" si="827"/>
        <v>INTER</v>
      </c>
      <c r="D9587" s="2" t="str">
        <f t="shared" si="828"/>
        <v>PARI</v>
      </c>
      <c r="E9587" s="2" t="str">
        <f t="shared" si="831"/>
        <v>CONSULTA DE EVOLUÇÕES ADMINISTRATIVAS</v>
      </c>
      <c r="F9587" s="2" t="str">
        <f t="shared" si="832"/>
        <v>C_PROT_EVO_ADMIN</v>
      </c>
      <c r="G9587" s="2" t="str">
        <f>"Outros / Room Service / Consultas / Consulta de Evoluções Administrativas (C_PROT_EVO_ADMIN)"</f>
        <v>Outros / Room Service / Consultas / Consulta de Evoluções Administrativas (C_PROT_EVO_ADMIN)</v>
      </c>
    </row>
    <row r="9588" spans="1:7" x14ac:dyDescent="0.3">
      <c r="A9588" s="1" t="s">
        <v>4</v>
      </c>
      <c r="B9588" s="2" t="str">
        <f t="shared" si="826"/>
        <v>SISTEMA DE GERENCIAMENTO DE INTERNAÇÃO</v>
      </c>
      <c r="C9588" s="2" t="str">
        <f t="shared" si="827"/>
        <v>INTER</v>
      </c>
      <c r="D9588" s="2" t="str">
        <f t="shared" si="828"/>
        <v>PARI</v>
      </c>
      <c r="E9588" s="2" t="str">
        <f>"M_CAD_PROT_EVO_ADMIN"</f>
        <v>M_CAD_PROT_EVO_ADMIN</v>
      </c>
      <c r="F9588" s="2" t="str">
        <f>"M_CAD_PROT_EVO_ADMIN"</f>
        <v>M_CAD_PROT_EVO_ADMIN</v>
      </c>
      <c r="G9588" s="2" t="str">
        <f>" ()"</f>
        <v xml:space="preserve"> ()</v>
      </c>
    </row>
    <row r="9589" spans="1:7" x14ac:dyDescent="0.3">
      <c r="A9589" s="1" t="s">
        <v>4</v>
      </c>
      <c r="B9589" s="2" t="str">
        <f t="shared" si="826"/>
        <v>SISTEMA DE GERENCIAMENTO DE INTERNAÇÃO</v>
      </c>
      <c r="C9589" s="2" t="str">
        <f t="shared" si="827"/>
        <v>INTER</v>
      </c>
      <c r="D9589" s="2" t="str">
        <f t="shared" si="828"/>
        <v>PARI</v>
      </c>
      <c r="E9589" s="2" t="str">
        <f>"C_GRUPO_EVO_ADMIN"</f>
        <v>C_GRUPO_EVO_ADMIN</v>
      </c>
      <c r="F9589" s="2" t="str">
        <f>"C_GRUPO_EVO_ADMIN"</f>
        <v>C_GRUPO_EVO_ADMIN</v>
      </c>
      <c r="G9589" s="2" t="str">
        <f>"Atendimento / Internação / Tabelas / Evolução Administrativa (C_GRUPO_EVO_ADMIN)"</f>
        <v>Atendimento / Internação / Tabelas / Evolução Administrativa (C_GRUPO_EVO_ADMIN)</v>
      </c>
    </row>
    <row r="9590" spans="1:7" x14ac:dyDescent="0.3">
      <c r="A9590" s="1" t="s">
        <v>4</v>
      </c>
      <c r="B9590" s="2" t="str">
        <f t="shared" si="826"/>
        <v>SISTEMA DE GERENCIAMENTO DE INTERNAÇÃO</v>
      </c>
      <c r="C9590" s="2" t="str">
        <f t="shared" si="827"/>
        <v>INTER</v>
      </c>
      <c r="D9590" s="2" t="str">
        <f t="shared" si="828"/>
        <v>PARI</v>
      </c>
      <c r="E9590" s="2" t="str">
        <f>"CONSULTA DE LEITOS OCUPADOS"</f>
        <v>CONSULTA DE LEITOS OCUPADOS</v>
      </c>
      <c r="F9590" s="2" t="str">
        <f>"LEI_OCU"</f>
        <v>LEI_OCU</v>
      </c>
      <c r="G9590" s="2" t="str">
        <f>"MVSaude / Vendas / Internação / Consultas / Leitos / Situação (LEI_OCU)"</f>
        <v>MVSaude / Vendas / Internação / Consultas / Leitos / Situação (LEI_OCU)</v>
      </c>
    </row>
    <row r="9591" spans="1:7" x14ac:dyDescent="0.3">
      <c r="A9591" s="1" t="s">
        <v>4</v>
      </c>
      <c r="B9591" s="2" t="str">
        <f t="shared" si="826"/>
        <v>SISTEMA DE GERENCIAMENTO DE INTERNAÇÃO</v>
      </c>
      <c r="C9591" s="2" t="str">
        <f t="shared" si="827"/>
        <v>INTER</v>
      </c>
      <c r="D9591" s="2" t="str">
        <f t="shared" si="828"/>
        <v>PARI</v>
      </c>
      <c r="E9591" s="2" t="str">
        <f>"CONSULTA DE LEITOS OCUPADOS"</f>
        <v>CONSULTA DE LEITOS OCUPADOS</v>
      </c>
      <c r="F9591" s="2" t="str">
        <f>"LEI_OCU"</f>
        <v>LEI_OCU</v>
      </c>
      <c r="G9591" s="2" t="str">
        <f>"Atendimento / Internação / Consultas / Leitos / Situação (LEI_OCU)"</f>
        <v>Atendimento / Internação / Consultas / Leitos / Situação (LEI_OCU)</v>
      </c>
    </row>
    <row r="9592" spans="1:7" x14ac:dyDescent="0.3">
      <c r="A9592" s="1" t="s">
        <v>4</v>
      </c>
      <c r="B9592" s="2" t="str">
        <f t="shared" si="826"/>
        <v>SISTEMA DE GERENCIAMENTO DE INTERNAÇÃO</v>
      </c>
      <c r="C9592" s="2" t="str">
        <f t="shared" si="827"/>
        <v>INTER</v>
      </c>
      <c r="D9592" s="2" t="str">
        <f t="shared" si="828"/>
        <v>PARI</v>
      </c>
      <c r="E9592" s="2" t="str">
        <f>"CONSULTA DE LEITOS OCUPADOS"</f>
        <v>CONSULTA DE LEITOS OCUPADOS</v>
      </c>
      <c r="F9592" s="2" t="str">
        <f>"LEI_OCU"</f>
        <v>LEI_OCU</v>
      </c>
      <c r="G9592" s="2" t="str">
        <f>"MVSaude / Atendimento / Autorizações de Guias / Internação / Consultas / Leitos / Situação (LEI_OCU)"</f>
        <v>MVSaude / Atendimento / Autorizações de Guias / Internação / Consultas / Leitos / Situação (LEI_OCU)</v>
      </c>
    </row>
    <row r="9593" spans="1:7" x14ac:dyDescent="0.3">
      <c r="A9593" s="1" t="s">
        <v>4</v>
      </c>
      <c r="B9593" s="2" t="str">
        <f t="shared" si="826"/>
        <v>SISTEMA DE GERENCIAMENTO DE INTERNAÇÃO</v>
      </c>
      <c r="C9593" s="2" t="str">
        <f t="shared" si="827"/>
        <v>INTER</v>
      </c>
      <c r="D9593" s="2" t="str">
        <f t="shared" si="828"/>
        <v>PARI</v>
      </c>
      <c r="E9593" s="2" t="str">
        <f>"CONSULTA DE LEITOS OCUPADOS"</f>
        <v>CONSULTA DE LEITOS OCUPADOS</v>
      </c>
      <c r="F9593" s="2" t="str">
        <f>"LEI_OCU"</f>
        <v>LEI_OCU</v>
      </c>
      <c r="G9593" s="2" t="str">
        <f>"Serviços de Apoio / Nutrição e Dietética / Consultas / Situação de Leitos (LEI_OCU)"</f>
        <v>Serviços de Apoio / Nutrição e Dietética / Consultas / Situação de Leitos (LEI_OCU)</v>
      </c>
    </row>
    <row r="9594" spans="1:7" x14ac:dyDescent="0.3">
      <c r="A9594" s="1" t="s">
        <v>4</v>
      </c>
      <c r="B9594" s="2" t="str">
        <f t="shared" si="826"/>
        <v>SISTEMA DE GERENCIAMENTO DE INTERNAÇÃO</v>
      </c>
      <c r="C9594" s="2" t="str">
        <f t="shared" si="827"/>
        <v>INTER</v>
      </c>
      <c r="D9594" s="2" t="str">
        <f t="shared" si="828"/>
        <v>PARI</v>
      </c>
      <c r="E9594" s="2" t="str">
        <f>"CONSULTA LEITOS VAGOS"</f>
        <v>CONSULTA LEITOS VAGOS</v>
      </c>
      <c r="F9594" s="2" t="str">
        <f>"LEI_VAG"</f>
        <v>LEI_VAG</v>
      </c>
      <c r="G9594" s="2" t="str">
        <f>"MVSaude / Vendas / Internação / Consultas / Leitos / Vagos (LEI_VAG)"</f>
        <v>MVSaude / Vendas / Internação / Consultas / Leitos / Vagos (LEI_VAG)</v>
      </c>
    </row>
    <row r="9595" spans="1:7" x14ac:dyDescent="0.3">
      <c r="A9595" s="1" t="s">
        <v>4</v>
      </c>
      <c r="B9595" s="2" t="str">
        <f t="shared" si="826"/>
        <v>SISTEMA DE GERENCIAMENTO DE INTERNAÇÃO</v>
      </c>
      <c r="C9595" s="2" t="str">
        <f t="shared" si="827"/>
        <v>INTER</v>
      </c>
      <c r="D9595" s="2" t="str">
        <f t="shared" si="828"/>
        <v>PARI</v>
      </c>
      <c r="E9595" s="2" t="str">
        <f>"CONSULTA LEITOS VAGOS"</f>
        <v>CONSULTA LEITOS VAGOS</v>
      </c>
      <c r="F9595" s="2" t="str">
        <f>"LEI_VAG"</f>
        <v>LEI_VAG</v>
      </c>
      <c r="G9595" s="2" t="str">
        <f>"Atendimento / Internação / Consultas / Leitos / Vagos (LEI_VAG)"</f>
        <v>Atendimento / Internação / Consultas / Leitos / Vagos (LEI_VAG)</v>
      </c>
    </row>
    <row r="9596" spans="1:7" x14ac:dyDescent="0.3">
      <c r="A9596" s="1" t="s">
        <v>4</v>
      </c>
      <c r="B9596" s="2" t="str">
        <f t="shared" si="826"/>
        <v>SISTEMA DE GERENCIAMENTO DE INTERNAÇÃO</v>
      </c>
      <c r="C9596" s="2" t="str">
        <f t="shared" si="827"/>
        <v>INTER</v>
      </c>
      <c r="D9596" s="2" t="str">
        <f t="shared" si="828"/>
        <v>PARI</v>
      </c>
      <c r="E9596" s="2" t="str">
        <f>"CONSULTA LEITOS VAGOS"</f>
        <v>CONSULTA LEITOS VAGOS</v>
      </c>
      <c r="F9596" s="2" t="str">
        <f>"LEI_VAG"</f>
        <v>LEI_VAG</v>
      </c>
      <c r="G9596" s="2" t="str">
        <f>"MVSaude / Atendimento / Autorizações de Guias / Internação / Consultas / Leitos / Vagos (LEI_VAG)"</f>
        <v>MVSaude / Atendimento / Autorizações de Guias / Internação / Consultas / Leitos / Vagos (LEI_VAG)</v>
      </c>
    </row>
    <row r="9597" spans="1:7" x14ac:dyDescent="0.3">
      <c r="A9597" s="1" t="s">
        <v>4</v>
      </c>
      <c r="B9597" s="2" t="str">
        <f t="shared" si="826"/>
        <v>SISTEMA DE GERENCIAMENTO DE INTERNAÇÃO</v>
      </c>
      <c r="C9597" s="2" t="str">
        <f t="shared" si="827"/>
        <v>INTER</v>
      </c>
      <c r="D9597" s="2" t="str">
        <f t="shared" si="828"/>
        <v>PARI</v>
      </c>
      <c r="E9597" s="2" t="str">
        <f>"CONSULTA LEITOS VAGOS"</f>
        <v>CONSULTA LEITOS VAGOS</v>
      </c>
      <c r="F9597" s="2" t="str">
        <f>"LEI_VAG"</f>
        <v>LEI_VAG</v>
      </c>
      <c r="G9597" s="2" t="str">
        <f>"Outros / Fusam / Consultas / Leitos Vagos (LEI_VAG)"</f>
        <v>Outros / Fusam / Consultas / Leitos Vagos (LEI_VAG)</v>
      </c>
    </row>
    <row r="9598" spans="1:7" x14ac:dyDescent="0.3">
      <c r="A9598" s="1" t="s">
        <v>4</v>
      </c>
      <c r="B9598" s="2" t="str">
        <f t="shared" si="826"/>
        <v>SISTEMA DE GERENCIAMENTO DE INTERNAÇÃO</v>
      </c>
      <c r="C9598" s="2" t="str">
        <f t="shared" si="827"/>
        <v>INTER</v>
      </c>
      <c r="D9598" s="2" t="str">
        <f t="shared" si="828"/>
        <v>PARI</v>
      </c>
      <c r="E9598" s="2" t="str">
        <f>"CADASTRO DE SERVIÇOS PRESTADOS (LEITO)"</f>
        <v>CADASTRO DE SERVIÇOS PRESTADOS (LEITO)</v>
      </c>
      <c r="F9598" s="2" t="str">
        <f>"LEI_SER"</f>
        <v>LEI_SER</v>
      </c>
      <c r="G9598" s="2" t="str">
        <f>"MVSaude / Vendas / Internação / Tabelas / Serviços Prestados (LEI_SER)"</f>
        <v>MVSaude / Vendas / Internação / Tabelas / Serviços Prestados (LEI_SER)</v>
      </c>
    </row>
    <row r="9599" spans="1:7" x14ac:dyDescent="0.3">
      <c r="A9599" s="1" t="s">
        <v>4</v>
      </c>
      <c r="B9599" s="2" t="str">
        <f t="shared" si="826"/>
        <v>SISTEMA DE GERENCIAMENTO DE INTERNAÇÃO</v>
      </c>
      <c r="C9599" s="2" t="str">
        <f t="shared" si="827"/>
        <v>INTER</v>
      </c>
      <c r="D9599" s="2" t="str">
        <f t="shared" si="828"/>
        <v>PARI</v>
      </c>
      <c r="E9599" s="2" t="str">
        <f>"CADASTRO DE SERVIÇOS PRESTADOS (LEITO)"</f>
        <v>CADASTRO DE SERVIÇOS PRESTADOS (LEITO)</v>
      </c>
      <c r="F9599" s="2" t="str">
        <f>"LEI_SER"</f>
        <v>LEI_SER</v>
      </c>
      <c r="G9599" s="2" t="str">
        <f>"MVSaude / Atendimento / Autorizações de Guias / Internação / Tabelas / Serviços Prestados (LEI_SER)"</f>
        <v>MVSaude / Atendimento / Autorizações de Guias / Internação / Tabelas / Serviços Prestados (LEI_SER)</v>
      </c>
    </row>
    <row r="9600" spans="1:7" x14ac:dyDescent="0.3">
      <c r="A9600" s="1" t="s">
        <v>4</v>
      </c>
      <c r="B9600" s="2" t="str">
        <f t="shared" si="826"/>
        <v>SISTEMA DE GERENCIAMENTO DE INTERNAÇÃO</v>
      </c>
      <c r="C9600" s="2" t="str">
        <f t="shared" si="827"/>
        <v>INTER</v>
      </c>
      <c r="D9600" s="2" t="str">
        <f t="shared" si="828"/>
        <v>PARI</v>
      </c>
      <c r="E9600" s="2" t="str">
        <f>"CADASTRO DE SERVIÇOS PRESTADOS (LEITO)"</f>
        <v>CADASTRO DE SERVIÇOS PRESTADOS (LEITO)</v>
      </c>
      <c r="F9600" s="2" t="str">
        <f>"LEI_SER"</f>
        <v>LEI_SER</v>
      </c>
      <c r="G9600" s="2" t="str">
        <f>"Atendimento / Internação / Tabelas / Serviços Prestados (LEI_SER)"</f>
        <v>Atendimento / Internação / Tabelas / Serviços Prestados (LEI_SER)</v>
      </c>
    </row>
    <row r="9601" spans="1:7" x14ac:dyDescent="0.3">
      <c r="A9601" s="1" t="s">
        <v>4</v>
      </c>
      <c r="B9601" s="2" t="str">
        <f t="shared" si="826"/>
        <v>SISTEMA DE GERENCIAMENTO DE INTERNAÇÃO</v>
      </c>
      <c r="C9601" s="2" t="str">
        <f t="shared" si="827"/>
        <v>INTER</v>
      </c>
      <c r="D9601" s="2" t="str">
        <f t="shared" si="828"/>
        <v>PARI</v>
      </c>
      <c r="E9601" s="2" t="str">
        <f>"CADASTRO DE SERVIÇOS PRESTADOS (LEITO)"</f>
        <v>CADASTRO DE SERVIÇOS PRESTADOS (LEITO)</v>
      </c>
      <c r="F9601" s="2" t="str">
        <f>"LEI_SER"</f>
        <v>LEI_SER</v>
      </c>
      <c r="G9601" s="2" t="str">
        <f>"Atendimento / Internação Domiciliar (Home Care) / Tabelas / Serviços Prestados (LEI_SER)"</f>
        <v>Atendimento / Internação Domiciliar (Home Care) / Tabelas / Serviços Prestados (LEI_SER)</v>
      </c>
    </row>
    <row r="9602" spans="1:7" x14ac:dyDescent="0.3">
      <c r="A9602" s="1" t="s">
        <v>4</v>
      </c>
      <c r="B9602" s="2" t="str">
        <f t="shared" si="826"/>
        <v>SISTEMA DE GERENCIAMENTO DE INTERNAÇÃO</v>
      </c>
      <c r="C9602" s="2" t="str">
        <f t="shared" si="827"/>
        <v>INTER</v>
      </c>
      <c r="D9602" s="2" t="str">
        <f t="shared" si="828"/>
        <v>PARI</v>
      </c>
      <c r="E9602" s="2" t="str">
        <f>"CADASTRO DE CARACTERISTICAS DO LEITO"</f>
        <v>CADASTRO DE CARACTERISTICAS DO LEITO</v>
      </c>
      <c r="F9602" s="2" t="str">
        <f>"CAD_CAR"</f>
        <v>CAD_CAR</v>
      </c>
      <c r="G9602" s="2" t="str">
        <f>"MVSaude / Vendas / Internação / Tabelas / Tipo de Característica (CAD_CAR)"</f>
        <v>MVSaude / Vendas / Internação / Tabelas / Tipo de Característica (CAD_CAR)</v>
      </c>
    </row>
    <row r="9603" spans="1:7" x14ac:dyDescent="0.3">
      <c r="A9603" s="1" t="s">
        <v>4</v>
      </c>
      <c r="B9603" s="2" t="str">
        <f t="shared" si="826"/>
        <v>SISTEMA DE GERENCIAMENTO DE INTERNAÇÃO</v>
      </c>
      <c r="C9603" s="2" t="str">
        <f t="shared" si="827"/>
        <v>INTER</v>
      </c>
      <c r="D9603" s="2" t="str">
        <f t="shared" si="828"/>
        <v>PARI</v>
      </c>
      <c r="E9603" s="2" t="str">
        <f>"CADASTRO DE CARACTERISTICAS DO LEITO"</f>
        <v>CADASTRO DE CARACTERISTICAS DO LEITO</v>
      </c>
      <c r="F9603" s="2" t="str">
        <f>"CAD_CAR"</f>
        <v>CAD_CAR</v>
      </c>
      <c r="G9603" s="2" t="str">
        <f>"MVSaude / Atendimento / Autorizações de Guias / Internação / Tabelas / Tipo de Característica (CAD_CAR)"</f>
        <v>MVSaude / Atendimento / Autorizações de Guias / Internação / Tabelas / Tipo de Característica (CAD_CAR)</v>
      </c>
    </row>
    <row r="9604" spans="1:7" x14ac:dyDescent="0.3">
      <c r="A9604" s="1" t="s">
        <v>4</v>
      </c>
      <c r="B9604" s="2" t="str">
        <f t="shared" si="826"/>
        <v>SISTEMA DE GERENCIAMENTO DE INTERNAÇÃO</v>
      </c>
      <c r="C9604" s="2" t="str">
        <f t="shared" si="827"/>
        <v>INTER</v>
      </c>
      <c r="D9604" s="2" t="str">
        <f t="shared" si="828"/>
        <v>PARI</v>
      </c>
      <c r="E9604" s="2" t="str">
        <f>"CADASTRO DE CARACTERISTICAS DO LEITO"</f>
        <v>CADASTRO DE CARACTERISTICAS DO LEITO</v>
      </c>
      <c r="F9604" s="2" t="str">
        <f>"CAD_CAR"</f>
        <v>CAD_CAR</v>
      </c>
      <c r="G9604" s="2" t="str">
        <f>"Atendimento / Internação / Tabelas / Tipo de Característica (CAD_CAR)"</f>
        <v>Atendimento / Internação / Tabelas / Tipo de Característica (CAD_CAR)</v>
      </c>
    </row>
    <row r="9605" spans="1:7" x14ac:dyDescent="0.3">
      <c r="A9605" s="1" t="s">
        <v>4</v>
      </c>
      <c r="B9605" s="2" t="str">
        <f t="shared" si="826"/>
        <v>SISTEMA DE GERENCIAMENTO DE INTERNAÇÃO</v>
      </c>
      <c r="C9605" s="2" t="str">
        <f t="shared" si="827"/>
        <v>INTER</v>
      </c>
      <c r="D9605" s="2" t="str">
        <f t="shared" si="828"/>
        <v>PARI</v>
      </c>
      <c r="E9605" s="2" t="str">
        <f>"CADASTRO DE TIPO DE ACOMODAÇÕES DO LEITO"</f>
        <v>CADASTRO DE TIPO DE ACOMODAÇÕES DO LEITO</v>
      </c>
      <c r="F9605" s="2" t="str">
        <f>"TIP_ACO"</f>
        <v>TIP_ACO</v>
      </c>
      <c r="G9605" s="2" t="str">
        <f>"MVSaude / Vendas / Internação / Tabelas / Tipos de Acomodação (TIP_ACO)"</f>
        <v>MVSaude / Vendas / Internação / Tabelas / Tipos de Acomodação (TIP_ACO)</v>
      </c>
    </row>
    <row r="9606" spans="1:7" x14ac:dyDescent="0.3">
      <c r="A9606" s="1" t="s">
        <v>4</v>
      </c>
      <c r="B9606" s="2" t="str">
        <f t="shared" si="826"/>
        <v>SISTEMA DE GERENCIAMENTO DE INTERNAÇÃO</v>
      </c>
      <c r="C9606" s="2" t="str">
        <f t="shared" si="827"/>
        <v>INTER</v>
      </c>
      <c r="D9606" s="2" t="str">
        <f t="shared" si="828"/>
        <v>PARI</v>
      </c>
      <c r="E9606" s="2" t="str">
        <f>"CADASTRO DE TIPO DE ACOMODAÇÕES DO LEITO"</f>
        <v>CADASTRO DE TIPO DE ACOMODAÇÕES DO LEITO</v>
      </c>
      <c r="F9606" s="2" t="str">
        <f>"TIP_ACO"</f>
        <v>TIP_ACO</v>
      </c>
      <c r="G9606" s="2" t="str">
        <f>"MVSaude / Atendimento / Autorizações de Guias / Internação / Tabelas / Tipos de Acomodação (TIP_ACO)"</f>
        <v>MVSaude / Atendimento / Autorizações de Guias / Internação / Tabelas / Tipos de Acomodação (TIP_ACO)</v>
      </c>
    </row>
    <row r="9607" spans="1:7" x14ac:dyDescent="0.3">
      <c r="A9607" s="1" t="s">
        <v>4</v>
      </c>
      <c r="B9607" s="2" t="str">
        <f t="shared" si="826"/>
        <v>SISTEMA DE GERENCIAMENTO DE INTERNAÇÃO</v>
      </c>
      <c r="C9607" s="2" t="str">
        <f t="shared" si="827"/>
        <v>INTER</v>
      </c>
      <c r="D9607" s="2" t="str">
        <f t="shared" si="828"/>
        <v>PARI</v>
      </c>
      <c r="E9607" s="2" t="str">
        <f>"CADASTRO DE TIPO DE ACOMODAÇÕES DO LEITO"</f>
        <v>CADASTRO DE TIPO DE ACOMODAÇÕES DO LEITO</v>
      </c>
      <c r="F9607" s="2" t="str">
        <f>"TIP_ACO"</f>
        <v>TIP_ACO</v>
      </c>
      <c r="G9607" s="2" t="str">
        <f>"Atendimento / Internação / Tabelas / Tipo de Acomodação (TIP_ACO)"</f>
        <v>Atendimento / Internação / Tabelas / Tipo de Acomodação (TIP_ACO)</v>
      </c>
    </row>
    <row r="9608" spans="1:7" x14ac:dyDescent="0.3">
      <c r="A9608" s="1" t="s">
        <v>4</v>
      </c>
      <c r="B9608" s="2" t="str">
        <f t="shared" si="826"/>
        <v>SISTEMA DE GERENCIAMENTO DE INTERNAÇÃO</v>
      </c>
      <c r="C9608" s="2" t="str">
        <f t="shared" si="827"/>
        <v>INTER</v>
      </c>
      <c r="D9608" s="2" t="str">
        <f t="shared" si="828"/>
        <v>PARI</v>
      </c>
      <c r="E9608" s="2" t="str">
        <f>"CADASTO DE LEITOS - INTERNAÇÃO"</f>
        <v>CADASTO DE LEITOS - INTERNAÇÃO</v>
      </c>
      <c r="F9608" s="2" t="str">
        <f>"CAD_LEI"</f>
        <v>CAD_LEI</v>
      </c>
      <c r="G9608" s="2" t="str">
        <f>"MVSaude / Vendas / Internação / Tabelas / Leitos (CAD_LEI)"</f>
        <v>MVSaude / Vendas / Internação / Tabelas / Leitos (CAD_LEI)</v>
      </c>
    </row>
    <row r="9609" spans="1:7" x14ac:dyDescent="0.3">
      <c r="A9609" s="1" t="s">
        <v>4</v>
      </c>
      <c r="B9609" s="2" t="str">
        <f t="shared" si="826"/>
        <v>SISTEMA DE GERENCIAMENTO DE INTERNAÇÃO</v>
      </c>
      <c r="C9609" s="2" t="str">
        <f t="shared" si="827"/>
        <v>INTER</v>
      </c>
      <c r="D9609" s="2" t="str">
        <f t="shared" si="828"/>
        <v>PARI</v>
      </c>
      <c r="E9609" s="2" t="str">
        <f>"CADASTO DE LEITOS - INTERNAÇÃO"</f>
        <v>CADASTO DE LEITOS - INTERNAÇÃO</v>
      </c>
      <c r="F9609" s="2" t="str">
        <f>"CAD_LEI"</f>
        <v>CAD_LEI</v>
      </c>
      <c r="G9609" s="2" t="str">
        <f>"MVSaude / Atendimento / Autorizações de Guias / Internação / Tabelas / Leitos (CAD_LEI)"</f>
        <v>MVSaude / Atendimento / Autorizações de Guias / Internação / Tabelas / Leitos (CAD_LEI)</v>
      </c>
    </row>
    <row r="9610" spans="1:7" x14ac:dyDescent="0.3">
      <c r="A9610" s="1" t="s">
        <v>4</v>
      </c>
      <c r="B9610" s="2" t="str">
        <f t="shared" si="826"/>
        <v>SISTEMA DE GERENCIAMENTO DE INTERNAÇÃO</v>
      </c>
      <c r="C9610" s="2" t="str">
        <f t="shared" si="827"/>
        <v>INTER</v>
      </c>
      <c r="D9610" s="2" t="str">
        <f t="shared" si="828"/>
        <v>PARI</v>
      </c>
      <c r="E9610" s="2" t="str">
        <f>"CADASTO DE LEITOS - INTERNAÇÃO"</f>
        <v>CADASTO DE LEITOS - INTERNAÇÃO</v>
      </c>
      <c r="F9610" s="2" t="str">
        <f>"CAD_LEI"</f>
        <v>CAD_LEI</v>
      </c>
      <c r="G9610" s="2" t="str">
        <f>"Atendimento / Internação / Tabelas / Leitos (CAD_LEI)"</f>
        <v>Atendimento / Internação / Tabelas / Leitos (CAD_LEI)</v>
      </c>
    </row>
    <row r="9611" spans="1:7" x14ac:dyDescent="0.3">
      <c r="A9611" s="1" t="s">
        <v>4</v>
      </c>
      <c r="B9611" s="2" t="str">
        <f t="shared" si="826"/>
        <v>SISTEMA DE GERENCIAMENTO DE INTERNAÇÃO</v>
      </c>
      <c r="C9611" s="2" t="str">
        <f t="shared" si="827"/>
        <v>INTER</v>
      </c>
      <c r="D9611" s="2" t="str">
        <f t="shared" si="828"/>
        <v>PARI</v>
      </c>
      <c r="E9611" s="2" t="str">
        <f>"DIAGNÓSTICO DA INTERNAÇÃO"</f>
        <v>DIAGNÓSTICO DA INTERNAÇÃO</v>
      </c>
      <c r="F9611" s="2" t="str">
        <f>"DIAG_INT"</f>
        <v>DIAG_INT</v>
      </c>
      <c r="G9611" s="2" t="str">
        <f>"MVSaude / Atendimento / Autorizações de Guias / Internação / Atendimento / Diagnósticos (DIAG_INT)"</f>
        <v>MVSaude / Atendimento / Autorizações de Guias / Internação / Atendimento / Diagnósticos (DIAG_INT)</v>
      </c>
    </row>
    <row r="9612" spans="1:7" x14ac:dyDescent="0.3">
      <c r="A9612" s="1" t="s">
        <v>4</v>
      </c>
      <c r="B9612" s="2" t="str">
        <f t="shared" si="826"/>
        <v>SISTEMA DE GERENCIAMENTO DE INTERNAÇÃO</v>
      </c>
      <c r="C9612" s="2" t="str">
        <f t="shared" si="827"/>
        <v>INTER</v>
      </c>
      <c r="D9612" s="2" t="str">
        <f t="shared" si="828"/>
        <v>PARI</v>
      </c>
      <c r="E9612" s="2" t="str">
        <f>"DIAGNÓSTICO DA INTERNAÇÃO"</f>
        <v>DIAGNÓSTICO DA INTERNAÇÃO</v>
      </c>
      <c r="F9612" s="2" t="str">
        <f>"DIAG_INT"</f>
        <v>DIAG_INT</v>
      </c>
      <c r="G9612" s="2" t="str">
        <f>"Atendimento / Internação / Atendimento / Diagnósticos (DIAG_INT)"</f>
        <v>Atendimento / Internação / Atendimento / Diagnósticos (DIAG_INT)</v>
      </c>
    </row>
    <row r="9613" spans="1:7" x14ac:dyDescent="0.3">
      <c r="A9613" s="1" t="s">
        <v>4</v>
      </c>
      <c r="B9613" s="2" t="str">
        <f t="shared" si="826"/>
        <v>SISTEMA DE GERENCIAMENTO DE INTERNAÇÃO</v>
      </c>
      <c r="C9613" s="2" t="str">
        <f t="shared" si="827"/>
        <v>INTER</v>
      </c>
      <c r="D9613" s="2" t="str">
        <f t="shared" si="828"/>
        <v>PARI</v>
      </c>
      <c r="E9613" s="2" t="str">
        <f>"DIAGNÓSTICO DA INTERNAÇÃO"</f>
        <v>DIAGNÓSTICO DA INTERNAÇÃO</v>
      </c>
      <c r="F9613" s="2" t="str">
        <f>"DIAG_INT"</f>
        <v>DIAG_INT</v>
      </c>
      <c r="G9613" s="2" t="str">
        <f>"MVSaude / Vendas / Internação / Atendimento / Diagnósticos (DIAG_INT)"</f>
        <v>MVSaude / Vendas / Internação / Atendimento / Diagnósticos (DIAG_INT)</v>
      </c>
    </row>
    <row r="9614" spans="1:7" x14ac:dyDescent="0.3">
      <c r="A9614" s="1" t="s">
        <v>4</v>
      </c>
      <c r="B9614" s="2" t="str">
        <f t="shared" ref="B9614:B9677" si="833">"SISTEMA DE GERENCIAMENTO DE INTERNAÇÃO"</f>
        <v>SISTEMA DE GERENCIAMENTO DE INTERNAÇÃO</v>
      </c>
      <c r="C9614" s="2" t="str">
        <f t="shared" ref="C9614:C9677" si="834">"INTER"</f>
        <v>INTER</v>
      </c>
      <c r="D9614" s="2" t="str">
        <f t="shared" ref="D9614:D9677" si="835">"PARI"</f>
        <v>PARI</v>
      </c>
      <c r="E9614" s="2" t="str">
        <f>"DIAGNÓSTICO DA INTERNAÇÃO"</f>
        <v>DIAGNÓSTICO DA INTERNAÇÃO</v>
      </c>
      <c r="F9614" s="2" t="str">
        <f>"DIAG_INT"</f>
        <v>DIAG_INT</v>
      </c>
      <c r="G9614" s="2" t="str">
        <f>"Atendimento / Internação Domiciliar (Home Care) / Recepção / Diagnósticos (DIAG_INT)"</f>
        <v>Atendimento / Internação Domiciliar (Home Care) / Recepção / Diagnósticos (DIAG_INT)</v>
      </c>
    </row>
    <row r="9615" spans="1:7" x14ac:dyDescent="0.3">
      <c r="A9615" s="1" t="s">
        <v>4</v>
      </c>
      <c r="B9615" s="2" t="str">
        <f t="shared" si="833"/>
        <v>SISTEMA DE GERENCIAMENTO DE INTERNAÇÃO</v>
      </c>
      <c r="C9615" s="2" t="str">
        <f t="shared" si="834"/>
        <v>INTER</v>
      </c>
      <c r="D9615" s="2" t="str">
        <f t="shared" si="835"/>
        <v>PARI</v>
      </c>
      <c r="E9615" s="2" t="str">
        <f>"RESERVA DE LEITO"</f>
        <v>RESERVA DE LEITO</v>
      </c>
      <c r="F9615" s="2" t="str">
        <f>"RES_LEI"</f>
        <v>RES_LEI</v>
      </c>
      <c r="G9615" s="2" t="str">
        <f>"MVSaude / Atendimento / Autorizações de Guias / Internação / Atendimento / Pré-internação (RES_LEI)"</f>
        <v>MVSaude / Atendimento / Autorizações de Guias / Internação / Atendimento / Pré-internação (RES_LEI)</v>
      </c>
    </row>
    <row r="9616" spans="1:7" x14ac:dyDescent="0.3">
      <c r="A9616" s="1" t="s">
        <v>4</v>
      </c>
      <c r="B9616" s="2" t="str">
        <f t="shared" si="833"/>
        <v>SISTEMA DE GERENCIAMENTO DE INTERNAÇÃO</v>
      </c>
      <c r="C9616" s="2" t="str">
        <f t="shared" si="834"/>
        <v>INTER</v>
      </c>
      <c r="D9616" s="2" t="str">
        <f t="shared" si="835"/>
        <v>PARI</v>
      </c>
      <c r="E9616" s="2" t="str">
        <f>"RESERVA DE LEITO"</f>
        <v>RESERVA DE LEITO</v>
      </c>
      <c r="F9616" s="2" t="str">
        <f>"RES_LEI"</f>
        <v>RES_LEI</v>
      </c>
      <c r="G9616" s="2" t="str">
        <f>"Atendimento / Internação / Atendimento / Pré-Internação (RES_LEI)"</f>
        <v>Atendimento / Internação / Atendimento / Pré-Internação (RES_LEI)</v>
      </c>
    </row>
    <row r="9617" spans="1:7" x14ac:dyDescent="0.3">
      <c r="A9617" s="1" t="s">
        <v>4</v>
      </c>
      <c r="B9617" s="2" t="str">
        <f t="shared" si="833"/>
        <v>SISTEMA DE GERENCIAMENTO DE INTERNAÇÃO</v>
      </c>
      <c r="C9617" s="2" t="str">
        <f t="shared" si="834"/>
        <v>INTER</v>
      </c>
      <c r="D9617" s="2" t="str">
        <f t="shared" si="835"/>
        <v>PARI</v>
      </c>
      <c r="E9617" s="2" t="str">
        <f>"RESERVA DE LEITO"</f>
        <v>RESERVA DE LEITO</v>
      </c>
      <c r="F9617" s="2" t="str">
        <f>"RES_LEI"</f>
        <v>RES_LEI</v>
      </c>
      <c r="G9617" s="2" t="str">
        <f>"MVSaude / Vendas / Internação / Atendimento / Pré-internação (RES_LEI)"</f>
        <v>MVSaude / Vendas / Internação / Atendimento / Pré-internação (RES_LEI)</v>
      </c>
    </row>
    <row r="9618" spans="1:7" x14ac:dyDescent="0.3">
      <c r="A9618" s="1" t="s">
        <v>4</v>
      </c>
      <c r="B9618" s="2" t="str">
        <f t="shared" si="833"/>
        <v>SISTEMA DE GERENCIAMENTO DE INTERNAÇÃO</v>
      </c>
      <c r="C9618" s="2" t="str">
        <f t="shared" si="834"/>
        <v>INTER</v>
      </c>
      <c r="D9618" s="2" t="str">
        <f t="shared" si="835"/>
        <v>PARI</v>
      </c>
      <c r="E9618" s="2" t="str">
        <f>"REVALIDAÇÃO DE GUIAS VENCIDAS"</f>
        <v>REVALIDAÇÃO DE GUIAS VENCIDAS</v>
      </c>
      <c r="F9618" s="2" t="str">
        <f>"REV_GUIA"</f>
        <v>REV_GUIA</v>
      </c>
      <c r="G9618" s="2" t="str">
        <f>" ()"</f>
        <v xml:space="preserve"> ()</v>
      </c>
    </row>
    <row r="9619" spans="1:7" x14ac:dyDescent="0.3">
      <c r="A9619" s="1" t="s">
        <v>4</v>
      </c>
      <c r="B9619" s="2" t="str">
        <f t="shared" si="833"/>
        <v>SISTEMA DE GERENCIAMENTO DE INTERNAÇÃO</v>
      </c>
      <c r="C9619" s="2" t="str">
        <f t="shared" si="834"/>
        <v>INTER</v>
      </c>
      <c r="D9619" s="2" t="str">
        <f t="shared" si="835"/>
        <v>PARI</v>
      </c>
      <c r="E9619" s="2" t="str">
        <f>"TRANSFERÊNCIA DE LEITO"</f>
        <v>TRANSFERÊNCIA DE LEITO</v>
      </c>
      <c r="F9619" s="2" t="str">
        <f>"MOV_INT"</f>
        <v>MOV_INT</v>
      </c>
      <c r="G9619" s="2" t="str">
        <f>"MVSaude / Atendimento / Autorizações de Guias / Internação / Atendimento / Transferência de Paciente / Transferência de Leito (MOV_INT)"</f>
        <v>MVSaude / Atendimento / Autorizações de Guias / Internação / Atendimento / Transferência de Paciente / Transferência de Leito (MOV_INT)</v>
      </c>
    </row>
    <row r="9620" spans="1:7" x14ac:dyDescent="0.3">
      <c r="A9620" s="1" t="s">
        <v>4</v>
      </c>
      <c r="B9620" s="2" t="str">
        <f t="shared" si="833"/>
        <v>SISTEMA DE GERENCIAMENTO DE INTERNAÇÃO</v>
      </c>
      <c r="C9620" s="2" t="str">
        <f t="shared" si="834"/>
        <v>INTER</v>
      </c>
      <c r="D9620" s="2" t="str">
        <f t="shared" si="835"/>
        <v>PARI</v>
      </c>
      <c r="E9620" s="2" t="str">
        <f>"TRANSFERÊNCIA DE LEITO"</f>
        <v>TRANSFERÊNCIA DE LEITO</v>
      </c>
      <c r="F9620" s="2" t="str">
        <f>"MOV_INT"</f>
        <v>MOV_INT</v>
      </c>
      <c r="G9620" s="2" t="str">
        <f>"Atendimento / Internação / Atendimento / Transferência de Paciente / Transferência de Leito (MOV_INT)"</f>
        <v>Atendimento / Internação / Atendimento / Transferência de Paciente / Transferência de Leito (MOV_INT)</v>
      </c>
    </row>
    <row r="9621" spans="1:7" x14ac:dyDescent="0.3">
      <c r="A9621" s="1" t="s">
        <v>4</v>
      </c>
      <c r="B9621" s="2" t="str">
        <f t="shared" si="833"/>
        <v>SISTEMA DE GERENCIAMENTO DE INTERNAÇÃO</v>
      </c>
      <c r="C9621" s="2" t="str">
        <f t="shared" si="834"/>
        <v>INTER</v>
      </c>
      <c r="D9621" s="2" t="str">
        <f t="shared" si="835"/>
        <v>PARI</v>
      </c>
      <c r="E9621" s="2" t="str">
        <f>"TRANSFERÊNCIA DE LEITO"</f>
        <v>TRANSFERÊNCIA DE LEITO</v>
      </c>
      <c r="F9621" s="2" t="str">
        <f>"MOV_INT"</f>
        <v>MOV_INT</v>
      </c>
      <c r="G9621" s="2" t="str">
        <f>"MVSaude / Vendas / Internação / Atendimento / Transferência de Paciente / Transferência de Leito (MOV_INT)"</f>
        <v>MVSaude / Vendas / Internação / Atendimento / Transferência de Paciente / Transferência de Leito (MOV_INT)</v>
      </c>
    </row>
    <row r="9622" spans="1:7" x14ac:dyDescent="0.3">
      <c r="A9622" s="1" t="s">
        <v>4</v>
      </c>
      <c r="B9622" s="2" t="str">
        <f t="shared" si="833"/>
        <v>SISTEMA DE GERENCIAMENTO DE INTERNAÇÃO</v>
      </c>
      <c r="C9622" s="2" t="str">
        <f t="shared" si="834"/>
        <v>INTER</v>
      </c>
      <c r="D9622" s="2" t="str">
        <f t="shared" si="835"/>
        <v>PARI</v>
      </c>
      <c r="E9622" s="2" t="str">
        <f t="shared" ref="E9622:E9627" si="836">"CONSULTA MOVIMENTAÇÃO DO ATENDIMENTO"</f>
        <v>CONSULTA MOVIMENTAÇÃO DO ATENDIMENTO</v>
      </c>
      <c r="F9622" s="2" t="str">
        <f t="shared" ref="F9622:F9627" si="837">"C_MOV_ATENDIME"</f>
        <v>C_MOV_ATENDIME</v>
      </c>
      <c r="G9622" s="2" t="str">
        <f>"Clínica e Assistencial / Controle de Infecção Hospitalar / Consultas / Movimentação do Atendimento (C_MOV_ATENDIME)"</f>
        <v>Clínica e Assistencial / Controle de Infecção Hospitalar / Consultas / Movimentação do Atendimento (C_MOV_ATENDIME)</v>
      </c>
    </row>
    <row r="9623" spans="1:7" x14ac:dyDescent="0.3">
      <c r="A9623" s="1" t="s">
        <v>4</v>
      </c>
      <c r="B9623" s="2" t="str">
        <f t="shared" si="833"/>
        <v>SISTEMA DE GERENCIAMENTO DE INTERNAÇÃO</v>
      </c>
      <c r="C9623" s="2" t="str">
        <f t="shared" si="834"/>
        <v>INTER</v>
      </c>
      <c r="D9623" s="2" t="str">
        <f t="shared" si="835"/>
        <v>PARI</v>
      </c>
      <c r="E9623" s="2" t="str">
        <f t="shared" si="836"/>
        <v>CONSULTA MOVIMENTAÇÃO DO ATENDIMENTO</v>
      </c>
      <c r="F9623" s="2" t="str">
        <f t="shared" si="837"/>
        <v>C_MOV_ATENDIME</v>
      </c>
      <c r="G9623" s="2" t="str">
        <f>"MVSaude / Vendas / Internação / Consultas / Movimentação do Atendimento (C_MOV_ATENDIME)"</f>
        <v>MVSaude / Vendas / Internação / Consultas / Movimentação do Atendimento (C_MOV_ATENDIME)</v>
      </c>
    </row>
    <row r="9624" spans="1:7" x14ac:dyDescent="0.3">
      <c r="A9624" s="1" t="s">
        <v>4</v>
      </c>
      <c r="B9624" s="2" t="str">
        <f t="shared" si="833"/>
        <v>SISTEMA DE GERENCIAMENTO DE INTERNAÇÃO</v>
      </c>
      <c r="C9624" s="2" t="str">
        <f t="shared" si="834"/>
        <v>INTER</v>
      </c>
      <c r="D9624" s="2" t="str">
        <f t="shared" si="835"/>
        <v>PARI</v>
      </c>
      <c r="E9624" s="2" t="str">
        <f t="shared" si="836"/>
        <v>CONSULTA MOVIMENTAÇÃO DO ATENDIMENTO</v>
      </c>
      <c r="F9624" s="2" t="str">
        <f t="shared" si="837"/>
        <v>C_MOV_ATENDIME</v>
      </c>
      <c r="G9624" s="2" t="str">
        <f>"Atendimento / Internação / Consultas / Movimentação do Atendimento (C_MOV_ATENDIME)"</f>
        <v>Atendimento / Internação / Consultas / Movimentação do Atendimento (C_MOV_ATENDIME)</v>
      </c>
    </row>
    <row r="9625" spans="1:7" x14ac:dyDescent="0.3">
      <c r="A9625" s="1" t="s">
        <v>4</v>
      </c>
      <c r="B9625" s="2" t="str">
        <f t="shared" si="833"/>
        <v>SISTEMA DE GERENCIAMENTO DE INTERNAÇÃO</v>
      </c>
      <c r="C9625" s="2" t="str">
        <f t="shared" si="834"/>
        <v>INTER</v>
      </c>
      <c r="D9625" s="2" t="str">
        <f t="shared" si="835"/>
        <v>PARI</v>
      </c>
      <c r="E9625" s="2" t="str">
        <f t="shared" si="836"/>
        <v>CONSULTA MOVIMENTAÇÃO DO ATENDIMENTO</v>
      </c>
      <c r="F9625" s="2" t="str">
        <f t="shared" si="837"/>
        <v>C_MOV_ATENDIME</v>
      </c>
      <c r="G9625" s="2" t="str">
        <f>"MVSaude / Atendimento / Autorizações de Guias / Internação / Consultas / Movimentação do Atendimento (C_MOV_ATENDIME)"</f>
        <v>MVSaude / Atendimento / Autorizações de Guias / Internação / Consultas / Movimentação do Atendimento (C_MOV_ATENDIME)</v>
      </c>
    </row>
    <row r="9626" spans="1:7" x14ac:dyDescent="0.3">
      <c r="A9626" s="1" t="s">
        <v>4</v>
      </c>
      <c r="B9626" s="2" t="str">
        <f t="shared" si="833"/>
        <v>SISTEMA DE GERENCIAMENTO DE INTERNAÇÃO</v>
      </c>
      <c r="C9626" s="2" t="str">
        <f t="shared" si="834"/>
        <v>INTER</v>
      </c>
      <c r="D9626" s="2" t="str">
        <f t="shared" si="835"/>
        <v>PARI</v>
      </c>
      <c r="E9626" s="2" t="str">
        <f t="shared" si="836"/>
        <v>CONSULTA MOVIMENTAÇÃO DO ATENDIMENTO</v>
      </c>
      <c r="F9626" s="2" t="str">
        <f t="shared" si="837"/>
        <v>C_MOV_ATENDIME</v>
      </c>
      <c r="G9626" s="2" t="str">
        <f>"Serviços de Apoio / Nutrição e Dietética / Consultas / Movimentação do Atendimento (C_MOV_ATENDIME)"</f>
        <v>Serviços de Apoio / Nutrição e Dietética / Consultas / Movimentação do Atendimento (C_MOV_ATENDIME)</v>
      </c>
    </row>
    <row r="9627" spans="1:7" x14ac:dyDescent="0.3">
      <c r="A9627" s="1" t="s">
        <v>4</v>
      </c>
      <c r="B9627" s="2" t="str">
        <f t="shared" si="833"/>
        <v>SISTEMA DE GERENCIAMENTO DE INTERNAÇÃO</v>
      </c>
      <c r="C9627" s="2" t="str">
        <f t="shared" si="834"/>
        <v>INTER</v>
      </c>
      <c r="D9627" s="2" t="str">
        <f t="shared" si="835"/>
        <v>PARI</v>
      </c>
      <c r="E9627" s="2" t="str">
        <f t="shared" si="836"/>
        <v>CONSULTA MOVIMENTAÇÃO DO ATENDIMENTO</v>
      </c>
      <c r="F9627" s="2" t="str">
        <f t="shared" si="837"/>
        <v>C_MOV_ATENDIME</v>
      </c>
      <c r="G9627" s="2" t="str">
        <f>"Atendimento / Internação Domiciliar (Home Care) / Consultas / Movimentação do Atendimento (C_MOV_ATENDIME)"</f>
        <v>Atendimento / Internação Domiciliar (Home Care) / Consultas / Movimentação do Atendimento (C_MOV_ATENDIME)</v>
      </c>
    </row>
    <row r="9628" spans="1:7" x14ac:dyDescent="0.3">
      <c r="A9628" s="1" t="s">
        <v>4</v>
      </c>
      <c r="B9628" s="2" t="str">
        <f t="shared" si="833"/>
        <v>SISTEMA DE GERENCIAMENTO DE INTERNAÇÃO</v>
      </c>
      <c r="C9628" s="2" t="str">
        <f t="shared" si="834"/>
        <v>INTER</v>
      </c>
      <c r="D9628" s="2" t="str">
        <f t="shared" si="835"/>
        <v>PARI</v>
      </c>
      <c r="E9628" s="2" t="str">
        <f>"RELATORIO DE MOVIMENTAÇÃO SINTETICO"</f>
        <v>RELATORIO DE MOVIMENTAÇÃO SINTETICO</v>
      </c>
      <c r="F9628" s="2" t="str">
        <f>"R_MOV_SINT"</f>
        <v>R_MOV_SINT</v>
      </c>
      <c r="G9628" s="2" t="str">
        <f>"Atendimento / Internação / Relatórios / Movimentação / Sintético (R_MOV_SINT)"</f>
        <v>Atendimento / Internação / Relatórios / Movimentação / Sintético (R_MOV_SINT)</v>
      </c>
    </row>
    <row r="9629" spans="1:7" x14ac:dyDescent="0.3">
      <c r="A9629" s="1" t="s">
        <v>4</v>
      </c>
      <c r="B9629" s="2" t="str">
        <f t="shared" si="833"/>
        <v>SISTEMA DE GERENCIAMENTO DE INTERNAÇÃO</v>
      </c>
      <c r="C9629" s="2" t="str">
        <f t="shared" si="834"/>
        <v>INTER</v>
      </c>
      <c r="D9629" s="2" t="str">
        <f t="shared" si="835"/>
        <v>PARI</v>
      </c>
      <c r="E9629" s="2" t="str">
        <f>"RELATORIO DE MOVIMENTAÇÃO SINTETICO"</f>
        <v>RELATORIO DE MOVIMENTAÇÃO SINTETICO</v>
      </c>
      <c r="F9629" s="2" t="str">
        <f>"R_MOV_SINT"</f>
        <v>R_MOV_SINT</v>
      </c>
      <c r="G9629" s="2" t="str">
        <f>"MVSaude / Atendimento / Autorizações de Guias / Internação / Relatórios / Movimentação / Sintético (R_MOV_SINT)"</f>
        <v>MVSaude / Atendimento / Autorizações de Guias / Internação / Relatórios / Movimentação / Sintético (R_MOV_SINT)</v>
      </c>
    </row>
    <row r="9630" spans="1:7" x14ac:dyDescent="0.3">
      <c r="A9630" s="1" t="s">
        <v>4</v>
      </c>
      <c r="B9630" s="2" t="str">
        <f t="shared" si="833"/>
        <v>SISTEMA DE GERENCIAMENTO DE INTERNAÇÃO</v>
      </c>
      <c r="C9630" s="2" t="str">
        <f t="shared" si="834"/>
        <v>INTER</v>
      </c>
      <c r="D9630" s="2" t="str">
        <f t="shared" si="835"/>
        <v>PARI</v>
      </c>
      <c r="E9630" s="2" t="str">
        <f>"RELATORIO DE MOVIMENTAÇÃO SINTETICO"</f>
        <v>RELATORIO DE MOVIMENTAÇÃO SINTETICO</v>
      </c>
      <c r="F9630" s="2" t="str">
        <f>"R_MOV_SINT"</f>
        <v>R_MOV_SINT</v>
      </c>
      <c r="G9630" s="2" t="str">
        <f>"MVSaude / Vendas / Internação / Relatórios / Movimentação / Sintético (R_MOV_SINT)"</f>
        <v>MVSaude / Vendas / Internação / Relatórios / Movimentação / Sintético (R_MOV_SINT)</v>
      </c>
    </row>
    <row r="9631" spans="1:7" x14ac:dyDescent="0.3">
      <c r="A9631" s="1" t="s">
        <v>4</v>
      </c>
      <c r="B9631" s="2" t="str">
        <f t="shared" si="833"/>
        <v>SISTEMA DE GERENCIAMENTO DE INTERNAÇÃO</v>
      </c>
      <c r="C9631" s="2" t="str">
        <f t="shared" si="834"/>
        <v>INTER</v>
      </c>
      <c r="D9631" s="2" t="str">
        <f t="shared" si="835"/>
        <v>PARI</v>
      </c>
      <c r="E9631" s="2" t="str">
        <f>"RELATORIO CONTROLE DE PERMANENCIA"</f>
        <v>RELATORIO CONTROLE DE PERMANENCIA</v>
      </c>
      <c r="F9631" s="2" t="str">
        <f>"R_CON_PERMAN"</f>
        <v>R_CON_PERMAN</v>
      </c>
      <c r="G9631" s="2" t="str">
        <f>"Atendimento / Internação / Relatórios / Internados / Controle de Permanência (R_CON_PERMAN)"</f>
        <v>Atendimento / Internação / Relatórios / Internados / Controle de Permanência (R_CON_PERMAN)</v>
      </c>
    </row>
    <row r="9632" spans="1:7" x14ac:dyDescent="0.3">
      <c r="A9632" s="1" t="s">
        <v>4</v>
      </c>
      <c r="B9632" s="2" t="str">
        <f t="shared" si="833"/>
        <v>SISTEMA DE GERENCIAMENTO DE INTERNAÇÃO</v>
      </c>
      <c r="C9632" s="2" t="str">
        <f t="shared" si="834"/>
        <v>INTER</v>
      </c>
      <c r="D9632" s="2" t="str">
        <f t="shared" si="835"/>
        <v>PARI</v>
      </c>
      <c r="E9632" s="2" t="str">
        <f>"RELATORIO CONTROLE DE PERMANENCIA"</f>
        <v>RELATORIO CONTROLE DE PERMANENCIA</v>
      </c>
      <c r="F9632" s="2" t="str">
        <f>"R_CON_PERMAN"</f>
        <v>R_CON_PERMAN</v>
      </c>
      <c r="G9632" s="2" t="str">
        <f>"MVSaude / Atendimento / Autorizações de Guias / Internação / Relatórios / Internados / Controle de Permanência (R_CON_PERMAN)"</f>
        <v>MVSaude / Atendimento / Autorizações de Guias / Internação / Relatórios / Internados / Controle de Permanência (R_CON_PERMAN)</v>
      </c>
    </row>
    <row r="9633" spans="1:7" x14ac:dyDescent="0.3">
      <c r="A9633" s="1" t="s">
        <v>4</v>
      </c>
      <c r="B9633" s="2" t="str">
        <f t="shared" si="833"/>
        <v>SISTEMA DE GERENCIAMENTO DE INTERNAÇÃO</v>
      </c>
      <c r="C9633" s="2" t="str">
        <f t="shared" si="834"/>
        <v>INTER</v>
      </c>
      <c r="D9633" s="2" t="str">
        <f t="shared" si="835"/>
        <v>PARI</v>
      </c>
      <c r="E9633" s="2" t="str">
        <f>"RELATORIO CONTROLE DE PERMANENCIA"</f>
        <v>RELATORIO CONTROLE DE PERMANENCIA</v>
      </c>
      <c r="F9633" s="2" t="str">
        <f>"R_CON_PERMAN"</f>
        <v>R_CON_PERMAN</v>
      </c>
      <c r="G9633" s="2" t="str">
        <f>"MVSaude / Vendas / Internação / Relatórios / Internados / Controle de Permanência (R_CON_PERMAN)"</f>
        <v>MVSaude / Vendas / Internação / Relatórios / Internados / Controle de Permanência (R_CON_PERMAN)</v>
      </c>
    </row>
    <row r="9634" spans="1:7" x14ac:dyDescent="0.3">
      <c r="A9634" s="1" t="s">
        <v>4</v>
      </c>
      <c r="B9634" s="2" t="str">
        <f t="shared" si="833"/>
        <v>SISTEMA DE GERENCIAMENTO DE INTERNAÇÃO</v>
      </c>
      <c r="C9634" s="2" t="str">
        <f t="shared" si="834"/>
        <v>INTER</v>
      </c>
      <c r="D9634" s="2" t="str">
        <f t="shared" si="835"/>
        <v>PARI</v>
      </c>
      <c r="E9634" s="2" t="str">
        <f>"RELATORIO DE INTERNADOS ORDEM ALFABETICA"</f>
        <v>RELATORIO DE INTERNADOS ORDEM ALFABETICA</v>
      </c>
      <c r="F9634" s="2" t="str">
        <f>"R_INT_PAC"</f>
        <v>R_INT_PAC</v>
      </c>
      <c r="G9634" s="2" t="str">
        <f>"Atendimento / Internação / Relatórios / Internados / Alfabética (R_INT_PAC)"</f>
        <v>Atendimento / Internação / Relatórios / Internados / Alfabética (R_INT_PAC)</v>
      </c>
    </row>
    <row r="9635" spans="1:7" x14ac:dyDescent="0.3">
      <c r="A9635" s="1" t="s">
        <v>4</v>
      </c>
      <c r="B9635" s="2" t="str">
        <f t="shared" si="833"/>
        <v>SISTEMA DE GERENCIAMENTO DE INTERNAÇÃO</v>
      </c>
      <c r="C9635" s="2" t="str">
        <f t="shared" si="834"/>
        <v>INTER</v>
      </c>
      <c r="D9635" s="2" t="str">
        <f t="shared" si="835"/>
        <v>PARI</v>
      </c>
      <c r="E9635" s="2" t="str">
        <f>"RELATORIO DE INTERNADOS ORDEM ALFABETICA"</f>
        <v>RELATORIO DE INTERNADOS ORDEM ALFABETICA</v>
      </c>
      <c r="F9635" s="2" t="str">
        <f>"R_INT_PAC"</f>
        <v>R_INT_PAC</v>
      </c>
      <c r="G9635" s="2" t="str">
        <f>"Controladoria / Tesouraria / Relatórios / Internação / Pacientes Internado em Ordem Alfabética (R_INT_PAC)"</f>
        <v>Controladoria / Tesouraria / Relatórios / Internação / Pacientes Internado em Ordem Alfabética (R_INT_PAC)</v>
      </c>
    </row>
    <row r="9636" spans="1:7" x14ac:dyDescent="0.3">
      <c r="A9636" s="1" t="s">
        <v>4</v>
      </c>
      <c r="B9636" s="2" t="str">
        <f t="shared" si="833"/>
        <v>SISTEMA DE GERENCIAMENTO DE INTERNAÇÃO</v>
      </c>
      <c r="C9636" s="2" t="str">
        <f t="shared" si="834"/>
        <v>INTER</v>
      </c>
      <c r="D9636" s="2" t="str">
        <f t="shared" si="835"/>
        <v>PARI</v>
      </c>
      <c r="E9636" s="2" t="str">
        <f>"RELATORIO DE INTERNADOS ORDEM ALFABETICA"</f>
        <v>RELATORIO DE INTERNADOS ORDEM ALFABETICA</v>
      </c>
      <c r="F9636" s="2" t="str">
        <f>"R_INT_PAC"</f>
        <v>R_INT_PAC</v>
      </c>
      <c r="G9636" s="2" t="str">
        <f>"MVSaude / Atendimento / Autorizações de Guias / Internação / Relatórios / Internados / Alfabética (R_INT_PAC)"</f>
        <v>MVSaude / Atendimento / Autorizações de Guias / Internação / Relatórios / Internados / Alfabética (R_INT_PAC)</v>
      </c>
    </row>
    <row r="9637" spans="1:7" x14ac:dyDescent="0.3">
      <c r="A9637" s="1" t="s">
        <v>4</v>
      </c>
      <c r="B9637" s="2" t="str">
        <f t="shared" si="833"/>
        <v>SISTEMA DE GERENCIAMENTO DE INTERNAÇÃO</v>
      </c>
      <c r="C9637" s="2" t="str">
        <f t="shared" si="834"/>
        <v>INTER</v>
      </c>
      <c r="D9637" s="2" t="str">
        <f t="shared" si="835"/>
        <v>PARI</v>
      </c>
      <c r="E9637" s="2" t="str">
        <f>"RELATORIO DE INTERNADOS ORDEM ALFABETICA"</f>
        <v>RELATORIO DE INTERNADOS ORDEM ALFABETICA</v>
      </c>
      <c r="F9637" s="2" t="str">
        <f>"R_INT_PAC"</f>
        <v>R_INT_PAC</v>
      </c>
      <c r="G9637" s="2" t="str">
        <f>"MVSaude / Vendas / Internação / Relatórios / Internados / Alfabética (R_INT_PAC)"</f>
        <v>MVSaude / Vendas / Internação / Relatórios / Internados / Alfabética (R_INT_PAC)</v>
      </c>
    </row>
    <row r="9638" spans="1:7" x14ac:dyDescent="0.3">
      <c r="A9638" s="1" t="s">
        <v>4</v>
      </c>
      <c r="B9638" s="2" t="str">
        <f t="shared" si="833"/>
        <v>SISTEMA DE GERENCIAMENTO DE INTERNAÇÃO</v>
      </c>
      <c r="C9638" s="2" t="str">
        <f t="shared" si="834"/>
        <v>INTER</v>
      </c>
      <c r="D9638" s="2" t="str">
        <f t="shared" si="835"/>
        <v>PARI</v>
      </c>
      <c r="E9638" s="2" t="str">
        <f>"RELATORIO DE INTERNADOS ORDEM ALFABETICA"</f>
        <v>RELATORIO DE INTERNADOS ORDEM ALFABETICA</v>
      </c>
      <c r="F9638" s="2" t="str">
        <f>"R_INT_PAC"</f>
        <v>R_INT_PAC</v>
      </c>
      <c r="G9638" s="2" t="str">
        <f>"Atendimento / Internação Domiciliar (Home Care) / Relatórios / Internados / Alfabética (R_INT_PAC)"</f>
        <v>Atendimento / Internação Domiciliar (Home Care) / Relatórios / Internados / Alfabética (R_INT_PAC)</v>
      </c>
    </row>
    <row r="9639" spans="1:7" x14ac:dyDescent="0.3">
      <c r="A9639" s="1" t="s">
        <v>4</v>
      </c>
      <c r="B9639" s="2" t="str">
        <f t="shared" si="833"/>
        <v>SISTEMA DE GERENCIAMENTO DE INTERNAÇÃO</v>
      </c>
      <c r="C9639" s="2" t="str">
        <f t="shared" si="834"/>
        <v>INTER</v>
      </c>
      <c r="D9639" s="2" t="str">
        <f t="shared" si="835"/>
        <v>PARI</v>
      </c>
      <c r="E9639" s="2" t="str">
        <f>"RELATORIO INTERNADOS POR MÉDICO"</f>
        <v>RELATORIO INTERNADOS POR MÉDICO</v>
      </c>
      <c r="F9639" s="2" t="str">
        <f>"R_INT_MED"</f>
        <v>R_INT_MED</v>
      </c>
      <c r="G9639" s="2" t="str">
        <f>"Atendimento / Internação / Relatórios / Internados / por Médico (R_INT_MED)"</f>
        <v>Atendimento / Internação / Relatórios / Internados / por Médico (R_INT_MED)</v>
      </c>
    </row>
    <row r="9640" spans="1:7" x14ac:dyDescent="0.3">
      <c r="A9640" s="1" t="s">
        <v>4</v>
      </c>
      <c r="B9640" s="2" t="str">
        <f t="shared" si="833"/>
        <v>SISTEMA DE GERENCIAMENTO DE INTERNAÇÃO</v>
      </c>
      <c r="C9640" s="2" t="str">
        <f t="shared" si="834"/>
        <v>INTER</v>
      </c>
      <c r="D9640" s="2" t="str">
        <f t="shared" si="835"/>
        <v>PARI</v>
      </c>
      <c r="E9640" s="2" t="str">
        <f>"RELATORIO INTERNADOS POR MÉDICO"</f>
        <v>RELATORIO INTERNADOS POR MÉDICO</v>
      </c>
      <c r="F9640" s="2" t="str">
        <f>"R_INT_MED"</f>
        <v>R_INT_MED</v>
      </c>
      <c r="G9640" s="2" t="str">
        <f>"Controladoria / Tesouraria / Relatórios / Internação / Pacientes Internados por Médico (R_INT_MED)"</f>
        <v>Controladoria / Tesouraria / Relatórios / Internação / Pacientes Internados por Médico (R_INT_MED)</v>
      </c>
    </row>
    <row r="9641" spans="1:7" x14ac:dyDescent="0.3">
      <c r="A9641" s="1" t="s">
        <v>4</v>
      </c>
      <c r="B9641" s="2" t="str">
        <f t="shared" si="833"/>
        <v>SISTEMA DE GERENCIAMENTO DE INTERNAÇÃO</v>
      </c>
      <c r="C9641" s="2" t="str">
        <f t="shared" si="834"/>
        <v>INTER</v>
      </c>
      <c r="D9641" s="2" t="str">
        <f t="shared" si="835"/>
        <v>PARI</v>
      </c>
      <c r="E9641" s="2" t="str">
        <f>"RELATORIO INTERNADOS POR MÉDICO"</f>
        <v>RELATORIO INTERNADOS POR MÉDICO</v>
      </c>
      <c r="F9641" s="2" t="str">
        <f>"R_INT_MED"</f>
        <v>R_INT_MED</v>
      </c>
      <c r="G9641" s="2" t="str">
        <f>"MVSaude / Atendimento / Autorizações de Guias / Internação / Relatórios / Internados / por Médico (R_INT_MED)"</f>
        <v>MVSaude / Atendimento / Autorizações de Guias / Internação / Relatórios / Internados / por Médico (R_INT_MED)</v>
      </c>
    </row>
    <row r="9642" spans="1:7" x14ac:dyDescent="0.3">
      <c r="A9642" s="1" t="s">
        <v>4</v>
      </c>
      <c r="B9642" s="2" t="str">
        <f t="shared" si="833"/>
        <v>SISTEMA DE GERENCIAMENTO DE INTERNAÇÃO</v>
      </c>
      <c r="C9642" s="2" t="str">
        <f t="shared" si="834"/>
        <v>INTER</v>
      </c>
      <c r="D9642" s="2" t="str">
        <f t="shared" si="835"/>
        <v>PARI</v>
      </c>
      <c r="E9642" s="2" t="str">
        <f>"RELATORIO INTERNADOS POR MÉDICO"</f>
        <v>RELATORIO INTERNADOS POR MÉDICO</v>
      </c>
      <c r="F9642" s="2" t="str">
        <f>"R_INT_MED"</f>
        <v>R_INT_MED</v>
      </c>
      <c r="G9642" s="2" t="str">
        <f>"MVSaude / Vendas / Internação / Relatórios / Internados / por Médico (R_INT_MED)"</f>
        <v>MVSaude / Vendas / Internação / Relatórios / Internados / por Médico (R_INT_MED)</v>
      </c>
    </row>
    <row r="9643" spans="1:7" x14ac:dyDescent="0.3">
      <c r="A9643" s="1" t="s">
        <v>4</v>
      </c>
      <c r="B9643" s="2" t="str">
        <f t="shared" si="833"/>
        <v>SISTEMA DE GERENCIAMENTO DE INTERNAÇÃO</v>
      </c>
      <c r="C9643" s="2" t="str">
        <f t="shared" si="834"/>
        <v>INTER</v>
      </c>
      <c r="D9643" s="2" t="str">
        <f t="shared" si="835"/>
        <v>PARI</v>
      </c>
      <c r="E9643" s="2" t="str">
        <f>"RELATORIO INTERNADOS POR CONVENIO"</f>
        <v>RELATORIO INTERNADOS POR CONVENIO</v>
      </c>
      <c r="F9643" s="2" t="str">
        <f>"R_INT_CONV"</f>
        <v>R_INT_CONV</v>
      </c>
      <c r="G9643" s="2" t="str">
        <f>"Atendimento / Internação / Relatórios / Internados / por Convênio (R_INT_CONV)"</f>
        <v>Atendimento / Internação / Relatórios / Internados / por Convênio (R_INT_CONV)</v>
      </c>
    </row>
    <row r="9644" spans="1:7" x14ac:dyDescent="0.3">
      <c r="A9644" s="1" t="s">
        <v>4</v>
      </c>
      <c r="B9644" s="2" t="str">
        <f t="shared" si="833"/>
        <v>SISTEMA DE GERENCIAMENTO DE INTERNAÇÃO</v>
      </c>
      <c r="C9644" s="2" t="str">
        <f t="shared" si="834"/>
        <v>INTER</v>
      </c>
      <c r="D9644" s="2" t="str">
        <f t="shared" si="835"/>
        <v>PARI</v>
      </c>
      <c r="E9644" s="2" t="str">
        <f>"RELATORIO INTERNADOS POR CONVENIO"</f>
        <v>RELATORIO INTERNADOS POR CONVENIO</v>
      </c>
      <c r="F9644" s="2" t="str">
        <f>"R_INT_CONV"</f>
        <v>R_INT_CONV</v>
      </c>
      <c r="G9644" s="2" t="str">
        <f>"Controladoria / Tesouraria / Relatórios / Internação / Pacientes Internados por Convenio (R_INT_CONV)"</f>
        <v>Controladoria / Tesouraria / Relatórios / Internação / Pacientes Internados por Convenio (R_INT_CONV)</v>
      </c>
    </row>
    <row r="9645" spans="1:7" x14ac:dyDescent="0.3">
      <c r="A9645" s="1" t="s">
        <v>4</v>
      </c>
      <c r="B9645" s="2" t="str">
        <f t="shared" si="833"/>
        <v>SISTEMA DE GERENCIAMENTO DE INTERNAÇÃO</v>
      </c>
      <c r="C9645" s="2" t="str">
        <f t="shared" si="834"/>
        <v>INTER</v>
      </c>
      <c r="D9645" s="2" t="str">
        <f t="shared" si="835"/>
        <v>PARI</v>
      </c>
      <c r="E9645" s="2" t="str">
        <f>"RELATORIO INTERNADOS POR CONVENIO"</f>
        <v>RELATORIO INTERNADOS POR CONVENIO</v>
      </c>
      <c r="F9645" s="2" t="str">
        <f>"R_INT_CONV"</f>
        <v>R_INT_CONV</v>
      </c>
      <c r="G9645" s="2" t="str">
        <f>"MVSaude / Atendimento / Autorizações de Guias / Internação / Relatórios / Internados / por Convênio (R_INT_CONV)"</f>
        <v>MVSaude / Atendimento / Autorizações de Guias / Internação / Relatórios / Internados / por Convênio (R_INT_CONV)</v>
      </c>
    </row>
    <row r="9646" spans="1:7" x14ac:dyDescent="0.3">
      <c r="A9646" s="1" t="s">
        <v>4</v>
      </c>
      <c r="B9646" s="2" t="str">
        <f t="shared" si="833"/>
        <v>SISTEMA DE GERENCIAMENTO DE INTERNAÇÃO</v>
      </c>
      <c r="C9646" s="2" t="str">
        <f t="shared" si="834"/>
        <v>INTER</v>
      </c>
      <c r="D9646" s="2" t="str">
        <f t="shared" si="835"/>
        <v>PARI</v>
      </c>
      <c r="E9646" s="2" t="str">
        <f>"RELATORIO INTERNADOS POR CONVENIO"</f>
        <v>RELATORIO INTERNADOS POR CONVENIO</v>
      </c>
      <c r="F9646" s="2" t="str">
        <f>"R_INT_CONV"</f>
        <v>R_INT_CONV</v>
      </c>
      <c r="G9646" s="2" t="str">
        <f>"MVSaude / Vendas / Internação / Relatórios / Internados / por Convênio (R_INT_CONV)"</f>
        <v>MVSaude / Vendas / Internação / Relatórios / Internados / por Convênio (R_INT_CONV)</v>
      </c>
    </row>
    <row r="9647" spans="1:7" x14ac:dyDescent="0.3">
      <c r="A9647" s="1" t="s">
        <v>4</v>
      </c>
      <c r="B9647" s="2" t="str">
        <f t="shared" si="833"/>
        <v>SISTEMA DE GERENCIAMENTO DE INTERNAÇÃO</v>
      </c>
      <c r="C9647" s="2" t="str">
        <f t="shared" si="834"/>
        <v>INTER</v>
      </c>
      <c r="D9647" s="2" t="str">
        <f t="shared" si="835"/>
        <v>PARI</v>
      </c>
      <c r="E9647" s="2" t="str">
        <f>"RELATORIO INTERNADOS POR CONVENIO"</f>
        <v>RELATORIO INTERNADOS POR CONVENIO</v>
      </c>
      <c r="F9647" s="2" t="str">
        <f>"R_INT_CONV"</f>
        <v>R_INT_CONV</v>
      </c>
      <c r="G9647" s="2" t="str">
        <f>"Atendimento / Internação Domiciliar (Home Care) / Relatórios / Internados / por Convênio (R_INT_CONV)"</f>
        <v>Atendimento / Internação Domiciliar (Home Care) / Relatórios / Internados / por Convênio (R_INT_CONV)</v>
      </c>
    </row>
    <row r="9648" spans="1:7" x14ac:dyDescent="0.3">
      <c r="A9648" s="1" t="s">
        <v>4</v>
      </c>
      <c r="B9648" s="2" t="str">
        <f t="shared" si="833"/>
        <v>SISTEMA DE GERENCIAMENTO DE INTERNAÇÃO</v>
      </c>
      <c r="C9648" s="2" t="str">
        <f t="shared" si="834"/>
        <v>INTER</v>
      </c>
      <c r="D9648" s="2" t="str">
        <f t="shared" si="835"/>
        <v>PARI</v>
      </c>
      <c r="E9648" s="2" t="str">
        <f>"RELATORIO ESTATISTICO DE SERVIÇO"</f>
        <v>RELATORIO ESTATISTICO DE SERVIÇO</v>
      </c>
      <c r="F9648" s="2" t="str">
        <f>"R_EST_SERVICO"</f>
        <v>R_EST_SERVICO</v>
      </c>
      <c r="G9648" s="2" t="str">
        <f>"Serviços de Apoio / Serviço Arquivo Médico / Relatórios / Estatísticos / Internações / Por Serviço (R_EST_SERVICO)"</f>
        <v>Serviços de Apoio / Serviço Arquivo Médico / Relatórios / Estatísticos / Internações / Por Serviço (R_EST_SERVICO)</v>
      </c>
    </row>
    <row r="9649" spans="1:7" x14ac:dyDescent="0.3">
      <c r="A9649" s="1" t="s">
        <v>4</v>
      </c>
      <c r="B9649" s="2" t="str">
        <f t="shared" si="833"/>
        <v>SISTEMA DE GERENCIAMENTO DE INTERNAÇÃO</v>
      </c>
      <c r="C9649" s="2" t="str">
        <f t="shared" si="834"/>
        <v>INTER</v>
      </c>
      <c r="D9649" s="2" t="str">
        <f t="shared" si="835"/>
        <v>PARI</v>
      </c>
      <c r="E9649" s="2" t="str">
        <f>"RELATORIO ESTATISTICO DE SERVIÇO"</f>
        <v>RELATORIO ESTATISTICO DE SERVIÇO</v>
      </c>
      <c r="F9649" s="2" t="str">
        <f>"R_EST_SERVICO"</f>
        <v>R_EST_SERVICO</v>
      </c>
      <c r="G9649" s="2" t="str">
        <f>"MVSaude / Vendas / Internação / Relatórios / Estatísticos / Internações / Por Serviço (R_EST_SERVICO)"</f>
        <v>MVSaude / Vendas / Internação / Relatórios / Estatísticos / Internações / Por Serviço (R_EST_SERVICO)</v>
      </c>
    </row>
    <row r="9650" spans="1:7" x14ac:dyDescent="0.3">
      <c r="A9650" s="1" t="s">
        <v>4</v>
      </c>
      <c r="B9650" s="2" t="str">
        <f t="shared" si="833"/>
        <v>SISTEMA DE GERENCIAMENTO DE INTERNAÇÃO</v>
      </c>
      <c r="C9650" s="2" t="str">
        <f t="shared" si="834"/>
        <v>INTER</v>
      </c>
      <c r="D9650" s="2" t="str">
        <f t="shared" si="835"/>
        <v>PARI</v>
      </c>
      <c r="E9650" s="2" t="str">
        <f>"RELATORIO ESTATISTICO DE SERVIÇO"</f>
        <v>RELATORIO ESTATISTICO DE SERVIÇO</v>
      </c>
      <c r="F9650" s="2" t="str">
        <f>"R_EST_SERVICO"</f>
        <v>R_EST_SERVICO</v>
      </c>
      <c r="G9650" s="2" t="str">
        <f>"Atendimento / Internação / Relatórios / Estatísticos / Internações / Por Serviço (R_EST_SERVICO)"</f>
        <v>Atendimento / Internação / Relatórios / Estatísticos / Internações / Por Serviço (R_EST_SERVICO)</v>
      </c>
    </row>
    <row r="9651" spans="1:7" x14ac:dyDescent="0.3">
      <c r="A9651" s="1" t="s">
        <v>4</v>
      </c>
      <c r="B9651" s="2" t="str">
        <f t="shared" si="833"/>
        <v>SISTEMA DE GERENCIAMENTO DE INTERNAÇÃO</v>
      </c>
      <c r="C9651" s="2" t="str">
        <f t="shared" si="834"/>
        <v>INTER</v>
      </c>
      <c r="D9651" s="2" t="str">
        <f t="shared" si="835"/>
        <v>PARI</v>
      </c>
      <c r="E9651" s="2" t="str">
        <f>"RELATORIO ESTATISTICO DE SERVIÇO"</f>
        <v>RELATORIO ESTATISTICO DE SERVIÇO</v>
      </c>
      <c r="F9651" s="2" t="str">
        <f>"R_EST_SERVICO"</f>
        <v>R_EST_SERVICO</v>
      </c>
      <c r="G9651" s="2" t="str">
        <f>"Atendimento / Internação Domiciliar (Home Care) / Relatórios / Estatísticos / de Serviços (R_EST_SERVICO)"</f>
        <v>Atendimento / Internação Domiciliar (Home Care) / Relatórios / Estatísticos / de Serviços (R_EST_SERVICO)</v>
      </c>
    </row>
    <row r="9652" spans="1:7" x14ac:dyDescent="0.3">
      <c r="A9652" s="1" t="s">
        <v>4</v>
      </c>
      <c r="B9652" s="2" t="str">
        <f t="shared" si="833"/>
        <v>SISTEMA DE GERENCIAMENTO DE INTERNAÇÃO</v>
      </c>
      <c r="C9652" s="2" t="str">
        <f t="shared" si="834"/>
        <v>INTER</v>
      </c>
      <c r="D9652" s="2" t="str">
        <f t="shared" si="835"/>
        <v>PARI</v>
      </c>
      <c r="E9652" s="2" t="str">
        <f>"RELATORIO ESTATISTICO DE SERVIÇO"</f>
        <v>RELATORIO ESTATISTICO DE SERVIÇO</v>
      </c>
      <c r="F9652" s="2" t="str">
        <f>"R_EST_SERVICO"</f>
        <v>R_EST_SERVICO</v>
      </c>
      <c r="G9652" s="2" t="str">
        <f>"MVSaude / Atendimento / Autorizações de Guias / Internação / Relatórios / Estatísticos / Internações / Por Serviço (R_EST_SERVICO)"</f>
        <v>MVSaude / Atendimento / Autorizações de Guias / Internação / Relatórios / Estatísticos / Internações / Por Serviço (R_EST_SERVICO)</v>
      </c>
    </row>
    <row r="9653" spans="1:7" x14ac:dyDescent="0.3">
      <c r="A9653" s="1" t="s">
        <v>4</v>
      </c>
      <c r="B9653" s="2" t="str">
        <f t="shared" si="833"/>
        <v>SISTEMA DE GERENCIAMENTO DE INTERNAÇÃO</v>
      </c>
      <c r="C9653" s="2" t="str">
        <f t="shared" si="834"/>
        <v>INTER</v>
      </c>
      <c r="D9653" s="2" t="str">
        <f t="shared" si="835"/>
        <v>PARI</v>
      </c>
      <c r="E9653" s="2" t="str">
        <f>"RELATORIO DE PREVISÃO DE INTERNAMENTO"</f>
        <v>RELATORIO DE PREVISÃO DE INTERNAMENTO</v>
      </c>
      <c r="F9653" s="2" t="str">
        <f>"R_RES_LEITO"</f>
        <v>R_RES_LEITO</v>
      </c>
      <c r="G9653" s="2" t="str">
        <f>"MVSaude / Vendas / Internação / Relatórios / Operacionais / Internações / Pré-Internação (R_RES_LEITO)"</f>
        <v>MVSaude / Vendas / Internação / Relatórios / Operacionais / Internações / Pré-Internação (R_RES_LEITO)</v>
      </c>
    </row>
    <row r="9654" spans="1:7" x14ac:dyDescent="0.3">
      <c r="A9654" s="1" t="s">
        <v>4</v>
      </c>
      <c r="B9654" s="2" t="str">
        <f t="shared" si="833"/>
        <v>SISTEMA DE GERENCIAMENTO DE INTERNAÇÃO</v>
      </c>
      <c r="C9654" s="2" t="str">
        <f t="shared" si="834"/>
        <v>INTER</v>
      </c>
      <c r="D9654" s="2" t="str">
        <f t="shared" si="835"/>
        <v>PARI</v>
      </c>
      <c r="E9654" s="2" t="str">
        <f>"RELATORIO DE PREVISÃO DE INTERNAMENTO"</f>
        <v>RELATORIO DE PREVISÃO DE INTERNAMENTO</v>
      </c>
      <c r="F9654" s="2" t="str">
        <f>"R_RES_LEITO"</f>
        <v>R_RES_LEITO</v>
      </c>
      <c r="G9654" s="2" t="str">
        <f>"Atendimento / Internação / Relatórios / Operacionais / Internações / Pré-Internação (R_RES_LEITO)"</f>
        <v>Atendimento / Internação / Relatórios / Operacionais / Internações / Pré-Internação (R_RES_LEITO)</v>
      </c>
    </row>
    <row r="9655" spans="1:7" x14ac:dyDescent="0.3">
      <c r="A9655" s="1" t="s">
        <v>4</v>
      </c>
      <c r="B9655" s="2" t="str">
        <f t="shared" si="833"/>
        <v>SISTEMA DE GERENCIAMENTO DE INTERNAÇÃO</v>
      </c>
      <c r="C9655" s="2" t="str">
        <f t="shared" si="834"/>
        <v>INTER</v>
      </c>
      <c r="D9655" s="2" t="str">
        <f t="shared" si="835"/>
        <v>PARI</v>
      </c>
      <c r="E9655" s="2" t="str">
        <f>"RELATORIO DE PREVISÃO DE INTERNAMENTO"</f>
        <v>RELATORIO DE PREVISÃO DE INTERNAMENTO</v>
      </c>
      <c r="F9655" s="2" t="str">
        <f>"R_RES_LEITO"</f>
        <v>R_RES_LEITO</v>
      </c>
      <c r="G9655" s="2" t="str">
        <f>"Controladoria / Tesouraria / Relatórios / Internação / Previsão de Internamento (R_RES_LEITO)"</f>
        <v>Controladoria / Tesouraria / Relatórios / Internação / Previsão de Internamento (R_RES_LEITO)</v>
      </c>
    </row>
    <row r="9656" spans="1:7" x14ac:dyDescent="0.3">
      <c r="A9656" s="1" t="s">
        <v>4</v>
      </c>
      <c r="B9656" s="2" t="str">
        <f t="shared" si="833"/>
        <v>SISTEMA DE GERENCIAMENTO DE INTERNAÇÃO</v>
      </c>
      <c r="C9656" s="2" t="str">
        <f t="shared" si="834"/>
        <v>INTER</v>
      </c>
      <c r="D9656" s="2" t="str">
        <f t="shared" si="835"/>
        <v>PARI</v>
      </c>
      <c r="E9656" s="2" t="str">
        <f>"RELATORIO DE PREVISÃO DE INTERNAMENTO"</f>
        <v>RELATORIO DE PREVISÃO DE INTERNAMENTO</v>
      </c>
      <c r="F9656" s="2" t="str">
        <f>"R_RES_LEITO"</f>
        <v>R_RES_LEITO</v>
      </c>
      <c r="G9656" s="2" t="str">
        <f>"Serviços de Apoio / Serviço Arquivo Médico / Relatórios / Operacionais / Internações / Pré-Internação (R_RES_LEITO)"</f>
        <v>Serviços de Apoio / Serviço Arquivo Médico / Relatórios / Operacionais / Internações / Pré-Internação (R_RES_LEITO)</v>
      </c>
    </row>
    <row r="9657" spans="1:7" x14ac:dyDescent="0.3">
      <c r="A9657" s="1" t="s">
        <v>4</v>
      </c>
      <c r="B9657" s="2" t="str">
        <f t="shared" si="833"/>
        <v>SISTEMA DE GERENCIAMENTO DE INTERNAÇÃO</v>
      </c>
      <c r="C9657" s="2" t="str">
        <f t="shared" si="834"/>
        <v>INTER</v>
      </c>
      <c r="D9657" s="2" t="str">
        <f t="shared" si="835"/>
        <v>PARI</v>
      </c>
      <c r="E9657" s="2" t="str">
        <f>"RELATORIO DE PREVISÃO DE INTERNAMENTO"</f>
        <v>RELATORIO DE PREVISÃO DE INTERNAMENTO</v>
      </c>
      <c r="F9657" s="2" t="str">
        <f>"R_RES_LEITO"</f>
        <v>R_RES_LEITO</v>
      </c>
      <c r="G9657" s="2" t="str">
        <f>"MVSaude / Atendimento / Autorizações de Guias / Internação / Relatórios / Operacionais / Internações / Pré-Internação (R_RES_LEITO)"</f>
        <v>MVSaude / Atendimento / Autorizações de Guias / Internação / Relatórios / Operacionais / Internações / Pré-Internação (R_RES_LEITO)</v>
      </c>
    </row>
    <row r="9658" spans="1:7" x14ac:dyDescent="0.3">
      <c r="A9658" s="1" t="s">
        <v>4</v>
      </c>
      <c r="B9658" s="2" t="str">
        <f t="shared" si="833"/>
        <v>SISTEMA DE GERENCIAMENTO DE INTERNAÇÃO</v>
      </c>
      <c r="C9658" s="2" t="str">
        <f t="shared" si="834"/>
        <v>INTER</v>
      </c>
      <c r="D9658" s="2" t="str">
        <f t="shared" si="835"/>
        <v>PARI</v>
      </c>
      <c r="E9658" s="2" t="str">
        <f>"RELATORIO OCUPAÇÃO DAS UNIDADES"</f>
        <v>RELATORIO OCUPAÇÃO DAS UNIDADES</v>
      </c>
      <c r="F9658" s="2" t="str">
        <f>"R_OCUP_LEITOS"</f>
        <v>R_OCUP_LEITOS</v>
      </c>
      <c r="G9658" s="2" t="str">
        <f>"MVSaude / Vendas / Internação / Relatórios / Operacionais / Ocupação das Unidades (R_OCUP_LEITOS)"</f>
        <v>MVSaude / Vendas / Internação / Relatórios / Operacionais / Ocupação das Unidades (R_OCUP_LEITOS)</v>
      </c>
    </row>
    <row r="9659" spans="1:7" x14ac:dyDescent="0.3">
      <c r="A9659" s="1" t="s">
        <v>4</v>
      </c>
      <c r="B9659" s="2" t="str">
        <f t="shared" si="833"/>
        <v>SISTEMA DE GERENCIAMENTO DE INTERNAÇÃO</v>
      </c>
      <c r="C9659" s="2" t="str">
        <f t="shared" si="834"/>
        <v>INTER</v>
      </c>
      <c r="D9659" s="2" t="str">
        <f t="shared" si="835"/>
        <v>PARI</v>
      </c>
      <c r="E9659" s="2" t="str">
        <f>"RELATORIO OCUPAÇÃO DAS UNIDADES"</f>
        <v>RELATORIO OCUPAÇÃO DAS UNIDADES</v>
      </c>
      <c r="F9659" s="2" t="str">
        <f>"R_OCUP_LEITOS"</f>
        <v>R_OCUP_LEITOS</v>
      </c>
      <c r="G9659" s="2" t="str">
        <f>"Atendimento / Internação / Relatórios / Operacionais / Ocupação das Unidades (R_OCUP_LEITOS)"</f>
        <v>Atendimento / Internação / Relatórios / Operacionais / Ocupação das Unidades (R_OCUP_LEITOS)</v>
      </c>
    </row>
    <row r="9660" spans="1:7" x14ac:dyDescent="0.3">
      <c r="A9660" s="1" t="s">
        <v>4</v>
      </c>
      <c r="B9660" s="2" t="str">
        <f t="shared" si="833"/>
        <v>SISTEMA DE GERENCIAMENTO DE INTERNAÇÃO</v>
      </c>
      <c r="C9660" s="2" t="str">
        <f t="shared" si="834"/>
        <v>INTER</v>
      </c>
      <c r="D9660" s="2" t="str">
        <f t="shared" si="835"/>
        <v>PARI</v>
      </c>
      <c r="E9660" s="2" t="str">
        <f>"RELATORIO OCUPAÇÃO DAS UNIDADES"</f>
        <v>RELATORIO OCUPAÇÃO DAS UNIDADES</v>
      </c>
      <c r="F9660" s="2" t="str">
        <f>"R_OCUP_LEITOS"</f>
        <v>R_OCUP_LEITOS</v>
      </c>
      <c r="G9660" s="2" t="str">
        <f>"Serviços de Apoio / Serviço Arquivo Médico / Relatórios / Operacionais / Ocupação das Unidades (R_OCUP_LEITOS)"</f>
        <v>Serviços de Apoio / Serviço Arquivo Médico / Relatórios / Operacionais / Ocupação das Unidades (R_OCUP_LEITOS)</v>
      </c>
    </row>
    <row r="9661" spans="1:7" x14ac:dyDescent="0.3">
      <c r="A9661" s="1" t="s">
        <v>4</v>
      </c>
      <c r="B9661" s="2" t="str">
        <f t="shared" si="833"/>
        <v>SISTEMA DE GERENCIAMENTO DE INTERNAÇÃO</v>
      </c>
      <c r="C9661" s="2" t="str">
        <f t="shared" si="834"/>
        <v>INTER</v>
      </c>
      <c r="D9661" s="2" t="str">
        <f t="shared" si="835"/>
        <v>PARI</v>
      </c>
      <c r="E9661" s="2" t="str">
        <f>"RELATORIO OCUPAÇÃO DAS UNIDADES"</f>
        <v>RELATORIO OCUPAÇÃO DAS UNIDADES</v>
      </c>
      <c r="F9661" s="2" t="str">
        <f>"R_OCUP_LEITOS"</f>
        <v>R_OCUP_LEITOS</v>
      </c>
      <c r="G9661" s="2" t="str">
        <f>"Serviços de Apoio / Lavanderia e Rouparia / Relatórios / Operacionais / Ocupação das Unidades (R_OCUP_LEITOS)"</f>
        <v>Serviços de Apoio / Lavanderia e Rouparia / Relatórios / Operacionais / Ocupação das Unidades (R_OCUP_LEITOS)</v>
      </c>
    </row>
    <row r="9662" spans="1:7" x14ac:dyDescent="0.3">
      <c r="A9662" s="1" t="s">
        <v>4</v>
      </c>
      <c r="B9662" s="2" t="str">
        <f t="shared" si="833"/>
        <v>SISTEMA DE GERENCIAMENTO DE INTERNAÇÃO</v>
      </c>
      <c r="C9662" s="2" t="str">
        <f t="shared" si="834"/>
        <v>INTER</v>
      </c>
      <c r="D9662" s="2" t="str">
        <f t="shared" si="835"/>
        <v>PARI</v>
      </c>
      <c r="E9662" s="2" t="str">
        <f>"RELATORIO OCUPAÇÃO DAS UNIDADES"</f>
        <v>RELATORIO OCUPAÇÃO DAS UNIDADES</v>
      </c>
      <c r="F9662" s="2" t="str">
        <f>"R_OCUP_LEITOS"</f>
        <v>R_OCUP_LEITOS</v>
      </c>
      <c r="G9662" s="2" t="str">
        <f>"MVSaude / Atendimento / Autorizações de Guias / Internação / Relatórios / Operacionais / Ocupação das Unidades (R_OCUP_LEITOS)"</f>
        <v>MVSaude / Atendimento / Autorizações de Guias / Internação / Relatórios / Operacionais / Ocupação das Unidades (R_OCUP_LEITOS)</v>
      </c>
    </row>
    <row r="9663" spans="1:7" x14ac:dyDescent="0.3">
      <c r="A9663" s="1" t="s">
        <v>4</v>
      </c>
      <c r="B9663" s="2" t="str">
        <f t="shared" si="833"/>
        <v>SISTEMA DE GERENCIAMENTO DE INTERNAÇÃO</v>
      </c>
      <c r="C9663" s="2" t="str">
        <f t="shared" si="834"/>
        <v>INTER</v>
      </c>
      <c r="D9663" s="2" t="str">
        <f t="shared" si="835"/>
        <v>PARI</v>
      </c>
      <c r="E9663" s="2" t="str">
        <f t="shared" ref="E9663:E9670" si="838">"REL CAUÇÕES DEVOLVIDAS"</f>
        <v>REL CAUÇÕES DEVOLVIDAS</v>
      </c>
      <c r="F9663" s="2" t="str">
        <f t="shared" ref="F9663:F9670" si="839">"R_CAUCAO_DEVOL"</f>
        <v>R_CAUCAO_DEVOL</v>
      </c>
      <c r="G9663" s="2" t="str">
        <f>"MVSaude / Vendas / Internação / Relatórios / Operacionais / Depósito de Pagamento Antecipado / Devolvidas (R_CAUCAO_DEVOL)"</f>
        <v>MVSaude / Vendas / Internação / Relatórios / Operacionais / Depósito de Pagamento Antecipado / Devolvidas (R_CAUCAO_DEVOL)</v>
      </c>
    </row>
    <row r="9664" spans="1:7" x14ac:dyDescent="0.3">
      <c r="A9664" s="1" t="s">
        <v>4</v>
      </c>
      <c r="B9664" s="2" t="str">
        <f t="shared" si="833"/>
        <v>SISTEMA DE GERENCIAMENTO DE INTERNAÇÃO</v>
      </c>
      <c r="C9664" s="2" t="str">
        <f t="shared" si="834"/>
        <v>INTER</v>
      </c>
      <c r="D9664" s="2" t="str">
        <f t="shared" si="835"/>
        <v>PARI</v>
      </c>
      <c r="E9664" s="2" t="str">
        <f t="shared" si="838"/>
        <v>REL CAUÇÕES DEVOLVIDAS</v>
      </c>
      <c r="F9664" s="2" t="str">
        <f t="shared" si="839"/>
        <v>R_CAUCAO_DEVOL</v>
      </c>
      <c r="G9664" s="2" t="str">
        <f>"Atendimento / Urgência e Emergência / Relatórios / Operacionais /  Depósito de Pagamento Antecipado / Devolvidas (R_CAUCAO_DEVOL)"</f>
        <v>Atendimento / Urgência e Emergência / Relatórios / Operacionais /  Depósito de Pagamento Antecipado / Devolvidas (R_CAUCAO_DEVOL)</v>
      </c>
    </row>
    <row r="9665" spans="1:7" x14ac:dyDescent="0.3">
      <c r="A9665" s="1" t="s">
        <v>4</v>
      </c>
      <c r="B9665" s="2" t="str">
        <f t="shared" si="833"/>
        <v>SISTEMA DE GERENCIAMENTO DE INTERNAÇÃO</v>
      </c>
      <c r="C9665" s="2" t="str">
        <f t="shared" si="834"/>
        <v>INTER</v>
      </c>
      <c r="D9665" s="2" t="str">
        <f t="shared" si="835"/>
        <v>PARI</v>
      </c>
      <c r="E9665" s="2" t="str">
        <f t="shared" si="838"/>
        <v>REL CAUÇÕES DEVOLVIDAS</v>
      </c>
      <c r="F9665" s="2" t="str">
        <f t="shared" si="839"/>
        <v>R_CAUCAO_DEVOL</v>
      </c>
      <c r="G9665" s="2" t="str">
        <f>"Serviços de Apoio / Serviço Arquivo Médico / Relatórios / Operacionais / Manutenção Depósito Antecipado / Devolvidas (R_CAUCAO_DEVOL)"</f>
        <v>Serviços de Apoio / Serviço Arquivo Médico / Relatórios / Operacionais / Manutenção Depósito Antecipado / Devolvidas (R_CAUCAO_DEVOL)</v>
      </c>
    </row>
    <row r="9666" spans="1:7" x14ac:dyDescent="0.3">
      <c r="A9666" s="1" t="s">
        <v>4</v>
      </c>
      <c r="B9666" s="2" t="str">
        <f t="shared" si="833"/>
        <v>SISTEMA DE GERENCIAMENTO DE INTERNAÇÃO</v>
      </c>
      <c r="C9666" s="2" t="str">
        <f t="shared" si="834"/>
        <v>INTER</v>
      </c>
      <c r="D9666" s="2" t="str">
        <f t="shared" si="835"/>
        <v>PARI</v>
      </c>
      <c r="E9666" s="2" t="str">
        <f t="shared" si="838"/>
        <v>REL CAUÇÕES DEVOLVIDAS</v>
      </c>
      <c r="F9666" s="2" t="str">
        <f t="shared" si="839"/>
        <v>R_CAUCAO_DEVOL</v>
      </c>
      <c r="G9666" s="2" t="str">
        <f>"Controladoria / Tesouraria / Relatórios / Internação / Dep. Ant. Devolvidos (R_CAUCAO_DEVOL)"</f>
        <v>Controladoria / Tesouraria / Relatórios / Internação / Dep. Ant. Devolvidos (R_CAUCAO_DEVOL)</v>
      </c>
    </row>
    <row r="9667" spans="1:7" x14ac:dyDescent="0.3">
      <c r="A9667" s="1" t="s">
        <v>4</v>
      </c>
      <c r="B9667" s="2" t="str">
        <f t="shared" si="833"/>
        <v>SISTEMA DE GERENCIAMENTO DE INTERNAÇÃO</v>
      </c>
      <c r="C9667" s="2" t="str">
        <f t="shared" si="834"/>
        <v>INTER</v>
      </c>
      <c r="D9667" s="2" t="str">
        <f t="shared" si="835"/>
        <v>PARI</v>
      </c>
      <c r="E9667" s="2" t="str">
        <f t="shared" si="838"/>
        <v>REL CAUÇÕES DEVOLVIDAS</v>
      </c>
      <c r="F9667" s="2" t="str">
        <f t="shared" si="839"/>
        <v>R_CAUCAO_DEVOL</v>
      </c>
      <c r="G9667" s="2" t="str">
        <f>"Diagnóstico e Terapia / Diagnóstico por Imagem / Relatórios / Operacionais / Caução / Devolvidas (R_CAUCAO_DEVOL)"</f>
        <v>Diagnóstico e Terapia / Diagnóstico por Imagem / Relatórios / Operacionais / Caução / Devolvidas (R_CAUCAO_DEVOL)</v>
      </c>
    </row>
    <row r="9668" spans="1:7" x14ac:dyDescent="0.3">
      <c r="A9668" s="1" t="s">
        <v>4</v>
      </c>
      <c r="B9668" s="2" t="str">
        <f t="shared" si="833"/>
        <v>SISTEMA DE GERENCIAMENTO DE INTERNAÇÃO</v>
      </c>
      <c r="C9668" s="2" t="str">
        <f t="shared" si="834"/>
        <v>INTER</v>
      </c>
      <c r="D9668" s="2" t="str">
        <f t="shared" si="835"/>
        <v>PARI</v>
      </c>
      <c r="E9668" s="2" t="str">
        <f t="shared" si="838"/>
        <v>REL CAUÇÕES DEVOLVIDAS</v>
      </c>
      <c r="F9668" s="2" t="str">
        <f t="shared" si="839"/>
        <v>R_CAUCAO_DEVOL</v>
      </c>
      <c r="G9668" s="2" t="str">
        <f>"Atendimento / Internação / Relatórios / Operacionais / Depósito de Pagamento Antecipado / Devolvidas (R_CAUCAO_DEVOL)"</f>
        <v>Atendimento / Internação / Relatórios / Operacionais / Depósito de Pagamento Antecipado / Devolvidas (R_CAUCAO_DEVOL)</v>
      </c>
    </row>
    <row r="9669" spans="1:7" x14ac:dyDescent="0.3">
      <c r="A9669" s="1" t="s">
        <v>4</v>
      </c>
      <c r="B9669" s="2" t="str">
        <f t="shared" si="833"/>
        <v>SISTEMA DE GERENCIAMENTO DE INTERNAÇÃO</v>
      </c>
      <c r="C9669" s="2" t="str">
        <f t="shared" si="834"/>
        <v>INTER</v>
      </c>
      <c r="D9669" s="2" t="str">
        <f t="shared" si="835"/>
        <v>PARI</v>
      </c>
      <c r="E9669" s="2" t="str">
        <f t="shared" si="838"/>
        <v>REL CAUÇÕES DEVOLVIDAS</v>
      </c>
      <c r="F9669" s="2" t="str">
        <f t="shared" si="839"/>
        <v>R_CAUCAO_DEVOL</v>
      </c>
      <c r="G9669" s="2" t="str">
        <f>"Atendimento / Internação Domiciliar (Home Care) / Relatórios / Operacionais / Dep. Ant. Devolvidos (R_CAUCAO_DEVOL)"</f>
        <v>Atendimento / Internação Domiciliar (Home Care) / Relatórios / Operacionais / Dep. Ant. Devolvidos (R_CAUCAO_DEVOL)</v>
      </c>
    </row>
    <row r="9670" spans="1:7" x14ac:dyDescent="0.3">
      <c r="A9670" s="1" t="s">
        <v>4</v>
      </c>
      <c r="B9670" s="2" t="str">
        <f t="shared" si="833"/>
        <v>SISTEMA DE GERENCIAMENTO DE INTERNAÇÃO</v>
      </c>
      <c r="C9670" s="2" t="str">
        <f t="shared" si="834"/>
        <v>INTER</v>
      </c>
      <c r="D9670" s="2" t="str">
        <f t="shared" si="835"/>
        <v>PARI</v>
      </c>
      <c r="E9670" s="2" t="str">
        <f t="shared" si="838"/>
        <v>REL CAUÇÕES DEVOLVIDAS</v>
      </c>
      <c r="F9670" s="2" t="str">
        <f t="shared" si="839"/>
        <v>R_CAUCAO_DEVOL</v>
      </c>
      <c r="G9670" s="2" t="str">
        <f>"MVSaude / Atendimento / Autorizações de Guias / Internação / Relatórios / Operacionais / Depósito de Pagamento Antecipado / Devolvidas (R_CAUCAO_DEVOL)"</f>
        <v>MVSaude / Atendimento / Autorizações de Guias / Internação / Relatórios / Operacionais / Depósito de Pagamento Antecipado / Devolvidas (R_CAUCAO_DEVOL)</v>
      </c>
    </row>
    <row r="9671" spans="1:7" x14ac:dyDescent="0.3">
      <c r="A9671" s="1" t="s">
        <v>4</v>
      </c>
      <c r="B9671" s="2" t="str">
        <f t="shared" si="833"/>
        <v>SISTEMA DE GERENCIAMENTO DE INTERNAÇÃO</v>
      </c>
      <c r="C9671" s="2" t="str">
        <f t="shared" si="834"/>
        <v>INTER</v>
      </c>
      <c r="D9671" s="2" t="str">
        <f t="shared" si="835"/>
        <v>PARI</v>
      </c>
      <c r="E9671" s="2" t="str">
        <f>"CONSULTA DE ATENDIMENTO NO ESTOQUE"</f>
        <v>CONSULTA DE ATENDIMENTO NO ESTOQUE</v>
      </c>
      <c r="F9671" s="2" t="str">
        <f>"CONS_ATE"</f>
        <v>CONS_ATE</v>
      </c>
      <c r="G9671" s="2" t="str">
        <f>" ()"</f>
        <v xml:space="preserve"> ()</v>
      </c>
    </row>
    <row r="9672" spans="1:7" x14ac:dyDescent="0.3">
      <c r="A9672" s="1" t="s">
        <v>4</v>
      </c>
      <c r="B9672" s="2" t="str">
        <f t="shared" si="833"/>
        <v>SISTEMA DE GERENCIAMENTO DE INTERNAÇÃO</v>
      </c>
      <c r="C9672" s="2" t="str">
        <f t="shared" si="834"/>
        <v>INTER</v>
      </c>
      <c r="D9672" s="2" t="str">
        <f t="shared" si="835"/>
        <v>PARI</v>
      </c>
      <c r="E9672" s="2" t="str">
        <f>"REL.ESTAT.ALTAS X MOTIVO"</f>
        <v>REL.ESTAT.ALTAS X MOTIVO</v>
      </c>
      <c r="F9672" s="2" t="str">
        <f>"R_EST_ALTAS_MOT"</f>
        <v>R_EST_ALTAS_MOT</v>
      </c>
      <c r="G9672" s="2" t="str">
        <f>"Atendimento / Internação Domiciliar (Home Care) / Relatórios / Estatísticos / Motivos de Alta (R_EST_ALTAS_MOT)"</f>
        <v>Atendimento / Internação Domiciliar (Home Care) / Relatórios / Estatísticos / Motivos de Alta (R_EST_ALTAS_MOT)</v>
      </c>
    </row>
    <row r="9673" spans="1:7" x14ac:dyDescent="0.3">
      <c r="A9673" s="1" t="s">
        <v>4</v>
      </c>
      <c r="B9673" s="2" t="str">
        <f t="shared" si="833"/>
        <v>SISTEMA DE GERENCIAMENTO DE INTERNAÇÃO</v>
      </c>
      <c r="C9673" s="2" t="str">
        <f t="shared" si="834"/>
        <v>INTER</v>
      </c>
      <c r="D9673" s="2" t="str">
        <f t="shared" si="835"/>
        <v>PARI</v>
      </c>
      <c r="E9673" s="2" t="str">
        <f>"TIPOS DE INTERNAÇÃO"</f>
        <v>TIPOS DE INTERNAÇÃO</v>
      </c>
      <c r="F9673" s="2" t="str">
        <f>"TIPO_ATE"</f>
        <v>TIPO_ATE</v>
      </c>
      <c r="G9673" s="2" t="str">
        <f>"MVSaude / Vendas / Internação / Tabelas / Tipos de Internação (TIPO_ATE)"</f>
        <v>MVSaude / Vendas / Internação / Tabelas / Tipos de Internação (TIPO_ATE)</v>
      </c>
    </row>
    <row r="9674" spans="1:7" x14ac:dyDescent="0.3">
      <c r="A9674" s="1" t="s">
        <v>4</v>
      </c>
      <c r="B9674" s="2" t="str">
        <f t="shared" si="833"/>
        <v>SISTEMA DE GERENCIAMENTO DE INTERNAÇÃO</v>
      </c>
      <c r="C9674" s="2" t="str">
        <f t="shared" si="834"/>
        <v>INTER</v>
      </c>
      <c r="D9674" s="2" t="str">
        <f t="shared" si="835"/>
        <v>PARI</v>
      </c>
      <c r="E9674" s="2" t="str">
        <f>"TIPOS DE INTERNAÇÃO"</f>
        <v>TIPOS DE INTERNAÇÃO</v>
      </c>
      <c r="F9674" s="2" t="str">
        <f>"TIPO_ATE"</f>
        <v>TIPO_ATE</v>
      </c>
      <c r="G9674" s="2" t="str">
        <f>"MVSaude / Atendimento / Autorizações de Guias / Internação / Tabelas / Tipos de Internação (TIPO_ATE)"</f>
        <v>MVSaude / Atendimento / Autorizações de Guias / Internação / Tabelas / Tipos de Internação (TIPO_ATE)</v>
      </c>
    </row>
    <row r="9675" spans="1:7" x14ac:dyDescent="0.3">
      <c r="A9675" s="1" t="s">
        <v>4</v>
      </c>
      <c r="B9675" s="2" t="str">
        <f t="shared" si="833"/>
        <v>SISTEMA DE GERENCIAMENTO DE INTERNAÇÃO</v>
      </c>
      <c r="C9675" s="2" t="str">
        <f t="shared" si="834"/>
        <v>INTER</v>
      </c>
      <c r="D9675" s="2" t="str">
        <f t="shared" si="835"/>
        <v>PARI</v>
      </c>
      <c r="E9675" s="2" t="str">
        <f>"TIPOS DE INTERNAÇÃO"</f>
        <v>TIPOS DE INTERNAÇÃO</v>
      </c>
      <c r="F9675" s="2" t="str">
        <f>"TIPO_ATE"</f>
        <v>TIPO_ATE</v>
      </c>
      <c r="G9675" s="2" t="str">
        <f>"Atendimento / Internação / Tabelas / Tipo de Internação (TIPO_ATE)"</f>
        <v>Atendimento / Internação / Tabelas / Tipo de Internação (TIPO_ATE)</v>
      </c>
    </row>
    <row r="9676" spans="1:7" x14ac:dyDescent="0.3">
      <c r="A9676" s="1" t="s">
        <v>4</v>
      </c>
      <c r="B9676" s="2" t="str">
        <f t="shared" si="833"/>
        <v>SISTEMA DE GERENCIAMENTO DE INTERNAÇÃO</v>
      </c>
      <c r="C9676" s="2" t="str">
        <f t="shared" si="834"/>
        <v>INTER</v>
      </c>
      <c r="D9676" s="2" t="str">
        <f t="shared" si="835"/>
        <v>PARI</v>
      </c>
      <c r="E9676" s="2" t="str">
        <f>"TIPOS DE INTERNAÇÃO"</f>
        <v>TIPOS DE INTERNAÇÃO</v>
      </c>
      <c r="F9676" s="2" t="str">
        <f>"TIPO_ATE"</f>
        <v>TIPO_ATE</v>
      </c>
      <c r="G9676" s="2" t="str">
        <f>"Atendimento / Internação Domiciliar (Home Care) / Tabelas / Tipos de Internação (TIPO_ATE)"</f>
        <v>Atendimento / Internação Domiciliar (Home Care) / Tabelas / Tipos de Internação (TIPO_ATE)</v>
      </c>
    </row>
    <row r="9677" spans="1:7" x14ac:dyDescent="0.3">
      <c r="A9677" s="1" t="s">
        <v>4</v>
      </c>
      <c r="B9677" s="2" t="str">
        <f t="shared" si="833"/>
        <v>SISTEMA DE GERENCIAMENTO DE INTERNAÇÃO</v>
      </c>
      <c r="C9677" s="2" t="str">
        <f t="shared" si="834"/>
        <v>INTER</v>
      </c>
      <c r="D9677" s="2" t="str">
        <f t="shared" si="835"/>
        <v>PARI</v>
      </c>
      <c r="E9677" s="2" t="str">
        <f>"PENDÊNCIAS DO ATENDIMENTO"</f>
        <v>PENDÊNCIAS DO ATENDIMENTO</v>
      </c>
      <c r="F9677" s="2" t="str">
        <f>"PEND_ATE"</f>
        <v>PEND_ATE</v>
      </c>
      <c r="G9677" s="2" t="str">
        <f>" ()"</f>
        <v xml:space="preserve"> ()</v>
      </c>
    </row>
    <row r="9678" spans="1:7" x14ac:dyDescent="0.3">
      <c r="A9678" s="1" t="s">
        <v>4</v>
      </c>
      <c r="B9678" s="2" t="str">
        <f t="shared" ref="B9678:B9741" si="840">"SISTEMA DE GERENCIAMENTO DE INTERNAÇÃO"</f>
        <v>SISTEMA DE GERENCIAMENTO DE INTERNAÇÃO</v>
      </c>
      <c r="C9678" s="2" t="str">
        <f t="shared" ref="C9678:C9741" si="841">"INTER"</f>
        <v>INTER</v>
      </c>
      <c r="D9678" s="2" t="str">
        <f t="shared" ref="D9678:D9741" si="842">"PARI"</f>
        <v>PARI</v>
      </c>
      <c r="E9678" s="2" t="str">
        <f>"EXPORTAÇÃO DE ATENDIMENTO AIH"</f>
        <v>EXPORTAÇÃO DE ATENDIMENTO AIH</v>
      </c>
      <c r="F9678" s="2" t="str">
        <f>"LOG_EXPATE"</f>
        <v>LOG_EXPATE</v>
      </c>
      <c r="G9678" s="2" t="str">
        <f>" ()"</f>
        <v xml:space="preserve"> ()</v>
      </c>
    </row>
    <row r="9679" spans="1:7" x14ac:dyDescent="0.3">
      <c r="A9679" s="1" t="s">
        <v>4</v>
      </c>
      <c r="B9679" s="2" t="str">
        <f t="shared" si="840"/>
        <v>SISTEMA DE GERENCIAMENTO DE INTERNAÇÃO</v>
      </c>
      <c r="C9679" s="2" t="str">
        <f t="shared" si="841"/>
        <v>INTER</v>
      </c>
      <c r="D9679" s="2" t="str">
        <f t="shared" si="842"/>
        <v>PARI</v>
      </c>
      <c r="E9679" s="2" t="str">
        <f>"DEVOLUÇÃO DA CAUÇÃO"</f>
        <v>DEVOLUÇÃO DA CAUÇÃO</v>
      </c>
      <c r="F9679" s="2" t="str">
        <f>"RET_CAUCAO"</f>
        <v>RET_CAUCAO</v>
      </c>
      <c r="G9679" s="2" t="str">
        <f>"MVSaude / Atendimento / Autorizações de Guias / Internação / Atendimento / Depósito de Pagamento Antecipado / Devolução (RET_CAUCAO)"</f>
        <v>MVSaude / Atendimento / Autorizações de Guias / Internação / Atendimento / Depósito de Pagamento Antecipado / Devolução (RET_CAUCAO)</v>
      </c>
    </row>
    <row r="9680" spans="1:7" x14ac:dyDescent="0.3">
      <c r="A9680" s="1" t="s">
        <v>4</v>
      </c>
      <c r="B9680" s="2" t="str">
        <f t="shared" si="840"/>
        <v>SISTEMA DE GERENCIAMENTO DE INTERNAÇÃO</v>
      </c>
      <c r="C9680" s="2" t="str">
        <f t="shared" si="841"/>
        <v>INTER</v>
      </c>
      <c r="D9680" s="2" t="str">
        <f t="shared" si="842"/>
        <v>PARI</v>
      </c>
      <c r="E9680" s="2" t="str">
        <f>"DEVOLUÇÃO DA CAUÇÃO"</f>
        <v>DEVOLUÇÃO DA CAUÇÃO</v>
      </c>
      <c r="F9680" s="2" t="str">
        <f>"RET_CAUCAO"</f>
        <v>RET_CAUCAO</v>
      </c>
      <c r="G9680" s="2" t="str">
        <f>"Atendimento / Internação / Atendimento / Depósito de Pagamento Antecipado / Devolução Depósito Antecipado (RET_CAUCAO)"</f>
        <v>Atendimento / Internação / Atendimento / Depósito de Pagamento Antecipado / Devolução Depósito Antecipado (RET_CAUCAO)</v>
      </c>
    </row>
    <row r="9681" spans="1:7" x14ac:dyDescent="0.3">
      <c r="A9681" s="1" t="s">
        <v>4</v>
      </c>
      <c r="B9681" s="2" t="str">
        <f t="shared" si="840"/>
        <v>SISTEMA DE GERENCIAMENTO DE INTERNAÇÃO</v>
      </c>
      <c r="C9681" s="2" t="str">
        <f t="shared" si="841"/>
        <v>INTER</v>
      </c>
      <c r="D9681" s="2" t="str">
        <f t="shared" si="842"/>
        <v>PARI</v>
      </c>
      <c r="E9681" s="2" t="str">
        <f>"DEVOLUÇÃO DA CAUÇÃO"</f>
        <v>DEVOLUÇÃO DA CAUÇÃO</v>
      </c>
      <c r="F9681" s="2" t="str">
        <f>"RET_CAUCAO"</f>
        <v>RET_CAUCAO</v>
      </c>
      <c r="G9681" s="2" t="str">
        <f>"Outros / Fusam / Atendimentos / Devolução de Caução (RET_CAUCAO)"</f>
        <v>Outros / Fusam / Atendimentos / Devolução de Caução (RET_CAUCAO)</v>
      </c>
    </row>
    <row r="9682" spans="1:7" x14ac:dyDescent="0.3">
      <c r="A9682" s="1" t="s">
        <v>4</v>
      </c>
      <c r="B9682" s="2" t="str">
        <f t="shared" si="840"/>
        <v>SISTEMA DE GERENCIAMENTO DE INTERNAÇÃO</v>
      </c>
      <c r="C9682" s="2" t="str">
        <f t="shared" si="841"/>
        <v>INTER</v>
      </c>
      <c r="D9682" s="2" t="str">
        <f t="shared" si="842"/>
        <v>PARI</v>
      </c>
      <c r="E9682" s="2" t="str">
        <f>"DEVOLUÇÃO DA CAUÇÃO"</f>
        <v>DEVOLUÇÃO DA CAUÇÃO</v>
      </c>
      <c r="F9682" s="2" t="str">
        <f>"RET_CAUCAO"</f>
        <v>RET_CAUCAO</v>
      </c>
      <c r="G9682" s="2" t="str">
        <f>"MVSaude / Vendas / Internação / Atendimento / Depósito de Pagamento Antecipado / Devolução (RET_CAUCAO)"</f>
        <v>MVSaude / Vendas / Internação / Atendimento / Depósito de Pagamento Antecipado / Devolução (RET_CAUCAO)</v>
      </c>
    </row>
    <row r="9683" spans="1:7" x14ac:dyDescent="0.3">
      <c r="A9683" s="1" t="s">
        <v>4</v>
      </c>
      <c r="B9683" s="2" t="str">
        <f t="shared" si="840"/>
        <v>SISTEMA DE GERENCIAMENTO DE INTERNAÇÃO</v>
      </c>
      <c r="C9683" s="2" t="str">
        <f t="shared" si="841"/>
        <v>INTER</v>
      </c>
      <c r="D9683" s="2" t="str">
        <f t="shared" si="842"/>
        <v>PARI</v>
      </c>
      <c r="E9683" s="2" t="str">
        <f>"DEVOLUÇÃO DA CAUÇÃO"</f>
        <v>DEVOLUÇÃO DA CAUÇÃO</v>
      </c>
      <c r="F9683" s="2" t="str">
        <f>"RET_CAUCAO"</f>
        <v>RET_CAUCAO</v>
      </c>
      <c r="G9683" s="2" t="str">
        <f>"Atendimento / Internação Domiciliar (Home Care) / Recepção / Devolução da Caução (RET_CAUCAO)"</f>
        <v>Atendimento / Internação Domiciliar (Home Care) / Recepção / Devolução da Caução (RET_CAUCAO)</v>
      </c>
    </row>
    <row r="9684" spans="1:7" x14ac:dyDescent="0.3">
      <c r="A9684" s="1" t="s">
        <v>4</v>
      </c>
      <c r="B9684" s="2" t="str">
        <f t="shared" si="840"/>
        <v>SISTEMA DE GERENCIAMENTO DE INTERNAÇÃO</v>
      </c>
      <c r="C9684" s="2" t="str">
        <f t="shared" si="841"/>
        <v>INTER</v>
      </c>
      <c r="D9684" s="2" t="str">
        <f t="shared" si="842"/>
        <v>PARI</v>
      </c>
      <c r="E9684" s="2" t="str">
        <f>"REL. PENDÊNCIAS POR PACIENTE"</f>
        <v>REL. PENDÊNCIAS POR PACIENTE</v>
      </c>
      <c r="F9684" s="2" t="str">
        <f>"R_PENDENCIA_PACIENTE"</f>
        <v>R_PENDENCIA_PACIENTE</v>
      </c>
      <c r="G9684" s="2" t="str">
        <f>"MVSaude / Vendas / Internação / Relatórios / Operacionais / Pendências por Paciente (R_PENDENCIA_PACIENTE)"</f>
        <v>MVSaude / Vendas / Internação / Relatórios / Operacionais / Pendências por Paciente (R_PENDENCIA_PACIENTE)</v>
      </c>
    </row>
    <row r="9685" spans="1:7" x14ac:dyDescent="0.3">
      <c r="A9685" s="1" t="s">
        <v>4</v>
      </c>
      <c r="B9685" s="2" t="str">
        <f t="shared" si="840"/>
        <v>SISTEMA DE GERENCIAMENTO DE INTERNAÇÃO</v>
      </c>
      <c r="C9685" s="2" t="str">
        <f t="shared" si="841"/>
        <v>INTER</v>
      </c>
      <c r="D9685" s="2" t="str">
        <f t="shared" si="842"/>
        <v>PARI</v>
      </c>
      <c r="E9685" s="2" t="str">
        <f>"REL. PENDÊNCIAS POR PACIENTE"</f>
        <v>REL. PENDÊNCIAS POR PACIENTE</v>
      </c>
      <c r="F9685" s="2" t="str">
        <f>"R_PENDENCIA_PACIENTE"</f>
        <v>R_PENDENCIA_PACIENTE</v>
      </c>
      <c r="G9685" s="2" t="str">
        <f>"Atendimento / Internação / Relatórios / Operacionais / Pendências por Paciente (R_PENDENCIA_PACIENTE)"</f>
        <v>Atendimento / Internação / Relatórios / Operacionais / Pendências por Paciente (R_PENDENCIA_PACIENTE)</v>
      </c>
    </row>
    <row r="9686" spans="1:7" x14ac:dyDescent="0.3">
      <c r="A9686" s="1" t="s">
        <v>4</v>
      </c>
      <c r="B9686" s="2" t="str">
        <f t="shared" si="840"/>
        <v>SISTEMA DE GERENCIAMENTO DE INTERNAÇÃO</v>
      </c>
      <c r="C9686" s="2" t="str">
        <f t="shared" si="841"/>
        <v>INTER</v>
      </c>
      <c r="D9686" s="2" t="str">
        <f t="shared" si="842"/>
        <v>PARI</v>
      </c>
      <c r="E9686" s="2" t="str">
        <f>"REL. PENDÊNCIAS POR PACIENTE"</f>
        <v>REL. PENDÊNCIAS POR PACIENTE</v>
      </c>
      <c r="F9686" s="2" t="str">
        <f>"R_PENDENCIA_PACIENTE"</f>
        <v>R_PENDENCIA_PACIENTE</v>
      </c>
      <c r="G9686" s="2" t="str">
        <f>"Serviços de Apoio / Serviço Arquivo Médico / Relatórios / Operacionais / Pendências por Paciente (R_PENDENCIA_PACIENTE)"</f>
        <v>Serviços de Apoio / Serviço Arquivo Médico / Relatórios / Operacionais / Pendências por Paciente (R_PENDENCIA_PACIENTE)</v>
      </c>
    </row>
    <row r="9687" spans="1:7" x14ac:dyDescent="0.3">
      <c r="A9687" s="1" t="s">
        <v>4</v>
      </c>
      <c r="B9687" s="2" t="str">
        <f t="shared" si="840"/>
        <v>SISTEMA DE GERENCIAMENTO DE INTERNAÇÃO</v>
      </c>
      <c r="C9687" s="2" t="str">
        <f t="shared" si="841"/>
        <v>INTER</v>
      </c>
      <c r="D9687" s="2" t="str">
        <f t="shared" si="842"/>
        <v>PARI</v>
      </c>
      <c r="E9687" s="2" t="str">
        <f>"REL. PENDÊNCIAS POR PACIENTE"</f>
        <v>REL. PENDÊNCIAS POR PACIENTE</v>
      </c>
      <c r="F9687" s="2" t="str">
        <f>"R_PENDENCIA_PACIENTE"</f>
        <v>R_PENDENCIA_PACIENTE</v>
      </c>
      <c r="G9687" s="2" t="str">
        <f>"Controladoria / Tesouraria / Relatórios / Internação / Pendencias por Paciente (R_PENDENCIA_PACIENTE)"</f>
        <v>Controladoria / Tesouraria / Relatórios / Internação / Pendencias por Paciente (R_PENDENCIA_PACIENTE)</v>
      </c>
    </row>
    <row r="9688" spans="1:7" x14ac:dyDescent="0.3">
      <c r="A9688" s="1" t="s">
        <v>4</v>
      </c>
      <c r="B9688" s="2" t="str">
        <f t="shared" si="840"/>
        <v>SISTEMA DE GERENCIAMENTO DE INTERNAÇÃO</v>
      </c>
      <c r="C9688" s="2" t="str">
        <f t="shared" si="841"/>
        <v>INTER</v>
      </c>
      <c r="D9688" s="2" t="str">
        <f t="shared" si="842"/>
        <v>PARI</v>
      </c>
      <c r="E9688" s="2" t="str">
        <f>"REL. PENDÊNCIAS POR PACIENTE"</f>
        <v>REL. PENDÊNCIAS POR PACIENTE</v>
      </c>
      <c r="F9688" s="2" t="str">
        <f>"R_PENDENCIA_PACIENTE"</f>
        <v>R_PENDENCIA_PACIENTE</v>
      </c>
      <c r="G9688" s="2" t="str">
        <f>"MVSaude / Atendimento / Autorizações de Guias / Internação / Relatórios / Operacionais / Pendências por Paciente (R_PENDENCIA_PACIENTE)"</f>
        <v>MVSaude / Atendimento / Autorizações de Guias / Internação / Relatórios / Operacionais / Pendências por Paciente (R_PENDENCIA_PACIENTE)</v>
      </c>
    </row>
    <row r="9689" spans="1:7" x14ac:dyDescent="0.3">
      <c r="A9689" s="1" t="s">
        <v>4</v>
      </c>
      <c r="B9689" s="2" t="str">
        <f t="shared" si="840"/>
        <v>SISTEMA DE GERENCIAMENTO DE INTERNAÇÃO</v>
      </c>
      <c r="C9689" s="2" t="str">
        <f t="shared" si="841"/>
        <v>INTER</v>
      </c>
      <c r="D9689" s="2" t="str">
        <f t="shared" si="842"/>
        <v>PARI</v>
      </c>
      <c r="E9689" s="2" t="str">
        <f>"PENDÊNCIAS POR ATENDIMENTO"</f>
        <v>PENDÊNCIAS POR ATENDIMENTO</v>
      </c>
      <c r="F9689" s="2" t="str">
        <f>"M_BAIXA_PEND"</f>
        <v>M_BAIXA_PEND</v>
      </c>
      <c r="G9689" s="2" t="str">
        <f>"MVSaude / Vendas / Internação / Atendimento / Pendências do Atendimento / Baixa por Atendimento (M_BAIXA_PEND)"</f>
        <v>MVSaude / Vendas / Internação / Atendimento / Pendências do Atendimento / Baixa por Atendimento (M_BAIXA_PEND)</v>
      </c>
    </row>
    <row r="9690" spans="1:7" x14ac:dyDescent="0.3">
      <c r="A9690" s="1" t="s">
        <v>4</v>
      </c>
      <c r="B9690" s="2" t="str">
        <f t="shared" si="840"/>
        <v>SISTEMA DE GERENCIAMENTO DE INTERNAÇÃO</v>
      </c>
      <c r="C9690" s="2" t="str">
        <f t="shared" si="841"/>
        <v>INTER</v>
      </c>
      <c r="D9690" s="2" t="str">
        <f t="shared" si="842"/>
        <v>PARI</v>
      </c>
      <c r="E9690" s="2" t="str">
        <f>"PENDÊNCIAS POR ATENDIMENTO"</f>
        <v>PENDÊNCIAS POR ATENDIMENTO</v>
      </c>
      <c r="F9690" s="2" t="str">
        <f>"M_BAIXA_PEND"</f>
        <v>M_BAIXA_PEND</v>
      </c>
      <c r="G9690" s="2" t="str">
        <f>"Atendimento / Internação / Atendimento / Pendências do Atendimento / Baixa por Atendimento (M_BAIXA_PEND)"</f>
        <v>Atendimento / Internação / Atendimento / Pendências do Atendimento / Baixa por Atendimento (M_BAIXA_PEND)</v>
      </c>
    </row>
    <row r="9691" spans="1:7" x14ac:dyDescent="0.3">
      <c r="A9691" s="1" t="s">
        <v>4</v>
      </c>
      <c r="B9691" s="2" t="str">
        <f t="shared" si="840"/>
        <v>SISTEMA DE GERENCIAMENTO DE INTERNAÇÃO</v>
      </c>
      <c r="C9691" s="2" t="str">
        <f t="shared" si="841"/>
        <v>INTER</v>
      </c>
      <c r="D9691" s="2" t="str">
        <f t="shared" si="842"/>
        <v>PARI</v>
      </c>
      <c r="E9691" s="2" t="str">
        <f>"PENDÊNCIAS POR ATENDIMENTO"</f>
        <v>PENDÊNCIAS POR ATENDIMENTO</v>
      </c>
      <c r="F9691" s="2" t="str">
        <f>"M_BAIXA_PEND"</f>
        <v>M_BAIXA_PEND</v>
      </c>
      <c r="G9691" s="2" t="str">
        <f>"MVSaude / Atendimento / Autorizações de Guias / Internação / Atendimento / Pendências do Atendimento / Baixa por Atendimento (M_BAIXA_PEND)"</f>
        <v>MVSaude / Atendimento / Autorizações de Guias / Internação / Atendimento / Pendências do Atendimento / Baixa por Atendimento (M_BAIXA_PEND)</v>
      </c>
    </row>
    <row r="9692" spans="1:7" x14ac:dyDescent="0.3">
      <c r="A9692" s="1" t="s">
        <v>4</v>
      </c>
      <c r="B9692" s="2" t="str">
        <f t="shared" si="840"/>
        <v>SISTEMA DE GERENCIAMENTO DE INTERNAÇÃO</v>
      </c>
      <c r="C9692" s="2" t="str">
        <f t="shared" si="841"/>
        <v>INTER</v>
      </c>
      <c r="D9692" s="2" t="str">
        <f t="shared" si="842"/>
        <v>PARI</v>
      </c>
      <c r="E9692" s="2" t="str">
        <f>"PENDÊNCIAS POR ATENDIMENTO"</f>
        <v>PENDÊNCIAS POR ATENDIMENTO</v>
      </c>
      <c r="F9692" s="2" t="str">
        <f>"M_BAIXA_PEND"</f>
        <v>M_BAIXA_PEND</v>
      </c>
      <c r="G9692" s="2" t="str">
        <f>"Atendimento / Internação Domiciliar (Home Care) / Recepção / Pendências do Atendimento / Baixa de Pendências por Atendimento (M_BAIXA_PEND)"</f>
        <v>Atendimento / Internação Domiciliar (Home Care) / Recepção / Pendências do Atendimento / Baixa de Pendências por Atendimento (M_BAIXA_PEND)</v>
      </c>
    </row>
    <row r="9693" spans="1:7" x14ac:dyDescent="0.3">
      <c r="A9693" s="1" t="s">
        <v>4</v>
      </c>
      <c r="B9693" s="2" t="str">
        <f t="shared" si="840"/>
        <v>SISTEMA DE GERENCIAMENTO DE INTERNAÇÃO</v>
      </c>
      <c r="C9693" s="2" t="str">
        <f t="shared" si="841"/>
        <v>INTER</v>
      </c>
      <c r="D9693" s="2" t="str">
        <f t="shared" si="842"/>
        <v>PARI</v>
      </c>
      <c r="E9693" s="2" t="str">
        <f>"REL DE TERMO DO ATENDIMENTO"</f>
        <v>REL DE TERMO DO ATENDIMENTO</v>
      </c>
      <c r="F9693" s="2" t="str">
        <f>"R_TERMO_ATENDIMENTO"</f>
        <v>R_TERMO_ATENDIMENTO</v>
      </c>
      <c r="G9693" s="2" t="str">
        <f>" ()"</f>
        <v xml:space="preserve"> ()</v>
      </c>
    </row>
    <row r="9694" spans="1:7" x14ac:dyDescent="0.3">
      <c r="A9694" s="1" t="s">
        <v>4</v>
      </c>
      <c r="B9694" s="2" t="str">
        <f t="shared" si="840"/>
        <v>SISTEMA DE GERENCIAMENTO DE INTERNAÇÃO</v>
      </c>
      <c r="C9694" s="2" t="str">
        <f t="shared" si="841"/>
        <v>INTER</v>
      </c>
      <c r="D9694" s="2" t="str">
        <f t="shared" si="842"/>
        <v>PARI</v>
      </c>
      <c r="E9694" s="2" t="str">
        <f t="shared" ref="E9694:E9700" si="843">"REL DE CAUCOES ULTRAPASSADAS"</f>
        <v>REL DE CAUCOES ULTRAPASSADAS</v>
      </c>
      <c r="F9694" s="2" t="str">
        <f t="shared" ref="F9694:F9700" si="844">"R_CAUCAO_ULTRAPASSADA"</f>
        <v>R_CAUCAO_ULTRAPASSADA</v>
      </c>
      <c r="G9694" s="2" t="str">
        <f>"MVSaude / Vendas / Internação / Relatórios / Operacionais / Depósito de Pagamento Antecipado / Ultrapassadas (R_CAUCAO_ULTRAPASSADA)"</f>
        <v>MVSaude / Vendas / Internação / Relatórios / Operacionais / Depósito de Pagamento Antecipado / Ultrapassadas (R_CAUCAO_ULTRAPASSADA)</v>
      </c>
    </row>
    <row r="9695" spans="1:7" x14ac:dyDescent="0.3">
      <c r="A9695" s="1" t="s">
        <v>4</v>
      </c>
      <c r="B9695" s="2" t="str">
        <f t="shared" si="840"/>
        <v>SISTEMA DE GERENCIAMENTO DE INTERNAÇÃO</v>
      </c>
      <c r="C9695" s="2" t="str">
        <f t="shared" si="841"/>
        <v>INTER</v>
      </c>
      <c r="D9695" s="2" t="str">
        <f t="shared" si="842"/>
        <v>PARI</v>
      </c>
      <c r="E9695" s="2" t="str">
        <f t="shared" si="843"/>
        <v>REL DE CAUCOES ULTRAPASSADAS</v>
      </c>
      <c r="F9695" s="2" t="str">
        <f t="shared" si="844"/>
        <v>R_CAUCAO_ULTRAPASSADA</v>
      </c>
      <c r="G9695" s="2" t="str">
        <f>"Faturamento / Faturamento de Convênios e Particulares / Relatórios / Operacionais / Dep. Ant. Ultrapassados (R_CAUCAO_ULTRAPASSADA)"</f>
        <v>Faturamento / Faturamento de Convênios e Particulares / Relatórios / Operacionais / Dep. Ant. Ultrapassados (R_CAUCAO_ULTRAPASSADA)</v>
      </c>
    </row>
    <row r="9696" spans="1:7" x14ac:dyDescent="0.3">
      <c r="A9696" s="1" t="s">
        <v>4</v>
      </c>
      <c r="B9696" s="2" t="str">
        <f t="shared" si="840"/>
        <v>SISTEMA DE GERENCIAMENTO DE INTERNAÇÃO</v>
      </c>
      <c r="C9696" s="2" t="str">
        <f t="shared" si="841"/>
        <v>INTER</v>
      </c>
      <c r="D9696" s="2" t="str">
        <f t="shared" si="842"/>
        <v>PARI</v>
      </c>
      <c r="E9696" s="2" t="str">
        <f t="shared" si="843"/>
        <v>REL DE CAUCOES ULTRAPASSADAS</v>
      </c>
      <c r="F9696" s="2" t="str">
        <f t="shared" si="844"/>
        <v>R_CAUCAO_ULTRAPASSADA</v>
      </c>
      <c r="G9696" s="2" t="str">
        <f>"Atendimento / Internação / Relatórios / Operacionais / Depósito de Pagamento Antecipado / Ultrapassadas (R_CAUCAO_ULTRAPASSADA)"</f>
        <v>Atendimento / Internação / Relatórios / Operacionais / Depósito de Pagamento Antecipado / Ultrapassadas (R_CAUCAO_ULTRAPASSADA)</v>
      </c>
    </row>
    <row r="9697" spans="1:7" x14ac:dyDescent="0.3">
      <c r="A9697" s="1" t="s">
        <v>4</v>
      </c>
      <c r="B9697" s="2" t="str">
        <f t="shared" si="840"/>
        <v>SISTEMA DE GERENCIAMENTO DE INTERNAÇÃO</v>
      </c>
      <c r="C9697" s="2" t="str">
        <f t="shared" si="841"/>
        <v>INTER</v>
      </c>
      <c r="D9697" s="2" t="str">
        <f t="shared" si="842"/>
        <v>PARI</v>
      </c>
      <c r="E9697" s="2" t="str">
        <f t="shared" si="843"/>
        <v>REL DE CAUCOES ULTRAPASSADAS</v>
      </c>
      <c r="F9697" s="2" t="str">
        <f t="shared" si="844"/>
        <v>R_CAUCAO_ULTRAPASSADA</v>
      </c>
      <c r="G9697" s="2" t="str">
        <f>"Controladoria / Tesouraria / Relatórios / Internação / Dep. Ant. Ultrapassados (R_CAUCAO_ULTRAPASSADA)"</f>
        <v>Controladoria / Tesouraria / Relatórios / Internação / Dep. Ant. Ultrapassados (R_CAUCAO_ULTRAPASSADA)</v>
      </c>
    </row>
    <row r="9698" spans="1:7" x14ac:dyDescent="0.3">
      <c r="A9698" s="1" t="s">
        <v>4</v>
      </c>
      <c r="B9698" s="2" t="str">
        <f t="shared" si="840"/>
        <v>SISTEMA DE GERENCIAMENTO DE INTERNAÇÃO</v>
      </c>
      <c r="C9698" s="2" t="str">
        <f t="shared" si="841"/>
        <v>INTER</v>
      </c>
      <c r="D9698" s="2" t="str">
        <f t="shared" si="842"/>
        <v>PARI</v>
      </c>
      <c r="E9698" s="2" t="str">
        <f t="shared" si="843"/>
        <v>REL DE CAUCOES ULTRAPASSADAS</v>
      </c>
      <c r="F9698" s="2" t="str">
        <f t="shared" si="844"/>
        <v>R_CAUCAO_ULTRAPASSADA</v>
      </c>
      <c r="G9698" s="2" t="str">
        <f>"Serviços de Apoio / Serviço Arquivo Médico / Relatórios / Operacionais / Manutenção Depósito Antecipado / Ultrapassadas (R_CAUCAO_ULTRAPASSADA)"</f>
        <v>Serviços de Apoio / Serviço Arquivo Médico / Relatórios / Operacionais / Manutenção Depósito Antecipado / Ultrapassadas (R_CAUCAO_ULTRAPASSADA)</v>
      </c>
    </row>
    <row r="9699" spans="1:7" x14ac:dyDescent="0.3">
      <c r="A9699" s="1" t="s">
        <v>4</v>
      </c>
      <c r="B9699" s="2" t="str">
        <f t="shared" si="840"/>
        <v>SISTEMA DE GERENCIAMENTO DE INTERNAÇÃO</v>
      </c>
      <c r="C9699" s="2" t="str">
        <f t="shared" si="841"/>
        <v>INTER</v>
      </c>
      <c r="D9699" s="2" t="str">
        <f t="shared" si="842"/>
        <v>PARI</v>
      </c>
      <c r="E9699" s="2" t="str">
        <f t="shared" si="843"/>
        <v>REL DE CAUCOES ULTRAPASSADAS</v>
      </c>
      <c r="F9699" s="2" t="str">
        <f t="shared" si="844"/>
        <v>R_CAUCAO_ULTRAPASSADA</v>
      </c>
      <c r="G9699" s="2" t="str">
        <f>"Faturamento / Auditoria e Controle de Recursos de Glosas / Relatórios / Operacionais / Dep. Ant. Ultrapassados (R_CAUCAO_ULTRAPASSADA)"</f>
        <v>Faturamento / Auditoria e Controle de Recursos de Glosas / Relatórios / Operacionais / Dep. Ant. Ultrapassados (R_CAUCAO_ULTRAPASSADA)</v>
      </c>
    </row>
    <row r="9700" spans="1:7" x14ac:dyDescent="0.3">
      <c r="A9700" s="1" t="s">
        <v>4</v>
      </c>
      <c r="B9700" s="2" t="str">
        <f t="shared" si="840"/>
        <v>SISTEMA DE GERENCIAMENTO DE INTERNAÇÃO</v>
      </c>
      <c r="C9700" s="2" t="str">
        <f t="shared" si="841"/>
        <v>INTER</v>
      </c>
      <c r="D9700" s="2" t="str">
        <f t="shared" si="842"/>
        <v>PARI</v>
      </c>
      <c r="E9700" s="2" t="str">
        <f t="shared" si="843"/>
        <v>REL DE CAUCOES ULTRAPASSADAS</v>
      </c>
      <c r="F9700" s="2" t="str">
        <f t="shared" si="844"/>
        <v>R_CAUCAO_ULTRAPASSADA</v>
      </c>
      <c r="G9700" s="2" t="str">
        <f>"MVSaude / Atendimento / Autorizações de Guias / Internação / Relatórios / Operacionais / Depósito de Pagamento Antecipado / Ultrapassadas (R_CAUCAO_ULTRAPASSADA)"</f>
        <v>MVSaude / Atendimento / Autorizações de Guias / Internação / Relatórios / Operacionais / Depósito de Pagamento Antecipado / Ultrapassadas (R_CAUCAO_ULTRAPASSADA)</v>
      </c>
    </row>
    <row r="9701" spans="1:7" x14ac:dyDescent="0.3">
      <c r="A9701" s="1" t="s">
        <v>4</v>
      </c>
      <c r="B9701" s="2" t="str">
        <f t="shared" si="840"/>
        <v>SISTEMA DE GERENCIAMENTO DE INTERNAÇÃO</v>
      </c>
      <c r="C9701" s="2" t="str">
        <f t="shared" si="841"/>
        <v>INTER</v>
      </c>
      <c r="D9701" s="2" t="str">
        <f t="shared" si="842"/>
        <v>PARI</v>
      </c>
      <c r="E9701" s="2" t="str">
        <f>"ALTERAÇÃO DE ATENDIMENTO DE INTERNAÇÃO"</f>
        <v>ALTERAÇÃO DE ATENDIMENTO DE INTERNAÇÃO</v>
      </c>
      <c r="F9701" s="2" t="str">
        <f>"ALT_INTOK"</f>
        <v>ALT_INTOK</v>
      </c>
      <c r="G9701" s="2" t="str">
        <f>"Clínica e Assistencial / Controle de Infecção Hospitalar / Atendimento / Alteração de Atendimento (ALT_INTOK)"</f>
        <v>Clínica e Assistencial / Controle de Infecção Hospitalar / Atendimento / Alteração de Atendimento (ALT_INTOK)</v>
      </c>
    </row>
    <row r="9702" spans="1:7" x14ac:dyDescent="0.3">
      <c r="A9702" s="1" t="s">
        <v>4</v>
      </c>
      <c r="B9702" s="2" t="str">
        <f t="shared" si="840"/>
        <v>SISTEMA DE GERENCIAMENTO DE INTERNAÇÃO</v>
      </c>
      <c r="C9702" s="2" t="str">
        <f t="shared" si="841"/>
        <v>INTER</v>
      </c>
      <c r="D9702" s="2" t="str">
        <f t="shared" si="842"/>
        <v>PARI</v>
      </c>
      <c r="E9702" s="2" t="str">
        <f>"ALTERAÇÃO DE ATENDIMENTO DE INTERNAÇÃO"</f>
        <v>ALTERAÇÃO DE ATENDIMENTO DE INTERNAÇÃO</v>
      </c>
      <c r="F9702" s="2" t="str">
        <f>"ALT_INTOK"</f>
        <v>ALT_INTOK</v>
      </c>
      <c r="G9702" s="2" t="str">
        <f>"MVSaude / Atendimento / Autorizações de Guias / Internação / Atendimento / Alteração de Atendimento (ALT_INTOK)"</f>
        <v>MVSaude / Atendimento / Autorizações de Guias / Internação / Atendimento / Alteração de Atendimento (ALT_INTOK)</v>
      </c>
    </row>
    <row r="9703" spans="1:7" x14ac:dyDescent="0.3">
      <c r="A9703" s="1" t="s">
        <v>4</v>
      </c>
      <c r="B9703" s="2" t="str">
        <f t="shared" si="840"/>
        <v>SISTEMA DE GERENCIAMENTO DE INTERNAÇÃO</v>
      </c>
      <c r="C9703" s="2" t="str">
        <f t="shared" si="841"/>
        <v>INTER</v>
      </c>
      <c r="D9703" s="2" t="str">
        <f t="shared" si="842"/>
        <v>PARI</v>
      </c>
      <c r="E9703" s="2" t="str">
        <f>"ALTERAÇÃO DE ATENDIMENTO DE INTERNAÇÃO"</f>
        <v>ALTERAÇÃO DE ATENDIMENTO DE INTERNAÇÃO</v>
      </c>
      <c r="F9703" s="2" t="str">
        <f>"ALT_INTOK"</f>
        <v>ALT_INTOK</v>
      </c>
      <c r="G9703" s="2" t="str">
        <f>"Atendimento / Internação / Atendimento / Alteração de Atendimento (ALT_INTOK)"</f>
        <v>Atendimento / Internação / Atendimento / Alteração de Atendimento (ALT_INTOK)</v>
      </c>
    </row>
    <row r="9704" spans="1:7" x14ac:dyDescent="0.3">
      <c r="A9704" s="1" t="s">
        <v>4</v>
      </c>
      <c r="B9704" s="2" t="str">
        <f t="shared" si="840"/>
        <v>SISTEMA DE GERENCIAMENTO DE INTERNAÇÃO</v>
      </c>
      <c r="C9704" s="2" t="str">
        <f t="shared" si="841"/>
        <v>INTER</v>
      </c>
      <c r="D9704" s="2" t="str">
        <f t="shared" si="842"/>
        <v>PARI</v>
      </c>
      <c r="E9704" s="2" t="str">
        <f>"ALTERAÇÃO DE ATENDIMENTO DE INTERNAÇÃO"</f>
        <v>ALTERAÇÃO DE ATENDIMENTO DE INTERNAÇÃO</v>
      </c>
      <c r="F9704" s="2" t="str">
        <f>"ALT_INTOK"</f>
        <v>ALT_INTOK</v>
      </c>
      <c r="G9704" s="2" t="str">
        <f>"MVSaude / Vendas / Internação / Atendimento / Alteração de Atendimento (ALT_INTOK)"</f>
        <v>MVSaude / Vendas / Internação / Atendimento / Alteração de Atendimento (ALT_INTOK)</v>
      </c>
    </row>
    <row r="9705" spans="1:7" x14ac:dyDescent="0.3">
      <c r="A9705" s="1" t="s">
        <v>4</v>
      </c>
      <c r="B9705" s="2" t="str">
        <f t="shared" si="840"/>
        <v>SISTEMA DE GERENCIAMENTO DE INTERNAÇÃO</v>
      </c>
      <c r="C9705" s="2" t="str">
        <f t="shared" si="841"/>
        <v>INTER</v>
      </c>
      <c r="D9705" s="2" t="str">
        <f t="shared" si="842"/>
        <v>PARI</v>
      </c>
      <c r="E9705" s="2" t="str">
        <f>"ALTERAÇÃO DE ATENDIMENTO DE INTERNAÇÃO"</f>
        <v>ALTERAÇÃO DE ATENDIMENTO DE INTERNAÇÃO</v>
      </c>
      <c r="F9705" s="2" t="str">
        <f>"ALT_INTOK"</f>
        <v>ALT_INTOK</v>
      </c>
      <c r="G9705" s="2" t="str">
        <f>"Atendimento / Internação Domiciliar (Home Care) / Recepção / Alteração de Atendimento (ALT_INTOK)"</f>
        <v>Atendimento / Internação Domiciliar (Home Care) / Recepção / Alteração de Atendimento (ALT_INTOK)</v>
      </c>
    </row>
    <row r="9706" spans="1:7" x14ac:dyDescent="0.3">
      <c r="A9706" s="1" t="s">
        <v>4</v>
      </c>
      <c r="B9706" s="2" t="str">
        <f t="shared" si="840"/>
        <v>SISTEMA DE GERENCIAMENTO DE INTERNAÇÃO</v>
      </c>
      <c r="C9706" s="2" t="str">
        <f t="shared" si="841"/>
        <v>INTER</v>
      </c>
      <c r="D9706" s="2" t="str">
        <f t="shared" si="842"/>
        <v>PARI</v>
      </c>
      <c r="E9706" s="2" t="str">
        <f>"RELAT.DE COMPROVANTE DE ALTA DO PAC."</f>
        <v>RELAT.DE COMPROVANTE DE ALTA DO PAC.</v>
      </c>
      <c r="F9706" s="2" t="str">
        <f>"R_COMP_ALTA"</f>
        <v>R_COMP_ALTA</v>
      </c>
      <c r="G9706" s="2" t="str">
        <f>" ()"</f>
        <v xml:space="preserve"> ()</v>
      </c>
    </row>
    <row r="9707" spans="1:7" x14ac:dyDescent="0.3">
      <c r="A9707" s="1" t="s">
        <v>4</v>
      </c>
      <c r="B9707" s="2" t="str">
        <f t="shared" si="840"/>
        <v>SISTEMA DE GERENCIAMENTO DE INTERNAÇÃO</v>
      </c>
      <c r="C9707" s="2" t="str">
        <f t="shared" si="841"/>
        <v>INTER</v>
      </c>
      <c r="D9707" s="2" t="str">
        <f t="shared" si="842"/>
        <v>PARI</v>
      </c>
      <c r="E9707" s="2" t="str">
        <f t="shared" ref="E9707:E9712" si="845">"EXCLUSAO DE ATENDIMENTO"</f>
        <v>EXCLUSAO DE ATENDIMENTO</v>
      </c>
      <c r="F9707" s="2" t="str">
        <f t="shared" ref="F9707:F9712" si="846">"EXCL_ATE"</f>
        <v>EXCL_ATE</v>
      </c>
      <c r="G9707" s="2" t="str">
        <f>"MVSaude / Atendimento / Autorizações de Guias / Internação / Atendimento / Exclusão de Atendimento (EXCL_ATE)"</f>
        <v>MVSaude / Atendimento / Autorizações de Guias / Internação / Atendimento / Exclusão de Atendimento (EXCL_ATE)</v>
      </c>
    </row>
    <row r="9708" spans="1:7" x14ac:dyDescent="0.3">
      <c r="A9708" s="1" t="s">
        <v>4</v>
      </c>
      <c r="B9708" s="2" t="str">
        <f t="shared" si="840"/>
        <v>SISTEMA DE GERENCIAMENTO DE INTERNAÇÃO</v>
      </c>
      <c r="C9708" s="2" t="str">
        <f t="shared" si="841"/>
        <v>INTER</v>
      </c>
      <c r="D9708" s="2" t="str">
        <f t="shared" si="842"/>
        <v>PARI</v>
      </c>
      <c r="E9708" s="2" t="str">
        <f t="shared" si="845"/>
        <v>EXCLUSAO DE ATENDIMENTO</v>
      </c>
      <c r="F9708" s="2" t="str">
        <f t="shared" si="846"/>
        <v>EXCL_ATE</v>
      </c>
      <c r="G9708" s="2" t="str">
        <f>"Atendimento / Internação / Atendimento / Exclusão de Atendimento (EXCL_ATE)"</f>
        <v>Atendimento / Internação / Atendimento / Exclusão de Atendimento (EXCL_ATE)</v>
      </c>
    </row>
    <row r="9709" spans="1:7" x14ac:dyDescent="0.3">
      <c r="A9709" s="1" t="s">
        <v>4</v>
      </c>
      <c r="B9709" s="2" t="str">
        <f t="shared" si="840"/>
        <v>SISTEMA DE GERENCIAMENTO DE INTERNAÇÃO</v>
      </c>
      <c r="C9709" s="2" t="str">
        <f t="shared" si="841"/>
        <v>INTER</v>
      </c>
      <c r="D9709" s="2" t="str">
        <f t="shared" si="842"/>
        <v>PARI</v>
      </c>
      <c r="E9709" s="2" t="str">
        <f t="shared" si="845"/>
        <v>EXCLUSAO DE ATENDIMENTO</v>
      </c>
      <c r="F9709" s="2" t="str">
        <f t="shared" si="846"/>
        <v>EXCL_ATE</v>
      </c>
      <c r="G9709" s="2" t="str">
        <f>"Atendimento / Urgência e Emergência / Atendimento / Exclusão de Atendimento (EXCL_ATE)"</f>
        <v>Atendimento / Urgência e Emergência / Atendimento / Exclusão de Atendimento (EXCL_ATE)</v>
      </c>
    </row>
    <row r="9710" spans="1:7" x14ac:dyDescent="0.3">
      <c r="A9710" s="1" t="s">
        <v>4</v>
      </c>
      <c r="B9710" s="2" t="str">
        <f t="shared" si="840"/>
        <v>SISTEMA DE GERENCIAMENTO DE INTERNAÇÃO</v>
      </c>
      <c r="C9710" s="2" t="str">
        <f t="shared" si="841"/>
        <v>INTER</v>
      </c>
      <c r="D9710" s="2" t="str">
        <f t="shared" si="842"/>
        <v>PARI</v>
      </c>
      <c r="E9710" s="2" t="str">
        <f t="shared" si="845"/>
        <v>EXCLUSAO DE ATENDIMENTO</v>
      </c>
      <c r="F9710" s="2" t="str">
        <f t="shared" si="846"/>
        <v>EXCL_ATE</v>
      </c>
      <c r="G9710" s="2" t="str">
        <f>"Outros / Fusam / Atendimentos / Exclusão de Atendimento (EXCL_ATE)"</f>
        <v>Outros / Fusam / Atendimentos / Exclusão de Atendimento (EXCL_ATE)</v>
      </c>
    </row>
    <row r="9711" spans="1:7" x14ac:dyDescent="0.3">
      <c r="A9711" s="1" t="s">
        <v>4</v>
      </c>
      <c r="B9711" s="2" t="str">
        <f t="shared" si="840"/>
        <v>SISTEMA DE GERENCIAMENTO DE INTERNAÇÃO</v>
      </c>
      <c r="C9711" s="2" t="str">
        <f t="shared" si="841"/>
        <v>INTER</v>
      </c>
      <c r="D9711" s="2" t="str">
        <f t="shared" si="842"/>
        <v>PARI</v>
      </c>
      <c r="E9711" s="2" t="str">
        <f t="shared" si="845"/>
        <v>EXCLUSAO DE ATENDIMENTO</v>
      </c>
      <c r="F9711" s="2" t="str">
        <f t="shared" si="846"/>
        <v>EXCL_ATE</v>
      </c>
      <c r="G9711" s="2" t="str">
        <f>"MVSaude / Vendas / Internação / Atendimento / Exclusão de Atendimento (EXCL_ATE)"</f>
        <v>MVSaude / Vendas / Internação / Atendimento / Exclusão de Atendimento (EXCL_ATE)</v>
      </c>
    </row>
    <row r="9712" spans="1:7" x14ac:dyDescent="0.3">
      <c r="A9712" s="1" t="s">
        <v>4</v>
      </c>
      <c r="B9712" s="2" t="str">
        <f t="shared" si="840"/>
        <v>SISTEMA DE GERENCIAMENTO DE INTERNAÇÃO</v>
      </c>
      <c r="C9712" s="2" t="str">
        <f t="shared" si="841"/>
        <v>INTER</v>
      </c>
      <c r="D9712" s="2" t="str">
        <f t="shared" si="842"/>
        <v>PARI</v>
      </c>
      <c r="E9712" s="2" t="str">
        <f t="shared" si="845"/>
        <v>EXCLUSAO DE ATENDIMENTO</v>
      </c>
      <c r="F9712" s="2" t="str">
        <f t="shared" si="846"/>
        <v>EXCL_ATE</v>
      </c>
      <c r="G9712" s="2" t="str">
        <f>"Atendimento / Internação Domiciliar (Home Care) / Recepção / Exclusão de Atendimento (EXCL_ATE)"</f>
        <v>Atendimento / Internação Domiciliar (Home Care) / Recepção / Exclusão de Atendimento (EXCL_ATE)</v>
      </c>
    </row>
    <row r="9713" spans="1:7" x14ac:dyDescent="0.3">
      <c r="A9713" s="1" t="s">
        <v>4</v>
      </c>
      <c r="B9713" s="2" t="str">
        <f t="shared" si="840"/>
        <v>SISTEMA DE GERENCIAMENTO DE INTERNAÇÃO</v>
      </c>
      <c r="C9713" s="2" t="str">
        <f t="shared" si="841"/>
        <v>INTER</v>
      </c>
      <c r="D9713" s="2" t="str">
        <f t="shared" si="842"/>
        <v>PARI</v>
      </c>
      <c r="E9713" s="2" t="str">
        <f>"CONSULTA PAINEL DE LEITOS"</f>
        <v>CONSULTA PAINEL DE LEITOS</v>
      </c>
      <c r="F9713" s="2" t="str">
        <f>"C_LEITOS"</f>
        <v>C_LEITOS</v>
      </c>
      <c r="G9713" s="2" t="str">
        <f>"Clínica e Assistencial / Controle de Infecção Hospitalar / Consultas / Painel de Leitos (C_LEITOS)"</f>
        <v>Clínica e Assistencial / Controle de Infecção Hospitalar / Consultas / Painel de Leitos (C_LEITOS)</v>
      </c>
    </row>
    <row r="9714" spans="1:7" x14ac:dyDescent="0.3">
      <c r="A9714" s="1" t="s">
        <v>4</v>
      </c>
      <c r="B9714" s="2" t="str">
        <f t="shared" si="840"/>
        <v>SISTEMA DE GERENCIAMENTO DE INTERNAÇÃO</v>
      </c>
      <c r="C9714" s="2" t="str">
        <f t="shared" si="841"/>
        <v>INTER</v>
      </c>
      <c r="D9714" s="2" t="str">
        <f t="shared" si="842"/>
        <v>PARI</v>
      </c>
      <c r="E9714" s="2" t="str">
        <f>"CONSULTA PAINEL DE LEITOS"</f>
        <v>CONSULTA PAINEL DE LEITOS</v>
      </c>
      <c r="F9714" s="2" t="str">
        <f>"C_LEITOS"</f>
        <v>C_LEITOS</v>
      </c>
      <c r="G9714" s="2" t="str">
        <f>"MVSaude / Vendas / Internação / Consultas / Painel de Leitos / Operacional (C_LEITOS)"</f>
        <v>MVSaude / Vendas / Internação / Consultas / Painel de Leitos / Operacional (C_LEITOS)</v>
      </c>
    </row>
    <row r="9715" spans="1:7" x14ac:dyDescent="0.3">
      <c r="A9715" s="1" t="s">
        <v>4</v>
      </c>
      <c r="B9715" s="2" t="str">
        <f t="shared" si="840"/>
        <v>SISTEMA DE GERENCIAMENTO DE INTERNAÇÃO</v>
      </c>
      <c r="C9715" s="2" t="str">
        <f t="shared" si="841"/>
        <v>INTER</v>
      </c>
      <c r="D9715" s="2" t="str">
        <f t="shared" si="842"/>
        <v>PARI</v>
      </c>
      <c r="E9715" s="2" t="str">
        <f>"CONSULTA PAINEL DE LEITOS"</f>
        <v>CONSULTA PAINEL DE LEITOS</v>
      </c>
      <c r="F9715" s="2" t="str">
        <f>"C_LEITOS"</f>
        <v>C_LEITOS</v>
      </c>
      <c r="G9715" s="2" t="str">
        <f>"MVSaude / Atendimento / Autorizações de Guias / Internação / Consultas / Painel de Leitos / Operacional (C_LEITOS)"</f>
        <v>MVSaude / Atendimento / Autorizações de Guias / Internação / Consultas / Painel de Leitos / Operacional (C_LEITOS)</v>
      </c>
    </row>
    <row r="9716" spans="1:7" x14ac:dyDescent="0.3">
      <c r="A9716" s="1" t="s">
        <v>4</v>
      </c>
      <c r="B9716" s="2" t="str">
        <f t="shared" si="840"/>
        <v>SISTEMA DE GERENCIAMENTO DE INTERNAÇÃO</v>
      </c>
      <c r="C9716" s="2" t="str">
        <f t="shared" si="841"/>
        <v>INTER</v>
      </c>
      <c r="D9716" s="2" t="str">
        <f t="shared" si="842"/>
        <v>PARI</v>
      </c>
      <c r="E9716" s="2" t="str">
        <f>"CONSULTA PAINEL DE LEITOS"</f>
        <v>CONSULTA PAINEL DE LEITOS</v>
      </c>
      <c r="F9716" s="2" t="str">
        <f>"C_LEITOS"</f>
        <v>C_LEITOS</v>
      </c>
      <c r="G9716" s="2" t="str">
        <f>"Atendimento / Internação / Consultas / Painel de Leitos / Operacional (C_LEITOS)"</f>
        <v>Atendimento / Internação / Consultas / Painel de Leitos / Operacional (C_LEITOS)</v>
      </c>
    </row>
    <row r="9717" spans="1:7" x14ac:dyDescent="0.3">
      <c r="A9717" s="1" t="s">
        <v>4</v>
      </c>
      <c r="B9717" s="2" t="str">
        <f t="shared" si="840"/>
        <v>SISTEMA DE GERENCIAMENTO DE INTERNAÇÃO</v>
      </c>
      <c r="C9717" s="2" t="str">
        <f t="shared" si="841"/>
        <v>INTER</v>
      </c>
      <c r="D9717" s="2" t="str">
        <f t="shared" si="842"/>
        <v>PARI</v>
      </c>
      <c r="E9717" s="2" t="str">
        <f>"REL COMPROVANTE DE DEVOL. CAUÇÃO"</f>
        <v>REL COMPROVANTE DE DEVOL. CAUÇÃO</v>
      </c>
      <c r="F9717" s="2" t="str">
        <f>"R_DEVOLVECAUCAO"</f>
        <v>R_DEVOLVECAUCAO</v>
      </c>
      <c r="G9717" s="2" t="str">
        <f>" ()"</f>
        <v xml:space="preserve"> ()</v>
      </c>
    </row>
    <row r="9718" spans="1:7" x14ac:dyDescent="0.3">
      <c r="A9718" s="1" t="s">
        <v>4</v>
      </c>
      <c r="B9718" s="2" t="str">
        <f t="shared" si="840"/>
        <v>SISTEMA DE GERENCIAMENTO DE INTERNAÇÃO</v>
      </c>
      <c r="C9718" s="2" t="str">
        <f t="shared" si="841"/>
        <v>INTER</v>
      </c>
      <c r="D9718" s="2" t="str">
        <f t="shared" si="842"/>
        <v>PARI</v>
      </c>
      <c r="E9718" s="2" t="str">
        <f>"INCONSISTÊNCIAS DO CIH"</f>
        <v>INCONSISTÊNCIAS DO CIH</v>
      </c>
      <c r="F9718" s="2" t="str">
        <f>"R_CONSIST_CIH"</f>
        <v>R_CONSIST_CIH</v>
      </c>
      <c r="G9718" s="2" t="str">
        <f>"MVSaude / Vendas / Internação / Relatórios / Tabelas / Inconsistência do CIH (R_CONSIST_CIH)"</f>
        <v>MVSaude / Vendas / Internação / Relatórios / Tabelas / Inconsistência do CIH (R_CONSIST_CIH)</v>
      </c>
    </row>
    <row r="9719" spans="1:7" x14ac:dyDescent="0.3">
      <c r="A9719" s="1" t="s">
        <v>4</v>
      </c>
      <c r="B9719" s="2" t="str">
        <f t="shared" si="840"/>
        <v>SISTEMA DE GERENCIAMENTO DE INTERNAÇÃO</v>
      </c>
      <c r="C9719" s="2" t="str">
        <f t="shared" si="841"/>
        <v>INTER</v>
      </c>
      <c r="D9719" s="2" t="str">
        <f t="shared" si="842"/>
        <v>PARI</v>
      </c>
      <c r="E9719" s="2" t="str">
        <f>"INCONSISTÊNCIAS DO CIH"</f>
        <v>INCONSISTÊNCIAS DO CIH</v>
      </c>
      <c r="F9719" s="2" t="str">
        <f>"R_CONSIST_CIH"</f>
        <v>R_CONSIST_CIH</v>
      </c>
      <c r="G9719" s="2" t="str">
        <f>"Atendimento / Internação / Relatórios / Tabelas / Inconsistência do CIH (R_CONSIST_CIH)"</f>
        <v>Atendimento / Internação / Relatórios / Tabelas / Inconsistência do CIH (R_CONSIST_CIH)</v>
      </c>
    </row>
    <row r="9720" spans="1:7" x14ac:dyDescent="0.3">
      <c r="A9720" s="1" t="s">
        <v>4</v>
      </c>
      <c r="B9720" s="2" t="str">
        <f t="shared" si="840"/>
        <v>SISTEMA DE GERENCIAMENTO DE INTERNAÇÃO</v>
      </c>
      <c r="C9720" s="2" t="str">
        <f t="shared" si="841"/>
        <v>INTER</v>
      </c>
      <c r="D9720" s="2" t="str">
        <f t="shared" si="842"/>
        <v>PARI</v>
      </c>
      <c r="E9720" s="2" t="str">
        <f>"INCONSISTÊNCIAS DO CIH"</f>
        <v>INCONSISTÊNCIAS DO CIH</v>
      </c>
      <c r="F9720" s="2" t="str">
        <f>"R_CONSIST_CIH"</f>
        <v>R_CONSIST_CIH</v>
      </c>
      <c r="G9720" s="2" t="str">
        <f>"MVSaude / Atendimento / Autorizações de Guias / Internação / Relatórios / Tabelas / Inconsistência do CIH (R_CONSIST_CIH)"</f>
        <v>MVSaude / Atendimento / Autorizações de Guias / Internação / Relatórios / Tabelas / Inconsistência do CIH (R_CONSIST_CIH)</v>
      </c>
    </row>
    <row r="9721" spans="1:7" x14ac:dyDescent="0.3">
      <c r="A9721" s="1" t="s">
        <v>4</v>
      </c>
      <c r="B9721" s="2" t="str">
        <f t="shared" si="840"/>
        <v>SISTEMA DE GERENCIAMENTO DE INTERNAÇÃO</v>
      </c>
      <c r="C9721" s="2" t="str">
        <f t="shared" si="841"/>
        <v>INTER</v>
      </c>
      <c r="D9721" s="2" t="str">
        <f t="shared" si="842"/>
        <v>PARI</v>
      </c>
      <c r="E9721" s="2" t="str">
        <f>"INCONSISTÊNCIAS DO CIH"</f>
        <v>INCONSISTÊNCIAS DO CIH</v>
      </c>
      <c r="F9721" s="2" t="str">
        <f>"R_CONSIST_CIH"</f>
        <v>R_CONSIST_CIH</v>
      </c>
      <c r="G9721" s="2" t="str">
        <f>"Atendimento / Internação Domiciliar (Home Care) / Relatórios / Tabelas / Inconsistência do CIH (R_CONSIST_CIH)"</f>
        <v>Atendimento / Internação Domiciliar (Home Care) / Relatórios / Tabelas / Inconsistência do CIH (R_CONSIST_CIH)</v>
      </c>
    </row>
    <row r="9722" spans="1:7" x14ac:dyDescent="0.3">
      <c r="A9722" s="1" t="s">
        <v>4</v>
      </c>
      <c r="B9722" s="2" t="str">
        <f t="shared" si="840"/>
        <v>SISTEMA DE GERENCIAMENTO DE INTERNAÇÃO</v>
      </c>
      <c r="C9722" s="2" t="str">
        <f t="shared" si="841"/>
        <v>INTER</v>
      </c>
      <c r="D9722" s="2" t="str">
        <f t="shared" si="842"/>
        <v>PARI</v>
      </c>
      <c r="E9722" s="2" t="str">
        <f>"GERAÇÃO DE DISQUETE CIH"</f>
        <v>GERAÇÃO DE DISQUETE CIH</v>
      </c>
      <c r="F9722" s="2" t="str">
        <f>"G_CIH"</f>
        <v>G_CIH</v>
      </c>
      <c r="G9722" s="2" t="str">
        <f>" ()"</f>
        <v xml:space="preserve"> ()</v>
      </c>
    </row>
    <row r="9723" spans="1:7" x14ac:dyDescent="0.3">
      <c r="A9723" s="1" t="s">
        <v>4</v>
      </c>
      <c r="B9723" s="2" t="str">
        <f t="shared" si="840"/>
        <v>SISTEMA DE GERENCIAMENTO DE INTERNAÇÃO</v>
      </c>
      <c r="C9723" s="2" t="str">
        <f t="shared" si="841"/>
        <v>INTER</v>
      </c>
      <c r="D9723" s="2" t="str">
        <f t="shared" si="842"/>
        <v>PARI</v>
      </c>
      <c r="E9723" s="2" t="str">
        <f>"REL.EST. INTERNAÇÕES X CONVÊNIO"</f>
        <v>REL.EST. INTERNAÇÕES X CONVÊNIO</v>
      </c>
      <c r="F9723" s="2" t="str">
        <f>"R_EST_INTER_CONV"</f>
        <v>R_EST_INTER_CONV</v>
      </c>
      <c r="G9723" s="2" t="str">
        <f>"Serviços de Apoio / Serviço Arquivo Médico / Relatórios / Estatísticos / Internações / Por Convênio (R_EST_INTER_CONV)"</f>
        <v>Serviços de Apoio / Serviço Arquivo Médico / Relatórios / Estatísticos / Internações / Por Convênio (R_EST_INTER_CONV)</v>
      </c>
    </row>
    <row r="9724" spans="1:7" x14ac:dyDescent="0.3">
      <c r="A9724" s="1" t="s">
        <v>4</v>
      </c>
      <c r="B9724" s="2" t="str">
        <f t="shared" si="840"/>
        <v>SISTEMA DE GERENCIAMENTO DE INTERNAÇÃO</v>
      </c>
      <c r="C9724" s="2" t="str">
        <f t="shared" si="841"/>
        <v>INTER</v>
      </c>
      <c r="D9724" s="2" t="str">
        <f t="shared" si="842"/>
        <v>PARI</v>
      </c>
      <c r="E9724" s="2" t="str">
        <f>"REL.EST. INTERNAÇÕES X CONVÊNIO"</f>
        <v>REL.EST. INTERNAÇÕES X CONVÊNIO</v>
      </c>
      <c r="F9724" s="2" t="str">
        <f>"R_EST_INTER_CONV"</f>
        <v>R_EST_INTER_CONV</v>
      </c>
      <c r="G9724" s="2" t="str">
        <f>"MVSaude / Vendas / Internação / Relatórios / Estatísticos / Internações / Por Convênio (R_EST_INTER_CONV)"</f>
        <v>MVSaude / Vendas / Internação / Relatórios / Estatísticos / Internações / Por Convênio (R_EST_INTER_CONV)</v>
      </c>
    </row>
    <row r="9725" spans="1:7" x14ac:dyDescent="0.3">
      <c r="A9725" s="1" t="s">
        <v>4</v>
      </c>
      <c r="B9725" s="2" t="str">
        <f t="shared" si="840"/>
        <v>SISTEMA DE GERENCIAMENTO DE INTERNAÇÃO</v>
      </c>
      <c r="C9725" s="2" t="str">
        <f t="shared" si="841"/>
        <v>INTER</v>
      </c>
      <c r="D9725" s="2" t="str">
        <f t="shared" si="842"/>
        <v>PARI</v>
      </c>
      <c r="E9725" s="2" t="str">
        <f>"REL.EST. INTERNAÇÕES X CONVÊNIO"</f>
        <v>REL.EST. INTERNAÇÕES X CONVÊNIO</v>
      </c>
      <c r="F9725" s="2" t="str">
        <f>"R_EST_INTER_CONV"</f>
        <v>R_EST_INTER_CONV</v>
      </c>
      <c r="G9725" s="2" t="str">
        <f>"Atendimento / Internação / Relatórios / Estatísticos / Internações / Por Convênio (R_EST_INTER_CONV)"</f>
        <v>Atendimento / Internação / Relatórios / Estatísticos / Internações / Por Convênio (R_EST_INTER_CONV)</v>
      </c>
    </row>
    <row r="9726" spans="1:7" x14ac:dyDescent="0.3">
      <c r="A9726" s="1" t="s">
        <v>4</v>
      </c>
      <c r="B9726" s="2" t="str">
        <f t="shared" si="840"/>
        <v>SISTEMA DE GERENCIAMENTO DE INTERNAÇÃO</v>
      </c>
      <c r="C9726" s="2" t="str">
        <f t="shared" si="841"/>
        <v>INTER</v>
      </c>
      <c r="D9726" s="2" t="str">
        <f t="shared" si="842"/>
        <v>PARI</v>
      </c>
      <c r="E9726" s="2" t="str">
        <f>"REL.EST. INTERNAÇÕES X CONVÊNIO"</f>
        <v>REL.EST. INTERNAÇÕES X CONVÊNIO</v>
      </c>
      <c r="F9726" s="2" t="str">
        <f>"R_EST_INTER_CONV"</f>
        <v>R_EST_INTER_CONV</v>
      </c>
      <c r="G9726" s="2" t="str">
        <f>"Atendimento / Internação Domiciliar (Home Care) / Relatórios / Estatísticos / Internações por Convênio (R_EST_INTER_CONV)"</f>
        <v>Atendimento / Internação Domiciliar (Home Care) / Relatórios / Estatísticos / Internações por Convênio (R_EST_INTER_CONV)</v>
      </c>
    </row>
    <row r="9727" spans="1:7" x14ac:dyDescent="0.3">
      <c r="A9727" s="1" t="s">
        <v>4</v>
      </c>
      <c r="B9727" s="2" t="str">
        <f t="shared" si="840"/>
        <v>SISTEMA DE GERENCIAMENTO DE INTERNAÇÃO</v>
      </c>
      <c r="C9727" s="2" t="str">
        <f t="shared" si="841"/>
        <v>INTER</v>
      </c>
      <c r="D9727" s="2" t="str">
        <f t="shared" si="842"/>
        <v>PARI</v>
      </c>
      <c r="E9727" s="2" t="str">
        <f>"REL.EST. INTERNAÇÕES X CONVÊNIO"</f>
        <v>REL.EST. INTERNAÇÕES X CONVÊNIO</v>
      </c>
      <c r="F9727" s="2" t="str">
        <f>"R_EST_INTER_CONV"</f>
        <v>R_EST_INTER_CONV</v>
      </c>
      <c r="G9727" s="2" t="str">
        <f>"MVSaude / Atendimento / Autorizações de Guias / Internação / Relatórios / Estatísticos / Internações / Por Convênio (R_EST_INTER_CONV)"</f>
        <v>MVSaude / Atendimento / Autorizações de Guias / Internação / Relatórios / Estatísticos / Internações / Por Convênio (R_EST_INTER_CONV)</v>
      </c>
    </row>
    <row r="9728" spans="1:7" x14ac:dyDescent="0.3">
      <c r="A9728" s="1" t="s">
        <v>4</v>
      </c>
      <c r="B9728" s="2" t="str">
        <f t="shared" si="840"/>
        <v>SISTEMA DE GERENCIAMENTO DE INTERNAÇÃO</v>
      </c>
      <c r="C9728" s="2" t="str">
        <f t="shared" si="841"/>
        <v>INTER</v>
      </c>
      <c r="D9728" s="2" t="str">
        <f t="shared" si="842"/>
        <v>PARI</v>
      </c>
      <c r="E9728" s="2" t="str">
        <f>"REL.EST.INTERNAÇÕES X MÉDICO"</f>
        <v>REL.EST.INTERNAÇÕES X MÉDICO</v>
      </c>
      <c r="F9728" s="2" t="str">
        <f>"R_EST_INTER_MED"</f>
        <v>R_EST_INTER_MED</v>
      </c>
      <c r="G9728" s="2" t="str">
        <f>"Serviços de Apoio / Serviço Arquivo Médico / Relatórios / Estatísticos / Internações / Por Médico (R_EST_INTER_MED)"</f>
        <v>Serviços de Apoio / Serviço Arquivo Médico / Relatórios / Estatísticos / Internações / Por Médico (R_EST_INTER_MED)</v>
      </c>
    </row>
    <row r="9729" spans="1:7" x14ac:dyDescent="0.3">
      <c r="A9729" s="1" t="s">
        <v>4</v>
      </c>
      <c r="B9729" s="2" t="str">
        <f t="shared" si="840"/>
        <v>SISTEMA DE GERENCIAMENTO DE INTERNAÇÃO</v>
      </c>
      <c r="C9729" s="2" t="str">
        <f t="shared" si="841"/>
        <v>INTER</v>
      </c>
      <c r="D9729" s="2" t="str">
        <f t="shared" si="842"/>
        <v>PARI</v>
      </c>
      <c r="E9729" s="2" t="str">
        <f>"REL.EST.INTERNAÇÕES X MÉDICO"</f>
        <v>REL.EST.INTERNAÇÕES X MÉDICO</v>
      </c>
      <c r="F9729" s="2" t="str">
        <f>"R_EST_INTER_MED"</f>
        <v>R_EST_INTER_MED</v>
      </c>
      <c r="G9729" s="2" t="str">
        <f>"MVSaude / Vendas / Internação / Relatórios / Estatísticos / Internações / Por Médico (R_EST_INTER_MED)"</f>
        <v>MVSaude / Vendas / Internação / Relatórios / Estatísticos / Internações / Por Médico (R_EST_INTER_MED)</v>
      </c>
    </row>
    <row r="9730" spans="1:7" x14ac:dyDescent="0.3">
      <c r="A9730" s="1" t="s">
        <v>4</v>
      </c>
      <c r="B9730" s="2" t="str">
        <f t="shared" si="840"/>
        <v>SISTEMA DE GERENCIAMENTO DE INTERNAÇÃO</v>
      </c>
      <c r="C9730" s="2" t="str">
        <f t="shared" si="841"/>
        <v>INTER</v>
      </c>
      <c r="D9730" s="2" t="str">
        <f t="shared" si="842"/>
        <v>PARI</v>
      </c>
      <c r="E9730" s="2" t="str">
        <f>"REL.EST.INTERNAÇÕES X MÉDICO"</f>
        <v>REL.EST.INTERNAÇÕES X MÉDICO</v>
      </c>
      <c r="F9730" s="2" t="str">
        <f>"R_EST_INTER_MED"</f>
        <v>R_EST_INTER_MED</v>
      </c>
      <c r="G9730" s="2" t="str">
        <f>"Atendimento / Internação / Relatórios / Estatísticos / Internações / Por Médico (R_EST_INTER_MED)"</f>
        <v>Atendimento / Internação / Relatórios / Estatísticos / Internações / Por Médico (R_EST_INTER_MED)</v>
      </c>
    </row>
    <row r="9731" spans="1:7" x14ac:dyDescent="0.3">
      <c r="A9731" s="1" t="s">
        <v>4</v>
      </c>
      <c r="B9731" s="2" t="str">
        <f t="shared" si="840"/>
        <v>SISTEMA DE GERENCIAMENTO DE INTERNAÇÃO</v>
      </c>
      <c r="C9731" s="2" t="str">
        <f t="shared" si="841"/>
        <v>INTER</v>
      </c>
      <c r="D9731" s="2" t="str">
        <f t="shared" si="842"/>
        <v>PARI</v>
      </c>
      <c r="E9731" s="2" t="str">
        <f>"REL.EST.INTERNAÇÕES X MÉDICO"</f>
        <v>REL.EST.INTERNAÇÕES X MÉDICO</v>
      </c>
      <c r="F9731" s="2" t="str">
        <f>"R_EST_INTER_MED"</f>
        <v>R_EST_INTER_MED</v>
      </c>
      <c r="G9731" s="2" t="str">
        <f>"Atendimento / Internação Domiciliar (Home Care) / Relatórios / Estatísticos / Internações por Médico (R_EST_INTER_MED)"</f>
        <v>Atendimento / Internação Domiciliar (Home Care) / Relatórios / Estatísticos / Internações por Médico (R_EST_INTER_MED)</v>
      </c>
    </row>
    <row r="9732" spans="1:7" x14ac:dyDescent="0.3">
      <c r="A9732" s="1" t="s">
        <v>4</v>
      </c>
      <c r="B9732" s="2" t="str">
        <f t="shared" si="840"/>
        <v>SISTEMA DE GERENCIAMENTO DE INTERNAÇÃO</v>
      </c>
      <c r="C9732" s="2" t="str">
        <f t="shared" si="841"/>
        <v>INTER</v>
      </c>
      <c r="D9732" s="2" t="str">
        <f t="shared" si="842"/>
        <v>PARI</v>
      </c>
      <c r="E9732" s="2" t="str">
        <f>"REL.EST.INTERNAÇÕES X MÉDICO"</f>
        <v>REL.EST.INTERNAÇÕES X MÉDICO</v>
      </c>
      <c r="F9732" s="2" t="str">
        <f>"R_EST_INTER_MED"</f>
        <v>R_EST_INTER_MED</v>
      </c>
      <c r="G9732" s="2" t="str">
        <f>"MVSaude / Atendimento / Autorizações de Guias / Internação / Relatórios / Estatísticos / Internações / Por Médico (R_EST_INTER_MED)"</f>
        <v>MVSaude / Atendimento / Autorizações de Guias / Internação / Relatórios / Estatísticos / Internações / Por Médico (R_EST_INTER_MED)</v>
      </c>
    </row>
    <row r="9733" spans="1:7" x14ac:dyDescent="0.3">
      <c r="A9733" s="1" t="s">
        <v>4</v>
      </c>
      <c r="B9733" s="2" t="str">
        <f t="shared" si="840"/>
        <v>SISTEMA DE GERENCIAMENTO DE INTERNAÇÃO</v>
      </c>
      <c r="C9733" s="2" t="str">
        <f t="shared" si="841"/>
        <v>INTER</v>
      </c>
      <c r="D9733" s="2" t="str">
        <f t="shared" si="842"/>
        <v>PARI</v>
      </c>
      <c r="E9733" s="2" t="str">
        <f>"REL. CAUÇÃO ULTRAPASSADOS"</f>
        <v>REL. CAUÇÃO ULTRAPASSADOS</v>
      </c>
      <c r="F9733" s="2" t="str">
        <f>"R_CAUCAO_ULTRA"</f>
        <v>R_CAUCAO_ULTRA</v>
      </c>
      <c r="G9733" s="2" t="str">
        <f>" ()"</f>
        <v xml:space="preserve"> ()</v>
      </c>
    </row>
    <row r="9734" spans="1:7" x14ac:dyDescent="0.3">
      <c r="A9734" s="1" t="s">
        <v>4</v>
      </c>
      <c r="B9734" s="2" t="str">
        <f t="shared" si="840"/>
        <v>SISTEMA DE GERENCIAMENTO DE INTERNAÇÃO</v>
      </c>
      <c r="C9734" s="2" t="str">
        <f t="shared" si="841"/>
        <v>INTER</v>
      </c>
      <c r="D9734" s="2" t="str">
        <f t="shared" si="842"/>
        <v>PARI</v>
      </c>
      <c r="E9734" s="2" t="str">
        <f t="shared" ref="E9734:E9739" si="847">"REL. ALTAS NO DIA"</f>
        <v>REL. ALTAS NO DIA</v>
      </c>
      <c r="F9734" s="2" t="str">
        <f t="shared" ref="F9734:F9739" si="848">"R_ALTAS"</f>
        <v>R_ALTAS</v>
      </c>
      <c r="G9734" s="2" t="str">
        <f>"MVSaude / Vendas / Internação / Relatórios / Operacionais / Altas / Por Dia (R_ALTAS)"</f>
        <v>MVSaude / Vendas / Internação / Relatórios / Operacionais / Altas / Por Dia (R_ALTAS)</v>
      </c>
    </row>
    <row r="9735" spans="1:7" x14ac:dyDescent="0.3">
      <c r="A9735" s="1" t="s">
        <v>4</v>
      </c>
      <c r="B9735" s="2" t="str">
        <f t="shared" si="840"/>
        <v>SISTEMA DE GERENCIAMENTO DE INTERNAÇÃO</v>
      </c>
      <c r="C9735" s="2" t="str">
        <f t="shared" si="841"/>
        <v>INTER</v>
      </c>
      <c r="D9735" s="2" t="str">
        <f t="shared" si="842"/>
        <v>PARI</v>
      </c>
      <c r="E9735" s="2" t="str">
        <f t="shared" si="847"/>
        <v>REL. ALTAS NO DIA</v>
      </c>
      <c r="F9735" s="2" t="str">
        <f t="shared" si="848"/>
        <v>R_ALTAS</v>
      </c>
      <c r="G9735" s="2" t="str">
        <f>"Atendimento / Internação / Relatórios / Operacionais / Altas / Por Dia (R_ALTAS)"</f>
        <v>Atendimento / Internação / Relatórios / Operacionais / Altas / Por Dia (R_ALTAS)</v>
      </c>
    </row>
    <row r="9736" spans="1:7" x14ac:dyDescent="0.3">
      <c r="A9736" s="1" t="s">
        <v>4</v>
      </c>
      <c r="B9736" s="2" t="str">
        <f t="shared" si="840"/>
        <v>SISTEMA DE GERENCIAMENTO DE INTERNAÇÃO</v>
      </c>
      <c r="C9736" s="2" t="str">
        <f t="shared" si="841"/>
        <v>INTER</v>
      </c>
      <c r="D9736" s="2" t="str">
        <f t="shared" si="842"/>
        <v>PARI</v>
      </c>
      <c r="E9736" s="2" t="str">
        <f t="shared" si="847"/>
        <v>REL. ALTAS NO DIA</v>
      </c>
      <c r="F9736" s="2" t="str">
        <f t="shared" si="848"/>
        <v>R_ALTAS</v>
      </c>
      <c r="G9736" s="2" t="str">
        <f>"Controladoria / Tesouraria / Relatórios / Internação / Altas no Dia (R_ALTAS)"</f>
        <v>Controladoria / Tesouraria / Relatórios / Internação / Altas no Dia (R_ALTAS)</v>
      </c>
    </row>
    <row r="9737" spans="1:7" x14ac:dyDescent="0.3">
      <c r="A9737" s="1" t="s">
        <v>4</v>
      </c>
      <c r="B9737" s="2" t="str">
        <f t="shared" si="840"/>
        <v>SISTEMA DE GERENCIAMENTO DE INTERNAÇÃO</v>
      </c>
      <c r="C9737" s="2" t="str">
        <f t="shared" si="841"/>
        <v>INTER</v>
      </c>
      <c r="D9737" s="2" t="str">
        <f t="shared" si="842"/>
        <v>PARI</v>
      </c>
      <c r="E9737" s="2" t="str">
        <f t="shared" si="847"/>
        <v>REL. ALTAS NO DIA</v>
      </c>
      <c r="F9737" s="2" t="str">
        <f t="shared" si="848"/>
        <v>R_ALTAS</v>
      </c>
      <c r="G9737" s="2" t="str">
        <f>"Serviços de Apoio / Serviço Arquivo Médico / Relatórios / Operacionais / Altas / Por Dia (R_ALTAS)"</f>
        <v>Serviços de Apoio / Serviço Arquivo Médico / Relatórios / Operacionais / Altas / Por Dia (R_ALTAS)</v>
      </c>
    </row>
    <row r="9738" spans="1:7" x14ac:dyDescent="0.3">
      <c r="A9738" s="1" t="s">
        <v>4</v>
      </c>
      <c r="B9738" s="2" t="str">
        <f t="shared" si="840"/>
        <v>SISTEMA DE GERENCIAMENTO DE INTERNAÇÃO</v>
      </c>
      <c r="C9738" s="2" t="str">
        <f t="shared" si="841"/>
        <v>INTER</v>
      </c>
      <c r="D9738" s="2" t="str">
        <f t="shared" si="842"/>
        <v>PARI</v>
      </c>
      <c r="E9738" s="2" t="str">
        <f t="shared" si="847"/>
        <v>REL. ALTAS NO DIA</v>
      </c>
      <c r="F9738" s="2" t="str">
        <f t="shared" si="848"/>
        <v>R_ALTAS</v>
      </c>
      <c r="G9738" s="2" t="str">
        <f>"Atendimento / Internação Domiciliar (Home Care) / Relatórios / Operacionais / Altas no Dia (R_ALTAS)"</f>
        <v>Atendimento / Internação Domiciliar (Home Care) / Relatórios / Operacionais / Altas no Dia (R_ALTAS)</v>
      </c>
    </row>
    <row r="9739" spans="1:7" x14ac:dyDescent="0.3">
      <c r="A9739" s="1" t="s">
        <v>4</v>
      </c>
      <c r="B9739" s="2" t="str">
        <f t="shared" si="840"/>
        <v>SISTEMA DE GERENCIAMENTO DE INTERNAÇÃO</v>
      </c>
      <c r="C9739" s="2" t="str">
        <f t="shared" si="841"/>
        <v>INTER</v>
      </c>
      <c r="D9739" s="2" t="str">
        <f t="shared" si="842"/>
        <v>PARI</v>
      </c>
      <c r="E9739" s="2" t="str">
        <f t="shared" si="847"/>
        <v>REL. ALTAS NO DIA</v>
      </c>
      <c r="F9739" s="2" t="str">
        <f t="shared" si="848"/>
        <v>R_ALTAS</v>
      </c>
      <c r="G9739" s="2" t="str">
        <f>"MVSaude / Atendimento / Autorizações de Guias / Internação / Relatórios / Operacionais / Altas / Por Dia (R_ALTAS)"</f>
        <v>MVSaude / Atendimento / Autorizações de Guias / Internação / Relatórios / Operacionais / Altas / Por Dia (R_ALTAS)</v>
      </c>
    </row>
    <row r="9740" spans="1:7" x14ac:dyDescent="0.3">
      <c r="A9740" s="1" t="s">
        <v>4</v>
      </c>
      <c r="B9740" s="2" t="str">
        <f t="shared" si="840"/>
        <v>SISTEMA DE GERENCIAMENTO DE INTERNAÇÃO</v>
      </c>
      <c r="C9740" s="2" t="str">
        <f t="shared" si="841"/>
        <v>INTER</v>
      </c>
      <c r="D9740" s="2" t="str">
        <f t="shared" si="842"/>
        <v>PARI</v>
      </c>
      <c r="E9740" s="2" t="str">
        <f>"RELATORIO DE MOVIMENTAÇÃO ANALÍTICO"</f>
        <v>RELATORIO DE MOVIMENTAÇÃO ANALÍTICO</v>
      </c>
      <c r="F9740" s="2" t="str">
        <f>"R_MOV_GERAL"</f>
        <v>R_MOV_GERAL</v>
      </c>
      <c r="G9740" s="2" t="str">
        <f>"Atendimento / Internação / Relatórios / Movimentação / Analítico (R_MOV_GERAL)"</f>
        <v>Atendimento / Internação / Relatórios / Movimentação / Analítico (R_MOV_GERAL)</v>
      </c>
    </row>
    <row r="9741" spans="1:7" x14ac:dyDescent="0.3">
      <c r="A9741" s="1" t="s">
        <v>4</v>
      </c>
      <c r="B9741" s="2" t="str">
        <f t="shared" si="840"/>
        <v>SISTEMA DE GERENCIAMENTO DE INTERNAÇÃO</v>
      </c>
      <c r="C9741" s="2" t="str">
        <f t="shared" si="841"/>
        <v>INTER</v>
      </c>
      <c r="D9741" s="2" t="str">
        <f t="shared" si="842"/>
        <v>PARI</v>
      </c>
      <c r="E9741" s="2" t="str">
        <f>"RELATORIO DE MOVIMENTAÇÃO ANALÍTICO"</f>
        <v>RELATORIO DE MOVIMENTAÇÃO ANALÍTICO</v>
      </c>
      <c r="F9741" s="2" t="str">
        <f>"R_MOV_GERAL"</f>
        <v>R_MOV_GERAL</v>
      </c>
      <c r="G9741" s="2" t="str">
        <f>"MVSaude / Atendimento / Autorizações de Guias / Internação / Relatórios / Movimentação / Analítico (R_MOV_GERAL)"</f>
        <v>MVSaude / Atendimento / Autorizações de Guias / Internação / Relatórios / Movimentação / Analítico (R_MOV_GERAL)</v>
      </c>
    </row>
    <row r="9742" spans="1:7" x14ac:dyDescent="0.3">
      <c r="A9742" s="1" t="s">
        <v>4</v>
      </c>
      <c r="B9742" s="2" t="str">
        <f t="shared" ref="B9742:B9805" si="849">"SISTEMA DE GERENCIAMENTO DE INTERNAÇÃO"</f>
        <v>SISTEMA DE GERENCIAMENTO DE INTERNAÇÃO</v>
      </c>
      <c r="C9742" s="2" t="str">
        <f t="shared" ref="C9742:C9805" si="850">"INTER"</f>
        <v>INTER</v>
      </c>
      <c r="D9742" s="2" t="str">
        <f t="shared" ref="D9742:D9805" si="851">"PARI"</f>
        <v>PARI</v>
      </c>
      <c r="E9742" s="2" t="str">
        <f>"RELATORIO DE MOVIMENTAÇÃO ANALÍTICO"</f>
        <v>RELATORIO DE MOVIMENTAÇÃO ANALÍTICO</v>
      </c>
      <c r="F9742" s="2" t="str">
        <f>"R_MOV_GERAL"</f>
        <v>R_MOV_GERAL</v>
      </c>
      <c r="G9742" s="2" t="str">
        <f>"MVSaude / Vendas / Internação / Relatórios / Movimentação / Analítico (R_MOV_GERAL)"</f>
        <v>MVSaude / Vendas / Internação / Relatórios / Movimentação / Analítico (R_MOV_GERAL)</v>
      </c>
    </row>
    <row r="9743" spans="1:7" x14ac:dyDescent="0.3">
      <c r="A9743" s="1" t="s">
        <v>4</v>
      </c>
      <c r="B9743" s="2" t="str">
        <f t="shared" si="849"/>
        <v>SISTEMA DE GERENCIAMENTO DE INTERNAÇÃO</v>
      </c>
      <c r="C9743" s="2" t="str">
        <f t="shared" si="850"/>
        <v>INTER</v>
      </c>
      <c r="D9743" s="2" t="str">
        <f t="shared" si="851"/>
        <v>PARI</v>
      </c>
      <c r="E9743" s="2" t="str">
        <f>"CANCELAMENTO DE ALTA"</f>
        <v>CANCELAMENTO DE ALTA</v>
      </c>
      <c r="F9743" s="2" t="str">
        <f>"CANC_ALTA"</f>
        <v>CANC_ALTA</v>
      </c>
      <c r="G9743" s="2" t="str">
        <f>"Atendimento / Internação Domiciliar (Home Care) / Recepção / Cancelamento de Alta / Alta Médica (CANC_ALTA)"</f>
        <v>Atendimento / Internação Domiciliar (Home Care) / Recepção / Cancelamento de Alta / Alta Médica (CANC_ALTA)</v>
      </c>
    </row>
    <row r="9744" spans="1:7" x14ac:dyDescent="0.3">
      <c r="A9744" s="1" t="s">
        <v>4</v>
      </c>
      <c r="B9744" s="2" t="str">
        <f t="shared" si="849"/>
        <v>SISTEMA DE GERENCIAMENTO DE INTERNAÇÃO</v>
      </c>
      <c r="C9744" s="2" t="str">
        <f t="shared" si="850"/>
        <v>INTER</v>
      </c>
      <c r="D9744" s="2" t="str">
        <f t="shared" si="851"/>
        <v>PARI</v>
      </c>
      <c r="E9744" s="2" t="str">
        <f>"CANCELAMENTO DE ALTA"</f>
        <v>CANCELAMENTO DE ALTA</v>
      </c>
      <c r="F9744" s="2" t="str">
        <f>"CANC_ALTA"</f>
        <v>CANC_ALTA</v>
      </c>
      <c r="G9744" s="2" t="str">
        <f>"Atendimento / Internação Domiciliar (Home Care) / Recepção / Cancelamento de Alta / Alta Hospitalar (CANC_ALTA)"</f>
        <v>Atendimento / Internação Domiciliar (Home Care) / Recepção / Cancelamento de Alta / Alta Hospitalar (CANC_ALTA)</v>
      </c>
    </row>
    <row r="9745" spans="1:7" x14ac:dyDescent="0.3">
      <c r="A9745" s="1" t="s">
        <v>4</v>
      </c>
      <c r="B9745" s="2" t="str">
        <f t="shared" si="849"/>
        <v>SISTEMA DE GERENCIAMENTO DE INTERNAÇÃO</v>
      </c>
      <c r="C9745" s="2" t="str">
        <f t="shared" si="850"/>
        <v>INTER</v>
      </c>
      <c r="D9745" s="2" t="str">
        <f t="shared" si="851"/>
        <v>PARI</v>
      </c>
      <c r="E9745" s="2" t="str">
        <f>"ALTA DE PACIENTE"</f>
        <v>ALTA DE PACIENTE</v>
      </c>
      <c r="F9745" s="2" t="str">
        <f>"ALT_PAC"</f>
        <v>ALT_PAC</v>
      </c>
      <c r="G9745" s="2" t="str">
        <f>"Atendimento / Internação Domiciliar (Home Care) / Recepção / Alta de Paciente / Alta Médica (ALT_PAC)"</f>
        <v>Atendimento / Internação Domiciliar (Home Care) / Recepção / Alta de Paciente / Alta Médica (ALT_PAC)</v>
      </c>
    </row>
    <row r="9746" spans="1:7" x14ac:dyDescent="0.3">
      <c r="A9746" s="1" t="s">
        <v>4</v>
      </c>
      <c r="B9746" s="2" t="str">
        <f t="shared" si="849"/>
        <v>SISTEMA DE GERENCIAMENTO DE INTERNAÇÃO</v>
      </c>
      <c r="C9746" s="2" t="str">
        <f t="shared" si="850"/>
        <v>INTER</v>
      </c>
      <c r="D9746" s="2" t="str">
        <f t="shared" si="851"/>
        <v>PARI</v>
      </c>
      <c r="E9746" s="2" t="str">
        <f>"ALTA DE PACIENTE"</f>
        <v>ALTA DE PACIENTE</v>
      </c>
      <c r="F9746" s="2" t="str">
        <f>"ALT_PAC"</f>
        <v>ALT_PAC</v>
      </c>
      <c r="G9746" s="2" t="str">
        <f>"Atendimento / Internação Domiciliar (Home Care) / Recepção / Alta de Paciente / Alta Hospitalar (ALT_PAC)"</f>
        <v>Atendimento / Internação Domiciliar (Home Care) / Recepção / Alta de Paciente / Alta Hospitalar (ALT_PAC)</v>
      </c>
    </row>
    <row r="9747" spans="1:7" x14ac:dyDescent="0.3">
      <c r="A9747" s="1" t="s">
        <v>4</v>
      </c>
      <c r="B9747" s="2" t="str">
        <f t="shared" si="849"/>
        <v>SISTEMA DE GERENCIAMENTO DE INTERNAÇÃO</v>
      </c>
      <c r="C9747" s="2" t="str">
        <f t="shared" si="850"/>
        <v>INTER</v>
      </c>
      <c r="D9747" s="2" t="str">
        <f t="shared" si="851"/>
        <v>PARI</v>
      </c>
      <c r="E9747" s="2" t="str">
        <f>"REL. DE CENSO SINTÉTICO"</f>
        <v>REL. DE CENSO SINTÉTICO</v>
      </c>
      <c r="F9747" s="2" t="str">
        <f>"R_CENSO_SINT"</f>
        <v>R_CENSO_SINT</v>
      </c>
      <c r="G9747" s="2" t="str">
        <f>" ()"</f>
        <v xml:space="preserve"> ()</v>
      </c>
    </row>
    <row r="9748" spans="1:7" x14ac:dyDescent="0.3">
      <c r="A9748" s="1" t="s">
        <v>4</v>
      </c>
      <c r="B9748" s="2" t="str">
        <f t="shared" si="849"/>
        <v>SISTEMA DE GERENCIAMENTO DE INTERNAÇÃO</v>
      </c>
      <c r="C9748" s="2" t="str">
        <f t="shared" si="850"/>
        <v>INTER</v>
      </c>
      <c r="D9748" s="2" t="str">
        <f t="shared" si="851"/>
        <v>PARI</v>
      </c>
      <c r="E9748" s="2" t="str">
        <f>"CONSULTA DE CID"</f>
        <v>CONSULTA DE CID</v>
      </c>
      <c r="F9748" s="2" t="str">
        <f>"C_CID"</f>
        <v>C_CID</v>
      </c>
      <c r="G9748" s="2" t="str">
        <f>"MVSaude / Vendas / Internação / Consultas / CID (C_CID)"</f>
        <v>MVSaude / Vendas / Internação / Consultas / CID (C_CID)</v>
      </c>
    </row>
    <row r="9749" spans="1:7" x14ac:dyDescent="0.3">
      <c r="A9749" s="1" t="s">
        <v>4</v>
      </c>
      <c r="B9749" s="2" t="str">
        <f t="shared" si="849"/>
        <v>SISTEMA DE GERENCIAMENTO DE INTERNAÇÃO</v>
      </c>
      <c r="C9749" s="2" t="str">
        <f t="shared" si="850"/>
        <v>INTER</v>
      </c>
      <c r="D9749" s="2" t="str">
        <f t="shared" si="851"/>
        <v>PARI</v>
      </c>
      <c r="E9749" s="2" t="str">
        <f>"CONSULTA DE CID"</f>
        <v>CONSULTA DE CID</v>
      </c>
      <c r="F9749" s="2" t="str">
        <f>"C_CID"</f>
        <v>C_CID</v>
      </c>
      <c r="G9749" s="2" t="str">
        <f>"Atendimento / Internação / Consultas / CID (C_CID)"</f>
        <v>Atendimento / Internação / Consultas / CID (C_CID)</v>
      </c>
    </row>
    <row r="9750" spans="1:7" x14ac:dyDescent="0.3">
      <c r="A9750" s="1" t="s">
        <v>4</v>
      </c>
      <c r="B9750" s="2" t="str">
        <f t="shared" si="849"/>
        <v>SISTEMA DE GERENCIAMENTO DE INTERNAÇÃO</v>
      </c>
      <c r="C9750" s="2" t="str">
        <f t="shared" si="850"/>
        <v>INTER</v>
      </c>
      <c r="D9750" s="2" t="str">
        <f t="shared" si="851"/>
        <v>PARI</v>
      </c>
      <c r="E9750" s="2" t="str">
        <f>"CONSULTA DE CID"</f>
        <v>CONSULTA DE CID</v>
      </c>
      <c r="F9750" s="2" t="str">
        <f>"C_CID"</f>
        <v>C_CID</v>
      </c>
      <c r="G9750" s="2" t="str">
        <f>"MVSaude / Atendimento / Autorizações de Guias / Internação / Consultas / CID (C_CID)"</f>
        <v>MVSaude / Atendimento / Autorizações de Guias / Internação / Consultas / CID (C_CID)</v>
      </c>
    </row>
    <row r="9751" spans="1:7" x14ac:dyDescent="0.3">
      <c r="A9751" s="1" t="s">
        <v>4</v>
      </c>
      <c r="B9751" s="2" t="str">
        <f t="shared" si="849"/>
        <v>SISTEMA DE GERENCIAMENTO DE INTERNAÇÃO</v>
      </c>
      <c r="C9751" s="2" t="str">
        <f t="shared" si="850"/>
        <v>INTER</v>
      </c>
      <c r="D9751" s="2" t="str">
        <f t="shared" si="851"/>
        <v>PARI</v>
      </c>
      <c r="E9751" s="2" t="str">
        <f>"CONSULTA DE CID"</f>
        <v>CONSULTA DE CID</v>
      </c>
      <c r="F9751" s="2" t="str">
        <f>"C_CID"</f>
        <v>C_CID</v>
      </c>
      <c r="G9751" s="2" t="str">
        <f>"Atendimento / Internação Domiciliar (Home Care) / Consultas / CID (C_CID)"</f>
        <v>Atendimento / Internação Domiciliar (Home Care) / Consultas / CID (C_CID)</v>
      </c>
    </row>
    <row r="9752" spans="1:7" x14ac:dyDescent="0.3">
      <c r="A9752" s="1" t="s">
        <v>4</v>
      </c>
      <c r="B9752" s="2" t="str">
        <f t="shared" si="849"/>
        <v>SISTEMA DE GERENCIAMENTO DE INTERNAÇÃO</v>
      </c>
      <c r="C9752" s="2" t="str">
        <f t="shared" si="850"/>
        <v>INTER</v>
      </c>
      <c r="D9752" s="2" t="str">
        <f t="shared" si="851"/>
        <v>PARI</v>
      </c>
      <c r="E9752" s="2" t="str">
        <f>"CONSULTA DE CID"</f>
        <v>CONSULTA DE CID</v>
      </c>
      <c r="F9752" s="2" t="str">
        <f>"C_CID"</f>
        <v>C_CID</v>
      </c>
      <c r="G9752" s="2" t="str">
        <f>"Outros / Fusam / Consultas / CID (C_CID)"</f>
        <v>Outros / Fusam / Consultas / CID (C_CID)</v>
      </c>
    </row>
    <row r="9753" spans="1:7" x14ac:dyDescent="0.3">
      <c r="A9753" s="1" t="s">
        <v>4</v>
      </c>
      <c r="B9753" s="2" t="str">
        <f t="shared" si="849"/>
        <v>SISTEMA DE GERENCIAMENTO DE INTERNAÇÃO</v>
      </c>
      <c r="C9753" s="2" t="str">
        <f t="shared" si="850"/>
        <v>INTER</v>
      </c>
      <c r="D9753" s="2" t="str">
        <f t="shared" si="851"/>
        <v>PARI</v>
      </c>
      <c r="E9753" s="2" t="str">
        <f>"RELATORIO DE MOTIVOS DE ALTA"</f>
        <v>RELATORIO DE MOTIVOS DE ALTA</v>
      </c>
      <c r="F9753" s="2" t="str">
        <f>"R_MOTALT"</f>
        <v>R_MOTALT</v>
      </c>
      <c r="G9753" s="2" t="str">
        <f>"MVSaude / Vendas / Internação / Relatórios / Tabelas / Motivos de Alta (R_MOTALT)"</f>
        <v>MVSaude / Vendas / Internação / Relatórios / Tabelas / Motivos de Alta (R_MOTALT)</v>
      </c>
    </row>
    <row r="9754" spans="1:7" x14ac:dyDescent="0.3">
      <c r="A9754" s="1" t="s">
        <v>4</v>
      </c>
      <c r="B9754" s="2" t="str">
        <f t="shared" si="849"/>
        <v>SISTEMA DE GERENCIAMENTO DE INTERNAÇÃO</v>
      </c>
      <c r="C9754" s="2" t="str">
        <f t="shared" si="850"/>
        <v>INTER</v>
      </c>
      <c r="D9754" s="2" t="str">
        <f t="shared" si="851"/>
        <v>PARI</v>
      </c>
      <c r="E9754" s="2" t="str">
        <f>"RELATORIO DE MOTIVOS DE ALTA"</f>
        <v>RELATORIO DE MOTIVOS DE ALTA</v>
      </c>
      <c r="F9754" s="2" t="str">
        <f>"R_MOTALT"</f>
        <v>R_MOTALT</v>
      </c>
      <c r="G9754" s="2" t="str">
        <f>"Atendimento / Internação / Relatórios / Tabelas / Motivos de Alta (R_MOTALT)"</f>
        <v>Atendimento / Internação / Relatórios / Tabelas / Motivos de Alta (R_MOTALT)</v>
      </c>
    </row>
    <row r="9755" spans="1:7" x14ac:dyDescent="0.3">
      <c r="A9755" s="1" t="s">
        <v>4</v>
      </c>
      <c r="B9755" s="2" t="str">
        <f t="shared" si="849"/>
        <v>SISTEMA DE GERENCIAMENTO DE INTERNAÇÃO</v>
      </c>
      <c r="C9755" s="2" t="str">
        <f t="shared" si="850"/>
        <v>INTER</v>
      </c>
      <c r="D9755" s="2" t="str">
        <f t="shared" si="851"/>
        <v>PARI</v>
      </c>
      <c r="E9755" s="2" t="str">
        <f>"RELATORIO DE MOTIVOS DE ALTA"</f>
        <v>RELATORIO DE MOTIVOS DE ALTA</v>
      </c>
      <c r="F9755" s="2" t="str">
        <f>"R_MOTALT"</f>
        <v>R_MOTALT</v>
      </c>
      <c r="G9755" s="2" t="str">
        <f>"MVSaude / Atendimento / Autorizações de Guias / Internação / Relatórios / Tabelas / Motivos de Alta (R_MOTALT)"</f>
        <v>MVSaude / Atendimento / Autorizações de Guias / Internação / Relatórios / Tabelas / Motivos de Alta (R_MOTALT)</v>
      </c>
    </row>
    <row r="9756" spans="1:7" x14ac:dyDescent="0.3">
      <c r="A9756" s="1" t="s">
        <v>4</v>
      </c>
      <c r="B9756" s="2" t="str">
        <f t="shared" si="849"/>
        <v>SISTEMA DE GERENCIAMENTO DE INTERNAÇÃO</v>
      </c>
      <c r="C9756" s="2" t="str">
        <f t="shared" si="850"/>
        <v>INTER</v>
      </c>
      <c r="D9756" s="2" t="str">
        <f t="shared" si="851"/>
        <v>PARI</v>
      </c>
      <c r="E9756" s="2" t="str">
        <f>"RELATORIO DE MOTIVOS DE ALTA"</f>
        <v>RELATORIO DE MOTIVOS DE ALTA</v>
      </c>
      <c r="F9756" s="2" t="str">
        <f>"R_MOTALT"</f>
        <v>R_MOTALT</v>
      </c>
      <c r="G9756" s="2" t="str">
        <f>"Atendimento / Internação Domiciliar (Home Care) / Relatórios / Tabelas / Motivos de Alta (R_MOTALT)"</f>
        <v>Atendimento / Internação Domiciliar (Home Care) / Relatórios / Tabelas / Motivos de Alta (R_MOTALT)</v>
      </c>
    </row>
    <row r="9757" spans="1:7" x14ac:dyDescent="0.3">
      <c r="A9757" s="1" t="s">
        <v>4</v>
      </c>
      <c r="B9757" s="2" t="str">
        <f t="shared" si="849"/>
        <v>SISTEMA DE GERENCIAMENTO DE INTERNAÇÃO</v>
      </c>
      <c r="C9757" s="2" t="str">
        <f t="shared" si="850"/>
        <v>INTER</v>
      </c>
      <c r="D9757" s="2" t="str">
        <f t="shared" si="851"/>
        <v>PARI</v>
      </c>
      <c r="E9757" s="2" t="str">
        <f>"RELATORIOS DE CARACTERISTICAS"</f>
        <v>RELATORIOS DE CARACTERISTICAS</v>
      </c>
      <c r="F9757" s="2" t="str">
        <f>"R_CARACTER"</f>
        <v>R_CARACTER</v>
      </c>
      <c r="G9757" s="2" t="str">
        <f>"MVSaude / Vendas / Internação / Relatórios / Tabelas / Característica (R_CARACTER)"</f>
        <v>MVSaude / Vendas / Internação / Relatórios / Tabelas / Característica (R_CARACTER)</v>
      </c>
    </row>
    <row r="9758" spans="1:7" x14ac:dyDescent="0.3">
      <c r="A9758" s="1" t="s">
        <v>4</v>
      </c>
      <c r="B9758" s="2" t="str">
        <f t="shared" si="849"/>
        <v>SISTEMA DE GERENCIAMENTO DE INTERNAÇÃO</v>
      </c>
      <c r="C9758" s="2" t="str">
        <f t="shared" si="850"/>
        <v>INTER</v>
      </c>
      <c r="D9758" s="2" t="str">
        <f t="shared" si="851"/>
        <v>PARI</v>
      </c>
      <c r="E9758" s="2" t="str">
        <f>"RELATORIOS DE CARACTERISTICAS"</f>
        <v>RELATORIOS DE CARACTERISTICAS</v>
      </c>
      <c r="F9758" s="2" t="str">
        <f>"R_CARACTER"</f>
        <v>R_CARACTER</v>
      </c>
      <c r="G9758" s="2" t="str">
        <f>"Atendimento / Internação / Relatórios / Tabelas / Característica (R_CARACTER)"</f>
        <v>Atendimento / Internação / Relatórios / Tabelas / Característica (R_CARACTER)</v>
      </c>
    </row>
    <row r="9759" spans="1:7" x14ac:dyDescent="0.3">
      <c r="A9759" s="1" t="s">
        <v>4</v>
      </c>
      <c r="B9759" s="2" t="str">
        <f t="shared" si="849"/>
        <v>SISTEMA DE GERENCIAMENTO DE INTERNAÇÃO</v>
      </c>
      <c r="C9759" s="2" t="str">
        <f t="shared" si="850"/>
        <v>INTER</v>
      </c>
      <c r="D9759" s="2" t="str">
        <f t="shared" si="851"/>
        <v>PARI</v>
      </c>
      <c r="E9759" s="2" t="str">
        <f>"RELATORIOS DE CARACTERISTICAS"</f>
        <v>RELATORIOS DE CARACTERISTICAS</v>
      </c>
      <c r="F9759" s="2" t="str">
        <f>"R_CARACTER"</f>
        <v>R_CARACTER</v>
      </c>
      <c r="G9759" s="2" t="str">
        <f>"MVSaude / Atendimento / Autorizações de Guias / Internação / Relatórios / Tabelas / Característica (R_CARACTER)"</f>
        <v>MVSaude / Atendimento / Autorizações de Guias / Internação / Relatórios / Tabelas / Característica (R_CARACTER)</v>
      </c>
    </row>
    <row r="9760" spans="1:7" x14ac:dyDescent="0.3">
      <c r="A9760" s="1" t="s">
        <v>4</v>
      </c>
      <c r="B9760" s="2" t="str">
        <f t="shared" si="849"/>
        <v>SISTEMA DE GERENCIAMENTO DE INTERNAÇÃO</v>
      </c>
      <c r="C9760" s="2" t="str">
        <f t="shared" si="850"/>
        <v>INTER</v>
      </c>
      <c r="D9760" s="2" t="str">
        <f t="shared" si="851"/>
        <v>PARI</v>
      </c>
      <c r="E9760" s="2" t="str">
        <f>"RELATORIO DE TIPOS DE ACOMODAÇÃO"</f>
        <v>RELATORIO DE TIPOS DE ACOMODAÇÃO</v>
      </c>
      <c r="F9760" s="2" t="str">
        <f>"R_TIPACO"</f>
        <v>R_TIPACO</v>
      </c>
      <c r="G9760" s="2" t="str">
        <f>"MVSaude / Vendas / Internação / Relatórios / Tabelas / Tipos de Acomodação (R_TIPACO)"</f>
        <v>MVSaude / Vendas / Internação / Relatórios / Tabelas / Tipos de Acomodação (R_TIPACO)</v>
      </c>
    </row>
    <row r="9761" spans="1:7" x14ac:dyDescent="0.3">
      <c r="A9761" s="1" t="s">
        <v>4</v>
      </c>
      <c r="B9761" s="2" t="str">
        <f t="shared" si="849"/>
        <v>SISTEMA DE GERENCIAMENTO DE INTERNAÇÃO</v>
      </c>
      <c r="C9761" s="2" t="str">
        <f t="shared" si="850"/>
        <v>INTER</v>
      </c>
      <c r="D9761" s="2" t="str">
        <f t="shared" si="851"/>
        <v>PARI</v>
      </c>
      <c r="E9761" s="2" t="str">
        <f>"RELATORIO DE TIPOS DE ACOMODAÇÃO"</f>
        <v>RELATORIO DE TIPOS DE ACOMODAÇÃO</v>
      </c>
      <c r="F9761" s="2" t="str">
        <f>"R_TIPACO"</f>
        <v>R_TIPACO</v>
      </c>
      <c r="G9761" s="2" t="str">
        <f>"Atendimento / Internação / Relatórios / Tabelas / Tipos de Acomodação (R_TIPACO)"</f>
        <v>Atendimento / Internação / Relatórios / Tabelas / Tipos de Acomodação (R_TIPACO)</v>
      </c>
    </row>
    <row r="9762" spans="1:7" x14ac:dyDescent="0.3">
      <c r="A9762" s="1" t="s">
        <v>4</v>
      </c>
      <c r="B9762" s="2" t="str">
        <f t="shared" si="849"/>
        <v>SISTEMA DE GERENCIAMENTO DE INTERNAÇÃO</v>
      </c>
      <c r="C9762" s="2" t="str">
        <f t="shared" si="850"/>
        <v>INTER</v>
      </c>
      <c r="D9762" s="2" t="str">
        <f t="shared" si="851"/>
        <v>PARI</v>
      </c>
      <c r="E9762" s="2" t="str">
        <f>"RELATORIO DE TIPOS DE ACOMODAÇÃO"</f>
        <v>RELATORIO DE TIPOS DE ACOMODAÇÃO</v>
      </c>
      <c r="F9762" s="2" t="str">
        <f>"R_TIPACO"</f>
        <v>R_TIPACO</v>
      </c>
      <c r="G9762" s="2" t="str">
        <f>"MVSaude / Atendimento / Autorizações de Guias / Internação / Relatórios / Tabelas / Tipos de Acomodação (R_TIPACO)"</f>
        <v>MVSaude / Atendimento / Autorizações de Guias / Internação / Relatórios / Tabelas / Tipos de Acomodação (R_TIPACO)</v>
      </c>
    </row>
    <row r="9763" spans="1:7" x14ac:dyDescent="0.3">
      <c r="A9763" s="1" t="s">
        <v>4</v>
      </c>
      <c r="B9763" s="2" t="str">
        <f t="shared" si="849"/>
        <v>SISTEMA DE GERENCIAMENTO DE INTERNAÇÃO</v>
      </c>
      <c r="C9763" s="2" t="str">
        <f t="shared" si="850"/>
        <v>INTER</v>
      </c>
      <c r="D9763" s="2" t="str">
        <f t="shared" si="851"/>
        <v>PARI</v>
      </c>
      <c r="E9763" s="2" t="str">
        <f>"RELATORIO DE LEITOS"</f>
        <v>RELATORIO DE LEITOS</v>
      </c>
      <c r="F9763" s="2" t="str">
        <f>"R_LEITOS"</f>
        <v>R_LEITOS</v>
      </c>
      <c r="G9763" s="2" t="str">
        <f>"MVSaude / Vendas / Internação / Relatórios / Tabelas / Leitos (R_LEITOS)"</f>
        <v>MVSaude / Vendas / Internação / Relatórios / Tabelas / Leitos (R_LEITOS)</v>
      </c>
    </row>
    <row r="9764" spans="1:7" x14ac:dyDescent="0.3">
      <c r="A9764" s="1" t="s">
        <v>4</v>
      </c>
      <c r="B9764" s="2" t="str">
        <f t="shared" si="849"/>
        <v>SISTEMA DE GERENCIAMENTO DE INTERNAÇÃO</v>
      </c>
      <c r="C9764" s="2" t="str">
        <f t="shared" si="850"/>
        <v>INTER</v>
      </c>
      <c r="D9764" s="2" t="str">
        <f t="shared" si="851"/>
        <v>PARI</v>
      </c>
      <c r="E9764" s="2" t="str">
        <f>"RELATORIO DE LEITOS"</f>
        <v>RELATORIO DE LEITOS</v>
      </c>
      <c r="F9764" s="2" t="str">
        <f>"R_LEITOS"</f>
        <v>R_LEITOS</v>
      </c>
      <c r="G9764" s="2" t="str">
        <f>"Atendimento / Internação / Relatórios / Tabelas / Leitos (R_LEITOS)"</f>
        <v>Atendimento / Internação / Relatórios / Tabelas / Leitos (R_LEITOS)</v>
      </c>
    </row>
    <row r="9765" spans="1:7" x14ac:dyDescent="0.3">
      <c r="A9765" s="1" t="s">
        <v>4</v>
      </c>
      <c r="B9765" s="2" t="str">
        <f t="shared" si="849"/>
        <v>SISTEMA DE GERENCIAMENTO DE INTERNAÇÃO</v>
      </c>
      <c r="C9765" s="2" t="str">
        <f t="shared" si="850"/>
        <v>INTER</v>
      </c>
      <c r="D9765" s="2" t="str">
        <f t="shared" si="851"/>
        <v>PARI</v>
      </c>
      <c r="E9765" s="2" t="str">
        <f>"RELATORIO DE LEITOS"</f>
        <v>RELATORIO DE LEITOS</v>
      </c>
      <c r="F9765" s="2" t="str">
        <f>"R_LEITOS"</f>
        <v>R_LEITOS</v>
      </c>
      <c r="G9765" s="2" t="str">
        <f>"MVSaude / Atendimento / Autorizações de Guias / Internação / Relatórios / Tabelas / Leitos (R_LEITOS)"</f>
        <v>MVSaude / Atendimento / Autorizações de Guias / Internação / Relatórios / Tabelas / Leitos (R_LEITOS)</v>
      </c>
    </row>
    <row r="9766" spans="1:7" x14ac:dyDescent="0.3">
      <c r="A9766" s="1" t="s">
        <v>4</v>
      </c>
      <c r="B9766" s="2" t="str">
        <f t="shared" si="849"/>
        <v>SISTEMA DE GERENCIAMENTO DE INTERNAÇÃO</v>
      </c>
      <c r="C9766" s="2" t="str">
        <f t="shared" si="850"/>
        <v>INTER</v>
      </c>
      <c r="D9766" s="2" t="str">
        <f t="shared" si="851"/>
        <v>PARI</v>
      </c>
      <c r="E9766" s="2" t="str">
        <f t="shared" ref="E9766:E9771" si="852">"CONSULTA PLANOS DE CONVÊNIO"</f>
        <v>CONSULTA PLANOS DE CONVÊNIO</v>
      </c>
      <c r="F9766" s="2" t="str">
        <f t="shared" ref="F9766:F9771" si="853">"CON_CONV"</f>
        <v>CON_CONV</v>
      </c>
      <c r="G9766" s="2" t="str">
        <f>"MVSaude / Vendas / Internação / Consultas / Planos de Convênio (CON_CONV)"</f>
        <v>MVSaude / Vendas / Internação / Consultas / Planos de Convênio (CON_CONV)</v>
      </c>
    </row>
    <row r="9767" spans="1:7" x14ac:dyDescent="0.3">
      <c r="A9767" s="1" t="s">
        <v>4</v>
      </c>
      <c r="B9767" s="2" t="str">
        <f t="shared" si="849"/>
        <v>SISTEMA DE GERENCIAMENTO DE INTERNAÇÃO</v>
      </c>
      <c r="C9767" s="2" t="str">
        <f t="shared" si="850"/>
        <v>INTER</v>
      </c>
      <c r="D9767" s="2" t="str">
        <f t="shared" si="851"/>
        <v>PARI</v>
      </c>
      <c r="E9767" s="2" t="str">
        <f t="shared" si="852"/>
        <v>CONSULTA PLANOS DE CONVÊNIO</v>
      </c>
      <c r="F9767" s="2" t="str">
        <f t="shared" si="853"/>
        <v>CON_CONV</v>
      </c>
      <c r="G9767" s="2" t="str">
        <f>"Atendimento / Internação / Consultas / Planos de Convênio (CON_CONV)"</f>
        <v>Atendimento / Internação / Consultas / Planos de Convênio (CON_CONV)</v>
      </c>
    </row>
    <row r="9768" spans="1:7" x14ac:dyDescent="0.3">
      <c r="A9768" s="1" t="s">
        <v>4</v>
      </c>
      <c r="B9768" s="2" t="str">
        <f t="shared" si="849"/>
        <v>SISTEMA DE GERENCIAMENTO DE INTERNAÇÃO</v>
      </c>
      <c r="C9768" s="2" t="str">
        <f t="shared" si="850"/>
        <v>INTER</v>
      </c>
      <c r="D9768" s="2" t="str">
        <f t="shared" si="851"/>
        <v>PARI</v>
      </c>
      <c r="E9768" s="2" t="str">
        <f t="shared" si="852"/>
        <v>CONSULTA PLANOS DE CONVÊNIO</v>
      </c>
      <c r="F9768" s="2" t="str">
        <f t="shared" si="853"/>
        <v>CON_CONV</v>
      </c>
      <c r="G9768" s="2" t="str">
        <f>"MVSaude / Atendimento / Autorizações de Guias / Internação / Consultas / Planos de Convênio (CON_CONV)"</f>
        <v>MVSaude / Atendimento / Autorizações de Guias / Internação / Consultas / Planos de Convênio (CON_CONV)</v>
      </c>
    </row>
    <row r="9769" spans="1:7" x14ac:dyDescent="0.3">
      <c r="A9769" s="1" t="s">
        <v>4</v>
      </c>
      <c r="B9769" s="2" t="str">
        <f t="shared" si="849"/>
        <v>SISTEMA DE GERENCIAMENTO DE INTERNAÇÃO</v>
      </c>
      <c r="C9769" s="2" t="str">
        <f t="shared" si="850"/>
        <v>INTER</v>
      </c>
      <c r="D9769" s="2" t="str">
        <f t="shared" si="851"/>
        <v>PARI</v>
      </c>
      <c r="E9769" s="2" t="str">
        <f t="shared" si="852"/>
        <v>CONSULTA PLANOS DE CONVÊNIO</v>
      </c>
      <c r="F9769" s="2" t="str">
        <f t="shared" si="853"/>
        <v>CON_CONV</v>
      </c>
      <c r="G9769" s="2" t="str">
        <f>"Serviços de Apoio / Nutrição e Dietética / Consultas / Planos de Convênio (CON_CONV)"</f>
        <v>Serviços de Apoio / Nutrição e Dietética / Consultas / Planos de Convênio (CON_CONV)</v>
      </c>
    </row>
    <row r="9770" spans="1:7" x14ac:dyDescent="0.3">
      <c r="A9770" s="1" t="s">
        <v>4</v>
      </c>
      <c r="B9770" s="2" t="str">
        <f t="shared" si="849"/>
        <v>SISTEMA DE GERENCIAMENTO DE INTERNAÇÃO</v>
      </c>
      <c r="C9770" s="2" t="str">
        <f t="shared" si="850"/>
        <v>INTER</v>
      </c>
      <c r="D9770" s="2" t="str">
        <f t="shared" si="851"/>
        <v>PARI</v>
      </c>
      <c r="E9770" s="2" t="str">
        <f t="shared" si="852"/>
        <v>CONSULTA PLANOS DE CONVÊNIO</v>
      </c>
      <c r="F9770" s="2" t="str">
        <f t="shared" si="853"/>
        <v>CON_CONV</v>
      </c>
      <c r="G9770" s="2" t="str">
        <f>"Atendimento / Internação Domiciliar (Home Care) / Consultas / Planos de Convênio (CON_CONV)"</f>
        <v>Atendimento / Internação Domiciliar (Home Care) / Consultas / Planos de Convênio (CON_CONV)</v>
      </c>
    </row>
    <row r="9771" spans="1:7" x14ac:dyDescent="0.3">
      <c r="A9771" s="1" t="s">
        <v>4</v>
      </c>
      <c r="B9771" s="2" t="str">
        <f t="shared" si="849"/>
        <v>SISTEMA DE GERENCIAMENTO DE INTERNAÇÃO</v>
      </c>
      <c r="C9771" s="2" t="str">
        <f t="shared" si="850"/>
        <v>INTER</v>
      </c>
      <c r="D9771" s="2" t="str">
        <f t="shared" si="851"/>
        <v>PARI</v>
      </c>
      <c r="E9771" s="2" t="str">
        <f t="shared" si="852"/>
        <v>CONSULTA PLANOS DE CONVÊNIO</v>
      </c>
      <c r="F9771" s="2" t="str">
        <f t="shared" si="853"/>
        <v>CON_CONV</v>
      </c>
      <c r="G9771" s="2" t="str">
        <f>"Outros / Fusam / Consultas / Planos de Convênio (CON_CONV)"</f>
        <v>Outros / Fusam / Consultas / Planos de Convênio (CON_CONV)</v>
      </c>
    </row>
    <row r="9772" spans="1:7" x14ac:dyDescent="0.3">
      <c r="A9772" s="1" t="s">
        <v>4</v>
      </c>
      <c r="B9772" s="2" t="str">
        <f t="shared" si="849"/>
        <v>SISTEMA DE GERENCIAMENTO DE INTERNAÇÃO</v>
      </c>
      <c r="C9772" s="2" t="str">
        <f t="shared" si="850"/>
        <v>INTER</v>
      </c>
      <c r="D9772" s="2" t="str">
        <f t="shared" si="851"/>
        <v>PARI</v>
      </c>
      <c r="E9772" s="2" t="str">
        <f t="shared" ref="E9772:E9777" si="854">"CONSULTA DE PACIENTES INTERNADOS"</f>
        <v>CONSULTA DE PACIENTES INTERNADOS</v>
      </c>
      <c r="F9772" s="2" t="str">
        <f t="shared" ref="F9772:F9777" si="855">"CON_MED"</f>
        <v>CON_MED</v>
      </c>
      <c r="G9772" s="2" t="str">
        <f>"MVSaude / Vendas / Internação / Consultas / Pacientes Internados / Internados (CON_MED)"</f>
        <v>MVSaude / Vendas / Internação / Consultas / Pacientes Internados / Internados (CON_MED)</v>
      </c>
    </row>
    <row r="9773" spans="1:7" x14ac:dyDescent="0.3">
      <c r="A9773" s="1" t="s">
        <v>4</v>
      </c>
      <c r="B9773" s="2" t="str">
        <f t="shared" si="849"/>
        <v>SISTEMA DE GERENCIAMENTO DE INTERNAÇÃO</v>
      </c>
      <c r="C9773" s="2" t="str">
        <f t="shared" si="850"/>
        <v>INTER</v>
      </c>
      <c r="D9773" s="2" t="str">
        <f t="shared" si="851"/>
        <v>PARI</v>
      </c>
      <c r="E9773" s="2" t="str">
        <f t="shared" si="854"/>
        <v>CONSULTA DE PACIENTES INTERNADOS</v>
      </c>
      <c r="F9773" s="2" t="str">
        <f t="shared" si="855"/>
        <v>CON_MED</v>
      </c>
      <c r="G9773" s="2" t="str">
        <f>"MVSaude / Atendimento / Autorizações de Guias / Internação / Consultas / Pacientes Internados / Internados (CON_MED)"</f>
        <v>MVSaude / Atendimento / Autorizações de Guias / Internação / Consultas / Pacientes Internados / Internados (CON_MED)</v>
      </c>
    </row>
    <row r="9774" spans="1:7" x14ac:dyDescent="0.3">
      <c r="A9774" s="1" t="s">
        <v>4</v>
      </c>
      <c r="B9774" s="2" t="str">
        <f t="shared" si="849"/>
        <v>SISTEMA DE GERENCIAMENTO DE INTERNAÇÃO</v>
      </c>
      <c r="C9774" s="2" t="str">
        <f t="shared" si="850"/>
        <v>INTER</v>
      </c>
      <c r="D9774" s="2" t="str">
        <f t="shared" si="851"/>
        <v>PARI</v>
      </c>
      <c r="E9774" s="2" t="str">
        <f t="shared" si="854"/>
        <v>CONSULTA DE PACIENTES INTERNADOS</v>
      </c>
      <c r="F9774" s="2" t="str">
        <f t="shared" si="855"/>
        <v>CON_MED</v>
      </c>
      <c r="G9774" s="2" t="str">
        <f>"Atendimento / Internação / Consultas / Pacientes Internados / Internados (CON_MED)"</f>
        <v>Atendimento / Internação / Consultas / Pacientes Internados / Internados (CON_MED)</v>
      </c>
    </row>
    <row r="9775" spans="1:7" x14ac:dyDescent="0.3">
      <c r="A9775" s="1" t="s">
        <v>4</v>
      </c>
      <c r="B9775" s="2" t="str">
        <f t="shared" si="849"/>
        <v>SISTEMA DE GERENCIAMENTO DE INTERNAÇÃO</v>
      </c>
      <c r="C9775" s="2" t="str">
        <f t="shared" si="850"/>
        <v>INTER</v>
      </c>
      <c r="D9775" s="2" t="str">
        <f t="shared" si="851"/>
        <v>PARI</v>
      </c>
      <c r="E9775" s="2" t="str">
        <f t="shared" si="854"/>
        <v>CONSULTA DE PACIENTES INTERNADOS</v>
      </c>
      <c r="F9775" s="2" t="str">
        <f t="shared" si="855"/>
        <v>CON_MED</v>
      </c>
      <c r="G9775" s="2" t="str">
        <f>"Outros / Fusam / Consultas / Pacientes Internados (CON_MED)"</f>
        <v>Outros / Fusam / Consultas / Pacientes Internados (CON_MED)</v>
      </c>
    </row>
    <row r="9776" spans="1:7" x14ac:dyDescent="0.3">
      <c r="A9776" s="1" t="s">
        <v>4</v>
      </c>
      <c r="B9776" s="2" t="str">
        <f t="shared" si="849"/>
        <v>SISTEMA DE GERENCIAMENTO DE INTERNAÇÃO</v>
      </c>
      <c r="C9776" s="2" t="str">
        <f t="shared" si="850"/>
        <v>INTER</v>
      </c>
      <c r="D9776" s="2" t="str">
        <f t="shared" si="851"/>
        <v>PARI</v>
      </c>
      <c r="E9776" s="2" t="str">
        <f t="shared" si="854"/>
        <v>CONSULTA DE PACIENTES INTERNADOS</v>
      </c>
      <c r="F9776" s="2" t="str">
        <f t="shared" si="855"/>
        <v>CON_MED</v>
      </c>
      <c r="G9776" s="2" t="str">
        <f>"Serviços de Apoio / Nutrição e Dietética / Consultas / Pacientes Internados (CON_MED)"</f>
        <v>Serviços de Apoio / Nutrição e Dietética / Consultas / Pacientes Internados (CON_MED)</v>
      </c>
    </row>
    <row r="9777" spans="1:7" x14ac:dyDescent="0.3">
      <c r="A9777" s="1" t="s">
        <v>4</v>
      </c>
      <c r="B9777" s="2" t="str">
        <f t="shared" si="849"/>
        <v>SISTEMA DE GERENCIAMENTO DE INTERNAÇÃO</v>
      </c>
      <c r="C9777" s="2" t="str">
        <f t="shared" si="850"/>
        <v>INTER</v>
      </c>
      <c r="D9777" s="2" t="str">
        <f t="shared" si="851"/>
        <v>PARI</v>
      </c>
      <c r="E9777" s="2" t="str">
        <f t="shared" si="854"/>
        <v>CONSULTA DE PACIENTES INTERNADOS</v>
      </c>
      <c r="F9777" s="2" t="str">
        <f t="shared" si="855"/>
        <v>CON_MED</v>
      </c>
      <c r="G9777" s="2" t="str">
        <f>"Atendimento / Internação Domiciliar (Home Care) / Consultas / Pacientes Internados (CON_MED)"</f>
        <v>Atendimento / Internação Domiciliar (Home Care) / Consultas / Pacientes Internados (CON_MED)</v>
      </c>
    </row>
    <row r="9778" spans="1:7" x14ac:dyDescent="0.3">
      <c r="A9778" s="1" t="s">
        <v>4</v>
      </c>
      <c r="B9778" s="2" t="str">
        <f t="shared" si="849"/>
        <v>SISTEMA DE GERENCIAMENTO DE INTERNAÇÃO</v>
      </c>
      <c r="C9778" s="2" t="str">
        <f t="shared" si="850"/>
        <v>INTER</v>
      </c>
      <c r="D9778" s="2" t="str">
        <f t="shared" si="851"/>
        <v>PARI</v>
      </c>
      <c r="E9778" s="2" t="str">
        <f>"CONSULTA DE ALTAS DO DIA"</f>
        <v>CONSULTA DE ALTAS DO DIA</v>
      </c>
      <c r="F9778" s="2" t="str">
        <f>"ALT_DIA"</f>
        <v>ALT_DIA</v>
      </c>
      <c r="G9778" s="2" t="str">
        <f>"MVSaude / Vendas / Internação / Consultas / Altas do Dia (ALT_DIA)"</f>
        <v>MVSaude / Vendas / Internação / Consultas / Altas do Dia (ALT_DIA)</v>
      </c>
    </row>
    <row r="9779" spans="1:7" x14ac:dyDescent="0.3">
      <c r="A9779" s="1" t="s">
        <v>4</v>
      </c>
      <c r="B9779" s="2" t="str">
        <f t="shared" si="849"/>
        <v>SISTEMA DE GERENCIAMENTO DE INTERNAÇÃO</v>
      </c>
      <c r="C9779" s="2" t="str">
        <f t="shared" si="850"/>
        <v>INTER</v>
      </c>
      <c r="D9779" s="2" t="str">
        <f t="shared" si="851"/>
        <v>PARI</v>
      </c>
      <c r="E9779" s="2" t="str">
        <f>"CONSULTA DE ALTAS DO DIA"</f>
        <v>CONSULTA DE ALTAS DO DIA</v>
      </c>
      <c r="F9779" s="2" t="str">
        <f>"ALT_DIA"</f>
        <v>ALT_DIA</v>
      </c>
      <c r="G9779" s="2" t="str">
        <f>"MVSaude / Atendimento / Autorizações de Guias / Internação / Consultas / Altas do Dia (ALT_DIA)"</f>
        <v>MVSaude / Atendimento / Autorizações de Guias / Internação / Consultas / Altas do Dia (ALT_DIA)</v>
      </c>
    </row>
    <row r="9780" spans="1:7" x14ac:dyDescent="0.3">
      <c r="A9780" s="1" t="s">
        <v>4</v>
      </c>
      <c r="B9780" s="2" t="str">
        <f t="shared" si="849"/>
        <v>SISTEMA DE GERENCIAMENTO DE INTERNAÇÃO</v>
      </c>
      <c r="C9780" s="2" t="str">
        <f t="shared" si="850"/>
        <v>INTER</v>
      </c>
      <c r="D9780" s="2" t="str">
        <f t="shared" si="851"/>
        <v>PARI</v>
      </c>
      <c r="E9780" s="2" t="str">
        <f>"CONSULTA DE ALTAS DO DIA"</f>
        <v>CONSULTA DE ALTAS DO DIA</v>
      </c>
      <c r="F9780" s="2" t="str">
        <f>"ALT_DIA"</f>
        <v>ALT_DIA</v>
      </c>
      <c r="G9780" s="2" t="str">
        <f>"Atendimento / Internação / Consultas / Altas do Dia (ALT_DIA)"</f>
        <v>Atendimento / Internação / Consultas / Altas do Dia (ALT_DIA)</v>
      </c>
    </row>
    <row r="9781" spans="1:7" x14ac:dyDescent="0.3">
      <c r="A9781" s="1" t="s">
        <v>4</v>
      </c>
      <c r="B9781" s="2" t="str">
        <f t="shared" si="849"/>
        <v>SISTEMA DE GERENCIAMENTO DE INTERNAÇÃO</v>
      </c>
      <c r="C9781" s="2" t="str">
        <f t="shared" si="850"/>
        <v>INTER</v>
      </c>
      <c r="D9781" s="2" t="str">
        <f t="shared" si="851"/>
        <v>PARI</v>
      </c>
      <c r="E9781" s="2" t="str">
        <f>"CONSULTA DE ALTAS DO DIA"</f>
        <v>CONSULTA DE ALTAS DO DIA</v>
      </c>
      <c r="F9781" s="2" t="str">
        <f>"ALT_DIA"</f>
        <v>ALT_DIA</v>
      </c>
      <c r="G9781" s="2" t="str">
        <f>"Outros / Fusam / Consultas / Altas do Dia (ALT_DIA)"</f>
        <v>Outros / Fusam / Consultas / Altas do Dia (ALT_DIA)</v>
      </c>
    </row>
    <row r="9782" spans="1:7" x14ac:dyDescent="0.3">
      <c r="A9782" s="1" t="s">
        <v>4</v>
      </c>
      <c r="B9782" s="2" t="str">
        <f t="shared" si="849"/>
        <v>SISTEMA DE GERENCIAMENTO DE INTERNAÇÃO</v>
      </c>
      <c r="C9782" s="2" t="str">
        <f t="shared" si="850"/>
        <v>INTER</v>
      </c>
      <c r="D9782" s="2" t="str">
        <f t="shared" si="851"/>
        <v>PARI</v>
      </c>
      <c r="E9782" s="2" t="str">
        <f>"CONSULTA DE ALTAS DO DIA"</f>
        <v>CONSULTA DE ALTAS DO DIA</v>
      </c>
      <c r="F9782" s="2" t="str">
        <f>"ALT_DIA"</f>
        <v>ALT_DIA</v>
      </c>
      <c r="G9782" s="2" t="str">
        <f>"Atendimento / Internação Domiciliar (Home Care) / Consultas / Altas do Dia (ALT_DIA)"</f>
        <v>Atendimento / Internação Domiciliar (Home Care) / Consultas / Altas do Dia (ALT_DIA)</v>
      </c>
    </row>
    <row r="9783" spans="1:7" x14ac:dyDescent="0.3">
      <c r="A9783" s="1" t="s">
        <v>4</v>
      </c>
      <c r="B9783" s="2" t="str">
        <f t="shared" si="849"/>
        <v>SISTEMA DE GERENCIAMENTO DE INTERNAÇÃO</v>
      </c>
      <c r="C9783" s="2" t="str">
        <f t="shared" si="850"/>
        <v>INTER</v>
      </c>
      <c r="D9783" s="2" t="str">
        <f t="shared" si="851"/>
        <v>PARI</v>
      </c>
      <c r="E9783" s="2" t="str">
        <f>"REGISTRO ALTERAÇÃO CADASTRO PACIENTE"</f>
        <v>REGISTRO ALTERAÇÃO CADASTRO PACIENTE</v>
      </c>
      <c r="F9783" s="2" t="str">
        <f>"C_REG_MANIPULA_PAC"</f>
        <v>C_REG_MANIPULA_PAC</v>
      </c>
      <c r="G9783" s="2" t="str">
        <f>"MVSaude / Vendas / Internação / Consultas / Registros de Alterações / Cadastro de Pacientes (C_REG_MANIPULA_PAC)"</f>
        <v>MVSaude / Vendas / Internação / Consultas / Registros de Alterações / Cadastro de Pacientes (C_REG_MANIPULA_PAC)</v>
      </c>
    </row>
    <row r="9784" spans="1:7" x14ac:dyDescent="0.3">
      <c r="A9784" s="1" t="s">
        <v>4</v>
      </c>
      <c r="B9784" s="2" t="str">
        <f t="shared" si="849"/>
        <v>SISTEMA DE GERENCIAMENTO DE INTERNAÇÃO</v>
      </c>
      <c r="C9784" s="2" t="str">
        <f t="shared" si="850"/>
        <v>INTER</v>
      </c>
      <c r="D9784" s="2" t="str">
        <f t="shared" si="851"/>
        <v>PARI</v>
      </c>
      <c r="E9784" s="2" t="str">
        <f>"REGISTRO ALTERAÇÃO CADASTRO PACIENTE"</f>
        <v>REGISTRO ALTERAÇÃO CADASTRO PACIENTE</v>
      </c>
      <c r="F9784" s="2" t="str">
        <f>"C_REG_MANIPULA_PAC"</f>
        <v>C_REG_MANIPULA_PAC</v>
      </c>
      <c r="G9784" s="2" t="str">
        <f>"MVSaude / Atendimento / Autorizações de Guias / Internação / Consultas / Registros de Alterações / Cadastro de Pacientes (C_REG_MANIPULA_PAC)"</f>
        <v>MVSaude / Atendimento / Autorizações de Guias / Internação / Consultas / Registros de Alterações / Cadastro de Pacientes (C_REG_MANIPULA_PAC)</v>
      </c>
    </row>
    <row r="9785" spans="1:7" x14ac:dyDescent="0.3">
      <c r="A9785" s="1" t="s">
        <v>4</v>
      </c>
      <c r="B9785" s="2" t="str">
        <f t="shared" si="849"/>
        <v>SISTEMA DE GERENCIAMENTO DE INTERNAÇÃO</v>
      </c>
      <c r="C9785" s="2" t="str">
        <f t="shared" si="850"/>
        <v>INTER</v>
      </c>
      <c r="D9785" s="2" t="str">
        <f t="shared" si="851"/>
        <v>PARI</v>
      </c>
      <c r="E9785" s="2" t="str">
        <f>"REGISTRO ALTERAÇÃO CADASTRO PACIENTE"</f>
        <v>REGISTRO ALTERAÇÃO CADASTRO PACIENTE</v>
      </c>
      <c r="F9785" s="2" t="str">
        <f>"C_REG_MANIPULA_PAC"</f>
        <v>C_REG_MANIPULA_PAC</v>
      </c>
      <c r="G9785" s="2" t="str">
        <f>"Atendimento / Internação / Consultas / Registros de Alterações / Cadastro de Pacientes (C_REG_MANIPULA_PAC)"</f>
        <v>Atendimento / Internação / Consultas / Registros de Alterações / Cadastro de Pacientes (C_REG_MANIPULA_PAC)</v>
      </c>
    </row>
    <row r="9786" spans="1:7" x14ac:dyDescent="0.3">
      <c r="A9786" s="1" t="s">
        <v>4</v>
      </c>
      <c r="B9786" s="2" t="str">
        <f t="shared" si="849"/>
        <v>SISTEMA DE GERENCIAMENTO DE INTERNAÇÃO</v>
      </c>
      <c r="C9786" s="2" t="str">
        <f t="shared" si="850"/>
        <v>INTER</v>
      </c>
      <c r="D9786" s="2" t="str">
        <f t="shared" si="851"/>
        <v>PARI</v>
      </c>
      <c r="E9786" s="2" t="str">
        <f>"REGISTRO ALTERAÇÃO CADASTRO PACIENTE"</f>
        <v>REGISTRO ALTERAÇÃO CADASTRO PACIENTE</v>
      </c>
      <c r="F9786" s="2" t="str">
        <f>"C_REG_MANIPULA_PAC"</f>
        <v>C_REG_MANIPULA_PAC</v>
      </c>
      <c r="G9786" s="2" t="str">
        <f>"Atendimento / Internação Domiciliar (Home Care) / Consultas / Registro de Alterações / Cadastro de Pacientes (C_REG_MANIPULA_PAC)"</f>
        <v>Atendimento / Internação Domiciliar (Home Care) / Consultas / Registro de Alterações / Cadastro de Pacientes (C_REG_MANIPULA_PAC)</v>
      </c>
    </row>
    <row r="9787" spans="1:7" x14ac:dyDescent="0.3">
      <c r="A9787" s="1" t="s">
        <v>4</v>
      </c>
      <c r="B9787" s="2" t="str">
        <f t="shared" si="849"/>
        <v>SISTEMA DE GERENCIAMENTO DE INTERNAÇÃO</v>
      </c>
      <c r="C9787" s="2" t="str">
        <f t="shared" si="850"/>
        <v>INTER</v>
      </c>
      <c r="D9787" s="2" t="str">
        <f t="shared" si="851"/>
        <v>PARI</v>
      </c>
      <c r="E9787" s="2" t="str">
        <f>"REGISTRAR CARTEIRA DO CONVÊNIO: JANELA 0"</f>
        <v>REGISTRAR CARTEIRA DO CONVÊNIO: JANELA 0</v>
      </c>
      <c r="F9787" s="2" t="str">
        <f>"INT_CARTEIRA"</f>
        <v>INT_CARTEIRA</v>
      </c>
      <c r="G9787" s="2" t="str">
        <f t="shared" ref="G9787:G9804" si="856">" ()"</f>
        <v xml:space="preserve"> ()</v>
      </c>
    </row>
    <row r="9788" spans="1:7" x14ac:dyDescent="0.3">
      <c r="A9788" s="1" t="s">
        <v>4</v>
      </c>
      <c r="B9788" s="2" t="str">
        <f t="shared" si="849"/>
        <v>SISTEMA DE GERENCIAMENTO DE INTERNAÇÃO</v>
      </c>
      <c r="C9788" s="2" t="str">
        <f t="shared" si="850"/>
        <v>INTER</v>
      </c>
      <c r="D9788" s="2" t="str">
        <f t="shared" si="851"/>
        <v>PARI</v>
      </c>
      <c r="E9788" s="2" t="str">
        <f>"ORACLE FORMS RUNTIME"</f>
        <v>ORACLE FORMS RUNTIME</v>
      </c>
      <c r="F9788" s="2" t="str">
        <f>"R_DES_MEDICOS"</f>
        <v>R_DES_MEDICOS</v>
      </c>
      <c r="G9788" s="2" t="str">
        <f t="shared" si="856"/>
        <v xml:space="preserve"> ()</v>
      </c>
    </row>
    <row r="9789" spans="1:7" x14ac:dyDescent="0.3">
      <c r="A9789" s="1" t="s">
        <v>4</v>
      </c>
      <c r="B9789" s="2" t="str">
        <f t="shared" si="849"/>
        <v>SISTEMA DE GERENCIAMENTO DE INTERNAÇÃO</v>
      </c>
      <c r="C9789" s="2" t="str">
        <f t="shared" si="850"/>
        <v>INTER</v>
      </c>
      <c r="D9789" s="2" t="str">
        <f t="shared" si="851"/>
        <v>PARI</v>
      </c>
      <c r="E9789" s="2" t="str">
        <f>"R_ETIQUETA_INT_MENOR_406"</f>
        <v>R_ETIQUETA_INT_MENOR_406</v>
      </c>
      <c r="F9789" s="2" t="str">
        <f>"R_ETIQUETA_INT_MENOR_406"</f>
        <v>R_ETIQUETA_INT_MENOR_406</v>
      </c>
      <c r="G9789" s="2" t="str">
        <f t="shared" si="856"/>
        <v xml:space="preserve"> ()</v>
      </c>
    </row>
    <row r="9790" spans="1:7" x14ac:dyDescent="0.3">
      <c r="A9790" s="1" t="s">
        <v>4</v>
      </c>
      <c r="B9790" s="2" t="str">
        <f t="shared" si="849"/>
        <v>SISTEMA DE GERENCIAMENTO DE INTERNAÇÃO</v>
      </c>
      <c r="C9790" s="2" t="str">
        <f t="shared" si="850"/>
        <v>INTER</v>
      </c>
      <c r="D9790" s="2" t="str">
        <f t="shared" si="851"/>
        <v>PARI</v>
      </c>
      <c r="E9790" s="2" t="str">
        <f>"WIN_PRINCIPAL"</f>
        <v>WIN_PRINCIPAL</v>
      </c>
      <c r="F9790" s="2" t="str">
        <f>"M_GRP_ORI_ATE"</f>
        <v>M_GRP_ORI_ATE</v>
      </c>
      <c r="G9790" s="2" t="str">
        <f t="shared" si="856"/>
        <v xml:space="preserve"> ()</v>
      </c>
    </row>
    <row r="9791" spans="1:7" x14ac:dyDescent="0.3">
      <c r="A9791" s="1" t="s">
        <v>4</v>
      </c>
      <c r="B9791" s="2" t="str">
        <f t="shared" si="849"/>
        <v>SISTEMA DE GERENCIAMENTO DE INTERNAÇÃO</v>
      </c>
      <c r="C9791" s="2" t="str">
        <f t="shared" si="850"/>
        <v>INTER</v>
      </c>
      <c r="D9791" s="2" t="str">
        <f t="shared" si="851"/>
        <v>PARI</v>
      </c>
      <c r="E9791" s="2" t="str">
        <f>"INTOK"</f>
        <v>INTOK</v>
      </c>
      <c r="F9791" s="2" t="str">
        <f>"INTOK"</f>
        <v>INTOK</v>
      </c>
      <c r="G9791" s="2" t="str">
        <f t="shared" si="856"/>
        <v xml:space="preserve"> ()</v>
      </c>
    </row>
    <row r="9792" spans="1:7" x14ac:dyDescent="0.3">
      <c r="A9792" s="1" t="s">
        <v>4</v>
      </c>
      <c r="B9792" s="2" t="str">
        <f t="shared" si="849"/>
        <v>SISTEMA DE GERENCIAMENTO DE INTERNAÇÃO</v>
      </c>
      <c r="C9792" s="2" t="str">
        <f t="shared" si="850"/>
        <v>INTER</v>
      </c>
      <c r="D9792" s="2" t="str">
        <f t="shared" si="851"/>
        <v>PARI</v>
      </c>
      <c r="E9792" s="2" t="str">
        <f>"RELATÓRIO DE ANAMNESE"</f>
        <v>RELATÓRIO DE ANAMNESE</v>
      </c>
      <c r="F9792" s="2" t="str">
        <f>"R_ANAMNESE_380"</f>
        <v>R_ANAMNESE_380</v>
      </c>
      <c r="G9792" s="2" t="str">
        <f t="shared" si="856"/>
        <v xml:space="preserve"> ()</v>
      </c>
    </row>
    <row r="9793" spans="1:7" x14ac:dyDescent="0.3">
      <c r="A9793" s="1" t="s">
        <v>4</v>
      </c>
      <c r="B9793" s="2" t="str">
        <f t="shared" si="849"/>
        <v>SISTEMA DE GERENCIAMENTO DE INTERNAÇÃO</v>
      </c>
      <c r="C9793" s="2" t="str">
        <f t="shared" si="850"/>
        <v>INTER</v>
      </c>
      <c r="D9793" s="2" t="str">
        <f t="shared" si="851"/>
        <v>PARI</v>
      </c>
      <c r="E9793" s="2" t="str">
        <f>"GRAFICO DO PAINEL LEITOS"</f>
        <v>GRAFICO DO PAINEL LEITOS</v>
      </c>
      <c r="F9793" s="2" t="str">
        <f>"G_PARI_CENSO"</f>
        <v>G_PARI_CENSO</v>
      </c>
      <c r="G9793" s="2" t="str">
        <f t="shared" si="856"/>
        <v xml:space="preserve"> ()</v>
      </c>
    </row>
    <row r="9794" spans="1:7" x14ac:dyDescent="0.3">
      <c r="A9794" s="1" t="s">
        <v>4</v>
      </c>
      <c r="B9794" s="2" t="str">
        <f t="shared" si="849"/>
        <v>SISTEMA DE GERENCIAMENTO DE INTERNAÇÃO</v>
      </c>
      <c r="C9794" s="2" t="str">
        <f t="shared" si="850"/>
        <v>INTER</v>
      </c>
      <c r="D9794" s="2" t="str">
        <f t="shared" si="851"/>
        <v>PARI</v>
      </c>
      <c r="E9794" s="2" t="str">
        <f>"GRAF DE FATURAMENTO  DO PAINEL LEITOS"</f>
        <v>GRAF DE FATURAMENTO  DO PAINEL LEITOS</v>
      </c>
      <c r="F9794" s="2" t="str">
        <f>"G_PARI_PAINEL_FATURAMENTO"</f>
        <v>G_PARI_PAINEL_FATURAMENTO</v>
      </c>
      <c r="G9794" s="2" t="str">
        <f t="shared" si="856"/>
        <v xml:space="preserve"> ()</v>
      </c>
    </row>
    <row r="9795" spans="1:7" x14ac:dyDescent="0.3">
      <c r="A9795" s="1" t="s">
        <v>4</v>
      </c>
      <c r="B9795" s="2" t="str">
        <f t="shared" si="849"/>
        <v>SISTEMA DE GERENCIAMENTO DE INTERNAÇÃO</v>
      </c>
      <c r="C9795" s="2" t="str">
        <f t="shared" si="850"/>
        <v>INTER</v>
      </c>
      <c r="D9795" s="2" t="str">
        <f t="shared" si="851"/>
        <v>PARI</v>
      </c>
      <c r="E9795" s="2" t="str">
        <f>"GRAF DE TIP ACOM  DO PAINEL LEITOS"</f>
        <v>GRAF DE TIP ACOM  DO PAINEL LEITOS</v>
      </c>
      <c r="F9795" s="2" t="str">
        <f>"G_PARI_PAINEL_TIP_ACOM"</f>
        <v>G_PARI_PAINEL_TIP_ACOM</v>
      </c>
      <c r="G9795" s="2" t="str">
        <f t="shared" si="856"/>
        <v xml:space="preserve"> ()</v>
      </c>
    </row>
    <row r="9796" spans="1:7" x14ac:dyDescent="0.3">
      <c r="A9796" s="1" t="s">
        <v>4</v>
      </c>
      <c r="B9796" s="2" t="str">
        <f t="shared" si="849"/>
        <v>SISTEMA DE GERENCIAMENTO DE INTERNAÇÃO</v>
      </c>
      <c r="C9796" s="2" t="str">
        <f t="shared" si="850"/>
        <v>INTER</v>
      </c>
      <c r="D9796" s="2" t="str">
        <f t="shared" si="851"/>
        <v>PARI</v>
      </c>
      <c r="E9796" s="2" t="str">
        <f>"GRAF DE CONVENIO DO PAINEL LEITOS"</f>
        <v>GRAF DE CONVENIO DO PAINEL LEITOS</v>
      </c>
      <c r="F9796" s="2" t="str">
        <f>"G_PARI_PAINEL_CONVENIO"</f>
        <v>G_PARI_PAINEL_CONVENIO</v>
      </c>
      <c r="G9796" s="2" t="str">
        <f t="shared" si="856"/>
        <v xml:space="preserve"> ()</v>
      </c>
    </row>
    <row r="9797" spans="1:7" x14ac:dyDescent="0.3">
      <c r="A9797" s="1" t="s">
        <v>4</v>
      </c>
      <c r="B9797" s="2" t="str">
        <f t="shared" si="849"/>
        <v>SISTEMA DE GERENCIAMENTO DE INTERNAÇÃO</v>
      </c>
      <c r="C9797" s="2" t="str">
        <f t="shared" si="850"/>
        <v>INTER</v>
      </c>
      <c r="D9797" s="2" t="str">
        <f t="shared" si="851"/>
        <v>PARI</v>
      </c>
      <c r="E9797" s="2" t="str">
        <f>"GRAF DE PERMANENCIA DO PAINEL DE LEITO"</f>
        <v>GRAF DE PERMANENCIA DO PAINEL DE LEITO</v>
      </c>
      <c r="F9797" s="2" t="str">
        <f>"G_PARI_PAINEL_PERMANENCIA"</f>
        <v>G_PARI_PAINEL_PERMANENCIA</v>
      </c>
      <c r="G9797" s="2" t="str">
        <f t="shared" si="856"/>
        <v xml:space="preserve"> ()</v>
      </c>
    </row>
    <row r="9798" spans="1:7" x14ac:dyDescent="0.3">
      <c r="A9798" s="1" t="s">
        <v>4</v>
      </c>
      <c r="B9798" s="2" t="str">
        <f t="shared" si="849"/>
        <v>SISTEMA DE GERENCIAMENTO DE INTERNAÇÃO</v>
      </c>
      <c r="C9798" s="2" t="str">
        <f t="shared" si="850"/>
        <v>INTER</v>
      </c>
      <c r="D9798" s="2" t="str">
        <f t="shared" si="851"/>
        <v>PARI</v>
      </c>
      <c r="E9798" s="2" t="str">
        <f>"GRAF DE PRESTADOR DO PAINEL DE LEITO"</f>
        <v>GRAF DE PRESTADOR DO PAINEL DE LEITO</v>
      </c>
      <c r="F9798" s="2" t="str">
        <f>"G_PARI_PAINEL_PRESTADOR"</f>
        <v>G_PARI_PAINEL_PRESTADOR</v>
      </c>
      <c r="G9798" s="2" t="str">
        <f t="shared" si="856"/>
        <v xml:space="preserve"> ()</v>
      </c>
    </row>
    <row r="9799" spans="1:7" x14ac:dyDescent="0.3">
      <c r="A9799" s="1" t="s">
        <v>4</v>
      </c>
      <c r="B9799" s="2" t="str">
        <f t="shared" si="849"/>
        <v>SISTEMA DE GERENCIAMENTO DE INTERNAÇÃO</v>
      </c>
      <c r="C9799" s="2" t="str">
        <f t="shared" si="850"/>
        <v>INTER</v>
      </c>
      <c r="D9799" s="2" t="str">
        <f t="shared" si="851"/>
        <v>PARI</v>
      </c>
      <c r="E9799" s="2" t="str">
        <f>"GRAF DE UNIDADE INT. DO PAINEL DE LEITO"</f>
        <v>GRAF DE UNIDADE INT. DO PAINEL DE LEITO</v>
      </c>
      <c r="F9799" s="2" t="str">
        <f>"G_PARI_PAINEL_UNIDADE"</f>
        <v>G_PARI_PAINEL_UNIDADE</v>
      </c>
      <c r="G9799" s="2" t="str">
        <f t="shared" si="856"/>
        <v xml:space="preserve"> ()</v>
      </c>
    </row>
    <row r="9800" spans="1:7" x14ac:dyDescent="0.3">
      <c r="A9800" s="1" t="s">
        <v>4</v>
      </c>
      <c r="B9800" s="2" t="str">
        <f t="shared" si="849"/>
        <v>SISTEMA DE GERENCIAMENTO DE INTERNAÇÃO</v>
      </c>
      <c r="C9800" s="2" t="str">
        <f t="shared" si="850"/>
        <v>INTER</v>
      </c>
      <c r="D9800" s="2" t="str">
        <f t="shared" si="851"/>
        <v>PARI</v>
      </c>
      <c r="E9800" s="2" t="str">
        <f>"GRAF DE SERVICO DO PAINEL DE LEITO"</f>
        <v>GRAF DE SERVICO DO PAINEL DE LEITO</v>
      </c>
      <c r="F9800" s="2" t="str">
        <f>"G_PARI_PAINEL_SERVICO"</f>
        <v>G_PARI_PAINEL_SERVICO</v>
      </c>
      <c r="G9800" s="2" t="str">
        <f t="shared" si="856"/>
        <v xml:space="preserve"> ()</v>
      </c>
    </row>
    <row r="9801" spans="1:7" x14ac:dyDescent="0.3">
      <c r="A9801" s="1" t="s">
        <v>4</v>
      </c>
      <c r="B9801" s="2" t="str">
        <f t="shared" si="849"/>
        <v>SISTEMA DE GERENCIAMENTO DE INTERNAÇÃO</v>
      </c>
      <c r="C9801" s="2" t="str">
        <f t="shared" si="850"/>
        <v>INTER</v>
      </c>
      <c r="D9801" s="2" t="str">
        <f t="shared" si="851"/>
        <v>PARI</v>
      </c>
      <c r="E9801" s="2" t="str">
        <f>"R_FICHA_INTER_ALTA755.REP"</f>
        <v>R_FICHA_INTER_ALTA755.REP</v>
      </c>
      <c r="F9801" s="2" t="str">
        <f>"R_FICHA_INTER_ALTA755.REP"</f>
        <v>R_FICHA_INTER_ALTA755.REP</v>
      </c>
      <c r="G9801" s="2" t="str">
        <f t="shared" si="856"/>
        <v xml:space="preserve"> ()</v>
      </c>
    </row>
    <row r="9802" spans="1:7" x14ac:dyDescent="0.3">
      <c r="A9802" s="1" t="s">
        <v>4</v>
      </c>
      <c r="B9802" s="2" t="str">
        <f t="shared" si="849"/>
        <v>SISTEMA DE GERENCIAMENTO DE INTERNAÇÃO</v>
      </c>
      <c r="C9802" s="2" t="str">
        <f t="shared" si="850"/>
        <v>INTER</v>
      </c>
      <c r="D9802" s="2" t="str">
        <f t="shared" si="851"/>
        <v>PARI</v>
      </c>
      <c r="E9802" s="2" t="str">
        <f>"R_EST_ATEN_PROFCONV"</f>
        <v>R_EST_ATEN_PROFCONV</v>
      </c>
      <c r="F9802" s="2" t="str">
        <f>"R_EST_ATEN_PROFCONV"</f>
        <v>R_EST_ATEN_PROFCONV</v>
      </c>
      <c r="G9802" s="2" t="str">
        <f t="shared" si="856"/>
        <v xml:space="preserve"> ()</v>
      </c>
    </row>
    <row r="9803" spans="1:7" x14ac:dyDescent="0.3">
      <c r="A9803" s="1" t="s">
        <v>4</v>
      </c>
      <c r="B9803" s="2" t="str">
        <f t="shared" si="849"/>
        <v>SISTEMA DE GERENCIAMENTO DE INTERNAÇÃO</v>
      </c>
      <c r="C9803" s="2" t="str">
        <f t="shared" si="850"/>
        <v>INTER</v>
      </c>
      <c r="D9803" s="2" t="str">
        <f t="shared" si="851"/>
        <v>PARI</v>
      </c>
      <c r="E9803" s="2" t="str">
        <f>"ETIQUETA_INTERNACAO_860.PRT"</f>
        <v>ETIQUETA_INTERNACAO_860.PRT</v>
      </c>
      <c r="F9803" s="2" t="str">
        <f>"ETIQUETA_INTERNACAO_860.PRT"</f>
        <v>ETIQUETA_INTERNACAO_860.PRT</v>
      </c>
      <c r="G9803" s="2" t="str">
        <f t="shared" si="856"/>
        <v xml:space="preserve"> ()</v>
      </c>
    </row>
    <row r="9804" spans="1:7" x14ac:dyDescent="0.3">
      <c r="A9804" s="1" t="s">
        <v>4</v>
      </c>
      <c r="B9804" s="2" t="str">
        <f t="shared" si="849"/>
        <v>SISTEMA DE GERENCIAMENTO DE INTERNAÇÃO</v>
      </c>
      <c r="C9804" s="2" t="str">
        <f t="shared" si="850"/>
        <v>INTER</v>
      </c>
      <c r="D9804" s="2" t="str">
        <f t="shared" si="851"/>
        <v>PARI</v>
      </c>
      <c r="E9804" s="2" t="str">
        <f>"R_ETQENTDOC_860"</f>
        <v>R_ETQENTDOC_860</v>
      </c>
      <c r="F9804" s="2" t="str">
        <f>"R_ETQENTDOC_860"</f>
        <v>R_ETQENTDOC_860</v>
      </c>
      <c r="G9804" s="2" t="str">
        <f t="shared" si="856"/>
        <v xml:space="preserve"> ()</v>
      </c>
    </row>
    <row r="9805" spans="1:7" x14ac:dyDescent="0.3">
      <c r="A9805" s="1" t="s">
        <v>4</v>
      </c>
      <c r="B9805" s="2" t="str">
        <f t="shared" si="849"/>
        <v>SISTEMA DE GERENCIAMENTO DE INTERNAÇÃO</v>
      </c>
      <c r="C9805" s="2" t="str">
        <f t="shared" si="850"/>
        <v>INTER</v>
      </c>
      <c r="D9805" s="2" t="str">
        <f t="shared" si="851"/>
        <v>PARI</v>
      </c>
      <c r="E9805" s="2" t="str">
        <f t="shared" ref="E9805:F9807" si="857">"R_LISTA_ATEND_PREV_ALTA"</f>
        <v>R_LISTA_ATEND_PREV_ALTA</v>
      </c>
      <c r="F9805" s="2" t="str">
        <f t="shared" si="857"/>
        <v>R_LISTA_ATEND_PREV_ALTA</v>
      </c>
      <c r="G9805" s="2" t="str">
        <f>"MVSaude / Vendas / Internação / Relatórios / Operacionais / Altas / Lista de Altas Previstas para o Perído / Por Período (R_LISTA_ATEND_PREV_ALTA)"</f>
        <v>MVSaude / Vendas / Internação / Relatórios / Operacionais / Altas / Lista de Altas Previstas para o Perído / Por Período (R_LISTA_ATEND_PREV_ALTA)</v>
      </c>
    </row>
    <row r="9806" spans="1:7" x14ac:dyDescent="0.3">
      <c r="A9806" s="1" t="s">
        <v>4</v>
      </c>
      <c r="B9806" s="2" t="str">
        <f t="shared" ref="B9806:B9869" si="858">"SISTEMA DE GERENCIAMENTO DE INTERNAÇÃO"</f>
        <v>SISTEMA DE GERENCIAMENTO DE INTERNAÇÃO</v>
      </c>
      <c r="C9806" s="2" t="str">
        <f t="shared" ref="C9806:C9869" si="859">"INTER"</f>
        <v>INTER</v>
      </c>
      <c r="D9806" s="2" t="str">
        <f t="shared" ref="D9806:D9869" si="860">"PARI"</f>
        <v>PARI</v>
      </c>
      <c r="E9806" s="2" t="str">
        <f t="shared" si="857"/>
        <v>R_LISTA_ATEND_PREV_ALTA</v>
      </c>
      <c r="F9806" s="2" t="str">
        <f t="shared" si="857"/>
        <v>R_LISTA_ATEND_PREV_ALTA</v>
      </c>
      <c r="G9806" s="2" t="str">
        <f>"Atendimento / Internação / Relatórios / Operacionais / Altas / Lista de Altas Previstas para o Perído / Por Período (R_LISTA_ATEND_PREV_ALTA)"</f>
        <v>Atendimento / Internação / Relatórios / Operacionais / Altas / Lista de Altas Previstas para o Perído / Por Período (R_LISTA_ATEND_PREV_ALTA)</v>
      </c>
    </row>
    <row r="9807" spans="1:7" x14ac:dyDescent="0.3">
      <c r="A9807" s="1" t="s">
        <v>4</v>
      </c>
      <c r="B9807" s="2" t="str">
        <f t="shared" si="858"/>
        <v>SISTEMA DE GERENCIAMENTO DE INTERNAÇÃO</v>
      </c>
      <c r="C9807" s="2" t="str">
        <f t="shared" si="859"/>
        <v>INTER</v>
      </c>
      <c r="D9807" s="2" t="str">
        <f t="shared" si="860"/>
        <v>PARI</v>
      </c>
      <c r="E9807" s="2" t="str">
        <f t="shared" si="857"/>
        <v>R_LISTA_ATEND_PREV_ALTA</v>
      </c>
      <c r="F9807" s="2" t="str">
        <f t="shared" si="857"/>
        <v>R_LISTA_ATEND_PREV_ALTA</v>
      </c>
      <c r="G9807" s="2" t="str">
        <f>"MVSaude / Atendimento / Autorizações de Guias / Internação / Relatórios / Operacionais / Altas / Lista de Altas Previstas para o Perído / Por Período (R_LISTA_ATEND_PREV_ALTA)"</f>
        <v>MVSaude / Atendimento / Autorizações de Guias / Internação / Relatórios / Operacionais / Altas / Lista de Altas Previstas para o Perído / Por Período (R_LISTA_ATEND_PREV_ALTA)</v>
      </c>
    </row>
    <row r="9808" spans="1:7" x14ac:dyDescent="0.3">
      <c r="A9808" s="1" t="s">
        <v>4</v>
      </c>
      <c r="B9808" s="2" t="str">
        <f t="shared" si="858"/>
        <v>SISTEMA DE GERENCIAMENTO DE INTERNAÇÃO</v>
      </c>
      <c r="C9808" s="2" t="str">
        <f t="shared" si="859"/>
        <v>INTER</v>
      </c>
      <c r="D9808" s="2" t="str">
        <f t="shared" si="860"/>
        <v>PARI</v>
      </c>
      <c r="E9808" s="2" t="str">
        <f>"RELATÓRIO DE ETIQUETA DE INTERNAÇÃO"</f>
        <v>RELATÓRIO DE ETIQUETA DE INTERNAÇÃO</v>
      </c>
      <c r="F9808" s="2" t="str">
        <f>"R_ETIQUETA_INTER_248"</f>
        <v>R_ETIQUETA_INTER_248</v>
      </c>
      <c r="G9808" s="2" t="str">
        <f>" ()"</f>
        <v xml:space="preserve"> ()</v>
      </c>
    </row>
    <row r="9809" spans="1:7" x14ac:dyDescent="0.3">
      <c r="A9809" s="1" t="s">
        <v>4</v>
      </c>
      <c r="B9809" s="2" t="str">
        <f t="shared" si="858"/>
        <v>SISTEMA DE GERENCIAMENTO DE INTERNAÇÃO</v>
      </c>
      <c r="C9809" s="2" t="str">
        <f t="shared" si="859"/>
        <v>INTER</v>
      </c>
      <c r="D9809" s="2" t="str">
        <f t="shared" si="860"/>
        <v>PARI</v>
      </c>
      <c r="E9809" s="2" t="str">
        <f>"RELATÓRIO DE ETIQUETA DE INTERNAÇÃO"</f>
        <v>RELATÓRIO DE ETIQUETA DE INTERNAÇÃO</v>
      </c>
      <c r="F9809" s="2" t="str">
        <f>"R_ETIQUETA_CAD_PAC_6"</f>
        <v>R_ETIQUETA_CAD_PAC_6</v>
      </c>
      <c r="G9809" s="2" t="str">
        <f>" ()"</f>
        <v xml:space="preserve"> ()</v>
      </c>
    </row>
    <row r="9810" spans="1:7" x14ac:dyDescent="0.3">
      <c r="A9810" s="1" t="s">
        <v>4</v>
      </c>
      <c r="B9810" s="2" t="str">
        <f t="shared" si="858"/>
        <v>SISTEMA DE GERENCIAMENTO DE INTERNAÇÃO</v>
      </c>
      <c r="C9810" s="2" t="str">
        <f t="shared" si="859"/>
        <v>INTER</v>
      </c>
      <c r="D9810" s="2" t="str">
        <f t="shared" si="860"/>
        <v>PARI</v>
      </c>
      <c r="E9810" s="2" t="str">
        <f>"Alteração do Procedimento do Atendimento"</f>
        <v>Alteração do Procedimento do Atendimento</v>
      </c>
      <c r="F9810" s="2" t="str">
        <f>"ALT_INTOK_PROC"</f>
        <v>ALT_INTOK_PROC</v>
      </c>
      <c r="G9810" s="2" t="str">
        <f>"MVSaude / Atendimento / Autorizações de Guias / Internação / Atendimento / Alteração de Procedimento de Atendimento (ALT_INTOK_PROC)"</f>
        <v>MVSaude / Atendimento / Autorizações de Guias / Internação / Atendimento / Alteração de Procedimento de Atendimento (ALT_INTOK_PROC)</v>
      </c>
    </row>
    <row r="9811" spans="1:7" x14ac:dyDescent="0.3">
      <c r="A9811" s="1" t="s">
        <v>4</v>
      </c>
      <c r="B9811" s="2" t="str">
        <f t="shared" si="858"/>
        <v>SISTEMA DE GERENCIAMENTO DE INTERNAÇÃO</v>
      </c>
      <c r="C9811" s="2" t="str">
        <f t="shared" si="859"/>
        <v>INTER</v>
      </c>
      <c r="D9811" s="2" t="str">
        <f t="shared" si="860"/>
        <v>PARI</v>
      </c>
      <c r="E9811" s="2" t="str">
        <f>"Alteração do Procedimento do Atendimento"</f>
        <v>Alteração do Procedimento do Atendimento</v>
      </c>
      <c r="F9811" s="2" t="str">
        <f>"ALT_INTOK_PROC"</f>
        <v>ALT_INTOK_PROC</v>
      </c>
      <c r="G9811" s="2" t="str">
        <f>"Atendimento / Internação / Atendimento / Alteração de Procedimento de Atendimento (ALT_INTOK_PROC)"</f>
        <v>Atendimento / Internação / Atendimento / Alteração de Procedimento de Atendimento (ALT_INTOK_PROC)</v>
      </c>
    </row>
    <row r="9812" spans="1:7" x14ac:dyDescent="0.3">
      <c r="A9812" s="1" t="s">
        <v>4</v>
      </c>
      <c r="B9812" s="2" t="str">
        <f t="shared" si="858"/>
        <v>SISTEMA DE GERENCIAMENTO DE INTERNAÇÃO</v>
      </c>
      <c r="C9812" s="2" t="str">
        <f t="shared" si="859"/>
        <v>INTER</v>
      </c>
      <c r="D9812" s="2" t="str">
        <f t="shared" si="860"/>
        <v>PARI</v>
      </c>
      <c r="E9812" s="2" t="str">
        <f>"Alteração do Procedimento do Atendimento"</f>
        <v>Alteração do Procedimento do Atendimento</v>
      </c>
      <c r="F9812" s="2" t="str">
        <f>"ALT_INTOK_PROC"</f>
        <v>ALT_INTOK_PROC</v>
      </c>
      <c r="G9812" s="2" t="str">
        <f>"MVSaude / Vendas / Internação / Atendimento / Alteração de Procedimento de Atendimento (ALT_INTOK_PROC)"</f>
        <v>MVSaude / Vendas / Internação / Atendimento / Alteração de Procedimento de Atendimento (ALT_INTOK_PROC)</v>
      </c>
    </row>
    <row r="9813" spans="1:7" x14ac:dyDescent="0.3">
      <c r="A9813" s="1" t="s">
        <v>4</v>
      </c>
      <c r="B9813" s="2" t="str">
        <f t="shared" si="858"/>
        <v>SISTEMA DE GERENCIAMENTO DE INTERNAÇÃO</v>
      </c>
      <c r="C9813" s="2" t="str">
        <f t="shared" si="859"/>
        <v>INTER</v>
      </c>
      <c r="D9813" s="2" t="str">
        <f t="shared" si="860"/>
        <v>PARI</v>
      </c>
      <c r="E9813" s="2" t="str">
        <f>"RELATÓRIO DE ETIQUETA DE INTERNAÇÃO"</f>
        <v>RELATÓRIO DE ETIQUETA DE INTERNAÇÃO</v>
      </c>
      <c r="F9813" s="2" t="str">
        <f>"R_ETIQUETA_INTERNACAO_6"</f>
        <v>R_ETIQUETA_INTERNACAO_6</v>
      </c>
      <c r="G9813" s="2" t="str">
        <f>" ()"</f>
        <v xml:space="preserve"> ()</v>
      </c>
    </row>
    <row r="9814" spans="1:7" x14ac:dyDescent="0.3">
      <c r="A9814" s="1" t="s">
        <v>4</v>
      </c>
      <c r="B9814" s="2" t="str">
        <f t="shared" si="858"/>
        <v>SISTEMA DE GERENCIAMENTO DE INTERNAÇÃO</v>
      </c>
      <c r="C9814" s="2" t="str">
        <f t="shared" si="859"/>
        <v>INTER</v>
      </c>
      <c r="D9814" s="2" t="str">
        <f t="shared" si="860"/>
        <v>PARI</v>
      </c>
      <c r="E9814" s="2" t="str">
        <f>"PROTOCOLO DE NOTA FISCAL"</f>
        <v>PROTOCOLO DE NOTA FISCAL</v>
      </c>
      <c r="F9814" s="2" t="str">
        <f>"O_EXPORTA_FAT_CONV_PART_SIA"</f>
        <v>O_EXPORTA_FAT_CONV_PART_SIA</v>
      </c>
      <c r="G9814" s="2" t="str">
        <f>" ()"</f>
        <v xml:space="preserve"> ()</v>
      </c>
    </row>
    <row r="9815" spans="1:7" x14ac:dyDescent="0.3">
      <c r="A9815" s="1" t="s">
        <v>4</v>
      </c>
      <c r="B9815" s="2" t="str">
        <f t="shared" si="858"/>
        <v>SISTEMA DE GERENCIAMENTO DE INTERNAÇÃO</v>
      </c>
      <c r="C9815" s="2" t="str">
        <f t="shared" si="859"/>
        <v>INTER</v>
      </c>
      <c r="D9815" s="2" t="str">
        <f t="shared" si="860"/>
        <v>PARI</v>
      </c>
      <c r="E9815" s="2" t="str">
        <f>"TRANSFERÊNCIA DE DADOS DE PACIENTE"</f>
        <v>TRANSFERÊNCIA DE DADOS DE PACIENTE</v>
      </c>
      <c r="F9815" s="2" t="str">
        <f>"M_GERA_ARQ_PLANO"</f>
        <v>M_GERA_ARQ_PLANO</v>
      </c>
      <c r="G9815" s="2" t="str">
        <f>" ()"</f>
        <v xml:space="preserve"> ()</v>
      </c>
    </row>
    <row r="9816" spans="1:7" x14ac:dyDescent="0.3">
      <c r="A9816" s="1" t="s">
        <v>4</v>
      </c>
      <c r="B9816" s="2" t="str">
        <f t="shared" si="858"/>
        <v>SISTEMA DE GERENCIAMENTO DE INTERNAÇÃO</v>
      </c>
      <c r="C9816" s="2" t="str">
        <f t="shared" si="859"/>
        <v>INTER</v>
      </c>
      <c r="D9816" s="2" t="str">
        <f t="shared" si="860"/>
        <v>PARI</v>
      </c>
      <c r="E9816" s="2" t="str">
        <f>"RELATÓRIO DE TIPOS DE INTERNAÇÃO"</f>
        <v>RELATÓRIO DE TIPOS DE INTERNAÇÃO</v>
      </c>
      <c r="F9816" s="2" t="str">
        <f>"R_TIPO_INTERNACAO"</f>
        <v>R_TIPO_INTERNACAO</v>
      </c>
      <c r="G9816" s="2" t="str">
        <f>"MVSaude / Vendas / Internação / Relatórios / Tabelas / Tipos de Internação (R_TIPO_INTERNACAO)"</f>
        <v>MVSaude / Vendas / Internação / Relatórios / Tabelas / Tipos de Internação (R_TIPO_INTERNACAO)</v>
      </c>
    </row>
    <row r="9817" spans="1:7" x14ac:dyDescent="0.3">
      <c r="A9817" s="1" t="s">
        <v>4</v>
      </c>
      <c r="B9817" s="2" t="str">
        <f t="shared" si="858"/>
        <v>SISTEMA DE GERENCIAMENTO DE INTERNAÇÃO</v>
      </c>
      <c r="C9817" s="2" t="str">
        <f t="shared" si="859"/>
        <v>INTER</v>
      </c>
      <c r="D9817" s="2" t="str">
        <f t="shared" si="860"/>
        <v>PARI</v>
      </c>
      <c r="E9817" s="2" t="str">
        <f>"RELATÓRIO DE TIPOS DE INTERNAÇÃO"</f>
        <v>RELATÓRIO DE TIPOS DE INTERNAÇÃO</v>
      </c>
      <c r="F9817" s="2" t="str">
        <f>"R_TIPO_INTERNACAO"</f>
        <v>R_TIPO_INTERNACAO</v>
      </c>
      <c r="G9817" s="2" t="str">
        <f>"Atendimento / Internação / Relatórios / Tabelas / Tipos de Internação (R_TIPO_INTERNACAO)"</f>
        <v>Atendimento / Internação / Relatórios / Tabelas / Tipos de Internação (R_TIPO_INTERNACAO)</v>
      </c>
    </row>
    <row r="9818" spans="1:7" x14ac:dyDescent="0.3">
      <c r="A9818" s="1" t="s">
        <v>4</v>
      </c>
      <c r="B9818" s="2" t="str">
        <f t="shared" si="858"/>
        <v>SISTEMA DE GERENCIAMENTO DE INTERNAÇÃO</v>
      </c>
      <c r="C9818" s="2" t="str">
        <f t="shared" si="859"/>
        <v>INTER</v>
      </c>
      <c r="D9818" s="2" t="str">
        <f t="shared" si="860"/>
        <v>PARI</v>
      </c>
      <c r="E9818" s="2" t="str">
        <f>"RELATÓRIO DE TIPOS DE INTERNAÇÃO"</f>
        <v>RELATÓRIO DE TIPOS DE INTERNAÇÃO</v>
      </c>
      <c r="F9818" s="2" t="str">
        <f>"R_TIPO_INTERNACAO"</f>
        <v>R_TIPO_INTERNACAO</v>
      </c>
      <c r="G9818" s="2" t="str">
        <f>"MVSaude / Atendimento / Autorizações de Guias / Internação / Relatórios / Tabelas / Tipos de Internação (R_TIPO_INTERNACAO)"</f>
        <v>MVSaude / Atendimento / Autorizações de Guias / Internação / Relatórios / Tabelas / Tipos de Internação (R_TIPO_INTERNACAO)</v>
      </c>
    </row>
    <row r="9819" spans="1:7" x14ac:dyDescent="0.3">
      <c r="A9819" s="1" t="s">
        <v>4</v>
      </c>
      <c r="B9819" s="2" t="str">
        <f t="shared" si="858"/>
        <v>SISTEMA DE GERENCIAMENTO DE INTERNAÇÃO</v>
      </c>
      <c r="C9819" s="2" t="str">
        <f t="shared" si="859"/>
        <v>INTER</v>
      </c>
      <c r="D9819" s="2" t="str">
        <f t="shared" si="860"/>
        <v>PARI</v>
      </c>
      <c r="E9819" s="2" t="str">
        <f>"RELATÓRIO DE MOTIVOS DE CAUÇÃO"</f>
        <v>RELATÓRIO DE MOTIVOS DE CAUÇÃO</v>
      </c>
      <c r="F9819" s="2" t="str">
        <f>"R_MOTIVO_CAUCAO"</f>
        <v>R_MOTIVO_CAUCAO</v>
      </c>
      <c r="G9819" s="2" t="str">
        <f>"MVSaude / Vendas / Internação / Relatórios / Tabelas / Motivos de Depósito de Pagamento Antecipado (R_MOTIVO_CAUCAO)"</f>
        <v>MVSaude / Vendas / Internação / Relatórios / Tabelas / Motivos de Depósito de Pagamento Antecipado (R_MOTIVO_CAUCAO)</v>
      </c>
    </row>
    <row r="9820" spans="1:7" x14ac:dyDescent="0.3">
      <c r="A9820" s="1" t="s">
        <v>4</v>
      </c>
      <c r="B9820" s="2" t="str">
        <f t="shared" si="858"/>
        <v>SISTEMA DE GERENCIAMENTO DE INTERNAÇÃO</v>
      </c>
      <c r="C9820" s="2" t="str">
        <f t="shared" si="859"/>
        <v>INTER</v>
      </c>
      <c r="D9820" s="2" t="str">
        <f t="shared" si="860"/>
        <v>PARI</v>
      </c>
      <c r="E9820" s="2" t="str">
        <f>"RELATÓRIO DE MOTIVOS DE CAUÇÃO"</f>
        <v>RELATÓRIO DE MOTIVOS DE CAUÇÃO</v>
      </c>
      <c r="F9820" s="2" t="str">
        <f>"R_MOTIVO_CAUCAO"</f>
        <v>R_MOTIVO_CAUCAO</v>
      </c>
      <c r="G9820" s="2" t="str">
        <f>"MVSaude / Atendimento / Autorizações de Guias / Internação / Relatórios / Tabelas / Motivos de Depósito de Pagamento Antecipado (R_MOTIVO_CAUCAO)"</f>
        <v>MVSaude / Atendimento / Autorizações de Guias / Internação / Relatórios / Tabelas / Motivos de Depósito de Pagamento Antecipado (R_MOTIVO_CAUCAO)</v>
      </c>
    </row>
    <row r="9821" spans="1:7" x14ac:dyDescent="0.3">
      <c r="A9821" s="1" t="s">
        <v>4</v>
      </c>
      <c r="B9821" s="2" t="str">
        <f t="shared" si="858"/>
        <v>SISTEMA DE GERENCIAMENTO DE INTERNAÇÃO</v>
      </c>
      <c r="C9821" s="2" t="str">
        <f t="shared" si="859"/>
        <v>INTER</v>
      </c>
      <c r="D9821" s="2" t="str">
        <f t="shared" si="860"/>
        <v>PARI</v>
      </c>
      <c r="E9821" s="2" t="str">
        <f>"RELATÓRIO DE MOTIVOS DE CAUÇÃO"</f>
        <v>RELATÓRIO DE MOTIVOS DE CAUÇÃO</v>
      </c>
      <c r="F9821" s="2" t="str">
        <f>"R_MOTIVO_CAUCAO"</f>
        <v>R_MOTIVO_CAUCAO</v>
      </c>
      <c r="G9821" s="2" t="str">
        <f>"Atendimento / Internação / Relatórios / Tabelas / Motivos de Depósito de Pagamento Antecipado (R_MOTIVO_CAUCAO)"</f>
        <v>Atendimento / Internação / Relatórios / Tabelas / Motivos de Depósito de Pagamento Antecipado (R_MOTIVO_CAUCAO)</v>
      </c>
    </row>
    <row r="9822" spans="1:7" x14ac:dyDescent="0.3">
      <c r="A9822" s="1" t="s">
        <v>4</v>
      </c>
      <c r="B9822" s="2" t="str">
        <f t="shared" si="858"/>
        <v>SISTEMA DE GERENCIAMENTO DE INTERNAÇÃO</v>
      </c>
      <c r="C9822" s="2" t="str">
        <f t="shared" si="859"/>
        <v>INTER</v>
      </c>
      <c r="D9822" s="2" t="str">
        <f t="shared" si="860"/>
        <v>PARI</v>
      </c>
      <c r="E9822" s="2" t="str">
        <f>"RELATÓRIO DE FAIXAS ETÁRIAS"</f>
        <v>RELATÓRIO DE FAIXAS ETÁRIAS</v>
      </c>
      <c r="F9822" s="2" t="str">
        <f>"R_FAIXA_ETARIA"</f>
        <v>R_FAIXA_ETARIA</v>
      </c>
      <c r="G9822" s="2" t="str">
        <f>"MVSaude / Vendas / Internação / Relatórios / Tabelas / Faixa Etária (R_FAIXA_ETARIA)"</f>
        <v>MVSaude / Vendas / Internação / Relatórios / Tabelas / Faixa Etária (R_FAIXA_ETARIA)</v>
      </c>
    </row>
    <row r="9823" spans="1:7" x14ac:dyDescent="0.3">
      <c r="A9823" s="1" t="s">
        <v>4</v>
      </c>
      <c r="B9823" s="2" t="str">
        <f t="shared" si="858"/>
        <v>SISTEMA DE GERENCIAMENTO DE INTERNAÇÃO</v>
      </c>
      <c r="C9823" s="2" t="str">
        <f t="shared" si="859"/>
        <v>INTER</v>
      </c>
      <c r="D9823" s="2" t="str">
        <f t="shared" si="860"/>
        <v>PARI</v>
      </c>
      <c r="E9823" s="2" t="str">
        <f>"RELATÓRIO DE FAIXAS ETÁRIAS"</f>
        <v>RELATÓRIO DE FAIXAS ETÁRIAS</v>
      </c>
      <c r="F9823" s="2" t="str">
        <f>"R_FAIXA_ETARIA"</f>
        <v>R_FAIXA_ETARIA</v>
      </c>
      <c r="G9823" s="2" t="str">
        <f>"Atendimento / Internação / Relatórios / Tabelas / Faixa Etária (R_FAIXA_ETARIA)"</f>
        <v>Atendimento / Internação / Relatórios / Tabelas / Faixa Etária (R_FAIXA_ETARIA)</v>
      </c>
    </row>
    <row r="9824" spans="1:7" x14ac:dyDescent="0.3">
      <c r="A9824" s="1" t="s">
        <v>4</v>
      </c>
      <c r="B9824" s="2" t="str">
        <f t="shared" si="858"/>
        <v>SISTEMA DE GERENCIAMENTO DE INTERNAÇÃO</v>
      </c>
      <c r="C9824" s="2" t="str">
        <f t="shared" si="859"/>
        <v>INTER</v>
      </c>
      <c r="D9824" s="2" t="str">
        <f t="shared" si="860"/>
        <v>PARI</v>
      </c>
      <c r="E9824" s="2" t="str">
        <f>"RELATÓRIO DE FAIXAS ETÁRIAS"</f>
        <v>RELATÓRIO DE FAIXAS ETÁRIAS</v>
      </c>
      <c r="F9824" s="2" t="str">
        <f>"R_FAIXA_ETARIA"</f>
        <v>R_FAIXA_ETARIA</v>
      </c>
      <c r="G9824" s="2" t="str">
        <f>"MVSaude / Atendimento / Autorizações de Guias / Internação / Relatórios / Tabelas / Faixa Etária (R_FAIXA_ETARIA)"</f>
        <v>MVSaude / Atendimento / Autorizações de Guias / Internação / Relatórios / Tabelas / Faixa Etária (R_FAIXA_ETARIA)</v>
      </c>
    </row>
    <row r="9825" spans="1:7" x14ac:dyDescent="0.3">
      <c r="A9825" s="1" t="s">
        <v>4</v>
      </c>
      <c r="B9825" s="2" t="str">
        <f t="shared" si="858"/>
        <v>SISTEMA DE GERENCIAMENTO DE INTERNAÇÃO</v>
      </c>
      <c r="C9825" s="2" t="str">
        <f t="shared" si="859"/>
        <v>INTER</v>
      </c>
      <c r="D9825" s="2" t="str">
        <f t="shared" si="860"/>
        <v>PARI</v>
      </c>
      <c r="E9825" s="2" t="str">
        <f>"RELATÓRIO DE ETIQUETA DE INTERNAÇÃO"</f>
        <v>RELATÓRIO DE ETIQUETA DE INTERNAÇÃO</v>
      </c>
      <c r="F9825" s="2" t="str">
        <f>"R_ETIQUETA_INTERNACAO_375"</f>
        <v>R_ETIQUETA_INTERNACAO_375</v>
      </c>
      <c r="G9825" s="2" t="str">
        <f>" ()"</f>
        <v xml:space="preserve"> ()</v>
      </c>
    </row>
    <row r="9826" spans="1:7" x14ac:dyDescent="0.3">
      <c r="A9826" s="1" t="s">
        <v>4</v>
      </c>
      <c r="B9826" s="2" t="str">
        <f t="shared" si="858"/>
        <v>SISTEMA DE GERENCIAMENTO DE INTERNAÇÃO</v>
      </c>
      <c r="C9826" s="2" t="str">
        <f t="shared" si="859"/>
        <v>INTER</v>
      </c>
      <c r="D9826" s="2" t="str">
        <f t="shared" si="860"/>
        <v>PARI</v>
      </c>
      <c r="E9826" s="2" t="str">
        <f>"ESTATÍSTICA DE ALTAS"</f>
        <v>ESTATÍSTICA DE ALTAS</v>
      </c>
      <c r="F9826" s="2" t="str">
        <f>"R_LIBERACAO_LEITO"</f>
        <v>R_LIBERACAO_LEITO</v>
      </c>
      <c r="G9826" s="2" t="str">
        <f>"Atendimento / Internação / Relatórios / Estatísticos / Tempo de Espera para Liberação de Leito (R_LIBERACAO_LEITO)"</f>
        <v>Atendimento / Internação / Relatórios / Estatísticos / Tempo de Espera para Liberação de Leito (R_LIBERACAO_LEITO)</v>
      </c>
    </row>
    <row r="9827" spans="1:7" x14ac:dyDescent="0.3">
      <c r="A9827" s="1" t="s">
        <v>4</v>
      </c>
      <c r="B9827" s="2" t="str">
        <f t="shared" si="858"/>
        <v>SISTEMA DE GERENCIAMENTO DE INTERNAÇÃO</v>
      </c>
      <c r="C9827" s="2" t="str">
        <f t="shared" si="859"/>
        <v>INTER</v>
      </c>
      <c r="D9827" s="2" t="str">
        <f t="shared" si="860"/>
        <v>PARI</v>
      </c>
      <c r="E9827" s="2" t="str">
        <f>"ESTATÍSTICA DE ALTAS"</f>
        <v>ESTATÍSTICA DE ALTAS</v>
      </c>
      <c r="F9827" s="2" t="str">
        <f>"R_LIBERACAO_LEITO"</f>
        <v>R_LIBERACAO_LEITO</v>
      </c>
      <c r="G9827" s="2" t="str">
        <f>"MVSaude / Vendas / Internação / Relatórios / Estatísticos / Tempo de Espera para Liberação de Leito (R_LIBERACAO_LEITO)"</f>
        <v>MVSaude / Vendas / Internação / Relatórios / Estatísticos / Tempo de Espera para Liberação de Leito (R_LIBERACAO_LEITO)</v>
      </c>
    </row>
    <row r="9828" spans="1:7" x14ac:dyDescent="0.3">
      <c r="A9828" s="1" t="s">
        <v>4</v>
      </c>
      <c r="B9828" s="2" t="str">
        <f t="shared" si="858"/>
        <v>SISTEMA DE GERENCIAMENTO DE INTERNAÇÃO</v>
      </c>
      <c r="C9828" s="2" t="str">
        <f t="shared" si="859"/>
        <v>INTER</v>
      </c>
      <c r="D9828" s="2" t="str">
        <f t="shared" si="860"/>
        <v>PARI</v>
      </c>
      <c r="E9828" s="2" t="str">
        <f>"ESTATÍSTICA DE ALTAS"</f>
        <v>ESTATÍSTICA DE ALTAS</v>
      </c>
      <c r="F9828" s="2" t="str">
        <f>"R_LIBERACAO_LEITO"</f>
        <v>R_LIBERACAO_LEITO</v>
      </c>
      <c r="G9828" s="2" t="str">
        <f>"MVSaude / Atendimento / Autorizações de Guias / Internação / Relatórios / Estatísticos / Tempo de Espera para Liberação de Leito (R_LIBERACAO_LEITO)"</f>
        <v>MVSaude / Atendimento / Autorizações de Guias / Internação / Relatórios / Estatísticos / Tempo de Espera para Liberação de Leito (R_LIBERACAO_LEITO)</v>
      </c>
    </row>
    <row r="9829" spans="1:7" x14ac:dyDescent="0.3">
      <c r="A9829" s="1" t="s">
        <v>4</v>
      </c>
      <c r="B9829" s="2" t="str">
        <f t="shared" si="858"/>
        <v>SISTEMA DE GERENCIAMENTO DE INTERNAÇÃO</v>
      </c>
      <c r="C9829" s="2" t="str">
        <f t="shared" si="859"/>
        <v>INTER</v>
      </c>
      <c r="D9829" s="2" t="str">
        <f t="shared" si="860"/>
        <v>PARI</v>
      </c>
      <c r="E9829" s="2" t="str">
        <f>"AVISO DE TRANSFERENCIA"</f>
        <v>AVISO DE TRANSFERENCIA</v>
      </c>
      <c r="F9829" s="2" t="str">
        <f>"R_AVISO_TRANSF"</f>
        <v>R_AVISO_TRANSF</v>
      </c>
      <c r="G9829" s="2" t="str">
        <f>" ()"</f>
        <v xml:space="preserve"> ()</v>
      </c>
    </row>
    <row r="9830" spans="1:7" x14ac:dyDescent="0.3">
      <c r="A9830" s="1" t="s">
        <v>4</v>
      </c>
      <c r="B9830" s="2" t="str">
        <f t="shared" si="858"/>
        <v>SISTEMA DE GERENCIAMENTO DE INTERNAÇÃO</v>
      </c>
      <c r="C9830" s="2" t="str">
        <f t="shared" si="859"/>
        <v>INTER</v>
      </c>
      <c r="D9830" s="2" t="str">
        <f t="shared" si="860"/>
        <v>PARI</v>
      </c>
      <c r="E9830" s="2" t="str">
        <f>"R_AVISO_ALTA"</f>
        <v>R_AVISO_ALTA</v>
      </c>
      <c r="F9830" s="2" t="str">
        <f>"AVISO ALTA"</f>
        <v>AVISO ALTA</v>
      </c>
      <c r="G9830" s="2" t="str">
        <f>" ()"</f>
        <v xml:space="preserve"> ()</v>
      </c>
    </row>
    <row r="9831" spans="1:7" x14ac:dyDescent="0.3">
      <c r="A9831" s="1" t="s">
        <v>4</v>
      </c>
      <c r="B9831" s="2" t="str">
        <f t="shared" si="858"/>
        <v>SISTEMA DE GERENCIAMENTO DE INTERNAÇÃO</v>
      </c>
      <c r="C9831" s="2" t="str">
        <f t="shared" si="859"/>
        <v>INTER</v>
      </c>
      <c r="D9831" s="2" t="str">
        <f t="shared" si="860"/>
        <v>PARI</v>
      </c>
      <c r="E9831" s="2" t="str">
        <f t="shared" ref="E9831:F9833" si="861">"R_GUIAS_POR_UNID_INT"</f>
        <v>R_GUIAS_POR_UNID_INT</v>
      </c>
      <c r="F9831" s="2" t="str">
        <f t="shared" si="861"/>
        <v>R_GUIAS_POR_UNID_INT</v>
      </c>
      <c r="G9831" s="2" t="str">
        <f>"MVSaude / Vendas / Internação / Relatórios / Operacionais / Guias / Solicitadas por Unidade de Internação (R_GUIAS_POR_UNID_INT)"</f>
        <v>MVSaude / Vendas / Internação / Relatórios / Operacionais / Guias / Solicitadas por Unidade de Internação (R_GUIAS_POR_UNID_INT)</v>
      </c>
    </row>
    <row r="9832" spans="1:7" x14ac:dyDescent="0.3">
      <c r="A9832" s="1" t="s">
        <v>4</v>
      </c>
      <c r="B9832" s="2" t="str">
        <f t="shared" si="858"/>
        <v>SISTEMA DE GERENCIAMENTO DE INTERNAÇÃO</v>
      </c>
      <c r="C9832" s="2" t="str">
        <f t="shared" si="859"/>
        <v>INTER</v>
      </c>
      <c r="D9832" s="2" t="str">
        <f t="shared" si="860"/>
        <v>PARI</v>
      </c>
      <c r="E9832" s="2" t="str">
        <f t="shared" si="861"/>
        <v>R_GUIAS_POR_UNID_INT</v>
      </c>
      <c r="F9832" s="2" t="str">
        <f t="shared" si="861"/>
        <v>R_GUIAS_POR_UNID_INT</v>
      </c>
      <c r="G9832" s="2" t="str">
        <f>"Atendimento / Internação / Relatórios / Operacionais / Guias / Solicitadas por Unidade de Internação (R_GUIAS_POR_UNID_INT)"</f>
        <v>Atendimento / Internação / Relatórios / Operacionais / Guias / Solicitadas por Unidade de Internação (R_GUIAS_POR_UNID_INT)</v>
      </c>
    </row>
    <row r="9833" spans="1:7" x14ac:dyDescent="0.3">
      <c r="A9833" s="1" t="s">
        <v>4</v>
      </c>
      <c r="B9833" s="2" t="str">
        <f t="shared" si="858"/>
        <v>SISTEMA DE GERENCIAMENTO DE INTERNAÇÃO</v>
      </c>
      <c r="C9833" s="2" t="str">
        <f t="shared" si="859"/>
        <v>INTER</v>
      </c>
      <c r="D9833" s="2" t="str">
        <f t="shared" si="860"/>
        <v>PARI</v>
      </c>
      <c r="E9833" s="2" t="str">
        <f t="shared" si="861"/>
        <v>R_GUIAS_POR_UNID_INT</v>
      </c>
      <c r="F9833" s="2" t="str">
        <f t="shared" si="861"/>
        <v>R_GUIAS_POR_UNID_INT</v>
      </c>
      <c r="G9833" s="2" t="str">
        <f>"MVSaude / Atendimento / Autorizações de Guias / Internação / Relatórios / Operacionais / Guias / Solicitadas por Unidade de Internação (R_GUIAS_POR_UNID_INT)"</f>
        <v>MVSaude / Atendimento / Autorizações de Guias / Internação / Relatórios / Operacionais / Guias / Solicitadas por Unidade de Internação (R_GUIAS_POR_UNID_INT)</v>
      </c>
    </row>
    <row r="9834" spans="1:7" x14ac:dyDescent="0.3">
      <c r="A9834" s="1" t="s">
        <v>4</v>
      </c>
      <c r="B9834" s="2" t="str">
        <f t="shared" si="858"/>
        <v>SISTEMA DE GERENCIAMENTO DE INTERNAÇÃO</v>
      </c>
      <c r="C9834" s="2" t="str">
        <f t="shared" si="859"/>
        <v>INTER</v>
      </c>
      <c r="D9834" s="2" t="str">
        <f t="shared" si="860"/>
        <v>PARI</v>
      </c>
      <c r="E9834" s="2" t="str">
        <f>"AVISO DE ALTA ADMINISTRATIVA"</f>
        <v>AVISO DE ALTA ADMINISTRATIVA</v>
      </c>
      <c r="F9834" s="2" t="str">
        <f>"M_SOLIC_ALTA_ADM"</f>
        <v>M_SOLIC_ALTA_ADM</v>
      </c>
      <c r="G9834" s="2" t="str">
        <f>"Atendimento / Internação / Atendimento / Alta / Efetivação / Solicitação Aviso Alta Administrativa (M_SOLIC_ALTA_ADM)"</f>
        <v>Atendimento / Internação / Atendimento / Alta / Efetivação / Solicitação Aviso Alta Administrativa (M_SOLIC_ALTA_ADM)</v>
      </c>
    </row>
    <row r="9835" spans="1:7" x14ac:dyDescent="0.3">
      <c r="A9835" s="1" t="s">
        <v>4</v>
      </c>
      <c r="B9835" s="2" t="str">
        <f t="shared" si="858"/>
        <v>SISTEMA DE GERENCIAMENTO DE INTERNAÇÃO</v>
      </c>
      <c r="C9835" s="2" t="str">
        <f t="shared" si="859"/>
        <v>INTER</v>
      </c>
      <c r="D9835" s="2" t="str">
        <f t="shared" si="860"/>
        <v>PARI</v>
      </c>
      <c r="E9835" s="2" t="str">
        <f>"CADASTRO DE MOTIVOS DE CAUÇÃO"</f>
        <v>CADASTRO DE MOTIVOS DE CAUÇÃO</v>
      </c>
      <c r="F9835" s="2" t="str">
        <f>"M_MOT_TRANSF_LEITO"</f>
        <v>M_MOT_TRANSF_LEITO</v>
      </c>
      <c r="G9835" s="2" t="str">
        <f>"MVSaude / Vendas / Internação / Tabelas / Motivos de Transferência de Leito (M_MOT_TRANSF_LEITO)"</f>
        <v>MVSaude / Vendas / Internação / Tabelas / Motivos de Transferência de Leito (M_MOT_TRANSF_LEITO)</v>
      </c>
    </row>
    <row r="9836" spans="1:7" x14ac:dyDescent="0.3">
      <c r="A9836" s="1" t="s">
        <v>4</v>
      </c>
      <c r="B9836" s="2" t="str">
        <f t="shared" si="858"/>
        <v>SISTEMA DE GERENCIAMENTO DE INTERNAÇÃO</v>
      </c>
      <c r="C9836" s="2" t="str">
        <f t="shared" si="859"/>
        <v>INTER</v>
      </c>
      <c r="D9836" s="2" t="str">
        <f t="shared" si="860"/>
        <v>PARI</v>
      </c>
      <c r="E9836" s="2" t="str">
        <f>"CADASTRO DE MOTIVOS DE CAUÇÃO"</f>
        <v>CADASTRO DE MOTIVOS DE CAUÇÃO</v>
      </c>
      <c r="F9836" s="2" t="str">
        <f>"M_MOT_TRANSF_LEITO"</f>
        <v>M_MOT_TRANSF_LEITO</v>
      </c>
      <c r="G9836" s="2" t="str">
        <f>"MVSaude / Atendimento / Autorizações de Guias / Internação / Tabelas / Motivos de Transferência de Leito (M_MOT_TRANSF_LEITO)"</f>
        <v>MVSaude / Atendimento / Autorizações de Guias / Internação / Tabelas / Motivos de Transferência de Leito (M_MOT_TRANSF_LEITO)</v>
      </c>
    </row>
    <row r="9837" spans="1:7" x14ac:dyDescent="0.3">
      <c r="A9837" s="1" t="s">
        <v>4</v>
      </c>
      <c r="B9837" s="2" t="str">
        <f t="shared" si="858"/>
        <v>SISTEMA DE GERENCIAMENTO DE INTERNAÇÃO</v>
      </c>
      <c r="C9837" s="2" t="str">
        <f t="shared" si="859"/>
        <v>INTER</v>
      </c>
      <c r="D9837" s="2" t="str">
        <f t="shared" si="860"/>
        <v>PARI</v>
      </c>
      <c r="E9837" s="2" t="str">
        <f>"CADASTRO DE MOTIVOS DE CAUÇÃO"</f>
        <v>CADASTRO DE MOTIVOS DE CAUÇÃO</v>
      </c>
      <c r="F9837" s="2" t="str">
        <f>"M_MOT_TRANSF_LEITO"</f>
        <v>M_MOT_TRANSF_LEITO</v>
      </c>
      <c r="G9837" s="2" t="str">
        <f>"Atendimento / Internação / Tabelas / Motivos de Transferência de Leito (M_MOT_TRANSF_LEITO)"</f>
        <v>Atendimento / Internação / Tabelas / Motivos de Transferência de Leito (M_MOT_TRANSF_LEITO)</v>
      </c>
    </row>
    <row r="9838" spans="1:7" x14ac:dyDescent="0.3">
      <c r="A9838" s="1" t="s">
        <v>4</v>
      </c>
      <c r="B9838" s="2" t="str">
        <f t="shared" si="858"/>
        <v>SISTEMA DE GERENCIAMENTO DE INTERNAÇÃO</v>
      </c>
      <c r="C9838" s="2" t="str">
        <f t="shared" si="859"/>
        <v>INTER</v>
      </c>
      <c r="D9838" s="2" t="str">
        <f t="shared" si="860"/>
        <v>PARI</v>
      </c>
      <c r="E9838" s="2" t="str">
        <f>"RELATÓRIO DE HISTÓRICO DO PACIENTE"</f>
        <v>RELATÓRIO DE HISTÓRICO DO PACIENTE</v>
      </c>
      <c r="F9838" s="2" t="str">
        <f>"R_HISTORICO_PACI_1303"</f>
        <v>R_HISTORICO_PACI_1303</v>
      </c>
      <c r="G9838" s="2" t="str">
        <f>" ()"</f>
        <v xml:space="preserve"> ()</v>
      </c>
    </row>
    <row r="9839" spans="1:7" x14ac:dyDescent="0.3">
      <c r="A9839" s="1" t="s">
        <v>4</v>
      </c>
      <c r="B9839" s="2" t="str">
        <f t="shared" si="858"/>
        <v>SISTEMA DE GERENCIAMENTO DE INTERNAÇÃO</v>
      </c>
      <c r="C9839" s="2" t="str">
        <f t="shared" si="859"/>
        <v>INTER</v>
      </c>
      <c r="D9839" s="2" t="str">
        <f t="shared" si="860"/>
        <v>PARI</v>
      </c>
      <c r="E9839" s="2" t="str">
        <f>"R_PRORROGA_GUIAS"</f>
        <v>R_PRORROGA_GUIAS</v>
      </c>
      <c r="F9839" s="2" t="str">
        <f>"R_PRORROGA_GUIAS"</f>
        <v>R_PRORROGA_GUIAS</v>
      </c>
      <c r="G9839" s="2" t="str">
        <f>" ()"</f>
        <v xml:space="preserve"> ()</v>
      </c>
    </row>
    <row r="9840" spans="1:7" x14ac:dyDescent="0.3">
      <c r="A9840" s="1" t="s">
        <v>4</v>
      </c>
      <c r="B9840" s="2" t="str">
        <f t="shared" si="858"/>
        <v>SISTEMA DE GERENCIAMENTO DE INTERNAÇÃO</v>
      </c>
      <c r="C9840" s="2" t="str">
        <f t="shared" si="859"/>
        <v>INTER</v>
      </c>
      <c r="D9840" s="2" t="str">
        <f t="shared" si="860"/>
        <v>PARI</v>
      </c>
      <c r="E9840" s="2" t="str">
        <f>"R_PRORROGAGUIAS"</f>
        <v>R_PRORROGAGUIAS</v>
      </c>
      <c r="F9840" s="2" t="str">
        <f>"R_PRORROGAGUIAS"</f>
        <v>R_PRORROGAGUIAS</v>
      </c>
      <c r="G9840" s="2" t="str">
        <f>" ()"</f>
        <v xml:space="preserve"> ()</v>
      </c>
    </row>
    <row r="9841" spans="1:7" x14ac:dyDescent="0.3">
      <c r="A9841" s="1" t="s">
        <v>4</v>
      </c>
      <c r="B9841" s="2" t="str">
        <f t="shared" si="858"/>
        <v>SISTEMA DE GERENCIAMENTO DE INTERNAÇÃO</v>
      </c>
      <c r="C9841" s="2" t="str">
        <f t="shared" si="859"/>
        <v>INTER</v>
      </c>
      <c r="D9841" s="2" t="str">
        <f t="shared" si="860"/>
        <v>PARI</v>
      </c>
      <c r="E9841" s="2" t="str">
        <f>"R_LAUDO_AIH_376"</f>
        <v>R_LAUDO_AIH_376</v>
      </c>
      <c r="F9841" s="2" t="str">
        <f>"R_LAUDO_AIH_376"</f>
        <v>R_LAUDO_AIH_376</v>
      </c>
      <c r="G9841" s="2" t="str">
        <f>" ()"</f>
        <v xml:space="preserve"> ()</v>
      </c>
    </row>
    <row r="9842" spans="1:7" x14ac:dyDescent="0.3">
      <c r="A9842" s="1" t="s">
        <v>4</v>
      </c>
      <c r="B9842" s="2" t="str">
        <f t="shared" si="858"/>
        <v>SISTEMA DE GERENCIAMENTO DE INTERNAÇÃO</v>
      </c>
      <c r="C9842" s="2" t="str">
        <f t="shared" si="859"/>
        <v>INTER</v>
      </c>
      <c r="D9842" s="2" t="str">
        <f t="shared" si="860"/>
        <v>PARI</v>
      </c>
      <c r="E9842" s="2" t="str">
        <f>"R_RECEBE_CAUCAO_900"</f>
        <v>R_RECEBE_CAUCAO_900</v>
      </c>
      <c r="F9842" s="2" t="str">
        <f>"R_RECEBE_CAUCAO_900"</f>
        <v>R_RECEBE_CAUCAO_900</v>
      </c>
      <c r="G9842" s="2" t="str">
        <f>" ()"</f>
        <v xml:space="preserve"> ()</v>
      </c>
    </row>
    <row r="9843" spans="1:7" x14ac:dyDescent="0.3">
      <c r="A9843" s="1" t="s">
        <v>4</v>
      </c>
      <c r="B9843" s="2" t="str">
        <f t="shared" si="858"/>
        <v>SISTEMA DE GERENCIAMENTO DE INTERNAÇÃO</v>
      </c>
      <c r="C9843" s="2" t="str">
        <f t="shared" si="859"/>
        <v>INTER</v>
      </c>
      <c r="D9843" s="2" t="str">
        <f t="shared" si="860"/>
        <v>PARI</v>
      </c>
      <c r="E9843" s="2" t="str">
        <f>"RELATÓRIO DE PACIENTES POR CID"</f>
        <v>RELATÓRIO DE PACIENTES POR CID</v>
      </c>
      <c r="F9843" s="2" t="str">
        <f>"R_ALTAS_POR_CID"</f>
        <v>R_ALTAS_POR_CID</v>
      </c>
      <c r="G9843" s="2" t="str">
        <f>"MVSaude / Vendas / Internação / Relatórios / Estatísticos / Cid / Altas por Cid (R_ALTAS_POR_CID)"</f>
        <v>MVSaude / Vendas / Internação / Relatórios / Estatísticos / Cid / Altas por Cid (R_ALTAS_POR_CID)</v>
      </c>
    </row>
    <row r="9844" spans="1:7" x14ac:dyDescent="0.3">
      <c r="A9844" s="1" t="s">
        <v>4</v>
      </c>
      <c r="B9844" s="2" t="str">
        <f t="shared" si="858"/>
        <v>SISTEMA DE GERENCIAMENTO DE INTERNAÇÃO</v>
      </c>
      <c r="C9844" s="2" t="str">
        <f t="shared" si="859"/>
        <v>INTER</v>
      </c>
      <c r="D9844" s="2" t="str">
        <f t="shared" si="860"/>
        <v>PARI</v>
      </c>
      <c r="E9844" s="2" t="str">
        <f>"RELATÓRIO DE PACIENTES POR CID"</f>
        <v>RELATÓRIO DE PACIENTES POR CID</v>
      </c>
      <c r="F9844" s="2" t="str">
        <f>"R_ALTAS_POR_CID"</f>
        <v>R_ALTAS_POR_CID</v>
      </c>
      <c r="G9844" s="2" t="str">
        <f>"Atendimento / Internação / Relatórios / Estatísticos / Cid / Altas por Cid (R_ALTAS_POR_CID)"</f>
        <v>Atendimento / Internação / Relatórios / Estatísticos / Cid / Altas por Cid (R_ALTAS_POR_CID)</v>
      </c>
    </row>
    <row r="9845" spans="1:7" x14ac:dyDescent="0.3">
      <c r="A9845" s="1" t="s">
        <v>4</v>
      </c>
      <c r="B9845" s="2" t="str">
        <f t="shared" si="858"/>
        <v>SISTEMA DE GERENCIAMENTO DE INTERNAÇÃO</v>
      </c>
      <c r="C9845" s="2" t="str">
        <f t="shared" si="859"/>
        <v>INTER</v>
      </c>
      <c r="D9845" s="2" t="str">
        <f t="shared" si="860"/>
        <v>PARI</v>
      </c>
      <c r="E9845" s="2" t="str">
        <f>"RELATÓRIO DE PACIENTES POR CID"</f>
        <v>RELATÓRIO DE PACIENTES POR CID</v>
      </c>
      <c r="F9845" s="2" t="str">
        <f>"R_ALTAS_POR_CID"</f>
        <v>R_ALTAS_POR_CID</v>
      </c>
      <c r="G9845" s="2" t="str">
        <f>"MVSaude / Atendimento / Autorizações de Guias / Internação / Relatórios / Estatísticos / Cid / Altas por Cid (R_ALTAS_POR_CID)"</f>
        <v>MVSaude / Atendimento / Autorizações de Guias / Internação / Relatórios / Estatísticos / Cid / Altas por Cid (R_ALTAS_POR_CID)</v>
      </c>
    </row>
    <row r="9846" spans="1:7" x14ac:dyDescent="0.3">
      <c r="A9846" s="1" t="s">
        <v>4</v>
      </c>
      <c r="B9846" s="2" t="str">
        <f t="shared" si="858"/>
        <v>SISTEMA DE GERENCIAMENTO DE INTERNAÇÃO</v>
      </c>
      <c r="C9846" s="2" t="str">
        <f t="shared" si="859"/>
        <v>INTER</v>
      </c>
      <c r="D9846" s="2" t="str">
        <f t="shared" si="860"/>
        <v>PARI</v>
      </c>
      <c r="E9846" s="2" t="str">
        <f>"R_TERMO2_380"</f>
        <v>R_TERMO2_380</v>
      </c>
      <c r="F9846" s="2" t="str">
        <f>"R_TERMO2_380"</f>
        <v>R_TERMO2_380</v>
      </c>
      <c r="G9846" s="2" t="str">
        <f>" ()"</f>
        <v xml:space="preserve"> ()</v>
      </c>
    </row>
    <row r="9847" spans="1:7" x14ac:dyDescent="0.3">
      <c r="A9847" s="1" t="s">
        <v>4</v>
      </c>
      <c r="B9847" s="2" t="str">
        <f t="shared" si="858"/>
        <v>SISTEMA DE GERENCIAMENTO DE INTERNAÇÃO</v>
      </c>
      <c r="C9847" s="2" t="str">
        <f t="shared" si="859"/>
        <v>INTER</v>
      </c>
      <c r="D9847" s="2" t="str">
        <f t="shared" si="860"/>
        <v>PARI</v>
      </c>
      <c r="E9847" s="2" t="str">
        <f>"CANCELA ACOPLAMENTO DE CONVÊNIO"</f>
        <v>CANCELA ACOPLAMENTO DE CONVÊNIO</v>
      </c>
      <c r="F9847" s="2" t="str">
        <f>"M_CANC_ACOPL_CONVENIO"</f>
        <v>M_CANC_ACOPL_CONVENIO</v>
      </c>
      <c r="G9847" s="2" t="str">
        <f>"MVSaude / Atendimento / Autorizações de Guias / Internação / Atendimento / Cancela Acoplamento de Convênio (M_CANC_ACOPL_CONVENIO)"</f>
        <v>MVSaude / Atendimento / Autorizações de Guias / Internação / Atendimento / Cancela Acoplamento de Convênio (M_CANC_ACOPL_CONVENIO)</v>
      </c>
    </row>
    <row r="9848" spans="1:7" x14ac:dyDescent="0.3">
      <c r="A9848" s="1" t="s">
        <v>4</v>
      </c>
      <c r="B9848" s="2" t="str">
        <f t="shared" si="858"/>
        <v>SISTEMA DE GERENCIAMENTO DE INTERNAÇÃO</v>
      </c>
      <c r="C9848" s="2" t="str">
        <f t="shared" si="859"/>
        <v>INTER</v>
      </c>
      <c r="D9848" s="2" t="str">
        <f t="shared" si="860"/>
        <v>PARI</v>
      </c>
      <c r="E9848" s="2" t="str">
        <f>"CANCELA ACOPLAMENTO DE CONVÊNIO"</f>
        <v>CANCELA ACOPLAMENTO DE CONVÊNIO</v>
      </c>
      <c r="F9848" s="2" t="str">
        <f>"M_CANC_ACOPL_CONVENIO"</f>
        <v>M_CANC_ACOPL_CONVENIO</v>
      </c>
      <c r="G9848" s="2" t="str">
        <f>"Atendimento / Internação / Atendimento / Cancela Acoplamento de Convênio (M_CANC_ACOPL_CONVENIO)"</f>
        <v>Atendimento / Internação / Atendimento / Cancela Acoplamento de Convênio (M_CANC_ACOPL_CONVENIO)</v>
      </c>
    </row>
    <row r="9849" spans="1:7" x14ac:dyDescent="0.3">
      <c r="A9849" s="1" t="s">
        <v>4</v>
      </c>
      <c r="B9849" s="2" t="str">
        <f t="shared" si="858"/>
        <v>SISTEMA DE GERENCIAMENTO DE INTERNAÇÃO</v>
      </c>
      <c r="C9849" s="2" t="str">
        <f t="shared" si="859"/>
        <v>INTER</v>
      </c>
      <c r="D9849" s="2" t="str">
        <f t="shared" si="860"/>
        <v>PARI</v>
      </c>
      <c r="E9849" s="2" t="str">
        <f>"CANCELA ACOPLAMENTO DE CONVÊNIO"</f>
        <v>CANCELA ACOPLAMENTO DE CONVÊNIO</v>
      </c>
      <c r="F9849" s="2" t="str">
        <f>"M_CANC_ACOPL_CONVENIO"</f>
        <v>M_CANC_ACOPL_CONVENIO</v>
      </c>
      <c r="G9849" s="2" t="str">
        <f>"MVSaude / Vendas / Internação / Atendimento / Cancela Acoplamento de Convênio (M_CANC_ACOPL_CONVENIO)"</f>
        <v>MVSaude / Vendas / Internação / Atendimento / Cancela Acoplamento de Convênio (M_CANC_ACOPL_CONVENIO)</v>
      </c>
    </row>
    <row r="9850" spans="1:7" x14ac:dyDescent="0.3">
      <c r="A9850" s="1" t="s">
        <v>4</v>
      </c>
      <c r="B9850" s="2" t="str">
        <f t="shared" si="858"/>
        <v>SISTEMA DE GERENCIAMENTO DE INTERNAÇÃO</v>
      </c>
      <c r="C9850" s="2" t="str">
        <f t="shared" si="859"/>
        <v>INTER</v>
      </c>
      <c r="D9850" s="2" t="str">
        <f t="shared" si="860"/>
        <v>PARI</v>
      </c>
      <c r="E9850" s="2" t="str">
        <f>"INFORME DE ETIQUETA DE CÓDIGO DE BARRAS"</f>
        <v>INFORME DE ETIQUETA DE CÓDIGO DE BARRAS</v>
      </c>
      <c r="F9850" s="2" t="str">
        <f>"R_IMPRIMI_ETIQ_PARI"</f>
        <v>R_IMPRIMI_ETIQ_PARI</v>
      </c>
      <c r="G9850" s="2" t="str">
        <f>"Atendimento / Internação / Relatórios / Etiqueta de Código de Barras (R_IMPRIMI_ETIQ_PARI)"</f>
        <v>Atendimento / Internação / Relatórios / Etiqueta de Código de Barras (R_IMPRIMI_ETIQ_PARI)</v>
      </c>
    </row>
    <row r="9851" spans="1:7" x14ac:dyDescent="0.3">
      <c r="A9851" s="1" t="s">
        <v>4</v>
      </c>
      <c r="B9851" s="2" t="str">
        <f t="shared" si="858"/>
        <v>SISTEMA DE GERENCIAMENTO DE INTERNAÇÃO</v>
      </c>
      <c r="C9851" s="2" t="str">
        <f t="shared" si="859"/>
        <v>INTER</v>
      </c>
      <c r="D9851" s="2" t="str">
        <f t="shared" si="860"/>
        <v>PARI</v>
      </c>
      <c r="E9851" s="2" t="str">
        <f>"INFORME DE ETIQUETA DE CÓDIGO DE BARRAS"</f>
        <v>INFORME DE ETIQUETA DE CÓDIGO DE BARRAS</v>
      </c>
      <c r="F9851" s="2" t="str">
        <f>"R_IMPRIMI_ETIQ_PARI"</f>
        <v>R_IMPRIMI_ETIQ_PARI</v>
      </c>
      <c r="G9851" s="2" t="str">
        <f>"MVSaude / Atendimento / Autorizações de Guias / Internação / Relatórios / Etiqueta de Código de Barras (R_IMPRIMI_ETIQ_PARI)"</f>
        <v>MVSaude / Atendimento / Autorizações de Guias / Internação / Relatórios / Etiqueta de Código de Barras (R_IMPRIMI_ETIQ_PARI)</v>
      </c>
    </row>
    <row r="9852" spans="1:7" x14ac:dyDescent="0.3">
      <c r="A9852" s="1" t="s">
        <v>4</v>
      </c>
      <c r="B9852" s="2" t="str">
        <f t="shared" si="858"/>
        <v>SISTEMA DE GERENCIAMENTO DE INTERNAÇÃO</v>
      </c>
      <c r="C9852" s="2" t="str">
        <f t="shared" si="859"/>
        <v>INTER</v>
      </c>
      <c r="D9852" s="2" t="str">
        <f t="shared" si="860"/>
        <v>PARI</v>
      </c>
      <c r="E9852" s="2" t="str">
        <f>"INFORME DE ETIQUETA DE CÓDIGO DE BARRAS"</f>
        <v>INFORME DE ETIQUETA DE CÓDIGO DE BARRAS</v>
      </c>
      <c r="F9852" s="2" t="str">
        <f>"R_IMPRIMI_ETIQ_PARI"</f>
        <v>R_IMPRIMI_ETIQ_PARI</v>
      </c>
      <c r="G9852" s="2" t="str">
        <f>"MVSaude / Vendas / Internação / Relatórios / Etiqueta de Código de Barras (R_IMPRIMI_ETIQ_PARI)"</f>
        <v>MVSaude / Vendas / Internação / Relatórios / Etiqueta de Código de Barras (R_IMPRIMI_ETIQ_PARI)</v>
      </c>
    </row>
    <row r="9853" spans="1:7" x14ac:dyDescent="0.3">
      <c r="A9853" s="1" t="s">
        <v>4</v>
      </c>
      <c r="B9853" s="2" t="str">
        <f t="shared" si="858"/>
        <v>SISTEMA DE GERENCIAMENTO DE INTERNAÇÃO</v>
      </c>
      <c r="C9853" s="2" t="str">
        <f t="shared" si="859"/>
        <v>INTER</v>
      </c>
      <c r="D9853" s="2" t="str">
        <f t="shared" si="860"/>
        <v>PARI</v>
      </c>
      <c r="E9853" s="2" t="str">
        <f>"ETIQUETAS DE CÓDIGO DE BARRAS"</f>
        <v>ETIQUETAS DE CÓDIGO DE BARRAS</v>
      </c>
      <c r="F9853" s="2" t="str">
        <f>"M_CONFIG_ETIQUETA_PARI"</f>
        <v>M_CONFIG_ETIQUETA_PARI</v>
      </c>
      <c r="G9853" s="2" t="str">
        <f>"MVSaude / Vendas / Internação / Configurações / Etiqueta de Código de Barras (M_CONFIG_ETIQUETA_PARI)"</f>
        <v>MVSaude / Vendas / Internação / Configurações / Etiqueta de Código de Barras (M_CONFIG_ETIQUETA_PARI)</v>
      </c>
    </row>
    <row r="9854" spans="1:7" x14ac:dyDescent="0.3">
      <c r="A9854" s="1" t="s">
        <v>4</v>
      </c>
      <c r="B9854" s="2" t="str">
        <f t="shared" si="858"/>
        <v>SISTEMA DE GERENCIAMENTO DE INTERNAÇÃO</v>
      </c>
      <c r="C9854" s="2" t="str">
        <f t="shared" si="859"/>
        <v>INTER</v>
      </c>
      <c r="D9854" s="2" t="str">
        <f t="shared" si="860"/>
        <v>PARI</v>
      </c>
      <c r="E9854" s="2" t="str">
        <f>"ETIQUETAS DE CÓDIGO DE BARRAS"</f>
        <v>ETIQUETAS DE CÓDIGO DE BARRAS</v>
      </c>
      <c r="F9854" s="2" t="str">
        <f>"M_CONFIG_ETIQUETA_PARI"</f>
        <v>M_CONFIG_ETIQUETA_PARI</v>
      </c>
      <c r="G9854" s="2" t="str">
        <f>"Atendimento / Internação / Configurações / Etiqueta de Código de Barras (M_CONFIG_ETIQUETA_PARI)"</f>
        <v>Atendimento / Internação / Configurações / Etiqueta de Código de Barras (M_CONFIG_ETIQUETA_PARI)</v>
      </c>
    </row>
    <row r="9855" spans="1:7" x14ac:dyDescent="0.3">
      <c r="A9855" s="1" t="s">
        <v>4</v>
      </c>
      <c r="B9855" s="2" t="str">
        <f t="shared" si="858"/>
        <v>SISTEMA DE GERENCIAMENTO DE INTERNAÇÃO</v>
      </c>
      <c r="C9855" s="2" t="str">
        <f t="shared" si="859"/>
        <v>INTER</v>
      </c>
      <c r="D9855" s="2" t="str">
        <f t="shared" si="860"/>
        <v>PARI</v>
      </c>
      <c r="E9855" s="2" t="str">
        <f>"ETIQUETAS DE CÓDIGO DE BARRAS"</f>
        <v>ETIQUETAS DE CÓDIGO DE BARRAS</v>
      </c>
      <c r="F9855" s="2" t="str">
        <f>"M_CONFIG_ETIQUETA_PARI"</f>
        <v>M_CONFIG_ETIQUETA_PARI</v>
      </c>
      <c r="G9855" s="2" t="str">
        <f>"MVSaude / Atendimento / Autorizações de Guias / Internação / Configurações / Etiqueta de Código de Barras (M_CONFIG_ETIQUETA_PARI)"</f>
        <v>MVSaude / Atendimento / Autorizações de Guias / Internação / Configurações / Etiqueta de Código de Barras (M_CONFIG_ETIQUETA_PARI)</v>
      </c>
    </row>
    <row r="9856" spans="1:7" x14ac:dyDescent="0.3">
      <c r="A9856" s="1" t="s">
        <v>4</v>
      </c>
      <c r="B9856" s="2" t="str">
        <f t="shared" si="858"/>
        <v>SISTEMA DE GERENCIAMENTO DE INTERNAÇÃO</v>
      </c>
      <c r="C9856" s="2" t="str">
        <f t="shared" si="859"/>
        <v>INTER</v>
      </c>
      <c r="D9856" s="2" t="str">
        <f t="shared" si="860"/>
        <v>PARI</v>
      </c>
      <c r="E9856" s="2" t="str">
        <f>"RELATÓRIO DE TAXA DIÁRIA DE OCUPAÇÃO"</f>
        <v>RELATÓRIO DE TAXA DIÁRIA DE OCUPAÇÃO</v>
      </c>
      <c r="F9856" s="2" t="str">
        <f>"R_TAXA_DIA_OCUPACAO_734"</f>
        <v>R_TAXA_DIA_OCUPACAO_734</v>
      </c>
      <c r="G9856" s="2" t="str">
        <f>" ()"</f>
        <v xml:space="preserve"> ()</v>
      </c>
    </row>
    <row r="9857" spans="1:7" x14ac:dyDescent="0.3">
      <c r="A9857" s="1" t="s">
        <v>4</v>
      </c>
      <c r="B9857" s="2" t="str">
        <f t="shared" si="858"/>
        <v>SISTEMA DE GERENCIAMENTO DE INTERNAÇÃO</v>
      </c>
      <c r="C9857" s="2" t="str">
        <f t="shared" si="859"/>
        <v>INTER</v>
      </c>
      <c r="D9857" s="2" t="str">
        <f t="shared" si="860"/>
        <v>PARI</v>
      </c>
      <c r="E9857" s="2" t="str">
        <f>"CONTROLE DE VISITA"</f>
        <v>CONTROLE DE VISITA</v>
      </c>
      <c r="F9857" s="2" t="str">
        <f>"M_CONTROLE_VISITA"</f>
        <v>M_CONTROLE_VISITA</v>
      </c>
      <c r="G9857" s="2" t="str">
        <f>"MVSaude / Atendimento / Autorizações de Guias / Internação / Atendimento / Registros / Controle de Visitas (M_CONTROLE_VISITA)"</f>
        <v>MVSaude / Atendimento / Autorizações de Guias / Internação / Atendimento / Registros / Controle de Visitas (M_CONTROLE_VISITA)</v>
      </c>
    </row>
    <row r="9858" spans="1:7" x14ac:dyDescent="0.3">
      <c r="A9858" s="1" t="s">
        <v>4</v>
      </c>
      <c r="B9858" s="2" t="str">
        <f t="shared" si="858"/>
        <v>SISTEMA DE GERENCIAMENTO DE INTERNAÇÃO</v>
      </c>
      <c r="C9858" s="2" t="str">
        <f t="shared" si="859"/>
        <v>INTER</v>
      </c>
      <c r="D9858" s="2" t="str">
        <f t="shared" si="860"/>
        <v>PARI</v>
      </c>
      <c r="E9858" s="2" t="str">
        <f>"CONTROLE DE VISITA"</f>
        <v>CONTROLE DE VISITA</v>
      </c>
      <c r="F9858" s="2" t="str">
        <f>"M_CONTROLE_VISITA"</f>
        <v>M_CONTROLE_VISITA</v>
      </c>
      <c r="G9858" s="2" t="str">
        <f>"Atendimento / Internação / Atendimento / Registros / Controle de Visitas (M_CONTROLE_VISITA)"</f>
        <v>Atendimento / Internação / Atendimento / Registros / Controle de Visitas (M_CONTROLE_VISITA)</v>
      </c>
    </row>
    <row r="9859" spans="1:7" x14ac:dyDescent="0.3">
      <c r="A9859" s="1" t="s">
        <v>4</v>
      </c>
      <c r="B9859" s="2" t="str">
        <f t="shared" si="858"/>
        <v>SISTEMA DE GERENCIAMENTO DE INTERNAÇÃO</v>
      </c>
      <c r="C9859" s="2" t="str">
        <f t="shared" si="859"/>
        <v>INTER</v>
      </c>
      <c r="D9859" s="2" t="str">
        <f t="shared" si="860"/>
        <v>PARI</v>
      </c>
      <c r="E9859" s="2" t="str">
        <f>"CONTROLE DE VISITA"</f>
        <v>CONTROLE DE VISITA</v>
      </c>
      <c r="F9859" s="2" t="str">
        <f>"M_CONTROLE_VISITA"</f>
        <v>M_CONTROLE_VISITA</v>
      </c>
      <c r="G9859" s="2" t="str">
        <f>"MVSaude / Vendas / Internação / Atendimento / Registros / Controle de Visitas (M_CONTROLE_VISITA)"</f>
        <v>MVSaude / Vendas / Internação / Atendimento / Registros / Controle de Visitas (M_CONTROLE_VISITA)</v>
      </c>
    </row>
    <row r="9860" spans="1:7" x14ac:dyDescent="0.3">
      <c r="A9860" s="1" t="s">
        <v>4</v>
      </c>
      <c r="B9860" s="2" t="str">
        <f t="shared" si="858"/>
        <v>SISTEMA DE GERENCIAMENTO DE INTERNAÇÃO</v>
      </c>
      <c r="C9860" s="2" t="str">
        <f t="shared" si="859"/>
        <v>INTER</v>
      </c>
      <c r="D9860" s="2" t="str">
        <f t="shared" si="860"/>
        <v>PARI</v>
      </c>
      <c r="E9860" s="2" t="str">
        <f>"CADASTRO DE FUNERARIAS"</f>
        <v>CADASTRO DE FUNERARIAS</v>
      </c>
      <c r="F9860" s="2" t="str">
        <f>"M_FUNERARIA"</f>
        <v>M_FUNERARIA</v>
      </c>
      <c r="G9860" s="2" t="str">
        <f>"MVSaude / Vendas / Internação / Tabelas / Funerárias (M_FUNERARIA)"</f>
        <v>MVSaude / Vendas / Internação / Tabelas / Funerárias (M_FUNERARIA)</v>
      </c>
    </row>
    <row r="9861" spans="1:7" x14ac:dyDescent="0.3">
      <c r="A9861" s="1" t="s">
        <v>4</v>
      </c>
      <c r="B9861" s="2" t="str">
        <f t="shared" si="858"/>
        <v>SISTEMA DE GERENCIAMENTO DE INTERNAÇÃO</v>
      </c>
      <c r="C9861" s="2" t="str">
        <f t="shared" si="859"/>
        <v>INTER</v>
      </c>
      <c r="D9861" s="2" t="str">
        <f t="shared" si="860"/>
        <v>PARI</v>
      </c>
      <c r="E9861" s="2" t="str">
        <f>"CADASTRO DE FUNERARIAS"</f>
        <v>CADASTRO DE FUNERARIAS</v>
      </c>
      <c r="F9861" s="2" t="str">
        <f>"M_FUNERARIA"</f>
        <v>M_FUNERARIA</v>
      </c>
      <c r="G9861" s="2" t="str">
        <f>"MVSaude / Atendimento / Autorizações de Guias / Internação / Tabelas / Funerárias (M_FUNERARIA)"</f>
        <v>MVSaude / Atendimento / Autorizações de Guias / Internação / Tabelas / Funerárias (M_FUNERARIA)</v>
      </c>
    </row>
    <row r="9862" spans="1:7" x14ac:dyDescent="0.3">
      <c r="A9862" s="1" t="s">
        <v>4</v>
      </c>
      <c r="B9862" s="2" t="str">
        <f t="shared" si="858"/>
        <v>SISTEMA DE GERENCIAMENTO DE INTERNAÇÃO</v>
      </c>
      <c r="C9862" s="2" t="str">
        <f t="shared" si="859"/>
        <v>INTER</v>
      </c>
      <c r="D9862" s="2" t="str">
        <f t="shared" si="860"/>
        <v>PARI</v>
      </c>
      <c r="E9862" s="2" t="str">
        <f>"CADASTRO DE FUNERARIAS"</f>
        <v>CADASTRO DE FUNERARIAS</v>
      </c>
      <c r="F9862" s="2" t="str">
        <f>"M_FUNERARIA"</f>
        <v>M_FUNERARIA</v>
      </c>
      <c r="G9862" s="2" t="str">
        <f>"Atendimento / Internação / Tabelas / Funerárias (M_FUNERARIA)"</f>
        <v>Atendimento / Internação / Tabelas / Funerárias (M_FUNERARIA)</v>
      </c>
    </row>
    <row r="9863" spans="1:7" x14ac:dyDescent="0.3">
      <c r="A9863" s="1" t="s">
        <v>4</v>
      </c>
      <c r="B9863" s="2" t="str">
        <f t="shared" si="858"/>
        <v>SISTEMA DE GERENCIAMENTO DE INTERNAÇÃO</v>
      </c>
      <c r="C9863" s="2" t="str">
        <f t="shared" si="859"/>
        <v>INTER</v>
      </c>
      <c r="D9863" s="2" t="str">
        <f t="shared" si="860"/>
        <v>PARI</v>
      </c>
      <c r="E9863" s="2" t="str">
        <f>"R_ETIQUETA_INTER_380"</f>
        <v>R_ETIQUETA_INTER_380</v>
      </c>
      <c r="F9863" s="2" t="str">
        <f>"R_ETIQUETA_INTER_380"</f>
        <v>R_ETIQUETA_INTER_380</v>
      </c>
      <c r="G9863" s="2" t="str">
        <f>" ()"</f>
        <v xml:space="preserve"> ()</v>
      </c>
    </row>
    <row r="9864" spans="1:7" x14ac:dyDescent="0.3">
      <c r="A9864" s="1" t="s">
        <v>4</v>
      </c>
      <c r="B9864" s="2" t="str">
        <f t="shared" si="858"/>
        <v>SISTEMA DE GERENCIAMENTO DE INTERNAÇÃO</v>
      </c>
      <c r="C9864" s="2" t="str">
        <f t="shared" si="859"/>
        <v>INTER</v>
      </c>
      <c r="D9864" s="2" t="str">
        <f t="shared" si="860"/>
        <v>PARI</v>
      </c>
      <c r="E9864" s="2" t="str">
        <f>"R_TERMO_SERVICO_PART_380"</f>
        <v>R_TERMO_SERVICO_PART_380</v>
      </c>
      <c r="F9864" s="2" t="str">
        <f>"R_TERMO_SERVICO_PART_380"</f>
        <v>R_TERMO_SERVICO_PART_380</v>
      </c>
      <c r="G9864" s="2" t="str">
        <f>" ()"</f>
        <v xml:space="preserve"> ()</v>
      </c>
    </row>
    <row r="9865" spans="1:7" x14ac:dyDescent="0.3">
      <c r="A9865" s="1" t="s">
        <v>4</v>
      </c>
      <c r="B9865" s="2" t="str">
        <f t="shared" si="858"/>
        <v>SISTEMA DE GERENCIAMENTO DE INTERNAÇÃO</v>
      </c>
      <c r="C9865" s="2" t="str">
        <f t="shared" si="859"/>
        <v>INTER</v>
      </c>
      <c r="D9865" s="2" t="str">
        <f t="shared" si="860"/>
        <v>PARI</v>
      </c>
      <c r="E9865" s="2" t="str">
        <f>"RELATÓRIO DE AVISO MÉDICO"</f>
        <v>RELATÓRIO DE AVISO MÉDICO</v>
      </c>
      <c r="F9865" s="2" t="str">
        <f>"R_AVISO_MEDICO"</f>
        <v>R_AVISO_MEDICO</v>
      </c>
      <c r="G9865" s="2" t="str">
        <f>"MVSaude / Vendas / Internação / Relatórios / Operacionais / Internações / Aviso Médico (R_AVISO_MEDICO)"</f>
        <v>MVSaude / Vendas / Internação / Relatórios / Operacionais / Internações / Aviso Médico (R_AVISO_MEDICO)</v>
      </c>
    </row>
    <row r="9866" spans="1:7" x14ac:dyDescent="0.3">
      <c r="A9866" s="1" t="s">
        <v>4</v>
      </c>
      <c r="B9866" s="2" t="str">
        <f t="shared" si="858"/>
        <v>SISTEMA DE GERENCIAMENTO DE INTERNAÇÃO</v>
      </c>
      <c r="C9866" s="2" t="str">
        <f t="shared" si="859"/>
        <v>INTER</v>
      </c>
      <c r="D9866" s="2" t="str">
        <f t="shared" si="860"/>
        <v>PARI</v>
      </c>
      <c r="E9866" s="2" t="str">
        <f>"RELATÓRIO DE AVISO MÉDICO"</f>
        <v>RELATÓRIO DE AVISO MÉDICO</v>
      </c>
      <c r="F9866" s="2" t="str">
        <f>"R_AVISO_MEDICO"</f>
        <v>R_AVISO_MEDICO</v>
      </c>
      <c r="G9866" s="2" t="str">
        <f>"Atendimento / Internação / Relatórios / Operacionais / Internações / Aviso Médico (R_AVISO_MEDICO)"</f>
        <v>Atendimento / Internação / Relatórios / Operacionais / Internações / Aviso Médico (R_AVISO_MEDICO)</v>
      </c>
    </row>
    <row r="9867" spans="1:7" x14ac:dyDescent="0.3">
      <c r="A9867" s="1" t="s">
        <v>4</v>
      </c>
      <c r="B9867" s="2" t="str">
        <f t="shared" si="858"/>
        <v>SISTEMA DE GERENCIAMENTO DE INTERNAÇÃO</v>
      </c>
      <c r="C9867" s="2" t="str">
        <f t="shared" si="859"/>
        <v>INTER</v>
      </c>
      <c r="D9867" s="2" t="str">
        <f t="shared" si="860"/>
        <v>PARI</v>
      </c>
      <c r="E9867" s="2" t="str">
        <f>"RELATÓRIO DE AVISO MÉDICO"</f>
        <v>RELATÓRIO DE AVISO MÉDICO</v>
      </c>
      <c r="F9867" s="2" t="str">
        <f>"R_AVISO_MEDICO"</f>
        <v>R_AVISO_MEDICO</v>
      </c>
      <c r="G9867" s="2" t="str">
        <f>"MVSaude / Atendimento / Autorizações de Guias / Internação / Relatórios / Operacionais / Internações / Aviso Médico (R_AVISO_MEDICO)"</f>
        <v>MVSaude / Atendimento / Autorizações de Guias / Internação / Relatórios / Operacionais / Internações / Aviso Médico (R_AVISO_MEDICO)</v>
      </c>
    </row>
    <row r="9868" spans="1:7" x14ac:dyDescent="0.3">
      <c r="A9868" s="1" t="s">
        <v>4</v>
      </c>
      <c r="B9868" s="2" t="str">
        <f t="shared" si="858"/>
        <v>SISTEMA DE GERENCIAMENTO DE INTERNAÇÃO</v>
      </c>
      <c r="C9868" s="2" t="str">
        <f t="shared" si="859"/>
        <v>INTER</v>
      </c>
      <c r="D9868" s="2" t="str">
        <f t="shared" si="860"/>
        <v>PARI</v>
      </c>
      <c r="E9868" s="2" t="str">
        <f>"EXCLUSÃO DE ATENDIMENTO"</f>
        <v>EXCLUSÃO DE ATENDIMENTO</v>
      </c>
      <c r="F9868" s="2" t="str">
        <f>"M_TRANSF_EMP"</f>
        <v>M_TRANSF_EMP</v>
      </c>
      <c r="G9868" s="2" t="str">
        <f t="shared" ref="G9868:G9876" si="862">" ()"</f>
        <v xml:space="preserve"> ()</v>
      </c>
    </row>
    <row r="9869" spans="1:7" x14ac:dyDescent="0.3">
      <c r="A9869" s="1" t="s">
        <v>4</v>
      </c>
      <c r="B9869" s="2" t="str">
        <f t="shared" si="858"/>
        <v>SISTEMA DE GERENCIAMENTO DE INTERNAÇÃO</v>
      </c>
      <c r="C9869" s="2" t="str">
        <f t="shared" si="859"/>
        <v>INTER</v>
      </c>
      <c r="D9869" s="2" t="str">
        <f t="shared" si="860"/>
        <v>PARI</v>
      </c>
      <c r="E9869" s="2" t="str">
        <f>"R_TERMO_ATENDIMENTO_380"</f>
        <v>R_TERMO_ATENDIMENTO_380</v>
      </c>
      <c r="F9869" s="2" t="str">
        <f>"R_TERMO_ATENDIMENTO_380"</f>
        <v>R_TERMO_ATENDIMENTO_380</v>
      </c>
      <c r="G9869" s="2" t="str">
        <f t="shared" si="862"/>
        <v xml:space="preserve"> ()</v>
      </c>
    </row>
    <row r="9870" spans="1:7" x14ac:dyDescent="0.3">
      <c r="A9870" s="1" t="s">
        <v>4</v>
      </c>
      <c r="B9870" s="2" t="str">
        <f t="shared" ref="B9870:B9933" si="863">"SISTEMA DE GERENCIAMENTO DE INTERNAÇÃO"</f>
        <v>SISTEMA DE GERENCIAMENTO DE INTERNAÇÃO</v>
      </c>
      <c r="C9870" s="2" t="str">
        <f t="shared" ref="C9870:C9933" si="864">"INTER"</f>
        <v>INTER</v>
      </c>
      <c r="D9870" s="2" t="str">
        <f t="shared" ref="D9870:D9933" si="865">"PARI"</f>
        <v>PARI</v>
      </c>
      <c r="E9870" s="2" t="str">
        <f>"EXCLUSÃO DE ATENDIMENTO"</f>
        <v>EXCLUSÃO DE ATENDIMENTO</v>
      </c>
      <c r="F9870" s="2" t="str">
        <f>"G_RESULTADO_EXAME"</f>
        <v>G_RESULTADO_EXAME</v>
      </c>
      <c r="G9870" s="2" t="str">
        <f t="shared" si="862"/>
        <v xml:space="preserve"> ()</v>
      </c>
    </row>
    <row r="9871" spans="1:7" x14ac:dyDescent="0.3">
      <c r="A9871" s="1" t="s">
        <v>4</v>
      </c>
      <c r="B9871" s="2" t="str">
        <f t="shared" si="863"/>
        <v>SISTEMA DE GERENCIAMENTO DE INTERNAÇÃO</v>
      </c>
      <c r="C9871" s="2" t="str">
        <f t="shared" si="864"/>
        <v>INTER</v>
      </c>
      <c r="D9871" s="2" t="str">
        <f t="shared" si="865"/>
        <v>PARI</v>
      </c>
      <c r="E9871" s="2" t="str">
        <f>"R_ETIQUETA_ARGOX_757"</f>
        <v>R_ETIQUETA_ARGOX_757</v>
      </c>
      <c r="F9871" s="2" t="str">
        <f>"R_ETIQUETA_ARGOX_757"</f>
        <v>R_ETIQUETA_ARGOX_757</v>
      </c>
      <c r="G9871" s="2" t="str">
        <f t="shared" si="862"/>
        <v xml:space="preserve"> ()</v>
      </c>
    </row>
    <row r="9872" spans="1:7" x14ac:dyDescent="0.3">
      <c r="A9872" s="1" t="s">
        <v>4</v>
      </c>
      <c r="B9872" s="2" t="str">
        <f t="shared" si="863"/>
        <v>SISTEMA DE GERENCIAMENTO DE INTERNAÇÃO</v>
      </c>
      <c r="C9872" s="2" t="str">
        <f t="shared" si="864"/>
        <v>INTER</v>
      </c>
      <c r="D9872" s="2" t="str">
        <f t="shared" si="865"/>
        <v>PARI</v>
      </c>
      <c r="E9872" s="2" t="str">
        <f>"R_EST_ATEN_MED_ORI"</f>
        <v>R_EST_ATEN_MED_ORI</v>
      </c>
      <c r="F9872" s="2" t="str">
        <f>"R_EST_ATEN_MED_ORI"</f>
        <v>R_EST_ATEN_MED_ORI</v>
      </c>
      <c r="G9872" s="2" t="str">
        <f t="shared" si="862"/>
        <v xml:space="preserve"> ()</v>
      </c>
    </row>
    <row r="9873" spans="1:7" x14ac:dyDescent="0.3">
      <c r="A9873" s="1" t="s">
        <v>4</v>
      </c>
      <c r="B9873" s="2" t="str">
        <f t="shared" si="863"/>
        <v>SISTEMA DE GERENCIAMENTO DE INTERNAÇÃO</v>
      </c>
      <c r="C9873" s="2" t="str">
        <f t="shared" si="864"/>
        <v>INTER</v>
      </c>
      <c r="D9873" s="2" t="str">
        <f t="shared" si="865"/>
        <v>PARI</v>
      </c>
      <c r="E9873" s="2" t="str">
        <f>"CANCELAMENTO DE ALTA MEDICA DE PACIENTE"</f>
        <v>CANCELAMENTO DE ALTA MEDICA DE PACIENTE</v>
      </c>
      <c r="F9873" s="2" t="str">
        <f>"CANC_ALTA_MED"</f>
        <v>CANC_ALTA_MED</v>
      </c>
      <c r="G9873" s="2" t="str">
        <f t="shared" si="862"/>
        <v xml:space="preserve"> ()</v>
      </c>
    </row>
    <row r="9874" spans="1:7" x14ac:dyDescent="0.3">
      <c r="A9874" s="1" t="s">
        <v>4</v>
      </c>
      <c r="B9874" s="2" t="str">
        <f t="shared" si="863"/>
        <v>SISTEMA DE GERENCIAMENTO DE INTERNAÇÃO</v>
      </c>
      <c r="C9874" s="2" t="str">
        <f t="shared" si="864"/>
        <v>INTER</v>
      </c>
      <c r="D9874" s="2" t="str">
        <f t="shared" si="865"/>
        <v>PARI</v>
      </c>
      <c r="E9874" s="2" t="str">
        <f>"R_RECEBECAUCAO_297"</f>
        <v>R_RECEBECAUCAO_297</v>
      </c>
      <c r="F9874" s="2" t="str">
        <f>"R_RECEBECAUCAO_297"</f>
        <v>R_RECEBECAUCAO_297</v>
      </c>
      <c r="G9874" s="2" t="str">
        <f t="shared" si="862"/>
        <v xml:space="preserve"> ()</v>
      </c>
    </row>
    <row r="9875" spans="1:7" x14ac:dyDescent="0.3">
      <c r="A9875" s="1" t="s">
        <v>4</v>
      </c>
      <c r="B9875" s="2" t="str">
        <f t="shared" si="863"/>
        <v>SISTEMA DE GERENCIAMENTO DE INTERNAÇÃO</v>
      </c>
      <c r="C9875" s="2" t="str">
        <f t="shared" si="864"/>
        <v>INTER</v>
      </c>
      <c r="D9875" s="2" t="str">
        <f t="shared" si="865"/>
        <v>PARI</v>
      </c>
      <c r="E9875" s="2" t="str">
        <f>"R_CENSO_110"</f>
        <v>R_CENSO_110</v>
      </c>
      <c r="F9875" s="2" t="str">
        <f>"R_CENSO_110"</f>
        <v>R_CENSO_110</v>
      </c>
      <c r="G9875" s="2" t="str">
        <f t="shared" si="862"/>
        <v xml:space="preserve"> ()</v>
      </c>
    </row>
    <row r="9876" spans="1:7" x14ac:dyDescent="0.3">
      <c r="A9876" s="1" t="s">
        <v>4</v>
      </c>
      <c r="B9876" s="2" t="str">
        <f t="shared" si="863"/>
        <v>SISTEMA DE GERENCIAMENTO DE INTERNAÇÃO</v>
      </c>
      <c r="C9876" s="2" t="str">
        <f t="shared" si="864"/>
        <v>INTER</v>
      </c>
      <c r="D9876" s="2" t="str">
        <f t="shared" si="865"/>
        <v>PARI</v>
      </c>
      <c r="E9876" s="2" t="str">
        <f>"R_EST_ATEND_USUARIO"</f>
        <v>R_EST_ATEND_USUARIO</v>
      </c>
      <c r="F9876" s="2" t="str">
        <f>"R_EST_ATEND_USUARIO"</f>
        <v>R_EST_ATEND_USUARIO</v>
      </c>
      <c r="G9876" s="2" t="str">
        <f t="shared" si="862"/>
        <v xml:space="preserve"> ()</v>
      </c>
    </row>
    <row r="9877" spans="1:7" x14ac:dyDescent="0.3">
      <c r="A9877" s="1" t="s">
        <v>4</v>
      </c>
      <c r="B9877" s="2" t="str">
        <f t="shared" si="863"/>
        <v>SISTEMA DE GERENCIAMENTO DE INTERNAÇÃO</v>
      </c>
      <c r="C9877" s="2" t="str">
        <f t="shared" si="864"/>
        <v>INTER</v>
      </c>
      <c r="D9877" s="2" t="str">
        <f t="shared" si="865"/>
        <v>PARI</v>
      </c>
      <c r="E9877" s="2" t="str">
        <f>"RELATÓRIO ESTATÍSTICO HOSPITALAR"</f>
        <v>RELATÓRIO ESTATÍSTICO HOSPITALAR</v>
      </c>
      <c r="F9877" s="2" t="str">
        <f>"R_EST_HOSPITALAR"</f>
        <v>R_EST_HOSPITALAR</v>
      </c>
      <c r="G9877" s="2" t="str">
        <f>"Serviços de Apoio / Serviço Arquivo Médico / Relatórios / Estatísticos / Hospitalar / Sintético (R_EST_HOSPITALAR)"</f>
        <v>Serviços de Apoio / Serviço Arquivo Médico / Relatórios / Estatísticos / Hospitalar / Sintético (R_EST_HOSPITALAR)</v>
      </c>
    </row>
    <row r="9878" spans="1:7" x14ac:dyDescent="0.3">
      <c r="A9878" s="1" t="s">
        <v>4</v>
      </c>
      <c r="B9878" s="2" t="str">
        <f t="shared" si="863"/>
        <v>SISTEMA DE GERENCIAMENTO DE INTERNAÇÃO</v>
      </c>
      <c r="C9878" s="2" t="str">
        <f t="shared" si="864"/>
        <v>INTER</v>
      </c>
      <c r="D9878" s="2" t="str">
        <f t="shared" si="865"/>
        <v>PARI</v>
      </c>
      <c r="E9878" s="2" t="str">
        <f>"RELATÓRIO ESTATÍSTICO HOSPITALAR"</f>
        <v>RELATÓRIO ESTATÍSTICO HOSPITALAR</v>
      </c>
      <c r="F9878" s="2" t="str">
        <f>"R_EST_HOSPITALAR"</f>
        <v>R_EST_HOSPITALAR</v>
      </c>
      <c r="G9878" s="2" t="str">
        <f>"MVSaude / Vendas / Internação / Relatórios / Estatísticos / Hospitalar / Sintético (R_EST_HOSPITALAR)"</f>
        <v>MVSaude / Vendas / Internação / Relatórios / Estatísticos / Hospitalar / Sintético (R_EST_HOSPITALAR)</v>
      </c>
    </row>
    <row r="9879" spans="1:7" x14ac:dyDescent="0.3">
      <c r="A9879" s="1" t="s">
        <v>4</v>
      </c>
      <c r="B9879" s="2" t="str">
        <f t="shared" si="863"/>
        <v>SISTEMA DE GERENCIAMENTO DE INTERNAÇÃO</v>
      </c>
      <c r="C9879" s="2" t="str">
        <f t="shared" si="864"/>
        <v>INTER</v>
      </c>
      <c r="D9879" s="2" t="str">
        <f t="shared" si="865"/>
        <v>PARI</v>
      </c>
      <c r="E9879" s="2" t="str">
        <f>"RELATÓRIO ESTATÍSTICO HOSPITALAR"</f>
        <v>RELATÓRIO ESTATÍSTICO HOSPITALAR</v>
      </c>
      <c r="F9879" s="2" t="str">
        <f>"R_EST_HOSPITALAR"</f>
        <v>R_EST_HOSPITALAR</v>
      </c>
      <c r="G9879" s="2" t="str">
        <f>"Atendimento / Internação / Relatórios / Estatísticos / Hospitalar / Sintético (R_EST_HOSPITALAR)"</f>
        <v>Atendimento / Internação / Relatórios / Estatísticos / Hospitalar / Sintético (R_EST_HOSPITALAR)</v>
      </c>
    </row>
    <row r="9880" spans="1:7" x14ac:dyDescent="0.3">
      <c r="A9880" s="1" t="s">
        <v>4</v>
      </c>
      <c r="B9880" s="2" t="str">
        <f t="shared" si="863"/>
        <v>SISTEMA DE GERENCIAMENTO DE INTERNAÇÃO</v>
      </c>
      <c r="C9880" s="2" t="str">
        <f t="shared" si="864"/>
        <v>INTER</v>
      </c>
      <c r="D9880" s="2" t="str">
        <f t="shared" si="865"/>
        <v>PARI</v>
      </c>
      <c r="E9880" s="2" t="str">
        <f>"RELATÓRIO ESTATÍSTICO HOSPITALAR"</f>
        <v>RELATÓRIO ESTATÍSTICO HOSPITALAR</v>
      </c>
      <c r="F9880" s="2" t="str">
        <f>"R_EST_HOSPITALAR"</f>
        <v>R_EST_HOSPITALAR</v>
      </c>
      <c r="G9880" s="2" t="str">
        <f>"MVSaude / Atendimento / Autorizações de Guias / Internação / Relatórios / Estatísticos / Hospitalar / Sintético (R_EST_HOSPITALAR)"</f>
        <v>MVSaude / Atendimento / Autorizações de Guias / Internação / Relatórios / Estatísticos / Hospitalar / Sintético (R_EST_HOSPITALAR)</v>
      </c>
    </row>
    <row r="9881" spans="1:7" x14ac:dyDescent="0.3">
      <c r="A9881" s="1" t="s">
        <v>4</v>
      </c>
      <c r="B9881" s="2" t="str">
        <f t="shared" si="863"/>
        <v>SISTEMA DE GERENCIAMENTO DE INTERNAÇÃO</v>
      </c>
      <c r="C9881" s="2" t="str">
        <f t="shared" si="864"/>
        <v>INTER</v>
      </c>
      <c r="D9881" s="2" t="str">
        <f t="shared" si="865"/>
        <v>PARI</v>
      </c>
      <c r="E9881" s="2" t="str">
        <f>"OBSERVAÇÃO DO ATENDIMENTO"</f>
        <v>OBSERVAÇÃO DO ATENDIMENTO</v>
      </c>
      <c r="F9881" s="2" t="str">
        <f>"ATE_OBS"</f>
        <v>ATE_OBS</v>
      </c>
      <c r="G9881" s="2" t="str">
        <f>"MVSaude / Atendimento / Autorizações de Guias / Internação / Atendimento / Observação do Atendimento (ATE_OBS)"</f>
        <v>MVSaude / Atendimento / Autorizações de Guias / Internação / Atendimento / Observação do Atendimento (ATE_OBS)</v>
      </c>
    </row>
    <row r="9882" spans="1:7" x14ac:dyDescent="0.3">
      <c r="A9882" s="1" t="s">
        <v>4</v>
      </c>
      <c r="B9882" s="2" t="str">
        <f t="shared" si="863"/>
        <v>SISTEMA DE GERENCIAMENTO DE INTERNAÇÃO</v>
      </c>
      <c r="C9882" s="2" t="str">
        <f t="shared" si="864"/>
        <v>INTER</v>
      </c>
      <c r="D9882" s="2" t="str">
        <f t="shared" si="865"/>
        <v>PARI</v>
      </c>
      <c r="E9882" s="2" t="str">
        <f>"OBSERVAÇÃO DO ATENDIMENTO"</f>
        <v>OBSERVAÇÃO DO ATENDIMENTO</v>
      </c>
      <c r="F9882" s="2" t="str">
        <f>"ATE_OBS"</f>
        <v>ATE_OBS</v>
      </c>
      <c r="G9882" s="2" t="str">
        <f>"Atendimento / Internação / Atendimento / Observação do Atendimento (ATE_OBS)"</f>
        <v>Atendimento / Internação / Atendimento / Observação do Atendimento (ATE_OBS)</v>
      </c>
    </row>
    <row r="9883" spans="1:7" x14ac:dyDescent="0.3">
      <c r="A9883" s="1" t="s">
        <v>4</v>
      </c>
      <c r="B9883" s="2" t="str">
        <f t="shared" si="863"/>
        <v>SISTEMA DE GERENCIAMENTO DE INTERNAÇÃO</v>
      </c>
      <c r="C9883" s="2" t="str">
        <f t="shared" si="864"/>
        <v>INTER</v>
      </c>
      <c r="D9883" s="2" t="str">
        <f t="shared" si="865"/>
        <v>PARI</v>
      </c>
      <c r="E9883" s="2" t="str">
        <f>"OBSERVAÇÃO DO ATENDIMENTO"</f>
        <v>OBSERVAÇÃO DO ATENDIMENTO</v>
      </c>
      <c r="F9883" s="2" t="str">
        <f>"ATE_OBS"</f>
        <v>ATE_OBS</v>
      </c>
      <c r="G9883" s="2" t="str">
        <f>"MVSaude / Vendas / Internação / Atendimento / Observação do Atendimento (ATE_OBS)"</f>
        <v>MVSaude / Vendas / Internação / Atendimento / Observação do Atendimento (ATE_OBS)</v>
      </c>
    </row>
    <row r="9884" spans="1:7" x14ac:dyDescent="0.3">
      <c r="A9884" s="1" t="s">
        <v>4</v>
      </c>
      <c r="B9884" s="2" t="str">
        <f t="shared" si="863"/>
        <v>SISTEMA DE GERENCIAMENTO DE INTERNAÇÃO</v>
      </c>
      <c r="C9884" s="2" t="str">
        <f t="shared" si="864"/>
        <v>INTER</v>
      </c>
      <c r="D9884" s="2" t="str">
        <f t="shared" si="865"/>
        <v>PARI</v>
      </c>
      <c r="E9884" s="2" t="str">
        <f>"OBSERVAÇÃO DO ATENDIMENTO"</f>
        <v>OBSERVAÇÃO DO ATENDIMENTO</v>
      </c>
      <c r="F9884" s="2" t="str">
        <f>"ATE_OBS"</f>
        <v>ATE_OBS</v>
      </c>
      <c r="G9884" s="2" t="str">
        <f>"Atendimento / Internação Domiciliar (Home Care) / Recepção / Observação do Atendimento (ATE_OBS)"</f>
        <v>Atendimento / Internação Domiciliar (Home Care) / Recepção / Observação do Atendimento (ATE_OBS)</v>
      </c>
    </row>
    <row r="9885" spans="1:7" x14ac:dyDescent="0.3">
      <c r="A9885" s="1" t="s">
        <v>4</v>
      </c>
      <c r="B9885" s="2" t="str">
        <f t="shared" si="863"/>
        <v>SISTEMA DE GERENCIAMENTO DE INTERNAÇÃO</v>
      </c>
      <c r="C9885" s="2" t="str">
        <f t="shared" si="864"/>
        <v>INTER</v>
      </c>
      <c r="D9885" s="2" t="str">
        <f t="shared" si="865"/>
        <v>PARI</v>
      </c>
      <c r="E9885" s="2" t="str">
        <f>"MOVIMENTAÇÃO POR UNIDADE DE INTERNAÇÃO"</f>
        <v>MOVIMENTAÇÃO POR UNIDADE DE INTERNAÇÃO</v>
      </c>
      <c r="F9885" s="2" t="str">
        <f>"R_INTERNACOES_ESQUEMA"</f>
        <v>R_INTERNACOES_ESQUEMA</v>
      </c>
      <c r="G9885" s="2" t="str">
        <f>"MVSaude / Vendas / Internação / Relatórios / Operacionais / Internações / Boletim Médico (R_INTERNACOES_ESQUEMA)"</f>
        <v>MVSaude / Vendas / Internação / Relatórios / Operacionais / Internações / Boletim Médico (R_INTERNACOES_ESQUEMA)</v>
      </c>
    </row>
    <row r="9886" spans="1:7" x14ac:dyDescent="0.3">
      <c r="A9886" s="1" t="s">
        <v>4</v>
      </c>
      <c r="B9886" s="2" t="str">
        <f t="shared" si="863"/>
        <v>SISTEMA DE GERENCIAMENTO DE INTERNAÇÃO</v>
      </c>
      <c r="C9886" s="2" t="str">
        <f t="shared" si="864"/>
        <v>INTER</v>
      </c>
      <c r="D9886" s="2" t="str">
        <f t="shared" si="865"/>
        <v>PARI</v>
      </c>
      <c r="E9886" s="2" t="str">
        <f>"MOVIMENTAÇÃO POR UNIDADE DE INTERNAÇÃO"</f>
        <v>MOVIMENTAÇÃO POR UNIDADE DE INTERNAÇÃO</v>
      </c>
      <c r="F9886" s="2" t="str">
        <f>"R_INTERNACOES_ESQUEMA"</f>
        <v>R_INTERNACOES_ESQUEMA</v>
      </c>
      <c r="G9886" s="2" t="str">
        <f>"Atendimento / Internação / Relatórios / Operacionais / Internações / Boletim Médico (R_INTERNACOES_ESQUEMA)"</f>
        <v>Atendimento / Internação / Relatórios / Operacionais / Internações / Boletim Médico (R_INTERNACOES_ESQUEMA)</v>
      </c>
    </row>
    <row r="9887" spans="1:7" x14ac:dyDescent="0.3">
      <c r="A9887" s="1" t="s">
        <v>4</v>
      </c>
      <c r="B9887" s="2" t="str">
        <f t="shared" si="863"/>
        <v>SISTEMA DE GERENCIAMENTO DE INTERNAÇÃO</v>
      </c>
      <c r="C9887" s="2" t="str">
        <f t="shared" si="864"/>
        <v>INTER</v>
      </c>
      <c r="D9887" s="2" t="str">
        <f t="shared" si="865"/>
        <v>PARI</v>
      </c>
      <c r="E9887" s="2" t="str">
        <f>"MOVIMENTAÇÃO POR UNIDADE DE INTERNAÇÃO"</f>
        <v>MOVIMENTAÇÃO POR UNIDADE DE INTERNAÇÃO</v>
      </c>
      <c r="F9887" s="2" t="str">
        <f>"R_INTERNACOES_ESQUEMA"</f>
        <v>R_INTERNACOES_ESQUEMA</v>
      </c>
      <c r="G9887" s="2" t="str">
        <f>"MVSaude / Atendimento / Autorizações de Guias / Internação / Relatórios / Operacionais / Internações / Boletim Médico (R_INTERNACOES_ESQUEMA)"</f>
        <v>MVSaude / Atendimento / Autorizações de Guias / Internação / Relatórios / Operacionais / Internações / Boletim Médico (R_INTERNACOES_ESQUEMA)</v>
      </c>
    </row>
    <row r="9888" spans="1:7" x14ac:dyDescent="0.3">
      <c r="A9888" s="1" t="s">
        <v>4</v>
      </c>
      <c r="B9888" s="2" t="str">
        <f t="shared" si="863"/>
        <v>SISTEMA DE GERENCIAMENTO DE INTERNAÇÃO</v>
      </c>
      <c r="C9888" s="2" t="str">
        <f t="shared" si="864"/>
        <v>INTER</v>
      </c>
      <c r="D9888" s="2" t="str">
        <f t="shared" si="865"/>
        <v>PARI</v>
      </c>
      <c r="E9888" s="2" t="str">
        <f>"HISTÓRICO PADRÃO (DE-PARA)"</f>
        <v>HISTÓRICO PADRÃO (DE-PARA)</v>
      </c>
      <c r="F9888" s="2" t="str">
        <f>"M_PROCESSO_DE_PARA"</f>
        <v>M_PROCESSO_DE_PARA</v>
      </c>
      <c r="G9888" s="2" t="str">
        <f>" ()"</f>
        <v xml:space="preserve"> ()</v>
      </c>
    </row>
    <row r="9889" spans="1:7" x14ac:dyDescent="0.3">
      <c r="A9889" s="1" t="s">
        <v>4</v>
      </c>
      <c r="B9889" s="2" t="str">
        <f t="shared" si="863"/>
        <v>SISTEMA DE GERENCIAMENTO DE INTERNAÇÃO</v>
      </c>
      <c r="C9889" s="2" t="str">
        <f t="shared" si="864"/>
        <v>INTER</v>
      </c>
      <c r="D9889" s="2" t="str">
        <f t="shared" si="865"/>
        <v>PARI</v>
      </c>
      <c r="E9889" s="2" t="str">
        <f>"CENTRO DE CUSTOS ( DE-PARA)"</f>
        <v>CENTRO DE CUSTOS ( DE-PARA)</v>
      </c>
      <c r="F9889" s="2" t="str">
        <f>"M_FORN_CLI_DE_PARA"</f>
        <v>M_FORN_CLI_DE_PARA</v>
      </c>
      <c r="G9889" s="2" t="str">
        <f>" ()"</f>
        <v xml:space="preserve"> ()</v>
      </c>
    </row>
    <row r="9890" spans="1:7" x14ac:dyDescent="0.3">
      <c r="A9890" s="1" t="s">
        <v>4</v>
      </c>
      <c r="B9890" s="2" t="str">
        <f t="shared" si="863"/>
        <v>SISTEMA DE GERENCIAMENTO DE INTERNAÇÃO</v>
      </c>
      <c r="C9890" s="2" t="str">
        <f t="shared" si="864"/>
        <v>INTER</v>
      </c>
      <c r="D9890" s="2" t="str">
        <f t="shared" si="865"/>
        <v>PARI</v>
      </c>
      <c r="E9890" s="2" t="str">
        <f>"CENTRO DE CUSTOS ( DE-PARA)"</f>
        <v>CENTRO DE CUSTOS ( DE-PARA)</v>
      </c>
      <c r="F9890" s="2" t="str">
        <f>"M_MULTI_EMPRESA_DE_PARA"</f>
        <v>M_MULTI_EMPRESA_DE_PARA</v>
      </c>
      <c r="G9890" s="2" t="str">
        <f>" ()"</f>
        <v xml:space="preserve"> ()</v>
      </c>
    </row>
    <row r="9891" spans="1:7" x14ac:dyDescent="0.3">
      <c r="A9891" s="1" t="s">
        <v>4</v>
      </c>
      <c r="B9891" s="2" t="str">
        <f t="shared" si="863"/>
        <v>SISTEMA DE GERENCIAMENTO DE INTERNAÇÃO</v>
      </c>
      <c r="C9891" s="2" t="str">
        <f t="shared" si="864"/>
        <v>INTER</v>
      </c>
      <c r="D9891" s="2" t="str">
        <f t="shared" si="865"/>
        <v>PARI</v>
      </c>
      <c r="E9891" s="2" t="str">
        <f t="shared" ref="E9891:F9893" si="866">"INT_PACOK_PARI"</f>
        <v>INT_PACOK_PARI</v>
      </c>
      <c r="F9891" s="2" t="str">
        <f t="shared" si="866"/>
        <v>INT_PACOK_PARI</v>
      </c>
      <c r="G9891" s="2" t="str">
        <f>"MVSaude / Atendimento / Autorizações de Guias / Internação / Atendimento / Internação (INT_PACOK_PARI)"</f>
        <v>MVSaude / Atendimento / Autorizações de Guias / Internação / Atendimento / Internação (INT_PACOK_PARI)</v>
      </c>
    </row>
    <row r="9892" spans="1:7" x14ac:dyDescent="0.3">
      <c r="A9892" s="1" t="s">
        <v>4</v>
      </c>
      <c r="B9892" s="2" t="str">
        <f t="shared" si="863"/>
        <v>SISTEMA DE GERENCIAMENTO DE INTERNAÇÃO</v>
      </c>
      <c r="C9892" s="2" t="str">
        <f t="shared" si="864"/>
        <v>INTER</v>
      </c>
      <c r="D9892" s="2" t="str">
        <f t="shared" si="865"/>
        <v>PARI</v>
      </c>
      <c r="E9892" s="2" t="str">
        <f t="shared" si="866"/>
        <v>INT_PACOK_PARI</v>
      </c>
      <c r="F9892" s="2" t="str">
        <f t="shared" si="866"/>
        <v>INT_PACOK_PARI</v>
      </c>
      <c r="G9892" s="2" t="str">
        <f>"Atendimento / Internação / Atendimento / Internação (INT_PACOK_PARI)"</f>
        <v>Atendimento / Internação / Atendimento / Internação (INT_PACOK_PARI)</v>
      </c>
    </row>
    <row r="9893" spans="1:7" x14ac:dyDescent="0.3">
      <c r="A9893" s="1" t="s">
        <v>4</v>
      </c>
      <c r="B9893" s="2" t="str">
        <f t="shared" si="863"/>
        <v>SISTEMA DE GERENCIAMENTO DE INTERNAÇÃO</v>
      </c>
      <c r="C9893" s="2" t="str">
        <f t="shared" si="864"/>
        <v>INTER</v>
      </c>
      <c r="D9893" s="2" t="str">
        <f t="shared" si="865"/>
        <v>PARI</v>
      </c>
      <c r="E9893" s="2" t="str">
        <f t="shared" si="866"/>
        <v>INT_PACOK_PARI</v>
      </c>
      <c r="F9893" s="2" t="str">
        <f t="shared" si="866"/>
        <v>INT_PACOK_PARI</v>
      </c>
      <c r="G9893" s="2" t="str">
        <f>"MVSaude / Vendas / Internação / Atendimento / Internação (INT_PACOK_PARI)"</f>
        <v>MVSaude / Vendas / Internação / Atendimento / Internação (INT_PACOK_PARI)</v>
      </c>
    </row>
    <row r="9894" spans="1:7" x14ac:dyDescent="0.3">
      <c r="A9894" s="1" t="s">
        <v>4</v>
      </c>
      <c r="B9894" s="2" t="str">
        <f t="shared" si="863"/>
        <v>SISTEMA DE GERENCIAMENTO DE INTERNAÇÃO</v>
      </c>
      <c r="C9894" s="2" t="str">
        <f t="shared" si="864"/>
        <v>INTER</v>
      </c>
      <c r="D9894" s="2" t="str">
        <f t="shared" si="865"/>
        <v>PARI</v>
      </c>
      <c r="E9894" s="2" t="str">
        <f t="shared" ref="E9894:E9902" si="867">"CONSULTA DE ATENDIMENTOS"</f>
        <v>CONSULTA DE ATENDIMENTOS</v>
      </c>
      <c r="F9894" s="2" t="str">
        <f t="shared" ref="F9894:F9902" si="868">"CON_ATE"</f>
        <v>CON_ATE</v>
      </c>
      <c r="G9894" s="2" t="str">
        <f>"Clínica e Assistencial / Controle de Infecção Hospitalar / Consultas / Atendimento (CON_ATE)"</f>
        <v>Clínica e Assistencial / Controle de Infecção Hospitalar / Consultas / Atendimento (CON_ATE)</v>
      </c>
    </row>
    <row r="9895" spans="1:7" x14ac:dyDescent="0.3">
      <c r="A9895" s="1" t="s">
        <v>4</v>
      </c>
      <c r="B9895" s="2" t="str">
        <f t="shared" si="863"/>
        <v>SISTEMA DE GERENCIAMENTO DE INTERNAÇÃO</v>
      </c>
      <c r="C9895" s="2" t="str">
        <f t="shared" si="864"/>
        <v>INTER</v>
      </c>
      <c r="D9895" s="2" t="str">
        <f t="shared" si="865"/>
        <v>PARI</v>
      </c>
      <c r="E9895" s="2" t="str">
        <f t="shared" si="867"/>
        <v>CONSULTA DE ATENDIMENTOS</v>
      </c>
      <c r="F9895" s="2" t="str">
        <f t="shared" si="868"/>
        <v>CON_ATE</v>
      </c>
      <c r="G9895" s="2" t="str">
        <f>"MVSaude / Vendas / Internação / Consultas / Atendimentos (CON_ATE)"</f>
        <v>MVSaude / Vendas / Internação / Consultas / Atendimentos (CON_ATE)</v>
      </c>
    </row>
    <row r="9896" spans="1:7" x14ac:dyDescent="0.3">
      <c r="A9896" s="1" t="s">
        <v>4</v>
      </c>
      <c r="B9896" s="2" t="str">
        <f t="shared" si="863"/>
        <v>SISTEMA DE GERENCIAMENTO DE INTERNAÇÃO</v>
      </c>
      <c r="C9896" s="2" t="str">
        <f t="shared" si="864"/>
        <v>INTER</v>
      </c>
      <c r="D9896" s="2" t="str">
        <f t="shared" si="865"/>
        <v>PARI</v>
      </c>
      <c r="E9896" s="2" t="str">
        <f t="shared" si="867"/>
        <v>CONSULTA DE ATENDIMENTOS</v>
      </c>
      <c r="F9896" s="2" t="str">
        <f t="shared" si="868"/>
        <v>CON_ATE</v>
      </c>
      <c r="G9896" s="2" t="str">
        <f>"MVSaude / Atendimento / Autorizações de Guias / Internação / Consultas / Atendimentos (CON_ATE)"</f>
        <v>MVSaude / Atendimento / Autorizações de Guias / Internação / Consultas / Atendimentos (CON_ATE)</v>
      </c>
    </row>
    <row r="9897" spans="1:7" x14ac:dyDescent="0.3">
      <c r="A9897" s="1" t="s">
        <v>4</v>
      </c>
      <c r="B9897" s="2" t="str">
        <f t="shared" si="863"/>
        <v>SISTEMA DE GERENCIAMENTO DE INTERNAÇÃO</v>
      </c>
      <c r="C9897" s="2" t="str">
        <f t="shared" si="864"/>
        <v>INTER</v>
      </c>
      <c r="D9897" s="2" t="str">
        <f t="shared" si="865"/>
        <v>PARI</v>
      </c>
      <c r="E9897" s="2" t="str">
        <f t="shared" si="867"/>
        <v>CONSULTA DE ATENDIMENTOS</v>
      </c>
      <c r="F9897" s="2" t="str">
        <f t="shared" si="868"/>
        <v>CON_ATE</v>
      </c>
      <c r="G9897" s="2" t="str">
        <f>"Atendimento / Internação / Consultas / Atendimentos (CON_ATE)"</f>
        <v>Atendimento / Internação / Consultas / Atendimentos (CON_ATE)</v>
      </c>
    </row>
    <row r="9898" spans="1:7" x14ac:dyDescent="0.3">
      <c r="A9898" s="1" t="s">
        <v>4</v>
      </c>
      <c r="B9898" s="2" t="str">
        <f t="shared" si="863"/>
        <v>SISTEMA DE GERENCIAMENTO DE INTERNAÇÃO</v>
      </c>
      <c r="C9898" s="2" t="str">
        <f t="shared" si="864"/>
        <v>INTER</v>
      </c>
      <c r="D9898" s="2" t="str">
        <f t="shared" si="865"/>
        <v>PARI</v>
      </c>
      <c r="E9898" s="2" t="str">
        <f t="shared" si="867"/>
        <v>CONSULTA DE ATENDIMENTOS</v>
      </c>
      <c r="F9898" s="2" t="str">
        <f t="shared" si="868"/>
        <v>CON_ATE</v>
      </c>
      <c r="G9898" s="2" t="str">
        <f>"Atendimento / Urgência e Emergência / Consultas / Atendimento (CON_ATE)"</f>
        <v>Atendimento / Urgência e Emergência / Consultas / Atendimento (CON_ATE)</v>
      </c>
    </row>
    <row r="9899" spans="1:7" x14ac:dyDescent="0.3">
      <c r="A9899" s="1" t="s">
        <v>4</v>
      </c>
      <c r="B9899" s="2" t="str">
        <f t="shared" si="863"/>
        <v>SISTEMA DE GERENCIAMENTO DE INTERNAÇÃO</v>
      </c>
      <c r="C9899" s="2" t="str">
        <f t="shared" si="864"/>
        <v>INTER</v>
      </c>
      <c r="D9899" s="2" t="str">
        <f t="shared" si="865"/>
        <v>PARI</v>
      </c>
      <c r="E9899" s="2" t="str">
        <f t="shared" si="867"/>
        <v>CONSULTA DE ATENDIMENTOS</v>
      </c>
      <c r="F9899" s="2" t="str">
        <f t="shared" si="868"/>
        <v>CON_ATE</v>
      </c>
      <c r="G9899" s="2" t="str">
        <f>"Atendimento / Ambulatório / Consultas / Consulta Atendimento (CON_ATE)"</f>
        <v>Atendimento / Ambulatório / Consultas / Consulta Atendimento (CON_ATE)</v>
      </c>
    </row>
    <row r="9900" spans="1:7" x14ac:dyDescent="0.3">
      <c r="A9900" s="1" t="s">
        <v>4</v>
      </c>
      <c r="B9900" s="2" t="str">
        <f t="shared" si="863"/>
        <v>SISTEMA DE GERENCIAMENTO DE INTERNAÇÃO</v>
      </c>
      <c r="C9900" s="2" t="str">
        <f t="shared" si="864"/>
        <v>INTER</v>
      </c>
      <c r="D9900" s="2" t="str">
        <f t="shared" si="865"/>
        <v>PARI</v>
      </c>
      <c r="E9900" s="2" t="str">
        <f t="shared" si="867"/>
        <v>CONSULTA DE ATENDIMENTOS</v>
      </c>
      <c r="F9900" s="2" t="str">
        <f t="shared" si="868"/>
        <v>CON_ATE</v>
      </c>
      <c r="G9900" s="2" t="str">
        <f>"Outros / Fusam / Consultas / Atendimentos (CON_ATE)"</f>
        <v>Outros / Fusam / Consultas / Atendimentos (CON_ATE)</v>
      </c>
    </row>
    <row r="9901" spans="1:7" x14ac:dyDescent="0.3">
      <c r="A9901" s="1" t="s">
        <v>4</v>
      </c>
      <c r="B9901" s="2" t="str">
        <f t="shared" si="863"/>
        <v>SISTEMA DE GERENCIAMENTO DE INTERNAÇÃO</v>
      </c>
      <c r="C9901" s="2" t="str">
        <f t="shared" si="864"/>
        <v>INTER</v>
      </c>
      <c r="D9901" s="2" t="str">
        <f t="shared" si="865"/>
        <v>PARI</v>
      </c>
      <c r="E9901" s="2" t="str">
        <f t="shared" si="867"/>
        <v>CONSULTA DE ATENDIMENTOS</v>
      </c>
      <c r="F9901" s="2" t="str">
        <f t="shared" si="868"/>
        <v>CON_ATE</v>
      </c>
      <c r="G9901" s="2" t="str">
        <f>"Serviços de Apoio / Nutrição e Dietética / Consultas / Atendimentos (CON_ATE)"</f>
        <v>Serviços de Apoio / Nutrição e Dietética / Consultas / Atendimentos (CON_ATE)</v>
      </c>
    </row>
    <row r="9902" spans="1:7" x14ac:dyDescent="0.3">
      <c r="A9902" s="1" t="s">
        <v>4</v>
      </c>
      <c r="B9902" s="2" t="str">
        <f t="shared" si="863"/>
        <v>SISTEMA DE GERENCIAMENTO DE INTERNAÇÃO</v>
      </c>
      <c r="C9902" s="2" t="str">
        <f t="shared" si="864"/>
        <v>INTER</v>
      </c>
      <c r="D9902" s="2" t="str">
        <f t="shared" si="865"/>
        <v>PARI</v>
      </c>
      <c r="E9902" s="2" t="str">
        <f t="shared" si="867"/>
        <v>CONSULTA DE ATENDIMENTOS</v>
      </c>
      <c r="F9902" s="2" t="str">
        <f t="shared" si="868"/>
        <v>CON_ATE</v>
      </c>
      <c r="G9902" s="2" t="str">
        <f>"Atendimento / Internação Domiciliar (Home Care) / Consultas / Atendimentos (CON_ATE)"</f>
        <v>Atendimento / Internação Domiciliar (Home Care) / Consultas / Atendimentos (CON_ATE)</v>
      </c>
    </row>
    <row r="9903" spans="1:7" x14ac:dyDescent="0.3">
      <c r="A9903" s="1" t="s">
        <v>4</v>
      </c>
      <c r="B9903" s="2" t="str">
        <f t="shared" si="863"/>
        <v>SISTEMA DE GERENCIAMENTO DE INTERNAÇÃO</v>
      </c>
      <c r="C9903" s="2" t="str">
        <f t="shared" si="864"/>
        <v>INTER</v>
      </c>
      <c r="D9903" s="2" t="str">
        <f t="shared" si="865"/>
        <v>PARI</v>
      </c>
      <c r="E9903" s="2" t="str">
        <f>"CADASTRO: PROFISSÕES"</f>
        <v>CADASTRO: PROFISSÕES</v>
      </c>
      <c r="F9903" s="2" t="str">
        <f>"M_PER_ATEND"</f>
        <v>M_PER_ATEND</v>
      </c>
      <c r="G9903" s="2" t="str">
        <f t="shared" ref="G9903:G9936" si="869">" ()"</f>
        <v xml:space="preserve"> ()</v>
      </c>
    </row>
    <row r="9904" spans="1:7" x14ac:dyDescent="0.3">
      <c r="A9904" s="1" t="s">
        <v>4</v>
      </c>
      <c r="B9904" s="2" t="str">
        <f t="shared" si="863"/>
        <v>SISTEMA DE GERENCIAMENTO DE INTERNAÇÃO</v>
      </c>
      <c r="C9904" s="2" t="str">
        <f t="shared" si="864"/>
        <v>INTER</v>
      </c>
      <c r="D9904" s="2" t="str">
        <f t="shared" si="865"/>
        <v>PARI</v>
      </c>
      <c r="E9904" s="2" t="str">
        <f>"ESTATÍSTICO DE ATENDIMENTOS POR USUÁRIO"</f>
        <v>ESTATÍSTICO DE ATENDIMENTOS POR USUÁRIO</v>
      </c>
      <c r="F9904" s="2" t="str">
        <f>"R_EST_ATEND_USUARIO.RDF"</f>
        <v>R_EST_ATEND_USUARIO.RDF</v>
      </c>
      <c r="G9904" s="2" t="str">
        <f t="shared" si="869"/>
        <v xml:space="preserve"> ()</v>
      </c>
    </row>
    <row r="9905" spans="1:7" x14ac:dyDescent="0.3">
      <c r="A9905" s="1" t="s">
        <v>4</v>
      </c>
      <c r="B9905" s="2" t="str">
        <f t="shared" si="863"/>
        <v>SISTEMA DE GERENCIAMENTO DE INTERNAÇÃO</v>
      </c>
      <c r="C9905" s="2" t="str">
        <f t="shared" si="864"/>
        <v>INTER</v>
      </c>
      <c r="D9905" s="2" t="str">
        <f t="shared" si="865"/>
        <v>PARI</v>
      </c>
      <c r="E9905" s="2" t="str">
        <f>"RELATÓRIO DE INTERNAÇÕES POR SERVIÇO"</f>
        <v>RELATÓRIO DE INTERNAÇÕES POR SERVIÇO</v>
      </c>
      <c r="F9905" s="2" t="str">
        <f>"R_INTERNOSSERVICOS"</f>
        <v>R_INTERNOSSERVICOS</v>
      </c>
      <c r="G9905" s="2" t="str">
        <f t="shared" si="869"/>
        <v xml:space="preserve"> ()</v>
      </c>
    </row>
    <row r="9906" spans="1:7" x14ac:dyDescent="0.3">
      <c r="A9906" s="1" t="s">
        <v>4</v>
      </c>
      <c r="B9906" s="2" t="str">
        <f t="shared" si="863"/>
        <v>SISTEMA DE GERENCIAMENTO DE INTERNAÇÃO</v>
      </c>
      <c r="C9906" s="2" t="str">
        <f t="shared" si="864"/>
        <v>INTER</v>
      </c>
      <c r="D9906" s="2" t="str">
        <f t="shared" si="865"/>
        <v>PARI</v>
      </c>
      <c r="E9906" s="2" t="str">
        <f>"OCUPAÇÃO POR UNIDADE DE INTERNAÇÃO SINT."</f>
        <v>OCUPAÇÃO POR UNIDADE DE INTERNAÇÃO SINT.</v>
      </c>
      <c r="F9906" s="2" t="str">
        <f>"R_EST_OCUP_SINT.RDF"</f>
        <v>R_EST_OCUP_SINT.RDF</v>
      </c>
      <c r="G9906" s="2" t="str">
        <f t="shared" si="869"/>
        <v xml:space="preserve"> ()</v>
      </c>
    </row>
    <row r="9907" spans="1:7" x14ac:dyDescent="0.3">
      <c r="A9907" s="1" t="s">
        <v>4</v>
      </c>
      <c r="B9907" s="2" t="str">
        <f t="shared" si="863"/>
        <v>SISTEMA DE GERENCIAMENTO DE INTERNAÇÃO</v>
      </c>
      <c r="C9907" s="2" t="str">
        <f t="shared" si="864"/>
        <v>INTER</v>
      </c>
      <c r="D9907" s="2" t="str">
        <f t="shared" si="865"/>
        <v>PARI</v>
      </c>
      <c r="E9907" s="2" t="str">
        <f>"REL. OCUPAÇÃO POR UNIDADE DE INTERNAÇÃO"</f>
        <v>REL. OCUPAÇÃO POR UNIDADE DE INTERNAÇÃO</v>
      </c>
      <c r="F9907" s="2" t="str">
        <f>"R_EST_OCUP_CONV.RDF"</f>
        <v>R_EST_OCUP_CONV.RDF</v>
      </c>
      <c r="G9907" s="2" t="str">
        <f t="shared" si="869"/>
        <v xml:space="preserve"> ()</v>
      </c>
    </row>
    <row r="9908" spans="1:7" x14ac:dyDescent="0.3">
      <c r="A9908" s="1" t="s">
        <v>4</v>
      </c>
      <c r="B9908" s="2" t="str">
        <f t="shared" si="863"/>
        <v>SISTEMA DE GERENCIAMENTO DE INTERNAÇÃO</v>
      </c>
      <c r="C9908" s="2" t="str">
        <f t="shared" si="864"/>
        <v>INTER</v>
      </c>
      <c r="D9908" s="2" t="str">
        <f t="shared" si="865"/>
        <v>PARI</v>
      </c>
      <c r="E9908" s="2" t="str">
        <f>"REL. ALTAS PREVISTAS POR MÉDICO"</f>
        <v>REL. ALTAS PREVISTAS POR MÉDICO</v>
      </c>
      <c r="F9908" s="2" t="str">
        <f>"R_PREV_ALTAS_MEDICO.RDF"</f>
        <v>R_PREV_ALTAS_MEDICO.RDF</v>
      </c>
      <c r="G9908" s="2" t="str">
        <f t="shared" si="869"/>
        <v xml:space="preserve"> ()</v>
      </c>
    </row>
    <row r="9909" spans="1:7" x14ac:dyDescent="0.3">
      <c r="A9909" s="1" t="s">
        <v>4</v>
      </c>
      <c r="B9909" s="2" t="str">
        <f t="shared" si="863"/>
        <v>SISTEMA DE GERENCIAMENTO DE INTERNAÇÃO</v>
      </c>
      <c r="C9909" s="2" t="str">
        <f t="shared" si="864"/>
        <v>INTER</v>
      </c>
      <c r="D9909" s="2" t="str">
        <f t="shared" si="865"/>
        <v>PARI</v>
      </c>
      <c r="E9909" s="2" t="str">
        <f>"REL. ALTAS PREVISTAS"</f>
        <v>REL. ALTAS PREVISTAS</v>
      </c>
      <c r="F9909" s="2" t="str">
        <f>"R_LISTA_ATEND_PREV_ALTA.RDF"</f>
        <v>R_LISTA_ATEND_PREV_ALTA.RDF</v>
      </c>
      <c r="G9909" s="2" t="str">
        <f t="shared" si="869"/>
        <v xml:space="preserve"> ()</v>
      </c>
    </row>
    <row r="9910" spans="1:7" x14ac:dyDescent="0.3">
      <c r="A9910" s="1" t="s">
        <v>4</v>
      </c>
      <c r="B9910" s="2" t="str">
        <f t="shared" si="863"/>
        <v>SISTEMA DE GERENCIAMENTO DE INTERNAÇÃO</v>
      </c>
      <c r="C9910" s="2" t="str">
        <f t="shared" si="864"/>
        <v>INTER</v>
      </c>
      <c r="D9910" s="2" t="str">
        <f t="shared" si="865"/>
        <v>PARI</v>
      </c>
      <c r="E9910" s="2" t="str">
        <f>"REL. DE BOLETIM MÉDICO"</f>
        <v>REL. DE BOLETIM MÉDICO</v>
      </c>
      <c r="F9910" s="2" t="str">
        <f>"R_INTERNACOES_ESQUEMA.RDF"</f>
        <v>R_INTERNACOES_ESQUEMA.RDF</v>
      </c>
      <c r="G9910" s="2" t="str">
        <f t="shared" si="869"/>
        <v xml:space="preserve"> ()</v>
      </c>
    </row>
    <row r="9911" spans="1:7" x14ac:dyDescent="0.3">
      <c r="A9911" s="1" t="s">
        <v>4</v>
      </c>
      <c r="B9911" s="2" t="str">
        <f t="shared" si="863"/>
        <v>SISTEMA DE GERENCIAMENTO DE INTERNAÇÃO</v>
      </c>
      <c r="C9911" s="2" t="str">
        <f t="shared" si="864"/>
        <v>INTER</v>
      </c>
      <c r="D9911" s="2" t="str">
        <f t="shared" si="865"/>
        <v>PARI</v>
      </c>
      <c r="E9911" s="2" t="str">
        <f>"REL. DE FILANTROPIA"</f>
        <v>REL. DE FILANTROPIA</v>
      </c>
      <c r="F9911" s="2" t="str">
        <f>"R_TERMO_FILANT.RDF"</f>
        <v>R_TERMO_FILANT.RDF</v>
      </c>
      <c r="G9911" s="2" t="str">
        <f t="shared" si="869"/>
        <v xml:space="preserve"> ()</v>
      </c>
    </row>
    <row r="9912" spans="1:7" x14ac:dyDescent="0.3">
      <c r="A9912" s="1" t="s">
        <v>4</v>
      </c>
      <c r="B9912" s="2" t="str">
        <f t="shared" si="863"/>
        <v>SISTEMA DE GERENCIAMENTO DE INTERNAÇÃO</v>
      </c>
      <c r="C9912" s="2" t="str">
        <f t="shared" si="864"/>
        <v>INTER</v>
      </c>
      <c r="D9912" s="2" t="str">
        <f t="shared" si="865"/>
        <v>PARI</v>
      </c>
      <c r="E9912" s="2" t="str">
        <f>"INTERNAÇÕES POR UNIDADE DE INTERNAÇÃO"</f>
        <v>INTERNAÇÕES POR UNIDADE DE INTERNAÇÃO</v>
      </c>
      <c r="F9912" s="2" t="str">
        <f>"R_INTERNACOES_UNIDADE.RDF"</f>
        <v>R_INTERNACOES_UNIDADE.RDF</v>
      </c>
      <c r="G9912" s="2" t="str">
        <f t="shared" si="869"/>
        <v xml:space="preserve"> ()</v>
      </c>
    </row>
    <row r="9913" spans="1:7" x14ac:dyDescent="0.3">
      <c r="A9913" s="1" t="s">
        <v>4</v>
      </c>
      <c r="B9913" s="2" t="str">
        <f t="shared" si="863"/>
        <v>SISTEMA DE GERENCIAMENTO DE INTERNAÇÃO</v>
      </c>
      <c r="C9913" s="2" t="str">
        <f t="shared" si="864"/>
        <v>INTER</v>
      </c>
      <c r="D9913" s="2" t="str">
        <f t="shared" si="865"/>
        <v>PARI</v>
      </c>
      <c r="E9913" s="2" t="str">
        <f>"R_MOTIVO_MUDANCA_ATEND"</f>
        <v>R_MOTIVO_MUDANCA_ATEND</v>
      </c>
      <c r="F9913" s="2" t="str">
        <f>"R_MOTIVO_MUDANCA_ATEND"</f>
        <v>R_MOTIVO_MUDANCA_ATEND</v>
      </c>
      <c r="G9913" s="2" t="str">
        <f t="shared" si="869"/>
        <v xml:space="preserve"> ()</v>
      </c>
    </row>
    <row r="9914" spans="1:7" x14ac:dyDescent="0.3">
      <c r="A9914" s="1" t="s">
        <v>4</v>
      </c>
      <c r="B9914" s="2" t="str">
        <f t="shared" si="863"/>
        <v>SISTEMA DE GERENCIAMENTO DE INTERNAÇÃO</v>
      </c>
      <c r="C9914" s="2" t="str">
        <f t="shared" si="864"/>
        <v>INTER</v>
      </c>
      <c r="D9914" s="2" t="str">
        <f t="shared" si="865"/>
        <v>PARI</v>
      </c>
      <c r="E9914" s="2" t="str">
        <f>"RELATÓRIO DE ATENDIMENTOS POR USUÁRIO"</f>
        <v>RELATÓRIO DE ATENDIMENTOS POR USUÁRIO</v>
      </c>
      <c r="F9914" s="2" t="str">
        <f>"R_EST_USUARIO_SINT"</f>
        <v>R_EST_USUARIO_SINT</v>
      </c>
      <c r="G9914" s="2" t="str">
        <f t="shared" si="869"/>
        <v xml:space="preserve"> ()</v>
      </c>
    </row>
    <row r="9915" spans="1:7" x14ac:dyDescent="0.3">
      <c r="A9915" s="1" t="s">
        <v>4</v>
      </c>
      <c r="B9915" s="2" t="str">
        <f t="shared" si="863"/>
        <v>SISTEMA DE GERENCIAMENTO DE INTERNAÇÃO</v>
      </c>
      <c r="C9915" s="2" t="str">
        <f t="shared" si="864"/>
        <v>INTER</v>
      </c>
      <c r="D9915" s="2" t="str">
        <f t="shared" si="865"/>
        <v>PARI</v>
      </c>
      <c r="E9915" s="2" t="str">
        <f>"REL. LEITOS POR OCUPAÇÃO"</f>
        <v>REL. LEITOS POR OCUPAÇÃO</v>
      </c>
      <c r="F9915" s="2" t="str">
        <f>"R_EST_SITUACAO_LEITO.RDF"</f>
        <v>R_EST_SITUACAO_LEITO.RDF</v>
      </c>
      <c r="G9915" s="2" t="str">
        <f t="shared" si="869"/>
        <v xml:space="preserve"> ()</v>
      </c>
    </row>
    <row r="9916" spans="1:7" x14ac:dyDescent="0.3">
      <c r="A9916" s="1" t="s">
        <v>4</v>
      </c>
      <c r="B9916" s="2" t="str">
        <f t="shared" si="863"/>
        <v>SISTEMA DE GERENCIAMENTO DE INTERNAÇÃO</v>
      </c>
      <c r="C9916" s="2" t="str">
        <f t="shared" si="864"/>
        <v>INTER</v>
      </c>
      <c r="D9916" s="2" t="str">
        <f t="shared" si="865"/>
        <v>PARI</v>
      </c>
      <c r="E9916" s="2" t="str">
        <f>"REL. CANCELAMENTO DE TRANSF."</f>
        <v>REL. CANCELAMENTO DE TRANSF.</v>
      </c>
      <c r="F9916" s="2" t="str">
        <f>"R_CANCELA_TRANSF.RDF"</f>
        <v>R_CANCELA_TRANSF.RDF</v>
      </c>
      <c r="G9916" s="2" t="str">
        <f t="shared" si="869"/>
        <v xml:space="preserve"> ()</v>
      </c>
    </row>
    <row r="9917" spans="1:7" x14ac:dyDescent="0.3">
      <c r="A9917" s="1" t="s">
        <v>4</v>
      </c>
      <c r="B9917" s="2" t="str">
        <f t="shared" si="863"/>
        <v>SISTEMA DE GERENCIAMENTO DE INTERNAÇÃO</v>
      </c>
      <c r="C9917" s="2" t="str">
        <f t="shared" si="864"/>
        <v>INTER</v>
      </c>
      <c r="D9917" s="2" t="str">
        <f t="shared" si="865"/>
        <v>PARI</v>
      </c>
      <c r="E9917" s="2" t="str">
        <f>"CADASTRO DE PACIENTES"</f>
        <v>CADASTRO DE PACIENTES</v>
      </c>
      <c r="F9917" s="2" t="str">
        <f>"CAD_PAC.RDF"</f>
        <v>CAD_PAC.RDF</v>
      </c>
      <c r="G9917" s="2" t="str">
        <f t="shared" si="869"/>
        <v xml:space="preserve"> ()</v>
      </c>
    </row>
    <row r="9918" spans="1:7" x14ac:dyDescent="0.3">
      <c r="A9918" s="1" t="s">
        <v>4</v>
      </c>
      <c r="B9918" s="2" t="str">
        <f t="shared" si="863"/>
        <v>SISTEMA DE GERENCIAMENTO DE INTERNAÇÃO</v>
      </c>
      <c r="C9918" s="2" t="str">
        <f t="shared" si="864"/>
        <v>INTER</v>
      </c>
      <c r="D9918" s="2" t="str">
        <f t="shared" si="865"/>
        <v>PARI</v>
      </c>
      <c r="E9918" s="2" t="str">
        <f>"POR FAIXA ETÁRIA - ANALÍTICO"</f>
        <v>POR FAIXA ETÁRIA - ANALÍTICO</v>
      </c>
      <c r="F9918" s="2" t="str">
        <f>"R_ESTFETARIA_AN"</f>
        <v>R_ESTFETARIA_AN</v>
      </c>
      <c r="G9918" s="2" t="str">
        <f t="shared" si="869"/>
        <v xml:space="preserve"> ()</v>
      </c>
    </row>
    <row r="9919" spans="1:7" x14ac:dyDescent="0.3">
      <c r="A9919" s="1" t="s">
        <v>4</v>
      </c>
      <c r="B9919" s="2" t="str">
        <f t="shared" si="863"/>
        <v>SISTEMA DE GERENCIAMENTO DE INTERNAÇÃO</v>
      </c>
      <c r="C9919" s="2" t="str">
        <f t="shared" si="864"/>
        <v>INTER</v>
      </c>
      <c r="D9919" s="2" t="str">
        <f t="shared" si="865"/>
        <v>PARI</v>
      </c>
      <c r="E9919" s="2" t="str">
        <f>"RELATÓRIO DE AVISO DE MÉDICO"</f>
        <v>RELATÓRIO DE AVISO DE MÉDICO</v>
      </c>
      <c r="F9919" s="2" t="str">
        <f>"R_AVISO_MEDICO.RDF"</f>
        <v>R_AVISO_MEDICO.RDF</v>
      </c>
      <c r="G9919" s="2" t="str">
        <f t="shared" si="869"/>
        <v xml:space="preserve"> ()</v>
      </c>
    </row>
    <row r="9920" spans="1:7" x14ac:dyDescent="0.3">
      <c r="A9920" s="1" t="s">
        <v>4</v>
      </c>
      <c r="B9920" s="2" t="str">
        <f t="shared" si="863"/>
        <v>SISTEMA DE GERENCIAMENTO DE INTERNAÇÃO</v>
      </c>
      <c r="C9920" s="2" t="str">
        <f t="shared" si="864"/>
        <v>INTER</v>
      </c>
      <c r="D9920" s="2" t="str">
        <f t="shared" si="865"/>
        <v>PARI</v>
      </c>
      <c r="E9920" s="2" t="str">
        <f>"RELATÓRIO DE INTERNAÇÕES POR CIDADE"</f>
        <v>RELATÓRIO DE INTERNAÇÕES POR CIDADE</v>
      </c>
      <c r="F9920" s="2" t="str">
        <f>"R_OPE_INT_CID.RDF"</f>
        <v>R_OPE_INT_CID.RDF</v>
      </c>
      <c r="G9920" s="2" t="str">
        <f t="shared" si="869"/>
        <v xml:space="preserve"> ()</v>
      </c>
    </row>
    <row r="9921" spans="1:7" x14ac:dyDescent="0.3">
      <c r="A9921" s="1" t="s">
        <v>4</v>
      </c>
      <c r="B9921" s="2" t="str">
        <f t="shared" si="863"/>
        <v>SISTEMA DE GERENCIAMENTO DE INTERNAÇÃO</v>
      </c>
      <c r="C9921" s="2" t="str">
        <f t="shared" si="864"/>
        <v>INTER</v>
      </c>
      <c r="D9921" s="2" t="str">
        <f t="shared" si="865"/>
        <v>PARI</v>
      </c>
      <c r="E9921" s="2" t="str">
        <f>"RELATÓRIO DE LISTA DE ANIVERSARIANTES"</f>
        <v>RELATÓRIO DE LISTA DE ANIVERSARIANTES</v>
      </c>
      <c r="F9921" s="2" t="str">
        <f>"R_ANIVER_PAC.RDF"</f>
        <v>R_ANIVER_PAC.RDF</v>
      </c>
      <c r="G9921" s="2" t="str">
        <f t="shared" si="869"/>
        <v xml:space="preserve"> ()</v>
      </c>
    </row>
    <row r="9922" spans="1:7" x14ac:dyDescent="0.3">
      <c r="A9922" s="1" t="s">
        <v>4</v>
      </c>
      <c r="B9922" s="2" t="str">
        <f t="shared" si="863"/>
        <v>SISTEMA DE GERENCIAMENTO DE INTERNAÇÃO</v>
      </c>
      <c r="C9922" s="2" t="str">
        <f t="shared" si="864"/>
        <v>INTER</v>
      </c>
      <c r="D9922" s="2" t="str">
        <f t="shared" si="865"/>
        <v>PARI</v>
      </c>
      <c r="E9922" s="2" t="str">
        <f>"R_RESUMO_MVTO860"</f>
        <v>R_RESUMO_MVTO860</v>
      </c>
      <c r="F9922" s="2" t="str">
        <f>"R_RESUMO_MVTO860"</f>
        <v>R_RESUMO_MVTO860</v>
      </c>
      <c r="G9922" s="2" t="str">
        <f t="shared" si="869"/>
        <v xml:space="preserve"> ()</v>
      </c>
    </row>
    <row r="9923" spans="1:7" x14ac:dyDescent="0.3">
      <c r="A9923" s="1" t="s">
        <v>4</v>
      </c>
      <c r="B9923" s="2" t="str">
        <f t="shared" si="863"/>
        <v>SISTEMA DE GERENCIAMENTO DE INTERNAÇÃO</v>
      </c>
      <c r="C9923" s="2" t="str">
        <f t="shared" si="864"/>
        <v>INTER</v>
      </c>
      <c r="D9923" s="2" t="str">
        <f t="shared" si="865"/>
        <v>PARI</v>
      </c>
      <c r="E9923" s="2" t="str">
        <f>"R_MOV_ANA_GERAL"</f>
        <v>R_MOV_ANA_GERAL</v>
      </c>
      <c r="F9923" s="2" t="str">
        <f>"R_MOV_ANA_GERAL"</f>
        <v>R_MOV_ANA_GERAL</v>
      </c>
      <c r="G9923" s="2" t="str">
        <f t="shared" si="869"/>
        <v xml:space="preserve"> ()</v>
      </c>
    </row>
    <row r="9924" spans="1:7" x14ac:dyDescent="0.3">
      <c r="A9924" s="1" t="s">
        <v>4</v>
      </c>
      <c r="B9924" s="2" t="str">
        <f t="shared" si="863"/>
        <v>SISTEMA DE GERENCIAMENTO DE INTERNAÇÃO</v>
      </c>
      <c r="C9924" s="2" t="str">
        <f t="shared" si="864"/>
        <v>INTER</v>
      </c>
      <c r="D9924" s="2" t="str">
        <f t="shared" si="865"/>
        <v>PARI</v>
      </c>
      <c r="E9924" s="2" t="str">
        <f>"R_MOV_ANA_C"</f>
        <v>R_MOV_ANA_C</v>
      </c>
      <c r="F9924" s="2" t="str">
        <f>"R_MOV_ANA_C"</f>
        <v>R_MOV_ANA_C</v>
      </c>
      <c r="G9924" s="2" t="str">
        <f t="shared" si="869"/>
        <v xml:space="preserve"> ()</v>
      </c>
    </row>
    <row r="9925" spans="1:7" x14ac:dyDescent="0.3">
      <c r="A9925" s="1" t="s">
        <v>4</v>
      </c>
      <c r="B9925" s="2" t="str">
        <f t="shared" si="863"/>
        <v>SISTEMA DE GERENCIAMENTO DE INTERNAÇÃO</v>
      </c>
      <c r="C9925" s="2" t="str">
        <f t="shared" si="864"/>
        <v>INTER</v>
      </c>
      <c r="D9925" s="2" t="str">
        <f t="shared" si="865"/>
        <v>PARI</v>
      </c>
      <c r="E9925" s="2" t="str">
        <f>"CENSO HOSPITALAR RETROATIVO"</f>
        <v>CENSO HOSPITALAR RETROATIVO</v>
      </c>
      <c r="F9925" s="2" t="str">
        <f>"R_CENSO_RETRO755"</f>
        <v>R_CENSO_RETRO755</v>
      </c>
      <c r="G9925" s="2" t="str">
        <f t="shared" si="869"/>
        <v xml:space="preserve"> ()</v>
      </c>
    </row>
    <row r="9926" spans="1:7" x14ac:dyDescent="0.3">
      <c r="A9926" s="1" t="s">
        <v>4</v>
      </c>
      <c r="B9926" s="2" t="str">
        <f t="shared" si="863"/>
        <v>SISTEMA DE GERENCIAMENTO DE INTERNAÇÃO</v>
      </c>
      <c r="C9926" s="2" t="str">
        <f t="shared" si="864"/>
        <v>INTER</v>
      </c>
      <c r="D9926" s="2" t="str">
        <f t="shared" si="865"/>
        <v>PARI</v>
      </c>
      <c r="E9926" s="2" t="str">
        <f>"R_CENTRO_RETRO755"</f>
        <v>R_CENTRO_RETRO755</v>
      </c>
      <c r="F9926" s="2" t="str">
        <f>"R_CENTRO_RETRO755"</f>
        <v>R_CENTRO_RETRO755</v>
      </c>
      <c r="G9926" s="2" t="str">
        <f t="shared" si="869"/>
        <v xml:space="preserve"> ()</v>
      </c>
    </row>
    <row r="9927" spans="1:7" x14ac:dyDescent="0.3">
      <c r="A9927" s="1" t="s">
        <v>4</v>
      </c>
      <c r="B9927" s="2" t="str">
        <f t="shared" si="863"/>
        <v>SISTEMA DE GERENCIAMENTO DE INTERNAÇÃO</v>
      </c>
      <c r="C9927" s="2" t="str">
        <f t="shared" si="864"/>
        <v>INTER</v>
      </c>
      <c r="D9927" s="2" t="str">
        <f t="shared" si="865"/>
        <v>PARI</v>
      </c>
      <c r="E9927" s="2" t="str">
        <f>"R_CESO755"</f>
        <v>R_CESO755</v>
      </c>
      <c r="F9927" s="2" t="str">
        <f>"R_CESO755"</f>
        <v>R_CESO755</v>
      </c>
      <c r="G9927" s="2" t="str">
        <f t="shared" si="869"/>
        <v xml:space="preserve"> ()</v>
      </c>
    </row>
    <row r="9928" spans="1:7" x14ac:dyDescent="0.3">
      <c r="A9928" s="1" t="s">
        <v>4</v>
      </c>
      <c r="B9928" s="2" t="str">
        <f t="shared" si="863"/>
        <v>SISTEMA DE GERENCIAMENTO DE INTERNAÇÃO</v>
      </c>
      <c r="C9928" s="2" t="str">
        <f t="shared" si="864"/>
        <v>INTER</v>
      </c>
      <c r="D9928" s="2" t="str">
        <f t="shared" si="865"/>
        <v>PARI</v>
      </c>
      <c r="E9928" s="2" t="str">
        <f>"PARI"</f>
        <v>PARI</v>
      </c>
      <c r="F9928" s="2" t="str">
        <f>"PARI"</f>
        <v>PARI</v>
      </c>
      <c r="G9928" s="2" t="str">
        <f t="shared" si="869"/>
        <v xml:space="preserve"> ()</v>
      </c>
    </row>
    <row r="9929" spans="1:7" x14ac:dyDescent="0.3">
      <c r="A9929" s="1" t="s">
        <v>4</v>
      </c>
      <c r="B9929" s="2" t="str">
        <f t="shared" si="863"/>
        <v>SISTEMA DE GERENCIAMENTO DE INTERNAÇÃO</v>
      </c>
      <c r="C9929" s="2" t="str">
        <f t="shared" si="864"/>
        <v>INTER</v>
      </c>
      <c r="D9929" s="2" t="str">
        <f t="shared" si="865"/>
        <v>PARI</v>
      </c>
      <c r="E9929" s="2" t="str">
        <f>"EXCLUSÃO DE ATENDIMENTOS"</f>
        <v>EXCLUSÃO DE ATENDIMENTOS</v>
      </c>
      <c r="F9929" s="2" t="str">
        <f>"R_EXCLUSAO_ATENDIMENTO"</f>
        <v>R_EXCLUSAO_ATENDIMENTO</v>
      </c>
      <c r="G9929" s="2" t="str">
        <f t="shared" si="869"/>
        <v xml:space="preserve"> ()</v>
      </c>
    </row>
    <row r="9930" spans="1:7" x14ac:dyDescent="0.3">
      <c r="A9930" s="1" t="s">
        <v>4</v>
      </c>
      <c r="B9930" s="2" t="str">
        <f t="shared" si="863"/>
        <v>SISTEMA DE GERENCIAMENTO DE INTERNAÇÃO</v>
      </c>
      <c r="C9930" s="2" t="str">
        <f t="shared" si="864"/>
        <v>INTER</v>
      </c>
      <c r="D9930" s="2" t="str">
        <f t="shared" si="865"/>
        <v>PARI</v>
      </c>
      <c r="E9930" s="2" t="str">
        <f>"MENSAL DE DESEMPENHO"</f>
        <v>MENSAL DE DESEMPENHO</v>
      </c>
      <c r="F9930" s="2" t="str">
        <f>"R_MENS_DESEMP.RDF"</f>
        <v>R_MENS_DESEMP.RDF</v>
      </c>
      <c r="G9930" s="2" t="str">
        <f t="shared" si="869"/>
        <v xml:space="preserve"> ()</v>
      </c>
    </row>
    <row r="9931" spans="1:7" x14ac:dyDescent="0.3">
      <c r="A9931" s="1" t="s">
        <v>4</v>
      </c>
      <c r="B9931" s="2" t="str">
        <f t="shared" si="863"/>
        <v>SISTEMA DE GERENCIAMENTO DE INTERNAÇÃO</v>
      </c>
      <c r="C9931" s="2" t="str">
        <f t="shared" si="864"/>
        <v>INTER</v>
      </c>
      <c r="D9931" s="2" t="str">
        <f t="shared" si="865"/>
        <v>PARI</v>
      </c>
      <c r="E9931" s="2" t="str">
        <f>"RECUSAS DE ACOMODAÇÕES"</f>
        <v>RECUSAS DE ACOMODAÇÕES</v>
      </c>
      <c r="F9931" s="2" t="str">
        <f>"R_RECUSA_ACOMODA.RDF"</f>
        <v>R_RECUSA_ACOMODA.RDF</v>
      </c>
      <c r="G9931" s="2" t="str">
        <f t="shared" si="869"/>
        <v xml:space="preserve"> ()</v>
      </c>
    </row>
    <row r="9932" spans="1:7" x14ac:dyDescent="0.3">
      <c r="A9932" s="1" t="s">
        <v>4</v>
      </c>
      <c r="B9932" s="2" t="str">
        <f t="shared" si="863"/>
        <v>SISTEMA DE GERENCIAMENTO DE INTERNAÇÃO</v>
      </c>
      <c r="C9932" s="2" t="str">
        <f t="shared" si="864"/>
        <v>INTER</v>
      </c>
      <c r="D9932" s="2" t="str">
        <f t="shared" si="865"/>
        <v>PARI</v>
      </c>
      <c r="E9932" s="2" t="str">
        <f>"COMPARATIVO DE INTERNAÇÕES POR CONVÊNIO"</f>
        <v>COMPARATIVO DE INTERNAÇÕES POR CONVÊNIO</v>
      </c>
      <c r="F9932" s="2" t="str">
        <f>"R_COMP_INT_CONV.RDF"</f>
        <v>R_COMP_INT_CONV.RDF</v>
      </c>
      <c r="G9932" s="2" t="str">
        <f t="shared" si="869"/>
        <v xml:space="preserve"> ()</v>
      </c>
    </row>
    <row r="9933" spans="1:7" x14ac:dyDescent="0.3">
      <c r="A9933" s="1" t="s">
        <v>4</v>
      </c>
      <c r="B9933" s="2" t="str">
        <f t="shared" si="863"/>
        <v>SISTEMA DE GERENCIAMENTO DE INTERNAÇÃO</v>
      </c>
      <c r="C9933" s="2" t="str">
        <f t="shared" si="864"/>
        <v>INTER</v>
      </c>
      <c r="D9933" s="2" t="str">
        <f t="shared" si="865"/>
        <v>PARI</v>
      </c>
      <c r="E9933" s="2" t="str">
        <f>"TEMPO DE ESPERA PARA LIBERAÇÃO DE LEITO"</f>
        <v>TEMPO DE ESPERA PARA LIBERAÇÃO DE LEITO</v>
      </c>
      <c r="F9933" s="2" t="str">
        <f>"R_LIBERACAO_LEITO.RDF"</f>
        <v>R_LIBERACAO_LEITO.RDF</v>
      </c>
      <c r="G9933" s="2" t="str">
        <f t="shared" si="869"/>
        <v xml:space="preserve"> ()</v>
      </c>
    </row>
    <row r="9934" spans="1:7" x14ac:dyDescent="0.3">
      <c r="A9934" s="1" t="s">
        <v>4</v>
      </c>
      <c r="B9934" s="2" t="str">
        <f t="shared" ref="B9934:B9987" si="870">"SISTEMA DE GERENCIAMENTO DE INTERNAÇÃO"</f>
        <v>SISTEMA DE GERENCIAMENTO DE INTERNAÇÃO</v>
      </c>
      <c r="C9934" s="2" t="str">
        <f t="shared" ref="C9934:C9987" si="871">"INTER"</f>
        <v>INTER</v>
      </c>
      <c r="D9934" s="2" t="str">
        <f t="shared" ref="D9934:D9987" si="872">"PARI"</f>
        <v>PARI</v>
      </c>
      <c r="E9934" s="2" t="str">
        <f>"RELATÓRIO DE SOLICITADAS X AUTORIZADAS"</f>
        <v>RELATÓRIO DE SOLICITADAS X AUTORIZADAS</v>
      </c>
      <c r="F9934" s="2" t="str">
        <f>"R_GUIAS_CONVENIO.RDF"</f>
        <v>R_GUIAS_CONVENIO.RDF</v>
      </c>
      <c r="G9934" s="2" t="str">
        <f t="shared" si="869"/>
        <v xml:space="preserve"> ()</v>
      </c>
    </row>
    <row r="9935" spans="1:7" x14ac:dyDescent="0.3">
      <c r="A9935" s="1" t="s">
        <v>4</v>
      </c>
      <c r="B9935" s="2" t="str">
        <f t="shared" si="870"/>
        <v>SISTEMA DE GERENCIAMENTO DE INTERNAÇÃO</v>
      </c>
      <c r="C9935" s="2" t="str">
        <f t="shared" si="871"/>
        <v>INTER</v>
      </c>
      <c r="D9935" s="2" t="str">
        <f t="shared" si="872"/>
        <v>PARI</v>
      </c>
      <c r="E9935" s="2" t="str">
        <f>"RELATÓRIO DE PACIENTES RE-INTERNADOS"</f>
        <v>RELATÓRIO DE PACIENTES RE-INTERNADOS</v>
      </c>
      <c r="F9935" s="2" t="str">
        <f>"R_PACIENTE_REINTERNADO.RDF"</f>
        <v>R_PACIENTE_REINTERNADO.RDF</v>
      </c>
      <c r="G9935" s="2" t="str">
        <f t="shared" si="869"/>
        <v xml:space="preserve"> ()</v>
      </c>
    </row>
    <row r="9936" spans="1:7" x14ac:dyDescent="0.3">
      <c r="A9936" s="1" t="s">
        <v>4</v>
      </c>
      <c r="B9936" s="2" t="str">
        <f t="shared" si="870"/>
        <v>SISTEMA DE GERENCIAMENTO DE INTERNAÇÃO</v>
      </c>
      <c r="C9936" s="2" t="str">
        <f t="shared" si="871"/>
        <v>INTER</v>
      </c>
      <c r="D9936" s="2" t="str">
        <f t="shared" si="872"/>
        <v>PARI</v>
      </c>
      <c r="E9936" s="2" t="str">
        <f>"GUIAS POR UNIDADE DE INTERNAÇÃO"</f>
        <v>GUIAS POR UNIDADE DE INTERNAÇÃO</v>
      </c>
      <c r="F9936" s="2" t="str">
        <f>"R_GUIAS_POR_UNID_INT.RDF"</f>
        <v>R_GUIAS_POR_UNID_INT.RDF</v>
      </c>
      <c r="G9936" s="2" t="str">
        <f t="shared" si="869"/>
        <v xml:space="preserve"> ()</v>
      </c>
    </row>
    <row r="9937" spans="1:7" x14ac:dyDescent="0.3">
      <c r="A9937" s="1" t="s">
        <v>4</v>
      </c>
      <c r="B9937" s="2" t="str">
        <f t="shared" si="870"/>
        <v>SISTEMA DE GERENCIAMENTO DE INTERNAÇÃO</v>
      </c>
      <c r="C9937" s="2" t="str">
        <f t="shared" si="871"/>
        <v>INTER</v>
      </c>
      <c r="D9937" s="2" t="str">
        <f t="shared" si="872"/>
        <v>PARI</v>
      </c>
      <c r="E9937" s="2" t="str">
        <f>"RELATÓRIO DE ACOMODAÇÃO"</f>
        <v>RELATÓRIO DE ACOMODAÇÃO</v>
      </c>
      <c r="F9937" s="2" t="str">
        <f>"R_PAC_ACOMOD"</f>
        <v>R_PAC_ACOMOD</v>
      </c>
      <c r="G9937" s="2" t="str">
        <f>"Atendimento / Internação / Relatórios / Internados / Pacientes x Acomodação Padrão (R_PAC_ACOMOD)"</f>
        <v>Atendimento / Internação / Relatórios / Internados / Pacientes x Acomodação Padrão (R_PAC_ACOMOD)</v>
      </c>
    </row>
    <row r="9938" spans="1:7" x14ac:dyDescent="0.3">
      <c r="A9938" s="1" t="s">
        <v>4</v>
      </c>
      <c r="B9938" s="2" t="str">
        <f t="shared" si="870"/>
        <v>SISTEMA DE GERENCIAMENTO DE INTERNAÇÃO</v>
      </c>
      <c r="C9938" s="2" t="str">
        <f t="shared" si="871"/>
        <v>INTER</v>
      </c>
      <c r="D9938" s="2" t="str">
        <f t="shared" si="872"/>
        <v>PARI</v>
      </c>
      <c r="E9938" s="2" t="str">
        <f>"RELATÓRIO DE ACOMODAÇÃO"</f>
        <v>RELATÓRIO DE ACOMODAÇÃO</v>
      </c>
      <c r="F9938" s="2" t="str">
        <f>"R_PAC_ACOMOD"</f>
        <v>R_PAC_ACOMOD</v>
      </c>
      <c r="G9938" s="2" t="str">
        <f>"MVSaude / Atendimento / Autorizações de Guias / Internação / Relatórios / Internados / Pacientes x Acomodação Padrão (R_PAC_ACOMOD)"</f>
        <v>MVSaude / Atendimento / Autorizações de Guias / Internação / Relatórios / Internados / Pacientes x Acomodação Padrão (R_PAC_ACOMOD)</v>
      </c>
    </row>
    <row r="9939" spans="1:7" x14ac:dyDescent="0.3">
      <c r="A9939" s="1" t="s">
        <v>4</v>
      </c>
      <c r="B9939" s="2" t="str">
        <f t="shared" si="870"/>
        <v>SISTEMA DE GERENCIAMENTO DE INTERNAÇÃO</v>
      </c>
      <c r="C9939" s="2" t="str">
        <f t="shared" si="871"/>
        <v>INTER</v>
      </c>
      <c r="D9939" s="2" t="str">
        <f t="shared" si="872"/>
        <v>PARI</v>
      </c>
      <c r="E9939" s="2" t="str">
        <f>"RELATÓRIO DE ACOMODAÇÃO"</f>
        <v>RELATÓRIO DE ACOMODAÇÃO</v>
      </c>
      <c r="F9939" s="2" t="str">
        <f>"R_PAC_ACOMOD"</f>
        <v>R_PAC_ACOMOD</v>
      </c>
      <c r="G9939" s="2" t="str">
        <f>"MVSaude / Vendas / Internação / Relatórios / Internados / Pacientes x Acomodação Padrão (R_PAC_ACOMOD)"</f>
        <v>MVSaude / Vendas / Internação / Relatórios / Internados / Pacientes x Acomodação Padrão (R_PAC_ACOMOD)</v>
      </c>
    </row>
    <row r="9940" spans="1:7" x14ac:dyDescent="0.3">
      <c r="A9940" s="1" t="s">
        <v>4</v>
      </c>
      <c r="B9940" s="2" t="str">
        <f t="shared" si="870"/>
        <v>SISTEMA DE GERENCIAMENTO DE INTERNAÇÃO</v>
      </c>
      <c r="C9940" s="2" t="str">
        <f t="shared" si="871"/>
        <v>INTER</v>
      </c>
      <c r="D9940" s="2" t="str">
        <f t="shared" si="872"/>
        <v>PARI</v>
      </c>
      <c r="E9940" s="2" t="str">
        <f>"DECLARAÇÃO DE PACIENTE INTERNADO"</f>
        <v>DECLARAÇÃO DE PACIENTE INTERNADO</v>
      </c>
      <c r="F9940" s="2" t="str">
        <f>"R_TERMO_GERAL.RDF"</f>
        <v>R_TERMO_GERAL.RDF</v>
      </c>
      <c r="G9940" s="2" t="str">
        <f t="shared" ref="G9940:G9960" si="873">" ()"</f>
        <v xml:space="preserve"> ()</v>
      </c>
    </row>
    <row r="9941" spans="1:7" x14ac:dyDescent="0.3">
      <c r="A9941" s="1" t="s">
        <v>4</v>
      </c>
      <c r="B9941" s="2" t="str">
        <f t="shared" si="870"/>
        <v>SISTEMA DE GERENCIAMENTO DE INTERNAÇÃO</v>
      </c>
      <c r="C9941" s="2" t="str">
        <f t="shared" si="871"/>
        <v>INTER</v>
      </c>
      <c r="D9941" s="2" t="str">
        <f t="shared" si="872"/>
        <v>PARI</v>
      </c>
      <c r="E9941" s="2" t="str">
        <f>"INTRODUÇÃO AO PARI"</f>
        <v>INTRODUÇÃO AO PARI</v>
      </c>
      <c r="F9941" s="2" t="str">
        <f>"INTRODUCAO_PARI"</f>
        <v>INTRODUCAO_PARI</v>
      </c>
      <c r="G9941" s="2" t="str">
        <f t="shared" si="873"/>
        <v xml:space="preserve"> ()</v>
      </c>
    </row>
    <row r="9942" spans="1:7" x14ac:dyDescent="0.3">
      <c r="A9942" s="1" t="s">
        <v>4</v>
      </c>
      <c r="B9942" s="2" t="str">
        <f t="shared" si="870"/>
        <v>SISTEMA DE GERENCIAMENTO DE INTERNAÇÃO</v>
      </c>
      <c r="C9942" s="2" t="str">
        <f t="shared" si="871"/>
        <v>INTER</v>
      </c>
      <c r="D9942" s="2" t="str">
        <f t="shared" si="872"/>
        <v>PARI</v>
      </c>
      <c r="E9942" s="2" t="str">
        <f>"ORGANIZACAO DO MANUAL"</f>
        <v>ORGANIZACAO DO MANUAL</v>
      </c>
      <c r="F9942" s="2" t="str">
        <f>"ORGANIZACAO_MANUAL"</f>
        <v>ORGANIZACAO_MANUAL</v>
      </c>
      <c r="G9942" s="2" t="str">
        <f t="shared" si="873"/>
        <v xml:space="preserve"> ()</v>
      </c>
    </row>
    <row r="9943" spans="1:7" x14ac:dyDescent="0.3">
      <c r="A9943" s="1" t="s">
        <v>4</v>
      </c>
      <c r="B9943" s="2" t="str">
        <f t="shared" si="870"/>
        <v>SISTEMA DE GERENCIAMENTO DE INTERNAÇÃO</v>
      </c>
      <c r="C9943" s="2" t="str">
        <f t="shared" si="871"/>
        <v>INTER</v>
      </c>
      <c r="D9943" s="2" t="str">
        <f t="shared" si="872"/>
        <v>PARI</v>
      </c>
      <c r="E9943" s="2" t="str">
        <f>"ESTATÍSTICA DE ÓBITOS"</f>
        <v>ESTATÍSTICA DE ÓBITOS</v>
      </c>
      <c r="F9943" s="2" t="str">
        <f>"R_ESTATISTICO_OBITOS.RDF"</f>
        <v>R_ESTATISTICO_OBITOS.RDF</v>
      </c>
      <c r="G9943" s="2" t="str">
        <f t="shared" si="873"/>
        <v xml:space="preserve"> ()</v>
      </c>
    </row>
    <row r="9944" spans="1:7" x14ac:dyDescent="0.3">
      <c r="A9944" s="1" t="s">
        <v>4</v>
      </c>
      <c r="B9944" s="2" t="str">
        <f t="shared" si="870"/>
        <v>SISTEMA DE GERENCIAMENTO DE INTERNAÇÃO</v>
      </c>
      <c r="C9944" s="2" t="str">
        <f t="shared" si="871"/>
        <v>INTER</v>
      </c>
      <c r="D9944" s="2" t="str">
        <f t="shared" si="872"/>
        <v>PARI</v>
      </c>
      <c r="E9944" s="2" t="str">
        <f>"RELATÓRIO ESTATÍSTICO DE ALTAS"</f>
        <v>RELATÓRIO ESTATÍSTICO DE ALTAS</v>
      </c>
      <c r="F9944" s="2" t="str">
        <f>"R_ESTATISTICO_ALTAS.RDF"</f>
        <v>R_ESTATISTICO_ALTAS.RDF</v>
      </c>
      <c r="G9944" s="2" t="str">
        <f t="shared" si="873"/>
        <v xml:space="preserve"> ()</v>
      </c>
    </row>
    <row r="9945" spans="1:7" x14ac:dyDescent="0.3">
      <c r="A9945" s="1" t="s">
        <v>4</v>
      </c>
      <c r="B9945" s="2" t="str">
        <f t="shared" si="870"/>
        <v>SISTEMA DE GERENCIAMENTO DE INTERNAÇÃO</v>
      </c>
      <c r="C9945" s="2" t="str">
        <f t="shared" si="871"/>
        <v>INTER</v>
      </c>
      <c r="D9945" s="2" t="str">
        <f t="shared" si="872"/>
        <v>PARI</v>
      </c>
      <c r="E9945" s="2" t="str">
        <f>"RESUMO POR TIPOS DE INTERNAÇÃO E SERVIÇO"</f>
        <v>RESUMO POR TIPOS DE INTERNAÇÃO E SERVIÇO</v>
      </c>
      <c r="F9945" s="2" t="str">
        <f>"R_EST_HOSP_RESUMOS.RDF"</f>
        <v>R_EST_HOSP_RESUMOS.RDF</v>
      </c>
      <c r="G9945" s="2" t="str">
        <f t="shared" si="873"/>
        <v xml:space="preserve"> ()</v>
      </c>
    </row>
    <row r="9946" spans="1:7" x14ac:dyDescent="0.3">
      <c r="A9946" s="1" t="s">
        <v>4</v>
      </c>
      <c r="B9946" s="2" t="str">
        <f t="shared" si="870"/>
        <v>SISTEMA DE GERENCIAMENTO DE INTERNAÇÃO</v>
      </c>
      <c r="C9946" s="2" t="str">
        <f t="shared" si="871"/>
        <v>INTER</v>
      </c>
      <c r="D9946" s="2" t="str">
        <f t="shared" si="872"/>
        <v>PARI</v>
      </c>
      <c r="E9946" s="2" t="str">
        <f>"ESTATÍSTICA HOSPITALAR"</f>
        <v>ESTATÍSTICA HOSPITALAR</v>
      </c>
      <c r="F9946" s="2" t="str">
        <f>"R_EST_HOSPITALAR_ANAL.RDF"</f>
        <v>R_EST_HOSPITALAR_ANAL.RDF</v>
      </c>
      <c r="G9946" s="2" t="str">
        <f t="shared" si="873"/>
        <v xml:space="preserve"> ()</v>
      </c>
    </row>
    <row r="9947" spans="1:7" x14ac:dyDescent="0.3">
      <c r="A9947" s="1" t="s">
        <v>4</v>
      </c>
      <c r="B9947" s="2" t="str">
        <f t="shared" si="870"/>
        <v>SISTEMA DE GERENCIAMENTO DE INTERNAÇÃO</v>
      </c>
      <c r="C9947" s="2" t="str">
        <f t="shared" si="871"/>
        <v>INTER</v>
      </c>
      <c r="D9947" s="2" t="str">
        <f t="shared" si="872"/>
        <v>PARI</v>
      </c>
      <c r="E9947" s="2" t="str">
        <f>"POR CONVÊNIOS X ORIGEM DE ATENDIMENTO"</f>
        <v>POR CONVÊNIOS X ORIGEM DE ATENDIMENTO</v>
      </c>
      <c r="F9947" s="2" t="str">
        <f>"R_CONVENIOS_X_ORIGENS.RDF"</f>
        <v>R_CONVENIOS_X_ORIGENS.RDF</v>
      </c>
      <c r="G9947" s="2" t="str">
        <f t="shared" si="873"/>
        <v xml:space="preserve"> ()</v>
      </c>
    </row>
    <row r="9948" spans="1:7" x14ac:dyDescent="0.3">
      <c r="A9948" s="1" t="s">
        <v>4</v>
      </c>
      <c r="B9948" s="2" t="str">
        <f t="shared" si="870"/>
        <v>SISTEMA DE GERENCIAMENTO DE INTERNAÇÃO</v>
      </c>
      <c r="C9948" s="2" t="str">
        <f t="shared" si="871"/>
        <v>INTER</v>
      </c>
      <c r="D9948" s="2" t="str">
        <f t="shared" si="872"/>
        <v>PARI</v>
      </c>
      <c r="E9948" s="2" t="str">
        <f>"RELATÓRIO ESTATÍSTICO DE ALTAS POR CID"</f>
        <v>RELATÓRIO ESTATÍSTICO DE ALTAS POR CID</v>
      </c>
      <c r="F9948" s="2" t="str">
        <f>"R_ALTAS_POR_CID.RDF"</f>
        <v>R_ALTAS_POR_CID.RDF</v>
      </c>
      <c r="G9948" s="2" t="str">
        <f t="shared" si="873"/>
        <v xml:space="preserve"> ()</v>
      </c>
    </row>
    <row r="9949" spans="1:7" x14ac:dyDescent="0.3">
      <c r="A9949" s="1" t="s">
        <v>4</v>
      </c>
      <c r="B9949" s="2" t="str">
        <f t="shared" si="870"/>
        <v>SISTEMA DE GERENCIAMENTO DE INTERNAÇÃO</v>
      </c>
      <c r="C9949" s="2" t="str">
        <f t="shared" si="871"/>
        <v>INTER</v>
      </c>
      <c r="D9949" s="2" t="str">
        <f t="shared" si="872"/>
        <v>PARI</v>
      </c>
      <c r="E9949" s="2" t="str">
        <f>"RELATÓRIO DE PRÉ-INTERNAÇÃO NO PERÍODO"</f>
        <v>RELATÓRIO DE PRÉ-INTERNAÇÃO NO PERÍODO</v>
      </c>
      <c r="F9949" s="2" t="str">
        <f>"R_PRE_INTERNACAO_PERIODO.RDF"</f>
        <v>R_PRE_INTERNACAO_PERIODO.RDF</v>
      </c>
      <c r="G9949" s="2" t="str">
        <f t="shared" si="873"/>
        <v xml:space="preserve"> ()</v>
      </c>
    </row>
    <row r="9950" spans="1:7" x14ac:dyDescent="0.3">
      <c r="A9950" s="1" t="s">
        <v>4</v>
      </c>
      <c r="B9950" s="2" t="str">
        <f t="shared" si="870"/>
        <v>SISTEMA DE GERENCIAMENTO DE INTERNAÇÃO</v>
      </c>
      <c r="C9950" s="2" t="str">
        <f t="shared" si="871"/>
        <v>INTER</v>
      </c>
      <c r="D9950" s="2" t="str">
        <f t="shared" si="872"/>
        <v>PARI</v>
      </c>
      <c r="E9950" s="2" t="str">
        <f>"RELATÓRIO DE TIPOS DE INTERNAÇÃO"</f>
        <v>RELATÓRIO DE TIPOS DE INTERNAÇÃO</v>
      </c>
      <c r="F9950" s="2" t="str">
        <f>"R_TIPO_INTERNACAO.RDF"</f>
        <v>R_TIPO_INTERNACAO.RDF</v>
      </c>
      <c r="G9950" s="2" t="str">
        <f t="shared" si="873"/>
        <v xml:space="preserve"> ()</v>
      </c>
    </row>
    <row r="9951" spans="1:7" x14ac:dyDescent="0.3">
      <c r="A9951" s="1" t="s">
        <v>4</v>
      </c>
      <c r="B9951" s="2" t="str">
        <f t="shared" si="870"/>
        <v>SISTEMA DE GERENCIAMENTO DE INTERNAÇÃO</v>
      </c>
      <c r="C9951" s="2" t="str">
        <f t="shared" si="871"/>
        <v>INTER</v>
      </c>
      <c r="D9951" s="2" t="str">
        <f t="shared" si="872"/>
        <v>PARI</v>
      </c>
      <c r="E9951" s="2" t="str">
        <f>"RELATÓRIO DE SERVIÇOS PRESTADOS"</f>
        <v>RELATÓRIO DE SERVIÇOS PRESTADOS</v>
      </c>
      <c r="F9951" s="2" t="str">
        <f>"R_SERVPREST.RDF"</f>
        <v>R_SERVPREST.RDF</v>
      </c>
      <c r="G9951" s="2" t="str">
        <f t="shared" si="873"/>
        <v xml:space="preserve"> ()</v>
      </c>
    </row>
    <row r="9952" spans="1:7" x14ac:dyDescent="0.3">
      <c r="A9952" s="1" t="s">
        <v>4</v>
      </c>
      <c r="B9952" s="2" t="str">
        <f t="shared" si="870"/>
        <v>SISTEMA DE GERENCIAMENTO DE INTERNAÇÃO</v>
      </c>
      <c r="C9952" s="2" t="str">
        <f t="shared" si="871"/>
        <v>INTER</v>
      </c>
      <c r="D9952" s="2" t="str">
        <f t="shared" si="872"/>
        <v>PARI</v>
      </c>
      <c r="E9952" s="2" t="str">
        <f>"RELATÓRIO DE MOTIVOS DE DEPÓSITO"</f>
        <v>RELATÓRIO DE MOTIVOS DE DEPÓSITO</v>
      </c>
      <c r="F9952" s="2" t="str">
        <f>"R_MOTIVO_CAUCAO.RDF"</f>
        <v>R_MOTIVO_CAUCAO.RDF</v>
      </c>
      <c r="G9952" s="2" t="str">
        <f t="shared" si="873"/>
        <v xml:space="preserve"> ()</v>
      </c>
    </row>
    <row r="9953" spans="1:7" x14ac:dyDescent="0.3">
      <c r="A9953" s="1" t="s">
        <v>4</v>
      </c>
      <c r="B9953" s="2" t="str">
        <f t="shared" si="870"/>
        <v>SISTEMA DE GERENCIAMENTO DE INTERNAÇÃO</v>
      </c>
      <c r="C9953" s="2" t="str">
        <f t="shared" si="871"/>
        <v>INTER</v>
      </c>
      <c r="D9953" s="2" t="str">
        <f t="shared" si="872"/>
        <v>PARI</v>
      </c>
      <c r="E9953" s="2" t="str">
        <f>"RELATÓRIO DE FAIXA ETÁRIA"</f>
        <v>RELATÓRIO DE FAIXA ETÁRIA</v>
      </c>
      <c r="F9953" s="2" t="str">
        <f>"R_FAIXA_ETARIA.RDF"</f>
        <v>R_FAIXA_ETARIA.RDF</v>
      </c>
      <c r="G9953" s="2" t="str">
        <f t="shared" si="873"/>
        <v xml:space="preserve"> ()</v>
      </c>
    </row>
    <row r="9954" spans="1:7" x14ac:dyDescent="0.3">
      <c r="A9954" s="1" t="s">
        <v>4</v>
      </c>
      <c r="B9954" s="2" t="str">
        <f t="shared" si="870"/>
        <v>SISTEMA DE GERENCIAMENTO DE INTERNAÇÃO</v>
      </c>
      <c r="C9954" s="2" t="str">
        <f t="shared" si="871"/>
        <v>INTER</v>
      </c>
      <c r="D9954" s="2" t="str">
        <f t="shared" si="872"/>
        <v>PARI</v>
      </c>
      <c r="E9954" s="2" t="str">
        <f>"RELATÓRIO DE ETIQUETA DE INTERNAÇÃO"</f>
        <v>RELATÓRIO DE ETIQUETA DE INTERNAÇÃO</v>
      </c>
      <c r="F9954" s="2" t="str">
        <f>"R_ETIQUETA_INTERNACAO_755"</f>
        <v>R_ETIQUETA_INTERNACAO_755</v>
      </c>
      <c r="G9954" s="2" t="str">
        <f t="shared" si="873"/>
        <v xml:space="preserve"> ()</v>
      </c>
    </row>
    <row r="9955" spans="1:7" x14ac:dyDescent="0.3">
      <c r="A9955" s="1" t="s">
        <v>4</v>
      </c>
      <c r="B9955" s="2" t="str">
        <f t="shared" si="870"/>
        <v>SISTEMA DE GERENCIAMENTO DE INTERNAÇÃO</v>
      </c>
      <c r="C9955" s="2" t="str">
        <f t="shared" si="871"/>
        <v>INTER</v>
      </c>
      <c r="D9955" s="2" t="str">
        <f t="shared" si="872"/>
        <v>PARI</v>
      </c>
      <c r="E9955" s="2" t="str">
        <f>"R_INT_CONV_750"</f>
        <v>R_INT_CONV_750</v>
      </c>
      <c r="F9955" s="2" t="str">
        <f>"R_INT_CONV_750"</f>
        <v>R_INT_CONV_750</v>
      </c>
      <c r="G9955" s="2" t="str">
        <f t="shared" si="873"/>
        <v xml:space="preserve"> ()</v>
      </c>
    </row>
    <row r="9956" spans="1:7" x14ac:dyDescent="0.3">
      <c r="A9956" s="1" t="s">
        <v>4</v>
      </c>
      <c r="B9956" s="2" t="str">
        <f t="shared" si="870"/>
        <v>SISTEMA DE GERENCIAMENTO DE INTERNAÇÃO</v>
      </c>
      <c r="C9956" s="2" t="str">
        <f t="shared" si="871"/>
        <v>INTER</v>
      </c>
      <c r="D9956" s="2" t="str">
        <f t="shared" si="872"/>
        <v>PARI</v>
      </c>
      <c r="E9956" s="2" t="str">
        <f>"CENSO HOSPITALAR - TESTE"</f>
        <v>CENSO HOSPITALAR - TESTE</v>
      </c>
      <c r="F9956" s="2" t="str">
        <f>"R_CENSO_377"</f>
        <v>R_CENSO_377</v>
      </c>
      <c r="G9956" s="2" t="str">
        <f t="shared" si="873"/>
        <v xml:space="preserve"> ()</v>
      </c>
    </row>
    <row r="9957" spans="1:7" x14ac:dyDescent="0.3">
      <c r="A9957" s="1" t="s">
        <v>4</v>
      </c>
      <c r="B9957" s="2" t="str">
        <f t="shared" si="870"/>
        <v>SISTEMA DE GERENCIAMENTO DE INTERNAÇÃO</v>
      </c>
      <c r="C9957" s="2" t="str">
        <f t="shared" si="871"/>
        <v>INTER</v>
      </c>
      <c r="D9957" s="2" t="str">
        <f t="shared" si="872"/>
        <v>PARI</v>
      </c>
      <c r="E9957" s="2" t="str">
        <f>"GRAF DE ESPECIALIDADE DO PAINEL DE LEITO"</f>
        <v>GRAF DE ESPECIALIDADE DO PAINEL DE LEITO</v>
      </c>
      <c r="F9957" s="2" t="str">
        <f>"G_PARI_PAINEL_ESPECIALID"</f>
        <v>G_PARI_PAINEL_ESPECIALID</v>
      </c>
      <c r="G9957" s="2" t="str">
        <f t="shared" si="873"/>
        <v xml:space="preserve"> ()</v>
      </c>
    </row>
    <row r="9958" spans="1:7" x14ac:dyDescent="0.3">
      <c r="A9958" s="1" t="s">
        <v>4</v>
      </c>
      <c r="B9958" s="2" t="str">
        <f t="shared" si="870"/>
        <v>SISTEMA DE GERENCIAMENTO DE INTERNAÇÃO</v>
      </c>
      <c r="C9958" s="2" t="str">
        <f t="shared" si="871"/>
        <v>INTER</v>
      </c>
      <c r="D9958" s="2" t="str">
        <f t="shared" si="872"/>
        <v>PARI</v>
      </c>
      <c r="E9958" s="2" t="str">
        <f>"ULBRA"</f>
        <v>ULBRA</v>
      </c>
      <c r="F9958" s="2" t="str">
        <f>"ULBRA"</f>
        <v>ULBRA</v>
      </c>
      <c r="G9958" s="2" t="str">
        <f t="shared" si="873"/>
        <v xml:space="preserve"> ()</v>
      </c>
    </row>
    <row r="9959" spans="1:7" x14ac:dyDescent="0.3">
      <c r="A9959" s="1" t="s">
        <v>4</v>
      </c>
      <c r="B9959" s="2" t="str">
        <f t="shared" si="870"/>
        <v>SISTEMA DE GERENCIAMENTO DE INTERNAÇÃO</v>
      </c>
      <c r="C9959" s="2" t="str">
        <f t="shared" si="871"/>
        <v>INTER</v>
      </c>
      <c r="D9959" s="2" t="str">
        <f t="shared" si="872"/>
        <v>PARI</v>
      </c>
      <c r="E9959" s="2" t="str">
        <f>"CONSULTA: ESTATÍSTICAS DE PRODUÇÃO"</f>
        <v>CONSULTA: ESTATÍSTICAS DE PRODUÇÃO</v>
      </c>
      <c r="F9959" s="2" t="str">
        <f>"C_EST_PRODUCAO2"</f>
        <v>C_EST_PRODUCAO2</v>
      </c>
      <c r="G9959" s="2" t="str">
        <f t="shared" si="873"/>
        <v xml:space="preserve"> ()</v>
      </c>
    </row>
    <row r="9960" spans="1:7" x14ac:dyDescent="0.3">
      <c r="A9960" s="1" t="s">
        <v>4</v>
      </c>
      <c r="B9960" s="2" t="str">
        <f t="shared" si="870"/>
        <v>SISTEMA DE GERENCIAMENTO DE INTERNAÇÃO</v>
      </c>
      <c r="C9960" s="2" t="str">
        <f t="shared" si="871"/>
        <v>INTER</v>
      </c>
      <c r="D9960" s="2" t="str">
        <f t="shared" si="872"/>
        <v>PARI</v>
      </c>
      <c r="E9960" s="2" t="str">
        <f>"NM_PARI"</f>
        <v>NM_PARI</v>
      </c>
      <c r="F9960" s="2" t="str">
        <f>"NM_PARI"</f>
        <v>NM_PARI</v>
      </c>
      <c r="G9960" s="2" t="str">
        <f t="shared" si="873"/>
        <v xml:space="preserve"> ()</v>
      </c>
    </row>
    <row r="9961" spans="1:7" x14ac:dyDescent="0.3">
      <c r="A9961" s="1" t="s">
        <v>4</v>
      </c>
      <c r="B9961" s="2" t="str">
        <f t="shared" si="870"/>
        <v>SISTEMA DE GERENCIAMENTO DE INTERNAÇÃO</v>
      </c>
      <c r="C9961" s="2" t="str">
        <f t="shared" si="871"/>
        <v>INTER</v>
      </c>
      <c r="D9961" s="2" t="str">
        <f t="shared" si="872"/>
        <v>PARI</v>
      </c>
      <c r="E9961" s="2" t="str">
        <f>"CONSULTA: ESTATÍSTICAS DE PRODUÇÃO"</f>
        <v>CONSULTA: ESTATÍSTICAS DE PRODUÇÃO</v>
      </c>
      <c r="F9961" s="2" t="str">
        <f>"C_EST_PRODUCAO"</f>
        <v>C_EST_PRODUCAO</v>
      </c>
      <c r="G9961" s="2" t="str">
        <f>"MVSaude / Vendas / Internação / Consultas / Estatísticas de Produção / Produção (C_EST_PRODUCAO)"</f>
        <v>MVSaude / Vendas / Internação / Consultas / Estatísticas de Produção / Produção (C_EST_PRODUCAO)</v>
      </c>
    </row>
    <row r="9962" spans="1:7" x14ac:dyDescent="0.3">
      <c r="A9962" s="1" t="s">
        <v>4</v>
      </c>
      <c r="B9962" s="2" t="str">
        <f t="shared" si="870"/>
        <v>SISTEMA DE GERENCIAMENTO DE INTERNAÇÃO</v>
      </c>
      <c r="C9962" s="2" t="str">
        <f t="shared" si="871"/>
        <v>INTER</v>
      </c>
      <c r="D9962" s="2" t="str">
        <f t="shared" si="872"/>
        <v>PARI</v>
      </c>
      <c r="E9962" s="2" t="str">
        <f>"CONSULTA: ESTATÍSTICAS DE PRODUÇÃO"</f>
        <v>CONSULTA: ESTATÍSTICAS DE PRODUÇÃO</v>
      </c>
      <c r="F9962" s="2" t="str">
        <f>"C_EST_PRODUCAO"</f>
        <v>C_EST_PRODUCAO</v>
      </c>
      <c r="G9962" s="2" t="str">
        <f>"Atendimento / Internação / Consultas / Estatísticas de Produção / Produção (C_EST_PRODUCAO)"</f>
        <v>Atendimento / Internação / Consultas / Estatísticas de Produção / Produção (C_EST_PRODUCAO)</v>
      </c>
    </row>
    <row r="9963" spans="1:7" x14ac:dyDescent="0.3">
      <c r="A9963" s="1" t="s">
        <v>4</v>
      </c>
      <c r="B9963" s="2" t="str">
        <f t="shared" si="870"/>
        <v>SISTEMA DE GERENCIAMENTO DE INTERNAÇÃO</v>
      </c>
      <c r="C9963" s="2" t="str">
        <f t="shared" si="871"/>
        <v>INTER</v>
      </c>
      <c r="D9963" s="2" t="str">
        <f t="shared" si="872"/>
        <v>PARI</v>
      </c>
      <c r="E9963" s="2" t="str">
        <f>"CONSULTA: ESTATÍSTICAS DE PRODUÇÃO"</f>
        <v>CONSULTA: ESTATÍSTICAS DE PRODUÇÃO</v>
      </c>
      <c r="F9963" s="2" t="str">
        <f>"C_EST_PRODUCAO"</f>
        <v>C_EST_PRODUCAO</v>
      </c>
      <c r="G9963" s="2" t="str">
        <f>"MVSaude / Atendimento / Autorizações de Guias / Internação / Consultas / Estatísticas de Produção / Produção (C_EST_PRODUCAO)"</f>
        <v>MVSaude / Atendimento / Autorizações de Guias / Internação / Consultas / Estatísticas de Produção / Produção (C_EST_PRODUCAO)</v>
      </c>
    </row>
    <row r="9964" spans="1:7" x14ac:dyDescent="0.3">
      <c r="A9964" s="1" t="s">
        <v>4</v>
      </c>
      <c r="B9964" s="2" t="str">
        <f t="shared" si="870"/>
        <v>SISTEMA DE GERENCIAMENTO DE INTERNAÇÃO</v>
      </c>
      <c r="C9964" s="2" t="str">
        <f t="shared" si="871"/>
        <v>INTER</v>
      </c>
      <c r="D9964" s="2" t="str">
        <f t="shared" si="872"/>
        <v>PARI</v>
      </c>
      <c r="E9964" s="2" t="str">
        <f>"R_SOLIC_LIMPEZA_TRANSF"</f>
        <v>R_SOLIC_LIMPEZA_TRANSF</v>
      </c>
      <c r="F9964" s="2" t="str">
        <f>"R_SOLIC_LIMPEZA_TRANSF"</f>
        <v>R_SOLIC_LIMPEZA_TRANSF</v>
      </c>
      <c r="G9964" s="2" t="str">
        <f t="shared" ref="G9964:G9971" si="874">" ()"</f>
        <v xml:space="preserve"> ()</v>
      </c>
    </row>
    <row r="9965" spans="1:7" x14ac:dyDescent="0.3">
      <c r="A9965" s="1" t="s">
        <v>4</v>
      </c>
      <c r="B9965" s="2" t="str">
        <f t="shared" si="870"/>
        <v>SISTEMA DE GERENCIAMENTO DE INTERNAÇÃO</v>
      </c>
      <c r="C9965" s="2" t="str">
        <f t="shared" si="871"/>
        <v>INTER</v>
      </c>
      <c r="D9965" s="2" t="str">
        <f t="shared" si="872"/>
        <v>PARI</v>
      </c>
      <c r="E9965" s="2" t="str">
        <f>"DECLARAÇÃO DE FILANTROPIA"</f>
        <v>DECLARAÇÃO DE FILANTROPIA</v>
      </c>
      <c r="F9965" s="2" t="str">
        <f>"R_TERMO_FILANTROPIA"</f>
        <v>R_TERMO_FILANTROPIA</v>
      </c>
      <c r="G9965" s="2" t="str">
        <f t="shared" si="874"/>
        <v xml:space="preserve"> ()</v>
      </c>
    </row>
    <row r="9966" spans="1:7" x14ac:dyDescent="0.3">
      <c r="A9966" s="1" t="s">
        <v>4</v>
      </c>
      <c r="B9966" s="2" t="str">
        <f t="shared" si="870"/>
        <v>SISTEMA DE GERENCIAMENTO DE INTERNAÇÃO</v>
      </c>
      <c r="C9966" s="2" t="str">
        <f t="shared" si="871"/>
        <v>INTER</v>
      </c>
      <c r="D9966" s="2" t="str">
        <f t="shared" si="872"/>
        <v>PARI</v>
      </c>
      <c r="E9966" s="2" t="str">
        <f>"RELATÓRIO ESTATÍSTICO HOSPITALAR"</f>
        <v>RELATÓRIO ESTATÍSTICO HOSPITALAR</v>
      </c>
      <c r="F9966" s="2" t="str">
        <f>"R_EST_HOSPITALAR_970.RDF"</f>
        <v>R_EST_HOSPITALAR_970.RDF</v>
      </c>
      <c r="G9966" s="2" t="str">
        <f t="shared" si="874"/>
        <v xml:space="preserve"> ()</v>
      </c>
    </row>
    <row r="9967" spans="1:7" x14ac:dyDescent="0.3">
      <c r="A9967" s="1" t="s">
        <v>4</v>
      </c>
      <c r="B9967" s="2" t="str">
        <f t="shared" si="870"/>
        <v>SISTEMA DE GERENCIAMENTO DE INTERNAÇÃO</v>
      </c>
      <c r="C9967" s="2" t="str">
        <f t="shared" si="871"/>
        <v>INTER</v>
      </c>
      <c r="D9967" s="2" t="str">
        <f t="shared" si="872"/>
        <v>PARI</v>
      </c>
      <c r="E9967" s="2" t="str">
        <f>"ÓBITO X FUNERÁRIA"</f>
        <v>ÓBITO X FUNERÁRIA</v>
      </c>
      <c r="F9967" s="2" t="str">
        <f>"R_OBITO_FUNERARIA.RDF"</f>
        <v>R_OBITO_FUNERARIA.RDF</v>
      </c>
      <c r="G9967" s="2" t="str">
        <f t="shared" si="874"/>
        <v xml:space="preserve"> ()</v>
      </c>
    </row>
    <row r="9968" spans="1:7" x14ac:dyDescent="0.3">
      <c r="A9968" s="1" t="s">
        <v>4</v>
      </c>
      <c r="B9968" s="2" t="str">
        <f t="shared" si="870"/>
        <v>SISTEMA DE GERENCIAMENTO DE INTERNAÇÃO</v>
      </c>
      <c r="C9968" s="2" t="str">
        <f t="shared" si="871"/>
        <v>INTER</v>
      </c>
      <c r="D9968" s="2" t="str">
        <f t="shared" si="872"/>
        <v>PARI</v>
      </c>
      <c r="E9968" s="2" t="str">
        <f>"POR ANO"</f>
        <v>POR ANO</v>
      </c>
      <c r="F9968" s="2" t="str">
        <f>"R_INTERN_SIN.RDF"</f>
        <v>R_INTERN_SIN.RDF</v>
      </c>
      <c r="G9968" s="2" t="str">
        <f t="shared" si="874"/>
        <v xml:space="preserve"> ()</v>
      </c>
    </row>
    <row r="9969" spans="1:7" x14ac:dyDescent="0.3">
      <c r="A9969" s="1" t="s">
        <v>4</v>
      </c>
      <c r="B9969" s="2" t="str">
        <f t="shared" si="870"/>
        <v>SISTEMA DE GERENCIAMENTO DE INTERNAÇÃO</v>
      </c>
      <c r="C9969" s="2" t="str">
        <f t="shared" si="871"/>
        <v>INTER</v>
      </c>
      <c r="D9969" s="2" t="str">
        <f t="shared" si="872"/>
        <v>PARI</v>
      </c>
      <c r="E9969" s="2" t="str">
        <f>"ETIQUETAS MALA DIRETA"</f>
        <v>ETIQUETAS MALA DIRETA</v>
      </c>
      <c r="F9969" s="2" t="str">
        <f>"R_ETIQUETA_MALA_DIRETA661.RDF"</f>
        <v>R_ETIQUETA_MALA_DIRETA661.RDF</v>
      </c>
      <c r="G9969" s="2" t="str">
        <f t="shared" si="874"/>
        <v xml:space="preserve"> ()</v>
      </c>
    </row>
    <row r="9970" spans="1:7" x14ac:dyDescent="0.3">
      <c r="A9970" s="1" t="s">
        <v>4</v>
      </c>
      <c r="B9970" s="2" t="str">
        <f t="shared" si="870"/>
        <v>SISTEMA DE GERENCIAMENTO DE INTERNAÇÃO</v>
      </c>
      <c r="C9970" s="2" t="str">
        <f t="shared" si="871"/>
        <v>INTER</v>
      </c>
      <c r="D9970" s="2" t="str">
        <f t="shared" si="872"/>
        <v>PARI</v>
      </c>
      <c r="E9970" s="2" t="str">
        <f>"ÓBITOS X UNID. INTERN. X CONVÊNIO"</f>
        <v>ÓBITOS X UNID. INTERN. X CONVÊNIO</v>
      </c>
      <c r="F9970" s="2" t="str">
        <f>"R_OBITOS_UNID_CONV.RDF"</f>
        <v>R_OBITOS_UNID_CONV.RDF</v>
      </c>
      <c r="G9970" s="2" t="str">
        <f t="shared" si="874"/>
        <v xml:space="preserve"> ()</v>
      </c>
    </row>
    <row r="9971" spans="1:7" x14ac:dyDescent="0.3">
      <c r="A9971" s="1" t="s">
        <v>4</v>
      </c>
      <c r="B9971" s="2" t="str">
        <f t="shared" si="870"/>
        <v>SISTEMA DE GERENCIAMENTO DE INTERNAÇÃO</v>
      </c>
      <c r="C9971" s="2" t="str">
        <f t="shared" si="871"/>
        <v>INTER</v>
      </c>
      <c r="D9971" s="2" t="str">
        <f t="shared" si="872"/>
        <v>PARI</v>
      </c>
      <c r="E9971" s="2" t="str">
        <f>"RELATÓRIO ESTATÍSTICO HOSPITALAR"</f>
        <v>RELATÓRIO ESTATÍSTICO HOSPITALAR</v>
      </c>
      <c r="F9971" s="2" t="str">
        <f>"R_EST_HOSPITALAR.RDF"</f>
        <v>R_EST_HOSPITALAR.RDF</v>
      </c>
      <c r="G9971" s="2" t="str">
        <f t="shared" si="874"/>
        <v xml:space="preserve"> ()</v>
      </c>
    </row>
    <row r="9972" spans="1:7" x14ac:dyDescent="0.3">
      <c r="A9972" s="1" t="s">
        <v>4</v>
      </c>
      <c r="B9972" s="2" t="str">
        <f t="shared" si="870"/>
        <v>SISTEMA DE GERENCIAMENTO DE INTERNAÇÃO</v>
      </c>
      <c r="C9972" s="2" t="str">
        <f t="shared" si="871"/>
        <v>INTER</v>
      </c>
      <c r="D9972" s="2" t="str">
        <f t="shared" si="872"/>
        <v>PARI</v>
      </c>
      <c r="E9972" s="2" t="str">
        <f>"ALTA HOSPITALAR"</f>
        <v>ALTA HOSPITALAR</v>
      </c>
      <c r="F9972" s="2" t="str">
        <f>"ALTA_HOSPITALAR"</f>
        <v>ALTA_HOSPITALAR</v>
      </c>
      <c r="G9972" s="2" t="str">
        <f>"Atendimento / Internação / Atendimento / Alta / Efetivação / Alta Hospitalar (ALTA_HOSPITALAR)"</f>
        <v>Atendimento / Internação / Atendimento / Alta / Efetivação / Alta Hospitalar (ALTA_HOSPITALAR)</v>
      </c>
    </row>
    <row r="9973" spans="1:7" x14ac:dyDescent="0.3">
      <c r="A9973" s="1" t="s">
        <v>4</v>
      </c>
      <c r="B9973" s="2" t="str">
        <f t="shared" si="870"/>
        <v>SISTEMA DE GERENCIAMENTO DE INTERNAÇÃO</v>
      </c>
      <c r="C9973" s="2" t="str">
        <f t="shared" si="871"/>
        <v>INTER</v>
      </c>
      <c r="D9973" s="2" t="str">
        <f t="shared" si="872"/>
        <v>PARI</v>
      </c>
      <c r="E9973" s="2" t="str">
        <f>"ALTA HOSPITALAR"</f>
        <v>ALTA HOSPITALAR</v>
      </c>
      <c r="F9973" s="2" t="str">
        <f>"ALTA_HOSPITALAR"</f>
        <v>ALTA_HOSPITALAR</v>
      </c>
      <c r="G9973" s="2" t="str">
        <f>"MVSaude / Atendimento / Autorizações de Guias / Internação / Atendimento / Alta / Efetivação / Alta Hospitalar (ALTA_HOSPITALAR)"</f>
        <v>MVSaude / Atendimento / Autorizações de Guias / Internação / Atendimento / Alta / Efetivação / Alta Hospitalar (ALTA_HOSPITALAR)</v>
      </c>
    </row>
    <row r="9974" spans="1:7" x14ac:dyDescent="0.3">
      <c r="A9974" s="1" t="s">
        <v>4</v>
      </c>
      <c r="B9974" s="2" t="str">
        <f t="shared" si="870"/>
        <v>SISTEMA DE GERENCIAMENTO DE INTERNAÇÃO</v>
      </c>
      <c r="C9974" s="2" t="str">
        <f t="shared" si="871"/>
        <v>INTER</v>
      </c>
      <c r="D9974" s="2" t="str">
        <f t="shared" si="872"/>
        <v>PARI</v>
      </c>
      <c r="E9974" s="2" t="str">
        <f>"ALTA MEDICA"</f>
        <v>ALTA MEDICA</v>
      </c>
      <c r="F9974" s="2" t="str">
        <f>"ALTA_MEDICA"</f>
        <v>ALTA_MEDICA</v>
      </c>
      <c r="G9974" s="2" t="str">
        <f>"MVSaude / Vendas / Internação / Atendimento / Alta / Efetivação / Alta Médica (ALTA_MEDICA)"</f>
        <v>MVSaude / Vendas / Internação / Atendimento / Alta / Efetivação / Alta Médica (ALTA_MEDICA)</v>
      </c>
    </row>
    <row r="9975" spans="1:7" x14ac:dyDescent="0.3">
      <c r="A9975" s="1" t="s">
        <v>4</v>
      </c>
      <c r="B9975" s="2" t="str">
        <f t="shared" si="870"/>
        <v>SISTEMA DE GERENCIAMENTO DE INTERNAÇÃO</v>
      </c>
      <c r="C9975" s="2" t="str">
        <f t="shared" si="871"/>
        <v>INTER</v>
      </c>
      <c r="D9975" s="2" t="str">
        <f t="shared" si="872"/>
        <v>PARI</v>
      </c>
      <c r="E9975" s="2" t="str">
        <f>"ALTA MEDICA"</f>
        <v>ALTA MEDICA</v>
      </c>
      <c r="F9975" s="2" t="str">
        <f>"ALTA_MEDICA"</f>
        <v>ALTA_MEDICA</v>
      </c>
      <c r="G9975" s="2" t="str">
        <f>"Atendimento / Internação / Atendimento / Alta / Efetivação / Alta Médica (ALTA_MEDICA)"</f>
        <v>Atendimento / Internação / Atendimento / Alta / Efetivação / Alta Médica (ALTA_MEDICA)</v>
      </c>
    </row>
    <row r="9976" spans="1:7" x14ac:dyDescent="0.3">
      <c r="A9976" s="1" t="s">
        <v>4</v>
      </c>
      <c r="B9976" s="2" t="str">
        <f t="shared" si="870"/>
        <v>SISTEMA DE GERENCIAMENTO DE INTERNAÇÃO</v>
      </c>
      <c r="C9976" s="2" t="str">
        <f t="shared" si="871"/>
        <v>INTER</v>
      </c>
      <c r="D9976" s="2" t="str">
        <f t="shared" si="872"/>
        <v>PARI</v>
      </c>
      <c r="E9976" s="2" t="str">
        <f>"ALTA MEDICA"</f>
        <v>ALTA MEDICA</v>
      </c>
      <c r="F9976" s="2" t="str">
        <f>"ALTA_MEDICA"</f>
        <v>ALTA_MEDICA</v>
      </c>
      <c r="G9976" s="2" t="str">
        <f>"MVSaude / Atendimento / Autorizações de Guias / Internação / Atendimento / Alta / Efetivação / Alta Médica (ALTA_MEDICA)"</f>
        <v>MVSaude / Atendimento / Autorizações de Guias / Internação / Atendimento / Alta / Efetivação / Alta Médica (ALTA_MEDICA)</v>
      </c>
    </row>
    <row r="9977" spans="1:7" x14ac:dyDescent="0.3">
      <c r="A9977" s="1" t="s">
        <v>4</v>
      </c>
      <c r="B9977" s="2" t="str">
        <f t="shared" si="870"/>
        <v>SISTEMA DE GERENCIAMENTO DE INTERNAÇÃO</v>
      </c>
      <c r="C9977" s="2" t="str">
        <f t="shared" si="871"/>
        <v>INTER</v>
      </c>
      <c r="D9977" s="2" t="str">
        <f t="shared" si="872"/>
        <v>PARI</v>
      </c>
      <c r="E9977" s="2" t="str">
        <f>"BAIXA PENDÊNCIA DO ATENDIMENTO"</f>
        <v>BAIXA PENDÊNCIA DO ATENDIMENTO</v>
      </c>
      <c r="F9977" s="2" t="str">
        <f>"PEND_ATE_BAIXA"</f>
        <v>PEND_ATE_BAIXA</v>
      </c>
      <c r="G9977" s="2" t="str">
        <f>"Outros / Fusam / Atendimentos / Pendências / Baixa (PEND_ATE_BAIXA)"</f>
        <v>Outros / Fusam / Atendimentos / Pendências / Baixa (PEND_ATE_BAIXA)</v>
      </c>
    </row>
    <row r="9978" spans="1:7" x14ac:dyDescent="0.3">
      <c r="A9978" s="1" t="s">
        <v>4</v>
      </c>
      <c r="B9978" s="2" t="str">
        <f t="shared" si="870"/>
        <v>SISTEMA DE GERENCIAMENTO DE INTERNAÇÃO</v>
      </c>
      <c r="C9978" s="2" t="str">
        <f t="shared" si="871"/>
        <v>INTER</v>
      </c>
      <c r="D9978" s="2" t="str">
        <f t="shared" si="872"/>
        <v>PARI</v>
      </c>
      <c r="E9978" s="2" t="str">
        <f>"BAIXA PENDÊNCIA DO ATENDIMENTO"</f>
        <v>BAIXA PENDÊNCIA DO ATENDIMENTO</v>
      </c>
      <c r="F9978" s="2" t="str">
        <f>"PEND_ATE_BAIXA"</f>
        <v>PEND_ATE_BAIXA</v>
      </c>
      <c r="G9978" s="2" t="str">
        <f>"MVSaude / Atendimento / Autorizações de Guias / Internação / Atendimento / Pendências do Atendimento / Baixa (PEND_ATE_BAIXA)"</f>
        <v>MVSaude / Atendimento / Autorizações de Guias / Internação / Atendimento / Pendências do Atendimento / Baixa (PEND_ATE_BAIXA)</v>
      </c>
    </row>
    <row r="9979" spans="1:7" x14ac:dyDescent="0.3">
      <c r="A9979" s="1" t="s">
        <v>4</v>
      </c>
      <c r="B9979" s="2" t="str">
        <f t="shared" si="870"/>
        <v>SISTEMA DE GERENCIAMENTO DE INTERNAÇÃO</v>
      </c>
      <c r="C9979" s="2" t="str">
        <f t="shared" si="871"/>
        <v>INTER</v>
      </c>
      <c r="D9979" s="2" t="str">
        <f t="shared" si="872"/>
        <v>PARI</v>
      </c>
      <c r="E9979" s="2" t="str">
        <f>"BAIXA PENDÊNCIA DO ATENDIMENTO"</f>
        <v>BAIXA PENDÊNCIA DO ATENDIMENTO</v>
      </c>
      <c r="F9979" s="2" t="str">
        <f>"PEND_ATE_BAIXA"</f>
        <v>PEND_ATE_BAIXA</v>
      </c>
      <c r="G9979" s="2" t="str">
        <f>"Atendimento / Internação / Atendimento / Pendências do Atendimento / Baixa (PEND_ATE_BAIXA)"</f>
        <v>Atendimento / Internação / Atendimento / Pendências do Atendimento / Baixa (PEND_ATE_BAIXA)</v>
      </c>
    </row>
    <row r="9980" spans="1:7" x14ac:dyDescent="0.3">
      <c r="A9980" s="1" t="s">
        <v>4</v>
      </c>
      <c r="B9980" s="2" t="str">
        <f t="shared" si="870"/>
        <v>SISTEMA DE GERENCIAMENTO DE INTERNAÇÃO</v>
      </c>
      <c r="C9980" s="2" t="str">
        <f t="shared" si="871"/>
        <v>INTER</v>
      </c>
      <c r="D9980" s="2" t="str">
        <f t="shared" si="872"/>
        <v>PARI</v>
      </c>
      <c r="E9980" s="2" t="str">
        <f>"BAIXA PENDÊNCIA DO ATENDIMENTO"</f>
        <v>BAIXA PENDÊNCIA DO ATENDIMENTO</v>
      </c>
      <c r="F9980" s="2" t="str">
        <f>"PEND_ATE_BAIXA"</f>
        <v>PEND_ATE_BAIXA</v>
      </c>
      <c r="G9980" s="2" t="str">
        <f>"MVSaude / Vendas / Internação / Atendimento / Pendências do Atendimento / Baixa (PEND_ATE_BAIXA)"</f>
        <v>MVSaude / Vendas / Internação / Atendimento / Pendências do Atendimento / Baixa (PEND_ATE_BAIXA)</v>
      </c>
    </row>
    <row r="9981" spans="1:7" x14ac:dyDescent="0.3">
      <c r="A9981" s="1" t="s">
        <v>4</v>
      </c>
      <c r="B9981" s="2" t="str">
        <f t="shared" si="870"/>
        <v>SISTEMA DE GERENCIAMENTO DE INTERNAÇÃO</v>
      </c>
      <c r="C9981" s="2" t="str">
        <f t="shared" si="871"/>
        <v>INTER</v>
      </c>
      <c r="D9981" s="2" t="str">
        <f t="shared" si="872"/>
        <v>PARI</v>
      </c>
      <c r="E9981" s="2" t="str">
        <f>"BAIXA PENDÊNCIA DO ATENDIMENTO"</f>
        <v>BAIXA PENDÊNCIA DO ATENDIMENTO</v>
      </c>
      <c r="F9981" s="2" t="str">
        <f>"PEND_ATE_BAIXA"</f>
        <v>PEND_ATE_BAIXA</v>
      </c>
      <c r="G9981" s="2" t="str">
        <f>"Clínica e Assistencial / Controle de Infecção Hospitalar / Atendimento / Pendências do Atendimento / Baixa de Pendência (PEND_ATE_BAIXA)"</f>
        <v>Clínica e Assistencial / Controle de Infecção Hospitalar / Atendimento / Pendências do Atendimento / Baixa de Pendência (PEND_ATE_BAIXA)</v>
      </c>
    </row>
    <row r="9982" spans="1:7" x14ac:dyDescent="0.3">
      <c r="A9982" s="1" t="s">
        <v>4</v>
      </c>
      <c r="B9982" s="2" t="str">
        <f t="shared" si="870"/>
        <v>SISTEMA DE GERENCIAMENTO DE INTERNAÇÃO</v>
      </c>
      <c r="C9982" s="2" t="str">
        <f t="shared" si="871"/>
        <v>INTER</v>
      </c>
      <c r="D9982" s="2" t="str">
        <f t="shared" si="872"/>
        <v>PARI</v>
      </c>
      <c r="E9982" s="2" t="str">
        <f t="shared" ref="E9982:E9987" si="875">"REGISTRO DE PENDÊNCIA DO ATENDIMENTO"</f>
        <v>REGISTRO DE PENDÊNCIA DO ATENDIMENTO</v>
      </c>
      <c r="F9982" s="2" t="str">
        <f t="shared" ref="F9982:F9987" si="876">"PEND_ATE_REGISTRO"</f>
        <v>PEND_ATE_REGISTRO</v>
      </c>
      <c r="G9982" s="2" t="str">
        <f>"Outros / Fusam / Atendimentos / Pendências / Registros (PEND_ATE_REGISTRO)"</f>
        <v>Outros / Fusam / Atendimentos / Pendências / Registros (PEND_ATE_REGISTRO)</v>
      </c>
    </row>
    <row r="9983" spans="1:7" x14ac:dyDescent="0.3">
      <c r="A9983" s="1" t="s">
        <v>4</v>
      </c>
      <c r="B9983" s="2" t="str">
        <f t="shared" si="870"/>
        <v>SISTEMA DE GERENCIAMENTO DE INTERNAÇÃO</v>
      </c>
      <c r="C9983" s="2" t="str">
        <f t="shared" si="871"/>
        <v>INTER</v>
      </c>
      <c r="D9983" s="2" t="str">
        <f t="shared" si="872"/>
        <v>PARI</v>
      </c>
      <c r="E9983" s="2" t="str">
        <f t="shared" si="875"/>
        <v>REGISTRO DE PENDÊNCIA DO ATENDIMENTO</v>
      </c>
      <c r="F9983" s="2" t="str">
        <f t="shared" si="876"/>
        <v>PEND_ATE_REGISTRO</v>
      </c>
      <c r="G9983" s="2" t="str">
        <f>"Atendimento / Internação Domiciliar (Home Care) / Recepção / Pendências do Atendimento / Registro de Pendências (PEND_ATE_REGISTRO)"</f>
        <v>Atendimento / Internação Domiciliar (Home Care) / Recepção / Pendências do Atendimento / Registro de Pendências (PEND_ATE_REGISTRO)</v>
      </c>
    </row>
    <row r="9984" spans="1:7" x14ac:dyDescent="0.3">
      <c r="A9984" s="1" t="s">
        <v>4</v>
      </c>
      <c r="B9984" s="2" t="str">
        <f t="shared" si="870"/>
        <v>SISTEMA DE GERENCIAMENTO DE INTERNAÇÃO</v>
      </c>
      <c r="C9984" s="2" t="str">
        <f t="shared" si="871"/>
        <v>INTER</v>
      </c>
      <c r="D9984" s="2" t="str">
        <f t="shared" si="872"/>
        <v>PARI</v>
      </c>
      <c r="E9984" s="2" t="str">
        <f t="shared" si="875"/>
        <v>REGISTRO DE PENDÊNCIA DO ATENDIMENTO</v>
      </c>
      <c r="F9984" s="2" t="str">
        <f t="shared" si="876"/>
        <v>PEND_ATE_REGISTRO</v>
      </c>
      <c r="G9984" s="2" t="str">
        <f>"MVSaude / Atendimento / Autorizações de Guias / Internação / Atendimento / Pendências do Atendimento / Registro (PEND_ATE_REGISTRO)"</f>
        <v>MVSaude / Atendimento / Autorizações de Guias / Internação / Atendimento / Pendências do Atendimento / Registro (PEND_ATE_REGISTRO)</v>
      </c>
    </row>
    <row r="9985" spans="1:7" x14ac:dyDescent="0.3">
      <c r="A9985" s="1" t="s">
        <v>4</v>
      </c>
      <c r="B9985" s="2" t="str">
        <f t="shared" si="870"/>
        <v>SISTEMA DE GERENCIAMENTO DE INTERNAÇÃO</v>
      </c>
      <c r="C9985" s="2" t="str">
        <f t="shared" si="871"/>
        <v>INTER</v>
      </c>
      <c r="D9985" s="2" t="str">
        <f t="shared" si="872"/>
        <v>PARI</v>
      </c>
      <c r="E9985" s="2" t="str">
        <f t="shared" si="875"/>
        <v>REGISTRO DE PENDÊNCIA DO ATENDIMENTO</v>
      </c>
      <c r="F9985" s="2" t="str">
        <f t="shared" si="876"/>
        <v>PEND_ATE_REGISTRO</v>
      </c>
      <c r="G9985" s="2" t="str">
        <f>"Atendimento / Internação / Atendimento / Pendências do Atendimento / Registro (PEND_ATE_REGISTRO)"</f>
        <v>Atendimento / Internação / Atendimento / Pendências do Atendimento / Registro (PEND_ATE_REGISTRO)</v>
      </c>
    </row>
    <row r="9986" spans="1:7" x14ac:dyDescent="0.3">
      <c r="A9986" s="1" t="s">
        <v>4</v>
      </c>
      <c r="B9986" s="2" t="str">
        <f t="shared" si="870"/>
        <v>SISTEMA DE GERENCIAMENTO DE INTERNAÇÃO</v>
      </c>
      <c r="C9986" s="2" t="str">
        <f t="shared" si="871"/>
        <v>INTER</v>
      </c>
      <c r="D9986" s="2" t="str">
        <f t="shared" si="872"/>
        <v>PARI</v>
      </c>
      <c r="E9986" s="2" t="str">
        <f t="shared" si="875"/>
        <v>REGISTRO DE PENDÊNCIA DO ATENDIMENTO</v>
      </c>
      <c r="F9986" s="2" t="str">
        <f t="shared" si="876"/>
        <v>PEND_ATE_REGISTRO</v>
      </c>
      <c r="G9986" s="2" t="str">
        <f>"MVSaude / Vendas / Internação / Atendimento / Pendências do Atendimento / Registro (PEND_ATE_REGISTRO)"</f>
        <v>MVSaude / Vendas / Internação / Atendimento / Pendências do Atendimento / Registro (PEND_ATE_REGISTRO)</v>
      </c>
    </row>
    <row r="9987" spans="1:7" x14ac:dyDescent="0.3">
      <c r="A9987" s="1" t="s">
        <v>4</v>
      </c>
      <c r="B9987" s="2" t="str">
        <f t="shared" si="870"/>
        <v>SISTEMA DE GERENCIAMENTO DE INTERNAÇÃO</v>
      </c>
      <c r="C9987" s="2" t="str">
        <f t="shared" si="871"/>
        <v>INTER</v>
      </c>
      <c r="D9987" s="2" t="str">
        <f t="shared" si="872"/>
        <v>PARI</v>
      </c>
      <c r="E9987" s="2" t="str">
        <f t="shared" si="875"/>
        <v>REGISTRO DE PENDÊNCIA DO ATENDIMENTO</v>
      </c>
      <c r="F9987" s="2" t="str">
        <f t="shared" si="876"/>
        <v>PEND_ATE_REGISTRO</v>
      </c>
      <c r="G9987" s="2" t="str">
        <f>"Clínica e Assistencial / Controle de Infecção Hospitalar / Atendimento / Pendências do Atendimento / Registro de Pendência (PEND_ATE_REGISTRO)"</f>
        <v>Clínica e Assistencial / Controle de Infecção Hospitalar / Atendimento / Pendências do Atendimento / Registro de Pendência (PEND_ATE_REGISTRO)</v>
      </c>
    </row>
    <row r="9988" spans="1:7" x14ac:dyDescent="0.3">
      <c r="A9988" s="1" t="s">
        <v>4</v>
      </c>
      <c r="B9988" s="2" t="str">
        <f t="shared" ref="B9988:B10010" si="877">"BANCO DE SANGUE"</f>
        <v>BANCO DE SANGUE</v>
      </c>
      <c r="C9988" s="2" t="str">
        <f t="shared" ref="C9988:C10019" si="878">"APOIO"</f>
        <v>APOIO</v>
      </c>
      <c r="D9988" s="2" t="str">
        <f t="shared" ref="D9988:D10010" si="879">"PBSA"</f>
        <v>PBSA</v>
      </c>
      <c r="E9988" s="2" t="str">
        <f>"RELATÓRIO DE FICHA DE PACIENTE INTERNADO"</f>
        <v>RELATÓRIO DE FICHA DE PACIENTE INTERNADO</v>
      </c>
      <c r="F9988" s="2" t="str">
        <f>"R_FICHA_PACIENTE.RDF"</f>
        <v>R_FICHA_PACIENTE.RDF</v>
      </c>
      <c r="G9988" s="2" t="str">
        <f>" ()"</f>
        <v xml:space="preserve"> ()</v>
      </c>
    </row>
    <row r="9989" spans="1:7" x14ac:dyDescent="0.3">
      <c r="A9989" s="1" t="s">
        <v>4</v>
      </c>
      <c r="B9989" s="2" t="str">
        <f t="shared" si="877"/>
        <v>BANCO DE SANGUE</v>
      </c>
      <c r="C9989" s="2" t="str">
        <f t="shared" si="878"/>
        <v>APOIO</v>
      </c>
      <c r="D9989" s="2" t="str">
        <f t="shared" si="879"/>
        <v>PBSA</v>
      </c>
      <c r="E9989" s="2" t="str">
        <f>"Relatório de Etiqueta Parenteral"</f>
        <v>Relatório de Etiqueta Parenteral</v>
      </c>
      <c r="F9989" s="2" t="str">
        <f>"R_ETIQ_PARENTERAL"</f>
        <v>R_ETIQ_PARENTERAL</v>
      </c>
      <c r="G9989" s="2" t="str">
        <f>" ()"</f>
        <v xml:space="preserve"> ()</v>
      </c>
    </row>
    <row r="9990" spans="1:7" x14ac:dyDescent="0.3">
      <c r="A9990" s="1" t="s">
        <v>4</v>
      </c>
      <c r="B9990" s="2" t="str">
        <f t="shared" si="877"/>
        <v>BANCO DE SANGUE</v>
      </c>
      <c r="C9990" s="2" t="str">
        <f t="shared" si="878"/>
        <v>APOIO</v>
      </c>
      <c r="D9990" s="2" t="str">
        <f t="shared" si="879"/>
        <v>PBSA</v>
      </c>
      <c r="E9990" s="2" t="str">
        <f>"R_PRESC_EXA_SANGUE"</f>
        <v>R_PRESC_EXA_SANGUE</v>
      </c>
      <c r="F9990" s="2" t="str">
        <f>"R_PRESC_EXA_SANGUE"</f>
        <v>R_PRESC_EXA_SANGUE</v>
      </c>
      <c r="G9990" s="2" t="str">
        <f>" ()"</f>
        <v xml:space="preserve"> ()</v>
      </c>
    </row>
    <row r="9991" spans="1:7" x14ac:dyDescent="0.3">
      <c r="A9991" s="1" t="s">
        <v>4</v>
      </c>
      <c r="B9991" s="2" t="str">
        <f t="shared" si="877"/>
        <v>BANCO DE SANGUE</v>
      </c>
      <c r="C9991" s="2" t="str">
        <f t="shared" si="878"/>
        <v>APOIO</v>
      </c>
      <c r="D9991" s="2" t="str">
        <f t="shared" si="879"/>
        <v>PBSA</v>
      </c>
      <c r="E9991" s="2" t="str">
        <f>"Setores Solic. X Setores Executantes"</f>
        <v>Setores Solic. X Setores Executantes</v>
      </c>
      <c r="F9991" s="2" t="str">
        <f>"M_SETOR_SOLIC_EXEC_PBSA"</f>
        <v>M_SETOR_SOLIC_EXEC_PBSA</v>
      </c>
      <c r="G9991" s="2" t="str">
        <f>"Diagnóstico e Terapia / Banco de Sangue / Configurações / Setores Solic. X Setores Executantes (M_SETOR_SOLIC_EXEC_PBSA)"</f>
        <v>Diagnóstico e Terapia / Banco de Sangue / Configurações / Setores Solic. X Setores Executantes (M_SETOR_SOLIC_EXEC_PBSA)</v>
      </c>
    </row>
    <row r="9992" spans="1:7" x14ac:dyDescent="0.3">
      <c r="A9992" s="1" t="s">
        <v>4</v>
      </c>
      <c r="B9992" s="2" t="str">
        <f t="shared" si="877"/>
        <v>BANCO DE SANGUE</v>
      </c>
      <c r="C9992" s="2" t="str">
        <f t="shared" si="878"/>
        <v>APOIO</v>
      </c>
      <c r="D9992" s="2" t="str">
        <f t="shared" si="879"/>
        <v>PBSA</v>
      </c>
      <c r="E9992" s="2" t="str">
        <f>"PERSONALIZADOS DO PBSA"</f>
        <v>PERSONALIZADOS DO PBSA</v>
      </c>
      <c r="F9992" s="2" t="str">
        <f>"R_PERSON_PBSA"</f>
        <v>R_PERSON_PBSA</v>
      </c>
      <c r="G9992" s="2" t="str">
        <f>"Diagnóstico e Terapia / Banco de Sangue / Relatórios / Personalizados (R_PERSON_PBSA)"</f>
        <v>Diagnóstico e Terapia / Banco de Sangue / Relatórios / Personalizados (R_PERSON_PBSA)</v>
      </c>
    </row>
    <row r="9993" spans="1:7" x14ac:dyDescent="0.3">
      <c r="A9993" s="1" t="s">
        <v>4</v>
      </c>
      <c r="B9993" s="2" t="str">
        <f t="shared" si="877"/>
        <v>BANCO DE SANGUE</v>
      </c>
      <c r="C9993" s="2" t="str">
        <f t="shared" si="878"/>
        <v>APOIO</v>
      </c>
      <c r="D9993" s="2" t="str">
        <f t="shared" si="879"/>
        <v>PBSA</v>
      </c>
      <c r="E9993" s="2" t="str">
        <f>"PBSA"</f>
        <v>PBSA</v>
      </c>
      <c r="F9993" s="2" t="str">
        <f>"PBSA"</f>
        <v>PBSA</v>
      </c>
      <c r="G9993" s="2" t="str">
        <f>" ()"</f>
        <v xml:space="preserve"> ()</v>
      </c>
    </row>
    <row r="9994" spans="1:7" x14ac:dyDescent="0.3">
      <c r="A9994" s="1" t="s">
        <v>4</v>
      </c>
      <c r="B9994" s="2" t="str">
        <f t="shared" si="877"/>
        <v>BANCO DE SANGUE</v>
      </c>
      <c r="C9994" s="2" t="str">
        <f t="shared" si="878"/>
        <v>APOIO</v>
      </c>
      <c r="D9994" s="2" t="str">
        <f t="shared" si="879"/>
        <v>PBSA</v>
      </c>
      <c r="E9994" s="2" t="str">
        <f>"R_FICHA_PACIENTE"</f>
        <v>R_FICHA_PACIENTE</v>
      </c>
      <c r="F9994" s="2" t="str">
        <f>"R_FICHA_PACIENTE"</f>
        <v>R_FICHA_PACIENTE</v>
      </c>
      <c r="G9994" s="2" t="str">
        <f>"Diagnóstico e Terapia / Banco de Sangue / Relatórios / Ficha de Paciente Internado (R_FICHA_PACIENTE)"</f>
        <v>Diagnóstico e Terapia / Banco de Sangue / Relatórios / Ficha de Paciente Internado (R_FICHA_PACIENTE)</v>
      </c>
    </row>
    <row r="9995" spans="1:7" x14ac:dyDescent="0.3">
      <c r="A9995" s="1" t="s">
        <v>4</v>
      </c>
      <c r="B9995" s="2" t="str">
        <f t="shared" si="877"/>
        <v>BANCO DE SANGUE</v>
      </c>
      <c r="C9995" s="2" t="str">
        <f t="shared" si="878"/>
        <v>APOIO</v>
      </c>
      <c r="D9995" s="2" t="str">
        <f t="shared" si="879"/>
        <v>PBSA</v>
      </c>
      <c r="E9995" s="2" t="str">
        <f>"CADASTRO DE SOLIC. DE BANCO DE SANGUE"</f>
        <v>CADASTRO DE SOLIC. DE BANCO DE SANGUE</v>
      </c>
      <c r="F9995" s="2" t="str">
        <f>"M_SOLIC_SANGUE"</f>
        <v>M_SOLIC_SANGUE</v>
      </c>
      <c r="G9995" s="2" t="str">
        <f>"Diagnóstico e Terapia / Banco de Sangue / Atendimentos / Solicitações de Exames (M_SOLIC_SANGUE)"</f>
        <v>Diagnóstico e Terapia / Banco de Sangue / Atendimentos / Solicitações de Exames (M_SOLIC_SANGUE)</v>
      </c>
    </row>
    <row r="9996" spans="1:7" x14ac:dyDescent="0.3">
      <c r="A9996" s="1" t="s">
        <v>4</v>
      </c>
      <c r="B9996" s="2" t="str">
        <f t="shared" si="877"/>
        <v>BANCO DE SANGUE</v>
      </c>
      <c r="C9996" s="2" t="str">
        <f t="shared" si="878"/>
        <v>APOIO</v>
      </c>
      <c r="D9996" s="2" t="str">
        <f t="shared" si="879"/>
        <v>PBSA</v>
      </c>
      <c r="E9996" s="2" t="str">
        <f>"CANCELAMENTO SOLIC. DE BANCO DE SANGUE"</f>
        <v>CANCELAMENTO SOLIC. DE BANCO DE SANGUE</v>
      </c>
      <c r="F9996" s="2" t="str">
        <f>"M_CANCEL_SOL"</f>
        <v>M_CANCEL_SOL</v>
      </c>
      <c r="G9996" s="2" t="str">
        <f>"Diagnóstico e Terapia / Banco de Sangue / Atendimentos / Cancelamento de Solicitações (M_CANCEL_SOL)"</f>
        <v>Diagnóstico e Terapia / Banco de Sangue / Atendimentos / Cancelamento de Solicitações (M_CANCEL_SOL)</v>
      </c>
    </row>
    <row r="9997" spans="1:7" x14ac:dyDescent="0.3">
      <c r="A9997" s="1" t="s">
        <v>4</v>
      </c>
      <c r="B9997" s="2" t="str">
        <f t="shared" si="877"/>
        <v>BANCO DE SANGUE</v>
      </c>
      <c r="C9997" s="2" t="str">
        <f t="shared" si="878"/>
        <v>APOIO</v>
      </c>
      <c r="D9997" s="2" t="str">
        <f t="shared" si="879"/>
        <v>PBSA</v>
      </c>
      <c r="E9997" s="2" t="str">
        <f>"CONSULTA DE SOLICITAÇÕES DE SANGUE"</f>
        <v>CONSULTA DE SOLICITAÇÕES DE SANGUE</v>
      </c>
      <c r="F9997" s="2" t="str">
        <f>"C_SOLIC_SANGUE"</f>
        <v>C_SOLIC_SANGUE</v>
      </c>
      <c r="G9997" s="2" t="str">
        <f>"Diagnóstico e Terapia / Banco de Sangue / Consultas / Solicitações de Banco de Sangue (C_SOLIC_SANGUE)"</f>
        <v>Diagnóstico e Terapia / Banco de Sangue / Consultas / Solicitações de Banco de Sangue (C_SOLIC_SANGUE)</v>
      </c>
    </row>
    <row r="9998" spans="1:7" x14ac:dyDescent="0.3">
      <c r="A9998" s="1" t="s">
        <v>4</v>
      </c>
      <c r="B9998" s="2" t="str">
        <f t="shared" si="877"/>
        <v>BANCO DE SANGUE</v>
      </c>
      <c r="C9998" s="2" t="str">
        <f t="shared" si="878"/>
        <v>APOIO</v>
      </c>
      <c r="D9998" s="2" t="str">
        <f t="shared" si="879"/>
        <v>PBSA</v>
      </c>
      <c r="E9998" s="2" t="str">
        <f>"CONSULTA DE SOLICITAÇÕES DE SANGUE"</f>
        <v>CONSULTA DE SOLICITAÇÕES DE SANGUE</v>
      </c>
      <c r="F9998" s="2" t="str">
        <f>"C_SOLIC_SANGUE"</f>
        <v>C_SOLIC_SANGUE</v>
      </c>
      <c r="G9998" s="2" t="str">
        <f>"Diagnóstico e Terapia / Banco de Sangue / Relatórios / Emissão de Solicitações (C_SOLIC_SANGUE)"</f>
        <v>Diagnóstico e Terapia / Banco de Sangue / Relatórios / Emissão de Solicitações (C_SOLIC_SANGUE)</v>
      </c>
    </row>
    <row r="9999" spans="1:7" x14ac:dyDescent="0.3">
      <c r="A9999" s="1" t="s">
        <v>4</v>
      </c>
      <c r="B9999" s="2" t="str">
        <f t="shared" si="877"/>
        <v>BANCO DE SANGUE</v>
      </c>
      <c r="C9999" s="2" t="str">
        <f t="shared" si="878"/>
        <v>APOIO</v>
      </c>
      <c r="D9999" s="2" t="str">
        <f t="shared" si="879"/>
        <v>PBSA</v>
      </c>
      <c r="E9999" s="2" t="str">
        <f>"GERAÇÃO DE ARQ MV2000 - BANCO DE SANGUE"</f>
        <v>GERAÇÃO DE ARQ MV2000 - BANCO DE SANGUE</v>
      </c>
      <c r="F9999" s="2" t="str">
        <f>"O_GERA_DISCO"</f>
        <v>O_GERA_DISCO</v>
      </c>
      <c r="G9999" s="2" t="str">
        <f>"Diagnóstico e Terapia / Banco de Sangue / Atendimentos / Geração de Disquete - Banco de Sangue (O_GERA_DISCO)"</f>
        <v>Diagnóstico e Terapia / Banco de Sangue / Atendimentos / Geração de Disquete - Banco de Sangue (O_GERA_DISCO)</v>
      </c>
    </row>
    <row r="10000" spans="1:7" x14ac:dyDescent="0.3">
      <c r="A10000" s="1" t="s">
        <v>4</v>
      </c>
      <c r="B10000" s="2" t="str">
        <f t="shared" si="877"/>
        <v>BANCO DE SANGUE</v>
      </c>
      <c r="C10000" s="2" t="str">
        <f t="shared" si="878"/>
        <v>APOIO</v>
      </c>
      <c r="D10000" s="2" t="str">
        <f t="shared" si="879"/>
        <v>PBSA</v>
      </c>
      <c r="E10000" s="2" t="str">
        <f>"SOLICITAÇÕES DE BANCO DE SANGUE"</f>
        <v>SOLICITAÇÕES DE BANCO DE SANGUE</v>
      </c>
      <c r="F10000" s="2" t="str">
        <f>"M_CONFIRMA_SOL"</f>
        <v>M_CONFIRMA_SOL</v>
      </c>
      <c r="G10000" s="2" t="str">
        <f>"Diagnóstico e Terapia / Banco de Sangue / Atendimentos / Confirmação de Solicitações (M_CONFIRMA_SOL)"</f>
        <v>Diagnóstico e Terapia / Banco de Sangue / Atendimentos / Confirmação de Solicitações (M_CONFIRMA_SOL)</v>
      </c>
    </row>
    <row r="10001" spans="1:7" x14ac:dyDescent="0.3">
      <c r="A10001" s="1" t="s">
        <v>4</v>
      </c>
      <c r="B10001" s="2" t="str">
        <f t="shared" si="877"/>
        <v>BANCO DE SANGUE</v>
      </c>
      <c r="C10001" s="2" t="str">
        <f t="shared" si="878"/>
        <v>APOIO</v>
      </c>
      <c r="D10001" s="2" t="str">
        <f t="shared" si="879"/>
        <v>PBSA</v>
      </c>
      <c r="E10001" s="2" t="str">
        <f>"R_SOL_EXA_SANGUE_900"</f>
        <v>R_SOL_EXA_SANGUE_900</v>
      </c>
      <c r="F10001" s="2" t="str">
        <f>"R_SOL_EXA_SANGUE_900"</f>
        <v>R_SOL_EXA_SANGUE_900</v>
      </c>
      <c r="G10001" s="2" t="str">
        <f>" ()"</f>
        <v xml:space="preserve"> ()</v>
      </c>
    </row>
    <row r="10002" spans="1:7" x14ac:dyDescent="0.3">
      <c r="A10002" s="1" t="s">
        <v>4</v>
      </c>
      <c r="B10002" s="2" t="str">
        <f t="shared" si="877"/>
        <v>BANCO DE SANGUE</v>
      </c>
      <c r="C10002" s="2" t="str">
        <f t="shared" si="878"/>
        <v>APOIO</v>
      </c>
      <c r="D10002" s="2" t="str">
        <f t="shared" si="879"/>
        <v>PBSA</v>
      </c>
      <c r="E10002" s="2" t="str">
        <f>"R_CONFIRM_AVISO_900"</f>
        <v>R_CONFIRM_AVISO_900</v>
      </c>
      <c r="F10002" s="2" t="str">
        <f>"R_CONFIRM_AVISO_900"</f>
        <v>R_CONFIRM_AVISO_900</v>
      </c>
      <c r="G10002" s="2" t="str">
        <f>" ()"</f>
        <v xml:space="preserve"> ()</v>
      </c>
    </row>
    <row r="10003" spans="1:7" x14ac:dyDescent="0.3">
      <c r="A10003" s="1" t="s">
        <v>4</v>
      </c>
      <c r="B10003" s="2" t="str">
        <f t="shared" si="877"/>
        <v>BANCO DE SANGUE</v>
      </c>
      <c r="C10003" s="2" t="str">
        <f t="shared" si="878"/>
        <v>APOIO</v>
      </c>
      <c r="D10003" s="2" t="str">
        <f t="shared" si="879"/>
        <v>PBSA</v>
      </c>
      <c r="E10003" s="2" t="str">
        <f>"R_SOLIC_AVISO_900"</f>
        <v>R_SOLIC_AVISO_900</v>
      </c>
      <c r="F10003" s="2" t="str">
        <f>"R_SOLIC_AVISO_900"</f>
        <v>R_SOLIC_AVISO_900</v>
      </c>
      <c r="G10003" s="2" t="str">
        <f>" ()"</f>
        <v xml:space="preserve"> ()</v>
      </c>
    </row>
    <row r="10004" spans="1:7" x14ac:dyDescent="0.3">
      <c r="A10004" s="1" t="s">
        <v>4</v>
      </c>
      <c r="B10004" s="2" t="str">
        <f t="shared" si="877"/>
        <v>BANCO DE SANGUE</v>
      </c>
      <c r="C10004" s="2" t="str">
        <f t="shared" si="878"/>
        <v>APOIO</v>
      </c>
      <c r="D10004" s="2" t="str">
        <f t="shared" si="879"/>
        <v>PBSA</v>
      </c>
      <c r="E10004" s="2" t="str">
        <f>"R_SOLIC_AGE_CIR_900"</f>
        <v>R_SOLIC_AGE_CIR_900</v>
      </c>
      <c r="F10004" s="2" t="str">
        <f>"R_SOLIC_AGE_CIR_900"</f>
        <v>R_SOLIC_AGE_CIR_900</v>
      </c>
      <c r="G10004" s="2" t="str">
        <f>" ()"</f>
        <v xml:space="preserve"> ()</v>
      </c>
    </row>
    <row r="10005" spans="1:7" x14ac:dyDescent="0.3">
      <c r="A10005" s="1" t="s">
        <v>4</v>
      </c>
      <c r="B10005" s="2" t="str">
        <f t="shared" si="877"/>
        <v>BANCO DE SANGUE</v>
      </c>
      <c r="C10005" s="2" t="str">
        <f t="shared" si="878"/>
        <v>APOIO</v>
      </c>
      <c r="D10005" s="2" t="str">
        <f t="shared" si="879"/>
        <v>PBSA</v>
      </c>
      <c r="E10005" s="2" t="str">
        <f>"CONFIGURAÇÕES DO BANCO DE SANGUE"</f>
        <v>CONFIGURAÇÕES DO BANCO DE SANGUE</v>
      </c>
      <c r="F10005" s="2" t="str">
        <f>"M_CONFIG_PBSA"</f>
        <v>M_CONFIG_PBSA</v>
      </c>
      <c r="G10005" s="2" t="str">
        <f>"Diagnóstico e Terapia / Banco de Sangue / Configurações / Parâmetros (M_CONFIG_PBSA)"</f>
        <v>Diagnóstico e Terapia / Banco de Sangue / Configurações / Parâmetros (M_CONFIG_PBSA)</v>
      </c>
    </row>
    <row r="10006" spans="1:7" x14ac:dyDescent="0.3">
      <c r="A10006" s="1" t="s">
        <v>4</v>
      </c>
      <c r="B10006" s="2" t="str">
        <f t="shared" si="877"/>
        <v>BANCO DE SANGUE</v>
      </c>
      <c r="C10006" s="2" t="str">
        <f t="shared" si="878"/>
        <v>APOIO</v>
      </c>
      <c r="D10006" s="2" t="str">
        <f t="shared" si="879"/>
        <v>PBSA</v>
      </c>
      <c r="E10006" s="2" t="str">
        <f>"CADASTRO PACIENTE - BANCO SANGUE"</f>
        <v>CADASTRO PACIENTE - BANCO SANGUE</v>
      </c>
      <c r="F10006" s="2" t="str">
        <f>"CAD_PAC_PBSA"</f>
        <v>CAD_PAC_PBSA</v>
      </c>
      <c r="G10006" s="2" t="str">
        <f>"Diagnóstico e Terapia / Banco de Sangue / Atendimentos / cadastro paciente (CAD_PAC_PBSA)"</f>
        <v>Diagnóstico e Terapia / Banco de Sangue / Atendimentos / cadastro paciente (CAD_PAC_PBSA)</v>
      </c>
    </row>
    <row r="10007" spans="1:7" x14ac:dyDescent="0.3">
      <c r="A10007" s="1" t="s">
        <v>4</v>
      </c>
      <c r="B10007" s="2" t="str">
        <f t="shared" si="877"/>
        <v>BANCO DE SANGUE</v>
      </c>
      <c r="C10007" s="2" t="str">
        <f t="shared" si="878"/>
        <v>APOIO</v>
      </c>
      <c r="D10007" s="2" t="str">
        <f t="shared" si="879"/>
        <v>PBSA</v>
      </c>
      <c r="E10007" s="2" t="str">
        <f>"SANGUE E DERIVADOS"</f>
        <v>SANGUE E DERIVADOS</v>
      </c>
      <c r="F10007" s="2" t="str">
        <f>"M_SANDER"</f>
        <v>M_SANDER</v>
      </c>
      <c r="G10007" s="2" t="str">
        <f>"Diagnóstico e Terapia / Banco de Sangue / Tabelas / Sangues e Derivados (M_SANDER)"</f>
        <v>Diagnóstico e Terapia / Banco de Sangue / Tabelas / Sangues e Derivados (M_SANDER)</v>
      </c>
    </row>
    <row r="10008" spans="1:7" x14ac:dyDescent="0.3">
      <c r="A10008" s="1" t="s">
        <v>4</v>
      </c>
      <c r="B10008" s="2" t="str">
        <f t="shared" si="877"/>
        <v>BANCO DE SANGUE</v>
      </c>
      <c r="C10008" s="2" t="str">
        <f t="shared" si="878"/>
        <v>APOIO</v>
      </c>
      <c r="D10008" s="2" t="str">
        <f t="shared" si="879"/>
        <v>PBSA</v>
      </c>
      <c r="E10008" s="2" t="str">
        <f>"COMPROVANTE DE PEDIDO DE BANCO DE SANGUE"</f>
        <v>COMPROVANTE DE PEDIDO DE BANCO DE SANGUE</v>
      </c>
      <c r="F10008" s="2" t="str">
        <f>"R_COMPROVANTE_PBSA"</f>
        <v>R_COMPROVANTE_PBSA</v>
      </c>
      <c r="G10008" s="2" t="str">
        <f>" ()"</f>
        <v xml:space="preserve"> ()</v>
      </c>
    </row>
    <row r="10009" spans="1:7" x14ac:dyDescent="0.3">
      <c r="A10009" s="1" t="s">
        <v>4</v>
      </c>
      <c r="B10009" s="2" t="str">
        <f t="shared" si="877"/>
        <v>BANCO DE SANGUE</v>
      </c>
      <c r="C10009" s="2" t="str">
        <f t="shared" si="878"/>
        <v>APOIO</v>
      </c>
      <c r="D10009" s="2" t="str">
        <f t="shared" si="879"/>
        <v>PBSA</v>
      </c>
      <c r="E10009" s="2" t="str">
        <f>"CONSULTAS: CIRURGIAS AGENDADAS"</f>
        <v>CONSULTAS: CIRURGIAS AGENDADAS</v>
      </c>
      <c r="F10009" s="2" t="str">
        <f>"C_AGENDA_PAC_CIR"</f>
        <v>C_AGENDA_PAC_CIR</v>
      </c>
      <c r="G10009" s="2" t="str">
        <f>"Diagnóstico e Terapia / Banco de Sangue / Consultas / Cirurgias Agendadas (C_AGENDA_PAC_CIR)"</f>
        <v>Diagnóstico e Terapia / Banco de Sangue / Consultas / Cirurgias Agendadas (C_AGENDA_PAC_CIR)</v>
      </c>
    </row>
    <row r="10010" spans="1:7" x14ac:dyDescent="0.3">
      <c r="A10010" s="1" t="s">
        <v>4</v>
      </c>
      <c r="B10010" s="2" t="str">
        <f t="shared" si="877"/>
        <v>BANCO DE SANGUE</v>
      </c>
      <c r="C10010" s="2" t="str">
        <f t="shared" si="878"/>
        <v>APOIO</v>
      </c>
      <c r="D10010" s="2" t="str">
        <f t="shared" si="879"/>
        <v>PBSA</v>
      </c>
      <c r="E10010" s="2" t="str">
        <f>"PERFIL DE USUÁRIOS DO LABORATÓRIO - PBSA"</f>
        <v>PERFIL DE USUÁRIOS DO LABORATÓRIO - PBSA</v>
      </c>
      <c r="F10010" s="2" t="str">
        <f>"M_USU_PSSD_PBSA"</f>
        <v>M_USU_PSSD_PBSA</v>
      </c>
      <c r="G10010" s="2" t="str">
        <f>"Apoio a TI / Gestão de Usuários / Configurações de Acesso / Acessos Gerais / Usuários por Setor de Banco de Sangue (M_USU_PSSD_PBSA)"</f>
        <v>Apoio a TI / Gestão de Usuários / Configurações de Acesso / Acessos Gerais / Usuários por Setor de Banco de Sangue (M_USU_PSSD_PBSA)</v>
      </c>
    </row>
    <row r="10011" spans="1:7" x14ac:dyDescent="0.3">
      <c r="A10011" s="1" t="s">
        <v>4</v>
      </c>
      <c r="B10011" s="2" t="str">
        <f t="shared" ref="B10011:B10019" si="880">"SISTEMA DE APOIO A PORTARIA"</f>
        <v>SISTEMA DE APOIO A PORTARIA</v>
      </c>
      <c r="C10011" s="2" t="str">
        <f t="shared" si="878"/>
        <v>APOIO</v>
      </c>
      <c r="D10011" s="2" t="str">
        <f t="shared" ref="D10011:D10019" si="881">"PORT"</f>
        <v>PORT</v>
      </c>
      <c r="E10011" s="2" t="str">
        <f>"CONFIGURAÇÕES - ADMINISTRATIVOS"</f>
        <v>CONFIGURAÇÕES - ADMINISTRATIVOS</v>
      </c>
      <c r="F10011" s="2" t="str">
        <f>"M_CONFIG_ADM"</f>
        <v>M_CONFIG_ADM</v>
      </c>
      <c r="G10011" s="2" t="str">
        <f t="shared" ref="G10011:G10028" si="882">" ()"</f>
        <v xml:space="preserve"> ()</v>
      </c>
    </row>
    <row r="10012" spans="1:7" x14ac:dyDescent="0.3">
      <c r="A10012" s="1" t="s">
        <v>4</v>
      </c>
      <c r="B10012" s="2" t="str">
        <f t="shared" si="880"/>
        <v>SISTEMA DE APOIO A PORTARIA</v>
      </c>
      <c r="C10012" s="2" t="str">
        <f t="shared" si="878"/>
        <v>APOIO</v>
      </c>
      <c r="D10012" s="2" t="str">
        <f t="shared" si="881"/>
        <v>PORT</v>
      </c>
      <c r="E10012" s="2" t="str">
        <f>"PORTARIA EM JAVA"</f>
        <v>PORTARIA EM JAVA</v>
      </c>
      <c r="F10012" s="2" t="str">
        <f>"J_PORTARIA"</f>
        <v>J_PORTARIA</v>
      </c>
      <c r="G10012" s="2" t="str">
        <f t="shared" si="882"/>
        <v xml:space="preserve"> ()</v>
      </c>
    </row>
    <row r="10013" spans="1:7" x14ac:dyDescent="0.3">
      <c r="A10013" s="1" t="s">
        <v>4</v>
      </c>
      <c r="B10013" s="2" t="str">
        <f t="shared" si="880"/>
        <v>SISTEMA DE APOIO A PORTARIA</v>
      </c>
      <c r="C10013" s="2" t="str">
        <f t="shared" si="878"/>
        <v>APOIO</v>
      </c>
      <c r="D10013" s="2" t="str">
        <f t="shared" si="881"/>
        <v>PORT</v>
      </c>
      <c r="E10013" s="2" t="str">
        <f>"CONFIGURAÇÕES - INTERNAMENTO"</f>
        <v>CONFIGURAÇÕES - INTERNAMENTO</v>
      </c>
      <c r="F10013" s="2" t="str">
        <f>"M_CONFIG_INTERNA"</f>
        <v>M_CONFIG_INTERNA</v>
      </c>
      <c r="G10013" s="2" t="str">
        <f t="shared" si="882"/>
        <v xml:space="preserve"> ()</v>
      </c>
    </row>
    <row r="10014" spans="1:7" x14ac:dyDescent="0.3">
      <c r="A10014" s="1" t="s">
        <v>4</v>
      </c>
      <c r="B10014" s="2" t="str">
        <f t="shared" si="880"/>
        <v>SISTEMA DE APOIO A PORTARIA</v>
      </c>
      <c r="C10014" s="2" t="str">
        <f t="shared" si="878"/>
        <v>APOIO</v>
      </c>
      <c r="D10014" s="2" t="str">
        <f t="shared" si="881"/>
        <v>PORT</v>
      </c>
      <c r="E10014" s="2" t="str">
        <f>"CONSULTA DE ACOMPANHANTES"</f>
        <v>CONSULTA DE ACOMPANHANTES</v>
      </c>
      <c r="F10014" s="2" t="str">
        <f>"C_ACOMPANHA"</f>
        <v>C_ACOMPANHA</v>
      </c>
      <c r="G10014" s="2" t="str">
        <f t="shared" si="882"/>
        <v xml:space="preserve"> ()</v>
      </c>
    </row>
    <row r="10015" spans="1:7" x14ac:dyDescent="0.3">
      <c r="A10015" s="1" t="s">
        <v>4</v>
      </c>
      <c r="B10015" s="2" t="str">
        <f t="shared" si="880"/>
        <v>SISTEMA DE APOIO A PORTARIA</v>
      </c>
      <c r="C10015" s="2" t="str">
        <f t="shared" si="878"/>
        <v>APOIO</v>
      </c>
      <c r="D10015" s="2" t="str">
        <f t="shared" si="881"/>
        <v>PORT</v>
      </c>
      <c r="E10015" s="2" t="str">
        <f>"CONSULTA DE VISITANTES"</f>
        <v>CONSULTA DE VISITANTES</v>
      </c>
      <c r="F10015" s="2" t="str">
        <f>"C_VISITA"</f>
        <v>C_VISITA</v>
      </c>
      <c r="G10015" s="2" t="str">
        <f t="shared" si="882"/>
        <v xml:space="preserve"> ()</v>
      </c>
    </row>
    <row r="10016" spans="1:7" x14ac:dyDescent="0.3">
      <c r="A10016" s="1" t="s">
        <v>4</v>
      </c>
      <c r="B10016" s="2" t="str">
        <f t="shared" si="880"/>
        <v>SISTEMA DE APOIO A PORTARIA</v>
      </c>
      <c r="C10016" s="2" t="str">
        <f t="shared" si="878"/>
        <v>APOIO</v>
      </c>
      <c r="D10016" s="2" t="str">
        <f t="shared" si="881"/>
        <v>PORT</v>
      </c>
      <c r="E10016" s="2" t="str">
        <f>"CADASTRO DE RAMAIS"</f>
        <v>CADASTRO DE RAMAIS</v>
      </c>
      <c r="F10016" s="2" t="str">
        <f>"M_RAMAIS"</f>
        <v>M_RAMAIS</v>
      </c>
      <c r="G10016" s="2" t="str">
        <f t="shared" si="882"/>
        <v xml:space="preserve"> ()</v>
      </c>
    </row>
    <row r="10017" spans="1:7" x14ac:dyDescent="0.3">
      <c r="A10017" s="1" t="s">
        <v>4</v>
      </c>
      <c r="B10017" s="2" t="str">
        <f t="shared" si="880"/>
        <v>SISTEMA DE APOIO A PORTARIA</v>
      </c>
      <c r="C10017" s="2" t="str">
        <f t="shared" si="878"/>
        <v>APOIO</v>
      </c>
      <c r="D10017" s="2" t="str">
        <f t="shared" si="881"/>
        <v>PORT</v>
      </c>
      <c r="E10017" s="2" t="str">
        <f>"CADASTRO DE VISITANTES/ACOMPANHANTES"</f>
        <v>CADASTRO DE VISITANTES/ACOMPANHANTES</v>
      </c>
      <c r="F10017" s="2" t="str">
        <f>"M_COL_FORNEC"</f>
        <v>M_COL_FORNEC</v>
      </c>
      <c r="G10017" s="2" t="str">
        <f t="shared" si="882"/>
        <v xml:space="preserve"> ()</v>
      </c>
    </row>
    <row r="10018" spans="1:7" x14ac:dyDescent="0.3">
      <c r="A10018" s="1" t="s">
        <v>4</v>
      </c>
      <c r="B10018" s="2" t="str">
        <f t="shared" si="880"/>
        <v>SISTEMA DE APOIO A PORTARIA</v>
      </c>
      <c r="C10018" s="2" t="str">
        <f t="shared" si="878"/>
        <v>APOIO</v>
      </c>
      <c r="D10018" s="2" t="str">
        <f t="shared" si="881"/>
        <v>PORT</v>
      </c>
      <c r="E10018" s="2" t="str">
        <f>"CADASTRO DE VISITANTES/ACOMPANHANTES"</f>
        <v>CADASTRO DE VISITANTES/ACOMPANHANTES</v>
      </c>
      <c r="F10018" s="2" t="str">
        <f>"M_PACIENTE"</f>
        <v>M_PACIENTE</v>
      </c>
      <c r="G10018" s="2" t="str">
        <f t="shared" si="882"/>
        <v xml:space="preserve"> ()</v>
      </c>
    </row>
    <row r="10019" spans="1:7" x14ac:dyDescent="0.3">
      <c r="A10019" s="1" t="s">
        <v>4</v>
      </c>
      <c r="B10019" s="2" t="str">
        <f t="shared" si="880"/>
        <v>SISTEMA DE APOIO A PORTARIA</v>
      </c>
      <c r="C10019" s="2" t="str">
        <f t="shared" si="878"/>
        <v>APOIO</v>
      </c>
      <c r="D10019" s="2" t="str">
        <f t="shared" si="881"/>
        <v>PORT</v>
      </c>
      <c r="E10019" s="2" t="str">
        <f>"CONFIGURAÇÕES - SAÍDA DE PACIENTES"</f>
        <v>CONFIGURAÇÕES - SAÍDA DE PACIENTES</v>
      </c>
      <c r="F10019" s="2" t="str">
        <f>"M_CONFIG_SAI_PAC"</f>
        <v>M_CONFIG_SAI_PAC</v>
      </c>
      <c r="G10019" s="2" t="str">
        <f t="shared" si="882"/>
        <v xml:space="preserve"> ()</v>
      </c>
    </row>
    <row r="10020" spans="1:7" x14ac:dyDescent="0.3">
      <c r="A10020" s="1" t="s">
        <v>4</v>
      </c>
      <c r="B10020" s="2" t="str">
        <f t="shared" ref="B10020:B10026" si="883">"MVPORTAL"</f>
        <v>MVPORTAL</v>
      </c>
      <c r="C10020" s="2" t="str">
        <f t="shared" ref="C10020:C10026" si="884">"SOLBI"</f>
        <v>SOLBI</v>
      </c>
      <c r="D10020" s="2" t="str">
        <f t="shared" ref="D10020:D10026" si="885">"PORTAL"</f>
        <v>PORTAL</v>
      </c>
      <c r="E10020" s="2" t="str">
        <f>"M_LINK"</f>
        <v>M_LINK</v>
      </c>
      <c r="F10020" s="2" t="str">
        <f>"M_LINK"</f>
        <v>M_LINK</v>
      </c>
      <c r="G10020" s="2" t="str">
        <f t="shared" si="882"/>
        <v xml:space="preserve"> ()</v>
      </c>
    </row>
    <row r="10021" spans="1:7" x14ac:dyDescent="0.3">
      <c r="A10021" s="1" t="s">
        <v>4</v>
      </c>
      <c r="B10021" s="2" t="str">
        <f t="shared" si="883"/>
        <v>MVPORTAL</v>
      </c>
      <c r="C10021" s="2" t="str">
        <f t="shared" si="884"/>
        <v>SOLBI</v>
      </c>
      <c r="D10021" s="2" t="str">
        <f t="shared" si="885"/>
        <v>PORTAL</v>
      </c>
      <c r="E10021" s="2" t="str">
        <f>"MMVDIRECTOR"</f>
        <v>MMVDIRECTOR</v>
      </c>
      <c r="F10021" s="2" t="str">
        <f>"MMVDIRECTOR"</f>
        <v>MMVDIRECTOR</v>
      </c>
      <c r="G10021" s="2" t="str">
        <f t="shared" si="882"/>
        <v xml:space="preserve"> ()</v>
      </c>
    </row>
    <row r="10022" spans="1:7" x14ac:dyDescent="0.3">
      <c r="A10022" s="1" t="s">
        <v>4</v>
      </c>
      <c r="B10022" s="2" t="str">
        <f t="shared" si="883"/>
        <v>MVPORTAL</v>
      </c>
      <c r="C10022" s="2" t="str">
        <f t="shared" si="884"/>
        <v>SOLBI</v>
      </c>
      <c r="D10022" s="2" t="str">
        <f t="shared" si="885"/>
        <v>PORTAL</v>
      </c>
      <c r="E10022" s="2" t="str">
        <f>"M_LOG_CARGA"</f>
        <v>M_LOG_CARGA</v>
      </c>
      <c r="F10022" s="2" t="str">
        <f>"M_LOG_CARGA"</f>
        <v>M_LOG_CARGA</v>
      </c>
      <c r="G10022" s="2" t="str">
        <f t="shared" si="882"/>
        <v xml:space="preserve"> ()</v>
      </c>
    </row>
    <row r="10023" spans="1:7" x14ac:dyDescent="0.3">
      <c r="A10023" s="1" t="s">
        <v>4</v>
      </c>
      <c r="B10023" s="2" t="str">
        <f t="shared" si="883"/>
        <v>MVPORTAL</v>
      </c>
      <c r="C10023" s="2" t="str">
        <f t="shared" si="884"/>
        <v>SOLBI</v>
      </c>
      <c r="D10023" s="2" t="str">
        <f t="shared" si="885"/>
        <v>PORTAL</v>
      </c>
      <c r="E10023" s="2" t="str">
        <f>"M_MENSAGEM"</f>
        <v>M_MENSAGEM</v>
      </c>
      <c r="F10023" s="2" t="str">
        <f>"M_MENSAGEM"</f>
        <v>M_MENSAGEM</v>
      </c>
      <c r="G10023" s="2" t="str">
        <f t="shared" si="882"/>
        <v xml:space="preserve"> ()</v>
      </c>
    </row>
    <row r="10024" spans="1:7" x14ac:dyDescent="0.3">
      <c r="A10024" s="1" t="s">
        <v>4</v>
      </c>
      <c r="B10024" s="2" t="str">
        <f t="shared" si="883"/>
        <v>MVPORTAL</v>
      </c>
      <c r="C10024" s="2" t="str">
        <f t="shared" si="884"/>
        <v>SOLBI</v>
      </c>
      <c r="D10024" s="2" t="str">
        <f t="shared" si="885"/>
        <v>PORTAL</v>
      </c>
      <c r="E10024" s="2" t="str">
        <f>"C_LOG"</f>
        <v>C_LOG</v>
      </c>
      <c r="F10024" s="2" t="str">
        <f>"C_LOG"</f>
        <v>C_LOG</v>
      </c>
      <c r="G10024" s="2" t="str">
        <f t="shared" si="882"/>
        <v xml:space="preserve"> ()</v>
      </c>
    </row>
    <row r="10025" spans="1:7" x14ac:dyDescent="0.3">
      <c r="A10025" s="1" t="s">
        <v>4</v>
      </c>
      <c r="B10025" s="2" t="str">
        <f t="shared" si="883"/>
        <v>MVPORTAL</v>
      </c>
      <c r="C10025" s="2" t="str">
        <f t="shared" si="884"/>
        <v>SOLBI</v>
      </c>
      <c r="D10025" s="2" t="str">
        <f t="shared" si="885"/>
        <v>PORTAL</v>
      </c>
      <c r="E10025" s="2" t="str">
        <f>"M_IVM"</f>
        <v>M_IVM</v>
      </c>
      <c r="F10025" s="2" t="str">
        <f>"M_IVM"</f>
        <v>M_IVM</v>
      </c>
      <c r="G10025" s="2" t="str">
        <f t="shared" si="882"/>
        <v xml:space="preserve"> ()</v>
      </c>
    </row>
    <row r="10026" spans="1:7" x14ac:dyDescent="0.3">
      <c r="A10026" s="1" t="s">
        <v>4</v>
      </c>
      <c r="B10026" s="2" t="str">
        <f t="shared" si="883"/>
        <v>MVPORTAL</v>
      </c>
      <c r="C10026" s="2" t="str">
        <f t="shared" si="884"/>
        <v>SOLBI</v>
      </c>
      <c r="D10026" s="2" t="str">
        <f t="shared" si="885"/>
        <v>PORTAL</v>
      </c>
      <c r="E10026" s="2" t="str">
        <f>"IND_PRIMARIO"</f>
        <v>IND_PRIMARIO</v>
      </c>
      <c r="F10026" s="2" t="str">
        <f>"IND_PRIMARIO"</f>
        <v>IND_PRIMARIO</v>
      </c>
      <c r="G10026" s="2" t="str">
        <f t="shared" si="882"/>
        <v xml:space="preserve"> ()</v>
      </c>
    </row>
    <row r="10027" spans="1:7" x14ac:dyDescent="0.3">
      <c r="A10027" s="1" t="s">
        <v>4</v>
      </c>
      <c r="B10027" s="2" t="str">
        <f t="shared" ref="B10027:B10090" si="886">"SISTEMA DE DIAGNÓSTICO POR IMAGEM"</f>
        <v>SISTEMA DE DIAGNÓSTICO POR IMAGEM</v>
      </c>
      <c r="C10027" s="2" t="str">
        <f t="shared" ref="C10027:C10090" si="887">"DIAGN"</f>
        <v>DIAGN</v>
      </c>
      <c r="D10027" s="2" t="str">
        <f t="shared" ref="D10027:D10090" si="888">"PSDI"</f>
        <v>PSDI</v>
      </c>
      <c r="E10027" s="2" t="str">
        <f>"REL. EMISSÃO E REEMISSÃO DE LAUDOS"</f>
        <v>REL. EMISSÃO E REEMISSÃO DE LAUDOS</v>
      </c>
      <c r="F10027" s="2" t="str">
        <f>"R_LAU_EMI.RDF"</f>
        <v>R_LAU_EMI.RDF</v>
      </c>
      <c r="G10027" s="2" t="str">
        <f t="shared" si="882"/>
        <v xml:space="preserve"> ()</v>
      </c>
    </row>
    <row r="10028" spans="1:7" x14ac:dyDescent="0.3">
      <c r="A10028" s="1" t="s">
        <v>4</v>
      </c>
      <c r="B10028" s="2" t="str">
        <f t="shared" si="886"/>
        <v>SISTEMA DE DIAGNÓSTICO POR IMAGEM</v>
      </c>
      <c r="C10028" s="2" t="str">
        <f t="shared" si="887"/>
        <v>DIAGN</v>
      </c>
      <c r="D10028" s="2" t="str">
        <f t="shared" si="888"/>
        <v>PSDI</v>
      </c>
      <c r="E10028" s="2" t="str">
        <f>"Motivo de Exclusão de Exames"</f>
        <v>Motivo de Exclusão de Exames</v>
      </c>
      <c r="F10028" s="2" t="str">
        <f>"M_MOT_EXC_RX"</f>
        <v>M_MOT_EXC_RX</v>
      </c>
      <c r="G10028" s="2" t="str">
        <f t="shared" si="882"/>
        <v xml:space="preserve"> ()</v>
      </c>
    </row>
    <row r="10029" spans="1:7" x14ac:dyDescent="0.3">
      <c r="A10029" s="1" t="s">
        <v>4</v>
      </c>
      <c r="B10029" s="2" t="str">
        <f t="shared" si="886"/>
        <v>SISTEMA DE DIAGNÓSTICO POR IMAGEM</v>
      </c>
      <c r="C10029" s="2" t="str">
        <f t="shared" si="887"/>
        <v>DIAGN</v>
      </c>
      <c r="D10029" s="2" t="str">
        <f t="shared" si="888"/>
        <v>PSDI</v>
      </c>
      <c r="E10029" s="2" t="str">
        <f>"CONSULTA DE EXAMES REALIZADOS"</f>
        <v>CONSULTA DE EXAMES REALIZADOS</v>
      </c>
      <c r="F10029" s="2" t="str">
        <f>"C_EXA_REA"</f>
        <v>C_EXA_REA</v>
      </c>
      <c r="G10029" s="2" t="str">
        <f>"Clínica e Assistencial / Controle de Infecção Hospitalar / Consultas / Exames de Imagem / Exames Realizados (C_EXA_REA)"</f>
        <v>Clínica e Assistencial / Controle de Infecção Hospitalar / Consultas / Exames de Imagem / Exames Realizados (C_EXA_REA)</v>
      </c>
    </row>
    <row r="10030" spans="1:7" x14ac:dyDescent="0.3">
      <c r="A10030" s="1" t="s">
        <v>4</v>
      </c>
      <c r="B10030" s="2" t="str">
        <f t="shared" si="886"/>
        <v>SISTEMA DE DIAGNÓSTICO POR IMAGEM</v>
      </c>
      <c r="C10030" s="2" t="str">
        <f t="shared" si="887"/>
        <v>DIAGN</v>
      </c>
      <c r="D10030" s="2" t="str">
        <f t="shared" si="888"/>
        <v>PSDI</v>
      </c>
      <c r="E10030" s="2" t="str">
        <f>"CONSULTA DE EXAMES REALIZADOS"</f>
        <v>CONSULTA DE EXAMES REALIZADOS</v>
      </c>
      <c r="F10030" s="2" t="str">
        <f>"C_EXA_REA"</f>
        <v>C_EXA_REA</v>
      </c>
      <c r="G10030" s="2" t="str">
        <f>"Diagnóstico e Terapia / Diagnóstico por Imagem / Consultas / Exames realizados (C_EXA_REA)"</f>
        <v>Diagnóstico e Terapia / Diagnóstico por Imagem / Consultas / Exames realizados (C_EXA_REA)</v>
      </c>
    </row>
    <row r="10031" spans="1:7" x14ac:dyDescent="0.3">
      <c r="A10031" s="1" t="s">
        <v>4</v>
      </c>
      <c r="B10031" s="2" t="str">
        <f t="shared" si="886"/>
        <v>SISTEMA DE DIAGNÓSTICO POR IMAGEM</v>
      </c>
      <c r="C10031" s="2" t="str">
        <f t="shared" si="887"/>
        <v>DIAGN</v>
      </c>
      <c r="D10031" s="2" t="str">
        <f t="shared" si="888"/>
        <v>PSDI</v>
      </c>
      <c r="E10031" s="2" t="str">
        <f>"CAD.USUÁRIOS X SETOR DE EXAMES"</f>
        <v>CAD.USUÁRIOS X SETOR DE EXAMES</v>
      </c>
      <c r="F10031" s="2" t="str">
        <f>"M_USUPSDI"</f>
        <v>M_USUPSDI</v>
      </c>
      <c r="G10031" s="2" t="str">
        <f>"Apoio a TI / Gestão de Usuários / Configurações de Acesso / Acessos Gerais / Usuários por Setores Exames Imagem (M_USUPSDI)"</f>
        <v>Apoio a TI / Gestão de Usuários / Configurações de Acesso / Acessos Gerais / Usuários por Setores Exames Imagem (M_USUPSDI)</v>
      </c>
    </row>
    <row r="10032" spans="1:7" x14ac:dyDescent="0.3">
      <c r="A10032" s="1" t="s">
        <v>4</v>
      </c>
      <c r="B10032" s="2" t="str">
        <f t="shared" si="886"/>
        <v>SISTEMA DE DIAGNÓSTICO POR IMAGEM</v>
      </c>
      <c r="C10032" s="2" t="str">
        <f t="shared" si="887"/>
        <v>DIAGN</v>
      </c>
      <c r="D10032" s="2" t="str">
        <f t="shared" si="888"/>
        <v>PSDI</v>
      </c>
      <c r="E10032" s="2" t="str">
        <f>"M_SETOR"</f>
        <v>M_SETOR</v>
      </c>
      <c r="F10032" s="2" t="str">
        <f>"M_SETOR"</f>
        <v>M_SETOR</v>
      </c>
      <c r="G10032" s="2" t="str">
        <f>"Diagnóstico e Terapia / Diagnóstico por Imagem / Tabelas / Setores Solicitantes (M_SETOR)"</f>
        <v>Diagnóstico e Terapia / Diagnóstico por Imagem / Tabelas / Setores Solicitantes (M_SETOR)</v>
      </c>
    </row>
    <row r="10033" spans="1:7" x14ac:dyDescent="0.3">
      <c r="A10033" s="1" t="s">
        <v>4</v>
      </c>
      <c r="B10033" s="2" t="str">
        <f t="shared" si="886"/>
        <v>SISTEMA DE DIAGNÓSTICO POR IMAGEM</v>
      </c>
      <c r="C10033" s="2" t="str">
        <f t="shared" si="887"/>
        <v>DIAGN</v>
      </c>
      <c r="D10033" s="2" t="str">
        <f t="shared" si="888"/>
        <v>PSDI</v>
      </c>
      <c r="E10033" s="2" t="str">
        <f>"Topografia"</f>
        <v>Topografia</v>
      </c>
      <c r="F10033" s="2" t="str">
        <f>"M_TOPOGRAFIA_RX"</f>
        <v>M_TOPOGRAFIA_RX</v>
      </c>
      <c r="G10033" s="2" t="str">
        <f>"Diagnóstico e Terapia / Diagnóstico por Imagem / Tabelas / Topografia (M_TOPOGRAFIA_RX)"</f>
        <v>Diagnóstico e Terapia / Diagnóstico por Imagem / Tabelas / Topografia (M_TOPOGRAFIA_RX)</v>
      </c>
    </row>
    <row r="10034" spans="1:7" x14ac:dyDescent="0.3">
      <c r="A10034" s="1" t="s">
        <v>4</v>
      </c>
      <c r="B10034" s="2" t="str">
        <f t="shared" si="886"/>
        <v>SISTEMA DE DIAGNÓSTICO POR IMAGEM</v>
      </c>
      <c r="C10034" s="2" t="str">
        <f t="shared" si="887"/>
        <v>DIAGN</v>
      </c>
      <c r="D10034" s="2" t="str">
        <f t="shared" si="888"/>
        <v>PSDI</v>
      </c>
      <c r="E10034" s="2" t="str">
        <f>"Lateralidade"</f>
        <v>Lateralidade</v>
      </c>
      <c r="F10034" s="2" t="str">
        <f>"M_LATERALIDADE_EXAME"</f>
        <v>M_LATERALIDADE_EXAME</v>
      </c>
      <c r="G10034" s="2" t="str">
        <f>"Diagnóstico e Terapia / Diagnóstico por Imagem / Tabelas / Lateralidade (M_LATERALIDADE_EXAME)"</f>
        <v>Diagnóstico e Terapia / Diagnóstico por Imagem / Tabelas / Lateralidade (M_LATERALIDADE_EXAME)</v>
      </c>
    </row>
    <row r="10035" spans="1:7" x14ac:dyDescent="0.3">
      <c r="A10035" s="1" t="s">
        <v>4</v>
      </c>
      <c r="B10035" s="2" t="str">
        <f t="shared" si="886"/>
        <v>SISTEMA DE DIAGNÓSTICO POR IMAGEM</v>
      </c>
      <c r="C10035" s="2" t="str">
        <f t="shared" si="887"/>
        <v>DIAGN</v>
      </c>
      <c r="D10035" s="2" t="str">
        <f t="shared" si="888"/>
        <v>PSDI</v>
      </c>
      <c r="E10035" s="2" t="str">
        <f>"CADASTRO DE PRESTADOR EXTERNO"</f>
        <v>CADASTRO DE PRESTADOR EXTERNO</v>
      </c>
      <c r="F10035" s="2" t="str">
        <f>"M_PRESTADOR_EXTERNO"</f>
        <v>M_PRESTADOR_EXTERNO</v>
      </c>
      <c r="G10035" s="2" t="str">
        <f>" ()"</f>
        <v xml:space="preserve"> ()</v>
      </c>
    </row>
    <row r="10036" spans="1:7" x14ac:dyDescent="0.3">
      <c r="A10036" s="1" t="s">
        <v>4</v>
      </c>
      <c r="B10036" s="2" t="str">
        <f t="shared" si="886"/>
        <v>SISTEMA DE DIAGNÓSTICO POR IMAGEM</v>
      </c>
      <c r="C10036" s="2" t="str">
        <f t="shared" si="887"/>
        <v>DIAGN</v>
      </c>
      <c r="D10036" s="2" t="str">
        <f t="shared" si="888"/>
        <v>PSDI</v>
      </c>
      <c r="E10036" s="2" t="str">
        <f>"Laudos Por Palavras Chave"</f>
        <v>Laudos Por Palavras Chave</v>
      </c>
      <c r="F10036" s="2" t="str">
        <f>"M_PALAVRAS_CHAVE_LAUDO"</f>
        <v>M_PALAVRAS_CHAVE_LAUDO</v>
      </c>
      <c r="G10036" s="2" t="str">
        <f>"Diagnóstico e Terapia / Diagnóstico por Imagem / Consultas / Laudos Por Palavras Chave (M_PALAVRAS_CHAVE_LAUDO)"</f>
        <v>Diagnóstico e Terapia / Diagnóstico por Imagem / Consultas / Laudos Por Palavras Chave (M_PALAVRAS_CHAVE_LAUDO)</v>
      </c>
    </row>
    <row r="10037" spans="1:7" x14ac:dyDescent="0.3">
      <c r="A10037" s="1" t="s">
        <v>4</v>
      </c>
      <c r="B10037" s="2" t="str">
        <f t="shared" si="886"/>
        <v>SISTEMA DE DIAGNÓSTICO POR IMAGEM</v>
      </c>
      <c r="C10037" s="2" t="str">
        <f t="shared" si="887"/>
        <v>DIAGN</v>
      </c>
      <c r="D10037" s="2" t="str">
        <f t="shared" si="888"/>
        <v>PSDI</v>
      </c>
      <c r="E10037" s="2" t="str">
        <f>"NOTIFICAÇÕES DE LAUDO ALTERADO"</f>
        <v>NOTIFICAÇÕES DE LAUDO ALTERADO</v>
      </c>
      <c r="F10037" s="2" t="str">
        <f>"M_NOTIFICACAO_LAUDO_PSDI"</f>
        <v>M_NOTIFICACAO_LAUDO_PSDI</v>
      </c>
      <c r="G10037" s="2" t="str">
        <f>"Diagnóstico e Terapia / Diagnóstico por Imagem / Atendimentos / notificações de laudo alterado (M_NOTIFICACAO_LAUDO_PSDI)"</f>
        <v>Diagnóstico e Terapia / Diagnóstico por Imagem / Atendimentos / notificações de laudo alterado (M_NOTIFICACAO_LAUDO_PSDI)</v>
      </c>
    </row>
    <row r="10038" spans="1:7" x14ac:dyDescent="0.3">
      <c r="A10038" s="1" t="s">
        <v>4</v>
      </c>
      <c r="B10038" s="2" t="str">
        <f t="shared" si="886"/>
        <v>SISTEMA DE DIAGNÓSTICO POR IMAGEM</v>
      </c>
      <c r="C10038" s="2" t="str">
        <f t="shared" si="887"/>
        <v>DIAGN</v>
      </c>
      <c r="D10038" s="2" t="str">
        <f t="shared" si="888"/>
        <v>PSDI</v>
      </c>
      <c r="E10038" s="2" t="str">
        <f>"LOG DE OPERAÇÕES DOS EXAMES"</f>
        <v>LOG DE OPERAÇÕES DOS EXAMES</v>
      </c>
      <c r="F10038" s="2" t="str">
        <f>"M_CONSULTA_LOG_PSDI"</f>
        <v>M_CONSULTA_LOG_PSDI</v>
      </c>
      <c r="G10038" s="2" t="str">
        <f>"Diagnóstico e Terapia / Diagnóstico por Imagem / Consultas / Log de Operações dos Exames (M_CONSULTA_LOG_PSDI)"</f>
        <v>Diagnóstico e Terapia / Diagnóstico por Imagem / Consultas / Log de Operações dos Exames (M_CONSULTA_LOG_PSDI)</v>
      </c>
    </row>
    <row r="10039" spans="1:7" x14ac:dyDescent="0.3">
      <c r="A10039" s="1" t="s">
        <v>4</v>
      </c>
      <c r="B10039" s="2" t="str">
        <f t="shared" si="886"/>
        <v>SISTEMA DE DIAGNÓSTICO POR IMAGEM</v>
      </c>
      <c r="C10039" s="2" t="str">
        <f t="shared" si="887"/>
        <v>DIAGN</v>
      </c>
      <c r="D10039" s="2" t="str">
        <f t="shared" si="888"/>
        <v>PSDI</v>
      </c>
      <c r="E10039" s="2" t="str">
        <f>"Setores Solic. X Setores Executantes"</f>
        <v>Setores Solic. X Setores Executantes</v>
      </c>
      <c r="F10039" s="2" t="str">
        <f>"M_SETOR_SOLIC_EXEC_PSDI"</f>
        <v>M_SETOR_SOLIC_EXEC_PSDI</v>
      </c>
      <c r="G10039" s="2" t="str">
        <f>"Diagnóstico e Terapia / Diagnóstico por Imagem / Configurações / Setores Solic. X Setores Executantes (M_SETOR_SOLIC_EXEC_PSDI)"</f>
        <v>Diagnóstico e Terapia / Diagnóstico por Imagem / Configurações / Setores Solic. X Setores Executantes (M_SETOR_SOLIC_EXEC_PSDI)</v>
      </c>
    </row>
    <row r="10040" spans="1:7" x14ac:dyDescent="0.3">
      <c r="A10040" s="1" t="s">
        <v>4</v>
      </c>
      <c r="B10040" s="2" t="str">
        <f t="shared" si="886"/>
        <v>SISTEMA DE DIAGNÓSTICO POR IMAGEM</v>
      </c>
      <c r="C10040" s="2" t="str">
        <f t="shared" si="887"/>
        <v>DIAGN</v>
      </c>
      <c r="D10040" s="2" t="str">
        <f t="shared" si="888"/>
        <v>PSDI</v>
      </c>
      <c r="E10040" s="2" t="str">
        <f>"RELATORIO DE SOLICITACAO DE EXAMES"</f>
        <v>RELATORIO DE SOLICITACAO DE EXAMES</v>
      </c>
      <c r="F10040" s="2" t="str">
        <f>"R_SOLEXA"</f>
        <v>R_SOLEXA</v>
      </c>
      <c r="G10040" s="2" t="str">
        <f>"Diagnóstico e Terapia / Diagnóstico por Imagem / Relatórios / Administrativos / Exames Solicitados por Prestador (R_SOLEXA)"</f>
        <v>Diagnóstico e Terapia / Diagnóstico por Imagem / Relatórios / Administrativos / Exames Solicitados por Prestador (R_SOLEXA)</v>
      </c>
    </row>
    <row r="10041" spans="1:7" x14ac:dyDescent="0.3">
      <c r="A10041" s="1" t="s">
        <v>4</v>
      </c>
      <c r="B10041" s="2" t="str">
        <f t="shared" si="886"/>
        <v>SISTEMA DE DIAGNÓSTICO POR IMAGEM</v>
      </c>
      <c r="C10041" s="2" t="str">
        <f t="shared" si="887"/>
        <v>DIAGN</v>
      </c>
      <c r="D10041" s="2" t="str">
        <f t="shared" si="888"/>
        <v>PSDI</v>
      </c>
      <c r="E10041" s="2" t="str">
        <f>"PROTOCOLO DE ENTREGA DE EXAMES"</f>
        <v>PROTOCOLO DE ENTREGA DE EXAMES</v>
      </c>
      <c r="F10041" s="2" t="str">
        <f>"R_PROTOCOLO_PSDI756"</f>
        <v>R_PROTOCOLO_PSDI756</v>
      </c>
      <c r="G10041" s="2" t="str">
        <f>" ()"</f>
        <v xml:space="preserve"> ()</v>
      </c>
    </row>
    <row r="10042" spans="1:7" x14ac:dyDescent="0.3">
      <c r="A10042" s="1" t="s">
        <v>4</v>
      </c>
      <c r="B10042" s="2" t="str">
        <f t="shared" si="886"/>
        <v>SISTEMA DE DIAGNÓSTICO POR IMAGEM</v>
      </c>
      <c r="C10042" s="2" t="str">
        <f t="shared" si="887"/>
        <v>DIAGN</v>
      </c>
      <c r="D10042" s="2" t="str">
        <f t="shared" si="888"/>
        <v>PSDI</v>
      </c>
      <c r="E10042" s="2" t="str">
        <f>"REL DE AGENDAMENTOS"</f>
        <v>REL DE AGENDAMENTOS</v>
      </c>
      <c r="F10042" s="2" t="str">
        <f>"R_AGENDA755"</f>
        <v>R_AGENDA755</v>
      </c>
      <c r="G10042" s="2" t="str">
        <f>" ()"</f>
        <v xml:space="preserve"> ()</v>
      </c>
    </row>
    <row r="10043" spans="1:7" x14ac:dyDescent="0.3">
      <c r="A10043" s="1" t="s">
        <v>4</v>
      </c>
      <c r="B10043" s="2" t="str">
        <f t="shared" si="886"/>
        <v>SISTEMA DE DIAGNÓSTICO POR IMAGEM</v>
      </c>
      <c r="C10043" s="2" t="str">
        <f t="shared" si="887"/>
        <v>DIAGN</v>
      </c>
      <c r="D10043" s="2" t="str">
        <f t="shared" si="888"/>
        <v>PSDI</v>
      </c>
      <c r="E10043" s="2" t="str">
        <f>"REL DE FATURAMENTO DE EXAMES P/ CONVENIO"</f>
        <v>REL DE FATURAMENTO DE EXAMES P/ CONVENIO</v>
      </c>
      <c r="F10043" s="2" t="str">
        <f>"R_EXAME_CONVENIO"</f>
        <v>R_EXAME_CONVENIO</v>
      </c>
      <c r="G10043" s="2" t="str">
        <f>"Diagnóstico e Terapia / Diagnóstico por Imagem / Relatórios / Gastos / Faturamento de Exames por Convênio / Pedidos de Exames (R_EXAME_CONVENIO)"</f>
        <v>Diagnóstico e Terapia / Diagnóstico por Imagem / Relatórios / Gastos / Faturamento de Exames por Convênio / Pedidos de Exames (R_EXAME_CONVENIO)</v>
      </c>
    </row>
    <row r="10044" spans="1:7" x14ac:dyDescent="0.3">
      <c r="A10044" s="1" t="s">
        <v>4</v>
      </c>
      <c r="B10044" s="2" t="str">
        <f t="shared" si="886"/>
        <v>SISTEMA DE DIAGNÓSTICO POR IMAGEM</v>
      </c>
      <c r="C10044" s="2" t="str">
        <f t="shared" si="887"/>
        <v>DIAGN</v>
      </c>
      <c r="D10044" s="2" t="str">
        <f t="shared" si="888"/>
        <v>PSDI</v>
      </c>
      <c r="E10044" s="2" t="str">
        <f>"REL DE PEDIDOS DE EXAMES SEM LAUDO"</f>
        <v>REL DE PEDIDOS DE EXAMES SEM LAUDO</v>
      </c>
      <c r="F10044" s="2" t="str">
        <f>"R_PEDIDO_SEM_LAUDO"</f>
        <v>R_PEDIDO_SEM_LAUDO</v>
      </c>
      <c r="G10044" s="2" t="str">
        <f>"Diagnóstico e Terapia / Diagnóstico por Imagem / Relatórios / Operacionais / Pedidos de Exames sem Laudo Digitado (R_PEDIDO_SEM_LAUDO)"</f>
        <v>Diagnóstico e Terapia / Diagnóstico por Imagem / Relatórios / Operacionais / Pedidos de Exames sem Laudo Digitado (R_PEDIDO_SEM_LAUDO)</v>
      </c>
    </row>
    <row r="10045" spans="1:7" x14ac:dyDescent="0.3">
      <c r="A10045" s="1" t="s">
        <v>4</v>
      </c>
      <c r="B10045" s="2" t="str">
        <f t="shared" si="886"/>
        <v>SISTEMA DE DIAGNÓSTICO POR IMAGEM</v>
      </c>
      <c r="C10045" s="2" t="str">
        <f t="shared" si="887"/>
        <v>DIAGN</v>
      </c>
      <c r="D10045" s="2" t="str">
        <f t="shared" si="888"/>
        <v>PSDI</v>
      </c>
      <c r="E10045" s="2" t="str">
        <f>"EXCLUSÃO DE AGENDAS"</f>
        <v>EXCLUSÃO DE AGENDAS</v>
      </c>
      <c r="F10045" s="2" t="str">
        <f>"AGE_RX2"</f>
        <v>AGE_RX2</v>
      </c>
      <c r="G10045" s="2" t="str">
        <f t="shared" ref="G10045:G10057" si="889">" ()"</f>
        <v xml:space="preserve"> ()</v>
      </c>
    </row>
    <row r="10046" spans="1:7" x14ac:dyDescent="0.3">
      <c r="A10046" s="1" t="s">
        <v>4</v>
      </c>
      <c r="B10046" s="2" t="str">
        <f t="shared" si="886"/>
        <v>SISTEMA DE DIAGNÓSTICO POR IMAGEM</v>
      </c>
      <c r="C10046" s="2" t="str">
        <f t="shared" si="887"/>
        <v>DIAGN</v>
      </c>
      <c r="D10046" s="2" t="str">
        <f t="shared" si="888"/>
        <v>PSDI</v>
      </c>
      <c r="E10046" s="2" t="str">
        <f>"REL GRAFICO EXAMES POR GRUPO X PERIODO"</f>
        <v>REL GRAFICO EXAMES POR GRUPO X PERIODO</v>
      </c>
      <c r="F10046" s="2" t="str">
        <f>"R_GRAF_EXA_POR_GRUPO"</f>
        <v>R_GRAF_EXA_POR_GRUPO</v>
      </c>
      <c r="G10046" s="2" t="str">
        <f t="shared" si="889"/>
        <v xml:space="preserve"> ()</v>
      </c>
    </row>
    <row r="10047" spans="1:7" x14ac:dyDescent="0.3">
      <c r="A10047" s="1" t="s">
        <v>4</v>
      </c>
      <c r="B10047" s="2" t="str">
        <f t="shared" si="886"/>
        <v>SISTEMA DE DIAGNÓSTICO POR IMAGEM</v>
      </c>
      <c r="C10047" s="2" t="str">
        <f t="shared" si="887"/>
        <v>DIAGN</v>
      </c>
      <c r="D10047" s="2" t="str">
        <f t="shared" si="888"/>
        <v>PSDI</v>
      </c>
      <c r="E10047" s="2" t="str">
        <f>"REL DE PICO DE EXAMES POR HORARIO"</f>
        <v>REL DE PICO DE EXAMES POR HORARIO</v>
      </c>
      <c r="F10047" s="2" t="str">
        <f>"R_PICO_EXAME"</f>
        <v>R_PICO_EXAME</v>
      </c>
      <c r="G10047" s="2" t="str">
        <f t="shared" si="889"/>
        <v xml:space="preserve"> ()</v>
      </c>
    </row>
    <row r="10048" spans="1:7" x14ac:dyDescent="0.3">
      <c r="A10048" s="1" t="s">
        <v>4</v>
      </c>
      <c r="B10048" s="2" t="str">
        <f t="shared" si="886"/>
        <v>SISTEMA DE DIAGNÓSTICO POR IMAGEM</v>
      </c>
      <c r="C10048" s="2" t="str">
        <f t="shared" si="887"/>
        <v>DIAGN</v>
      </c>
      <c r="D10048" s="2" t="str">
        <f t="shared" si="888"/>
        <v>PSDI</v>
      </c>
      <c r="E10048" s="2" t="str">
        <f>"REL DE ETIQUETAS DO ATENDIMENTO DO PSDI"</f>
        <v>REL DE ETIQUETAS DO ATENDIMENTO DO PSDI</v>
      </c>
      <c r="F10048" s="2" t="str">
        <f>"R_ETIQUETAS_ATENDIMENTO_PSDI"</f>
        <v>R_ETIQUETAS_ATENDIMENTO_PSDI</v>
      </c>
      <c r="G10048" s="2" t="str">
        <f t="shared" si="889"/>
        <v xml:space="preserve"> ()</v>
      </c>
    </row>
    <row r="10049" spans="1:7" x14ac:dyDescent="0.3">
      <c r="A10049" s="1" t="s">
        <v>4</v>
      </c>
      <c r="B10049" s="2" t="str">
        <f t="shared" si="886"/>
        <v>SISTEMA DE DIAGNÓSTICO POR IMAGEM</v>
      </c>
      <c r="C10049" s="2" t="str">
        <f t="shared" si="887"/>
        <v>DIAGN</v>
      </c>
      <c r="D10049" s="2" t="str">
        <f t="shared" si="888"/>
        <v>PSDI</v>
      </c>
      <c r="E10049" s="2" t="str">
        <f>"WIN_PRINCIPAL"</f>
        <v>WIN_PRINCIPAL</v>
      </c>
      <c r="F10049" s="2" t="str">
        <f>"M_USU_AUT_DT_PED_PSDI"</f>
        <v>M_USU_AUT_DT_PED_PSDI</v>
      </c>
      <c r="G10049" s="2" t="str">
        <f t="shared" si="889"/>
        <v xml:space="preserve"> ()</v>
      </c>
    </row>
    <row r="10050" spans="1:7" x14ac:dyDescent="0.3">
      <c r="A10050" s="1" t="s">
        <v>4</v>
      </c>
      <c r="B10050" s="2" t="str">
        <f t="shared" si="886"/>
        <v>SISTEMA DE DIAGNÓSTICO POR IMAGEM</v>
      </c>
      <c r="C10050" s="2" t="str">
        <f t="shared" si="887"/>
        <v>DIAGN</v>
      </c>
      <c r="D10050" s="2" t="str">
        <f t="shared" si="888"/>
        <v>PSDI</v>
      </c>
      <c r="E10050" s="2" t="str">
        <f>"R_LAU_EXA_406"</f>
        <v>R_LAU_EXA_406</v>
      </c>
      <c r="F10050" s="2" t="str">
        <f>"R_LAU_EXA_406"</f>
        <v>R_LAU_EXA_406</v>
      </c>
      <c r="G10050" s="2" t="str">
        <f t="shared" si="889"/>
        <v xml:space="preserve"> ()</v>
      </c>
    </row>
    <row r="10051" spans="1:7" x14ac:dyDescent="0.3">
      <c r="A10051" s="1" t="s">
        <v>4</v>
      </c>
      <c r="B10051" s="2" t="str">
        <f t="shared" si="886"/>
        <v>SISTEMA DE DIAGNÓSTICO POR IMAGEM</v>
      </c>
      <c r="C10051" s="2" t="str">
        <f t="shared" si="887"/>
        <v>DIAGN</v>
      </c>
      <c r="D10051" s="2" t="str">
        <f t="shared" si="888"/>
        <v>PSDI</v>
      </c>
      <c r="E10051" s="2" t="str">
        <f>"RELATÓRIO DE EXAMES POR CONVÊNIO"</f>
        <v>RELATÓRIO DE EXAMES POR CONVÊNIO</v>
      </c>
      <c r="F10051" s="2" t="str">
        <f>"R_EXA_REALIZ_CONV_SETORES"</f>
        <v>R_EXA_REALIZ_CONV_SETORES</v>
      </c>
      <c r="G10051" s="2" t="str">
        <f t="shared" si="889"/>
        <v xml:space="preserve"> ()</v>
      </c>
    </row>
    <row r="10052" spans="1:7" x14ac:dyDescent="0.3">
      <c r="A10052" s="1" t="s">
        <v>4</v>
      </c>
      <c r="B10052" s="2" t="str">
        <f t="shared" si="886"/>
        <v>SISTEMA DE DIAGNÓSTICO POR IMAGEM</v>
      </c>
      <c r="C10052" s="2" t="str">
        <f t="shared" si="887"/>
        <v>DIAGN</v>
      </c>
      <c r="D10052" s="2" t="str">
        <f t="shared" si="888"/>
        <v>PSDI</v>
      </c>
      <c r="E10052" s="2" t="str">
        <f>"R_ETQ_PRONTUAR R_ETQ_PRONTUARIO_745"</f>
        <v>R_ETQ_PRONTUAR R_ETQ_PRONTUARIO_745</v>
      </c>
      <c r="F10052" s="2" t="str">
        <f>"R_ETQ_PRONTUAR R_ETQ_PRONTUARIO_745"</f>
        <v>R_ETQ_PRONTUAR R_ETQ_PRONTUARIO_745</v>
      </c>
      <c r="G10052" s="2" t="str">
        <f t="shared" si="889"/>
        <v xml:space="preserve"> ()</v>
      </c>
    </row>
    <row r="10053" spans="1:7" x14ac:dyDescent="0.3">
      <c r="A10053" s="1" t="s">
        <v>4</v>
      </c>
      <c r="B10053" s="2" t="str">
        <f t="shared" si="886"/>
        <v>SISTEMA DE DIAGNÓSTICO POR IMAGEM</v>
      </c>
      <c r="C10053" s="2" t="str">
        <f t="shared" si="887"/>
        <v>DIAGN</v>
      </c>
      <c r="D10053" s="2" t="str">
        <f t="shared" si="888"/>
        <v>PSDI</v>
      </c>
      <c r="E10053" s="2" t="str">
        <f>" R_ETQ_PRONTUARIO_745"</f>
        <v xml:space="preserve"> R_ETQ_PRONTUARIO_745</v>
      </c>
      <c r="F10053" s="2" t="str">
        <f>" R_ETQ_PRONTUARIO_745"</f>
        <v xml:space="preserve"> R_ETQ_PRONTUARIO_745</v>
      </c>
      <c r="G10053" s="2" t="str">
        <f t="shared" si="889"/>
        <v xml:space="preserve"> ()</v>
      </c>
    </row>
    <row r="10054" spans="1:7" x14ac:dyDescent="0.3">
      <c r="A10054" s="1" t="s">
        <v>4</v>
      </c>
      <c r="B10054" s="2" t="str">
        <f t="shared" si="886"/>
        <v>SISTEMA DE DIAGNÓSTICO POR IMAGEM</v>
      </c>
      <c r="C10054" s="2" t="str">
        <f t="shared" si="887"/>
        <v>DIAGN</v>
      </c>
      <c r="D10054" s="2" t="str">
        <f t="shared" si="888"/>
        <v>PSDI</v>
      </c>
      <c r="E10054" s="2" t="str">
        <f>"R_LAU_EXA_207"</f>
        <v>R_LAU_EXA_207</v>
      </c>
      <c r="F10054" s="2" t="str">
        <f>"R_LAU_EXA_207"</f>
        <v>R_LAU_EXA_207</v>
      </c>
      <c r="G10054" s="2" t="str">
        <f t="shared" si="889"/>
        <v xml:space="preserve"> ()</v>
      </c>
    </row>
    <row r="10055" spans="1:7" x14ac:dyDescent="0.3">
      <c r="A10055" s="1" t="s">
        <v>4</v>
      </c>
      <c r="B10055" s="2" t="str">
        <f t="shared" si="886"/>
        <v>SISTEMA DE DIAGNÓSTICO POR IMAGEM</v>
      </c>
      <c r="C10055" s="2" t="str">
        <f t="shared" si="887"/>
        <v>DIAGN</v>
      </c>
      <c r="D10055" s="2" t="str">
        <f t="shared" si="888"/>
        <v>PSDI</v>
      </c>
      <c r="E10055" s="2" t="str">
        <f>"REL DE ETIQUETAS DO PSDI"</f>
        <v>REL DE ETIQUETAS DO PSDI</v>
      </c>
      <c r="F10055" s="2" t="str">
        <f>"R_ETIQUETA_PSDI755"</f>
        <v>R_ETIQUETA_PSDI755</v>
      </c>
      <c r="G10055" s="2" t="str">
        <f t="shared" si="889"/>
        <v xml:space="preserve"> ()</v>
      </c>
    </row>
    <row r="10056" spans="1:7" x14ac:dyDescent="0.3">
      <c r="A10056" s="1" t="s">
        <v>4</v>
      </c>
      <c r="B10056" s="2" t="str">
        <f t="shared" si="886"/>
        <v>SISTEMA DE DIAGNÓSTICO POR IMAGEM</v>
      </c>
      <c r="C10056" s="2" t="str">
        <f t="shared" si="887"/>
        <v>DIAGN</v>
      </c>
      <c r="D10056" s="2" t="str">
        <f t="shared" si="888"/>
        <v>PSDI</v>
      </c>
      <c r="E10056" s="2" t="str">
        <f>"REL DE EXAMES REALIZADOS X CONVENIOS"</f>
        <v>REL DE EXAMES REALIZADOS X CONVENIOS</v>
      </c>
      <c r="F10056" s="2" t="str">
        <f>"R_REAEXA_CONV"</f>
        <v>R_REAEXA_CONV</v>
      </c>
      <c r="G10056" s="2" t="str">
        <f t="shared" si="889"/>
        <v xml:space="preserve"> ()</v>
      </c>
    </row>
    <row r="10057" spans="1:7" x14ac:dyDescent="0.3">
      <c r="A10057" s="1" t="s">
        <v>4</v>
      </c>
      <c r="B10057" s="2" t="str">
        <f t="shared" si="886"/>
        <v>SISTEMA DE DIAGNÓSTICO POR IMAGEM</v>
      </c>
      <c r="C10057" s="2" t="str">
        <f t="shared" si="887"/>
        <v>DIAGN</v>
      </c>
      <c r="D10057" s="2" t="str">
        <f t="shared" si="888"/>
        <v>PSDI</v>
      </c>
      <c r="E10057" s="2" t="str">
        <f>"RELATÓRIO DE EXAMES AGENDADOS"</f>
        <v>RELATÓRIO DE EXAMES AGENDADOS</v>
      </c>
      <c r="F10057" s="2" t="str">
        <f>"R_EXAMES_AGENDADOS600"</f>
        <v>R_EXAMES_AGENDADOS600</v>
      </c>
      <c r="G10057" s="2" t="str">
        <f t="shared" si="889"/>
        <v xml:space="preserve"> ()</v>
      </c>
    </row>
    <row r="10058" spans="1:7" x14ac:dyDescent="0.3">
      <c r="A10058" s="1" t="s">
        <v>4</v>
      </c>
      <c r="B10058" s="2" t="str">
        <f t="shared" si="886"/>
        <v>SISTEMA DE DIAGNÓSTICO POR IMAGEM</v>
      </c>
      <c r="C10058" s="2" t="str">
        <f t="shared" si="887"/>
        <v>DIAGN</v>
      </c>
      <c r="D10058" s="2" t="str">
        <f t="shared" si="888"/>
        <v>PSDI</v>
      </c>
      <c r="E10058" s="2" t="str">
        <f>"CADASTRO: MOTIVO DE CANCELAMENTO"</f>
        <v>CADASTRO: MOTIVO DE CANCELAMENTO</v>
      </c>
      <c r="F10058" s="2" t="str">
        <f>"M_EXA_RX_PROIB"</f>
        <v>M_EXA_RX_PROIB</v>
      </c>
      <c r="G10058" s="2" t="str">
        <f>"Diagnóstico e Terapia / Diagnóstico por Imagem / Tabelas / Exames Proibidos Mesmo Dia (M_EXA_RX_PROIB)"</f>
        <v>Diagnóstico e Terapia / Diagnóstico por Imagem / Tabelas / Exames Proibidos Mesmo Dia (M_EXA_RX_PROIB)</v>
      </c>
    </row>
    <row r="10059" spans="1:7" x14ac:dyDescent="0.3">
      <c r="A10059" s="1" t="s">
        <v>4</v>
      </c>
      <c r="B10059" s="2" t="str">
        <f t="shared" si="886"/>
        <v>SISTEMA DE DIAGNÓSTICO POR IMAGEM</v>
      </c>
      <c r="C10059" s="2" t="str">
        <f t="shared" si="887"/>
        <v>DIAGN</v>
      </c>
      <c r="D10059" s="2" t="str">
        <f t="shared" si="888"/>
        <v>PSDI</v>
      </c>
      <c r="E10059" s="2" t="str">
        <f>"TRG DE LCTO AUT. DO PSDI PARA O FFAS"</f>
        <v>TRG DE LCTO AUT. DO PSDI PARA O FFAS</v>
      </c>
      <c r="F10059" s="2" t="str">
        <f>"TRG_LANCA_PSDI_FFAS"</f>
        <v>TRG_LANCA_PSDI_FFAS</v>
      </c>
      <c r="G10059" s="2" t="str">
        <f>" ()"</f>
        <v xml:space="preserve"> ()</v>
      </c>
    </row>
    <row r="10060" spans="1:7" x14ac:dyDescent="0.3">
      <c r="A10060" s="1" t="s">
        <v>4</v>
      </c>
      <c r="B10060" s="2" t="str">
        <f t="shared" si="886"/>
        <v>SISTEMA DE DIAGNÓSTICO POR IMAGEM</v>
      </c>
      <c r="C10060" s="2" t="str">
        <f t="shared" si="887"/>
        <v>DIAGN</v>
      </c>
      <c r="D10060" s="2" t="str">
        <f t="shared" si="888"/>
        <v>PSDI</v>
      </c>
      <c r="E10060" s="2" t="str">
        <f>"REL. DE EXAMES NÃO ENTREGUES"</f>
        <v>REL. DE EXAMES NÃO ENTREGUES</v>
      </c>
      <c r="F10060" s="2" t="str">
        <f>"R_EXANENT"</f>
        <v>R_EXANENT</v>
      </c>
      <c r="G10060" s="2" t="str">
        <f>"Diagnóstico e Terapia / Diagnóstico por Imagem / Relatórios / Operacionais / Exames não Entregues (R_EXANENT)"</f>
        <v>Diagnóstico e Terapia / Diagnóstico por Imagem / Relatórios / Operacionais / Exames não Entregues (R_EXANENT)</v>
      </c>
    </row>
    <row r="10061" spans="1:7" x14ac:dyDescent="0.3">
      <c r="A10061" s="1" t="s">
        <v>4</v>
      </c>
      <c r="B10061" s="2" t="str">
        <f t="shared" si="886"/>
        <v>SISTEMA DE DIAGNÓSTICO POR IMAGEM</v>
      </c>
      <c r="C10061" s="2" t="str">
        <f t="shared" si="887"/>
        <v>DIAGN</v>
      </c>
      <c r="D10061" s="2" t="str">
        <f t="shared" si="888"/>
        <v>PSDI</v>
      </c>
      <c r="E10061" s="2" t="str">
        <f>"EXCLUSÃO DE LAUDOS"</f>
        <v>EXCLUSÃO DE LAUDOS</v>
      </c>
      <c r="F10061" s="2" t="str">
        <f>"M_EXC_LAUDO"</f>
        <v>M_EXC_LAUDO</v>
      </c>
      <c r="G10061" s="2" t="str">
        <f>"Diagnóstico e Terapia / Diagnóstico por Imagem / Atendimentos / Exclusões / Laudo (M_EXC_LAUDO)"</f>
        <v>Diagnóstico e Terapia / Diagnóstico por Imagem / Atendimentos / Exclusões / Laudo (M_EXC_LAUDO)</v>
      </c>
    </row>
    <row r="10062" spans="1:7" x14ac:dyDescent="0.3">
      <c r="A10062" s="1" t="s">
        <v>4</v>
      </c>
      <c r="B10062" s="2" t="str">
        <f t="shared" si="886"/>
        <v>SISTEMA DE DIAGNÓSTICO POR IMAGEM</v>
      </c>
      <c r="C10062" s="2" t="str">
        <f t="shared" si="887"/>
        <v>DIAGN</v>
      </c>
      <c r="D10062" s="2" t="str">
        <f t="shared" si="888"/>
        <v>PSDI</v>
      </c>
      <c r="E10062" s="2" t="str">
        <f>"LAUDO ECOCARDIOGRAMA"</f>
        <v>LAUDO ECOCARDIOGRAMA</v>
      </c>
      <c r="F10062" s="2" t="str">
        <f>"LAUDO_ECO"</f>
        <v>LAUDO_ECO</v>
      </c>
      <c r="G10062" s="2" t="str">
        <f>" ()"</f>
        <v xml:space="preserve"> ()</v>
      </c>
    </row>
    <row r="10063" spans="1:7" x14ac:dyDescent="0.3">
      <c r="A10063" s="1" t="s">
        <v>4</v>
      </c>
      <c r="B10063" s="2" t="str">
        <f t="shared" si="886"/>
        <v>SISTEMA DE DIAGNÓSTICO POR IMAGEM</v>
      </c>
      <c r="C10063" s="2" t="str">
        <f t="shared" si="887"/>
        <v>DIAGN</v>
      </c>
      <c r="D10063" s="2" t="str">
        <f t="shared" si="888"/>
        <v>PSDI</v>
      </c>
      <c r="E10063" s="2" t="str">
        <f>"REL DE PRODUTIVIDADE POR PROFISSIONAL SI"</f>
        <v>REL DE PRODUTIVIDADE POR PROFISSIONAL SI</v>
      </c>
      <c r="F10063" s="2" t="str">
        <f>"R_PROD_RX_PROF_SIA_S"</f>
        <v>R_PROD_RX_PROF_SIA_S</v>
      </c>
      <c r="G10063" s="2" t="str">
        <f>" ()"</f>
        <v xml:space="preserve"> ()</v>
      </c>
    </row>
    <row r="10064" spans="1:7" x14ac:dyDescent="0.3">
      <c r="A10064" s="1" t="s">
        <v>4</v>
      </c>
      <c r="B10064" s="2" t="str">
        <f t="shared" si="886"/>
        <v>SISTEMA DE DIAGNÓSTICO POR IMAGEM</v>
      </c>
      <c r="C10064" s="2" t="str">
        <f t="shared" si="887"/>
        <v>DIAGN</v>
      </c>
      <c r="D10064" s="2" t="str">
        <f t="shared" si="888"/>
        <v>PSDI</v>
      </c>
      <c r="E10064" s="2" t="str">
        <f>"REL DE LAUDOS NÃO ENTREGUES"</f>
        <v>REL DE LAUDOS NÃO ENTREGUES</v>
      </c>
      <c r="F10064" s="2" t="str">
        <f>"R_ENTREGA_LAUDO"</f>
        <v>R_ENTREGA_LAUDO</v>
      </c>
      <c r="G10064" s="2" t="str">
        <f>"Diagnóstico e Terapia / Diagnóstico por Imagem / Relatórios / Operacionais / Laudos não Entregues (R_ENTREGA_LAUDO)"</f>
        <v>Diagnóstico e Terapia / Diagnóstico por Imagem / Relatórios / Operacionais / Laudos não Entregues (R_ENTREGA_LAUDO)</v>
      </c>
    </row>
    <row r="10065" spans="1:7" x14ac:dyDescent="0.3">
      <c r="A10065" s="1" t="s">
        <v>4</v>
      </c>
      <c r="B10065" s="2" t="str">
        <f t="shared" si="886"/>
        <v>SISTEMA DE DIAGNÓSTICO POR IMAGEM</v>
      </c>
      <c r="C10065" s="2" t="str">
        <f t="shared" si="887"/>
        <v>DIAGN</v>
      </c>
      <c r="D10065" s="2" t="str">
        <f t="shared" si="888"/>
        <v>PSDI</v>
      </c>
      <c r="E10065" s="2" t="str">
        <f>"VALORES FE ECO"</f>
        <v>VALORES FE ECO</v>
      </c>
      <c r="F10065" s="2" t="str">
        <f>"M_FE_ECO"</f>
        <v>M_FE_ECO</v>
      </c>
      <c r="G10065" s="2" t="str">
        <f>"Atendimento / Ambulatório / Personalizados / Fração de Ejeção - Ecocardiograma (M_FE_ECO)"</f>
        <v>Atendimento / Ambulatório / Personalizados / Fração de Ejeção - Ecocardiograma (M_FE_ECO)</v>
      </c>
    </row>
    <row r="10066" spans="1:7" x14ac:dyDescent="0.3">
      <c r="A10066" s="1" t="s">
        <v>4</v>
      </c>
      <c r="B10066" s="2" t="str">
        <f t="shared" si="886"/>
        <v>SISTEMA DE DIAGNÓSTICO POR IMAGEM</v>
      </c>
      <c r="C10066" s="2" t="str">
        <f t="shared" si="887"/>
        <v>DIAGN</v>
      </c>
      <c r="D10066" s="2" t="str">
        <f t="shared" si="888"/>
        <v>PSDI</v>
      </c>
      <c r="E10066" s="2" t="str">
        <f>"REL. ENTREGA DE LAUDOS"</f>
        <v>REL. ENTREGA DE LAUDOS</v>
      </c>
      <c r="F10066" s="2" t="str">
        <f>"R_ENTREGA_LAUDOS"</f>
        <v>R_ENTREGA_LAUDOS</v>
      </c>
      <c r="G10066" s="2" t="str">
        <f>" ()"</f>
        <v xml:space="preserve"> ()</v>
      </c>
    </row>
    <row r="10067" spans="1:7" x14ac:dyDescent="0.3">
      <c r="A10067" s="1" t="s">
        <v>4</v>
      </c>
      <c r="B10067" s="2" t="str">
        <f t="shared" si="886"/>
        <v>SISTEMA DE DIAGNÓSTICO POR IMAGEM</v>
      </c>
      <c r="C10067" s="2" t="str">
        <f t="shared" si="887"/>
        <v>DIAGN</v>
      </c>
      <c r="D10067" s="2" t="str">
        <f t="shared" si="888"/>
        <v>PSDI</v>
      </c>
      <c r="E10067" s="2" t="str">
        <f>"PEDIDOS DE EXAMES"</f>
        <v>PEDIDOS DE EXAMES</v>
      </c>
      <c r="F10067" s="2" t="str">
        <f>"R_PED_RX1"</f>
        <v>R_PED_RX1</v>
      </c>
      <c r="G10067" s="2" t="str">
        <f>" ()"</f>
        <v xml:space="preserve"> ()</v>
      </c>
    </row>
    <row r="10068" spans="1:7" x14ac:dyDescent="0.3">
      <c r="A10068" s="1" t="s">
        <v>4</v>
      </c>
      <c r="B10068" s="2" t="str">
        <f t="shared" si="886"/>
        <v>SISTEMA DE DIAGNÓSTICO POR IMAGEM</v>
      </c>
      <c r="C10068" s="2" t="str">
        <f t="shared" si="887"/>
        <v>DIAGN</v>
      </c>
      <c r="D10068" s="2" t="str">
        <f t="shared" si="888"/>
        <v>PSDI</v>
      </c>
      <c r="E10068" s="2" t="str">
        <f>"ESPELHO DE PEDIDOS DE EXAMES"</f>
        <v>ESPELHO DE PEDIDOS DE EXAMES</v>
      </c>
      <c r="F10068" s="2" t="str">
        <f>"R_ESPELHO_PED_RX"</f>
        <v>R_ESPELHO_PED_RX</v>
      </c>
      <c r="G10068" s="2" t="str">
        <f>" ()"</f>
        <v xml:space="preserve"> ()</v>
      </c>
    </row>
    <row r="10069" spans="1:7" x14ac:dyDescent="0.3">
      <c r="A10069" s="1" t="s">
        <v>4</v>
      </c>
      <c r="B10069" s="2" t="str">
        <f t="shared" si="886"/>
        <v>SISTEMA DE DIAGNÓSTICO POR IMAGEM</v>
      </c>
      <c r="C10069" s="2" t="str">
        <f t="shared" si="887"/>
        <v>DIAGN</v>
      </c>
      <c r="D10069" s="2" t="str">
        <f t="shared" si="888"/>
        <v>PSDI</v>
      </c>
      <c r="E10069" s="2" t="str">
        <f>"REGISTRO DE ENTRADA DE PACIENTES"</f>
        <v>REGISTRO DE ENTRADA DE PACIENTES</v>
      </c>
      <c r="F10069" s="2" t="str">
        <f>"R_TERMO_PSDI"</f>
        <v>R_TERMO_PSDI</v>
      </c>
      <c r="G10069" s="2" t="str">
        <f>" ()"</f>
        <v xml:space="preserve"> ()</v>
      </c>
    </row>
    <row r="10070" spans="1:7" x14ac:dyDescent="0.3">
      <c r="A10070" s="1" t="s">
        <v>4</v>
      </c>
      <c r="B10070" s="2" t="str">
        <f t="shared" si="886"/>
        <v>SISTEMA DE DIAGNÓSTICO POR IMAGEM</v>
      </c>
      <c r="C10070" s="2" t="str">
        <f t="shared" si="887"/>
        <v>DIAGN</v>
      </c>
      <c r="D10070" s="2" t="str">
        <f t="shared" si="888"/>
        <v>PSDI</v>
      </c>
      <c r="E10070" s="2" t="str">
        <f>"CONFIGURA PSDI"</f>
        <v>CONFIGURA PSDI</v>
      </c>
      <c r="F10070" s="2" t="str">
        <f>"M_CONFIG_PSDI"</f>
        <v>M_CONFIG_PSDI</v>
      </c>
      <c r="G10070" s="2" t="str">
        <f>"Diagnóstico e Terapia / Diagnóstico por Imagem / Configurações / Parâmetros (M_CONFIG_PSDI)"</f>
        <v>Diagnóstico e Terapia / Diagnóstico por Imagem / Configurações / Parâmetros (M_CONFIG_PSDI)</v>
      </c>
    </row>
    <row r="10071" spans="1:7" x14ac:dyDescent="0.3">
      <c r="A10071" s="1" t="s">
        <v>4</v>
      </c>
      <c r="B10071" s="2" t="str">
        <f t="shared" si="886"/>
        <v>SISTEMA DE DIAGNÓSTICO POR IMAGEM</v>
      </c>
      <c r="C10071" s="2" t="str">
        <f t="shared" si="887"/>
        <v>DIAGN</v>
      </c>
      <c r="D10071" s="2" t="str">
        <f t="shared" si="888"/>
        <v>PSDI</v>
      </c>
      <c r="E10071" s="2" t="str">
        <f>"EMISSAO DE LAUDOS PELO PEDID"</f>
        <v>EMISSAO DE LAUDOS PELO PEDID</v>
      </c>
      <c r="F10071" s="2" t="str">
        <f>"R_LAU_PEDI"</f>
        <v>R_LAU_PEDI</v>
      </c>
      <c r="G10071" s="2" t="str">
        <f>"Diagnóstico e Terapia / Diagnóstico por Imagem / Relatórios / Operacionais / Emissão de Laudos (Pedido) (R_LAU_PEDI)"</f>
        <v>Diagnóstico e Terapia / Diagnóstico por Imagem / Relatórios / Operacionais / Emissão de Laudos (Pedido) (R_LAU_PEDI)</v>
      </c>
    </row>
    <row r="10072" spans="1:7" x14ac:dyDescent="0.3">
      <c r="A10072" s="1" t="s">
        <v>4</v>
      </c>
      <c r="B10072" s="2" t="str">
        <f t="shared" si="886"/>
        <v>SISTEMA DE DIAGNÓSTICO POR IMAGEM</v>
      </c>
      <c r="C10072" s="2" t="str">
        <f t="shared" si="887"/>
        <v>DIAGN</v>
      </c>
      <c r="D10072" s="2" t="str">
        <f t="shared" si="888"/>
        <v>PSDI</v>
      </c>
      <c r="E10072" s="2" t="str">
        <f>"PROTOCOLO DE ENTREGA DE EXAMES"</f>
        <v>PROTOCOLO DE ENTREGA DE EXAMES</v>
      </c>
      <c r="F10072" s="2" t="str">
        <f>"R_ENT_LAUDO"</f>
        <v>R_ENT_LAUDO</v>
      </c>
      <c r="G10072" s="2" t="str">
        <f t="shared" ref="G10072:G10080" si="890">" ()"</f>
        <v xml:space="preserve"> ()</v>
      </c>
    </row>
    <row r="10073" spans="1:7" x14ac:dyDescent="0.3">
      <c r="A10073" s="1" t="s">
        <v>4</v>
      </c>
      <c r="B10073" s="2" t="str">
        <f t="shared" si="886"/>
        <v>SISTEMA DE DIAGNÓSTICO POR IMAGEM</v>
      </c>
      <c r="C10073" s="2" t="str">
        <f t="shared" si="887"/>
        <v>DIAGN</v>
      </c>
      <c r="D10073" s="2" t="str">
        <f t="shared" si="888"/>
        <v>PSDI</v>
      </c>
      <c r="E10073" s="2" t="str">
        <f>"COMPROVANTE DE PEDIDOS DE EXAMES"</f>
        <v>COMPROVANTE DE PEDIDOS DE EXAMES</v>
      </c>
      <c r="F10073" s="2" t="str">
        <f>"R_PED_RX"</f>
        <v>R_PED_RX</v>
      </c>
      <c r="G10073" s="2" t="str">
        <f t="shared" si="890"/>
        <v xml:space="preserve"> ()</v>
      </c>
    </row>
    <row r="10074" spans="1:7" x14ac:dyDescent="0.3">
      <c r="A10074" s="1" t="s">
        <v>4</v>
      </c>
      <c r="B10074" s="2" t="str">
        <f t="shared" si="886"/>
        <v>SISTEMA DE DIAGNÓSTICO POR IMAGEM</v>
      </c>
      <c r="C10074" s="2" t="str">
        <f t="shared" si="887"/>
        <v>DIAGN</v>
      </c>
      <c r="D10074" s="2" t="str">
        <f t="shared" si="888"/>
        <v>PSDI</v>
      </c>
      <c r="E10074" s="2" t="str">
        <f>"REL DE PRODUCAO POR CONVENIO TIPO SIA"</f>
        <v>REL DE PRODUCAO POR CONVENIO TIPO SIA</v>
      </c>
      <c r="F10074" s="2" t="str">
        <f>"R_PROD_RX_CONV_SIA_360"</f>
        <v>R_PROD_RX_CONV_SIA_360</v>
      </c>
      <c r="G10074" s="2" t="str">
        <f t="shared" si="890"/>
        <v xml:space="preserve"> ()</v>
      </c>
    </row>
    <row r="10075" spans="1:7" x14ac:dyDescent="0.3">
      <c r="A10075" s="1" t="s">
        <v>4</v>
      </c>
      <c r="B10075" s="2" t="str">
        <f t="shared" si="886"/>
        <v>SISTEMA DE DIAGNÓSTICO POR IMAGEM</v>
      </c>
      <c r="C10075" s="2" t="str">
        <f t="shared" si="887"/>
        <v>DIAGN</v>
      </c>
      <c r="D10075" s="2" t="str">
        <f t="shared" si="888"/>
        <v>PSDI</v>
      </c>
      <c r="E10075" s="2" t="str">
        <f>"REL DE PRODUCAO POR PROFISSIONAL"</f>
        <v>REL DE PRODUCAO POR PROFISSIONAL</v>
      </c>
      <c r="F10075" s="2" t="str">
        <f>"R_PROD_RX_PROF_SIA_360"</f>
        <v>R_PROD_RX_PROF_SIA_360</v>
      </c>
      <c r="G10075" s="2" t="str">
        <f t="shared" si="890"/>
        <v xml:space="preserve"> ()</v>
      </c>
    </row>
    <row r="10076" spans="1:7" x14ac:dyDescent="0.3">
      <c r="A10076" s="1" t="s">
        <v>4</v>
      </c>
      <c r="B10076" s="2" t="str">
        <f t="shared" si="886"/>
        <v>SISTEMA DE DIAGNÓSTICO POR IMAGEM</v>
      </c>
      <c r="C10076" s="2" t="str">
        <f t="shared" si="887"/>
        <v>DIAGN</v>
      </c>
      <c r="D10076" s="2" t="str">
        <f t="shared" si="888"/>
        <v>PSDI</v>
      </c>
      <c r="E10076" s="2" t="str">
        <f>"REL EST DE EXAMES POR CONVENIO"</f>
        <v>REL EST DE EXAMES POR CONVENIO</v>
      </c>
      <c r="F10076" s="2" t="str">
        <f>"R_EST_EXAME_CONVENIO"</f>
        <v>R_EST_EXAME_CONVENIO</v>
      </c>
      <c r="G10076" s="2" t="str">
        <f t="shared" si="890"/>
        <v xml:space="preserve"> ()</v>
      </c>
    </row>
    <row r="10077" spans="1:7" x14ac:dyDescent="0.3">
      <c r="A10077" s="1" t="s">
        <v>4</v>
      </c>
      <c r="B10077" s="2" t="str">
        <f t="shared" si="886"/>
        <v>SISTEMA DE DIAGNÓSTICO POR IMAGEM</v>
      </c>
      <c r="C10077" s="2" t="str">
        <f t="shared" si="887"/>
        <v>DIAGN</v>
      </c>
      <c r="D10077" s="2" t="str">
        <f t="shared" si="888"/>
        <v>PSDI</v>
      </c>
      <c r="E10077" s="2" t="str">
        <f>"REL EST DE EXAMES POR PRESTADOR"</f>
        <v>REL EST DE EXAMES POR PRESTADOR</v>
      </c>
      <c r="F10077" s="2" t="str">
        <f>"R_EST_EXAME_PRESTADOR"</f>
        <v>R_EST_EXAME_PRESTADOR</v>
      </c>
      <c r="G10077" s="2" t="str">
        <f t="shared" si="890"/>
        <v xml:space="preserve"> ()</v>
      </c>
    </row>
    <row r="10078" spans="1:7" x14ac:dyDescent="0.3">
      <c r="A10078" s="1" t="s">
        <v>4</v>
      </c>
      <c r="B10078" s="2" t="str">
        <f t="shared" si="886"/>
        <v>SISTEMA DE DIAGNÓSTICO POR IMAGEM</v>
      </c>
      <c r="C10078" s="2" t="str">
        <f t="shared" si="887"/>
        <v>DIAGN</v>
      </c>
      <c r="D10078" s="2" t="str">
        <f t="shared" si="888"/>
        <v>PSDI</v>
      </c>
      <c r="E10078" s="2" t="str">
        <f>"CONSULTA DE EXAMES SOLICITADOS"</f>
        <v>CONSULTA DE EXAMES SOLICITADOS</v>
      </c>
      <c r="F10078" s="2" t="str">
        <f>"M_EXA_SOL"</f>
        <v>M_EXA_SOL</v>
      </c>
      <c r="G10078" s="2" t="str">
        <f t="shared" si="890"/>
        <v xml:space="preserve"> ()</v>
      </c>
    </row>
    <row r="10079" spans="1:7" x14ac:dyDescent="0.3">
      <c r="A10079" s="1" t="s">
        <v>4</v>
      </c>
      <c r="B10079" s="2" t="str">
        <f t="shared" si="886"/>
        <v>SISTEMA DE DIAGNÓSTICO POR IMAGEM</v>
      </c>
      <c r="C10079" s="2" t="str">
        <f t="shared" si="887"/>
        <v>DIAGN</v>
      </c>
      <c r="D10079" s="2" t="str">
        <f t="shared" si="888"/>
        <v>PSDI</v>
      </c>
      <c r="E10079" s="2" t="str">
        <f>"AGE_RX600"</f>
        <v>AGE_RX600</v>
      </c>
      <c r="F10079" s="2" t="str">
        <f>"AGE_RX600"</f>
        <v>AGE_RX600</v>
      </c>
      <c r="G10079" s="2" t="str">
        <f t="shared" si="890"/>
        <v xml:space="preserve"> ()</v>
      </c>
    </row>
    <row r="10080" spans="1:7" x14ac:dyDescent="0.3">
      <c r="A10080" s="1" t="s">
        <v>4</v>
      </c>
      <c r="B10080" s="2" t="str">
        <f t="shared" si="886"/>
        <v>SISTEMA DE DIAGNÓSTICO POR IMAGEM</v>
      </c>
      <c r="C10080" s="2" t="str">
        <f t="shared" si="887"/>
        <v>DIAGN</v>
      </c>
      <c r="D10080" s="2" t="str">
        <f t="shared" si="888"/>
        <v>PSDI</v>
      </c>
      <c r="E10080" s="2" t="str">
        <f>"R_AGENDA600"</f>
        <v>R_AGENDA600</v>
      </c>
      <c r="F10080" s="2" t="str">
        <f>"R_AGENDA600"</f>
        <v>R_AGENDA600</v>
      </c>
      <c r="G10080" s="2" t="str">
        <f t="shared" si="890"/>
        <v xml:space="preserve"> ()</v>
      </c>
    </row>
    <row r="10081" spans="1:7" x14ac:dyDescent="0.3">
      <c r="A10081" s="1" t="s">
        <v>4</v>
      </c>
      <c r="B10081" s="2" t="str">
        <f t="shared" si="886"/>
        <v>SISTEMA DE DIAGNÓSTICO POR IMAGEM</v>
      </c>
      <c r="C10081" s="2" t="str">
        <f t="shared" si="887"/>
        <v>DIAGN</v>
      </c>
      <c r="D10081" s="2" t="str">
        <f t="shared" si="888"/>
        <v>PSDI</v>
      </c>
      <c r="E10081" s="2" t="str">
        <f>"C_PEDI_PAC"</f>
        <v>C_PEDI_PAC</v>
      </c>
      <c r="F10081" s="2" t="str">
        <f>"C_PEDI_PAC"</f>
        <v>C_PEDI_PAC</v>
      </c>
      <c r="G10081" s="2" t="str">
        <f>"Diagnóstico e Terapia / Diagnóstico por Imagem / Consultas / Pedidos de Exame por Paciente (C_PEDI_PAC)"</f>
        <v>Diagnóstico e Terapia / Diagnóstico por Imagem / Consultas / Pedidos de Exame por Paciente (C_PEDI_PAC)</v>
      </c>
    </row>
    <row r="10082" spans="1:7" x14ac:dyDescent="0.3">
      <c r="A10082" s="1" t="s">
        <v>4</v>
      </c>
      <c r="B10082" s="2" t="str">
        <f t="shared" si="886"/>
        <v>SISTEMA DE DIAGNÓSTICO POR IMAGEM</v>
      </c>
      <c r="C10082" s="2" t="str">
        <f t="shared" si="887"/>
        <v>DIAGN</v>
      </c>
      <c r="D10082" s="2" t="str">
        <f t="shared" si="888"/>
        <v>PSDI</v>
      </c>
      <c r="E10082" s="2" t="str">
        <f>"REL DE ANAMNESE DO PSDI"</f>
        <v>REL DE ANAMNESE DO PSDI</v>
      </c>
      <c r="F10082" s="2" t="str">
        <f>"R_ANM_PSDI"</f>
        <v>R_ANM_PSDI</v>
      </c>
      <c r="G10082" s="2" t="str">
        <f t="shared" ref="G10082:G10087" si="891">" ()"</f>
        <v xml:space="preserve"> ()</v>
      </c>
    </row>
    <row r="10083" spans="1:7" x14ac:dyDescent="0.3">
      <c r="A10083" s="1" t="s">
        <v>4</v>
      </c>
      <c r="B10083" s="2" t="str">
        <f t="shared" si="886"/>
        <v>SISTEMA DE DIAGNÓSTICO POR IMAGEM</v>
      </c>
      <c r="C10083" s="2" t="str">
        <f t="shared" si="887"/>
        <v>DIAGN</v>
      </c>
      <c r="D10083" s="2" t="str">
        <f t="shared" si="888"/>
        <v>PSDI</v>
      </c>
      <c r="E10083" s="2" t="str">
        <f>"R_COMP_EXAME_AGENDADO755"</f>
        <v>R_COMP_EXAME_AGENDADO755</v>
      </c>
      <c r="F10083" s="2" t="str">
        <f>"R_COMP_EXAME_AGENDADO755"</f>
        <v>R_COMP_EXAME_AGENDADO755</v>
      </c>
      <c r="G10083" s="2" t="str">
        <f t="shared" si="891"/>
        <v xml:space="preserve"> ()</v>
      </c>
    </row>
    <row r="10084" spans="1:7" x14ac:dyDescent="0.3">
      <c r="A10084" s="1" t="s">
        <v>4</v>
      </c>
      <c r="B10084" s="2" t="str">
        <f t="shared" si="886"/>
        <v>SISTEMA DE DIAGNÓSTICO POR IMAGEM</v>
      </c>
      <c r="C10084" s="2" t="str">
        <f t="shared" si="887"/>
        <v>DIAGN</v>
      </c>
      <c r="D10084" s="2" t="str">
        <f t="shared" si="888"/>
        <v>PSDI</v>
      </c>
      <c r="E10084" s="2" t="str">
        <f>"M_TIP_EXA_755"</f>
        <v>M_TIP_EXA_755</v>
      </c>
      <c r="F10084" s="2" t="str">
        <f>"M_TIP_EXA_755"</f>
        <v>M_TIP_EXA_755</v>
      </c>
      <c r="G10084" s="2" t="str">
        <f t="shared" si="891"/>
        <v xml:space="preserve"> ()</v>
      </c>
    </row>
    <row r="10085" spans="1:7" x14ac:dyDescent="0.3">
      <c r="A10085" s="1" t="s">
        <v>4</v>
      </c>
      <c r="B10085" s="2" t="str">
        <f t="shared" si="886"/>
        <v>SISTEMA DE DIAGNÓSTICO POR IMAGEM</v>
      </c>
      <c r="C10085" s="2" t="str">
        <f t="shared" si="887"/>
        <v>DIAGN</v>
      </c>
      <c r="D10085" s="2" t="str">
        <f t="shared" si="888"/>
        <v>PSDI</v>
      </c>
      <c r="E10085" s="2" t="str">
        <f>"RELATÓRIO DE AGENDAMENTOS (600)"</f>
        <v>RELATÓRIO DE AGENDAMENTOS (600)</v>
      </c>
      <c r="F10085" s="2" t="str">
        <f>"R_AGENDAMENTOS600"</f>
        <v>R_AGENDAMENTOS600</v>
      </c>
      <c r="G10085" s="2" t="str">
        <f t="shared" si="891"/>
        <v xml:space="preserve"> ()</v>
      </c>
    </row>
    <row r="10086" spans="1:7" x14ac:dyDescent="0.3">
      <c r="A10086" s="1" t="s">
        <v>4</v>
      </c>
      <c r="B10086" s="2" t="str">
        <f t="shared" si="886"/>
        <v>SISTEMA DE DIAGNÓSTICO POR IMAGEM</v>
      </c>
      <c r="C10086" s="2" t="str">
        <f t="shared" si="887"/>
        <v>DIAGN</v>
      </c>
      <c r="D10086" s="2" t="str">
        <f t="shared" si="888"/>
        <v>PSDI</v>
      </c>
      <c r="E10086" s="2" t="str">
        <f>"REL EST DE EXAMES SOLIC POR CONV X GRUPO"</f>
        <v>REL EST DE EXAMES SOLIC POR CONV X GRUPO</v>
      </c>
      <c r="F10086" s="2" t="str">
        <f>"R_EXA_SOLIC_CONV_GRUPO"</f>
        <v>R_EXA_SOLIC_CONV_GRUPO</v>
      </c>
      <c r="G10086" s="2" t="str">
        <f t="shared" si="891"/>
        <v xml:space="preserve"> ()</v>
      </c>
    </row>
    <row r="10087" spans="1:7" x14ac:dyDescent="0.3">
      <c r="A10087" s="1" t="s">
        <v>4</v>
      </c>
      <c r="B10087" s="2" t="str">
        <f t="shared" si="886"/>
        <v>SISTEMA DE DIAGNÓSTICO POR IMAGEM</v>
      </c>
      <c r="C10087" s="2" t="str">
        <f t="shared" si="887"/>
        <v>DIAGN</v>
      </c>
      <c r="D10087" s="2" t="str">
        <f t="shared" si="888"/>
        <v>PSDI</v>
      </c>
      <c r="E10087" s="2" t="str">
        <f>"REL D PEDIDO DE EXAMES"</f>
        <v>REL D PEDIDO DE EXAMES</v>
      </c>
      <c r="F10087" s="2" t="str">
        <f>"R_PED_RX756"</f>
        <v>R_PED_RX756</v>
      </c>
      <c r="G10087" s="2" t="str">
        <f t="shared" si="891"/>
        <v xml:space="preserve"> ()</v>
      </c>
    </row>
    <row r="10088" spans="1:7" x14ac:dyDescent="0.3">
      <c r="A10088" s="1" t="s">
        <v>4</v>
      </c>
      <c r="B10088" s="2" t="str">
        <f t="shared" si="886"/>
        <v>SISTEMA DE DIAGNÓSTICO POR IMAGEM</v>
      </c>
      <c r="C10088" s="2" t="str">
        <f t="shared" si="887"/>
        <v>DIAGN</v>
      </c>
      <c r="D10088" s="2" t="str">
        <f t="shared" si="888"/>
        <v>PSDI</v>
      </c>
      <c r="E10088" s="2" t="str">
        <f>"EXAMES POR SETOR EXECUTANTE"</f>
        <v>EXAMES POR SETOR EXECUTANTE</v>
      </c>
      <c r="F10088" s="2" t="str">
        <f>"R_EXAME_SETEXA"</f>
        <v>R_EXAME_SETEXA</v>
      </c>
      <c r="G10088" s="2" t="str">
        <f>"Diagnóstico e Terapia / Diagnóstico por Imagem / Relatórios / Tabelas / Exames por Setor (R_EXAME_SETEXA)"</f>
        <v>Diagnóstico e Terapia / Diagnóstico por Imagem / Relatórios / Tabelas / Exames por Setor (R_EXAME_SETEXA)</v>
      </c>
    </row>
    <row r="10089" spans="1:7" x14ac:dyDescent="0.3">
      <c r="A10089" s="1" t="s">
        <v>4</v>
      </c>
      <c r="B10089" s="2" t="str">
        <f t="shared" si="886"/>
        <v>SISTEMA DE DIAGNÓSTICO POR IMAGEM</v>
      </c>
      <c r="C10089" s="2" t="str">
        <f t="shared" si="887"/>
        <v>DIAGN</v>
      </c>
      <c r="D10089" s="2" t="str">
        <f t="shared" si="888"/>
        <v>PSDI</v>
      </c>
      <c r="E10089" s="2" t="str">
        <f>"AGENDAMENTO ESPECIFICO"</f>
        <v>AGENDAMENTO ESPECIFICO</v>
      </c>
      <c r="F10089" s="2" t="str">
        <f>"M_AGENDAMENTO_959"</f>
        <v>M_AGENDAMENTO_959</v>
      </c>
      <c r="G10089" s="2" t="str">
        <f>" ()"</f>
        <v xml:space="preserve"> ()</v>
      </c>
    </row>
    <row r="10090" spans="1:7" x14ac:dyDescent="0.3">
      <c r="A10090" s="1" t="s">
        <v>4</v>
      </c>
      <c r="B10090" s="2" t="str">
        <f t="shared" si="886"/>
        <v>SISTEMA DE DIAGNÓSTICO POR IMAGEM</v>
      </c>
      <c r="C10090" s="2" t="str">
        <f t="shared" si="887"/>
        <v>DIAGN</v>
      </c>
      <c r="D10090" s="2" t="str">
        <f t="shared" si="888"/>
        <v>PSDI</v>
      </c>
      <c r="E10090" s="2" t="str">
        <f>"RELATORIO DE PEDIDOS SEM LAUDOS"</f>
        <v>RELATORIO DE PEDIDOS SEM LAUDOS</v>
      </c>
      <c r="F10090" s="2" t="str">
        <f>"R_PEDIDO_SEM_LAUDOS"</f>
        <v>R_PEDIDO_SEM_LAUDOS</v>
      </c>
      <c r="G10090" s="2" t="str">
        <f>" ()"</f>
        <v xml:space="preserve"> ()</v>
      </c>
    </row>
    <row r="10091" spans="1:7" x14ac:dyDescent="0.3">
      <c r="A10091" s="1" t="s">
        <v>4</v>
      </c>
      <c r="B10091" s="2" t="str">
        <f t="shared" ref="B10091:B10154" si="892">"SISTEMA DE DIAGNÓSTICO POR IMAGEM"</f>
        <v>SISTEMA DE DIAGNÓSTICO POR IMAGEM</v>
      </c>
      <c r="C10091" s="2" t="str">
        <f t="shared" ref="C10091:C10154" si="893">"DIAGN"</f>
        <v>DIAGN</v>
      </c>
      <c r="D10091" s="2" t="str">
        <f t="shared" ref="D10091:D10154" si="894">"PSDI"</f>
        <v>PSDI</v>
      </c>
      <c r="E10091" s="2" t="str">
        <f>"RELAT. DE EXAMES REALIZ. POR CONVÊNIO"</f>
        <v>RELAT. DE EXAMES REALIZ. POR CONVÊNIO</v>
      </c>
      <c r="F10091" s="2" t="str">
        <f>"R_EXAME_REALIZ_CONV_XY"</f>
        <v>R_EXAME_REALIZ_CONV_XY</v>
      </c>
      <c r="G10091" s="2" t="str">
        <f>"Diagnóstico e Terapia / Diagnóstico por Imagem / Relatórios / Operacionais / Exames / Por Convênio X Grupo de Proced - Tipo de Atend. (R_EXAME_REALIZ_CONV_XY)"</f>
        <v>Diagnóstico e Terapia / Diagnóstico por Imagem / Relatórios / Operacionais / Exames / Por Convênio X Grupo de Proced - Tipo de Atend. (R_EXAME_REALIZ_CONV_XY)</v>
      </c>
    </row>
    <row r="10092" spans="1:7" x14ac:dyDescent="0.3">
      <c r="A10092" s="1" t="s">
        <v>4</v>
      </c>
      <c r="B10092" s="2" t="str">
        <f t="shared" si="892"/>
        <v>SISTEMA DE DIAGNÓSTICO POR IMAGEM</v>
      </c>
      <c r="C10092" s="2" t="str">
        <f t="shared" si="893"/>
        <v>DIAGN</v>
      </c>
      <c r="D10092" s="2" t="str">
        <f t="shared" si="894"/>
        <v>PSDI</v>
      </c>
      <c r="E10092" s="2" t="str">
        <f>"REL DE EXAMES REALIZADOS POR DIA"</f>
        <v>REL DE EXAMES REALIZADOS POR DIA</v>
      </c>
      <c r="F10092" s="2" t="str">
        <f>"R_EXA_REALIZ_DIA"</f>
        <v>R_EXA_REALIZ_DIA</v>
      </c>
      <c r="G10092" s="2" t="str">
        <f>"Diagnóstico e Terapia / Diagnóstico por Imagem / Relatórios / Operacionais / Exames Realizados / Por Dia (R_EXA_REALIZ_DIA)"</f>
        <v>Diagnóstico e Terapia / Diagnóstico por Imagem / Relatórios / Operacionais / Exames Realizados / Por Dia (R_EXA_REALIZ_DIA)</v>
      </c>
    </row>
    <row r="10093" spans="1:7" x14ac:dyDescent="0.3">
      <c r="A10093" s="1" t="s">
        <v>4</v>
      </c>
      <c r="B10093" s="2" t="str">
        <f t="shared" si="892"/>
        <v>SISTEMA DE DIAGNÓSTICO POR IMAGEM</v>
      </c>
      <c r="C10093" s="2" t="str">
        <f t="shared" si="893"/>
        <v>DIAGN</v>
      </c>
      <c r="D10093" s="2" t="str">
        <f t="shared" si="894"/>
        <v>PSDI</v>
      </c>
      <c r="E10093" s="2" t="str">
        <f>"COMPROVANTE DE EXAMES AGENDADOS"</f>
        <v>COMPROVANTE DE EXAMES AGENDADOS</v>
      </c>
      <c r="F10093" s="2" t="str">
        <f>"R_COMP_EXAME_AGENDADO"</f>
        <v>R_COMP_EXAME_AGENDADO</v>
      </c>
      <c r="G10093" s="2" t="str">
        <f>" ()"</f>
        <v xml:space="preserve"> ()</v>
      </c>
    </row>
    <row r="10094" spans="1:7" x14ac:dyDescent="0.3">
      <c r="A10094" s="1" t="s">
        <v>4</v>
      </c>
      <c r="B10094" s="2" t="str">
        <f t="shared" si="892"/>
        <v>SISTEMA DE DIAGNÓSTICO POR IMAGEM</v>
      </c>
      <c r="C10094" s="2" t="str">
        <f t="shared" si="893"/>
        <v>DIAGN</v>
      </c>
      <c r="D10094" s="2" t="str">
        <f t="shared" si="894"/>
        <v>PSDI</v>
      </c>
      <c r="E10094" s="2" t="str">
        <f>"REL COMPARATIVO DE GASTOS"</f>
        <v>REL COMPARATIVO DE GASTOS</v>
      </c>
      <c r="F10094" s="2" t="str">
        <f>"R_COMPARA_GASTO"</f>
        <v>R_COMPARA_GASTO</v>
      </c>
      <c r="G10094" s="2" t="str">
        <f>"Diagnóstico e Terapia / Diagnóstico por Imagem / Relatórios / Gastos / Comparativo de Gastos (R_COMPARA_GASTO)"</f>
        <v>Diagnóstico e Terapia / Diagnóstico por Imagem / Relatórios / Gastos / Comparativo de Gastos (R_COMPARA_GASTO)</v>
      </c>
    </row>
    <row r="10095" spans="1:7" x14ac:dyDescent="0.3">
      <c r="A10095" s="1" t="s">
        <v>4</v>
      </c>
      <c r="B10095" s="2" t="str">
        <f t="shared" si="892"/>
        <v>SISTEMA DE DIAGNÓSTICO POR IMAGEM</v>
      </c>
      <c r="C10095" s="2" t="str">
        <f t="shared" si="893"/>
        <v>DIAGN</v>
      </c>
      <c r="D10095" s="2" t="str">
        <f t="shared" si="894"/>
        <v>PSDI</v>
      </c>
      <c r="E10095" s="2" t="str">
        <f>"REL DE EXAMES POR CIDADE"</f>
        <v>REL DE EXAMES POR CIDADE</v>
      </c>
      <c r="F10095" s="2" t="str">
        <f>"R_EXAME_CIDADE"</f>
        <v>R_EXAME_CIDADE</v>
      </c>
      <c r="G10095" s="2" t="str">
        <f>"Diagnóstico e Terapia / Diagnóstico por Imagem / Relatórios / Estatísticos / Exames / Por Cidade (R_EXAME_CIDADE)"</f>
        <v>Diagnóstico e Terapia / Diagnóstico por Imagem / Relatórios / Estatísticos / Exames / Por Cidade (R_EXAME_CIDADE)</v>
      </c>
    </row>
    <row r="10096" spans="1:7" x14ac:dyDescent="0.3">
      <c r="A10096" s="1" t="s">
        <v>4</v>
      </c>
      <c r="B10096" s="2" t="str">
        <f t="shared" si="892"/>
        <v>SISTEMA DE DIAGNÓSTICO POR IMAGEM</v>
      </c>
      <c r="C10096" s="2" t="str">
        <f t="shared" si="893"/>
        <v>DIAGN</v>
      </c>
      <c r="D10096" s="2" t="str">
        <f t="shared" si="894"/>
        <v>PSDI</v>
      </c>
      <c r="E10096" s="2" t="str">
        <f>"RELATÓRIO CUSTO DE EXAMES POR CONVÊNIO"</f>
        <v>RELATÓRIO CUSTO DE EXAMES POR CONVÊNIO</v>
      </c>
      <c r="F10096" s="2" t="str">
        <f>"R_CUSTO_EXAME"</f>
        <v>R_CUSTO_EXAME</v>
      </c>
      <c r="G10096" s="2" t="str">
        <f>"Diagnóstico e Terapia / Diagnóstico por Imagem / Relatórios / Gastos / Custos de Exames por Código de Faturamento (R_CUSTO_EXAME)"</f>
        <v>Diagnóstico e Terapia / Diagnóstico por Imagem / Relatórios / Gastos / Custos de Exames por Código de Faturamento (R_CUSTO_EXAME)</v>
      </c>
    </row>
    <row r="10097" spans="1:7" x14ac:dyDescent="0.3">
      <c r="A10097" s="1" t="s">
        <v>4</v>
      </c>
      <c r="B10097" s="2" t="str">
        <f t="shared" si="892"/>
        <v>SISTEMA DE DIAGNÓSTICO POR IMAGEM</v>
      </c>
      <c r="C10097" s="2" t="str">
        <f t="shared" si="893"/>
        <v>DIAGN</v>
      </c>
      <c r="D10097" s="2" t="str">
        <f t="shared" si="894"/>
        <v>PSDI</v>
      </c>
      <c r="E10097" s="2" t="str">
        <f>"RELAT. EXAMES SOLIC. POR PRESTADOR"</f>
        <v>RELAT. EXAMES SOLIC. POR PRESTADOR</v>
      </c>
      <c r="F10097" s="2" t="str">
        <f>"R_EXAME_SOLIC_PRESTADOR"</f>
        <v>R_EXAME_SOLIC_PRESTADOR</v>
      </c>
      <c r="G10097" s="2" t="str">
        <f>"Diagnóstico e Terapia / Diagnóstico por Imagem / Relatórios / Operacionais / Exames Solicitados / Por Prestador Solicitante (R_EXAME_SOLIC_PRESTADOR)"</f>
        <v>Diagnóstico e Terapia / Diagnóstico por Imagem / Relatórios / Operacionais / Exames Solicitados / Por Prestador Solicitante (R_EXAME_SOLIC_PRESTADOR)</v>
      </c>
    </row>
    <row r="10098" spans="1:7" x14ac:dyDescent="0.3">
      <c r="A10098" s="1" t="s">
        <v>4</v>
      </c>
      <c r="B10098" s="2" t="str">
        <f t="shared" si="892"/>
        <v>SISTEMA DE DIAGNÓSTICO POR IMAGEM</v>
      </c>
      <c r="C10098" s="2" t="str">
        <f t="shared" si="893"/>
        <v>DIAGN</v>
      </c>
      <c r="D10098" s="2" t="str">
        <f t="shared" si="894"/>
        <v>PSDI</v>
      </c>
      <c r="E10098" s="2" t="str">
        <f>"MENU DO DIAGNÓSTICO POR IMAGEM"</f>
        <v>MENU DO DIAGNÓSTICO POR IMAGEM</v>
      </c>
      <c r="F10098" s="2" t="str">
        <f>"MN_PSDI"</f>
        <v>MN_PSDI</v>
      </c>
      <c r="G10098" s="2" t="str">
        <f>" ()"</f>
        <v xml:space="preserve"> ()</v>
      </c>
    </row>
    <row r="10099" spans="1:7" x14ac:dyDescent="0.3">
      <c r="A10099" s="1" t="s">
        <v>4</v>
      </c>
      <c r="B10099" s="2" t="str">
        <f t="shared" si="892"/>
        <v>SISTEMA DE DIAGNÓSTICO POR IMAGEM</v>
      </c>
      <c r="C10099" s="2" t="str">
        <f t="shared" si="893"/>
        <v>DIAGN</v>
      </c>
      <c r="D10099" s="2" t="str">
        <f t="shared" si="894"/>
        <v>PSDI</v>
      </c>
      <c r="E10099" s="2" t="str">
        <f>"REL DE PRODUCAO DE PRESTADOR SINTETICO"</f>
        <v>REL DE PRODUCAO DE PRESTADOR SINTETICO</v>
      </c>
      <c r="F10099" s="2" t="str">
        <f>"R_PROD_RX_PROF_SIA_S_360"</f>
        <v>R_PROD_RX_PROF_SIA_S_360</v>
      </c>
      <c r="G10099" s="2" t="str">
        <f>" ()"</f>
        <v xml:space="preserve"> ()</v>
      </c>
    </row>
    <row r="10100" spans="1:7" x14ac:dyDescent="0.3">
      <c r="A10100" s="1" t="s">
        <v>4</v>
      </c>
      <c r="B10100" s="2" t="str">
        <f t="shared" si="892"/>
        <v>SISTEMA DE DIAGNÓSTICO POR IMAGEM</v>
      </c>
      <c r="C10100" s="2" t="str">
        <f t="shared" si="893"/>
        <v>DIAGN</v>
      </c>
      <c r="D10100" s="2" t="str">
        <f t="shared" si="894"/>
        <v>PSDI</v>
      </c>
      <c r="E10100" s="2" t="str">
        <f>"REL DE PRODUCAO POR PRESTADOR SINTETICO"</f>
        <v>REL DE PRODUCAO POR PRESTADOR SINTETICO</v>
      </c>
      <c r="F10100" s="2" t="str">
        <f>"R_PROD_RX_PROF_S_360"</f>
        <v>R_PROD_RX_PROF_S_360</v>
      </c>
      <c r="G10100" s="2" t="str">
        <f>" ()"</f>
        <v xml:space="preserve"> ()</v>
      </c>
    </row>
    <row r="10101" spans="1:7" x14ac:dyDescent="0.3">
      <c r="A10101" s="1" t="s">
        <v>4</v>
      </c>
      <c r="B10101" s="2" t="str">
        <f t="shared" si="892"/>
        <v>SISTEMA DE DIAGNÓSTICO POR IMAGEM</v>
      </c>
      <c r="C10101" s="2" t="str">
        <f t="shared" si="893"/>
        <v>DIAGN</v>
      </c>
      <c r="D10101" s="2" t="str">
        <f t="shared" si="894"/>
        <v>PSDI</v>
      </c>
      <c r="E10101" s="2" t="str">
        <f>"REL DE COMPROVANTE DE PEDIDOS DE EXAMES"</f>
        <v>REL DE COMPROVANTE DE PEDIDOS DE EXAMES</v>
      </c>
      <c r="F10101" s="2" t="str">
        <f>"R_PED_RX_959"</f>
        <v>R_PED_RX_959</v>
      </c>
      <c r="G10101" s="2" t="str">
        <f>" ()"</f>
        <v xml:space="preserve"> ()</v>
      </c>
    </row>
    <row r="10102" spans="1:7" x14ac:dyDescent="0.3">
      <c r="A10102" s="1" t="s">
        <v>4</v>
      </c>
      <c r="B10102" s="2" t="str">
        <f t="shared" si="892"/>
        <v>SISTEMA DE DIAGNÓSTICO POR IMAGEM</v>
      </c>
      <c r="C10102" s="2" t="str">
        <f t="shared" si="893"/>
        <v>DIAGN</v>
      </c>
      <c r="D10102" s="2" t="str">
        <f t="shared" si="894"/>
        <v>PSDI</v>
      </c>
      <c r="E10102" s="2" t="str">
        <f>"REL.PRODUÇÃO DIAG.IMAGEM X CONVENIO"</f>
        <v>REL.PRODUÇÃO DIAG.IMAGEM X CONVENIO</v>
      </c>
      <c r="F10102" s="2" t="str">
        <f>"R_PROD_RX_CONV_360"</f>
        <v>R_PROD_RX_CONV_360</v>
      </c>
      <c r="G10102" s="2" t="str">
        <f>"Diagnóstico e Terapia / Diagnóstico por Imagem / Relatórios / Administrativos / Produção por Convênio (R_PROD_RX_CONV_360)"</f>
        <v>Diagnóstico e Terapia / Diagnóstico por Imagem / Relatórios / Administrativos / Produção por Convênio (R_PROD_RX_CONV_360)</v>
      </c>
    </row>
    <row r="10103" spans="1:7" x14ac:dyDescent="0.3">
      <c r="A10103" s="1" t="s">
        <v>4</v>
      </c>
      <c r="B10103" s="2" t="str">
        <f t="shared" si="892"/>
        <v>SISTEMA DE DIAGNÓSTICO POR IMAGEM</v>
      </c>
      <c r="C10103" s="2" t="str">
        <f t="shared" si="893"/>
        <v>DIAGN</v>
      </c>
      <c r="D10103" s="2" t="str">
        <f t="shared" si="894"/>
        <v>PSDI</v>
      </c>
      <c r="E10103" s="2" t="str">
        <f>"REL.PRODUÇÃO DIAG.IMAGEM X PROFISSIONAL"</f>
        <v>REL.PRODUÇÃO DIAG.IMAGEM X PROFISSIONAL</v>
      </c>
      <c r="F10103" s="2" t="str">
        <f>"R_PROD_RX_PROF_360"</f>
        <v>R_PROD_RX_PROF_360</v>
      </c>
      <c r="G10103" s="2" t="str">
        <f>"Diagnóstico e Terapia / Diagnóstico por Imagem / Relatórios / Administrativos / Produção por Prestador (R_PROD_RX_PROF_360)"</f>
        <v>Diagnóstico e Terapia / Diagnóstico por Imagem / Relatórios / Administrativos / Produção por Prestador (R_PROD_RX_PROF_360)</v>
      </c>
    </row>
    <row r="10104" spans="1:7" x14ac:dyDescent="0.3">
      <c r="A10104" s="1" t="s">
        <v>4</v>
      </c>
      <c r="B10104" s="2" t="str">
        <f t="shared" si="892"/>
        <v>SISTEMA DE DIAGNÓSTICO POR IMAGEM</v>
      </c>
      <c r="C10104" s="2" t="str">
        <f t="shared" si="893"/>
        <v>DIAGN</v>
      </c>
      <c r="D10104" s="2" t="str">
        <f t="shared" si="894"/>
        <v>PSDI</v>
      </c>
      <c r="E10104" s="2" t="str">
        <f>"REL DE PROTOCOLO DE PEDIDO DE EXAMES"</f>
        <v>REL DE PROTOCOLO DE PEDIDO DE EXAMES</v>
      </c>
      <c r="F10104" s="2" t="str">
        <f>"R_PROTOCOLO_PED_EXA755"</f>
        <v>R_PROTOCOLO_PED_EXA755</v>
      </c>
      <c r="G10104" s="2" t="str">
        <f>" ()"</f>
        <v xml:space="preserve"> ()</v>
      </c>
    </row>
    <row r="10105" spans="1:7" x14ac:dyDescent="0.3">
      <c r="A10105" s="1" t="s">
        <v>4</v>
      </c>
      <c r="B10105" s="2" t="str">
        <f t="shared" si="892"/>
        <v>SISTEMA DE DIAGNÓSTICO POR IMAGEM</v>
      </c>
      <c r="C10105" s="2" t="str">
        <f t="shared" si="893"/>
        <v>DIAGN</v>
      </c>
      <c r="D10105" s="2" t="str">
        <f t="shared" si="894"/>
        <v>PSDI</v>
      </c>
      <c r="E10105" s="2" t="str">
        <f>"LAUDO DO PSDI"</f>
        <v>LAUDO DO PSDI</v>
      </c>
      <c r="F10105" s="2" t="str">
        <f>"R_LAU_EXA755"</f>
        <v>R_LAU_EXA755</v>
      </c>
      <c r="G10105" s="2" t="str">
        <f>" ()"</f>
        <v xml:space="preserve"> ()</v>
      </c>
    </row>
    <row r="10106" spans="1:7" x14ac:dyDescent="0.3">
      <c r="A10106" s="1" t="s">
        <v>4</v>
      </c>
      <c r="B10106" s="2" t="str">
        <f t="shared" si="892"/>
        <v>SISTEMA DE DIAGNÓSTICO POR IMAGEM</v>
      </c>
      <c r="C10106" s="2" t="str">
        <f t="shared" si="893"/>
        <v>DIAGN</v>
      </c>
      <c r="D10106" s="2" t="str">
        <f t="shared" si="894"/>
        <v>PSDI</v>
      </c>
      <c r="E10106" s="2" t="str">
        <f>"REL DE PRODUCAO POR PROFISSIONAL SINT"</f>
        <v>REL DE PRODUCAO POR PROFISSIONAL SINT</v>
      </c>
      <c r="F10106" s="2" t="str">
        <f>"R_PROD_RX_PROF_S"</f>
        <v>R_PROD_RX_PROF_S</v>
      </c>
      <c r="G10106" s="2" t="str">
        <f>" ()"</f>
        <v xml:space="preserve"> ()</v>
      </c>
    </row>
    <row r="10107" spans="1:7" x14ac:dyDescent="0.3">
      <c r="A10107" s="1" t="s">
        <v>4</v>
      </c>
      <c r="B10107" s="2" t="str">
        <f t="shared" si="892"/>
        <v>SISTEMA DE DIAGNÓSTICO POR IMAGEM</v>
      </c>
      <c r="C10107" s="2" t="str">
        <f t="shared" si="893"/>
        <v>DIAGN</v>
      </c>
      <c r="D10107" s="2" t="str">
        <f t="shared" si="894"/>
        <v>PSDI</v>
      </c>
      <c r="E10107" s="2" t="str">
        <f>"PRODUÇÃO POR CONVENIO SINTÉTICO"</f>
        <v>PRODUÇÃO POR CONVENIO SINTÉTICO</v>
      </c>
      <c r="F10107" s="2" t="str">
        <f>"R_PROD_RX_CONV_S_360"</f>
        <v>R_PROD_RX_CONV_S_360</v>
      </c>
      <c r="G10107" s="2" t="str">
        <f>" ()"</f>
        <v xml:space="preserve"> ()</v>
      </c>
    </row>
    <row r="10108" spans="1:7" x14ac:dyDescent="0.3">
      <c r="A10108" s="1" t="s">
        <v>4</v>
      </c>
      <c r="B10108" s="2" t="str">
        <f t="shared" si="892"/>
        <v>SISTEMA DE DIAGNÓSTICO POR IMAGEM</v>
      </c>
      <c r="C10108" s="2" t="str">
        <f t="shared" si="893"/>
        <v>DIAGN</v>
      </c>
      <c r="D10108" s="2" t="str">
        <f t="shared" si="894"/>
        <v>PSDI</v>
      </c>
      <c r="E10108" s="2" t="str">
        <f>"FATURAMENTO MENSAL POR CONVÊNIO"</f>
        <v>FATURAMENTO MENSAL POR CONVÊNIO</v>
      </c>
      <c r="F10108" s="2" t="str">
        <f>"R_PROD_RX_CONV_460"</f>
        <v>R_PROD_RX_CONV_460</v>
      </c>
      <c r="G10108" s="2" t="str">
        <f>" ()"</f>
        <v xml:space="preserve"> ()</v>
      </c>
    </row>
    <row r="10109" spans="1:7" x14ac:dyDescent="0.3">
      <c r="A10109" s="1" t="s">
        <v>4</v>
      </c>
      <c r="B10109" s="2" t="str">
        <f t="shared" si="892"/>
        <v>SISTEMA DE DIAGNÓSTICO POR IMAGEM</v>
      </c>
      <c r="C10109" s="2" t="str">
        <f t="shared" si="893"/>
        <v>DIAGN</v>
      </c>
      <c r="D10109" s="2" t="str">
        <f t="shared" si="894"/>
        <v>PSDI</v>
      </c>
      <c r="E10109" s="2" t="str">
        <f>"PERSONALIZADOS DO PSDI"</f>
        <v>PERSONALIZADOS DO PSDI</v>
      </c>
      <c r="F10109" s="2" t="str">
        <f>"R_PERSON_PSDI"</f>
        <v>R_PERSON_PSDI</v>
      </c>
      <c r="G10109" s="2" t="str">
        <f>"Diagnóstico e Terapia / Diagnóstico por Imagem / Relatórios / Personalizados (R_PERSON_PSDI)"</f>
        <v>Diagnóstico e Terapia / Diagnóstico por Imagem / Relatórios / Personalizados (R_PERSON_PSDI)</v>
      </c>
    </row>
    <row r="10110" spans="1:7" x14ac:dyDescent="0.3">
      <c r="A10110" s="1" t="s">
        <v>4</v>
      </c>
      <c r="B10110" s="2" t="str">
        <f t="shared" si="892"/>
        <v>SISTEMA DE DIAGNÓSTICO POR IMAGEM</v>
      </c>
      <c r="C10110" s="2" t="str">
        <f t="shared" si="893"/>
        <v>DIAGN</v>
      </c>
      <c r="D10110" s="2" t="str">
        <f t="shared" si="894"/>
        <v>PSDI</v>
      </c>
      <c r="E10110" s="2" t="str">
        <f>"RELATORIO DE AGENDAMENTO"</f>
        <v>RELATORIO DE AGENDAMENTO</v>
      </c>
      <c r="F10110" s="2" t="str">
        <f>"R_AGENDA"</f>
        <v>R_AGENDA</v>
      </c>
      <c r="G10110" s="2" t="str">
        <f>"Diagnóstico e Terapia / Diagnóstico por Imagem / Relatórios / Agendamentos / Agenda (R_AGENDA)"</f>
        <v>Diagnóstico e Terapia / Diagnóstico por Imagem / Relatórios / Agendamentos / Agenda (R_AGENDA)</v>
      </c>
    </row>
    <row r="10111" spans="1:7" x14ac:dyDescent="0.3">
      <c r="A10111" s="1" t="s">
        <v>4</v>
      </c>
      <c r="B10111" s="2" t="str">
        <f t="shared" si="892"/>
        <v>SISTEMA DE DIAGNÓSTICO POR IMAGEM</v>
      </c>
      <c r="C10111" s="2" t="str">
        <f t="shared" si="893"/>
        <v>DIAGN</v>
      </c>
      <c r="D10111" s="2" t="str">
        <f t="shared" si="894"/>
        <v>PSDI</v>
      </c>
      <c r="E10111" s="2" t="str">
        <f>"RELATORIO DOS TIPOS DE EXAMES"</f>
        <v>RELATORIO DOS TIPOS DE EXAMES</v>
      </c>
      <c r="F10111" s="2" t="str">
        <f>"R_TIPEXA"</f>
        <v>R_TIPEXA</v>
      </c>
      <c r="G10111" s="2" t="str">
        <f>"Diagnóstico e Terapia / Diagnóstico por Imagem / Relatórios / Tabelas / Exames (R_TIPEXA)"</f>
        <v>Diagnóstico e Terapia / Diagnóstico por Imagem / Relatórios / Tabelas / Exames (R_TIPEXA)</v>
      </c>
    </row>
    <row r="10112" spans="1:7" x14ac:dyDescent="0.3">
      <c r="A10112" s="1" t="s">
        <v>4</v>
      </c>
      <c r="B10112" s="2" t="str">
        <f t="shared" si="892"/>
        <v>SISTEMA DE DIAGNÓSTICO POR IMAGEM</v>
      </c>
      <c r="C10112" s="2" t="str">
        <f t="shared" si="893"/>
        <v>DIAGN</v>
      </c>
      <c r="D10112" s="2" t="str">
        <f t="shared" si="894"/>
        <v>PSDI</v>
      </c>
      <c r="E10112" s="2" t="str">
        <f>"RELATORIO DE TEXOS DOS RXS"</f>
        <v>RELATORIO DE TEXOS DOS RXS</v>
      </c>
      <c r="F10112" s="2" t="str">
        <f>"R_TEX_RX"</f>
        <v>R_TEX_RX</v>
      </c>
      <c r="G10112" s="2" t="str">
        <f>"Diagnóstico e Terapia / Diagnóstico por Imagem / Relatórios / Tabelas / Textos Pré-Definidos (R_TEX_RX)"</f>
        <v>Diagnóstico e Terapia / Diagnóstico por Imagem / Relatórios / Tabelas / Textos Pré-Definidos (R_TEX_RX)</v>
      </c>
    </row>
    <row r="10113" spans="1:7" x14ac:dyDescent="0.3">
      <c r="A10113" s="1" t="s">
        <v>4</v>
      </c>
      <c r="B10113" s="2" t="str">
        <f t="shared" si="892"/>
        <v>SISTEMA DE DIAGNÓSTICO POR IMAGEM</v>
      </c>
      <c r="C10113" s="2" t="str">
        <f t="shared" si="893"/>
        <v>DIAGN</v>
      </c>
      <c r="D10113" s="2" t="str">
        <f t="shared" si="894"/>
        <v>PSDI</v>
      </c>
      <c r="E10113" s="2" t="str">
        <f>"RELATORIO DOS RECURSOS"</f>
        <v>RELATORIO DOS RECURSOS</v>
      </c>
      <c r="F10113" s="2" t="str">
        <f>"R_RECURSO"</f>
        <v>R_RECURSO</v>
      </c>
      <c r="G10113" s="2" t="str">
        <f>"Diagnóstico e Terapia / Diagnóstico por Imagem / Relatórios / Tabelas / Recursos (R_RECURSO)"</f>
        <v>Diagnóstico e Terapia / Diagnóstico por Imagem / Relatórios / Tabelas / Recursos (R_RECURSO)</v>
      </c>
    </row>
    <row r="10114" spans="1:7" x14ac:dyDescent="0.3">
      <c r="A10114" s="1" t="s">
        <v>4</v>
      </c>
      <c r="B10114" s="2" t="str">
        <f t="shared" si="892"/>
        <v>SISTEMA DE DIAGNÓSTICO POR IMAGEM</v>
      </c>
      <c r="C10114" s="2" t="str">
        <f t="shared" si="893"/>
        <v>DIAGN</v>
      </c>
      <c r="D10114" s="2" t="str">
        <f t="shared" si="894"/>
        <v>PSDI</v>
      </c>
      <c r="E10114" s="2" t="str">
        <f>"R_ETIQUETA_ATEND_PSDI_970"</f>
        <v>R_ETIQUETA_ATEND_PSDI_970</v>
      </c>
      <c r="F10114" s="2" t="str">
        <f>"R_ETIQUETA_ATEND_PSDI_970"</f>
        <v>R_ETIQUETA_ATEND_PSDI_970</v>
      </c>
      <c r="G10114" s="2" t="str">
        <f t="shared" ref="G10114:G10131" si="895">" ()"</f>
        <v xml:space="preserve"> ()</v>
      </c>
    </row>
    <row r="10115" spans="1:7" x14ac:dyDescent="0.3">
      <c r="A10115" s="1" t="s">
        <v>4</v>
      </c>
      <c r="B10115" s="2" t="str">
        <f t="shared" si="892"/>
        <v>SISTEMA DE DIAGNÓSTICO POR IMAGEM</v>
      </c>
      <c r="C10115" s="2" t="str">
        <f t="shared" si="893"/>
        <v>DIAGN</v>
      </c>
      <c r="D10115" s="2" t="str">
        <f t="shared" si="894"/>
        <v>PSDI</v>
      </c>
      <c r="E10115" s="2" t="str">
        <f>"R_RELACAO_PACIENTES_900"</f>
        <v>R_RELACAO_PACIENTES_900</v>
      </c>
      <c r="F10115" s="2" t="str">
        <f>"R_RELACAO_PACIENTES_900"</f>
        <v>R_RELACAO_PACIENTES_900</v>
      </c>
      <c r="G10115" s="2" t="str">
        <f t="shared" si="895"/>
        <v xml:space="preserve"> ()</v>
      </c>
    </row>
    <row r="10116" spans="1:7" x14ac:dyDescent="0.3">
      <c r="A10116" s="1" t="s">
        <v>4</v>
      </c>
      <c r="B10116" s="2" t="str">
        <f t="shared" si="892"/>
        <v>SISTEMA DE DIAGNÓSTICO POR IMAGEM</v>
      </c>
      <c r="C10116" s="2" t="str">
        <f t="shared" si="893"/>
        <v>DIAGN</v>
      </c>
      <c r="D10116" s="2" t="str">
        <f t="shared" si="894"/>
        <v>PSDI</v>
      </c>
      <c r="E10116" s="2" t="str">
        <f>"R_LAU_EXA_734"</f>
        <v>R_LAU_EXA_734</v>
      </c>
      <c r="F10116" s="2" t="str">
        <f>"R_LAU_EXA_734"</f>
        <v>R_LAU_EXA_734</v>
      </c>
      <c r="G10116" s="2" t="str">
        <f t="shared" si="895"/>
        <v xml:space="preserve"> ()</v>
      </c>
    </row>
    <row r="10117" spans="1:7" x14ac:dyDescent="0.3">
      <c r="A10117" s="1" t="s">
        <v>4</v>
      </c>
      <c r="B10117" s="2" t="str">
        <f t="shared" si="892"/>
        <v>SISTEMA DE DIAGNÓSTICO POR IMAGEM</v>
      </c>
      <c r="C10117" s="2" t="str">
        <f t="shared" si="893"/>
        <v>DIAGN</v>
      </c>
      <c r="D10117" s="2" t="str">
        <f t="shared" si="894"/>
        <v>PSDI</v>
      </c>
      <c r="E10117" s="2" t="str">
        <f>"PSDI_722"</f>
        <v>PSDI_722</v>
      </c>
      <c r="F10117" s="2" t="str">
        <f>"PSDI_722"</f>
        <v>PSDI_722</v>
      </c>
      <c r="G10117" s="2" t="str">
        <f t="shared" si="895"/>
        <v xml:space="preserve"> ()</v>
      </c>
    </row>
    <row r="10118" spans="1:7" x14ac:dyDescent="0.3">
      <c r="A10118" s="1" t="s">
        <v>4</v>
      </c>
      <c r="B10118" s="2" t="str">
        <f t="shared" si="892"/>
        <v>SISTEMA DE DIAGNÓSTICO POR IMAGEM</v>
      </c>
      <c r="C10118" s="2" t="str">
        <f t="shared" si="893"/>
        <v>DIAGN</v>
      </c>
      <c r="D10118" s="2" t="str">
        <f t="shared" si="894"/>
        <v>PSDI</v>
      </c>
      <c r="E10118" s="2" t="str">
        <f>"M_CENTRAL_722"</f>
        <v>M_CENTRAL_722</v>
      </c>
      <c r="F10118" s="2" t="str">
        <f>"M_CENTRAL_722"</f>
        <v>M_CENTRAL_722</v>
      </c>
      <c r="G10118" s="2" t="str">
        <f t="shared" si="895"/>
        <v xml:space="preserve"> ()</v>
      </c>
    </row>
    <row r="10119" spans="1:7" x14ac:dyDescent="0.3">
      <c r="A10119" s="1" t="s">
        <v>4</v>
      </c>
      <c r="B10119" s="2" t="str">
        <f t="shared" si="892"/>
        <v>SISTEMA DE DIAGNÓSTICO POR IMAGEM</v>
      </c>
      <c r="C10119" s="2" t="str">
        <f t="shared" si="893"/>
        <v>DIAGN</v>
      </c>
      <c r="D10119" s="2" t="str">
        <f t="shared" si="894"/>
        <v>PSDI</v>
      </c>
      <c r="E10119" s="2" t="str">
        <f>"C_AGENDA_PSDI_1711"</f>
        <v>C_AGENDA_PSDI_1711</v>
      </c>
      <c r="F10119" s="2" t="str">
        <f>"C_AGENDA_PSDI_1711"</f>
        <v>C_AGENDA_PSDI_1711</v>
      </c>
      <c r="G10119" s="2" t="str">
        <f t="shared" si="895"/>
        <v xml:space="preserve"> ()</v>
      </c>
    </row>
    <row r="10120" spans="1:7" x14ac:dyDescent="0.3">
      <c r="A10120" s="1" t="s">
        <v>4</v>
      </c>
      <c r="B10120" s="2" t="str">
        <f t="shared" si="892"/>
        <v>SISTEMA DE DIAGNÓSTICO POR IMAGEM</v>
      </c>
      <c r="C10120" s="2" t="str">
        <f t="shared" si="893"/>
        <v>DIAGN</v>
      </c>
      <c r="D10120" s="2" t="str">
        <f t="shared" si="894"/>
        <v>PSDI</v>
      </c>
      <c r="E10120" s="2" t="str">
        <f>"AGE_RX_1711"</f>
        <v>AGE_RX_1711</v>
      </c>
      <c r="F10120" s="2" t="str">
        <f>"AGE_RX_1711"</f>
        <v>AGE_RX_1711</v>
      </c>
      <c r="G10120" s="2" t="str">
        <f t="shared" si="895"/>
        <v xml:space="preserve"> ()</v>
      </c>
    </row>
    <row r="10121" spans="1:7" x14ac:dyDescent="0.3">
      <c r="A10121" s="1" t="s">
        <v>4</v>
      </c>
      <c r="B10121" s="2" t="str">
        <f t="shared" si="892"/>
        <v>SISTEMA DE DIAGNÓSTICO POR IMAGEM</v>
      </c>
      <c r="C10121" s="2" t="str">
        <f t="shared" si="893"/>
        <v>DIAGN</v>
      </c>
      <c r="D10121" s="2" t="str">
        <f t="shared" si="894"/>
        <v>PSDI</v>
      </c>
      <c r="E10121" s="2" t="str">
        <f>"R_ATENDIMENTOS"</f>
        <v>R_ATENDIMENTOS</v>
      </c>
      <c r="F10121" s="2" t="str">
        <f>"R_ATENDIMENTOS"</f>
        <v>R_ATENDIMENTOS</v>
      </c>
      <c r="G10121" s="2" t="str">
        <f t="shared" si="895"/>
        <v xml:space="preserve"> ()</v>
      </c>
    </row>
    <row r="10122" spans="1:7" x14ac:dyDescent="0.3">
      <c r="A10122" s="1" t="s">
        <v>4</v>
      </c>
      <c r="B10122" s="2" t="str">
        <f t="shared" si="892"/>
        <v>SISTEMA DE DIAGNÓSTICO POR IMAGEM</v>
      </c>
      <c r="C10122" s="2" t="str">
        <f t="shared" si="893"/>
        <v>DIAGN</v>
      </c>
      <c r="D10122" s="2" t="str">
        <f t="shared" si="894"/>
        <v>PSDI</v>
      </c>
      <c r="E10122" s="2" t="str">
        <f>"PSDI2"</f>
        <v>PSDI2</v>
      </c>
      <c r="F10122" s="2" t="str">
        <f>"PSDI2"</f>
        <v>PSDI2</v>
      </c>
      <c r="G10122" s="2" t="str">
        <f t="shared" si="895"/>
        <v xml:space="preserve"> ()</v>
      </c>
    </row>
    <row r="10123" spans="1:7" x14ac:dyDescent="0.3">
      <c r="A10123" s="1" t="s">
        <v>4</v>
      </c>
      <c r="B10123" s="2" t="str">
        <f t="shared" si="892"/>
        <v>SISTEMA DE DIAGNÓSTICO POR IMAGEM</v>
      </c>
      <c r="C10123" s="2" t="str">
        <f t="shared" si="893"/>
        <v>DIAGN</v>
      </c>
      <c r="D10123" s="2" t="str">
        <f t="shared" si="894"/>
        <v>PSDI</v>
      </c>
      <c r="E10123" s="2" t="str">
        <f>"OLE_LAUDO"</f>
        <v>OLE_LAUDO</v>
      </c>
      <c r="F10123" s="2" t="str">
        <f>"OLE_LAUDO"</f>
        <v>OLE_LAUDO</v>
      </c>
      <c r="G10123" s="2" t="str">
        <f t="shared" si="895"/>
        <v xml:space="preserve"> ()</v>
      </c>
    </row>
    <row r="10124" spans="1:7" x14ac:dyDescent="0.3">
      <c r="A10124" s="1" t="s">
        <v>4</v>
      </c>
      <c r="B10124" s="2" t="str">
        <f t="shared" si="892"/>
        <v>SISTEMA DE DIAGNÓSTICO POR IMAGEM</v>
      </c>
      <c r="C10124" s="2" t="str">
        <f t="shared" si="893"/>
        <v>DIAGN</v>
      </c>
      <c r="D10124" s="2" t="str">
        <f t="shared" si="894"/>
        <v>PSDI</v>
      </c>
      <c r="E10124" s="2" t="str">
        <f>"M_LAU_EXA_SOBRAL"</f>
        <v>M_LAU_EXA_SOBRAL</v>
      </c>
      <c r="F10124" s="2" t="str">
        <f>"M_LAU_EXA_SOBRAL"</f>
        <v>M_LAU_EXA_SOBRAL</v>
      </c>
      <c r="G10124" s="2" t="str">
        <f t="shared" si="895"/>
        <v xml:space="preserve"> ()</v>
      </c>
    </row>
    <row r="10125" spans="1:7" x14ac:dyDescent="0.3">
      <c r="A10125" s="1" t="s">
        <v>4</v>
      </c>
      <c r="B10125" s="2" t="str">
        <f t="shared" si="892"/>
        <v>SISTEMA DE DIAGNÓSTICO POR IMAGEM</v>
      </c>
      <c r="C10125" s="2" t="str">
        <f t="shared" si="893"/>
        <v>DIAGN</v>
      </c>
      <c r="D10125" s="2" t="str">
        <f t="shared" si="894"/>
        <v>PSDI</v>
      </c>
      <c r="E10125" s="2" t="str">
        <f>"M_LAU_EXA_EMI"</f>
        <v>M_LAU_EXA_EMI</v>
      </c>
      <c r="F10125" s="2" t="str">
        <f>"M_LAU_EXA_EMI"</f>
        <v>M_LAU_EXA_EMI</v>
      </c>
      <c r="G10125" s="2" t="str">
        <f t="shared" si="895"/>
        <v xml:space="preserve"> ()</v>
      </c>
    </row>
    <row r="10126" spans="1:7" x14ac:dyDescent="0.3">
      <c r="A10126" s="1" t="s">
        <v>4</v>
      </c>
      <c r="B10126" s="2" t="str">
        <f t="shared" si="892"/>
        <v>SISTEMA DE DIAGNÓSTICO POR IMAGEM</v>
      </c>
      <c r="C10126" s="2" t="str">
        <f t="shared" si="893"/>
        <v>DIAGN</v>
      </c>
      <c r="D10126" s="2" t="str">
        <f t="shared" si="894"/>
        <v>PSDI</v>
      </c>
      <c r="E10126" s="2" t="str">
        <f>"M_IMPORTA_PAC_AGFA"</f>
        <v>M_IMPORTA_PAC_AGFA</v>
      </c>
      <c r="F10126" s="2" t="str">
        <f>"M_IMPORTA_PAC_AGFA"</f>
        <v>M_IMPORTA_PAC_AGFA</v>
      </c>
      <c r="G10126" s="2" t="str">
        <f t="shared" si="895"/>
        <v xml:space="preserve"> ()</v>
      </c>
    </row>
    <row r="10127" spans="1:7" x14ac:dyDescent="0.3">
      <c r="A10127" s="1" t="s">
        <v>4</v>
      </c>
      <c r="B10127" s="2" t="str">
        <f t="shared" si="892"/>
        <v>SISTEMA DE DIAGNÓSTICO POR IMAGEM</v>
      </c>
      <c r="C10127" s="2" t="str">
        <f t="shared" si="893"/>
        <v>DIAGN</v>
      </c>
      <c r="D10127" s="2" t="str">
        <f t="shared" si="894"/>
        <v>PSDI</v>
      </c>
      <c r="E10127" s="2" t="str">
        <f>"M_EDITOR_PSDI"</f>
        <v>M_EDITOR_PSDI</v>
      </c>
      <c r="F10127" s="2" t="str">
        <f>"M_EDITOR_PSDI"</f>
        <v>M_EDITOR_PSDI</v>
      </c>
      <c r="G10127" s="2" t="str">
        <f t="shared" si="895"/>
        <v xml:space="preserve"> ()</v>
      </c>
    </row>
    <row r="10128" spans="1:7" x14ac:dyDescent="0.3">
      <c r="A10128" s="1" t="s">
        <v>4</v>
      </c>
      <c r="B10128" s="2" t="str">
        <f t="shared" si="892"/>
        <v>SISTEMA DE DIAGNÓSTICO POR IMAGEM</v>
      </c>
      <c r="C10128" s="2" t="str">
        <f t="shared" si="893"/>
        <v>DIAGN</v>
      </c>
      <c r="D10128" s="2" t="str">
        <f t="shared" si="894"/>
        <v>PSDI</v>
      </c>
      <c r="E10128" s="2" t="str">
        <f>"M_CONFIG_PSDI_OLD"</f>
        <v>M_CONFIG_PSDI_OLD</v>
      </c>
      <c r="F10128" s="2" t="str">
        <f>"M_CONFIG_PSDI_OLD"</f>
        <v>M_CONFIG_PSDI_OLD</v>
      </c>
      <c r="G10128" s="2" t="str">
        <f t="shared" si="895"/>
        <v xml:space="preserve"> ()</v>
      </c>
    </row>
    <row r="10129" spans="1:7" x14ac:dyDescent="0.3">
      <c r="A10129" s="1" t="s">
        <v>4</v>
      </c>
      <c r="B10129" s="2" t="str">
        <f t="shared" si="892"/>
        <v>SISTEMA DE DIAGNÓSTICO POR IMAGEM</v>
      </c>
      <c r="C10129" s="2" t="str">
        <f t="shared" si="893"/>
        <v>DIAGN</v>
      </c>
      <c r="D10129" s="2" t="str">
        <f t="shared" si="894"/>
        <v>PSDI</v>
      </c>
      <c r="E10129" s="2" t="str">
        <f>"C_LAUDO_MICRO"</f>
        <v>C_LAUDO_MICRO</v>
      </c>
      <c r="F10129" s="2" t="str">
        <f>"C_LAUDO_MICRO"</f>
        <v>C_LAUDO_MICRO</v>
      </c>
      <c r="G10129" s="2" t="str">
        <f t="shared" si="895"/>
        <v xml:space="preserve"> ()</v>
      </c>
    </row>
    <row r="10130" spans="1:7" x14ac:dyDescent="0.3">
      <c r="A10130" s="1" t="s">
        <v>4</v>
      </c>
      <c r="B10130" s="2" t="str">
        <f t="shared" si="892"/>
        <v>SISTEMA DE DIAGNÓSTICO POR IMAGEM</v>
      </c>
      <c r="C10130" s="2" t="str">
        <f t="shared" si="893"/>
        <v>DIAGN</v>
      </c>
      <c r="D10130" s="2" t="str">
        <f t="shared" si="894"/>
        <v>PSDI</v>
      </c>
      <c r="E10130" s="2" t="str">
        <f>"C_ENT_LAUDO_ANTIGO"</f>
        <v>C_ENT_LAUDO_ANTIGO</v>
      </c>
      <c r="F10130" s="2" t="str">
        <f>"C_ENT_LAUDO_ANTIGO"</f>
        <v>C_ENT_LAUDO_ANTIGO</v>
      </c>
      <c r="G10130" s="2" t="str">
        <f t="shared" si="895"/>
        <v xml:space="preserve"> ()</v>
      </c>
    </row>
    <row r="10131" spans="1:7" x14ac:dyDescent="0.3">
      <c r="A10131" s="1" t="s">
        <v>4</v>
      </c>
      <c r="B10131" s="2" t="str">
        <f t="shared" si="892"/>
        <v>SISTEMA DE DIAGNÓSTICO POR IMAGEM</v>
      </c>
      <c r="C10131" s="2" t="str">
        <f t="shared" si="893"/>
        <v>DIAGN</v>
      </c>
      <c r="D10131" s="2" t="str">
        <f t="shared" si="894"/>
        <v>PSDI</v>
      </c>
      <c r="E10131" s="2" t="str">
        <f>"AGENDAMENTO E CONFIRMAÇÃO"</f>
        <v>AGENDAMENTO E CONFIRMAÇÃO</v>
      </c>
      <c r="F10131" s="2" t="str">
        <f>"AGE_RX_PAC"</f>
        <v>AGE_RX_PAC</v>
      </c>
      <c r="G10131" s="2" t="str">
        <f t="shared" si="895"/>
        <v xml:space="preserve"> ()</v>
      </c>
    </row>
    <row r="10132" spans="1:7" x14ac:dyDescent="0.3">
      <c r="A10132" s="1" t="s">
        <v>4</v>
      </c>
      <c r="B10132" s="2" t="str">
        <f t="shared" si="892"/>
        <v>SISTEMA DE DIAGNÓSTICO POR IMAGEM</v>
      </c>
      <c r="C10132" s="2" t="str">
        <f t="shared" si="893"/>
        <v>DIAGN</v>
      </c>
      <c r="D10132" s="2" t="str">
        <f t="shared" si="894"/>
        <v>PSDI</v>
      </c>
      <c r="E10132" s="2" t="str">
        <f>"RELACAO DE PACIENTES DO RAIO X"</f>
        <v>RELACAO DE PACIENTES DO RAIO X</v>
      </c>
      <c r="F10132" s="2" t="str">
        <f>"R_RELACAO_PACIENTES_RX"</f>
        <v>R_RELACAO_PACIENTES_RX</v>
      </c>
      <c r="G10132" s="2" t="str">
        <f>"Diagnóstico e Terapia / Diagnóstico por Imagem / Relatórios / Operacionais / Relação de Pacientes (R_RELACAO_PACIENTES_RX)"</f>
        <v>Diagnóstico e Terapia / Diagnóstico por Imagem / Relatórios / Operacionais / Relação de Pacientes (R_RELACAO_PACIENTES_RX)</v>
      </c>
    </row>
    <row r="10133" spans="1:7" x14ac:dyDescent="0.3">
      <c r="A10133" s="1" t="s">
        <v>4</v>
      </c>
      <c r="B10133" s="2" t="str">
        <f t="shared" si="892"/>
        <v>SISTEMA DE DIAGNÓSTICO POR IMAGEM</v>
      </c>
      <c r="C10133" s="2" t="str">
        <f t="shared" si="893"/>
        <v>DIAGN</v>
      </c>
      <c r="D10133" s="2" t="str">
        <f t="shared" si="894"/>
        <v>PSDI</v>
      </c>
      <c r="E10133" s="2" t="str">
        <f>"R_ETIQ_ATEND_PSDI_860"</f>
        <v>R_ETIQ_ATEND_PSDI_860</v>
      </c>
      <c r="F10133" s="2" t="str">
        <f>"R_ETIQ_ATEND_PSDI_860"</f>
        <v>R_ETIQ_ATEND_PSDI_860</v>
      </c>
      <c r="G10133" s="2" t="str">
        <f>" ()"</f>
        <v xml:space="preserve"> ()</v>
      </c>
    </row>
    <row r="10134" spans="1:7" x14ac:dyDescent="0.3">
      <c r="A10134" s="1" t="s">
        <v>4</v>
      </c>
      <c r="B10134" s="2" t="str">
        <f t="shared" si="892"/>
        <v>SISTEMA DE DIAGNÓSTICO POR IMAGEM</v>
      </c>
      <c r="C10134" s="2" t="str">
        <f t="shared" si="893"/>
        <v>DIAGN</v>
      </c>
      <c r="D10134" s="2" t="str">
        <f t="shared" si="894"/>
        <v>PSDI</v>
      </c>
      <c r="E10134" s="2" t="str">
        <f>"R_EXAME_CIDADE_860"</f>
        <v>R_EXAME_CIDADE_860</v>
      </c>
      <c r="F10134" s="2" t="str">
        <f>"R_EXAME_CIDADE_860"</f>
        <v>R_EXAME_CIDADE_860</v>
      </c>
      <c r="G10134" s="2" t="str">
        <f>" ()"</f>
        <v xml:space="preserve"> ()</v>
      </c>
    </row>
    <row r="10135" spans="1:7" x14ac:dyDescent="0.3">
      <c r="A10135" s="1" t="s">
        <v>4</v>
      </c>
      <c r="B10135" s="2" t="str">
        <f t="shared" si="892"/>
        <v>SISTEMA DE DIAGNÓSTICO POR IMAGEM</v>
      </c>
      <c r="C10135" s="2" t="str">
        <f t="shared" si="893"/>
        <v>DIAGN</v>
      </c>
      <c r="D10135" s="2" t="str">
        <f t="shared" si="894"/>
        <v>PSDI</v>
      </c>
      <c r="E10135" s="2" t="str">
        <f>"EST. DE EXAMES REALIZADOS X AGENDADOS"</f>
        <v>EST. DE EXAMES REALIZADOS X AGENDADOS</v>
      </c>
      <c r="F10135" s="2" t="str">
        <f>"R_EXA_REALIZ_X_AGEND"</f>
        <v>R_EXA_REALIZ_X_AGEND</v>
      </c>
      <c r="G10135" s="2" t="str">
        <f>"Diagnóstico e Terapia / Diagnóstico por Imagem / Relatórios / Estatísticos / Exames / Agendados X Realizados (R_EXA_REALIZ_X_AGEND)"</f>
        <v>Diagnóstico e Terapia / Diagnóstico por Imagem / Relatórios / Estatísticos / Exames / Agendados X Realizados (R_EXA_REALIZ_X_AGEND)</v>
      </c>
    </row>
    <row r="10136" spans="1:7" x14ac:dyDescent="0.3">
      <c r="A10136" s="1" t="s">
        <v>4</v>
      </c>
      <c r="B10136" s="2" t="str">
        <f t="shared" si="892"/>
        <v>SISTEMA DE DIAGNÓSTICO POR IMAGEM</v>
      </c>
      <c r="C10136" s="2" t="str">
        <f t="shared" si="893"/>
        <v>DIAGN</v>
      </c>
      <c r="D10136" s="2" t="str">
        <f t="shared" si="894"/>
        <v>PSDI</v>
      </c>
      <c r="E10136" s="2" t="str">
        <f>"REL DE EXAMES NÃO REALIZADOS DO PSDI"</f>
        <v>REL DE EXAMES NÃO REALIZADOS DO PSDI</v>
      </c>
      <c r="F10136" s="2" t="str">
        <f>"R_EST_EXA_N_REALIZ_PSDI"</f>
        <v>R_EST_EXA_N_REALIZ_PSDI</v>
      </c>
      <c r="G10136" s="2" t="str">
        <f>"Diagnóstico e Terapia / Diagnóstico por Imagem / Relatórios / Estatísticos / Exames não Realizados (R_EST_EXA_N_REALIZ_PSDI)"</f>
        <v>Diagnóstico e Terapia / Diagnóstico por Imagem / Relatórios / Estatísticos / Exames não Realizados (R_EST_EXA_N_REALIZ_PSDI)</v>
      </c>
    </row>
    <row r="10137" spans="1:7" x14ac:dyDescent="0.3">
      <c r="A10137" s="1" t="s">
        <v>4</v>
      </c>
      <c r="B10137" s="2" t="str">
        <f t="shared" si="892"/>
        <v>SISTEMA DE DIAGNÓSTICO POR IMAGEM</v>
      </c>
      <c r="C10137" s="2" t="str">
        <f t="shared" si="893"/>
        <v>DIAGN</v>
      </c>
      <c r="D10137" s="2" t="str">
        <f t="shared" si="894"/>
        <v>PSDI</v>
      </c>
      <c r="E10137" s="2" t="str">
        <f>"ESTATISTICA DE EXAMES POR DIA"</f>
        <v>ESTATISTICA DE EXAMES POR DIA</v>
      </c>
      <c r="F10137" s="2" t="str">
        <f>"R_ESTAT_DIA"</f>
        <v>R_ESTAT_DIA</v>
      </c>
      <c r="G10137" s="2" t="str">
        <f>"Diagnóstico e Terapia / Diagnóstico por Imagem / Relatórios / Estatísticos / Exames / Por Dia (R_ESTAT_DIA)"</f>
        <v>Diagnóstico e Terapia / Diagnóstico por Imagem / Relatórios / Estatísticos / Exames / Por Dia (R_ESTAT_DIA)</v>
      </c>
    </row>
    <row r="10138" spans="1:7" x14ac:dyDescent="0.3">
      <c r="A10138" s="1" t="s">
        <v>4</v>
      </c>
      <c r="B10138" s="2" t="str">
        <f t="shared" si="892"/>
        <v>SISTEMA DE DIAGNÓSTICO POR IMAGEM</v>
      </c>
      <c r="C10138" s="2" t="str">
        <f t="shared" si="893"/>
        <v>DIAGN</v>
      </c>
      <c r="D10138" s="2" t="str">
        <f t="shared" si="894"/>
        <v>PSDI</v>
      </c>
      <c r="E10138" s="2" t="str">
        <f>"EMISSÃO DE REQUISIÇÃO DE EXAMES"</f>
        <v>EMISSÃO DE REQUISIÇÃO DE EXAMES</v>
      </c>
      <c r="F10138" s="2" t="str">
        <f>"C_REEMISSAO_PEDI_900"</f>
        <v>C_REEMISSAO_PEDI_900</v>
      </c>
      <c r="G10138" s="2" t="str">
        <f>"Diagnóstico e Terapia / Diagnóstico por Imagem / Consultas / Pedidos de exames (C_REEMISSAO_PEDI_900)"</f>
        <v>Diagnóstico e Terapia / Diagnóstico por Imagem / Consultas / Pedidos de exames (C_REEMISSAO_PEDI_900)</v>
      </c>
    </row>
    <row r="10139" spans="1:7" x14ac:dyDescent="0.3">
      <c r="A10139" s="1" t="s">
        <v>4</v>
      </c>
      <c r="B10139" s="2" t="str">
        <f t="shared" si="892"/>
        <v>SISTEMA DE DIAGNÓSTICO POR IMAGEM</v>
      </c>
      <c r="C10139" s="2" t="str">
        <f t="shared" si="893"/>
        <v>DIAGN</v>
      </c>
      <c r="D10139" s="2" t="str">
        <f t="shared" si="894"/>
        <v>PSDI</v>
      </c>
      <c r="E10139" s="2" t="str">
        <f>"PED_RX"</f>
        <v>PED_RX</v>
      </c>
      <c r="F10139" s="2" t="str">
        <f>"PED_RX"</f>
        <v>PED_RX</v>
      </c>
      <c r="G10139" s="2" t="str">
        <f>" ()"</f>
        <v xml:space="preserve"> ()</v>
      </c>
    </row>
    <row r="10140" spans="1:7" x14ac:dyDescent="0.3">
      <c r="A10140" s="1" t="s">
        <v>4</v>
      </c>
      <c r="B10140" s="2" t="str">
        <f t="shared" si="892"/>
        <v>SISTEMA DE DIAGNÓSTICO POR IMAGEM</v>
      </c>
      <c r="C10140" s="2" t="str">
        <f t="shared" si="893"/>
        <v>DIAGN</v>
      </c>
      <c r="D10140" s="2" t="str">
        <f t="shared" si="894"/>
        <v>PSDI</v>
      </c>
      <c r="E10140" s="2" t="str">
        <f>"R_LAUDOS_REALIZADOS"</f>
        <v>R_LAUDOS_REALIZADOS</v>
      </c>
      <c r="F10140" s="2" t="str">
        <f>"R_LAUDOS_REALIZADOS"</f>
        <v>R_LAUDOS_REALIZADOS</v>
      </c>
      <c r="G10140" s="2" t="str">
        <f>" ()"</f>
        <v xml:space="preserve"> ()</v>
      </c>
    </row>
    <row r="10141" spans="1:7" x14ac:dyDescent="0.3">
      <c r="A10141" s="1" t="s">
        <v>4</v>
      </c>
      <c r="B10141" s="2" t="str">
        <f t="shared" si="892"/>
        <v>SISTEMA DE DIAGNÓSTICO POR IMAGEM</v>
      </c>
      <c r="C10141" s="2" t="str">
        <f t="shared" si="893"/>
        <v>DIAGN</v>
      </c>
      <c r="D10141" s="2" t="str">
        <f t="shared" si="894"/>
        <v>PSDI</v>
      </c>
      <c r="E10141" s="2" t="str">
        <f>"REL EXAMES RELIZ. POR CONV X GRUPO EXAME"</f>
        <v>REL EXAMES RELIZ. POR CONV X GRUPO EXAME</v>
      </c>
      <c r="F10141" s="2" t="str">
        <f>"R_EXA_REALIZ_CONV_GRUPO"</f>
        <v>R_EXA_REALIZ_CONV_GRUPO</v>
      </c>
      <c r="G10141" s="2" t="str">
        <f>"Diagnóstico e Terapia / Diagnóstico por Imagem / Relatórios / Operacionais / Exames / Por Convênio X Grupo de Exame (R_EXA_REALIZ_CONV_GRUPO)"</f>
        <v>Diagnóstico e Terapia / Diagnóstico por Imagem / Relatórios / Operacionais / Exames / Por Convênio X Grupo de Exame (R_EXA_REALIZ_CONV_GRUPO)</v>
      </c>
    </row>
    <row r="10142" spans="1:7" x14ac:dyDescent="0.3">
      <c r="A10142" s="1" t="s">
        <v>4</v>
      </c>
      <c r="B10142" s="2" t="str">
        <f t="shared" si="892"/>
        <v>SISTEMA DE DIAGNÓSTICO POR IMAGEM</v>
      </c>
      <c r="C10142" s="2" t="str">
        <f t="shared" si="893"/>
        <v>DIAGN</v>
      </c>
      <c r="D10142" s="2" t="str">
        <f t="shared" si="894"/>
        <v>PSDI</v>
      </c>
      <c r="E10142" s="2" t="str">
        <f>"CONSULTA DE EXAMES"</f>
        <v>CONSULTA DE EXAMES</v>
      </c>
      <c r="F10142" s="2" t="str">
        <f>"C_EXAMES_PSDI"</f>
        <v>C_EXAMES_PSDI</v>
      </c>
      <c r="G10142" s="2" t="str">
        <f>"Clínica e Assistencial / Controle de Infecção Hospitalar / Consultas / Exames de Imagem / Exames (C_EXAMES_PSDI)"</f>
        <v>Clínica e Assistencial / Controle de Infecção Hospitalar / Consultas / Exames de Imagem / Exames (C_EXAMES_PSDI)</v>
      </c>
    </row>
    <row r="10143" spans="1:7" x14ac:dyDescent="0.3">
      <c r="A10143" s="1" t="s">
        <v>4</v>
      </c>
      <c r="B10143" s="2" t="str">
        <f t="shared" si="892"/>
        <v>SISTEMA DE DIAGNÓSTICO POR IMAGEM</v>
      </c>
      <c r="C10143" s="2" t="str">
        <f t="shared" si="893"/>
        <v>DIAGN</v>
      </c>
      <c r="D10143" s="2" t="str">
        <f t="shared" si="894"/>
        <v>PSDI</v>
      </c>
      <c r="E10143" s="2" t="str">
        <f>"CONSULTA DE EXAMES"</f>
        <v>CONSULTA DE EXAMES</v>
      </c>
      <c r="F10143" s="2" t="str">
        <f>"C_EXAMES_PSDI"</f>
        <v>C_EXAMES_PSDI</v>
      </c>
      <c r="G10143" s="2" t="str">
        <f>"Clínica e Assistencial / Gerenciamento de Unidades / Consultas / Exames / Exames (Imagem) (C_EXAMES_PSDI)"</f>
        <v>Clínica e Assistencial / Gerenciamento de Unidades / Consultas / Exames / Exames (Imagem) (C_EXAMES_PSDI)</v>
      </c>
    </row>
    <row r="10144" spans="1:7" x14ac:dyDescent="0.3">
      <c r="A10144" s="1" t="s">
        <v>4</v>
      </c>
      <c r="B10144" s="2" t="str">
        <f t="shared" si="892"/>
        <v>SISTEMA DE DIAGNÓSTICO POR IMAGEM</v>
      </c>
      <c r="C10144" s="2" t="str">
        <f t="shared" si="893"/>
        <v>DIAGN</v>
      </c>
      <c r="D10144" s="2" t="str">
        <f t="shared" si="894"/>
        <v>PSDI</v>
      </c>
      <c r="E10144" s="2" t="str">
        <f>"CONSULTA DE AGENDAMENTO PSDI"</f>
        <v>CONSULTA DE AGENDAMENTO PSDI</v>
      </c>
      <c r="F10144" s="2" t="str">
        <f>"C_AGENDA_PSDI"</f>
        <v>C_AGENDA_PSDI</v>
      </c>
      <c r="G10144" s="2" t="str">
        <f>"Diagnóstico e Terapia / Diagnóstico por Imagem / Consultas / Agendamento de Exames (C_AGENDA_PSDI)"</f>
        <v>Diagnóstico e Terapia / Diagnóstico por Imagem / Consultas / Agendamento de Exames (C_AGENDA_PSDI)</v>
      </c>
    </row>
    <row r="10145" spans="1:7" x14ac:dyDescent="0.3">
      <c r="A10145" s="1" t="s">
        <v>4</v>
      </c>
      <c r="B10145" s="2" t="str">
        <f t="shared" si="892"/>
        <v>SISTEMA DE DIAGNÓSTICO POR IMAGEM</v>
      </c>
      <c r="C10145" s="2" t="str">
        <f t="shared" si="893"/>
        <v>DIAGN</v>
      </c>
      <c r="D10145" s="2" t="str">
        <f t="shared" si="894"/>
        <v>PSDI</v>
      </c>
      <c r="E10145" s="2" t="str">
        <f>"RELATÓRIO DE EXAMES POR PACIENTES"</f>
        <v>RELATÓRIO DE EXAMES POR PACIENTES</v>
      </c>
      <c r="F10145" s="2" t="str">
        <f>"R_EXAME_PACIENTE"</f>
        <v>R_EXAME_PACIENTE</v>
      </c>
      <c r="G10145" s="2" t="str">
        <f>"Diagnóstico e Terapia / Diagnóstico por Imagem / Relatórios / Operacionais / Exames / Por Paciente (R_EXAME_PACIENTE)"</f>
        <v>Diagnóstico e Terapia / Diagnóstico por Imagem / Relatórios / Operacionais / Exames / Por Paciente (R_EXAME_PACIENTE)</v>
      </c>
    </row>
    <row r="10146" spans="1:7" x14ac:dyDescent="0.3">
      <c r="A10146" s="1" t="s">
        <v>4</v>
      </c>
      <c r="B10146" s="2" t="str">
        <f t="shared" si="892"/>
        <v>SISTEMA DE DIAGNÓSTICO POR IMAGEM</v>
      </c>
      <c r="C10146" s="2" t="str">
        <f t="shared" si="893"/>
        <v>DIAGN</v>
      </c>
      <c r="D10146" s="2" t="str">
        <f t="shared" si="894"/>
        <v>PSDI</v>
      </c>
      <c r="E10146" s="2" t="str">
        <f>"R_PED_RX_900"</f>
        <v>R_PED_RX_900</v>
      </c>
      <c r="F10146" s="2" t="str">
        <f>"R_PED_RX_900"</f>
        <v>R_PED_RX_900</v>
      </c>
      <c r="G10146" s="2" t="str">
        <f>" ()"</f>
        <v xml:space="preserve"> ()</v>
      </c>
    </row>
    <row r="10147" spans="1:7" x14ac:dyDescent="0.3">
      <c r="A10147" s="1" t="s">
        <v>4</v>
      </c>
      <c r="B10147" s="2" t="str">
        <f t="shared" si="892"/>
        <v>SISTEMA DE DIAGNÓSTICO POR IMAGEM</v>
      </c>
      <c r="C10147" s="2" t="str">
        <f t="shared" si="893"/>
        <v>DIAGN</v>
      </c>
      <c r="D10147" s="2" t="str">
        <f t="shared" si="894"/>
        <v>PSDI</v>
      </c>
      <c r="E10147" s="2" t="str">
        <f>"R_ETIQ_GUIA_UNIMED"</f>
        <v>R_ETIQ_GUIA_UNIMED</v>
      </c>
      <c r="F10147" s="2" t="str">
        <f>"R_ETIQ_GUIA_UNIMED"</f>
        <v>R_ETIQ_GUIA_UNIMED</v>
      </c>
      <c r="G10147" s="2" t="str">
        <f>" ()"</f>
        <v xml:space="preserve"> ()</v>
      </c>
    </row>
    <row r="10148" spans="1:7" x14ac:dyDescent="0.3">
      <c r="A10148" s="1" t="s">
        <v>4</v>
      </c>
      <c r="B10148" s="2" t="str">
        <f t="shared" si="892"/>
        <v>SISTEMA DE DIAGNÓSTICO POR IMAGEM</v>
      </c>
      <c r="C10148" s="2" t="str">
        <f t="shared" si="893"/>
        <v>DIAGN</v>
      </c>
      <c r="D10148" s="2" t="str">
        <f t="shared" si="894"/>
        <v>PSDI</v>
      </c>
      <c r="E10148" s="2" t="str">
        <f>"R_EXAME_SOLIC_PRE            STADOR"</f>
        <v>R_EXAME_SOLIC_PRE            STADOR</v>
      </c>
      <c r="F10148" s="2" t="str">
        <f>"R_EXAME_SOLIC_PRE            STADOR"</f>
        <v>R_EXAME_SOLIC_PRE            STADOR</v>
      </c>
      <c r="G10148" s="2" t="str">
        <f>" ()"</f>
        <v xml:space="preserve"> ()</v>
      </c>
    </row>
    <row r="10149" spans="1:7" x14ac:dyDescent="0.3">
      <c r="A10149" s="1" t="s">
        <v>4</v>
      </c>
      <c r="B10149" s="2" t="str">
        <f t="shared" si="892"/>
        <v>SISTEMA DE DIAGNÓSTICO POR IMAGEM</v>
      </c>
      <c r="C10149" s="2" t="str">
        <f t="shared" si="893"/>
        <v>DIAGN</v>
      </c>
      <c r="D10149" s="2" t="str">
        <f t="shared" si="894"/>
        <v>PSDI</v>
      </c>
      <c r="E10149" s="2" t="str">
        <f>"R_COMP_AGENDA_PSDI_745"</f>
        <v>R_COMP_AGENDA_PSDI_745</v>
      </c>
      <c r="F10149" s="2" t="str">
        <f>"R_COMP_AGENDA_PSDI_745"</f>
        <v>R_COMP_AGENDA_PSDI_745</v>
      </c>
      <c r="G10149" s="2" t="str">
        <f>" ()"</f>
        <v xml:space="preserve"> ()</v>
      </c>
    </row>
    <row r="10150" spans="1:7" x14ac:dyDescent="0.3">
      <c r="A10150" s="1" t="s">
        <v>4</v>
      </c>
      <c r="B10150" s="2" t="str">
        <f t="shared" si="892"/>
        <v>SISTEMA DE DIAGNÓSTICO POR IMAGEM</v>
      </c>
      <c r="C10150" s="2" t="str">
        <f t="shared" si="893"/>
        <v>DIAGN</v>
      </c>
      <c r="D10150" s="2" t="str">
        <f t="shared" si="894"/>
        <v>PSDI</v>
      </c>
      <c r="E10150" s="2" t="str">
        <f>"R_LAU_EXA_750"</f>
        <v>R_LAU_EXA_750</v>
      </c>
      <c r="F10150" s="2" t="str">
        <f>"R_LAU_EXA_750"</f>
        <v>R_LAU_EXA_750</v>
      </c>
      <c r="G10150" s="2" t="str">
        <f>" ()"</f>
        <v xml:space="preserve"> ()</v>
      </c>
    </row>
    <row r="10151" spans="1:7" x14ac:dyDescent="0.3">
      <c r="A10151" s="1" t="s">
        <v>4</v>
      </c>
      <c r="B10151" s="2" t="str">
        <f t="shared" si="892"/>
        <v>SISTEMA DE DIAGNÓSTICO POR IMAGEM</v>
      </c>
      <c r="C10151" s="2" t="str">
        <f t="shared" si="893"/>
        <v>DIAGN</v>
      </c>
      <c r="D10151" s="2" t="str">
        <f t="shared" si="894"/>
        <v>PSDI</v>
      </c>
      <c r="E10151" s="2" t="str">
        <f>"RELATÓRIO DE EXAME X RECURSO X ORIGEM"</f>
        <v>RELATÓRIO DE EXAME X RECURSO X ORIGEM</v>
      </c>
      <c r="F10151" s="2" t="str">
        <f>"R_EST_EXA_REAL_ORI_REC"</f>
        <v>R_EST_EXA_REAL_ORI_REC</v>
      </c>
      <c r="G10151" s="2" t="str">
        <f>"Diagnóstico e Terapia / Diagnóstico por Imagem / Relatórios / Estatísticos / Exames / Realizados x Recurso x Origem (R_EST_EXA_REAL_ORI_REC)"</f>
        <v>Diagnóstico e Terapia / Diagnóstico por Imagem / Relatórios / Estatísticos / Exames / Realizados x Recurso x Origem (R_EST_EXA_REAL_ORI_REC)</v>
      </c>
    </row>
    <row r="10152" spans="1:7" x14ac:dyDescent="0.3">
      <c r="A10152" s="1" t="s">
        <v>4</v>
      </c>
      <c r="B10152" s="2" t="str">
        <f t="shared" si="892"/>
        <v>SISTEMA DE DIAGNÓSTICO POR IMAGEM</v>
      </c>
      <c r="C10152" s="2" t="str">
        <f t="shared" si="893"/>
        <v>DIAGN</v>
      </c>
      <c r="D10152" s="2" t="str">
        <f t="shared" si="894"/>
        <v>PSDI</v>
      </c>
      <c r="E10152" s="2" t="str">
        <f>"LAUDO DOS EXAMES"</f>
        <v>LAUDO DOS EXAMES</v>
      </c>
      <c r="F10152" s="2" t="str">
        <f>"M_LAU_EXA_EDSON"</f>
        <v>M_LAU_EXA_EDSON</v>
      </c>
      <c r="G10152" s="2" t="str">
        <f t="shared" ref="G10152:G10161" si="896">" ()"</f>
        <v xml:space="preserve"> ()</v>
      </c>
    </row>
    <row r="10153" spans="1:7" x14ac:dyDescent="0.3">
      <c r="A10153" s="1" t="s">
        <v>4</v>
      </c>
      <c r="B10153" s="2" t="str">
        <f t="shared" si="892"/>
        <v>SISTEMA DE DIAGNÓSTICO POR IMAGEM</v>
      </c>
      <c r="C10153" s="2" t="str">
        <f t="shared" si="893"/>
        <v>DIAGN</v>
      </c>
      <c r="D10153" s="2" t="str">
        <f t="shared" si="894"/>
        <v>PSDI</v>
      </c>
      <c r="E10153" s="2" t="str">
        <f>"C_AGENDA_PSDI_745"</f>
        <v>C_AGENDA_PSDI_745</v>
      </c>
      <c r="F10153" s="2" t="str">
        <f>"C_AGENDA_PSDI_745"</f>
        <v>C_AGENDA_PSDI_745</v>
      </c>
      <c r="G10153" s="2" t="str">
        <f t="shared" si="896"/>
        <v xml:space="preserve"> ()</v>
      </c>
    </row>
    <row r="10154" spans="1:7" x14ac:dyDescent="0.3">
      <c r="A10154" s="1" t="s">
        <v>4</v>
      </c>
      <c r="B10154" s="2" t="str">
        <f t="shared" si="892"/>
        <v>SISTEMA DE DIAGNÓSTICO POR IMAGEM</v>
      </c>
      <c r="C10154" s="2" t="str">
        <f t="shared" si="893"/>
        <v>DIAGN</v>
      </c>
      <c r="D10154" s="2" t="str">
        <f t="shared" si="894"/>
        <v>PSDI</v>
      </c>
      <c r="E10154" s="2" t="str">
        <f>"AGE_RX_745"</f>
        <v>AGE_RX_745</v>
      </c>
      <c r="F10154" s="2" t="str">
        <f>"AGE_RX_745"</f>
        <v>AGE_RX_745</v>
      </c>
      <c r="G10154" s="2" t="str">
        <f t="shared" si="896"/>
        <v xml:space="preserve"> ()</v>
      </c>
    </row>
    <row r="10155" spans="1:7" x14ac:dyDescent="0.3">
      <c r="A10155" s="1" t="s">
        <v>4</v>
      </c>
      <c r="B10155" s="2" t="str">
        <f t="shared" ref="B10155:B10218" si="897">"SISTEMA DE DIAGNÓSTICO POR IMAGEM"</f>
        <v>SISTEMA DE DIAGNÓSTICO POR IMAGEM</v>
      </c>
      <c r="C10155" s="2" t="str">
        <f t="shared" ref="C10155:C10218" si="898">"DIAGN"</f>
        <v>DIAGN</v>
      </c>
      <c r="D10155" s="2" t="str">
        <f t="shared" ref="D10155:D10218" si="899">"PSDI"</f>
        <v>PSDI</v>
      </c>
      <c r="E10155" s="2" t="str">
        <f>"PRODUÇÃO POR CONVÊNIO SINTÉTICO"</f>
        <v>PRODUÇÃO POR CONVÊNIO SINTÉTICO</v>
      </c>
      <c r="F10155" s="2" t="str">
        <f>"R_PROD_RX_CONV_SIA_S_360"</f>
        <v>R_PROD_RX_CONV_SIA_S_360</v>
      </c>
      <c r="G10155" s="2" t="str">
        <f t="shared" si="896"/>
        <v xml:space="preserve"> ()</v>
      </c>
    </row>
    <row r="10156" spans="1:7" x14ac:dyDescent="0.3">
      <c r="A10156" s="1" t="s">
        <v>4</v>
      </c>
      <c r="B10156" s="2" t="str">
        <f t="shared" si="897"/>
        <v>SISTEMA DE DIAGNÓSTICO POR IMAGEM</v>
      </c>
      <c r="C10156" s="2" t="str">
        <f t="shared" si="898"/>
        <v>DIAGN</v>
      </c>
      <c r="D10156" s="2" t="str">
        <f t="shared" si="899"/>
        <v>PSDI</v>
      </c>
      <c r="E10156" s="2" t="str">
        <f>"R_ETIQUETAS_LAUDO_PSDI_377"</f>
        <v>R_ETIQUETAS_LAUDO_PSDI_377</v>
      </c>
      <c r="F10156" s="2" t="str">
        <f>"R_ETIQUETAS_LAUDO_PSDI_377"</f>
        <v>R_ETIQUETAS_LAUDO_PSDI_377</v>
      </c>
      <c r="G10156" s="2" t="str">
        <f t="shared" si="896"/>
        <v xml:space="preserve"> ()</v>
      </c>
    </row>
    <row r="10157" spans="1:7" x14ac:dyDescent="0.3">
      <c r="A10157" s="1" t="s">
        <v>4</v>
      </c>
      <c r="B10157" s="2" t="str">
        <f t="shared" si="897"/>
        <v>SISTEMA DE DIAGNÓSTICO POR IMAGEM</v>
      </c>
      <c r="C10157" s="2" t="str">
        <f t="shared" si="898"/>
        <v>DIAGN</v>
      </c>
      <c r="D10157" s="2" t="str">
        <f t="shared" si="899"/>
        <v>PSDI</v>
      </c>
      <c r="E10157" s="2" t="str">
        <f>"R_LAU_EXA_961"</f>
        <v>R_LAU_EXA_961</v>
      </c>
      <c r="F10157" s="2" t="str">
        <f>"R_LAU_EXA_961"</f>
        <v>R_LAU_EXA_961</v>
      </c>
      <c r="G10157" s="2" t="str">
        <f t="shared" si="896"/>
        <v xml:space="preserve"> ()</v>
      </c>
    </row>
    <row r="10158" spans="1:7" x14ac:dyDescent="0.3">
      <c r="A10158" s="1" t="s">
        <v>4</v>
      </c>
      <c r="B10158" s="2" t="str">
        <f t="shared" si="897"/>
        <v>SISTEMA DE DIAGNÓSTICO POR IMAGEM</v>
      </c>
      <c r="C10158" s="2" t="str">
        <f t="shared" si="898"/>
        <v>DIAGN</v>
      </c>
      <c r="D10158" s="2" t="str">
        <f t="shared" si="899"/>
        <v>PSDI</v>
      </c>
      <c r="E10158" s="2" t="str">
        <f>"ETIQUETAS PARA ANEXAR AO LAUDO 377"</f>
        <v>ETIQUETAS PARA ANEXAR AO LAUDO 377</v>
      </c>
      <c r="F10158" s="2" t="str">
        <f>"R_ETIQUETA_LAUDO_PSDI_377"</f>
        <v>R_ETIQUETA_LAUDO_PSDI_377</v>
      </c>
      <c r="G10158" s="2" t="str">
        <f t="shared" si="896"/>
        <v xml:space="preserve"> ()</v>
      </c>
    </row>
    <row r="10159" spans="1:7" x14ac:dyDescent="0.3">
      <c r="A10159" s="1" t="s">
        <v>4</v>
      </c>
      <c r="B10159" s="2" t="str">
        <f t="shared" si="897"/>
        <v>SISTEMA DE DIAGNÓSTICO POR IMAGEM</v>
      </c>
      <c r="C10159" s="2" t="str">
        <f t="shared" si="898"/>
        <v>DIAGN</v>
      </c>
      <c r="D10159" s="2" t="str">
        <f t="shared" si="899"/>
        <v>PSDI</v>
      </c>
      <c r="E10159" s="2" t="str">
        <f>"ETIQUETAS ANEXADAS AO LAUDO"</f>
        <v>ETIQUETAS ANEXADAS AO LAUDO</v>
      </c>
      <c r="F10159" s="2" t="str">
        <f>"R_ETIQUETA_PEDIDO_PSDI_377"</f>
        <v>R_ETIQUETA_PEDIDO_PSDI_377</v>
      </c>
      <c r="G10159" s="2" t="str">
        <f t="shared" si="896"/>
        <v xml:space="preserve"> ()</v>
      </c>
    </row>
    <row r="10160" spans="1:7" x14ac:dyDescent="0.3">
      <c r="A10160" s="1" t="s">
        <v>4</v>
      </c>
      <c r="B10160" s="2" t="str">
        <f t="shared" si="897"/>
        <v>SISTEMA DE DIAGNÓSTICO POR IMAGEM</v>
      </c>
      <c r="C10160" s="2" t="str">
        <f t="shared" si="898"/>
        <v>DIAGN</v>
      </c>
      <c r="D10160" s="2" t="str">
        <f t="shared" si="899"/>
        <v>PSDI</v>
      </c>
      <c r="E10160" s="2" t="str">
        <f>"ETIQUETA LAUDO PSDI 297"</f>
        <v>ETIQUETA LAUDO PSDI 297</v>
      </c>
      <c r="F10160" s="2" t="str">
        <f>"R_ETIQ_PSDI_LAUDO_297"</f>
        <v>R_ETIQ_PSDI_LAUDO_297</v>
      </c>
      <c r="G10160" s="2" t="str">
        <f t="shared" si="896"/>
        <v xml:space="preserve"> ()</v>
      </c>
    </row>
    <row r="10161" spans="1:7" x14ac:dyDescent="0.3">
      <c r="A10161" s="1" t="s">
        <v>4</v>
      </c>
      <c r="B10161" s="2" t="str">
        <f t="shared" si="897"/>
        <v>SISTEMA DE DIAGNÓSTICO POR IMAGEM</v>
      </c>
      <c r="C10161" s="2" t="str">
        <f t="shared" si="898"/>
        <v>DIAGN</v>
      </c>
      <c r="D10161" s="2" t="str">
        <f t="shared" si="899"/>
        <v>PSDI</v>
      </c>
      <c r="E10161" s="2" t="str">
        <f>"R_ETIQUETAS_ATENDIMENTO_PSDI207"</f>
        <v>R_ETIQUETAS_ATENDIMENTO_PSDI207</v>
      </c>
      <c r="F10161" s="2" t="str">
        <f>"R_ETIQUETAS_ATENDIMENTO_PSDI207"</f>
        <v>R_ETIQUETAS_ATENDIMENTO_PSDI207</v>
      </c>
      <c r="G10161" s="2" t="str">
        <f t="shared" si="896"/>
        <v xml:space="preserve"> ()</v>
      </c>
    </row>
    <row r="10162" spans="1:7" x14ac:dyDescent="0.3">
      <c r="A10162" s="1" t="s">
        <v>4</v>
      </c>
      <c r="B10162" s="2" t="str">
        <f t="shared" si="897"/>
        <v>SISTEMA DE DIAGNÓSTICO POR IMAGEM</v>
      </c>
      <c r="C10162" s="2" t="str">
        <f t="shared" si="898"/>
        <v>DIAGN</v>
      </c>
      <c r="D10162" s="2" t="str">
        <f t="shared" si="899"/>
        <v>PSDI</v>
      </c>
      <c r="E10162" s="2" t="str">
        <f>"M_TRANSFERE_AGENDA_PACI"</f>
        <v>M_TRANSFERE_AGENDA_PACI</v>
      </c>
      <c r="F10162" s="2" t="str">
        <f>"M_TRANSFERE_AGENDA_PACI"</f>
        <v>M_TRANSFERE_AGENDA_PACI</v>
      </c>
      <c r="G10162" s="2" t="str">
        <f>"Diagnóstico e Terapia / Diagnóstico por Imagem / Agendamentos / Transferência Agenda Paciente (M_TRANSFERE_AGENDA_PACI)"</f>
        <v>Diagnóstico e Terapia / Diagnóstico por Imagem / Agendamentos / Transferência Agenda Paciente (M_TRANSFERE_AGENDA_PACI)</v>
      </c>
    </row>
    <row r="10163" spans="1:7" x14ac:dyDescent="0.3">
      <c r="A10163" s="1" t="s">
        <v>4</v>
      </c>
      <c r="B10163" s="2" t="str">
        <f t="shared" si="897"/>
        <v>SISTEMA DE DIAGNÓSTICO POR IMAGEM</v>
      </c>
      <c r="C10163" s="2" t="str">
        <f t="shared" si="898"/>
        <v>DIAGN</v>
      </c>
      <c r="D10163" s="2" t="str">
        <f t="shared" si="899"/>
        <v>PSDI</v>
      </c>
      <c r="E10163" s="2" t="str">
        <f>"ETIQUETAS PSDI PEDIDOS DE EXAME"</f>
        <v>ETIQUETAS PSDI PEDIDOS DE EXAME</v>
      </c>
      <c r="F10163" s="2" t="str">
        <f>"R_ETIQ_PSDI_297"</f>
        <v>R_ETIQ_PSDI_297</v>
      </c>
      <c r="G10163" s="2" t="str">
        <f>" ()"</f>
        <v xml:space="preserve"> ()</v>
      </c>
    </row>
    <row r="10164" spans="1:7" x14ac:dyDescent="0.3">
      <c r="A10164" s="1" t="s">
        <v>4</v>
      </c>
      <c r="B10164" s="2" t="str">
        <f t="shared" si="897"/>
        <v>SISTEMA DE DIAGNÓSTICO POR IMAGEM</v>
      </c>
      <c r="C10164" s="2" t="str">
        <f t="shared" si="898"/>
        <v>DIAGN</v>
      </c>
      <c r="D10164" s="2" t="str">
        <f t="shared" si="899"/>
        <v>PSDI</v>
      </c>
      <c r="E10164" s="2" t="str">
        <f>"O_CONF_EXA"</f>
        <v>O_CONF_EXA</v>
      </c>
      <c r="F10164" s="2" t="str">
        <f>"O_CONF_EXA"</f>
        <v>O_CONF_EXA</v>
      </c>
      <c r="G10164" s="2" t="str">
        <f>" ()"</f>
        <v xml:space="preserve"> ()</v>
      </c>
    </row>
    <row r="10165" spans="1:7" x14ac:dyDescent="0.3">
      <c r="A10165" s="1" t="s">
        <v>4</v>
      </c>
      <c r="B10165" s="2" t="str">
        <f t="shared" si="897"/>
        <v>SISTEMA DE DIAGNÓSTICO POR IMAGEM</v>
      </c>
      <c r="C10165" s="2" t="str">
        <f t="shared" si="898"/>
        <v>DIAGN</v>
      </c>
      <c r="D10165" s="2" t="str">
        <f t="shared" si="899"/>
        <v>PSDI</v>
      </c>
      <c r="E10165" s="2" t="str">
        <f>"PACIENTES AGENDADOS POR CONVÊNIO"</f>
        <v>PACIENTES AGENDADOS POR CONVÊNIO</v>
      </c>
      <c r="F10165" s="2" t="str">
        <f>"R_PACI_AGENDA_CONV"</f>
        <v>R_PACI_AGENDA_CONV</v>
      </c>
      <c r="G10165" s="2" t="str">
        <f>"Diagnóstico e Terapia / Diagnóstico por Imagem / Relatórios / Agendamentos / Pacientes Agendados por Convênio (R_PACI_AGENDA_CONV)"</f>
        <v>Diagnóstico e Terapia / Diagnóstico por Imagem / Relatórios / Agendamentos / Pacientes Agendados por Convênio (R_PACI_AGENDA_CONV)</v>
      </c>
    </row>
    <row r="10166" spans="1:7" x14ac:dyDescent="0.3">
      <c r="A10166" s="1" t="s">
        <v>4</v>
      </c>
      <c r="B10166" s="2" t="str">
        <f t="shared" si="897"/>
        <v>SISTEMA DE DIAGNÓSTICO POR IMAGEM</v>
      </c>
      <c r="C10166" s="2" t="str">
        <f t="shared" si="898"/>
        <v>DIAGN</v>
      </c>
      <c r="D10166" s="2" t="str">
        <f t="shared" si="899"/>
        <v>PSDI</v>
      </c>
      <c r="E10166" s="2" t="str">
        <f>"RELATÓRIO CUSTO DE EXAMES POR CONVÊNIO"</f>
        <v>RELATÓRIO CUSTO DE EXAMES POR CONVÊNIO</v>
      </c>
      <c r="F10166" s="2" t="str">
        <f>"R_EXAME_CONV_SETORES"</f>
        <v>R_EXAME_CONV_SETORES</v>
      </c>
      <c r="G10166" s="2" t="str">
        <f>"Diagnóstico e Terapia / Diagnóstico por Imagem / Relatórios / Operacionais / Exames / Por Convênio (R_EXAME_CONV_SETORES)"</f>
        <v>Diagnóstico e Terapia / Diagnóstico por Imagem / Relatórios / Operacionais / Exames / Por Convênio (R_EXAME_CONV_SETORES)</v>
      </c>
    </row>
    <row r="10167" spans="1:7" x14ac:dyDescent="0.3">
      <c r="A10167" s="1" t="s">
        <v>4</v>
      </c>
      <c r="B10167" s="2" t="str">
        <f t="shared" si="897"/>
        <v>SISTEMA DE DIAGNÓSTICO POR IMAGEM</v>
      </c>
      <c r="C10167" s="2" t="str">
        <f t="shared" si="898"/>
        <v>DIAGN</v>
      </c>
      <c r="D10167" s="2" t="str">
        <f t="shared" si="899"/>
        <v>PSDI</v>
      </c>
      <c r="E10167" s="2" t="str">
        <f>"COTAS DE EXAMES"</f>
        <v>COTAS DE EXAMES</v>
      </c>
      <c r="F10167" s="2" t="str">
        <f>"M_COTA_EXA_RX"</f>
        <v>M_COTA_EXA_RX</v>
      </c>
      <c r="G10167" s="2" t="str">
        <f>"Diagnóstico e Terapia / Diagnóstico por Imagem / Tabelas / Cotas de Exames (M_COTA_EXA_RX)"</f>
        <v>Diagnóstico e Terapia / Diagnóstico por Imagem / Tabelas / Cotas de Exames (M_COTA_EXA_RX)</v>
      </c>
    </row>
    <row r="10168" spans="1:7" x14ac:dyDescent="0.3">
      <c r="A10168" s="1" t="s">
        <v>4</v>
      </c>
      <c r="B10168" s="2" t="str">
        <f t="shared" si="897"/>
        <v>SISTEMA DE DIAGNÓSTICO POR IMAGEM</v>
      </c>
      <c r="C10168" s="2" t="str">
        <f t="shared" si="898"/>
        <v>DIAGN</v>
      </c>
      <c r="D10168" s="2" t="str">
        <f t="shared" si="899"/>
        <v>PSDI</v>
      </c>
      <c r="E10168" s="2" t="str">
        <f>"REL DE ANAMNESE DO PSDI"</f>
        <v>REL DE ANAMNESE DO PSDI</v>
      </c>
      <c r="F10168" s="2" t="str">
        <f>"R_ANM_PSDI759"</f>
        <v>R_ANM_PSDI759</v>
      </c>
      <c r="G10168" s="2" t="str">
        <f>" ()"</f>
        <v xml:space="preserve"> ()</v>
      </c>
    </row>
    <row r="10169" spans="1:7" x14ac:dyDescent="0.3">
      <c r="A10169" s="1" t="s">
        <v>4</v>
      </c>
      <c r="B10169" s="2" t="str">
        <f t="shared" si="897"/>
        <v>SISTEMA DE DIAGNÓSTICO POR IMAGEM</v>
      </c>
      <c r="C10169" s="2" t="str">
        <f t="shared" si="898"/>
        <v>DIAGN</v>
      </c>
      <c r="D10169" s="2" t="str">
        <f t="shared" si="899"/>
        <v>PSDI</v>
      </c>
      <c r="E10169" s="2" t="str">
        <f>"REL EXA SOLIC. POR CONV/GRU_PRO/TP_ATEND"</f>
        <v>REL EXA SOLIC. POR CONV/GRU_PRO/TP_ATEND</v>
      </c>
      <c r="F10169" s="2" t="str">
        <f>"R_EXAME_SOLIC_CONV_XY"</f>
        <v>R_EXAME_SOLIC_CONV_XY</v>
      </c>
      <c r="G10169" s="2" t="str">
        <f>" ()"</f>
        <v xml:space="preserve"> ()</v>
      </c>
    </row>
    <row r="10170" spans="1:7" x14ac:dyDescent="0.3">
      <c r="A10170" s="1" t="s">
        <v>4</v>
      </c>
      <c r="B10170" s="2" t="str">
        <f t="shared" si="897"/>
        <v>SISTEMA DE DIAGNÓSTICO POR IMAGEM</v>
      </c>
      <c r="C10170" s="2" t="str">
        <f t="shared" si="898"/>
        <v>DIAGN</v>
      </c>
      <c r="D10170" s="2" t="str">
        <f t="shared" si="899"/>
        <v>PSDI</v>
      </c>
      <c r="E10170" s="2" t="str">
        <f>"REL DE COMPROVANTE DE AGENDAMENTO"</f>
        <v>REL DE COMPROVANTE DE AGENDAMENTO</v>
      </c>
      <c r="F10170" s="2" t="str">
        <f>"R_COMPROVANTE_AGENDA600"</f>
        <v>R_COMPROVANTE_AGENDA600</v>
      </c>
      <c r="G10170" s="2" t="str">
        <f>" ()"</f>
        <v xml:space="preserve"> ()</v>
      </c>
    </row>
    <row r="10171" spans="1:7" x14ac:dyDescent="0.3">
      <c r="A10171" s="1" t="s">
        <v>4</v>
      </c>
      <c r="B10171" s="2" t="str">
        <f t="shared" si="897"/>
        <v>SISTEMA DE DIAGNÓSTICO POR IMAGEM</v>
      </c>
      <c r="C10171" s="2" t="str">
        <f t="shared" si="898"/>
        <v>DIAGN</v>
      </c>
      <c r="D10171" s="2" t="str">
        <f t="shared" si="899"/>
        <v>PSDI</v>
      </c>
      <c r="E10171" s="2" t="str">
        <f>"R_EXA_SET"</f>
        <v>R_EXA_SET</v>
      </c>
      <c r="F10171" s="2" t="str">
        <f>"R_EXA_SET"</f>
        <v>R_EXA_SET</v>
      </c>
      <c r="G10171" s="2" t="str">
        <f>" ()"</f>
        <v xml:space="preserve"> ()</v>
      </c>
    </row>
    <row r="10172" spans="1:7" x14ac:dyDescent="0.3">
      <c r="A10172" s="1" t="s">
        <v>4</v>
      </c>
      <c r="B10172" s="2" t="str">
        <f t="shared" si="897"/>
        <v>SISTEMA DE DIAGNÓSTICO POR IMAGEM</v>
      </c>
      <c r="C10172" s="2" t="str">
        <f t="shared" si="898"/>
        <v>DIAGN</v>
      </c>
      <c r="D10172" s="2" t="str">
        <f t="shared" si="899"/>
        <v>PSDI</v>
      </c>
      <c r="E10172" s="2" t="str">
        <f>"LAUDO DOS EXAMES"</f>
        <v>LAUDO DOS EXAMES</v>
      </c>
      <c r="F10172" s="2" t="str">
        <f>"M_GR_ARQ_PER"</f>
        <v>M_GR_ARQ_PER</v>
      </c>
      <c r="G10172" s="2" t="str">
        <f>" ()"</f>
        <v xml:space="preserve"> ()</v>
      </c>
    </row>
    <row r="10173" spans="1:7" x14ac:dyDescent="0.3">
      <c r="A10173" s="1" t="s">
        <v>4</v>
      </c>
      <c r="B10173" s="2" t="str">
        <f t="shared" si="897"/>
        <v>SISTEMA DE DIAGNÓSTICO POR IMAGEM</v>
      </c>
      <c r="C10173" s="2" t="str">
        <f t="shared" si="898"/>
        <v>DIAGN</v>
      </c>
      <c r="D10173" s="2" t="str">
        <f t="shared" si="899"/>
        <v>PSDI</v>
      </c>
      <c r="E10173" s="2" t="str">
        <f>"RELATÓRIO EXAMES SOLICITADO POR CONVÊNIO"</f>
        <v>RELATÓRIO EXAMES SOLICITADO POR CONVÊNIO</v>
      </c>
      <c r="F10173" s="2" t="str">
        <f>"R_EXAME_SOLIC_CONVENIO"</f>
        <v>R_EXAME_SOLIC_CONVENIO</v>
      </c>
      <c r="G10173" s="2" t="str">
        <f>"Diagnóstico e Terapia / Diagnóstico por Imagem / Relatórios / Operacionais / Exames Solicitados / Por Convênio (R_EXAME_SOLIC_CONVENIO)"</f>
        <v>Diagnóstico e Terapia / Diagnóstico por Imagem / Relatórios / Operacionais / Exames Solicitados / Por Convênio (R_EXAME_SOLIC_CONVENIO)</v>
      </c>
    </row>
    <row r="10174" spans="1:7" x14ac:dyDescent="0.3">
      <c r="A10174" s="1" t="s">
        <v>4</v>
      </c>
      <c r="B10174" s="2" t="str">
        <f t="shared" si="897"/>
        <v>SISTEMA DE DIAGNÓSTICO POR IMAGEM</v>
      </c>
      <c r="C10174" s="2" t="str">
        <f t="shared" si="898"/>
        <v>DIAGN</v>
      </c>
      <c r="D10174" s="2" t="str">
        <f t="shared" si="899"/>
        <v>PSDI</v>
      </c>
      <c r="E10174" s="2" t="str">
        <f>"CONSULTA DE AGENDAMENTOS EXCLUÍDOS"</f>
        <v>CONSULTA DE AGENDAMENTOS EXCLUÍDOS</v>
      </c>
      <c r="F10174" s="2" t="str">
        <f>"C_LOG_EXC_AGENDA_PSDI"</f>
        <v>C_LOG_EXC_AGENDA_PSDI</v>
      </c>
      <c r="G10174" s="2" t="str">
        <f>"Diagnóstico e Terapia / Diagnóstico por Imagem / Consultas / Agendamentos excluídos (C_LOG_EXC_AGENDA_PSDI)"</f>
        <v>Diagnóstico e Terapia / Diagnóstico por Imagem / Consultas / Agendamentos excluídos (C_LOG_EXC_AGENDA_PSDI)</v>
      </c>
    </row>
    <row r="10175" spans="1:7" x14ac:dyDescent="0.3">
      <c r="A10175" s="1" t="s">
        <v>4</v>
      </c>
      <c r="B10175" s="2" t="str">
        <f t="shared" si="897"/>
        <v>SISTEMA DE DIAGNÓSTICO POR IMAGEM</v>
      </c>
      <c r="C10175" s="2" t="str">
        <f t="shared" si="898"/>
        <v>DIAGN</v>
      </c>
      <c r="D10175" s="2" t="str">
        <f t="shared" si="899"/>
        <v>PSDI</v>
      </c>
      <c r="E10175" s="2" t="str">
        <f>"ETIQUETAS DE PEDIDO DE EXAME"</f>
        <v>ETIQUETAS DE PEDIDO DE EXAME</v>
      </c>
      <c r="F10175" s="2" t="str">
        <f>"R_ETIQUETAS_PEDIDO_PSDI"</f>
        <v>R_ETIQUETAS_PEDIDO_PSDI</v>
      </c>
      <c r="G10175" s="2" t="str">
        <f>" ()"</f>
        <v xml:space="preserve"> ()</v>
      </c>
    </row>
    <row r="10176" spans="1:7" x14ac:dyDescent="0.3">
      <c r="A10176" s="1" t="s">
        <v>4</v>
      </c>
      <c r="B10176" s="2" t="str">
        <f t="shared" si="897"/>
        <v>SISTEMA DE DIAGNÓSTICO POR IMAGEM</v>
      </c>
      <c r="C10176" s="2" t="str">
        <f t="shared" si="898"/>
        <v>DIAGN</v>
      </c>
      <c r="D10176" s="2" t="str">
        <f t="shared" si="899"/>
        <v>PSDI</v>
      </c>
      <c r="E10176" s="2" t="str">
        <f>"TELA DE CONSULTAS DE EXAMES EXCLUIDOS"</f>
        <v>TELA DE CONSULTAS DE EXAMES EXCLUIDOS</v>
      </c>
      <c r="F10176" s="2" t="str">
        <f>"M_LOG_EXCLUSAO_AGENDAMENTO_PSDI"</f>
        <v>M_LOG_EXCLUSAO_AGENDAMENTO_PSDI</v>
      </c>
      <c r="G10176" s="2" t="str">
        <f>" ()"</f>
        <v xml:space="preserve"> ()</v>
      </c>
    </row>
    <row r="10177" spans="1:7" x14ac:dyDescent="0.3">
      <c r="A10177" s="1" t="s">
        <v>4</v>
      </c>
      <c r="B10177" s="2" t="str">
        <f t="shared" si="897"/>
        <v>SISTEMA DE DIAGNÓSTICO POR IMAGEM</v>
      </c>
      <c r="C10177" s="2" t="str">
        <f t="shared" si="898"/>
        <v>DIAGN</v>
      </c>
      <c r="D10177" s="2" t="str">
        <f t="shared" si="899"/>
        <v>PSDI</v>
      </c>
      <c r="E10177" s="2" t="str">
        <f>"R_ESTAT_SET_EXA"</f>
        <v>R_ESTAT_SET_EXA</v>
      </c>
      <c r="F10177" s="2" t="str">
        <f>"R_ESTAT_SET_EXA"</f>
        <v>R_ESTAT_SET_EXA</v>
      </c>
      <c r="G10177" s="2" t="str">
        <f>"Diagnóstico e Terapia / Diagnóstico por Imagem / Relatórios / Estatísticos / Exames / Por Setor Executante (R_ESTAT_SET_EXA)"</f>
        <v>Diagnóstico e Terapia / Diagnóstico por Imagem / Relatórios / Estatísticos / Exames / Por Setor Executante (R_ESTAT_SET_EXA)</v>
      </c>
    </row>
    <row r="10178" spans="1:7" x14ac:dyDescent="0.3">
      <c r="A10178" s="1" t="s">
        <v>4</v>
      </c>
      <c r="B10178" s="2" t="str">
        <f t="shared" si="897"/>
        <v>SISTEMA DE DIAGNÓSTICO POR IMAGEM</v>
      </c>
      <c r="C10178" s="2" t="str">
        <f t="shared" si="898"/>
        <v>DIAGN</v>
      </c>
      <c r="D10178" s="2" t="str">
        <f t="shared" si="899"/>
        <v>PSDI</v>
      </c>
      <c r="E10178" s="2" t="str">
        <f>"R_ETIQUETA_PEDIDO_PSDI"</f>
        <v>R_ETIQUETA_PEDIDO_PSDI</v>
      </c>
      <c r="F10178" s="2" t="str">
        <f>"R_ETIQUETA_PEDIDO_PSDI"</f>
        <v>R_ETIQUETA_PEDIDO_PSDI</v>
      </c>
      <c r="G10178" s="2" t="str">
        <f>" ()"</f>
        <v xml:space="preserve"> ()</v>
      </c>
    </row>
    <row r="10179" spans="1:7" x14ac:dyDescent="0.3">
      <c r="A10179" s="1" t="s">
        <v>4</v>
      </c>
      <c r="B10179" s="2" t="str">
        <f t="shared" si="897"/>
        <v>SISTEMA DE DIAGNÓSTICO POR IMAGEM</v>
      </c>
      <c r="C10179" s="2" t="str">
        <f t="shared" si="898"/>
        <v>DIAGN</v>
      </c>
      <c r="D10179" s="2" t="str">
        <f t="shared" si="899"/>
        <v>PSDI</v>
      </c>
      <c r="E10179" s="2" t="str">
        <f>"RELATÓRIO DE PRODUTIVIDADE MÉDICA"</f>
        <v>RELATÓRIO DE PRODUTIVIDADE MÉDICA</v>
      </c>
      <c r="F10179" s="2" t="str">
        <f>"R_MAPA_MENSAL"</f>
        <v>R_MAPA_MENSAL</v>
      </c>
      <c r="G10179" s="2" t="str">
        <f>" ()"</f>
        <v xml:space="preserve"> ()</v>
      </c>
    </row>
    <row r="10180" spans="1:7" x14ac:dyDescent="0.3">
      <c r="A10180" s="1" t="s">
        <v>4</v>
      </c>
      <c r="B10180" s="2" t="str">
        <f t="shared" si="897"/>
        <v>SISTEMA DE DIAGNÓSTICO POR IMAGEM</v>
      </c>
      <c r="C10180" s="2" t="str">
        <f t="shared" si="898"/>
        <v>DIAGN</v>
      </c>
      <c r="D10180" s="2" t="str">
        <f t="shared" si="899"/>
        <v>PSDI</v>
      </c>
      <c r="E10180" s="2" t="str">
        <f>"PSDI"</f>
        <v>PSDI</v>
      </c>
      <c r="F10180" s="2" t="str">
        <f>"PSDI"</f>
        <v>PSDI</v>
      </c>
      <c r="G10180" s="2" t="str">
        <f>" ()"</f>
        <v xml:space="preserve"> ()</v>
      </c>
    </row>
    <row r="10181" spans="1:7" x14ac:dyDescent="0.3">
      <c r="A10181" s="1" t="s">
        <v>4</v>
      </c>
      <c r="B10181" s="2" t="str">
        <f t="shared" si="897"/>
        <v>SISTEMA DE DIAGNÓSTICO POR IMAGEM</v>
      </c>
      <c r="C10181" s="2" t="str">
        <f t="shared" si="898"/>
        <v>DIAGN</v>
      </c>
      <c r="D10181" s="2" t="str">
        <f t="shared" si="899"/>
        <v>PSDI</v>
      </c>
      <c r="E10181" s="2" t="str">
        <f>"REL ESTATISTICO DE EXAMES NÃO REALIZADOS"</f>
        <v>REL ESTATISTICO DE EXAMES NÃO REALIZADOS</v>
      </c>
      <c r="F10181" s="2" t="str">
        <f>"R_EST_EXAME)N_REALIZ"</f>
        <v>R_EST_EXAME)N_REALIZ</v>
      </c>
      <c r="G10181" s="2" t="str">
        <f>" ()"</f>
        <v xml:space="preserve"> ()</v>
      </c>
    </row>
    <row r="10182" spans="1:7" x14ac:dyDescent="0.3">
      <c r="A10182" s="1" t="s">
        <v>4</v>
      </c>
      <c r="B10182" s="2" t="str">
        <f t="shared" si="897"/>
        <v>SISTEMA DE DIAGNÓSTICO POR IMAGEM</v>
      </c>
      <c r="C10182" s="2" t="str">
        <f t="shared" si="898"/>
        <v>DIAGN</v>
      </c>
      <c r="D10182" s="2" t="str">
        <f t="shared" si="899"/>
        <v>PSDI</v>
      </c>
      <c r="E10182" s="2" t="str">
        <f>"R_COMPROVANTE_AGENDA377"</f>
        <v>R_COMPROVANTE_AGENDA377</v>
      </c>
      <c r="F10182" s="2" t="str">
        <f>"R_COMPROVANTE_AGENDA377"</f>
        <v>R_COMPROVANTE_AGENDA377</v>
      </c>
      <c r="G10182" s="2" t="str">
        <f>" ()"</f>
        <v xml:space="preserve"> ()</v>
      </c>
    </row>
    <row r="10183" spans="1:7" x14ac:dyDescent="0.3">
      <c r="A10183" s="1" t="s">
        <v>4</v>
      </c>
      <c r="B10183" s="2" t="str">
        <f t="shared" si="897"/>
        <v>SISTEMA DE DIAGNÓSTICO POR IMAGEM</v>
      </c>
      <c r="C10183" s="2" t="str">
        <f t="shared" si="898"/>
        <v>DIAGN</v>
      </c>
      <c r="D10183" s="2" t="str">
        <f t="shared" si="899"/>
        <v>PSDI</v>
      </c>
      <c r="E10183" s="2" t="str">
        <f>"WIN_PRINCIPAL"</f>
        <v>WIN_PRINCIPAL</v>
      </c>
      <c r="F10183" s="2" t="str">
        <f>"R_ESTAT_SET_EXA_ATENDE"</f>
        <v>R_ESTAT_SET_EXA_ATENDE</v>
      </c>
      <c r="G10183" s="2" t="str">
        <f>"Diagnóstico e Terapia / Diagnóstico por Imagem / Relatórios / Estatísticos / Exames / Por Setor Executante X Tipo de Atendimento (R_ESTAT_SET_EXA_ATENDE)"</f>
        <v>Diagnóstico e Terapia / Diagnóstico por Imagem / Relatórios / Estatísticos / Exames / Por Setor Executante X Tipo de Atendimento (R_ESTAT_SET_EXA_ATENDE)</v>
      </c>
    </row>
    <row r="10184" spans="1:7" x14ac:dyDescent="0.3">
      <c r="A10184" s="1" t="s">
        <v>4</v>
      </c>
      <c r="B10184" s="2" t="str">
        <f t="shared" si="897"/>
        <v>SISTEMA DE DIAGNÓSTICO POR IMAGEM</v>
      </c>
      <c r="C10184" s="2" t="str">
        <f t="shared" si="898"/>
        <v>DIAGN</v>
      </c>
      <c r="D10184" s="2" t="str">
        <f t="shared" si="899"/>
        <v>PSDI</v>
      </c>
      <c r="E10184" s="2" t="str">
        <f>"REL DE EXAMES POR CONVENIO"</f>
        <v>REL DE EXAMES POR CONVENIO</v>
      </c>
      <c r="F10184" s="2" t="str">
        <f>"R_EXAME_SOLIC_CONV_EXA"</f>
        <v>R_EXAME_SOLIC_CONV_EXA</v>
      </c>
      <c r="G10184" s="2" t="str">
        <f>" ()"</f>
        <v xml:space="preserve"> ()</v>
      </c>
    </row>
    <row r="10185" spans="1:7" x14ac:dyDescent="0.3">
      <c r="A10185" s="1" t="s">
        <v>4</v>
      </c>
      <c r="B10185" s="2" t="str">
        <f t="shared" si="897"/>
        <v>SISTEMA DE DIAGNÓSTICO POR IMAGEM</v>
      </c>
      <c r="C10185" s="2" t="str">
        <f t="shared" si="898"/>
        <v>DIAGN</v>
      </c>
      <c r="D10185" s="2" t="str">
        <f t="shared" si="899"/>
        <v>PSDI</v>
      </c>
      <c r="E10185" s="2" t="str">
        <f>"PROIBIÇÃO DE EXAMES"</f>
        <v>PROIBIÇÃO DE EXAMES</v>
      </c>
      <c r="F10185" s="2" t="str">
        <f>"M_PROIBICAO_EXAME"</f>
        <v>M_PROIBICAO_EXAME</v>
      </c>
      <c r="G10185" s="2" t="str">
        <f>"Diagnóstico e Terapia / Diagnóstico por Imagem / Agendamentos / Proibição de exames (M_PROIBICAO_EXAME)"</f>
        <v>Diagnóstico e Terapia / Diagnóstico por Imagem / Agendamentos / Proibição de exames (M_PROIBICAO_EXAME)</v>
      </c>
    </row>
    <row r="10186" spans="1:7" x14ac:dyDescent="0.3">
      <c r="A10186" s="1" t="s">
        <v>4</v>
      </c>
      <c r="B10186" s="2" t="str">
        <f t="shared" si="897"/>
        <v>SISTEMA DE DIAGNÓSTICO POR IMAGEM</v>
      </c>
      <c r="C10186" s="2" t="str">
        <f t="shared" si="898"/>
        <v>DIAGN</v>
      </c>
      <c r="D10186" s="2" t="str">
        <f t="shared" si="899"/>
        <v>PSDI</v>
      </c>
      <c r="E10186" s="2" t="str">
        <f>"GRÁFICO DE ATENDIMENTOS POR HORA"</f>
        <v>GRÁFICO DE ATENDIMENTOS POR HORA</v>
      </c>
      <c r="F10186" s="2" t="str">
        <f>"R_GRAFICO_PED_RX_HORA"</f>
        <v>R_GRAFICO_PED_RX_HORA</v>
      </c>
      <c r="G10186" s="2" t="str">
        <f>" ()"</f>
        <v xml:space="preserve"> ()</v>
      </c>
    </row>
    <row r="10187" spans="1:7" x14ac:dyDescent="0.3">
      <c r="A10187" s="1" t="s">
        <v>4</v>
      </c>
      <c r="B10187" s="2" t="str">
        <f t="shared" si="897"/>
        <v>SISTEMA DE DIAGNÓSTICO POR IMAGEM</v>
      </c>
      <c r="C10187" s="2" t="str">
        <f t="shared" si="898"/>
        <v>DIAGN</v>
      </c>
      <c r="D10187" s="2" t="str">
        <f t="shared" si="899"/>
        <v>PSDI</v>
      </c>
      <c r="E10187" s="2" t="str">
        <f>"GRÁFICO DE ATENDIMENTOS POR DIA"</f>
        <v>GRÁFICO DE ATENDIMENTOS POR DIA</v>
      </c>
      <c r="F10187" s="2" t="str">
        <f>"R_GRAFICO_PED_RX_DIA"</f>
        <v>R_GRAFICO_PED_RX_DIA</v>
      </c>
      <c r="G10187" s="2" t="str">
        <f>" ()"</f>
        <v xml:space="preserve"> ()</v>
      </c>
    </row>
    <row r="10188" spans="1:7" x14ac:dyDescent="0.3">
      <c r="A10188" s="1" t="s">
        <v>4</v>
      </c>
      <c r="B10188" s="2" t="str">
        <f t="shared" si="897"/>
        <v>SISTEMA DE DIAGNÓSTICO POR IMAGEM</v>
      </c>
      <c r="C10188" s="2" t="str">
        <f t="shared" si="898"/>
        <v>DIAGN</v>
      </c>
      <c r="D10188" s="2" t="str">
        <f t="shared" si="899"/>
        <v>PSDI</v>
      </c>
      <c r="E10188" s="2" t="str">
        <f>"LAUDO - HOSPITAL MV SISTEMAS"</f>
        <v>LAUDO - HOSPITAL MV SISTEMAS</v>
      </c>
      <c r="F10188" s="2" t="str">
        <f>"M_LAU_EXA_DOC"</f>
        <v>M_LAU_EXA_DOC</v>
      </c>
      <c r="G10188" s="2" t="str">
        <f>" ()"</f>
        <v xml:space="preserve"> ()</v>
      </c>
    </row>
    <row r="10189" spans="1:7" x14ac:dyDescent="0.3">
      <c r="A10189" s="1" t="s">
        <v>4</v>
      </c>
      <c r="B10189" s="2" t="str">
        <f t="shared" si="897"/>
        <v>SISTEMA DE DIAGNÓSTICO POR IMAGEM</v>
      </c>
      <c r="C10189" s="2" t="str">
        <f t="shared" si="898"/>
        <v>DIAGN</v>
      </c>
      <c r="D10189" s="2" t="str">
        <f t="shared" si="899"/>
        <v>PSDI</v>
      </c>
      <c r="E10189" s="2" t="str">
        <f>"CONSULTA DE PEDIDOS DE EXAMES EXCLUÍDOS"</f>
        <v>CONSULTA DE PEDIDOS DE EXAMES EXCLUÍDOS</v>
      </c>
      <c r="F10189" s="2" t="str">
        <f>"C_PED_EXA_EXC"</f>
        <v>C_PED_EXA_EXC</v>
      </c>
      <c r="G10189" s="2" t="str">
        <f>"Diagnóstico e Terapia / Diagnóstico por Imagem / Consultas / Pedidos de Exames Excluídos (C_PED_EXA_EXC)"</f>
        <v>Diagnóstico e Terapia / Diagnóstico por Imagem / Consultas / Pedidos de Exames Excluídos (C_PED_EXA_EXC)</v>
      </c>
    </row>
    <row r="10190" spans="1:7" x14ac:dyDescent="0.3">
      <c r="A10190" s="1" t="s">
        <v>4</v>
      </c>
      <c r="B10190" s="2" t="str">
        <f t="shared" si="897"/>
        <v>SISTEMA DE DIAGNÓSTICO POR IMAGEM</v>
      </c>
      <c r="C10190" s="2" t="str">
        <f t="shared" si="898"/>
        <v>DIAGN</v>
      </c>
      <c r="D10190" s="2" t="str">
        <f t="shared" si="899"/>
        <v>PSDI</v>
      </c>
      <c r="E10190" s="2" t="str">
        <f>"CONSULTA DE LAUDOS EXCLUÍDOS"</f>
        <v>CONSULTA DE LAUDOS EXCLUÍDOS</v>
      </c>
      <c r="F10190" s="2" t="str">
        <f>"C_LAUDO_RX_EXC"</f>
        <v>C_LAUDO_RX_EXC</v>
      </c>
      <c r="G10190" s="2" t="str">
        <f>"Diagnóstico e Terapia / Diagnóstico por Imagem / Consultas / Laudos Excluídos (C_LAUDO_RX_EXC)"</f>
        <v>Diagnóstico e Terapia / Diagnóstico por Imagem / Consultas / Laudos Excluídos (C_LAUDO_RX_EXC)</v>
      </c>
    </row>
    <row r="10191" spans="1:7" x14ac:dyDescent="0.3">
      <c r="A10191" s="1" t="s">
        <v>4</v>
      </c>
      <c r="B10191" s="2" t="str">
        <f t="shared" si="897"/>
        <v>SISTEMA DE DIAGNÓSTICO POR IMAGEM</v>
      </c>
      <c r="C10191" s="2" t="str">
        <f t="shared" si="898"/>
        <v>DIAGN</v>
      </c>
      <c r="D10191" s="2" t="str">
        <f t="shared" si="899"/>
        <v>PSDI</v>
      </c>
      <c r="E10191" s="2" t="str">
        <f>"CONSULTA DE EXAMES"</f>
        <v>CONSULTA DE EXAMES</v>
      </c>
      <c r="F10191" s="2" t="str">
        <f>"M_CAB_ROD_LAUDO_PSDI"</f>
        <v>M_CAB_ROD_LAUDO_PSDI</v>
      </c>
      <c r="G10191" s="2" t="str">
        <f>"Diagnóstico e Terapia / Diagnóstico por Imagem / Configurações / Variáveis de Cabeçalho e Rodapé do Laudo (M_CAB_ROD_LAUDO_PSDI)"</f>
        <v>Diagnóstico e Terapia / Diagnóstico por Imagem / Configurações / Variáveis de Cabeçalho e Rodapé do Laudo (M_CAB_ROD_LAUDO_PSDI)</v>
      </c>
    </row>
    <row r="10192" spans="1:7" x14ac:dyDescent="0.3">
      <c r="A10192" s="1" t="s">
        <v>4</v>
      </c>
      <c r="B10192" s="2" t="str">
        <f t="shared" si="897"/>
        <v>SISTEMA DE DIAGNÓSTICO POR IMAGEM</v>
      </c>
      <c r="C10192" s="2" t="str">
        <f t="shared" si="898"/>
        <v>DIAGN</v>
      </c>
      <c r="D10192" s="2" t="str">
        <f t="shared" si="899"/>
        <v>PSDI</v>
      </c>
      <c r="E10192" s="2" t="str">
        <f>"CADASTRO DE EXAMES"</f>
        <v>CADASTRO DE EXAMES</v>
      </c>
      <c r="F10192" s="2" t="str">
        <f>"M_PROCEDMICRODATA"</f>
        <v>M_PROCEDMICRODATA</v>
      </c>
      <c r="G10192" s="2" t="str">
        <f>"Diagnóstico e Terapia / Diagnóstico por Imagem / Tabelas / Procedimento X Tipo de Exame (Microdata) (M_PROCEDMICRODATA)"</f>
        <v>Diagnóstico e Terapia / Diagnóstico por Imagem / Tabelas / Procedimento X Tipo de Exame (Microdata) (M_PROCEDMICRODATA)</v>
      </c>
    </row>
    <row r="10193" spans="1:7" x14ac:dyDescent="0.3">
      <c r="A10193" s="1" t="s">
        <v>4</v>
      </c>
      <c r="B10193" s="2" t="str">
        <f t="shared" si="897"/>
        <v>SISTEMA DE DIAGNÓSTICO POR IMAGEM</v>
      </c>
      <c r="C10193" s="2" t="str">
        <f t="shared" si="898"/>
        <v>DIAGN</v>
      </c>
      <c r="D10193" s="2" t="str">
        <f t="shared" si="899"/>
        <v>PSDI</v>
      </c>
      <c r="E10193" s="2" t="str">
        <f>"RELATÓRIO DE PEDIDOS DE EXAMES EXCLUÍDOS"</f>
        <v>RELATÓRIO DE PEDIDOS DE EXAMES EXCLUÍDOS</v>
      </c>
      <c r="F10193" s="2" t="str">
        <f>"R_PEDIDO_EXCLUIDO"</f>
        <v>R_PEDIDO_EXCLUIDO</v>
      </c>
      <c r="G10193" s="2" t="str">
        <f>"Diagnóstico e Terapia / Diagnóstico por Imagem / Relatórios / Operacionais / Pedidos de Exames Excluídos (R_PEDIDO_EXCLUIDO)"</f>
        <v>Diagnóstico e Terapia / Diagnóstico por Imagem / Relatórios / Operacionais / Pedidos de Exames Excluídos (R_PEDIDO_EXCLUIDO)</v>
      </c>
    </row>
    <row r="10194" spans="1:7" x14ac:dyDescent="0.3">
      <c r="A10194" s="1" t="s">
        <v>4</v>
      </c>
      <c r="B10194" s="2" t="str">
        <f t="shared" si="897"/>
        <v>SISTEMA DE DIAGNÓSTICO POR IMAGEM</v>
      </c>
      <c r="C10194" s="2" t="str">
        <f t="shared" si="898"/>
        <v>DIAGN</v>
      </c>
      <c r="D10194" s="2" t="str">
        <f t="shared" si="899"/>
        <v>PSDI</v>
      </c>
      <c r="E10194" s="2" t="str">
        <f>"RELATÓRIO DE LAUDOS EXCLUÍDOS"</f>
        <v>RELATÓRIO DE LAUDOS EXCLUÍDOS</v>
      </c>
      <c r="F10194" s="2" t="str">
        <f>"R_LAUDO_EXCLUIDO"</f>
        <v>R_LAUDO_EXCLUIDO</v>
      </c>
      <c r="G10194" s="2" t="str">
        <f>"Diagnóstico e Terapia / Diagnóstico por Imagem / Relatórios / Operacionais / Laudos Excluídos (R_LAUDO_EXCLUIDO)"</f>
        <v>Diagnóstico e Terapia / Diagnóstico por Imagem / Relatórios / Operacionais / Laudos Excluídos (R_LAUDO_EXCLUIDO)</v>
      </c>
    </row>
    <row r="10195" spans="1:7" x14ac:dyDescent="0.3">
      <c r="A10195" s="1" t="s">
        <v>4</v>
      </c>
      <c r="B10195" s="2" t="str">
        <f t="shared" si="897"/>
        <v>SISTEMA DE DIAGNÓSTICO POR IMAGEM</v>
      </c>
      <c r="C10195" s="2" t="str">
        <f t="shared" si="898"/>
        <v>DIAGN</v>
      </c>
      <c r="D10195" s="2" t="str">
        <f t="shared" si="899"/>
        <v>PSDI</v>
      </c>
      <c r="E10195" s="2" t="str">
        <f>"SETORES DE EXAMES - IMAGEM"</f>
        <v>SETORES DE EXAMES - IMAGEM</v>
      </c>
      <c r="F10195" s="2" t="str">
        <f>"M_SETEXA_PSDI"</f>
        <v>M_SETEXA_PSDI</v>
      </c>
      <c r="G10195" s="2" t="str">
        <f>"Diagnóstico e Terapia / Diagnóstico por Imagem / Tabelas / Setores de exames (M_SETEXA_PSDI)"</f>
        <v>Diagnóstico e Terapia / Diagnóstico por Imagem / Tabelas / Setores de exames (M_SETEXA_PSDI)</v>
      </c>
    </row>
    <row r="10196" spans="1:7" x14ac:dyDescent="0.3">
      <c r="A10196" s="1" t="s">
        <v>4</v>
      </c>
      <c r="B10196" s="2" t="str">
        <f t="shared" si="897"/>
        <v>SISTEMA DE DIAGNÓSTICO POR IMAGEM</v>
      </c>
      <c r="C10196" s="2" t="str">
        <f t="shared" si="898"/>
        <v>DIAGN</v>
      </c>
      <c r="D10196" s="2" t="str">
        <f t="shared" si="899"/>
        <v>PSDI</v>
      </c>
      <c r="E10196" s="2" t="str">
        <f>"RECEPÇÃO - CENTRAL DE MARCAÇÕES - IMAGEM"</f>
        <v>RECEPÇÃO - CENTRAL DE MARCAÇÕES - IMAGEM</v>
      </c>
      <c r="F10196" s="2" t="str">
        <f>"M_RECEPCAO_AGENDA_PSDI"</f>
        <v>M_RECEPCAO_AGENDA_PSDI</v>
      </c>
      <c r="G10196" s="2" t="str">
        <f>"Diagnóstico e Terapia / Diagnóstico por Imagem / Atendimentos / Recepção - Central Marcações - Imagem (M_RECEPCAO_AGENDA_PSDI)"</f>
        <v>Diagnóstico e Terapia / Diagnóstico por Imagem / Atendimentos / Recepção - Central Marcações - Imagem (M_RECEPCAO_AGENDA_PSDI)</v>
      </c>
    </row>
    <row r="10197" spans="1:7" x14ac:dyDescent="0.3">
      <c r="A10197" s="1" t="s">
        <v>4</v>
      </c>
      <c r="B10197" s="2" t="str">
        <f t="shared" si="897"/>
        <v>SISTEMA DE DIAGNÓSTICO POR IMAGEM</v>
      </c>
      <c r="C10197" s="2" t="str">
        <f t="shared" si="898"/>
        <v>DIAGN</v>
      </c>
      <c r="D10197" s="2" t="str">
        <f t="shared" si="899"/>
        <v>PSDI</v>
      </c>
      <c r="E10197" s="2" t="str">
        <f>"GRÁFICO DE PEDIDOS DE EXAMES POR DIA"</f>
        <v>GRÁFICO DE PEDIDOS DE EXAMES POR DIA</v>
      </c>
      <c r="F10197" s="2" t="str">
        <f>"R_GRAFICO_PED_RX"</f>
        <v>R_GRAFICO_PED_RX</v>
      </c>
      <c r="G10197" s="2" t="str">
        <f>"Diagnóstico e Terapia / Diagnóstico por Imagem / Relatórios / Gráficos / Pedidos de Exames (R_GRAFICO_PED_RX)"</f>
        <v>Diagnóstico e Terapia / Diagnóstico por Imagem / Relatórios / Gráficos / Pedidos de Exames (R_GRAFICO_PED_RX)</v>
      </c>
    </row>
    <row r="10198" spans="1:7" x14ac:dyDescent="0.3">
      <c r="A10198" s="1" t="s">
        <v>4</v>
      </c>
      <c r="B10198" s="2" t="str">
        <f t="shared" si="897"/>
        <v>SISTEMA DE DIAGNÓSTICO POR IMAGEM</v>
      </c>
      <c r="C10198" s="2" t="str">
        <f t="shared" si="898"/>
        <v>DIAGN</v>
      </c>
      <c r="D10198" s="2" t="str">
        <f t="shared" si="899"/>
        <v>PSDI</v>
      </c>
      <c r="E10198" s="2" t="str">
        <f>"R_EXA_MED_EXE"</f>
        <v>R_EXA_MED_EXE</v>
      </c>
      <c r="F10198" s="2" t="str">
        <f>"R_EXA_MED_EXE"</f>
        <v>R_EXA_MED_EXE</v>
      </c>
      <c r="G10198" s="2" t="str">
        <f>" ()"</f>
        <v xml:space="preserve"> ()</v>
      </c>
    </row>
    <row r="10199" spans="1:7" x14ac:dyDescent="0.3">
      <c r="A10199" s="1" t="s">
        <v>4</v>
      </c>
      <c r="B10199" s="2" t="str">
        <f t="shared" si="897"/>
        <v>SISTEMA DE DIAGNÓSTICO POR IMAGEM</v>
      </c>
      <c r="C10199" s="2" t="str">
        <f t="shared" si="898"/>
        <v>DIAGN</v>
      </c>
      <c r="D10199" s="2" t="str">
        <f t="shared" si="899"/>
        <v>PSDI</v>
      </c>
      <c r="E10199" s="2" t="str">
        <f>"EXCLUSÃO DE PEDIDOS DE RAIO X"</f>
        <v>EXCLUSÃO DE PEDIDOS DE RAIO X</v>
      </c>
      <c r="F10199" s="2" t="str">
        <f>"M_EXC_PED_RX"</f>
        <v>M_EXC_PED_RX</v>
      </c>
      <c r="G10199" s="2" t="str">
        <f>"Diagnóstico e Terapia / Diagnóstico por Imagem / Atendimentos / Exclusões / Pedido de Exames (M_EXC_PED_RX)"</f>
        <v>Diagnóstico e Terapia / Diagnóstico por Imagem / Atendimentos / Exclusões / Pedido de Exames (M_EXC_PED_RX)</v>
      </c>
    </row>
    <row r="10200" spans="1:7" x14ac:dyDescent="0.3">
      <c r="A10200" s="1" t="s">
        <v>4</v>
      </c>
      <c r="B10200" s="2" t="str">
        <f t="shared" si="897"/>
        <v>SISTEMA DE DIAGNÓSTICO POR IMAGEM</v>
      </c>
      <c r="C10200" s="2" t="str">
        <f t="shared" si="898"/>
        <v>DIAGN</v>
      </c>
      <c r="D10200" s="2" t="str">
        <f t="shared" si="899"/>
        <v>PSDI</v>
      </c>
      <c r="E10200" s="2" t="str">
        <f>"CONSULTA DE EXAMES SOLICITADOS"</f>
        <v>CONSULTA DE EXAMES SOLICITADOS</v>
      </c>
      <c r="F10200" s="2" t="str">
        <f>"C_EXA_SOL"</f>
        <v>C_EXA_SOL</v>
      </c>
      <c r="G10200" s="2" t="str">
        <f>"Clínica e Assistencial / Controle de Infecção Hospitalar / Consultas / Exames de Imagem / Exames Solicitados (C_EXA_SOL)"</f>
        <v>Clínica e Assistencial / Controle de Infecção Hospitalar / Consultas / Exames de Imagem / Exames Solicitados (C_EXA_SOL)</v>
      </c>
    </row>
    <row r="10201" spans="1:7" x14ac:dyDescent="0.3">
      <c r="A10201" s="1" t="s">
        <v>4</v>
      </c>
      <c r="B10201" s="2" t="str">
        <f t="shared" si="897"/>
        <v>SISTEMA DE DIAGNÓSTICO POR IMAGEM</v>
      </c>
      <c r="C10201" s="2" t="str">
        <f t="shared" si="898"/>
        <v>DIAGN</v>
      </c>
      <c r="D10201" s="2" t="str">
        <f t="shared" si="899"/>
        <v>PSDI</v>
      </c>
      <c r="E10201" s="2" t="str">
        <f>"CONSULTA DE EXAMES SOLICITADOS"</f>
        <v>CONSULTA DE EXAMES SOLICITADOS</v>
      </c>
      <c r="F10201" s="2" t="str">
        <f>"C_EXA_SOL"</f>
        <v>C_EXA_SOL</v>
      </c>
      <c r="G10201" s="2" t="str">
        <f>"Diagnóstico e Terapia / Diagnóstico por Imagem / Consultas / Exames Solicitados (C_EXA_SOL)"</f>
        <v>Diagnóstico e Terapia / Diagnóstico por Imagem / Consultas / Exames Solicitados (C_EXA_SOL)</v>
      </c>
    </row>
    <row r="10202" spans="1:7" x14ac:dyDescent="0.3">
      <c r="A10202" s="1" t="s">
        <v>4</v>
      </c>
      <c r="B10202" s="2" t="str">
        <f t="shared" si="897"/>
        <v>SISTEMA DE DIAGNÓSTICO POR IMAGEM</v>
      </c>
      <c r="C10202" s="2" t="str">
        <f t="shared" si="898"/>
        <v>DIAGN</v>
      </c>
      <c r="D10202" s="2" t="str">
        <f t="shared" si="899"/>
        <v>PSDI</v>
      </c>
      <c r="E10202" s="2" t="str">
        <f>"PRODUTOS POR FORNECEDOR"</f>
        <v>PRODUTOS POR FORNECEDOR</v>
      </c>
      <c r="F10202" s="2" t="str">
        <f>"M_PROD_FORN"</f>
        <v>M_PROD_FORN</v>
      </c>
      <c r="G10202" s="2" t="str">
        <f>"Atendimento / Internação Domiciliar (Home Care) / Tabelas / Produtos por Fornecedor (M_PROD_FORN)"</f>
        <v>Atendimento / Internação Domiciliar (Home Care) / Tabelas / Produtos por Fornecedor (M_PROD_FORN)</v>
      </c>
    </row>
    <row r="10203" spans="1:7" x14ac:dyDescent="0.3">
      <c r="A10203" s="1" t="s">
        <v>4</v>
      </c>
      <c r="B10203" s="2" t="str">
        <f t="shared" si="897"/>
        <v>SISTEMA DE DIAGNÓSTICO POR IMAGEM</v>
      </c>
      <c r="C10203" s="2" t="str">
        <f t="shared" si="898"/>
        <v>DIAGN</v>
      </c>
      <c r="D10203" s="2" t="str">
        <f t="shared" si="899"/>
        <v>PSDI</v>
      </c>
      <c r="E10203" s="2" t="str">
        <f>"COMPROVANTE DE ENTREGA DE EXAMES (LAUDOS"</f>
        <v>COMPROVANTE DE ENTREGA DE EXAMES (LAUDOS</v>
      </c>
      <c r="F10203" s="2" t="str">
        <f>"R_EXAMENT"</f>
        <v>R_EXAMENT</v>
      </c>
      <c r="G10203" s="2" t="str">
        <f>" ()"</f>
        <v xml:space="preserve"> ()</v>
      </c>
    </row>
    <row r="10204" spans="1:7" x14ac:dyDescent="0.3">
      <c r="A10204" s="1" t="s">
        <v>4</v>
      </c>
      <c r="B10204" s="2" t="str">
        <f t="shared" si="897"/>
        <v>SISTEMA DE DIAGNÓSTICO POR IMAGEM</v>
      </c>
      <c r="C10204" s="2" t="str">
        <f t="shared" si="898"/>
        <v>DIAGN</v>
      </c>
      <c r="D10204" s="2" t="str">
        <f t="shared" si="899"/>
        <v>PSDI</v>
      </c>
      <c r="E10204" s="2" t="str">
        <f>"COMPROVANTE DE AGENDAMENTO"</f>
        <v>COMPROVANTE DE AGENDAMENTO</v>
      </c>
      <c r="F10204" s="2" t="str">
        <f>"R_COMAGE.REP"</f>
        <v>R_COMAGE.REP</v>
      </c>
      <c r="G10204" s="2" t="str">
        <f>" ()"</f>
        <v xml:space="preserve"> ()</v>
      </c>
    </row>
    <row r="10205" spans="1:7" x14ac:dyDescent="0.3">
      <c r="A10205" s="1" t="s">
        <v>4</v>
      </c>
      <c r="B10205" s="2" t="str">
        <f t="shared" si="897"/>
        <v>SISTEMA DE DIAGNÓSTICO POR IMAGEM</v>
      </c>
      <c r="C10205" s="2" t="str">
        <f t="shared" si="898"/>
        <v>DIAGN</v>
      </c>
      <c r="D10205" s="2" t="str">
        <f t="shared" si="899"/>
        <v>PSDI</v>
      </c>
      <c r="E10205" s="2" t="str">
        <f>"RECURSOS"</f>
        <v>RECURSOS</v>
      </c>
      <c r="F10205" s="2" t="str">
        <f>"M_RECURSO"</f>
        <v>M_RECURSO</v>
      </c>
      <c r="G10205" s="2" t="str">
        <f>"Diagnóstico e Terapia / Diagnóstico por Imagem / Agendamentos / Recurso (M_RECURSO)"</f>
        <v>Diagnóstico e Terapia / Diagnóstico por Imagem / Agendamentos / Recurso (M_RECURSO)</v>
      </c>
    </row>
    <row r="10206" spans="1:7" x14ac:dyDescent="0.3">
      <c r="A10206" s="1" t="s">
        <v>4</v>
      </c>
      <c r="B10206" s="2" t="str">
        <f t="shared" si="897"/>
        <v>SISTEMA DE DIAGNÓSTICO POR IMAGEM</v>
      </c>
      <c r="C10206" s="2" t="str">
        <f t="shared" si="898"/>
        <v>DIAGN</v>
      </c>
      <c r="D10206" s="2" t="str">
        <f t="shared" si="899"/>
        <v>PSDI</v>
      </c>
      <c r="E10206" s="2" t="str">
        <f>"ESCALA DE PLANTAO"</f>
        <v>ESCALA DE PLANTAO</v>
      </c>
      <c r="F10206" s="2" t="str">
        <f>"M_ESCALA"</f>
        <v>M_ESCALA</v>
      </c>
      <c r="G10206" s="2" t="str">
        <f>"Diagnóstico e Terapia / Diagnóstico por Imagem / Agendamentos / Escala (M_ESCALA)"</f>
        <v>Diagnóstico e Terapia / Diagnóstico por Imagem / Agendamentos / Escala (M_ESCALA)</v>
      </c>
    </row>
    <row r="10207" spans="1:7" x14ac:dyDescent="0.3">
      <c r="A10207" s="1" t="s">
        <v>4</v>
      </c>
      <c r="B10207" s="2" t="str">
        <f t="shared" si="897"/>
        <v>SISTEMA DE DIAGNÓSTICO POR IMAGEM</v>
      </c>
      <c r="C10207" s="2" t="str">
        <f t="shared" si="898"/>
        <v>DIAGN</v>
      </c>
      <c r="D10207" s="2" t="str">
        <f t="shared" si="899"/>
        <v>PSDI</v>
      </c>
      <c r="E10207" s="2" t="str">
        <f>"RELATORIO DE GASTOSPADRAO"</f>
        <v>RELATORIO DE GASTOSPADRAO</v>
      </c>
      <c r="F10207" s="2" t="str">
        <f>"R_GASEXA"</f>
        <v>R_GASEXA</v>
      </c>
      <c r="G10207" s="2" t="str">
        <f>"Diagnóstico e Terapia / Diagnóstico por Imagem / Relatórios / Tabelas / Gastos Padrão (R_GASEXA)"</f>
        <v>Diagnóstico e Terapia / Diagnóstico por Imagem / Relatórios / Tabelas / Gastos Padrão (R_GASEXA)</v>
      </c>
    </row>
    <row r="10208" spans="1:7" x14ac:dyDescent="0.3">
      <c r="A10208" s="1" t="s">
        <v>4</v>
      </c>
      <c r="B10208" s="2" t="str">
        <f t="shared" si="897"/>
        <v>SISTEMA DE DIAGNÓSTICO POR IMAGEM</v>
      </c>
      <c r="C10208" s="2" t="str">
        <f t="shared" si="898"/>
        <v>DIAGN</v>
      </c>
      <c r="D10208" s="2" t="str">
        <f t="shared" si="899"/>
        <v>PSDI</v>
      </c>
      <c r="E10208" s="2" t="str">
        <f>"REL. ESTATÍSTICO DE EXAMES POR MEDICOS"</f>
        <v>REL. ESTATÍSTICO DE EXAMES POR MEDICOS</v>
      </c>
      <c r="F10208" s="2" t="str">
        <f>"R_ESTAT_MED"</f>
        <v>R_ESTAT_MED</v>
      </c>
      <c r="G10208" s="2" t="str">
        <f>"Diagnóstico e Terapia / Diagnóstico por Imagem / Relatórios / Estatísticos / Exames / Por Médico Solicitante (R_ESTAT_MED)"</f>
        <v>Diagnóstico e Terapia / Diagnóstico por Imagem / Relatórios / Estatísticos / Exames / Por Médico Solicitante (R_ESTAT_MED)</v>
      </c>
    </row>
    <row r="10209" spans="1:7" x14ac:dyDescent="0.3">
      <c r="A10209" s="1" t="s">
        <v>4</v>
      </c>
      <c r="B10209" s="2" t="str">
        <f t="shared" si="897"/>
        <v>SISTEMA DE DIAGNÓSTICO POR IMAGEM</v>
      </c>
      <c r="C10209" s="2" t="str">
        <f t="shared" si="898"/>
        <v>DIAGN</v>
      </c>
      <c r="D10209" s="2" t="str">
        <f t="shared" si="899"/>
        <v>PSDI</v>
      </c>
      <c r="E10209" s="2" t="str">
        <f>"REL. ESTATÍSTICO DE EXAMES POR CONVENIO"</f>
        <v>REL. ESTATÍSTICO DE EXAMES POR CONVENIO</v>
      </c>
      <c r="F10209" s="2" t="str">
        <f>"R_ESTAT_CON"</f>
        <v>R_ESTAT_CON</v>
      </c>
      <c r="G10209" s="2" t="str">
        <f>"Diagnóstico e Terapia / Diagnóstico por Imagem / Relatórios / Estatísticos / Exames / Por Convênio (R_ESTAT_CON)"</f>
        <v>Diagnóstico e Terapia / Diagnóstico por Imagem / Relatórios / Estatísticos / Exames / Por Convênio (R_ESTAT_CON)</v>
      </c>
    </row>
    <row r="10210" spans="1:7" x14ac:dyDescent="0.3">
      <c r="A10210" s="1" t="s">
        <v>4</v>
      </c>
      <c r="B10210" s="2" t="str">
        <f t="shared" si="897"/>
        <v>SISTEMA DE DIAGNÓSTICO POR IMAGEM</v>
      </c>
      <c r="C10210" s="2" t="str">
        <f t="shared" si="898"/>
        <v>DIAGN</v>
      </c>
      <c r="D10210" s="2" t="str">
        <f t="shared" si="899"/>
        <v>PSDI</v>
      </c>
      <c r="E10210" s="2" t="str">
        <f>"REL. ESTATISTICO DE EXAMES POR SETOR"</f>
        <v>REL. ESTATISTICO DE EXAMES POR SETOR</v>
      </c>
      <c r="F10210" s="2" t="str">
        <f>"R_ESTAT_SET"</f>
        <v>R_ESTAT_SET</v>
      </c>
      <c r="G10210" s="2" t="str">
        <f>"Diagnóstico e Terapia / Diagnóstico por Imagem / Relatórios / Estatísticos / Exames / Por Setor Solicitante (R_ESTAT_SET)"</f>
        <v>Diagnóstico e Terapia / Diagnóstico por Imagem / Relatórios / Estatísticos / Exames / Por Setor Solicitante (R_ESTAT_SET)</v>
      </c>
    </row>
    <row r="10211" spans="1:7" x14ac:dyDescent="0.3">
      <c r="A10211" s="1" t="s">
        <v>4</v>
      </c>
      <c r="B10211" s="2" t="str">
        <f t="shared" si="897"/>
        <v>SISTEMA DE DIAGNÓSTICO POR IMAGEM</v>
      </c>
      <c r="C10211" s="2" t="str">
        <f t="shared" si="898"/>
        <v>DIAGN</v>
      </c>
      <c r="D10211" s="2" t="str">
        <f t="shared" si="899"/>
        <v>PSDI</v>
      </c>
      <c r="E10211" s="2" t="str">
        <f>"EMISSÃO DE LAUDOS"</f>
        <v>EMISSÃO DE LAUDOS</v>
      </c>
      <c r="F10211" s="2" t="str">
        <f>"R_LAU_EMI"</f>
        <v>R_LAU_EMI</v>
      </c>
      <c r="G10211" s="2" t="str">
        <f>"Diagnóstico e Terapia / Diagnóstico por Imagem / Relatórios / Operacionais / Emissão de Laudos (Laudo) (R_LAU_EMI)"</f>
        <v>Diagnóstico e Terapia / Diagnóstico por Imagem / Relatórios / Operacionais / Emissão de Laudos (Laudo) (R_LAU_EMI)</v>
      </c>
    </row>
    <row r="10212" spans="1:7" x14ac:dyDescent="0.3">
      <c r="A10212" s="1" t="s">
        <v>4</v>
      </c>
      <c r="B10212" s="2" t="str">
        <f t="shared" si="897"/>
        <v>SISTEMA DE DIAGNÓSTICO POR IMAGEM</v>
      </c>
      <c r="C10212" s="2" t="str">
        <f t="shared" si="898"/>
        <v>DIAGN</v>
      </c>
      <c r="D10212" s="2" t="str">
        <f t="shared" si="899"/>
        <v>PSDI</v>
      </c>
      <c r="E10212" s="2" t="str">
        <f>"CONFIRMAÇÃO DE REALIZAÇÃO DE EXAMES"</f>
        <v>CONFIRMAÇÃO DE REALIZAÇÃO DE EXAMES</v>
      </c>
      <c r="F10212" s="2" t="str">
        <f>"O_CONF_EXA_RX"</f>
        <v>O_CONF_EXA_RX</v>
      </c>
      <c r="G10212" s="2" t="str">
        <f>"Diagnóstico e Terapia / Diagnóstico por Imagem / Atendimentos / Confirmação de Exames Realizados (O_CONF_EXA_RX)"</f>
        <v>Diagnóstico e Terapia / Diagnóstico por Imagem / Atendimentos / Confirmação de Exames Realizados (O_CONF_EXA_RX)</v>
      </c>
    </row>
    <row r="10213" spans="1:7" x14ac:dyDescent="0.3">
      <c r="A10213" s="1" t="s">
        <v>4</v>
      </c>
      <c r="B10213" s="2" t="str">
        <f t="shared" si="897"/>
        <v>SISTEMA DE DIAGNÓSTICO POR IMAGEM</v>
      </c>
      <c r="C10213" s="2" t="str">
        <f t="shared" si="898"/>
        <v>DIAGN</v>
      </c>
      <c r="D10213" s="2" t="str">
        <f t="shared" si="899"/>
        <v>PSDI</v>
      </c>
      <c r="E10213" s="2" t="str">
        <f>"EMISSÃO DE LAUDOS"</f>
        <v>EMISSÃO DE LAUDOS</v>
      </c>
      <c r="F10213" s="2" t="str">
        <f>"R_LAU_EMI.REP"</f>
        <v>R_LAU_EMI.REP</v>
      </c>
      <c r="G10213" s="2" t="str">
        <f>" ()"</f>
        <v xml:space="preserve"> ()</v>
      </c>
    </row>
    <row r="10214" spans="1:7" x14ac:dyDescent="0.3">
      <c r="A10214" s="1" t="s">
        <v>4</v>
      </c>
      <c r="B10214" s="2" t="str">
        <f t="shared" si="897"/>
        <v>SISTEMA DE DIAGNÓSTICO POR IMAGEM</v>
      </c>
      <c r="C10214" s="2" t="str">
        <f t="shared" si="898"/>
        <v>DIAGN</v>
      </c>
      <c r="D10214" s="2" t="str">
        <f t="shared" si="899"/>
        <v>PSDI</v>
      </c>
      <c r="E10214" s="2" t="str">
        <f>"RELATORIO DE EXAMES REALIZADOS"</f>
        <v>RELATORIO DE EXAMES REALIZADOS</v>
      </c>
      <c r="F10214" s="2" t="str">
        <f>"R_REAEXA_PSDI"</f>
        <v>R_REAEXA_PSDI</v>
      </c>
      <c r="G10214" s="2" t="str">
        <f>" ()"</f>
        <v xml:space="preserve"> ()</v>
      </c>
    </row>
    <row r="10215" spans="1:7" x14ac:dyDescent="0.3">
      <c r="A10215" s="1" t="s">
        <v>4</v>
      </c>
      <c r="B10215" s="2" t="str">
        <f t="shared" si="897"/>
        <v>SISTEMA DE DIAGNÓSTICO POR IMAGEM</v>
      </c>
      <c r="C10215" s="2" t="str">
        <f t="shared" si="898"/>
        <v>DIAGN</v>
      </c>
      <c r="D10215" s="2" t="str">
        <f t="shared" si="899"/>
        <v>PSDI</v>
      </c>
      <c r="E10215" s="2" t="str">
        <f>"RELATORIO DE EXAMES SOLICITADOS"</f>
        <v>RELATORIO DE EXAMES SOLICITADOS</v>
      </c>
      <c r="F10215" s="2" t="str">
        <f>"R_SOLEXA_PSDI"</f>
        <v>R_SOLEXA_PSDI</v>
      </c>
      <c r="G10215" s="2" t="str">
        <f>" ()"</f>
        <v xml:space="preserve"> ()</v>
      </c>
    </row>
    <row r="10216" spans="1:7" x14ac:dyDescent="0.3">
      <c r="A10216" s="1" t="s">
        <v>4</v>
      </c>
      <c r="B10216" s="2" t="str">
        <f t="shared" si="897"/>
        <v>SISTEMA DE DIAGNÓSTICO POR IMAGEM</v>
      </c>
      <c r="C10216" s="2" t="str">
        <f t="shared" si="898"/>
        <v>DIAGN</v>
      </c>
      <c r="D10216" s="2" t="str">
        <f t="shared" si="899"/>
        <v>PSDI</v>
      </c>
      <c r="E10216" s="2" t="str">
        <f>"CONSULTA DE LAUDOS ENTREGUES"</f>
        <v>CONSULTA DE LAUDOS ENTREGUES</v>
      </c>
      <c r="F10216" s="2" t="str">
        <f>"C_ENT_LAUDO"</f>
        <v>C_ENT_LAUDO</v>
      </c>
      <c r="G10216" s="2" t="str">
        <f>"Diagnóstico e Terapia / Diagnóstico por Imagem / Consultas / Laudos Entregues (C_ENT_LAUDO)"</f>
        <v>Diagnóstico e Terapia / Diagnóstico por Imagem / Consultas / Laudos Entregues (C_ENT_LAUDO)</v>
      </c>
    </row>
    <row r="10217" spans="1:7" x14ac:dyDescent="0.3">
      <c r="A10217" s="1" t="s">
        <v>4</v>
      </c>
      <c r="B10217" s="2" t="str">
        <f t="shared" si="897"/>
        <v>SISTEMA DE DIAGNÓSTICO POR IMAGEM</v>
      </c>
      <c r="C10217" s="2" t="str">
        <f t="shared" si="898"/>
        <v>DIAGN</v>
      </c>
      <c r="D10217" s="2" t="str">
        <f t="shared" si="899"/>
        <v>PSDI</v>
      </c>
      <c r="E10217" s="2" t="str">
        <f>"GERAÇÃO DE AGENDAMENTO"</f>
        <v>GERAÇÃO DE AGENDAMENTO</v>
      </c>
      <c r="F10217" s="2" t="str">
        <f>"F_GERAED"</f>
        <v>F_GERAED</v>
      </c>
      <c r="G10217" s="2" t="str">
        <f>"Diagnóstico e Terapia / Diagnóstico por Imagem / Agendamentos / Geração de Agenda (F_GERAED)"</f>
        <v>Diagnóstico e Terapia / Diagnóstico por Imagem / Agendamentos / Geração de Agenda (F_GERAED)</v>
      </c>
    </row>
    <row r="10218" spans="1:7" x14ac:dyDescent="0.3">
      <c r="A10218" s="1" t="s">
        <v>4</v>
      </c>
      <c r="B10218" s="2" t="str">
        <f t="shared" si="897"/>
        <v>SISTEMA DE DIAGNÓSTICO POR IMAGEM</v>
      </c>
      <c r="C10218" s="2" t="str">
        <f t="shared" si="898"/>
        <v>DIAGN</v>
      </c>
      <c r="D10218" s="2" t="str">
        <f t="shared" si="899"/>
        <v>PSDI</v>
      </c>
      <c r="E10218" s="2" t="str">
        <f>"EXAMES PENDENTES"</f>
        <v>EXAMES PENDENTES</v>
      </c>
      <c r="F10218" s="2" t="str">
        <f>"R_EXA_PEN"</f>
        <v>R_EXA_PEN</v>
      </c>
      <c r="G10218" s="2" t="str">
        <f>" ()"</f>
        <v xml:space="preserve"> ()</v>
      </c>
    </row>
    <row r="10219" spans="1:7" x14ac:dyDescent="0.3">
      <c r="A10219" s="1" t="s">
        <v>4</v>
      </c>
      <c r="B10219" s="2" t="str">
        <f t="shared" ref="B10219:B10282" si="900">"SISTEMA DE DIAGNÓSTICO POR IMAGEM"</f>
        <v>SISTEMA DE DIAGNÓSTICO POR IMAGEM</v>
      </c>
      <c r="C10219" s="2" t="str">
        <f t="shared" ref="C10219:C10282" si="901">"DIAGN"</f>
        <v>DIAGN</v>
      </c>
      <c r="D10219" s="2" t="str">
        <f t="shared" ref="D10219:D10282" si="902">"PSDI"</f>
        <v>PSDI</v>
      </c>
      <c r="E10219" s="2" t="str">
        <f>"EXAMES POR SETOR EXECUTANTE"</f>
        <v>EXAMES POR SETOR EXECUTANTE</v>
      </c>
      <c r="F10219" s="2" t="str">
        <f>"R_EXAME_SETOR"</f>
        <v>R_EXAME_SETOR</v>
      </c>
      <c r="G10219" s="2" t="str">
        <f>"Diagnóstico e Terapia / Diagnóstico por Imagem / Relatórios / Operacionais / Exames Solicitados / Por Setor Executante (R_EXAME_SETOR)"</f>
        <v>Diagnóstico e Terapia / Diagnóstico por Imagem / Relatórios / Operacionais / Exames Solicitados / Por Setor Executante (R_EXAME_SETOR)</v>
      </c>
    </row>
    <row r="10220" spans="1:7" x14ac:dyDescent="0.3">
      <c r="A10220" s="1" t="s">
        <v>4</v>
      </c>
      <c r="B10220" s="2" t="str">
        <f t="shared" si="900"/>
        <v>SISTEMA DE DIAGNÓSTICO POR IMAGEM</v>
      </c>
      <c r="C10220" s="2" t="str">
        <f t="shared" si="901"/>
        <v>DIAGN</v>
      </c>
      <c r="D10220" s="2" t="str">
        <f t="shared" si="902"/>
        <v>PSDI</v>
      </c>
      <c r="E10220" s="2" t="str">
        <f>"EXAMES POR PRESTADOR EXECUTANTE"</f>
        <v>EXAMES POR PRESTADOR EXECUTANTE</v>
      </c>
      <c r="F10220" s="2" t="str">
        <f>"R_EXAME_PRESTADOR"</f>
        <v>R_EXAME_PRESTADOR</v>
      </c>
      <c r="G10220" s="2" t="str">
        <f>"Diagnóstico e Terapia / Diagnóstico por Imagem / Relatórios / Operacionais / Exames Realizados / Por Prestador (R_EXAME_PRESTADOR)"</f>
        <v>Diagnóstico e Terapia / Diagnóstico por Imagem / Relatórios / Operacionais / Exames Realizados / Por Prestador (R_EXAME_PRESTADOR)</v>
      </c>
    </row>
    <row r="10221" spans="1:7" x14ac:dyDescent="0.3">
      <c r="A10221" s="1" t="s">
        <v>4</v>
      </c>
      <c r="B10221" s="2" t="str">
        <f t="shared" si="900"/>
        <v>SISTEMA DE DIAGNÓSTICO POR IMAGEM</v>
      </c>
      <c r="C10221" s="2" t="str">
        <f t="shared" si="901"/>
        <v>DIAGN</v>
      </c>
      <c r="D10221" s="2" t="str">
        <f t="shared" si="902"/>
        <v>PSDI</v>
      </c>
      <c r="E10221" s="2" t="str">
        <f>"RELATORIO DE EXAMES REALIZADOS"</f>
        <v>RELATORIO DE EXAMES REALIZADOS</v>
      </c>
      <c r="F10221" s="2" t="str">
        <f>"R_REAEXA"</f>
        <v>R_REAEXA</v>
      </c>
      <c r="G10221" s="2" t="str">
        <f>"Diagnóstico e Terapia / Diagnóstico por Imagem / Relatórios / Operacionais / Exames Realizados / Por Tipo de Atendimento (R_REAEXA)"</f>
        <v>Diagnóstico e Terapia / Diagnóstico por Imagem / Relatórios / Operacionais / Exames Realizados / Por Tipo de Atendimento (R_REAEXA)</v>
      </c>
    </row>
    <row r="10222" spans="1:7" x14ac:dyDescent="0.3">
      <c r="A10222" s="1" t="s">
        <v>4</v>
      </c>
      <c r="B10222" s="2" t="str">
        <f t="shared" si="900"/>
        <v>SISTEMA DE DIAGNÓSTICO POR IMAGEM</v>
      </c>
      <c r="C10222" s="2" t="str">
        <f t="shared" si="901"/>
        <v>DIAGN</v>
      </c>
      <c r="D10222" s="2" t="str">
        <f t="shared" si="902"/>
        <v>PSDI</v>
      </c>
      <c r="E10222" s="2" t="str">
        <f>"CONTROLE DE ENTREGA DE EXAME"</f>
        <v>CONTROLE DE ENTREGA DE EXAME</v>
      </c>
      <c r="F10222" s="2" t="str">
        <f>"M_CON_ENT"</f>
        <v>M_CON_ENT</v>
      </c>
      <c r="G10222" s="2" t="str">
        <f>" ()"</f>
        <v xml:space="preserve"> ()</v>
      </c>
    </row>
    <row r="10223" spans="1:7" x14ac:dyDescent="0.3">
      <c r="A10223" s="1" t="s">
        <v>4</v>
      </c>
      <c r="B10223" s="2" t="str">
        <f t="shared" si="900"/>
        <v>SISTEMA DE DIAGNÓSTICO POR IMAGEM</v>
      </c>
      <c r="C10223" s="2" t="str">
        <f t="shared" si="901"/>
        <v>DIAGN</v>
      </c>
      <c r="D10223" s="2" t="str">
        <f t="shared" si="902"/>
        <v>PSDI</v>
      </c>
      <c r="E10223" s="2" t="str">
        <f>"GASTO DO PACIENTE"</f>
        <v>GASTO DO PACIENTE</v>
      </c>
      <c r="F10223" s="2" t="str">
        <f>"GAS_PAC"</f>
        <v>GAS_PAC</v>
      </c>
      <c r="G10223" s="2" t="str">
        <f>"Diagnóstico e Terapia / Diagnóstico por Imagem / Atendimentos / Gastos do Exame (GAS_PAC)"</f>
        <v>Diagnóstico e Terapia / Diagnóstico por Imagem / Atendimentos / Gastos do Exame (GAS_PAC)</v>
      </c>
    </row>
    <row r="10224" spans="1:7" x14ac:dyDescent="0.3">
      <c r="A10224" s="1" t="s">
        <v>4</v>
      </c>
      <c r="B10224" s="2" t="str">
        <f t="shared" si="900"/>
        <v>SISTEMA DE DIAGNÓSTICO POR IMAGEM</v>
      </c>
      <c r="C10224" s="2" t="str">
        <f t="shared" si="901"/>
        <v>DIAGN</v>
      </c>
      <c r="D10224" s="2" t="str">
        <f t="shared" si="902"/>
        <v>PSDI</v>
      </c>
      <c r="E10224" s="2" t="str">
        <f>"AGENDAMENTO DE RADIODIAGNOSTICO"</f>
        <v>AGENDAMENTO DE RADIODIAGNOSTICO</v>
      </c>
      <c r="F10224" s="2" t="str">
        <f>"AGE_RX"</f>
        <v>AGE_RX</v>
      </c>
      <c r="G10224" s="2" t="str">
        <f>"Diagnóstico e Terapia / Diagnóstico por Imagem / Agendamentos / Agendamento (AGE_RX)"</f>
        <v>Diagnóstico e Terapia / Diagnóstico por Imagem / Agendamentos / Agendamento (AGE_RX)</v>
      </c>
    </row>
    <row r="10225" spans="1:7" x14ac:dyDescent="0.3">
      <c r="A10225" s="1" t="s">
        <v>4</v>
      </c>
      <c r="B10225" s="2" t="str">
        <f t="shared" si="900"/>
        <v>SISTEMA DE DIAGNÓSTICO POR IMAGEM</v>
      </c>
      <c r="C10225" s="2" t="str">
        <f t="shared" si="901"/>
        <v>DIAGN</v>
      </c>
      <c r="D10225" s="2" t="str">
        <f t="shared" si="902"/>
        <v>PSDI</v>
      </c>
      <c r="E10225" s="2" t="str">
        <f>"TIPO DE EXAMES"</f>
        <v>TIPO DE EXAMES</v>
      </c>
      <c r="F10225" s="2" t="str">
        <f>"M_TIP_EXA"</f>
        <v>M_TIP_EXA</v>
      </c>
      <c r="G10225" s="2" t="str">
        <f>"Diagnóstico e Terapia / Diagnóstico por Imagem / Tabelas / Exames (M_TIP_EXA)"</f>
        <v>Diagnóstico e Terapia / Diagnóstico por Imagem / Tabelas / Exames (M_TIP_EXA)</v>
      </c>
    </row>
    <row r="10226" spans="1:7" x14ac:dyDescent="0.3">
      <c r="A10226" s="1" t="s">
        <v>4</v>
      </c>
      <c r="B10226" s="2" t="str">
        <f t="shared" si="900"/>
        <v>SISTEMA DE DIAGNÓSTICO POR IMAGEM</v>
      </c>
      <c r="C10226" s="2" t="str">
        <f t="shared" si="901"/>
        <v>DIAGN</v>
      </c>
      <c r="D10226" s="2" t="str">
        <f t="shared" si="902"/>
        <v>PSDI</v>
      </c>
      <c r="E10226" s="2" t="str">
        <f>"TEXTO DO RADIODIAGNOSTICO"</f>
        <v>TEXTO DO RADIODIAGNOSTICO</v>
      </c>
      <c r="F10226" s="2" t="str">
        <f>"M_TEX_RX"</f>
        <v>M_TEX_RX</v>
      </c>
      <c r="G10226" s="2" t="str">
        <f>"Diagnóstico e Terapia / Diagnóstico por Imagem / Tabelas / Textos Pré-Definidos (M_TEX_RX)"</f>
        <v>Diagnóstico e Terapia / Diagnóstico por Imagem / Tabelas / Textos Pré-Definidos (M_TEX_RX)</v>
      </c>
    </row>
    <row r="10227" spans="1:7" x14ac:dyDescent="0.3">
      <c r="A10227" s="1" t="s">
        <v>4</v>
      </c>
      <c r="B10227" s="2" t="str">
        <f t="shared" si="900"/>
        <v>SISTEMA DE DIAGNÓSTICO POR IMAGEM</v>
      </c>
      <c r="C10227" s="2" t="str">
        <f t="shared" si="901"/>
        <v>DIAGN</v>
      </c>
      <c r="D10227" s="2" t="str">
        <f t="shared" si="902"/>
        <v>PSDI</v>
      </c>
      <c r="E10227" s="2" t="str">
        <f>"PEDIDO DE RADIODIAGNOSTICO"</f>
        <v>PEDIDO DE RADIODIAGNOSTICO</v>
      </c>
      <c r="F10227" s="2" t="str">
        <f>"M_PED_RX"</f>
        <v>M_PED_RX</v>
      </c>
      <c r="G10227" s="2" t="str">
        <f>"Diagnóstico e Terapia / Diagnóstico por Imagem / Atendimentos / Pedidos de Exames Imagem (M_PED_RX)"</f>
        <v>Diagnóstico e Terapia / Diagnóstico por Imagem / Atendimentos / Pedidos de Exames Imagem (M_PED_RX)</v>
      </c>
    </row>
    <row r="10228" spans="1:7" x14ac:dyDescent="0.3">
      <c r="A10228" s="1" t="s">
        <v>4</v>
      </c>
      <c r="B10228" s="2" t="str">
        <f t="shared" si="900"/>
        <v>SISTEMA DE DIAGNÓSTICO POR IMAGEM</v>
      </c>
      <c r="C10228" s="2" t="str">
        <f t="shared" si="901"/>
        <v>DIAGN</v>
      </c>
      <c r="D10228" s="2" t="str">
        <f t="shared" si="902"/>
        <v>PSDI</v>
      </c>
      <c r="E10228" s="2" t="str">
        <f>"LAUDO DOS EXAMES"</f>
        <v>LAUDO DOS EXAMES</v>
      </c>
      <c r="F10228" s="2" t="str">
        <f>"M_LAU_EXA"</f>
        <v>M_LAU_EXA</v>
      </c>
      <c r="G10228" s="2" t="str">
        <f>"Diagnóstico e Terapia / Diagnóstico por Imagem / Atendimentos / Laudos (M_LAU_EXA)"</f>
        <v>Diagnóstico e Terapia / Diagnóstico por Imagem / Atendimentos / Laudos (M_LAU_EXA)</v>
      </c>
    </row>
    <row r="10229" spans="1:7" x14ac:dyDescent="0.3">
      <c r="A10229" s="1" t="s">
        <v>4</v>
      </c>
      <c r="B10229" s="2" t="str">
        <f t="shared" si="900"/>
        <v>SISTEMA DE DIAGNÓSTICO POR IMAGEM</v>
      </c>
      <c r="C10229" s="2" t="str">
        <f t="shared" si="901"/>
        <v>DIAGN</v>
      </c>
      <c r="D10229" s="2" t="str">
        <f t="shared" si="902"/>
        <v>PSDI</v>
      </c>
      <c r="E10229" s="2" t="str">
        <f>"GASTOS DOS EXAMES"</f>
        <v>GASTOS DOS EXAMES</v>
      </c>
      <c r="F10229" s="2" t="str">
        <f>"M_GAS_EXA"</f>
        <v>M_GAS_EXA</v>
      </c>
      <c r="G10229" s="2" t="str">
        <f>" ()"</f>
        <v xml:space="preserve"> ()</v>
      </c>
    </row>
    <row r="10230" spans="1:7" x14ac:dyDescent="0.3">
      <c r="A10230" s="1" t="s">
        <v>4</v>
      </c>
      <c r="B10230" s="2" t="str">
        <f t="shared" si="900"/>
        <v>SISTEMA DE DIAGNÓSTICO POR IMAGEM</v>
      </c>
      <c r="C10230" s="2" t="str">
        <f t="shared" si="901"/>
        <v>DIAGN</v>
      </c>
      <c r="D10230" s="2" t="str">
        <f t="shared" si="902"/>
        <v>PSDI</v>
      </c>
      <c r="E10230" s="2" t="str">
        <f>"FILMES"</f>
        <v>FILMES</v>
      </c>
      <c r="F10230" s="2" t="str">
        <f>"M_FILME"</f>
        <v>M_FILME</v>
      </c>
      <c r="G10230" s="2" t="str">
        <f>"Diagnóstico e Terapia / Diagnóstico por Imagem / Tabelas / Filmes (M_FILME)"</f>
        <v>Diagnóstico e Terapia / Diagnóstico por Imagem / Tabelas / Filmes (M_FILME)</v>
      </c>
    </row>
    <row r="10231" spans="1:7" x14ac:dyDescent="0.3">
      <c r="A10231" s="1" t="s">
        <v>4</v>
      </c>
      <c r="B10231" s="2" t="str">
        <f t="shared" si="900"/>
        <v>SISTEMA DE DIAGNÓSTICO POR IMAGEM</v>
      </c>
      <c r="C10231" s="2" t="str">
        <f t="shared" si="901"/>
        <v>DIAGN</v>
      </c>
      <c r="D10231" s="2" t="str">
        <f t="shared" si="902"/>
        <v>PSDI</v>
      </c>
      <c r="E10231" s="2" t="str">
        <f>"ESCALA DO DIA"</f>
        <v>ESCALA DO DIA</v>
      </c>
      <c r="F10231" s="2" t="str">
        <f>"M_ESCALA_DIA"</f>
        <v>M_ESCALA_DIA</v>
      </c>
      <c r="G10231" s="2" t="str">
        <f>"Diagnóstico e Terapia / Diagnóstico por Imagem / Agendamentos / Plantões (M_ESCALA_DIA)"</f>
        <v>Diagnóstico e Terapia / Diagnóstico por Imagem / Agendamentos / Plantões (M_ESCALA_DIA)</v>
      </c>
    </row>
    <row r="10232" spans="1:7" x14ac:dyDescent="0.3">
      <c r="A10232" s="1" t="s">
        <v>4</v>
      </c>
      <c r="B10232" s="2" t="str">
        <f t="shared" si="900"/>
        <v>SISTEMA DE DIAGNÓSTICO POR IMAGEM</v>
      </c>
      <c r="C10232" s="2" t="str">
        <f t="shared" si="901"/>
        <v>DIAGN</v>
      </c>
      <c r="D10232" s="2" t="str">
        <f t="shared" si="902"/>
        <v>PSDI</v>
      </c>
      <c r="E10232" s="2" t="str">
        <f>"ENTREGA DE LAUDO"</f>
        <v>ENTREGA DE LAUDO</v>
      </c>
      <c r="F10232" s="2" t="str">
        <f>"M_ENT_LAUDO"</f>
        <v>M_ENT_LAUDO</v>
      </c>
      <c r="G10232" s="2" t="str">
        <f>"Diagnóstico e Terapia / Diagnóstico por Imagem / Atendimentos / Entrega de Laudos (M_ENT_LAUDO)"</f>
        <v>Diagnóstico e Terapia / Diagnóstico por Imagem / Atendimentos / Entrega de Laudos (M_ENT_LAUDO)</v>
      </c>
    </row>
    <row r="10233" spans="1:7" x14ac:dyDescent="0.3">
      <c r="A10233" s="1" t="s">
        <v>4</v>
      </c>
      <c r="B10233" s="2" t="str">
        <f t="shared" si="900"/>
        <v>SISTEMA DE DIAGNÓSTICO POR IMAGEM</v>
      </c>
      <c r="C10233" s="2" t="str">
        <f t="shared" si="901"/>
        <v>DIAGN</v>
      </c>
      <c r="D10233" s="2" t="str">
        <f t="shared" si="902"/>
        <v>PSDI</v>
      </c>
      <c r="E10233" s="2" t="str">
        <f>"R_LAU_EXA_376"</f>
        <v>R_LAU_EXA_376</v>
      </c>
      <c r="F10233" s="2" t="str">
        <f>"R_LAU_EXA_376"</f>
        <v>R_LAU_EXA_376</v>
      </c>
      <c r="G10233" s="2" t="str">
        <f t="shared" ref="G10233:G10239" si="903">" ()"</f>
        <v xml:space="preserve"> ()</v>
      </c>
    </row>
    <row r="10234" spans="1:7" x14ac:dyDescent="0.3">
      <c r="A10234" s="1" t="s">
        <v>4</v>
      </c>
      <c r="B10234" s="2" t="str">
        <f t="shared" si="900"/>
        <v>SISTEMA DE DIAGNÓSTICO POR IMAGEM</v>
      </c>
      <c r="C10234" s="2" t="str">
        <f t="shared" si="901"/>
        <v>DIAGN</v>
      </c>
      <c r="D10234" s="2" t="str">
        <f t="shared" si="902"/>
        <v>PSDI</v>
      </c>
      <c r="E10234" s="2" t="str">
        <f>"R_LAU_EXA860"</f>
        <v>R_LAU_EXA860</v>
      </c>
      <c r="F10234" s="2" t="str">
        <f>"R_LAU_EXA860"</f>
        <v>R_LAU_EXA860</v>
      </c>
      <c r="G10234" s="2" t="str">
        <f t="shared" si="903"/>
        <v xml:space="preserve"> ()</v>
      </c>
    </row>
    <row r="10235" spans="1:7" x14ac:dyDescent="0.3">
      <c r="A10235" s="1" t="s">
        <v>4</v>
      </c>
      <c r="B10235" s="2" t="str">
        <f t="shared" si="900"/>
        <v>SISTEMA DE DIAGNÓSTICO POR IMAGEM</v>
      </c>
      <c r="C10235" s="2" t="str">
        <f t="shared" si="901"/>
        <v>DIAGN</v>
      </c>
      <c r="D10235" s="2" t="str">
        <f t="shared" si="902"/>
        <v>PSDI</v>
      </c>
      <c r="E10235" s="2" t="str">
        <f>"R_LAU_EXA203"</f>
        <v>R_LAU_EXA203</v>
      </c>
      <c r="F10235" s="2" t="str">
        <f>"R_LAU_EXA203"</f>
        <v>R_LAU_EXA203</v>
      </c>
      <c r="G10235" s="2" t="str">
        <f t="shared" si="903"/>
        <v xml:space="preserve"> ()</v>
      </c>
    </row>
    <row r="10236" spans="1:7" x14ac:dyDescent="0.3">
      <c r="A10236" s="1" t="s">
        <v>4</v>
      </c>
      <c r="B10236" s="2" t="str">
        <f t="shared" si="900"/>
        <v>SISTEMA DE DIAGNÓSTICO POR IMAGEM</v>
      </c>
      <c r="C10236" s="2" t="str">
        <f t="shared" si="901"/>
        <v>DIAGN</v>
      </c>
      <c r="D10236" s="2" t="str">
        <f t="shared" si="902"/>
        <v>PSDI</v>
      </c>
      <c r="E10236" s="2" t="str">
        <f>"R_LAU_EXA_203"</f>
        <v>R_LAU_EXA_203</v>
      </c>
      <c r="F10236" s="2" t="str">
        <f>"R_LAU_EXA_203"</f>
        <v>R_LAU_EXA_203</v>
      </c>
      <c r="G10236" s="2" t="str">
        <f t="shared" si="903"/>
        <v xml:space="preserve"> ()</v>
      </c>
    </row>
    <row r="10237" spans="1:7" x14ac:dyDescent="0.3">
      <c r="A10237" s="1" t="s">
        <v>4</v>
      </c>
      <c r="B10237" s="2" t="str">
        <f t="shared" si="900"/>
        <v>SISTEMA DE DIAGNÓSTICO POR IMAGEM</v>
      </c>
      <c r="C10237" s="2" t="str">
        <f t="shared" si="901"/>
        <v>DIAGN</v>
      </c>
      <c r="D10237" s="2" t="str">
        <f t="shared" si="902"/>
        <v>PSDI</v>
      </c>
      <c r="E10237" s="2" t="str">
        <f>"R_SOLIC_CIRUR_PROD_900"</f>
        <v>R_SOLIC_CIRUR_PROD_900</v>
      </c>
      <c r="F10237" s="2" t="str">
        <f>"R_SOLIC_CIRUR_PROD_900"</f>
        <v>R_SOLIC_CIRUR_PROD_900</v>
      </c>
      <c r="G10237" s="2" t="str">
        <f t="shared" si="903"/>
        <v xml:space="preserve"> ()</v>
      </c>
    </row>
    <row r="10238" spans="1:7" x14ac:dyDescent="0.3">
      <c r="A10238" s="1" t="s">
        <v>4</v>
      </c>
      <c r="B10238" s="2" t="str">
        <f t="shared" si="900"/>
        <v>SISTEMA DE DIAGNÓSTICO POR IMAGEM</v>
      </c>
      <c r="C10238" s="2" t="str">
        <f t="shared" si="901"/>
        <v>DIAGN</v>
      </c>
      <c r="D10238" s="2" t="str">
        <f t="shared" si="902"/>
        <v>PSDI</v>
      </c>
      <c r="E10238" s="2" t="str">
        <f>"FATURAMENTO MENSAL POR CONVENIO"</f>
        <v>FATURAMENTO MENSAL POR CONVENIO</v>
      </c>
      <c r="F10238" s="2" t="str">
        <f>"R-PROD_RX_CONV_460"</f>
        <v>R-PROD_RX_CONV_460</v>
      </c>
      <c r="G10238" s="2" t="str">
        <f t="shared" si="903"/>
        <v xml:space="preserve"> ()</v>
      </c>
    </row>
    <row r="10239" spans="1:7" x14ac:dyDescent="0.3">
      <c r="A10239" s="1" t="s">
        <v>4</v>
      </c>
      <c r="B10239" s="2" t="str">
        <f t="shared" si="900"/>
        <v>SISTEMA DE DIAGNÓSTICO POR IMAGEM</v>
      </c>
      <c r="C10239" s="2" t="str">
        <f t="shared" si="901"/>
        <v>DIAGN</v>
      </c>
      <c r="D10239" s="2" t="str">
        <f t="shared" si="902"/>
        <v>PSDI</v>
      </c>
      <c r="E10239" s="2" t="str">
        <f>"CADASTRO: TIPOS DE SITUAÇÃO DE PACIENTE"</f>
        <v>CADASTRO: TIPOS DE SITUAÇÃO DE PACIENTE</v>
      </c>
      <c r="F10239" s="2" t="str">
        <f>"M_TABELA_IMPORTACAO"</f>
        <v>M_TABELA_IMPORTACAO</v>
      </c>
      <c r="G10239" s="2" t="str">
        <f t="shared" si="903"/>
        <v xml:space="preserve"> ()</v>
      </c>
    </row>
    <row r="10240" spans="1:7" x14ac:dyDescent="0.3">
      <c r="A10240" s="1" t="s">
        <v>4</v>
      </c>
      <c r="B10240" s="2" t="str">
        <f t="shared" si="900"/>
        <v>SISTEMA DE DIAGNÓSTICO POR IMAGEM</v>
      </c>
      <c r="C10240" s="2" t="str">
        <f t="shared" si="901"/>
        <v>DIAGN</v>
      </c>
      <c r="D10240" s="2" t="str">
        <f t="shared" si="902"/>
        <v>PSDI</v>
      </c>
      <c r="E10240" s="2" t="str">
        <f>"M_TRANSFERE_AGENDA"</f>
        <v>M_TRANSFERE_AGENDA</v>
      </c>
      <c r="F10240" s="2" t="str">
        <f>"M_TRANSFERE_AGENDA"</f>
        <v>M_TRANSFERE_AGENDA</v>
      </c>
      <c r="G10240" s="2" t="str">
        <f>"Diagnóstico e Terapia / Diagnóstico por Imagem / Agendamentos / Transferência entre Agendas (M_TRANSFERE_AGENDA)"</f>
        <v>Diagnóstico e Terapia / Diagnóstico por Imagem / Agendamentos / Transferência entre Agendas (M_TRANSFERE_AGENDA)</v>
      </c>
    </row>
    <row r="10241" spans="1:7" x14ac:dyDescent="0.3">
      <c r="A10241" s="1" t="s">
        <v>4</v>
      </c>
      <c r="B10241" s="2" t="str">
        <f t="shared" si="900"/>
        <v>SISTEMA DE DIAGNÓSTICO POR IMAGEM</v>
      </c>
      <c r="C10241" s="2" t="str">
        <f t="shared" si="901"/>
        <v>DIAGN</v>
      </c>
      <c r="D10241" s="2" t="str">
        <f t="shared" si="902"/>
        <v>PSDI</v>
      </c>
      <c r="E10241" s="2" t="str">
        <f>"R_SOLIC_EXAME_900"</f>
        <v>R_SOLIC_EXAME_900</v>
      </c>
      <c r="F10241" s="2" t="str">
        <f>"R_SOLIC_EXAME_900"</f>
        <v>R_SOLIC_EXAME_900</v>
      </c>
      <c r="G10241" s="2" t="str">
        <f>" ()"</f>
        <v xml:space="preserve"> ()</v>
      </c>
    </row>
    <row r="10242" spans="1:7" x14ac:dyDescent="0.3">
      <c r="A10242" s="1" t="s">
        <v>4</v>
      </c>
      <c r="B10242" s="2" t="str">
        <f t="shared" si="900"/>
        <v>SISTEMA DE DIAGNÓSTICO POR IMAGEM</v>
      </c>
      <c r="C10242" s="2" t="str">
        <f t="shared" si="901"/>
        <v>DIAGN</v>
      </c>
      <c r="D10242" s="2" t="str">
        <f t="shared" si="902"/>
        <v>PSDI</v>
      </c>
      <c r="E10242" s="2" t="str">
        <f>"R_ETIQUETA_PA_900"</f>
        <v>R_ETIQUETA_PA_900</v>
      </c>
      <c r="F10242" s="2" t="str">
        <f>"R_ETIQUETA_PA_900"</f>
        <v>R_ETIQUETA_PA_900</v>
      </c>
      <c r="G10242" s="2" t="str">
        <f>" ()"</f>
        <v xml:space="preserve"> ()</v>
      </c>
    </row>
    <row r="10243" spans="1:7" x14ac:dyDescent="0.3">
      <c r="A10243" s="1" t="s">
        <v>4</v>
      </c>
      <c r="B10243" s="2" t="str">
        <f t="shared" si="900"/>
        <v>SISTEMA DE DIAGNÓSTICO POR IMAGEM</v>
      </c>
      <c r="C10243" s="2" t="str">
        <f t="shared" si="901"/>
        <v>DIAGN</v>
      </c>
      <c r="D10243" s="2" t="str">
        <f t="shared" si="902"/>
        <v>PSDI</v>
      </c>
      <c r="E10243" s="2" t="str">
        <f>"ETIQUETA DE EXAMES P/ INTERNADOS"</f>
        <v>ETIQUETA DE EXAMES P/ INTERNADOS</v>
      </c>
      <c r="F10243" s="2" t="str">
        <f>"R_ETIQ_INTER_PSDI_900"</f>
        <v>R_ETIQ_INTER_PSDI_900</v>
      </c>
      <c r="G10243" s="2" t="str">
        <f>" ()"</f>
        <v xml:space="preserve"> ()</v>
      </c>
    </row>
    <row r="10244" spans="1:7" x14ac:dyDescent="0.3">
      <c r="A10244" s="1" t="s">
        <v>4</v>
      </c>
      <c r="B10244" s="2" t="str">
        <f t="shared" si="900"/>
        <v>SISTEMA DE DIAGNÓSTICO POR IMAGEM</v>
      </c>
      <c r="C10244" s="2" t="str">
        <f t="shared" si="901"/>
        <v>DIAGN</v>
      </c>
      <c r="D10244" s="2" t="str">
        <f t="shared" si="902"/>
        <v>PSDI</v>
      </c>
      <c r="E10244" s="2" t="str">
        <f>"PLANILHA MENSAL DE EXAMES REALIZADOS"</f>
        <v>PLANILHA MENSAL DE EXAMES REALIZADOS</v>
      </c>
      <c r="F10244" s="2" t="str">
        <f>"R_ESTATISTICA_DIA"</f>
        <v>R_ESTATISTICA_DIA</v>
      </c>
      <c r="G10244" s="2" t="str">
        <f>"Diagnóstico e Terapia / Diagnóstico por Imagem / Relatórios / Estatísticos / Exames / Planilha Mensal de Exames Realizados (R_ESTATISTICA_DIA)"</f>
        <v>Diagnóstico e Terapia / Diagnóstico por Imagem / Relatórios / Estatísticos / Exames / Planilha Mensal de Exames Realizados (R_ESTATISTICA_DIA)</v>
      </c>
    </row>
    <row r="10245" spans="1:7" x14ac:dyDescent="0.3">
      <c r="A10245" s="1" t="s">
        <v>4</v>
      </c>
      <c r="B10245" s="2" t="str">
        <f t="shared" si="900"/>
        <v>SISTEMA DE DIAGNÓSTICO POR IMAGEM</v>
      </c>
      <c r="C10245" s="2" t="str">
        <f t="shared" si="901"/>
        <v>DIAGN</v>
      </c>
      <c r="D10245" s="2" t="str">
        <f t="shared" si="902"/>
        <v>PSDI</v>
      </c>
      <c r="E10245" s="2" t="str">
        <f>"R_ETQENTDOC_750"</f>
        <v>R_ETQENTDOC_750</v>
      </c>
      <c r="F10245" s="2" t="str">
        <f>"R_ETQENTDOC_750"</f>
        <v>R_ETQENTDOC_750</v>
      </c>
      <c r="G10245" s="2" t="str">
        <f>" ()"</f>
        <v xml:space="preserve"> ()</v>
      </c>
    </row>
    <row r="10246" spans="1:7" x14ac:dyDescent="0.3">
      <c r="A10246" s="1" t="s">
        <v>4</v>
      </c>
      <c r="B10246" s="2" t="str">
        <f t="shared" si="900"/>
        <v>SISTEMA DE DIAGNÓSTICO POR IMAGEM</v>
      </c>
      <c r="C10246" s="2" t="str">
        <f t="shared" si="901"/>
        <v>DIAGN</v>
      </c>
      <c r="D10246" s="2" t="str">
        <f t="shared" si="902"/>
        <v>PSDI</v>
      </c>
      <c r="E10246" s="2" t="str">
        <f>"EST. EXAMES POR CONVÊNIO X PROCEDIMENTOS"</f>
        <v>EST. EXAMES POR CONVÊNIO X PROCEDIMENTOS</v>
      </c>
      <c r="F10246" s="2" t="str">
        <f>"R_ESTAT_DIA_CONV_PAC"</f>
        <v>R_ESTAT_DIA_CONV_PAC</v>
      </c>
      <c r="G10246" s="2" t="str">
        <f>"Diagnóstico e Terapia / Diagnóstico por Imagem / Relatórios / Estatísticos / Exames / Convênio X Procedimento (R_ESTAT_DIA_CONV_PAC)"</f>
        <v>Diagnóstico e Terapia / Diagnóstico por Imagem / Relatórios / Estatísticos / Exames / Convênio X Procedimento (R_ESTAT_DIA_CONV_PAC)</v>
      </c>
    </row>
    <row r="10247" spans="1:7" x14ac:dyDescent="0.3">
      <c r="A10247" s="1" t="s">
        <v>4</v>
      </c>
      <c r="B10247" s="2" t="str">
        <f t="shared" si="900"/>
        <v>SISTEMA DE DIAGNÓSTICO POR IMAGEM</v>
      </c>
      <c r="C10247" s="2" t="str">
        <f t="shared" si="901"/>
        <v>DIAGN</v>
      </c>
      <c r="D10247" s="2" t="str">
        <f t="shared" si="902"/>
        <v>PSDI</v>
      </c>
      <c r="E10247" s="2" t="str">
        <f>"R_EXAME_REALIZ_XY"</f>
        <v>R_EXAME_REALIZ_XY</v>
      </c>
      <c r="F10247" s="2" t="str">
        <f>"R_EXAME_REALIZ_XY"</f>
        <v>R_EXAME_REALIZ_XY</v>
      </c>
      <c r="G10247" s="2" t="str">
        <f>" ()"</f>
        <v xml:space="preserve"> ()</v>
      </c>
    </row>
    <row r="10248" spans="1:7" x14ac:dyDescent="0.3">
      <c r="A10248" s="1" t="s">
        <v>4</v>
      </c>
      <c r="B10248" s="2" t="str">
        <f t="shared" si="900"/>
        <v>SISTEMA DE DIAGNÓSTICO POR IMAGEM</v>
      </c>
      <c r="C10248" s="2" t="str">
        <f t="shared" si="901"/>
        <v>DIAGN</v>
      </c>
      <c r="D10248" s="2" t="str">
        <f t="shared" si="902"/>
        <v>PSDI</v>
      </c>
      <c r="E10248" s="2" t="str">
        <f>"R_EXAME_REALIZ_CONV_GRUPO"</f>
        <v>R_EXAME_REALIZ_CONV_GRUPO</v>
      </c>
      <c r="F10248" s="2" t="str">
        <f>"R_EXAME_REALIZ_CONV_GRUPO"</f>
        <v>R_EXAME_REALIZ_CONV_GRUPO</v>
      </c>
      <c r="G10248" s="2" t="str">
        <f>" ()"</f>
        <v xml:space="preserve"> ()</v>
      </c>
    </row>
    <row r="10249" spans="1:7" x14ac:dyDescent="0.3">
      <c r="A10249" s="1" t="s">
        <v>4</v>
      </c>
      <c r="B10249" s="2" t="str">
        <f t="shared" si="900"/>
        <v>SISTEMA DE DIAGNÓSTICO POR IMAGEM</v>
      </c>
      <c r="C10249" s="2" t="str">
        <f t="shared" si="901"/>
        <v>DIAGN</v>
      </c>
      <c r="D10249" s="2" t="str">
        <f t="shared" si="902"/>
        <v>PSDI</v>
      </c>
      <c r="E10249" s="2" t="str">
        <f>"CONSULTA: AGENDAMENTO DE EXAMES"</f>
        <v>CONSULTA: AGENDAMENTO DE EXAMES</v>
      </c>
      <c r="F10249" s="2" t="str">
        <f>"C_AGENDA_PSDI_722"</f>
        <v>C_AGENDA_PSDI_722</v>
      </c>
      <c r="G10249" s="2" t="str">
        <f>" ()"</f>
        <v xml:space="preserve"> ()</v>
      </c>
    </row>
    <row r="10250" spans="1:7" x14ac:dyDescent="0.3">
      <c r="A10250" s="1" t="s">
        <v>4</v>
      </c>
      <c r="B10250" s="2" t="str">
        <f t="shared" si="900"/>
        <v>SISTEMA DE DIAGNÓSTICO POR IMAGEM</v>
      </c>
      <c r="C10250" s="2" t="str">
        <f t="shared" si="901"/>
        <v>DIAGN</v>
      </c>
      <c r="D10250" s="2" t="str">
        <f t="shared" si="902"/>
        <v>PSDI</v>
      </c>
      <c r="E10250" s="2" t="str">
        <f>"COTAS DE EXAMES"</f>
        <v>COTAS DE EXAMES</v>
      </c>
      <c r="F10250" s="2" t="str">
        <f>"M_COTA_EXA_UNID_722"</f>
        <v>M_COTA_EXA_UNID_722</v>
      </c>
      <c r="G10250" s="2" t="str">
        <f>" ()"</f>
        <v xml:space="preserve"> ()</v>
      </c>
    </row>
    <row r="10251" spans="1:7" x14ac:dyDescent="0.3">
      <c r="A10251" s="1" t="s">
        <v>4</v>
      </c>
      <c r="B10251" s="2" t="str">
        <f t="shared" si="900"/>
        <v>SISTEMA DE DIAGNÓSTICO POR IMAGEM</v>
      </c>
      <c r="C10251" s="2" t="str">
        <f t="shared" si="901"/>
        <v>DIAGN</v>
      </c>
      <c r="D10251" s="2" t="str">
        <f t="shared" si="902"/>
        <v>PSDI</v>
      </c>
      <c r="E10251" s="2" t="str">
        <f>"WIN_PRINCIPAL"</f>
        <v>WIN_PRINCIPAL</v>
      </c>
      <c r="F10251" s="2" t="str">
        <f>"AGE_RX_722"</f>
        <v>AGE_RX_722</v>
      </c>
      <c r="G10251" s="2" t="str">
        <f>" ()"</f>
        <v xml:space="preserve"> ()</v>
      </c>
    </row>
    <row r="10252" spans="1:7" x14ac:dyDescent="0.3">
      <c r="A10252" s="1" t="s">
        <v>4</v>
      </c>
      <c r="B10252" s="2" t="str">
        <f t="shared" si="900"/>
        <v>SISTEMA DE DIAGNÓSTICO POR IMAGEM</v>
      </c>
      <c r="C10252" s="2" t="str">
        <f t="shared" si="901"/>
        <v>DIAGN</v>
      </c>
      <c r="D10252" s="2" t="str">
        <f t="shared" si="902"/>
        <v>PSDI</v>
      </c>
      <c r="E10252" s="2" t="str">
        <f>"CADASTRO: MODALIDADE DE EXAMES"</f>
        <v>CADASTRO: MODALIDADE DE EXAMES</v>
      </c>
      <c r="F10252" s="2" t="str">
        <f>"M_MODALIDADE_EXAME"</f>
        <v>M_MODALIDADE_EXAME</v>
      </c>
      <c r="G10252" s="2" t="str">
        <f>"Diagnóstico e Terapia / Diagnóstico por Imagem / Tabelas / Modalidade de Exames (M_MODALIDADE_EXAME)"</f>
        <v>Diagnóstico e Terapia / Diagnóstico por Imagem / Tabelas / Modalidade de Exames (M_MODALIDADE_EXAME)</v>
      </c>
    </row>
    <row r="10253" spans="1:7" x14ac:dyDescent="0.3">
      <c r="A10253" s="1" t="s">
        <v>4</v>
      </c>
      <c r="B10253" s="2" t="str">
        <f t="shared" si="900"/>
        <v>SISTEMA DE DIAGNÓSTICO POR IMAGEM</v>
      </c>
      <c r="C10253" s="2" t="str">
        <f t="shared" si="901"/>
        <v>DIAGN</v>
      </c>
      <c r="D10253" s="2" t="str">
        <f t="shared" si="902"/>
        <v>PSDI</v>
      </c>
      <c r="E10253" s="2" t="str">
        <f>"WIN_PRINCIPAL - HOSPITAL MV SISTEMAS"</f>
        <v>WIN_PRINCIPAL - HOSPITAL MV SISTEMAS</v>
      </c>
      <c r="F10253" s="2" t="str">
        <f>"M_ENTREGA_LAUDO"</f>
        <v>M_ENTREGA_LAUDO</v>
      </c>
      <c r="G10253" s="2" t="str">
        <f>"Diagnóstico e Terapia / Diagnóstico por Imagem / Atendimentos / Registro de Entrega de Laudos (M_ENTREGA_LAUDO)"</f>
        <v>Diagnóstico e Terapia / Diagnóstico por Imagem / Atendimentos / Registro de Entrega de Laudos (M_ENTREGA_LAUDO)</v>
      </c>
    </row>
    <row r="10254" spans="1:7" x14ac:dyDescent="0.3">
      <c r="A10254" s="1" t="s">
        <v>4</v>
      </c>
      <c r="B10254" s="2" t="str">
        <f t="shared" si="900"/>
        <v>SISTEMA DE DIAGNÓSTICO POR IMAGEM</v>
      </c>
      <c r="C10254" s="2" t="str">
        <f t="shared" si="901"/>
        <v>DIAGN</v>
      </c>
      <c r="D10254" s="2" t="str">
        <f t="shared" si="902"/>
        <v>PSDI</v>
      </c>
      <c r="E10254" s="2" t="str">
        <f>"COTAS DE EXAMES"</f>
        <v>COTAS DE EXAMES</v>
      </c>
      <c r="F10254" s="2" t="str">
        <f>"M_COTA_EXA_UNID"</f>
        <v>M_COTA_EXA_UNID</v>
      </c>
      <c r="G10254" s="2" t="str">
        <f>" ()"</f>
        <v xml:space="preserve"> ()</v>
      </c>
    </row>
    <row r="10255" spans="1:7" x14ac:dyDescent="0.3">
      <c r="A10255" s="1" t="s">
        <v>4</v>
      </c>
      <c r="B10255" s="2" t="str">
        <f t="shared" si="900"/>
        <v>SISTEMA DE DIAGNÓSTICO POR IMAGEM</v>
      </c>
      <c r="C10255" s="2" t="str">
        <f t="shared" si="901"/>
        <v>DIAGN</v>
      </c>
      <c r="D10255" s="2" t="str">
        <f t="shared" si="902"/>
        <v>PSDI</v>
      </c>
      <c r="E10255" s="2" t="str">
        <f>"ETIQUETA DE ENDEREÇOS"</f>
        <v>ETIQUETA DE ENDEREÇOS</v>
      </c>
      <c r="F10255" s="2" t="str">
        <f>"R_ETIQ_ENTR_PSDI"</f>
        <v>R_ETIQ_ENTR_PSDI</v>
      </c>
      <c r="G10255" s="2" t="str">
        <f>" ()"</f>
        <v xml:space="preserve"> ()</v>
      </c>
    </row>
    <row r="10256" spans="1:7" x14ac:dyDescent="0.3">
      <c r="A10256" s="1" t="s">
        <v>4</v>
      </c>
      <c r="B10256" s="2" t="str">
        <f t="shared" si="900"/>
        <v>SISTEMA DE DIAGNÓSTICO POR IMAGEM</v>
      </c>
      <c r="C10256" s="2" t="str">
        <f t="shared" si="901"/>
        <v>DIAGN</v>
      </c>
      <c r="D10256" s="2" t="str">
        <f t="shared" si="902"/>
        <v>PSDI</v>
      </c>
      <c r="E10256" s="2" t="str">
        <f>"R_ENTR_POR_TIPO_PSDI"</f>
        <v>R_ENTR_POR_TIPO_PSDI</v>
      </c>
      <c r="F10256" s="2" t="str">
        <f>"R_ENTR_POR_TIPO_PSDI"</f>
        <v>R_ENTR_POR_TIPO_PSDI</v>
      </c>
      <c r="G10256" s="2" t="str">
        <f>"Diagnóstico e Terapia / Diagnóstico por Imagem / Relatórios / Operacionais / Lista de Entrega por Tipo de Entrega (R_ENTR_POR_TIPO_PSDI)"</f>
        <v>Diagnóstico e Terapia / Diagnóstico por Imagem / Relatórios / Operacionais / Lista de Entrega por Tipo de Entrega (R_ENTR_POR_TIPO_PSDI)</v>
      </c>
    </row>
    <row r="10257" spans="1:7" x14ac:dyDescent="0.3">
      <c r="A10257" s="1" t="s">
        <v>4</v>
      </c>
      <c r="B10257" s="2" t="str">
        <f t="shared" si="900"/>
        <v>SISTEMA DE DIAGNÓSTICO POR IMAGEM</v>
      </c>
      <c r="C10257" s="2" t="str">
        <f t="shared" si="901"/>
        <v>DIAGN</v>
      </c>
      <c r="D10257" s="2" t="str">
        <f t="shared" si="902"/>
        <v>PSDI</v>
      </c>
      <c r="E10257" s="2" t="str">
        <f>"R_COMPR_ENT_PSDI"</f>
        <v>R_COMPR_ENT_PSDI</v>
      </c>
      <c r="F10257" s="2" t="str">
        <f>"R_COMPR_ENT_PSDI"</f>
        <v>R_COMPR_ENT_PSDI</v>
      </c>
      <c r="G10257" s="2" t="str">
        <f>"Diagnóstico e Terapia / Diagnóstico por Imagem / Relatórios / Operacionais / Comprovante de Entrega de Exames (R_COMPR_ENT_PSDI)"</f>
        <v>Diagnóstico e Terapia / Diagnóstico por Imagem / Relatórios / Operacionais / Comprovante de Entrega de Exames (R_COMPR_ENT_PSDI)</v>
      </c>
    </row>
    <row r="10258" spans="1:7" x14ac:dyDescent="0.3">
      <c r="A10258" s="1" t="s">
        <v>4</v>
      </c>
      <c r="B10258" s="2" t="str">
        <f t="shared" si="900"/>
        <v>SISTEMA DE DIAGNÓSTICO POR IMAGEM</v>
      </c>
      <c r="C10258" s="2" t="str">
        <f t="shared" si="901"/>
        <v>DIAGN</v>
      </c>
      <c r="D10258" s="2" t="str">
        <f t="shared" si="902"/>
        <v>PSDI</v>
      </c>
      <c r="E10258" s="2" t="str">
        <f>"WIN_PRINCIPAL"</f>
        <v>WIN_PRINCIPAL</v>
      </c>
      <c r="F10258" s="2" t="str">
        <f>"M_CONSULTA_ENTREGA_PSDI"</f>
        <v>M_CONSULTA_ENTREGA_PSDI</v>
      </c>
      <c r="G10258" s="2" t="str">
        <f>"Diagnóstico e Terapia / Diagnóstico por Imagem / Consultas / Protocolos de Entrega (M_CONSULTA_ENTREGA_PSDI)"</f>
        <v>Diagnóstico e Terapia / Diagnóstico por Imagem / Consultas / Protocolos de Entrega (M_CONSULTA_ENTREGA_PSDI)</v>
      </c>
    </row>
    <row r="10259" spans="1:7" x14ac:dyDescent="0.3">
      <c r="A10259" s="1" t="s">
        <v>4</v>
      </c>
      <c r="B10259" s="2" t="str">
        <f t="shared" si="900"/>
        <v>SISTEMA DE DIAGNÓSTICO POR IMAGEM</v>
      </c>
      <c r="C10259" s="2" t="str">
        <f t="shared" si="901"/>
        <v>DIAGN</v>
      </c>
      <c r="D10259" s="2" t="str">
        <f t="shared" si="902"/>
        <v>PSDI</v>
      </c>
      <c r="E10259" s="2" t="str">
        <f>"M_NOTA_FISCAL_755"</f>
        <v>M_NOTA_FISCAL_755</v>
      </c>
      <c r="F10259" s="2" t="str">
        <f>"M_NOTA_FISCAL_755"</f>
        <v>M_NOTA_FISCAL_755</v>
      </c>
      <c r="G10259" s="2" t="str">
        <f>" ()"</f>
        <v xml:space="preserve"> ()</v>
      </c>
    </row>
    <row r="10260" spans="1:7" x14ac:dyDescent="0.3">
      <c r="A10260" s="1" t="s">
        <v>4</v>
      </c>
      <c r="B10260" s="2" t="str">
        <f t="shared" si="900"/>
        <v>SISTEMA DE DIAGNÓSTICO POR IMAGEM</v>
      </c>
      <c r="C10260" s="2" t="str">
        <f t="shared" si="901"/>
        <v>DIAGN</v>
      </c>
      <c r="D10260" s="2" t="str">
        <f t="shared" si="902"/>
        <v>PSDI</v>
      </c>
      <c r="E10260" s="2" t="str">
        <f>"ETIQUETA DE EXAMES"</f>
        <v>ETIQUETA DE EXAMES</v>
      </c>
      <c r="F10260" s="2" t="str">
        <f>"R_ETIQ_EXA_RX_734"</f>
        <v>R_ETIQ_EXA_RX_734</v>
      </c>
      <c r="G10260" s="2" t="str">
        <f>" ()"</f>
        <v xml:space="preserve"> ()</v>
      </c>
    </row>
    <row r="10261" spans="1:7" x14ac:dyDescent="0.3">
      <c r="A10261" s="1" t="s">
        <v>4</v>
      </c>
      <c r="B10261" s="2" t="str">
        <f t="shared" si="900"/>
        <v>SISTEMA DE DIAGNÓSTICO POR IMAGEM</v>
      </c>
      <c r="C10261" s="2" t="str">
        <f t="shared" si="901"/>
        <v>DIAGN</v>
      </c>
      <c r="D10261" s="2" t="str">
        <f t="shared" si="902"/>
        <v>PSDI</v>
      </c>
      <c r="E10261" s="2" t="str">
        <f>"RELATÓRIO DE PEDIDOS DE EXAME EXCLUÍDOS"</f>
        <v>RELATÓRIO DE PEDIDOS DE EXAME EXCLUÍDOS</v>
      </c>
      <c r="F10261" s="2" t="str">
        <f>"R_EXAME_EXCLUIDO"</f>
        <v>R_EXAME_EXCLUIDO</v>
      </c>
      <c r="G10261" s="2" t="str">
        <f>" ()"</f>
        <v xml:space="preserve"> ()</v>
      </c>
    </row>
    <row r="10262" spans="1:7" x14ac:dyDescent="0.3">
      <c r="A10262" s="1" t="s">
        <v>4</v>
      </c>
      <c r="B10262" s="2" t="str">
        <f t="shared" si="900"/>
        <v>SISTEMA DE DIAGNÓSTICO POR IMAGEM</v>
      </c>
      <c r="C10262" s="2" t="str">
        <f t="shared" si="901"/>
        <v>DIAGN</v>
      </c>
      <c r="D10262" s="2" t="str">
        <f t="shared" si="902"/>
        <v>PSDI</v>
      </c>
      <c r="E10262" s="2" t="str">
        <f>"R_LAU_EXA_340"</f>
        <v>R_LAU_EXA_340</v>
      </c>
      <c r="F10262" s="2" t="str">
        <f>"R_LAU_EXA_340"</f>
        <v>R_LAU_EXA_340</v>
      </c>
      <c r="G10262" s="2" t="str">
        <f>" ()"</f>
        <v xml:space="preserve"> ()</v>
      </c>
    </row>
    <row r="10263" spans="1:7" x14ac:dyDescent="0.3">
      <c r="A10263" s="1" t="s">
        <v>4</v>
      </c>
      <c r="B10263" s="2" t="str">
        <f t="shared" si="900"/>
        <v>SISTEMA DE DIAGNÓSTICO POR IMAGEM</v>
      </c>
      <c r="C10263" s="2" t="str">
        <f t="shared" si="901"/>
        <v>DIAGN</v>
      </c>
      <c r="D10263" s="2" t="str">
        <f t="shared" si="902"/>
        <v>PSDI</v>
      </c>
      <c r="E10263" s="2" t="str">
        <f>"LAUDO DOS EXAMES"</f>
        <v>LAUDO DOS EXAMES</v>
      </c>
      <c r="F10263" s="2" t="str">
        <f>"M_LAU_EXA2"</f>
        <v>M_LAU_EXA2</v>
      </c>
      <c r="G10263" s="2" t="str">
        <f>" ()"</f>
        <v xml:space="preserve"> ()</v>
      </c>
    </row>
    <row r="10264" spans="1:7" x14ac:dyDescent="0.3">
      <c r="A10264" s="1" t="s">
        <v>4</v>
      </c>
      <c r="B10264" s="2" t="str">
        <f t="shared" si="900"/>
        <v>SISTEMA DE DIAGNÓSTICO POR IMAGEM</v>
      </c>
      <c r="C10264" s="2" t="str">
        <f t="shared" si="901"/>
        <v>DIAGN</v>
      </c>
      <c r="D10264" s="2" t="str">
        <f t="shared" si="902"/>
        <v>PSDI</v>
      </c>
      <c r="E10264" s="2" t="str">
        <f>"RELATORIOS DOS PLANTOES"</f>
        <v>RELATORIOS DOS PLANTOES</v>
      </c>
      <c r="F10264" s="2" t="str">
        <f>"R_PLANTOES"</f>
        <v>R_PLANTOES</v>
      </c>
      <c r="G10264" s="2" t="str">
        <f>"Diagnóstico e Terapia / Diagnóstico por Imagem / Relatórios / Agendamentos / Plantões (R_PLANTOES)"</f>
        <v>Diagnóstico e Terapia / Diagnóstico por Imagem / Relatórios / Agendamentos / Plantões (R_PLANTOES)</v>
      </c>
    </row>
    <row r="10265" spans="1:7" x14ac:dyDescent="0.3">
      <c r="A10265" s="1" t="s">
        <v>4</v>
      </c>
      <c r="B10265" s="2" t="str">
        <f t="shared" si="900"/>
        <v>SISTEMA DE DIAGNÓSTICO POR IMAGEM</v>
      </c>
      <c r="C10265" s="2" t="str">
        <f t="shared" si="901"/>
        <v>DIAGN</v>
      </c>
      <c r="D10265" s="2" t="str">
        <f t="shared" si="902"/>
        <v>PSDI</v>
      </c>
      <c r="E10265" s="2" t="str">
        <f>"LAUDOS DOS EXAMES"</f>
        <v>LAUDOS DOS EXAMES</v>
      </c>
      <c r="F10265" s="2" t="str">
        <f>"R_LAU_EXA"</f>
        <v>R_LAU_EXA</v>
      </c>
      <c r="G10265" s="2" t="str">
        <f>" ()"</f>
        <v xml:space="preserve"> ()</v>
      </c>
    </row>
    <row r="10266" spans="1:7" x14ac:dyDescent="0.3">
      <c r="A10266" s="1" t="s">
        <v>4</v>
      </c>
      <c r="B10266" s="2" t="str">
        <f t="shared" si="900"/>
        <v>SISTEMA DE DIAGNÓSTICO POR IMAGEM</v>
      </c>
      <c r="C10266" s="2" t="str">
        <f t="shared" si="901"/>
        <v>DIAGN</v>
      </c>
      <c r="D10266" s="2" t="str">
        <f t="shared" si="902"/>
        <v>PSDI</v>
      </c>
      <c r="E10266" s="2" t="str">
        <f>"RELATORIO DE FILMES"</f>
        <v>RELATORIO DE FILMES</v>
      </c>
      <c r="F10266" s="2" t="str">
        <f>"R_FILME"</f>
        <v>R_FILME</v>
      </c>
      <c r="G10266" s="2" t="str">
        <f>"Diagnóstico e Terapia / Diagnóstico por Imagem / Relatórios / Tabelas / Filmes (R_FILME)"</f>
        <v>Diagnóstico e Terapia / Diagnóstico por Imagem / Relatórios / Tabelas / Filmes (R_FILME)</v>
      </c>
    </row>
    <row r="10267" spans="1:7" x14ac:dyDescent="0.3">
      <c r="A10267" s="1" t="s">
        <v>4</v>
      </c>
      <c r="B10267" s="2" t="str">
        <f t="shared" si="900"/>
        <v>SISTEMA DE DIAGNÓSTICO POR IMAGEM</v>
      </c>
      <c r="C10267" s="2" t="str">
        <f t="shared" si="901"/>
        <v>DIAGN</v>
      </c>
      <c r="D10267" s="2" t="str">
        <f t="shared" si="902"/>
        <v>PSDI</v>
      </c>
      <c r="E10267" s="2" t="str">
        <f>"BLOQUEIO DESBLOQUEIO AGENDA - IMAGEM"</f>
        <v>BLOQUEIO DESBLOQUEIO AGENDA - IMAGEM</v>
      </c>
      <c r="F10267" s="2" t="str">
        <f>"M_BLOQUEIO_DESBLOQUEIO_AGENDA_PSDI"</f>
        <v>M_BLOQUEIO_DESBLOQUEIO_AGENDA_PSDI</v>
      </c>
      <c r="G10267" s="2" t="str">
        <f>"Diagnóstico e Terapia / Diagnóstico por Imagem / Agendamentos / Bloqueio e Desbloqueio de Agendas (M_BLOQUEIO_DESBLOQUEIO_AGENDA_PSDI)"</f>
        <v>Diagnóstico e Terapia / Diagnóstico por Imagem / Agendamentos / Bloqueio e Desbloqueio de Agendas (M_BLOQUEIO_DESBLOQUEIO_AGENDA_PSDI)</v>
      </c>
    </row>
    <row r="10268" spans="1:7" x14ac:dyDescent="0.3">
      <c r="A10268" s="1" t="s">
        <v>4</v>
      </c>
      <c r="B10268" s="2" t="str">
        <f t="shared" si="900"/>
        <v>SISTEMA DE DIAGNÓSTICO POR IMAGEM</v>
      </c>
      <c r="C10268" s="2" t="str">
        <f t="shared" si="901"/>
        <v>DIAGN</v>
      </c>
      <c r="D10268" s="2" t="str">
        <f t="shared" si="902"/>
        <v>PSDI</v>
      </c>
      <c r="E10268" s="2" t="str">
        <f>"MANUTENÇÃO DEPÓSITO ANTECIPADO"</f>
        <v>MANUTENÇÃO DEPÓSITO ANTECIPADO</v>
      </c>
      <c r="F10268" s="2" t="str">
        <f>"M_CAUCAO_PSDI"</f>
        <v>M_CAUCAO_PSDI</v>
      </c>
      <c r="G10268" s="2" t="str">
        <f>"Diagnóstico e Terapia / Diagnóstico por Imagem / Atendimentos / Manutenção depósito pagamento antecipado / Manutenção (M_CAUCAO_PSDI)"</f>
        <v>Diagnóstico e Terapia / Diagnóstico por Imagem / Atendimentos / Manutenção depósito pagamento antecipado / Manutenção (M_CAUCAO_PSDI)</v>
      </c>
    </row>
    <row r="10269" spans="1:7" x14ac:dyDescent="0.3">
      <c r="A10269" s="1" t="s">
        <v>4</v>
      </c>
      <c r="B10269" s="2" t="str">
        <f t="shared" si="900"/>
        <v>SISTEMA DE DIAGNÓSTICO POR IMAGEM</v>
      </c>
      <c r="C10269" s="2" t="str">
        <f t="shared" si="901"/>
        <v>DIAGN</v>
      </c>
      <c r="D10269" s="2" t="str">
        <f t="shared" si="902"/>
        <v>PSDI</v>
      </c>
      <c r="E10269" s="2" t="str">
        <f>"ALTERACAO DE ATENDIMENTO - SETOR IMAGEM"</f>
        <v>ALTERACAO DE ATENDIMENTO - SETOR IMAGEM</v>
      </c>
      <c r="F10269" s="2" t="str">
        <f>"ATEURG_ALTERA_PSDI"</f>
        <v>ATEURG_ALTERA_PSDI</v>
      </c>
      <c r="G10269" s="2" t="str">
        <f>"Diagnóstico e Terapia / Diagnóstico por Imagem / Atendimentos / Alteração de Atendimento (ATEURG_ALTERA_PSDI)"</f>
        <v>Diagnóstico e Terapia / Diagnóstico por Imagem / Atendimentos / Alteração de Atendimento (ATEURG_ALTERA_PSDI)</v>
      </c>
    </row>
    <row r="10270" spans="1:7" x14ac:dyDescent="0.3">
      <c r="A10270" s="1" t="s">
        <v>4</v>
      </c>
      <c r="B10270" s="2" t="str">
        <f t="shared" si="900"/>
        <v>SISTEMA DE DIAGNÓSTICO POR IMAGEM</v>
      </c>
      <c r="C10270" s="2" t="str">
        <f t="shared" si="901"/>
        <v>DIAGN</v>
      </c>
      <c r="D10270" s="2" t="str">
        <f t="shared" si="902"/>
        <v>PSDI</v>
      </c>
      <c r="E10270" s="2" t="str">
        <f>"ATENDIMENTO EXTERNO - SETOR IMAGEM"</f>
        <v>ATENDIMENTO EXTERNO - SETOR IMAGEM</v>
      </c>
      <c r="F10270" s="2" t="str">
        <f>"ATEURG_PSDI"</f>
        <v>ATEURG_PSDI</v>
      </c>
      <c r="G10270" s="2" t="str">
        <f>"Diagnóstico e Terapia / Diagnóstico por Imagem / Atendimentos / Atendimento Externo (ATEURG_PSDI)"</f>
        <v>Diagnóstico e Terapia / Diagnóstico por Imagem / Atendimentos / Atendimento Externo (ATEURG_PSDI)</v>
      </c>
    </row>
    <row r="10271" spans="1:7" x14ac:dyDescent="0.3">
      <c r="A10271" s="1" t="s">
        <v>4</v>
      </c>
      <c r="B10271" s="2" t="str">
        <f t="shared" si="900"/>
        <v>SISTEMA DE DIAGNÓSTICO POR IMAGEM</v>
      </c>
      <c r="C10271" s="2" t="str">
        <f t="shared" si="901"/>
        <v>DIAGN</v>
      </c>
      <c r="D10271" s="2" t="str">
        <f t="shared" si="902"/>
        <v>PSDI</v>
      </c>
      <c r="E10271" s="2" t="str">
        <f>"CADASTRO PACIENTE - SETOR IMAGEM"</f>
        <v>CADASTRO PACIENTE - SETOR IMAGEM</v>
      </c>
      <c r="F10271" s="2" t="str">
        <f>"CAD_PAC_PSDI"</f>
        <v>CAD_PAC_PSDI</v>
      </c>
      <c r="G10271" s="2" t="str">
        <f>"Diagnóstico e Terapia / Diagnóstico por Imagem / Atendimentos / Cadastro paciente (CAD_PAC_PSDI)"</f>
        <v>Diagnóstico e Terapia / Diagnóstico por Imagem / Atendimentos / Cadastro paciente (CAD_PAC_PSDI)</v>
      </c>
    </row>
    <row r="10272" spans="1:7" x14ac:dyDescent="0.3">
      <c r="A10272" s="1" t="s">
        <v>4</v>
      </c>
      <c r="B10272" s="2" t="str">
        <f t="shared" si="900"/>
        <v>SISTEMA DE DIAGNÓSTICO POR IMAGEM</v>
      </c>
      <c r="C10272" s="2" t="str">
        <f t="shared" si="901"/>
        <v>DIAGN</v>
      </c>
      <c r="D10272" s="2" t="str">
        <f t="shared" si="902"/>
        <v>PSDI</v>
      </c>
      <c r="E10272" s="2" t="str">
        <f>"R_DIAG_POR_CONVENIO_297"</f>
        <v>R_DIAG_POR_CONVENIO_297</v>
      </c>
      <c r="F10272" s="2" t="str">
        <f>"R_DIAG_POR_CONVENIO_297"</f>
        <v>R_DIAG_POR_CONVENIO_297</v>
      </c>
      <c r="G10272" s="2" t="str">
        <f t="shared" ref="G10272:G10287" si="904">" ()"</f>
        <v xml:space="preserve"> ()</v>
      </c>
    </row>
    <row r="10273" spans="1:7" x14ac:dyDescent="0.3">
      <c r="A10273" s="1" t="s">
        <v>4</v>
      </c>
      <c r="B10273" s="2" t="str">
        <f t="shared" si="900"/>
        <v>SISTEMA DE DIAGNÓSTICO POR IMAGEM</v>
      </c>
      <c r="C10273" s="2" t="str">
        <f t="shared" si="901"/>
        <v>DIAGN</v>
      </c>
      <c r="D10273" s="2" t="str">
        <f t="shared" si="902"/>
        <v>PSDI</v>
      </c>
      <c r="E10273" s="2" t="str">
        <f>"(R_COMP_EXAME_AGENDADO"</f>
        <v>(R_COMP_EXAME_AGENDADO</v>
      </c>
      <c r="F10273" s="2" t="str">
        <f>"(R_COMP_EXAME_AGENDADO"</f>
        <v>(R_COMP_EXAME_AGENDADO</v>
      </c>
      <c r="G10273" s="2" t="str">
        <f t="shared" si="904"/>
        <v xml:space="preserve"> ()</v>
      </c>
    </row>
    <row r="10274" spans="1:7" x14ac:dyDescent="0.3">
      <c r="A10274" s="1" t="s">
        <v>4</v>
      </c>
      <c r="B10274" s="2" t="str">
        <f t="shared" si="900"/>
        <v>SISTEMA DE DIAGNÓSTICO POR IMAGEM</v>
      </c>
      <c r="C10274" s="2" t="str">
        <f t="shared" si="901"/>
        <v>DIAGN</v>
      </c>
      <c r="D10274" s="2" t="str">
        <f t="shared" si="902"/>
        <v>PSDI</v>
      </c>
      <c r="E10274" s="2" t="str">
        <f>"SETOR EXECUTANTE X TIPO DE ATENDIMENTO"</f>
        <v>SETOR EXECUTANTE X TIPO DE ATENDIMENTO</v>
      </c>
      <c r="F10274" s="2" t="str">
        <f>"R_ESTAT_SET_EXA_ATENDE_SINT"</f>
        <v>R_ESTAT_SET_EXA_ATENDE_SINT</v>
      </c>
      <c r="G10274" s="2" t="str">
        <f t="shared" si="904"/>
        <v xml:space="preserve"> ()</v>
      </c>
    </row>
    <row r="10275" spans="1:7" x14ac:dyDescent="0.3">
      <c r="A10275" s="1" t="s">
        <v>4</v>
      </c>
      <c r="B10275" s="2" t="str">
        <f t="shared" si="900"/>
        <v>SISTEMA DE DIAGNÓSTICO POR IMAGEM</v>
      </c>
      <c r="C10275" s="2" t="str">
        <f t="shared" si="901"/>
        <v>DIAGN</v>
      </c>
      <c r="D10275" s="2" t="str">
        <f t="shared" si="902"/>
        <v>PSDI</v>
      </c>
      <c r="E10275" s="2" t="str">
        <f>"RELATÓRIO POR SETOR SOLICITANTE"</f>
        <v>RELATÓRIO POR SETOR SOLICITANTE</v>
      </c>
      <c r="F10275" s="2" t="str">
        <f>"R_ESTAT_SET.RDF"</f>
        <v>R_ESTAT_SET.RDF</v>
      </c>
      <c r="G10275" s="2" t="str">
        <f t="shared" si="904"/>
        <v xml:space="preserve"> ()</v>
      </c>
    </row>
    <row r="10276" spans="1:7" x14ac:dyDescent="0.3">
      <c r="A10276" s="1" t="s">
        <v>4</v>
      </c>
      <c r="B10276" s="2" t="str">
        <f t="shared" si="900"/>
        <v>SISTEMA DE DIAGNÓSTICO POR IMAGEM</v>
      </c>
      <c r="C10276" s="2" t="str">
        <f t="shared" si="901"/>
        <v>DIAGN</v>
      </c>
      <c r="D10276" s="2" t="str">
        <f t="shared" si="902"/>
        <v>PSDI</v>
      </c>
      <c r="E10276" s="2" t="str">
        <f>"RELATÓRIO POR MÉDICO SOLICITANTE"</f>
        <v>RELATÓRIO POR MÉDICO SOLICITANTE</v>
      </c>
      <c r="F10276" s="2" t="str">
        <f>"R_ESTAT_MED.RDF"</f>
        <v>R_ESTAT_MED.RDF</v>
      </c>
      <c r="G10276" s="2" t="str">
        <f t="shared" si="904"/>
        <v xml:space="preserve"> ()</v>
      </c>
    </row>
    <row r="10277" spans="1:7" x14ac:dyDescent="0.3">
      <c r="A10277" s="1" t="s">
        <v>4</v>
      </c>
      <c r="B10277" s="2" t="str">
        <f t="shared" si="900"/>
        <v>SISTEMA DE DIAGNÓSTICO POR IMAGEM</v>
      </c>
      <c r="C10277" s="2" t="str">
        <f t="shared" si="901"/>
        <v>DIAGN</v>
      </c>
      <c r="D10277" s="2" t="str">
        <f t="shared" si="902"/>
        <v>PSDI</v>
      </c>
      <c r="E10277" s="2" t="str">
        <f>"RELATÓRIO SINTÉTICO POR CIDADE"</f>
        <v>RELATÓRIO SINTÉTICO POR CIDADE</v>
      </c>
      <c r="F10277" s="2" t="str">
        <f>"R_EXAME_CIDADE_SINT"</f>
        <v>R_EXAME_CIDADE_SINT</v>
      </c>
      <c r="G10277" s="2" t="str">
        <f t="shared" si="904"/>
        <v xml:space="preserve"> ()</v>
      </c>
    </row>
    <row r="10278" spans="1:7" x14ac:dyDescent="0.3">
      <c r="A10278" s="1" t="s">
        <v>4</v>
      </c>
      <c r="B10278" s="2" t="str">
        <f t="shared" si="900"/>
        <v>SISTEMA DE DIAGNÓSTICO POR IMAGEM</v>
      </c>
      <c r="C10278" s="2" t="str">
        <f t="shared" si="901"/>
        <v>DIAGN</v>
      </c>
      <c r="D10278" s="2" t="str">
        <f t="shared" si="902"/>
        <v>PSDI</v>
      </c>
      <c r="E10278" s="2" t="str">
        <f>"RELATÓRIO POR CONVÊNIO"</f>
        <v>RELATÓRIO POR CONVÊNIO</v>
      </c>
      <c r="F10278" s="2" t="str">
        <f>"R_ESTAT_CON.RDF"</f>
        <v>R_ESTAT_CON.RDF</v>
      </c>
      <c r="G10278" s="2" t="str">
        <f t="shared" si="904"/>
        <v xml:space="preserve"> ()</v>
      </c>
    </row>
    <row r="10279" spans="1:7" x14ac:dyDescent="0.3">
      <c r="A10279" s="1" t="s">
        <v>4</v>
      </c>
      <c r="B10279" s="2" t="str">
        <f t="shared" si="900"/>
        <v>SISTEMA DE DIAGNÓSTICO POR IMAGEM</v>
      </c>
      <c r="C10279" s="2" t="str">
        <f t="shared" si="901"/>
        <v>DIAGN</v>
      </c>
      <c r="D10279" s="2" t="str">
        <f t="shared" si="902"/>
        <v>PSDI</v>
      </c>
      <c r="E10279" s="2" t="str">
        <f>"RELATÓRIO DE PEDIDOS DE EXAMES EXCLUÍDOS"</f>
        <v>RELATÓRIO DE PEDIDOS DE EXAMES EXCLUÍDOS</v>
      </c>
      <c r="F10279" s="2" t="str">
        <f>"R_PEDIDO_EXCLUIDO.RDF"</f>
        <v>R_PEDIDO_EXCLUIDO.RDF</v>
      </c>
      <c r="G10279" s="2" t="str">
        <f t="shared" si="904"/>
        <v xml:space="preserve"> ()</v>
      </c>
    </row>
    <row r="10280" spans="1:7" x14ac:dyDescent="0.3">
      <c r="A10280" s="1" t="s">
        <v>4</v>
      </c>
      <c r="B10280" s="2" t="str">
        <f t="shared" si="900"/>
        <v>SISTEMA DE DIAGNÓSTICO POR IMAGEM</v>
      </c>
      <c r="C10280" s="2" t="str">
        <f t="shared" si="901"/>
        <v>DIAGN</v>
      </c>
      <c r="D10280" s="2" t="str">
        <f t="shared" si="902"/>
        <v>PSDI</v>
      </c>
      <c r="E10280" s="2" t="str">
        <f>"RELATÓRIO DE LAUDOS EXCLUÍDOS"</f>
        <v>RELATÓRIO DE LAUDOS EXCLUÍDOS</v>
      </c>
      <c r="F10280" s="2" t="str">
        <f>"R_LAUDO_EXCLUIDO.RDF"</f>
        <v>R_LAUDO_EXCLUIDO.RDF</v>
      </c>
      <c r="G10280" s="2" t="str">
        <f t="shared" si="904"/>
        <v xml:space="preserve"> ()</v>
      </c>
    </row>
    <row r="10281" spans="1:7" x14ac:dyDescent="0.3">
      <c r="A10281" s="1" t="s">
        <v>4</v>
      </c>
      <c r="B10281" s="2" t="str">
        <f t="shared" si="900"/>
        <v>SISTEMA DE DIAGNÓSTICO POR IMAGEM</v>
      </c>
      <c r="C10281" s="2" t="str">
        <f t="shared" si="901"/>
        <v>DIAGN</v>
      </c>
      <c r="D10281" s="2" t="str">
        <f t="shared" si="902"/>
        <v>PSDI</v>
      </c>
      <c r="E10281" s="2" t="str">
        <f>"REL.LISTA DE ENTREGA POR TIPO DE ENTREGA"</f>
        <v>REL.LISTA DE ENTREGA POR TIPO DE ENTREGA</v>
      </c>
      <c r="F10281" s="2" t="str">
        <f>"R_ENTR_POR_TIPO_PSDI.RDF"</f>
        <v>R_ENTR_POR_TIPO_PSDI.RDF</v>
      </c>
      <c r="G10281" s="2" t="str">
        <f t="shared" si="904"/>
        <v xml:space="preserve"> ()</v>
      </c>
    </row>
    <row r="10282" spans="1:7" x14ac:dyDescent="0.3">
      <c r="A10282" s="1" t="s">
        <v>4</v>
      </c>
      <c r="B10282" s="2" t="str">
        <f t="shared" si="900"/>
        <v>SISTEMA DE DIAGNÓSTICO POR IMAGEM</v>
      </c>
      <c r="C10282" s="2" t="str">
        <f t="shared" si="901"/>
        <v>DIAGN</v>
      </c>
      <c r="D10282" s="2" t="str">
        <f t="shared" si="902"/>
        <v>PSDI</v>
      </c>
      <c r="E10282" s="2" t="str">
        <f>"REL. DE COMPROVANTE DE ENTREGA DE EXAMES"</f>
        <v>REL. DE COMPROVANTE DE ENTREGA DE EXAMES</v>
      </c>
      <c r="F10282" s="2" t="str">
        <f>"R_COMPR_ENT_PSDI.RDF"</f>
        <v>R_COMPR_ENT_PSDI.RDF</v>
      </c>
      <c r="G10282" s="2" t="str">
        <f t="shared" si="904"/>
        <v xml:space="preserve"> ()</v>
      </c>
    </row>
    <row r="10283" spans="1:7" x14ac:dyDescent="0.3">
      <c r="A10283" s="1" t="s">
        <v>4</v>
      </c>
      <c r="B10283" s="2" t="str">
        <f t="shared" ref="B10283:B10301" si="905">"SISTEMA DE DIAGNÓSTICO POR IMAGEM"</f>
        <v>SISTEMA DE DIAGNÓSTICO POR IMAGEM</v>
      </c>
      <c r="C10283" s="2" t="str">
        <f t="shared" ref="C10283:C10301" si="906">"DIAGN"</f>
        <v>DIAGN</v>
      </c>
      <c r="D10283" s="2" t="str">
        <f t="shared" ref="D10283:D10301" si="907">"PSDI"</f>
        <v>PSDI</v>
      </c>
      <c r="E10283" s="2" t="str">
        <f>"RELATÓRIO POR PRESTADOR"</f>
        <v>RELATÓRIO POR PRESTADOR</v>
      </c>
      <c r="F10283" s="2" t="str">
        <f>"R_EXAME_PRESTADOR.RDF"</f>
        <v>R_EXAME_PRESTADOR.RDF</v>
      </c>
      <c r="G10283" s="2" t="str">
        <f t="shared" si="904"/>
        <v xml:space="preserve"> ()</v>
      </c>
    </row>
    <row r="10284" spans="1:7" x14ac:dyDescent="0.3">
      <c r="A10284" s="1" t="s">
        <v>4</v>
      </c>
      <c r="B10284" s="2" t="str">
        <f t="shared" si="905"/>
        <v>SISTEMA DE DIAGNÓSTICO POR IMAGEM</v>
      </c>
      <c r="C10284" s="2" t="str">
        <f t="shared" si="906"/>
        <v>DIAGN</v>
      </c>
      <c r="D10284" s="2" t="str">
        <f t="shared" si="907"/>
        <v>PSDI</v>
      </c>
      <c r="E10284" s="2" t="str">
        <f>"RELATÓRIO POR SETOR EXECUTANTE"</f>
        <v>RELATÓRIO POR SETOR EXECUTANTE</v>
      </c>
      <c r="F10284" s="2" t="str">
        <f>"R_EXAME_SETOR.RDF"</f>
        <v>R_EXAME_SETOR.RDF</v>
      </c>
      <c r="G10284" s="2" t="str">
        <f t="shared" si="904"/>
        <v xml:space="preserve"> ()</v>
      </c>
    </row>
    <row r="10285" spans="1:7" x14ac:dyDescent="0.3">
      <c r="A10285" s="1" t="s">
        <v>4</v>
      </c>
      <c r="B10285" s="2" t="str">
        <f t="shared" si="905"/>
        <v>SISTEMA DE DIAGNÓSTICO POR IMAGEM</v>
      </c>
      <c r="C10285" s="2" t="str">
        <f t="shared" si="906"/>
        <v>DIAGN</v>
      </c>
      <c r="D10285" s="2" t="str">
        <f t="shared" si="907"/>
        <v>PSDI</v>
      </c>
      <c r="E10285" s="2" t="str">
        <f>"RELATÓRIO POR CONVÊNIO"</f>
        <v>RELATÓRIO POR CONVÊNIO</v>
      </c>
      <c r="F10285" s="2" t="str">
        <f>"R_EXAME_SOLIC_CONVENIO.RDF"</f>
        <v>R_EXAME_SOLIC_CONVENIO.RDF</v>
      </c>
      <c r="G10285" s="2" t="str">
        <f t="shared" si="904"/>
        <v xml:space="preserve"> ()</v>
      </c>
    </row>
    <row r="10286" spans="1:7" x14ac:dyDescent="0.3">
      <c r="A10286" s="1" t="s">
        <v>4</v>
      </c>
      <c r="B10286" s="2" t="str">
        <f t="shared" si="905"/>
        <v>SISTEMA DE DIAGNÓSTICO POR IMAGEM</v>
      </c>
      <c r="C10286" s="2" t="str">
        <f t="shared" si="906"/>
        <v>DIAGN</v>
      </c>
      <c r="D10286" s="2" t="str">
        <f t="shared" si="907"/>
        <v>PSDI</v>
      </c>
      <c r="E10286" s="2" t="str">
        <f>"RELATÓRIO DE EXAMES POR PACIENTE"</f>
        <v>RELATÓRIO DE EXAMES POR PACIENTE</v>
      </c>
      <c r="F10286" s="2" t="str">
        <f>"R_EXAME_PACIENTE.RDF"</f>
        <v>R_EXAME_PACIENTE.RDF</v>
      </c>
      <c r="G10286" s="2" t="str">
        <f t="shared" si="904"/>
        <v xml:space="preserve"> ()</v>
      </c>
    </row>
    <row r="10287" spans="1:7" x14ac:dyDescent="0.3">
      <c r="A10287" s="1" t="s">
        <v>4</v>
      </c>
      <c r="B10287" s="2" t="str">
        <f t="shared" si="905"/>
        <v>SISTEMA DE DIAGNÓSTICO POR IMAGEM</v>
      </c>
      <c r="C10287" s="2" t="str">
        <f t="shared" si="906"/>
        <v>DIAGN</v>
      </c>
      <c r="D10287" s="2" t="str">
        <f t="shared" si="907"/>
        <v>PSDI</v>
      </c>
      <c r="E10287" s="2" t="str">
        <f>"RELATÓRIO SINTÉTICO POR CONVÊNIO"</f>
        <v>RELATÓRIO SINTÉTICO POR CONVÊNIO</v>
      </c>
      <c r="F10287" s="2" t="str">
        <f>"R_EXAME_CONV_SETORES_SINT"</f>
        <v>R_EXAME_CONV_SETORES_SINT</v>
      </c>
      <c r="G10287" s="2" t="str">
        <f t="shared" si="904"/>
        <v xml:space="preserve"> ()</v>
      </c>
    </row>
    <row r="10288" spans="1:7" x14ac:dyDescent="0.3">
      <c r="A10288" s="1" t="s">
        <v>4</v>
      </c>
      <c r="B10288" s="2" t="str">
        <f t="shared" si="905"/>
        <v>SISTEMA DE DIAGNÓSTICO POR IMAGEM</v>
      </c>
      <c r="C10288" s="2" t="str">
        <f t="shared" si="906"/>
        <v>DIAGN</v>
      </c>
      <c r="D10288" s="2" t="str">
        <f t="shared" si="907"/>
        <v>PSDI</v>
      </c>
      <c r="E10288" s="2" t="str">
        <f>"Perfis de UsuÃ¡rios"</f>
        <v>Perfis de UsuÃ¡rios</v>
      </c>
      <c r="F10288" s="2" t="str">
        <f>"M_PERFIL_PSDI"</f>
        <v>M_PERFIL_PSDI</v>
      </c>
      <c r="G10288" s="2" t="str">
        <f>"Diagnóstico e Terapia / Diagnóstico por Imagem / Tabelas / Perfis de UsuÃ¡rios (M_PERFIL_PSDI)"</f>
        <v>Diagnóstico e Terapia / Diagnóstico por Imagem / Tabelas / Perfis de UsuÃ¡rios (M_PERFIL_PSDI)</v>
      </c>
    </row>
    <row r="10289" spans="1:7" x14ac:dyDescent="0.3">
      <c r="A10289" s="1" t="s">
        <v>4</v>
      </c>
      <c r="B10289" s="2" t="str">
        <f t="shared" si="905"/>
        <v>SISTEMA DE DIAGNÓSTICO POR IMAGEM</v>
      </c>
      <c r="C10289" s="2" t="str">
        <f t="shared" si="906"/>
        <v>DIAGN</v>
      </c>
      <c r="D10289" s="2" t="str">
        <f t="shared" si="907"/>
        <v>PSDI</v>
      </c>
      <c r="E10289" s="2" t="str">
        <f>"R_EXAME_POR_CIDADE_860"</f>
        <v>R_EXAME_POR_CIDADE_860</v>
      </c>
      <c r="F10289" s="2" t="str">
        <f>"R_EXAME_POR_CIDADE_860"</f>
        <v>R_EXAME_POR_CIDADE_860</v>
      </c>
      <c r="G10289" s="2" t="str">
        <f>" ()"</f>
        <v xml:space="preserve"> ()</v>
      </c>
    </row>
    <row r="10290" spans="1:7" x14ac:dyDescent="0.3">
      <c r="A10290" s="1" t="s">
        <v>4</v>
      </c>
      <c r="B10290" s="2" t="str">
        <f t="shared" si="905"/>
        <v>SISTEMA DE DIAGNÓSTICO POR IMAGEM</v>
      </c>
      <c r="C10290" s="2" t="str">
        <f t="shared" si="906"/>
        <v>DIAGN</v>
      </c>
      <c r="D10290" s="2" t="str">
        <f t="shared" si="907"/>
        <v>PSDI</v>
      </c>
      <c r="E10290" s="2" t="str">
        <f>"RELATÓRIO DE PRODUÇÃO FINAL"</f>
        <v>RELATÓRIO DE PRODUÇÃO FINAL</v>
      </c>
      <c r="F10290" s="2" t="str">
        <f>"R_PRODUCAO_FINAL"</f>
        <v>R_PRODUCAO_FINAL</v>
      </c>
      <c r="G10290" s="2" t="str">
        <f>" ()"</f>
        <v xml:space="preserve"> ()</v>
      </c>
    </row>
    <row r="10291" spans="1:7" x14ac:dyDescent="0.3">
      <c r="A10291" s="1" t="s">
        <v>4</v>
      </c>
      <c r="B10291" s="2" t="str">
        <f t="shared" si="905"/>
        <v>SISTEMA DE DIAGNÓSTICO POR IMAGEM</v>
      </c>
      <c r="C10291" s="2" t="str">
        <f t="shared" si="906"/>
        <v>DIAGN</v>
      </c>
      <c r="D10291" s="2" t="str">
        <f t="shared" si="907"/>
        <v>PSDI</v>
      </c>
      <c r="E10291" s="2" t="str">
        <f>"COMPROVANTE DE PEDIDO DE EXAMES"</f>
        <v>COMPROVANTE DE PEDIDO DE EXAMES</v>
      </c>
      <c r="F10291" s="2" t="str">
        <f>"R_COMP_AGENDA_PSDI_959"</f>
        <v>R_COMP_AGENDA_PSDI_959</v>
      </c>
      <c r="G10291" s="2" t="str">
        <f>" ()"</f>
        <v xml:space="preserve"> ()</v>
      </c>
    </row>
    <row r="10292" spans="1:7" x14ac:dyDescent="0.3">
      <c r="A10292" s="1" t="s">
        <v>4</v>
      </c>
      <c r="B10292" s="2" t="str">
        <f t="shared" si="905"/>
        <v>SISTEMA DE DIAGNÓSTICO POR IMAGEM</v>
      </c>
      <c r="C10292" s="2" t="str">
        <f t="shared" si="906"/>
        <v>DIAGN</v>
      </c>
      <c r="D10292" s="2" t="str">
        <f t="shared" si="907"/>
        <v>PSDI</v>
      </c>
      <c r="E10292" s="2" t="str">
        <f>"M_PED_LAB"</f>
        <v>M_PED_LAB</v>
      </c>
      <c r="F10292" s="2" t="str">
        <f>"M_PED_LAB"</f>
        <v>M_PED_LAB</v>
      </c>
      <c r="G10292" s="2" t="str">
        <f>" ()"</f>
        <v xml:space="preserve"> ()</v>
      </c>
    </row>
    <row r="10293" spans="1:7" x14ac:dyDescent="0.3">
      <c r="A10293" s="1" t="s">
        <v>4</v>
      </c>
      <c r="B10293" s="2" t="str">
        <f t="shared" si="905"/>
        <v>SISTEMA DE DIAGNÓSTICO POR IMAGEM</v>
      </c>
      <c r="C10293" s="2" t="str">
        <f t="shared" si="906"/>
        <v>DIAGN</v>
      </c>
      <c r="D10293" s="2" t="str">
        <f t="shared" si="907"/>
        <v>PSDI</v>
      </c>
      <c r="E10293" s="2" t="str">
        <f>"M_PEDLAB"</f>
        <v>M_PEDLAB</v>
      </c>
      <c r="F10293" s="2" t="str">
        <f>"M_PEDLAB"</f>
        <v>M_PEDLAB</v>
      </c>
      <c r="G10293" s="2" t="str">
        <f>" ()"</f>
        <v xml:space="preserve"> ()</v>
      </c>
    </row>
    <row r="10294" spans="1:7" x14ac:dyDescent="0.3">
      <c r="A10294" s="1" t="s">
        <v>4</v>
      </c>
      <c r="B10294" s="2" t="str">
        <f t="shared" si="905"/>
        <v>SISTEMA DE DIAGNÓSTICO POR IMAGEM</v>
      </c>
      <c r="C10294" s="2" t="str">
        <f t="shared" si="906"/>
        <v>DIAGN</v>
      </c>
      <c r="D10294" s="2" t="str">
        <f t="shared" si="907"/>
        <v>PSDI</v>
      </c>
      <c r="E10294" s="2" t="str">
        <f>"RELATÓRIO LAUDO POR CONVENIO"</f>
        <v>RELATÓRIO LAUDO POR CONVENIO</v>
      </c>
      <c r="F10294" s="2" t="str">
        <f>"R_LAUDO_CONVENIO"</f>
        <v>R_LAUDO_CONVENIO</v>
      </c>
      <c r="G10294" s="2" t="str">
        <f>"Diagnóstico e Terapia / Diagnóstico por Imagem / Relatórios / Gastos / Faturamento de Exames por Convênio / Laudos de Exames (R_LAUDO_CONVENIO)"</f>
        <v>Diagnóstico e Terapia / Diagnóstico por Imagem / Relatórios / Gastos / Faturamento de Exames por Convênio / Laudos de Exames (R_LAUDO_CONVENIO)</v>
      </c>
    </row>
    <row r="10295" spans="1:7" x14ac:dyDescent="0.3">
      <c r="A10295" s="1" t="s">
        <v>4</v>
      </c>
      <c r="B10295" s="2" t="str">
        <f t="shared" si="905"/>
        <v>SISTEMA DE DIAGNÓSTICO POR IMAGEM</v>
      </c>
      <c r="C10295" s="2" t="str">
        <f t="shared" si="906"/>
        <v>DIAGN</v>
      </c>
      <c r="D10295" s="2" t="str">
        <f t="shared" si="907"/>
        <v>PSDI</v>
      </c>
      <c r="E10295" s="2" t="str">
        <f>"RELATÓRIO POR CONVÊNIO"</f>
        <v>RELATÓRIO POR CONVÊNIO</v>
      </c>
      <c r="F10295" s="2" t="str">
        <f>"R_EXAME_CONV_SETORES.RDF"</f>
        <v>R_EXAME_CONV_SETORES.RDF</v>
      </c>
      <c r="G10295" s="2" t="str">
        <f t="shared" ref="G10295:G10302" si="908">" ()"</f>
        <v xml:space="preserve"> ()</v>
      </c>
    </row>
    <row r="10296" spans="1:7" x14ac:dyDescent="0.3">
      <c r="A10296" s="1" t="s">
        <v>4</v>
      </c>
      <c r="B10296" s="2" t="str">
        <f t="shared" si="905"/>
        <v>SISTEMA DE DIAGNÓSTICO POR IMAGEM</v>
      </c>
      <c r="C10296" s="2" t="str">
        <f t="shared" si="906"/>
        <v>DIAGN</v>
      </c>
      <c r="D10296" s="2" t="str">
        <f t="shared" si="907"/>
        <v>PSDI</v>
      </c>
      <c r="E10296" s="2" t="str">
        <f>"RELATÓRIO DE AGENDAMENTOS EXCLUÍDOS"</f>
        <v>RELATÓRIO DE AGENDAMENTOS EXCLUÍDOS</v>
      </c>
      <c r="F10296" s="2" t="str">
        <f>"R_EXCLUSAO_AGENDAMENTO.RDF"</f>
        <v>R_EXCLUSAO_AGENDAMENTO.RDF</v>
      </c>
      <c r="G10296" s="2" t="str">
        <f t="shared" si="908"/>
        <v xml:space="preserve"> ()</v>
      </c>
    </row>
    <row r="10297" spans="1:7" x14ac:dyDescent="0.3">
      <c r="A10297" s="1" t="s">
        <v>4</v>
      </c>
      <c r="B10297" s="2" t="str">
        <f t="shared" si="905"/>
        <v>SISTEMA DE DIAGNÓSTICO POR IMAGEM</v>
      </c>
      <c r="C10297" s="2" t="str">
        <f t="shared" si="906"/>
        <v>DIAGN</v>
      </c>
      <c r="D10297" s="2" t="str">
        <f t="shared" si="907"/>
        <v>PSDI</v>
      </c>
      <c r="E10297" s="2" t="str">
        <f>"RELATÓRIO DE PEDIDOS DE EXAMES"</f>
        <v>RELATÓRIO DE PEDIDOS DE EXAMES</v>
      </c>
      <c r="F10297" s="2" t="str">
        <f>"R_GRAFICO_PED_RX.RDF"</f>
        <v>R_GRAFICO_PED_RX.RDF</v>
      </c>
      <c r="G10297" s="2" t="str">
        <f t="shared" si="908"/>
        <v xml:space="preserve"> ()</v>
      </c>
    </row>
    <row r="10298" spans="1:7" x14ac:dyDescent="0.3">
      <c r="A10298" s="1" t="s">
        <v>4</v>
      </c>
      <c r="B10298" s="2" t="str">
        <f t="shared" si="905"/>
        <v>SISTEMA DE DIAGNÓSTICO POR IMAGEM</v>
      </c>
      <c r="C10298" s="2" t="str">
        <f t="shared" si="906"/>
        <v>DIAGN</v>
      </c>
      <c r="D10298" s="2" t="str">
        <f t="shared" si="907"/>
        <v>PSDI</v>
      </c>
      <c r="E10298" s="2" t="str">
        <f>"RELATÓRIO DE LAUDOS DE EXAMES"</f>
        <v>RELATÓRIO DE LAUDOS DE EXAMES</v>
      </c>
      <c r="F10298" s="2" t="str">
        <f>"R_LAUDO_CONVENIO.RDF"</f>
        <v>R_LAUDO_CONVENIO.RDF</v>
      </c>
      <c r="G10298" s="2" t="str">
        <f t="shared" si="908"/>
        <v xml:space="preserve"> ()</v>
      </c>
    </row>
    <row r="10299" spans="1:7" x14ac:dyDescent="0.3">
      <c r="A10299" s="1" t="s">
        <v>4</v>
      </c>
      <c r="B10299" s="2" t="str">
        <f t="shared" si="905"/>
        <v>SISTEMA DE DIAGNÓSTICO POR IMAGEM</v>
      </c>
      <c r="C10299" s="2" t="str">
        <f t="shared" si="906"/>
        <v>DIAGN</v>
      </c>
      <c r="D10299" s="2" t="str">
        <f t="shared" si="907"/>
        <v>PSDI</v>
      </c>
      <c r="E10299" s="2" t="str">
        <f>"REL. CUST. DE EXAMES CÓD. DE FATURAMENTO"</f>
        <v>REL. CUST. DE EXAMES CÓD. DE FATURAMENTO</v>
      </c>
      <c r="F10299" s="2" t="str">
        <f>"R_CUSTO_EXAME.RDF"</f>
        <v>R_CUSTO_EXAME.RDF</v>
      </c>
      <c r="G10299" s="2" t="str">
        <f t="shared" si="908"/>
        <v xml:space="preserve"> ()</v>
      </c>
    </row>
    <row r="10300" spans="1:7" x14ac:dyDescent="0.3">
      <c r="A10300" s="1" t="s">
        <v>4</v>
      </c>
      <c r="B10300" s="2" t="str">
        <f t="shared" si="905"/>
        <v>SISTEMA DE DIAGNÓSTICO POR IMAGEM</v>
      </c>
      <c r="C10300" s="2" t="str">
        <f t="shared" si="906"/>
        <v>DIAGN</v>
      </c>
      <c r="D10300" s="2" t="str">
        <f t="shared" si="907"/>
        <v>PSDI</v>
      </c>
      <c r="E10300" s="2" t="str">
        <f>"RELATÓRIO REALIZADOS X RECURSO X ORIGEM"</f>
        <v>RELATÓRIO REALIZADOS X RECURSO X ORIGEM</v>
      </c>
      <c r="F10300" s="2" t="str">
        <f>"R_EST_EXA_REAL_ORI_REC.RDF"</f>
        <v>R_EST_EXA_REAL_ORI_REC.RDF</v>
      </c>
      <c r="G10300" s="2" t="str">
        <f t="shared" si="908"/>
        <v xml:space="preserve"> ()</v>
      </c>
    </row>
    <row r="10301" spans="1:7" x14ac:dyDescent="0.3">
      <c r="A10301" s="1" t="s">
        <v>4</v>
      </c>
      <c r="B10301" s="2" t="str">
        <f t="shared" si="905"/>
        <v>SISTEMA DE DIAGNÓSTICO POR IMAGEM</v>
      </c>
      <c r="C10301" s="2" t="str">
        <f t="shared" si="906"/>
        <v>DIAGN</v>
      </c>
      <c r="D10301" s="2" t="str">
        <f t="shared" si="907"/>
        <v>PSDI</v>
      </c>
      <c r="E10301" s="2" t="str">
        <f>"RELATÓRIO SINT DE PRODUÇÃO POR PRESTADOR"</f>
        <v>RELATÓRIO SINT DE PRODUÇÃO POR PRESTADOR</v>
      </c>
      <c r="F10301" s="2" t="str">
        <f>"R_PROD_RX_PROF_360_SINT"</f>
        <v>R_PROD_RX_PROF_360_SINT</v>
      </c>
      <c r="G10301" s="2" t="str">
        <f t="shared" si="908"/>
        <v xml:space="preserve"> ()</v>
      </c>
    </row>
    <row r="10302" spans="1:7" x14ac:dyDescent="0.3">
      <c r="A10302" s="1" t="s">
        <v>4</v>
      </c>
      <c r="B10302" s="2" t="str">
        <f t="shared" ref="B10302:B10365" si="909">"SISTEMA DE CONTROLE DE INFEC. HOSPITALAR"</f>
        <v>SISTEMA DE CONTROLE DE INFEC. HOSPITALAR</v>
      </c>
      <c r="C10302" s="2" t="str">
        <f t="shared" ref="C10302:C10365" si="910">"INTER"</f>
        <v>INTER</v>
      </c>
      <c r="D10302" s="2" t="str">
        <f t="shared" ref="D10302:D10365" si="911">"PSIH"</f>
        <v>PSIH</v>
      </c>
      <c r="E10302" s="2" t="str">
        <f>"RELATÓRIO DE AVALIAÇÃO DA PRESCRIÇÃO"</f>
        <v>RELATÓRIO DE AVALIAÇÃO DA PRESCRIÇÃO</v>
      </c>
      <c r="F10302" s="2" t="str">
        <f>"R_AVALIACAO_PRESCRICAO.RDF"</f>
        <v>R_AVALIACAO_PRESCRICAO.RDF</v>
      </c>
      <c r="G10302" s="2" t="str">
        <f t="shared" si="908"/>
        <v xml:space="preserve"> ()</v>
      </c>
    </row>
    <row r="10303" spans="1:7" x14ac:dyDescent="0.3">
      <c r="A10303" s="1" t="s">
        <v>4</v>
      </c>
      <c r="B10303" s="2" t="str">
        <f t="shared" si="909"/>
        <v>SISTEMA DE CONTROLE DE INFEC. HOSPITALAR</v>
      </c>
      <c r="C10303" s="2" t="str">
        <f t="shared" si="910"/>
        <v>INTER</v>
      </c>
      <c r="D10303" s="2" t="str">
        <f t="shared" si="911"/>
        <v>PSIH</v>
      </c>
      <c r="E10303" s="2" t="str">
        <f>"C_G_TOPOGRAFIA"</f>
        <v>C_G_TOPOGRAFIA</v>
      </c>
      <c r="F10303" s="2" t="str">
        <f>"C_G_TOPOGRAFIA"</f>
        <v>C_G_TOPOGRAFIA</v>
      </c>
      <c r="G10303" s="2" t="str">
        <f>"Clínica e Assistencial / Controle de Infecção Hospitalar / Indicadores / Distribuição das Infecções por Topografia (C_G_TOPOGRAFIA)"</f>
        <v>Clínica e Assistencial / Controle de Infecção Hospitalar / Indicadores / Distribuição das Infecções por Topografia (C_G_TOPOGRAFIA)</v>
      </c>
    </row>
    <row r="10304" spans="1:7" x14ac:dyDescent="0.3">
      <c r="A10304" s="1" t="s">
        <v>4</v>
      </c>
      <c r="B10304" s="2" t="str">
        <f t="shared" si="909"/>
        <v>SISTEMA DE CONTROLE DE INFEC. HOSPITALAR</v>
      </c>
      <c r="C10304" s="2" t="str">
        <f t="shared" si="910"/>
        <v>INTER</v>
      </c>
      <c r="D10304" s="2" t="str">
        <f t="shared" si="911"/>
        <v>PSIH</v>
      </c>
      <c r="E10304" s="2" t="str">
        <f>"ABERTURA E FECHAMENTO DO PERÍODO"</f>
        <v>ABERTURA E FECHAMENTO DO PERÍODO</v>
      </c>
      <c r="F10304" s="2" t="str">
        <f>"M_MES_ANO_PSIH"</f>
        <v>M_MES_ANO_PSIH</v>
      </c>
      <c r="G10304" s="2" t="str">
        <f>"Clínica e Assistencial / Controle de Infecção Hospitalar / Atendimento / Abertura e Fechamento de Período (M_MES_ANO_PSIH)"</f>
        <v>Clínica e Assistencial / Controle de Infecção Hospitalar / Atendimento / Abertura e Fechamento de Período (M_MES_ANO_PSIH)</v>
      </c>
    </row>
    <row r="10305" spans="1:7" x14ac:dyDescent="0.3">
      <c r="A10305" s="1" t="s">
        <v>4</v>
      </c>
      <c r="B10305" s="2" t="str">
        <f t="shared" si="909"/>
        <v>SISTEMA DE CONTROLE DE INFEC. HOSPITALAR</v>
      </c>
      <c r="C10305" s="2" t="str">
        <f t="shared" si="910"/>
        <v>INTER</v>
      </c>
      <c r="D10305" s="2" t="str">
        <f t="shared" si="911"/>
        <v>PSIH</v>
      </c>
      <c r="E10305" s="2" t="str">
        <f>"COMPONENTES NNISS"</f>
        <v>COMPONENTES NNISS</v>
      </c>
      <c r="F10305" s="2" t="str">
        <f>"M_COMPONENTE_NNISS"</f>
        <v>M_COMPONENTE_NNISS</v>
      </c>
      <c r="G10305" s="2" t="str">
        <f>"Clínica e Assistencial / Controle de Infecção Hospitalar / Atendimento / Componente IRAS (M_COMPONENTE_NNISS)"</f>
        <v>Clínica e Assistencial / Controle de Infecção Hospitalar / Atendimento / Componente IRAS (M_COMPONENTE_NNISS)</v>
      </c>
    </row>
    <row r="10306" spans="1:7" x14ac:dyDescent="0.3">
      <c r="A10306" s="1" t="s">
        <v>4</v>
      </c>
      <c r="B10306" s="2" t="str">
        <f t="shared" si="909"/>
        <v>SISTEMA DE CONTROLE DE INFEC. HOSPITALAR</v>
      </c>
      <c r="C10306" s="2" t="str">
        <f t="shared" si="910"/>
        <v>INTER</v>
      </c>
      <c r="D10306" s="2" t="str">
        <f t="shared" si="911"/>
        <v>PSIH</v>
      </c>
      <c r="E10306" s="2" t="str">
        <f>"ANUAL DA TAXA GERAL DE INFECÇÃO"</f>
        <v>ANUAL DA TAXA GERAL DE INFECÇÃO</v>
      </c>
      <c r="F10306" s="2" t="str">
        <f>"R_COMPARA_GERAL_INFEC"</f>
        <v>R_COMPARA_GERAL_INFEC</v>
      </c>
      <c r="G10306" s="2" t="str">
        <f>"Clínica e Assistencial / Controle de Infecção Hospitalar / Relatórios / Gerenciais / Comparativos / Relatórios - Anual da Taxa Geral de Infecção (R_COMPARA_GERAL_INFEC)"</f>
        <v>Clínica e Assistencial / Controle de Infecção Hospitalar / Relatórios / Gerenciais / Comparativos / Relatórios - Anual da Taxa Geral de Infecção (R_COMPARA_GERAL_INFEC)</v>
      </c>
    </row>
    <row r="10307" spans="1:7" x14ac:dyDescent="0.3">
      <c r="A10307" s="1" t="s">
        <v>4</v>
      </c>
      <c r="B10307" s="2" t="str">
        <f t="shared" si="909"/>
        <v>SISTEMA DE CONTROLE DE INFEC. HOSPITALAR</v>
      </c>
      <c r="C10307" s="2" t="str">
        <f t="shared" si="910"/>
        <v>INTER</v>
      </c>
      <c r="D10307" s="2" t="str">
        <f t="shared" si="911"/>
        <v>PSIH</v>
      </c>
      <c r="E10307" s="2" t="str">
        <f>"RELATÓRIO DE INFECÇÕES POR LOCALIZAÇÃO"</f>
        <v>RELATÓRIO DE INFECÇÕES POR LOCALIZAÇÃO</v>
      </c>
      <c r="F10307" s="2" t="str">
        <f>"R_INFEC_UNID_INT.RDF"</f>
        <v>R_INFEC_UNID_INT.RDF</v>
      </c>
      <c r="G10307" s="2" t="str">
        <f>" ()"</f>
        <v xml:space="preserve"> ()</v>
      </c>
    </row>
    <row r="10308" spans="1:7" x14ac:dyDescent="0.3">
      <c r="A10308" s="1" t="s">
        <v>4</v>
      </c>
      <c r="B10308" s="2" t="str">
        <f t="shared" si="909"/>
        <v>SISTEMA DE CONTROLE DE INFEC. HOSPITALAR</v>
      </c>
      <c r="C10308" s="2" t="str">
        <f t="shared" si="910"/>
        <v>INTER</v>
      </c>
      <c r="D10308" s="2" t="str">
        <f t="shared" si="911"/>
        <v>PSIH</v>
      </c>
      <c r="E10308" s="2" t="str">
        <f>"Pendências de Troca de Proc. Invasivos"</f>
        <v>Pendências de Troca de Proc. Invasivos</v>
      </c>
      <c r="F10308" s="2" t="str">
        <f>"M_PEN_PRO_INV"</f>
        <v>M_PEN_PRO_INV</v>
      </c>
      <c r="G10308" s="2" t="str">
        <f>"Clínica e Assistencial / Controle de Infecção Hospitalar / Atendimento / Pendências de Troca de Proc. Invasivos (M_PEN_PRO_INV)"</f>
        <v>Clínica e Assistencial / Controle de Infecção Hospitalar / Atendimento / Pendências de Troca de Proc. Invasivos (M_PEN_PRO_INV)</v>
      </c>
    </row>
    <row r="10309" spans="1:7" x14ac:dyDescent="0.3">
      <c r="A10309" s="1" t="s">
        <v>4</v>
      </c>
      <c r="B10309" s="2" t="str">
        <f t="shared" si="909"/>
        <v>SISTEMA DE CONTROLE DE INFEC. HOSPITALAR</v>
      </c>
      <c r="C10309" s="2" t="str">
        <f t="shared" si="910"/>
        <v>INTER</v>
      </c>
      <c r="D10309" s="2" t="str">
        <f t="shared" si="911"/>
        <v>PSIH</v>
      </c>
      <c r="E10309" s="2" t="str">
        <f>"CLASSIFICAÇÃO DO IRAS"</f>
        <v>CLASSIFICAÇÃO DO IRAS</v>
      </c>
      <c r="F10309" s="2" t="str">
        <f>"M_CLASSIFICACAO_IRAS"</f>
        <v>M_CLASSIFICACAO_IRAS</v>
      </c>
      <c r="G10309" s="2" t="str">
        <f>"Clínica e Assistencial / Controle de Infecção Hospitalar / Tabelas / Classificação IRAS (M_CLASSIFICACAO_IRAS)"</f>
        <v>Clínica e Assistencial / Controle de Infecção Hospitalar / Tabelas / Classificação IRAS (M_CLASSIFICACAO_IRAS)</v>
      </c>
    </row>
    <row r="10310" spans="1:7" x14ac:dyDescent="0.3">
      <c r="A10310" s="1" t="s">
        <v>4</v>
      </c>
      <c r="B10310" s="2" t="str">
        <f t="shared" si="909"/>
        <v>SISTEMA DE CONTROLE DE INFEC. HOSPITALAR</v>
      </c>
      <c r="C10310" s="2" t="str">
        <f t="shared" si="910"/>
        <v>INTER</v>
      </c>
      <c r="D10310" s="2" t="str">
        <f t="shared" si="911"/>
        <v>PSIH</v>
      </c>
      <c r="E10310" s="2" t="str">
        <f>"RELATÓRIO DE TOPOGRADIA"</f>
        <v>RELATÓRIO DE TOPOGRADIA</v>
      </c>
      <c r="F10310" s="2" t="str">
        <f>"R_TOPOGRAFIA.RDF"</f>
        <v>R_TOPOGRAFIA.RDF</v>
      </c>
      <c r="G10310" s="2" t="str">
        <f>" ()"</f>
        <v xml:space="preserve"> ()</v>
      </c>
    </row>
    <row r="10311" spans="1:7" x14ac:dyDescent="0.3">
      <c r="A10311" s="1" t="s">
        <v>4</v>
      </c>
      <c r="B10311" s="2" t="str">
        <f t="shared" si="909"/>
        <v>SISTEMA DE CONTROLE DE INFEC. HOSPITALAR</v>
      </c>
      <c r="C10311" s="2" t="str">
        <f t="shared" si="910"/>
        <v>INTER</v>
      </c>
      <c r="D10311" s="2" t="str">
        <f t="shared" si="911"/>
        <v>PSIH</v>
      </c>
      <c r="E10311" s="2" t="str">
        <f>"CONSULTA DE PROCEDIMENTOS INVASIVOS"</f>
        <v>CONSULTA DE PROCEDIMENTOS INVASIVOS</v>
      </c>
      <c r="F10311" s="2" t="str">
        <f>"C_REG_PROC_INV_CONSULTA"</f>
        <v>C_REG_PROC_INV_CONSULTA</v>
      </c>
      <c r="G10311" s="2" t="str">
        <f>"Clínica e Assistencial / Controle de Infecção Hospitalar / Consultas / Procedimentos Invasivos (C_REG_PROC_INV_CONSULTA)"</f>
        <v>Clínica e Assistencial / Controle de Infecção Hospitalar / Consultas / Procedimentos Invasivos (C_REG_PROC_INV_CONSULTA)</v>
      </c>
    </row>
    <row r="10312" spans="1:7" x14ac:dyDescent="0.3">
      <c r="A10312" s="1" t="s">
        <v>4</v>
      </c>
      <c r="B10312" s="2" t="str">
        <f t="shared" si="909"/>
        <v>SISTEMA DE CONTROLE DE INFEC. HOSPITALAR</v>
      </c>
      <c r="C10312" s="2" t="str">
        <f t="shared" si="910"/>
        <v>INTER</v>
      </c>
      <c r="D10312" s="2" t="str">
        <f t="shared" si="911"/>
        <v>PSIH</v>
      </c>
      <c r="E10312" s="2" t="str">
        <f>"REGRAS DE AUDITORIA PADRAO"</f>
        <v>REGRAS DE AUDITORIA PADRAO</v>
      </c>
      <c r="F10312" s="2" t="str">
        <f>"M_REGRA_AUDIT_AUTO"</f>
        <v>M_REGRA_AUDIT_AUTO</v>
      </c>
      <c r="G10312" s="2" t="str">
        <f>"Clínica e Assistencial / Controle de Infecção Hospitalar / Tabelas / Regras de Auditoria Padrão (M_REGRA_AUDIT_AUTO)"</f>
        <v>Clínica e Assistencial / Controle de Infecção Hospitalar / Tabelas / Regras de Auditoria Padrão (M_REGRA_AUDIT_AUTO)</v>
      </c>
    </row>
    <row r="10313" spans="1:7" x14ac:dyDescent="0.3">
      <c r="A10313" s="1" t="s">
        <v>4</v>
      </c>
      <c r="B10313" s="2" t="str">
        <f t="shared" si="909"/>
        <v>SISTEMA DE CONTROLE DE INFEC. HOSPITALAR</v>
      </c>
      <c r="C10313" s="2" t="str">
        <f t="shared" si="910"/>
        <v>INTER</v>
      </c>
      <c r="D10313" s="2" t="str">
        <f t="shared" si="911"/>
        <v>PSIH</v>
      </c>
      <c r="E10313" s="2" t="str">
        <f>"ITENS DE PRECAUCAO"</f>
        <v>ITENS DE PRECAUCAO</v>
      </c>
      <c r="F10313" s="2" t="str">
        <f>"M_ITEM_PRECAUCAO"</f>
        <v>M_ITEM_PRECAUCAO</v>
      </c>
      <c r="G10313" s="2" t="str">
        <f>"Clínica e Assistencial / Controle de Infecção Hospitalar / Tabelas / Itens de Precaução (M_ITEM_PRECAUCAO)"</f>
        <v>Clínica e Assistencial / Controle de Infecção Hospitalar / Tabelas / Itens de Precaução (M_ITEM_PRECAUCAO)</v>
      </c>
    </row>
    <row r="10314" spans="1:7" x14ac:dyDescent="0.3">
      <c r="A10314" s="1" t="s">
        <v>4</v>
      </c>
      <c r="B10314" s="2" t="str">
        <f t="shared" si="909"/>
        <v>SISTEMA DE CONTROLE DE INFEC. HOSPITALAR</v>
      </c>
      <c r="C10314" s="2" t="str">
        <f t="shared" si="910"/>
        <v>INTER</v>
      </c>
      <c r="D10314" s="2" t="str">
        <f t="shared" si="911"/>
        <v>PSIH</v>
      </c>
      <c r="E10314" s="2" t="str">
        <f>"RELAT. ESTAT. CULT.XMAT. UNID.INT. PSIH"</f>
        <v>RELAT. ESTAT. CULT.XMAT. UNID.INT. PSIH</v>
      </c>
      <c r="F10314" s="2" t="str">
        <f>"R_EST_POS_CULTURA_MATERIAL"</f>
        <v>R_EST_POS_CULTURA_MATERIAL</v>
      </c>
      <c r="G10314" s="2" t="str">
        <f>"Clínica e Assistencial / Controle de Infecção Hospitalar / Relatórios / Estatísticos / Relatórios - Estatística Cultura x Material Unid.Internação (R_EST_POS_CULTURA_MATERIAL)"</f>
        <v>Clínica e Assistencial / Controle de Infecção Hospitalar / Relatórios / Estatísticos / Relatórios - Estatística Cultura x Material Unid.Internação (R_EST_POS_CULTURA_MATERIAL)</v>
      </c>
    </row>
    <row r="10315" spans="1:7" x14ac:dyDescent="0.3">
      <c r="A10315" s="1" t="s">
        <v>4</v>
      </c>
      <c r="B10315" s="2" t="str">
        <f t="shared" si="909"/>
        <v>SISTEMA DE CONTROLE DE INFEC. HOSPITALAR</v>
      </c>
      <c r="C10315" s="2" t="str">
        <f t="shared" si="910"/>
        <v>INTER</v>
      </c>
      <c r="D10315" s="2" t="str">
        <f t="shared" si="911"/>
        <v>PSIH</v>
      </c>
      <c r="E10315" s="2" t="str">
        <f>"Cadastro de Pareceres da Auditoria"</f>
        <v>Cadastro de Pareceres da Auditoria</v>
      </c>
      <c r="F10315" s="2" t="str">
        <f>"M_PARECER_AUDITORIA"</f>
        <v>M_PARECER_AUDITORIA</v>
      </c>
      <c r="G10315" s="2" t="str">
        <f>"Clínica e Assistencial / Controle de Infecção Hospitalar / Tabelas / Cadastro de Pareceres da Auditoria (M_PARECER_AUDITORIA)"</f>
        <v>Clínica e Assistencial / Controle de Infecção Hospitalar / Tabelas / Cadastro de Pareceres da Auditoria (M_PARECER_AUDITORIA)</v>
      </c>
    </row>
    <row r="10316" spans="1:7" x14ac:dyDescent="0.3">
      <c r="A10316" s="1" t="s">
        <v>4</v>
      </c>
      <c r="B10316" s="2" t="str">
        <f t="shared" si="909"/>
        <v>SISTEMA DE CONTROLE DE INFEC. HOSPITALAR</v>
      </c>
      <c r="C10316" s="2" t="str">
        <f t="shared" si="910"/>
        <v>INTER</v>
      </c>
      <c r="D10316" s="2" t="str">
        <f t="shared" si="911"/>
        <v>PSIH</v>
      </c>
      <c r="E10316" s="2" t="str">
        <f>"Envio de NPA'S"</f>
        <v>Envio de NPA'S</v>
      </c>
      <c r="F10316" s="2" t="str">
        <f>"M_ENVIO_NPA"</f>
        <v>M_ENVIO_NPA</v>
      </c>
      <c r="G10316" s="2" t="str">
        <f>"Clínica e Assistencial / Controle de Infecção Hospitalar / Consultas / Envio de NPA´S (M_ENVIO_NPA)"</f>
        <v>Clínica e Assistencial / Controle de Infecção Hospitalar / Consultas / Envio de NPA´S (M_ENVIO_NPA)</v>
      </c>
    </row>
    <row r="10317" spans="1:7" x14ac:dyDescent="0.3">
      <c r="A10317" s="1" t="s">
        <v>4</v>
      </c>
      <c r="B10317" s="2" t="str">
        <f t="shared" si="909"/>
        <v>SISTEMA DE CONTROLE DE INFEC. HOSPITALAR</v>
      </c>
      <c r="C10317" s="2" t="str">
        <f t="shared" si="910"/>
        <v>INTER</v>
      </c>
      <c r="D10317" s="2" t="str">
        <f t="shared" si="911"/>
        <v>PSIH</v>
      </c>
      <c r="E10317" s="2" t="str">
        <f>"REL. DE PROCEDIMENTOS INVASIVOS"</f>
        <v>REL. DE PROCEDIMENTOS INVASIVOS</v>
      </c>
      <c r="F10317" s="2" t="str">
        <f>"R_PRO_INVASIVO.RDF"</f>
        <v>R_PRO_INVASIVO.RDF</v>
      </c>
      <c r="G10317" s="2" t="str">
        <f>" ()"</f>
        <v xml:space="preserve"> ()</v>
      </c>
    </row>
    <row r="10318" spans="1:7" x14ac:dyDescent="0.3">
      <c r="A10318" s="1" t="s">
        <v>4</v>
      </c>
      <c r="B10318" s="2" t="str">
        <f t="shared" si="909"/>
        <v>SISTEMA DE CONTROLE DE INFEC. HOSPITALAR</v>
      </c>
      <c r="C10318" s="2" t="str">
        <f t="shared" si="910"/>
        <v>INTER</v>
      </c>
      <c r="D10318" s="2" t="str">
        <f t="shared" si="911"/>
        <v>PSIH</v>
      </c>
      <c r="E10318" s="2" t="str">
        <f>"INTERNAÇÕES CLASSIFICADAS POR SERVIÇO"</f>
        <v>INTERNAÇÕES CLASSIFICADAS POR SERVIÇO</v>
      </c>
      <c r="F10318" s="2" t="str">
        <f>"C_G_SERVICO"</f>
        <v>C_G_SERVICO</v>
      </c>
      <c r="G10318" s="2" t="str">
        <f>"Clínica e Assistencial / Controle de Infecção Hospitalar / Indicadores / Distribuição das Infecções por Serviço (C_G_SERVICO)"</f>
        <v>Clínica e Assistencial / Controle de Infecção Hospitalar / Indicadores / Distribuição das Infecções por Serviço (C_G_SERVICO)</v>
      </c>
    </row>
    <row r="10319" spans="1:7" x14ac:dyDescent="0.3">
      <c r="A10319" s="1" t="s">
        <v>4</v>
      </c>
      <c r="B10319" s="2" t="str">
        <f t="shared" si="909"/>
        <v>SISTEMA DE CONTROLE DE INFEC. HOSPITALAR</v>
      </c>
      <c r="C10319" s="2" t="str">
        <f t="shared" si="910"/>
        <v>INTER</v>
      </c>
      <c r="D10319" s="2" t="str">
        <f t="shared" si="911"/>
        <v>PSIH</v>
      </c>
      <c r="E10319" s="2" t="str">
        <f>"PERSONALIZADOS DO PSIH"</f>
        <v>PERSONALIZADOS DO PSIH</v>
      </c>
      <c r="F10319" s="2" t="str">
        <f>"R_PERSON_PSIH"</f>
        <v>R_PERSON_PSIH</v>
      </c>
      <c r="G10319" s="2" t="str">
        <f>"Clínica e Assistencial / Controle de Infecção Hospitalar / Relatórios / Relatórios - Personalizados (R_PERSON_PSIH)"</f>
        <v>Clínica e Assistencial / Controle de Infecção Hospitalar / Relatórios / Relatórios - Personalizados (R_PERSON_PSIH)</v>
      </c>
    </row>
    <row r="10320" spans="1:7" x14ac:dyDescent="0.3">
      <c r="A10320" s="1" t="s">
        <v>4</v>
      </c>
      <c r="B10320" s="2" t="str">
        <f t="shared" si="909"/>
        <v>SISTEMA DE CONTROLE DE INFEC. HOSPITALAR</v>
      </c>
      <c r="C10320" s="2" t="str">
        <f t="shared" si="910"/>
        <v>INTER</v>
      </c>
      <c r="D10320" s="2" t="str">
        <f t="shared" si="911"/>
        <v>PSIH</v>
      </c>
      <c r="E10320" s="2" t="str">
        <f>"R_PAC_SUSPEITO"</f>
        <v>R_PAC_SUSPEITO</v>
      </c>
      <c r="F10320" s="2" t="str">
        <f>"R_PAC_SUSPEITO"</f>
        <v>R_PAC_SUSPEITO</v>
      </c>
      <c r="G10320" s="2" t="str">
        <f>"Clínica e Assistencial / Controle de Infecção Hospitalar / Relatórios / Operacionais / Relatórios - Pacientes Suspeitos de Infecção (R_PAC_SUSPEITO)"</f>
        <v>Clínica e Assistencial / Controle de Infecção Hospitalar / Relatórios / Operacionais / Relatórios - Pacientes Suspeitos de Infecção (R_PAC_SUSPEITO)</v>
      </c>
    </row>
    <row r="10321" spans="1:7" x14ac:dyDescent="0.3">
      <c r="A10321" s="1" t="s">
        <v>4</v>
      </c>
      <c r="B10321" s="2" t="str">
        <f t="shared" si="909"/>
        <v>SISTEMA DE CONTROLE DE INFEC. HOSPITALAR</v>
      </c>
      <c r="C10321" s="2" t="str">
        <f t="shared" si="910"/>
        <v>INTER</v>
      </c>
      <c r="D10321" s="2" t="str">
        <f t="shared" si="911"/>
        <v>PSIH</v>
      </c>
      <c r="E10321" s="2" t="str">
        <f>"M_AUDIT_PRESC_M"</f>
        <v>M_AUDIT_PRESC_M</v>
      </c>
      <c r="F10321" s="2" t="str">
        <f>"M_AUDIT_PRESC_M"</f>
        <v>M_AUDIT_PRESC_M</v>
      </c>
      <c r="G10321" s="2" t="str">
        <f>"Clínica e Assistencial / Controle de Infecção Hospitalar / Atendimento / Auditoria de Prescrições (M_AUDIT_PRESC_M)"</f>
        <v>Clínica e Assistencial / Controle de Infecção Hospitalar / Atendimento / Auditoria de Prescrições (M_AUDIT_PRESC_M)</v>
      </c>
    </row>
    <row r="10322" spans="1:7" x14ac:dyDescent="0.3">
      <c r="A10322" s="1" t="s">
        <v>4</v>
      </c>
      <c r="B10322" s="2" t="str">
        <f t="shared" si="909"/>
        <v>SISTEMA DE CONTROLE DE INFEC. HOSPITALAR</v>
      </c>
      <c r="C10322" s="2" t="str">
        <f t="shared" si="910"/>
        <v>INTER</v>
      </c>
      <c r="D10322" s="2" t="str">
        <f t="shared" si="911"/>
        <v>PSIH</v>
      </c>
      <c r="E10322" s="2" t="str">
        <f>"M_AUDIT_PRESC_INTERNACAO"</f>
        <v>M_AUDIT_PRESC_INTERNACAO</v>
      </c>
      <c r="F10322" s="2" t="str">
        <f>"M_AUDIT_PRESC_INTERNACAO"</f>
        <v>M_AUDIT_PRESC_INTERNACAO</v>
      </c>
      <c r="G10322" s="2" t="str">
        <f>"Clínica e Assistencial / Controle de Infecção Hospitalar / Atendimento / Auditoria de Prescrições / Internação e Urgência (M_AUDIT_PRESC_INTERNACAO)"</f>
        <v>Clínica e Assistencial / Controle de Infecção Hospitalar / Atendimento / Auditoria de Prescrições / Internação e Urgência (M_AUDIT_PRESC_INTERNACAO)</v>
      </c>
    </row>
    <row r="10323" spans="1:7" x14ac:dyDescent="0.3">
      <c r="A10323" s="1" t="s">
        <v>4</v>
      </c>
      <c r="B10323" s="2" t="str">
        <f t="shared" si="909"/>
        <v>SISTEMA DE CONTROLE DE INFEC. HOSPITALAR</v>
      </c>
      <c r="C10323" s="2" t="str">
        <f t="shared" si="910"/>
        <v>INTER</v>
      </c>
      <c r="D10323" s="2" t="str">
        <f t="shared" si="911"/>
        <v>PSIH</v>
      </c>
      <c r="E10323" s="2" t="str">
        <f>"M_AUDIT_PRESC_AMBULATORIAL"</f>
        <v>M_AUDIT_PRESC_AMBULATORIAL</v>
      </c>
      <c r="F10323" s="2" t="str">
        <f>"M_AUDIT_PRESC_AMBULATORIAL"</f>
        <v>M_AUDIT_PRESC_AMBULATORIAL</v>
      </c>
      <c r="G10323" s="2" t="str">
        <f>"Clínica e Assistencial / Controle de Infecção Hospitalar / Atendimento / Auditoria de Prescrições / Ambulatorial (M_AUDIT_PRESC_AMBULATORIAL)"</f>
        <v>Clínica e Assistencial / Controle de Infecção Hospitalar / Atendimento / Auditoria de Prescrições / Ambulatorial (M_AUDIT_PRESC_AMBULATORIAL)</v>
      </c>
    </row>
    <row r="10324" spans="1:7" x14ac:dyDescent="0.3">
      <c r="A10324" s="1" t="s">
        <v>4</v>
      </c>
      <c r="B10324" s="2" t="str">
        <f t="shared" si="909"/>
        <v>SISTEMA DE CONTROLE DE INFEC. HOSPITALAR</v>
      </c>
      <c r="C10324" s="2" t="str">
        <f t="shared" si="910"/>
        <v>INTER</v>
      </c>
      <c r="D10324" s="2" t="str">
        <f t="shared" si="911"/>
        <v>PSIH</v>
      </c>
      <c r="E10324" s="2" t="str">
        <f>"R_PRODUTO_ATEND"</f>
        <v>R_PRODUTO_ATEND</v>
      </c>
      <c r="F10324" s="2" t="str">
        <f>"R_PRODUTO_ATEND"</f>
        <v>R_PRODUTO_ATEND</v>
      </c>
      <c r="G10324" s="2" t="str">
        <f>"Clínica e Assistencial / Controle de Infecção Hospitalar / Relatórios / Operacionais / Relatórios - Produtos por Atendimento (R_PRODUTO_ATEND)"</f>
        <v>Clínica e Assistencial / Controle de Infecção Hospitalar / Relatórios / Operacionais / Relatórios - Produtos por Atendimento (R_PRODUTO_ATEND)</v>
      </c>
    </row>
    <row r="10325" spans="1:7" x14ac:dyDescent="0.3">
      <c r="A10325" s="1" t="s">
        <v>4</v>
      </c>
      <c r="B10325" s="2" t="str">
        <f t="shared" si="909"/>
        <v>SISTEMA DE CONTROLE DE INFEC. HOSPITALAR</v>
      </c>
      <c r="C10325" s="2" t="str">
        <f t="shared" si="910"/>
        <v>INTER</v>
      </c>
      <c r="D10325" s="2" t="str">
        <f t="shared" si="911"/>
        <v>PSIH</v>
      </c>
      <c r="E10325" s="2" t="str">
        <f>"M_FICHA_INFECCAO_INTEGRADA"</f>
        <v>M_FICHA_INFECCAO_INTEGRADA</v>
      </c>
      <c r="F10325" s="2" t="str">
        <f>"M_FICHA_INFECCAO_INTEGRADA"</f>
        <v>M_FICHA_INFECCAO_INTEGRADA</v>
      </c>
      <c r="G10325" s="2" t="str">
        <f>" ()"</f>
        <v xml:space="preserve"> ()</v>
      </c>
    </row>
    <row r="10326" spans="1:7" x14ac:dyDescent="0.3">
      <c r="A10326" s="1" t="s">
        <v>4</v>
      </c>
      <c r="B10326" s="2" t="str">
        <f t="shared" si="909"/>
        <v>SISTEMA DE CONTROLE DE INFEC. HOSPITALAR</v>
      </c>
      <c r="C10326" s="2" t="str">
        <f t="shared" si="910"/>
        <v>INTER</v>
      </c>
      <c r="D10326" s="2" t="str">
        <f t="shared" si="911"/>
        <v>PSIH</v>
      </c>
      <c r="E10326" s="2" t="str">
        <f>"M_AVISO_INFEC1904"</f>
        <v>M_AVISO_INFEC1904</v>
      </c>
      <c r="F10326" s="2" t="str">
        <f>"M_AVISO_INFEC1904"</f>
        <v>M_AVISO_INFEC1904</v>
      </c>
      <c r="G10326" s="2" t="str">
        <f>" ()"</f>
        <v xml:space="preserve"> ()</v>
      </c>
    </row>
    <row r="10327" spans="1:7" x14ac:dyDescent="0.3">
      <c r="A10327" s="1" t="s">
        <v>4</v>
      </c>
      <c r="B10327" s="2" t="str">
        <f t="shared" si="909"/>
        <v>SISTEMA DE CONTROLE DE INFEC. HOSPITALAR</v>
      </c>
      <c r="C10327" s="2" t="str">
        <f t="shared" si="910"/>
        <v>INTER</v>
      </c>
      <c r="D10327" s="2" t="str">
        <f t="shared" si="911"/>
        <v>PSIH</v>
      </c>
      <c r="E10327" s="2" t="str">
        <f>"DEV_LOGIN"</f>
        <v>DEV_LOGIN</v>
      </c>
      <c r="F10327" s="2" t="str">
        <f>"DEV_LOGIN"</f>
        <v>DEV_LOGIN</v>
      </c>
      <c r="G10327" s="2" t="str">
        <f>" ()"</f>
        <v xml:space="preserve"> ()</v>
      </c>
    </row>
    <row r="10328" spans="1:7" x14ac:dyDescent="0.3">
      <c r="A10328" s="1" t="s">
        <v>4</v>
      </c>
      <c r="B10328" s="2" t="str">
        <f t="shared" si="909"/>
        <v>SISTEMA DE CONTROLE DE INFEC. HOSPITALAR</v>
      </c>
      <c r="C10328" s="2" t="str">
        <f t="shared" si="910"/>
        <v>INTER</v>
      </c>
      <c r="D10328" s="2" t="str">
        <f t="shared" si="911"/>
        <v>PSIH</v>
      </c>
      <c r="E10328" s="2" t="str">
        <f>"C_G_INDICA_ANTIM"</f>
        <v>C_G_INDICA_ANTIM</v>
      </c>
      <c r="F10328" s="2" t="str">
        <f>"C_G_INDICA_ANTIM"</f>
        <v>C_G_INDICA_ANTIM</v>
      </c>
      <c r="G10328" s="2" t="str">
        <f>" ()"</f>
        <v xml:space="preserve"> ()</v>
      </c>
    </row>
    <row r="10329" spans="1:7" x14ac:dyDescent="0.3">
      <c r="A10329" s="1" t="s">
        <v>4</v>
      </c>
      <c r="B10329" s="2" t="str">
        <f t="shared" si="909"/>
        <v>SISTEMA DE CONTROLE DE INFEC. HOSPITALAR</v>
      </c>
      <c r="C10329" s="2" t="str">
        <f t="shared" si="910"/>
        <v>INTER</v>
      </c>
      <c r="D10329" s="2" t="str">
        <f t="shared" si="911"/>
        <v>PSIH</v>
      </c>
      <c r="E10329" s="2" t="str">
        <f>"R_EST_INFEC_TOPOGRAFIA"</f>
        <v>R_EST_INFEC_TOPOGRAFIA</v>
      </c>
      <c r="F10329" s="2" t="str">
        <f>"R_EST_INFEC_TOPOGRAFIA"</f>
        <v>R_EST_INFEC_TOPOGRAFIA</v>
      </c>
      <c r="G10329" s="2" t="str">
        <f>"Clínica e Assistencial / Controle de Infecção Hospitalar / Relatórios / Estatísticos / Relatórios - Topografia X Unidade de Internação (R_EST_INFEC_TOPOGRAFIA)"</f>
        <v>Clínica e Assistencial / Controle de Infecção Hospitalar / Relatórios / Estatísticos / Relatórios - Topografia X Unidade de Internação (R_EST_INFEC_TOPOGRAFIA)</v>
      </c>
    </row>
    <row r="10330" spans="1:7" x14ac:dyDescent="0.3">
      <c r="A10330" s="1" t="s">
        <v>4</v>
      </c>
      <c r="B10330" s="2" t="str">
        <f t="shared" si="909"/>
        <v>SISTEMA DE CONTROLE DE INFEC. HOSPITALAR</v>
      </c>
      <c r="C10330" s="2" t="str">
        <f t="shared" si="910"/>
        <v>INTER</v>
      </c>
      <c r="D10330" s="2" t="str">
        <f t="shared" si="911"/>
        <v>PSIH</v>
      </c>
      <c r="E10330" s="2" t="str">
        <f>"REL. DE LETALIDADE POR INFECÇÕES"</f>
        <v>REL. DE LETALIDADE POR INFECÇÕES</v>
      </c>
      <c r="F10330" s="2" t="str">
        <f>"R_LETA_INFEC_TOPO.RDF"</f>
        <v>R_LETA_INFEC_TOPO.RDF</v>
      </c>
      <c r="G10330" s="2" t="str">
        <f>" ()"</f>
        <v xml:space="preserve"> ()</v>
      </c>
    </row>
    <row r="10331" spans="1:7" x14ac:dyDescent="0.3">
      <c r="A10331" s="1" t="s">
        <v>4</v>
      </c>
      <c r="B10331" s="2" t="str">
        <f t="shared" si="909"/>
        <v>SISTEMA DE CONTROLE DE INFEC. HOSPITALAR</v>
      </c>
      <c r="C10331" s="2" t="str">
        <f t="shared" si="910"/>
        <v>INTER</v>
      </c>
      <c r="D10331" s="2" t="str">
        <f t="shared" si="911"/>
        <v>PSIH</v>
      </c>
      <c r="E10331" s="2" t="str">
        <f>"RELATÓRIO DE GERMES"</f>
        <v>RELATÓRIO DE GERMES</v>
      </c>
      <c r="F10331" s="2" t="str">
        <f>"R_GERME.RDF"</f>
        <v>R_GERME.RDF</v>
      </c>
      <c r="G10331" s="2" t="str">
        <f>" ()"</f>
        <v xml:space="preserve"> ()</v>
      </c>
    </row>
    <row r="10332" spans="1:7" x14ac:dyDescent="0.3">
      <c r="A10332" s="1" t="s">
        <v>4</v>
      </c>
      <c r="B10332" s="2" t="str">
        <f t="shared" si="909"/>
        <v>SISTEMA DE CONTROLE DE INFEC. HOSPITALAR</v>
      </c>
      <c r="C10332" s="2" t="str">
        <f t="shared" si="910"/>
        <v>INTER</v>
      </c>
      <c r="D10332" s="2" t="str">
        <f t="shared" si="911"/>
        <v>PSIH</v>
      </c>
      <c r="E10332" s="2" t="str">
        <f>"M_LIBERA_VIGILANCIA"</f>
        <v>M_LIBERA_VIGILANCIA</v>
      </c>
      <c r="F10332" s="2" t="str">
        <f>"M_LIBERA_VIGILANCIA"</f>
        <v>M_LIBERA_VIGILANCIA</v>
      </c>
      <c r="G10332" s="2" t="str">
        <f>"Clínica e Assistencial / Controle de Infecção Hospitalar / Atendimento / Liberação do Processo de Vigilância (M_LIBERA_VIGILANCIA)"</f>
        <v>Clínica e Assistencial / Controle de Infecção Hospitalar / Atendimento / Liberação do Processo de Vigilância (M_LIBERA_VIGILANCIA)</v>
      </c>
    </row>
    <row r="10333" spans="1:7" x14ac:dyDescent="0.3">
      <c r="A10333" s="1" t="s">
        <v>4</v>
      </c>
      <c r="B10333" s="2" t="str">
        <f t="shared" si="909"/>
        <v>SISTEMA DE CONTROLE DE INFEC. HOSPITALAR</v>
      </c>
      <c r="C10333" s="2" t="str">
        <f t="shared" si="910"/>
        <v>INTER</v>
      </c>
      <c r="D10333" s="2" t="str">
        <f t="shared" si="911"/>
        <v>PSIH</v>
      </c>
      <c r="E10333" s="2" t="str">
        <f>"RELATÓRIO DE PACIENTES COM INFECÇÃO"</f>
        <v>RELATÓRIO DE PACIENTES COM INFECÇÃO</v>
      </c>
      <c r="F10333" s="2" t="str">
        <f>"R_ANTIPRO_SUSPENSO"</f>
        <v>R_ANTIPRO_SUSPENSO</v>
      </c>
      <c r="G10333" s="2" t="str">
        <f>"Clínica e Assistencial / Controle de Infecção Hospitalar / Relatórios / Operacionais / Relatórios - Listagem de antimicrobianos suspensos (R_ANTIPRO_SUSPENSO)"</f>
        <v>Clínica e Assistencial / Controle de Infecção Hospitalar / Relatórios / Operacionais / Relatórios - Listagem de antimicrobianos suspensos (R_ANTIPRO_SUSPENSO)</v>
      </c>
    </row>
    <row r="10334" spans="1:7" x14ac:dyDescent="0.3">
      <c r="A10334" s="1" t="s">
        <v>4</v>
      </c>
      <c r="B10334" s="2" t="str">
        <f t="shared" si="909"/>
        <v>SISTEMA DE CONTROLE DE INFEC. HOSPITALAR</v>
      </c>
      <c r="C10334" s="2" t="str">
        <f t="shared" si="910"/>
        <v>INTER</v>
      </c>
      <c r="D10334" s="2" t="str">
        <f t="shared" si="911"/>
        <v>PSIH</v>
      </c>
      <c r="E10334" s="2" t="str">
        <f>"M_ANTIPRO_SUSPENSO"</f>
        <v>M_ANTIPRO_SUSPENSO</v>
      </c>
      <c r="F10334" s="2" t="str">
        <f>"M_ANTIPRO_SUSPENSO"</f>
        <v>M_ANTIPRO_SUSPENSO</v>
      </c>
      <c r="G10334" s="2" t="str">
        <f>" ()"</f>
        <v xml:space="preserve"> ()</v>
      </c>
    </row>
    <row r="10335" spans="1:7" x14ac:dyDescent="0.3">
      <c r="A10335" s="1" t="s">
        <v>4</v>
      </c>
      <c r="B10335" s="2" t="str">
        <f t="shared" si="909"/>
        <v>SISTEMA DE CONTROLE DE INFEC. HOSPITALAR</v>
      </c>
      <c r="C10335" s="2" t="str">
        <f t="shared" si="910"/>
        <v>INTER</v>
      </c>
      <c r="D10335" s="2" t="str">
        <f t="shared" si="911"/>
        <v>PSIH</v>
      </c>
      <c r="E10335" s="2" t="str">
        <f>"REL. DE CONF. DE INFECÇÕES EM CIRURGIAS"</f>
        <v>REL. DE CONF. DE INFECÇÕES EM CIRURGIAS</v>
      </c>
      <c r="F10335" s="2" t="str">
        <f>"R_CONFIRMA_INFEC_CIRUR.RDF"</f>
        <v>R_CONFIRMA_INFEC_CIRUR.RDF</v>
      </c>
      <c r="G10335" s="2" t="str">
        <f>" ()"</f>
        <v xml:space="preserve"> ()</v>
      </c>
    </row>
    <row r="10336" spans="1:7" x14ac:dyDescent="0.3">
      <c r="A10336" s="1" t="s">
        <v>4</v>
      </c>
      <c r="B10336" s="2" t="str">
        <f t="shared" si="909"/>
        <v>SISTEMA DE CONTROLE DE INFEC. HOSPITALAR</v>
      </c>
      <c r="C10336" s="2" t="str">
        <f t="shared" si="910"/>
        <v>INTER</v>
      </c>
      <c r="D10336" s="2" t="str">
        <f t="shared" si="911"/>
        <v>PSIH</v>
      </c>
      <c r="E10336" s="2" t="str">
        <f>"RELATÓRIO DE PRODUTOS POR ATENDIMENTO"</f>
        <v>RELATÓRIO DE PRODUTOS POR ATENDIMENTO</v>
      </c>
      <c r="F10336" s="2" t="str">
        <f>"R_PRODUTO_ATEND.RDF"</f>
        <v>R_PRODUTO_ATEND.RDF</v>
      </c>
      <c r="G10336" s="2" t="str">
        <f>" ()"</f>
        <v xml:space="preserve"> ()</v>
      </c>
    </row>
    <row r="10337" spans="1:7" x14ac:dyDescent="0.3">
      <c r="A10337" s="1" t="s">
        <v>4</v>
      </c>
      <c r="B10337" s="2" t="str">
        <f t="shared" si="909"/>
        <v>SISTEMA DE CONTROLE DE INFEC. HOSPITALAR</v>
      </c>
      <c r="C10337" s="2" t="str">
        <f t="shared" si="910"/>
        <v>INTER</v>
      </c>
      <c r="D10337" s="2" t="str">
        <f t="shared" si="911"/>
        <v>PSIH</v>
      </c>
      <c r="E10337" s="2" t="str">
        <f>"REL. DE LETALIDADE POR INFECÇÕES"</f>
        <v>REL. DE LETALIDADE POR INFECÇÕES</v>
      </c>
      <c r="F10337" s="2" t="str">
        <f>"R_LETA_INFEC_SETOR.RDF"</f>
        <v>R_LETA_INFEC_SETOR.RDF</v>
      </c>
      <c r="G10337" s="2" t="str">
        <f>" ()"</f>
        <v xml:space="preserve"> ()</v>
      </c>
    </row>
    <row r="10338" spans="1:7" x14ac:dyDescent="0.3">
      <c r="A10338" s="1" t="s">
        <v>4</v>
      </c>
      <c r="B10338" s="2" t="str">
        <f t="shared" si="909"/>
        <v>SISTEMA DE CONTROLE DE INFEC. HOSPITALAR</v>
      </c>
      <c r="C10338" s="2" t="str">
        <f t="shared" si="910"/>
        <v>INTER</v>
      </c>
      <c r="D10338" s="2" t="str">
        <f t="shared" si="911"/>
        <v>PSIH</v>
      </c>
      <c r="E10338" s="2" t="str">
        <f>"RELATÓRIO DE AGENTES INFECCIOSOS"</f>
        <v>RELATÓRIO DE AGENTES INFECCIOSOS</v>
      </c>
      <c r="F10338" s="2" t="str">
        <f>"R_AGENTE_INFEC.RDF"</f>
        <v>R_AGENTE_INFEC.RDF</v>
      </c>
      <c r="G10338" s="2" t="str">
        <f>" ()"</f>
        <v xml:space="preserve"> ()</v>
      </c>
    </row>
    <row r="10339" spans="1:7" x14ac:dyDescent="0.3">
      <c r="A10339" s="1" t="s">
        <v>4</v>
      </c>
      <c r="B10339" s="2" t="str">
        <f t="shared" si="909"/>
        <v>SISTEMA DE CONTROLE DE INFEC. HOSPITALAR</v>
      </c>
      <c r="C10339" s="2" t="str">
        <f t="shared" si="910"/>
        <v>INTER</v>
      </c>
      <c r="D10339" s="2" t="str">
        <f t="shared" si="911"/>
        <v>PSIH</v>
      </c>
      <c r="E10339" s="2" t="str">
        <f>"M_AUDIT_PRECAUCAO"</f>
        <v>M_AUDIT_PRECAUCAO</v>
      </c>
      <c r="F10339" s="2" t="str">
        <f>"M_AUDIT_PRECAUCAO"</f>
        <v>M_AUDIT_PRECAUCAO</v>
      </c>
      <c r="G10339" s="2" t="str">
        <f>"Clínica e Assistencial / Controle de Infecção Hospitalar / Atendimento / Auditoria de Precauções (M_AUDIT_PRECAUCAO)"</f>
        <v>Clínica e Assistencial / Controle de Infecção Hospitalar / Atendimento / Auditoria de Precauções (M_AUDIT_PRECAUCAO)</v>
      </c>
    </row>
    <row r="10340" spans="1:7" x14ac:dyDescent="0.3">
      <c r="A10340" s="1" t="s">
        <v>4</v>
      </c>
      <c r="B10340" s="2" t="str">
        <f t="shared" si="909"/>
        <v>SISTEMA DE CONTROLE DE INFEC. HOSPITALAR</v>
      </c>
      <c r="C10340" s="2" t="str">
        <f t="shared" si="910"/>
        <v>INTER</v>
      </c>
      <c r="D10340" s="2" t="str">
        <f t="shared" si="911"/>
        <v>PSIH</v>
      </c>
      <c r="E10340" s="2" t="str">
        <f>"C_G_CIR_REAL"</f>
        <v>C_G_CIR_REAL</v>
      </c>
      <c r="F10340" s="2" t="str">
        <f>"C_G_CIR_REAL"</f>
        <v>C_G_CIR_REAL</v>
      </c>
      <c r="G10340" s="2" t="str">
        <f>"Clínica e Assistencial / Controle de Infecção Hospitalar / Indicadores / Distribuição das Cirurgias por Natureza (C_G_CIR_REAL)"</f>
        <v>Clínica e Assistencial / Controle de Infecção Hospitalar / Indicadores / Distribuição das Cirurgias por Natureza (C_G_CIR_REAL)</v>
      </c>
    </row>
    <row r="10341" spans="1:7" x14ac:dyDescent="0.3">
      <c r="A10341" s="1" t="s">
        <v>4</v>
      </c>
      <c r="B10341" s="2" t="str">
        <f t="shared" si="909"/>
        <v>SISTEMA DE CONTROLE DE INFEC. HOSPITALAR</v>
      </c>
      <c r="C10341" s="2" t="str">
        <f t="shared" si="910"/>
        <v>INTER</v>
      </c>
      <c r="D10341" s="2" t="str">
        <f t="shared" si="911"/>
        <v>PSIH</v>
      </c>
      <c r="E10341" s="2" t="str">
        <f>"C_G_PRO_INVASIVO"</f>
        <v>C_G_PRO_INVASIVO</v>
      </c>
      <c r="F10341" s="2" t="str">
        <f>"C_G_PRO_INVASIVO"</f>
        <v>C_G_PRO_INVASIVO</v>
      </c>
      <c r="G10341" s="2" t="str">
        <f>"Clínica e Assistencial / Controle de Infecção Hospitalar / Indicadores / Distribuição dos Procedimentos Invasivos (C_G_PRO_INVASIVO)"</f>
        <v>Clínica e Assistencial / Controle de Infecção Hospitalar / Indicadores / Distribuição dos Procedimentos Invasivos (C_G_PRO_INVASIVO)</v>
      </c>
    </row>
    <row r="10342" spans="1:7" x14ac:dyDescent="0.3">
      <c r="A10342" s="1" t="s">
        <v>4</v>
      </c>
      <c r="B10342" s="2" t="str">
        <f t="shared" si="909"/>
        <v>SISTEMA DE CONTROLE DE INFEC. HOSPITALAR</v>
      </c>
      <c r="C10342" s="2" t="str">
        <f t="shared" si="910"/>
        <v>INTER</v>
      </c>
      <c r="D10342" s="2" t="str">
        <f t="shared" si="911"/>
        <v>PSIH</v>
      </c>
      <c r="E10342" s="2" t="str">
        <f>"MÉDIA DE PERMANÊNCIA GLOBAL POR SERVIÇO"</f>
        <v>MÉDIA DE PERMANÊNCIA GLOBAL POR SERVIÇO</v>
      </c>
      <c r="F10342" s="2" t="str">
        <f>"C_G_DIAS"</f>
        <v>C_G_DIAS</v>
      </c>
      <c r="G10342" s="2" t="str">
        <f>"Clínica e Assistencial / Controle de Infecção Hospitalar / Indicadores / Média de Permanência Global por Serviço (C_G_DIAS)"</f>
        <v>Clínica e Assistencial / Controle de Infecção Hospitalar / Indicadores / Média de Permanência Global por Serviço (C_G_DIAS)</v>
      </c>
    </row>
    <row r="10343" spans="1:7" x14ac:dyDescent="0.3">
      <c r="A10343" s="1" t="s">
        <v>4</v>
      </c>
      <c r="B10343" s="2" t="str">
        <f t="shared" si="909"/>
        <v>SISTEMA DE CONTROLE DE INFEC. HOSPITALAR</v>
      </c>
      <c r="C10343" s="2" t="str">
        <f t="shared" si="910"/>
        <v>INTER</v>
      </c>
      <c r="D10343" s="2" t="str">
        <f t="shared" si="911"/>
        <v>PSIH</v>
      </c>
      <c r="E10343" s="2" t="str">
        <f>"PRODUTO X ANTIMICROBIANO"</f>
        <v>PRODUTO X ANTIMICROBIANO</v>
      </c>
      <c r="F10343" s="2" t="str">
        <f>"ANT_PRO"</f>
        <v>ANT_PRO</v>
      </c>
      <c r="G10343" s="2" t="str">
        <f>"Clínica e Assistencial / Controle de Infecção Hospitalar / Tabelas / Antimicrobianos / Estoque (ANT_PRO)"</f>
        <v>Clínica e Assistencial / Controle de Infecção Hospitalar / Tabelas / Antimicrobianos / Estoque (ANT_PRO)</v>
      </c>
    </row>
    <row r="10344" spans="1:7" x14ac:dyDescent="0.3">
      <c r="A10344" s="1" t="s">
        <v>4</v>
      </c>
      <c r="B10344" s="2" t="str">
        <f t="shared" si="909"/>
        <v>SISTEMA DE CONTROLE DE INFEC. HOSPITALAR</v>
      </c>
      <c r="C10344" s="2" t="str">
        <f t="shared" si="910"/>
        <v>INTER</v>
      </c>
      <c r="D10344" s="2" t="str">
        <f t="shared" si="911"/>
        <v>PSIH</v>
      </c>
      <c r="E10344" s="2" t="str">
        <f>"CADASTRO DE ANTIMICROBIANOS"</f>
        <v>CADASTRO DE ANTIMICROBIANOS</v>
      </c>
      <c r="F10344" s="2" t="str">
        <f>"M_EXAME"</f>
        <v>M_EXAME</v>
      </c>
      <c r="G10344" s="2" t="str">
        <f>" ()"</f>
        <v xml:space="preserve"> ()</v>
      </c>
    </row>
    <row r="10345" spans="1:7" x14ac:dyDescent="0.3">
      <c r="A10345" s="1" t="s">
        <v>4</v>
      </c>
      <c r="B10345" s="2" t="str">
        <f t="shared" si="909"/>
        <v>SISTEMA DE CONTROLE DE INFEC. HOSPITALAR</v>
      </c>
      <c r="C10345" s="2" t="str">
        <f t="shared" si="910"/>
        <v>INTER</v>
      </c>
      <c r="D10345" s="2" t="str">
        <f t="shared" si="911"/>
        <v>PSIH</v>
      </c>
      <c r="E10345" s="2" t="str">
        <f>"PROCEDIMENTOS INVASIVOS"</f>
        <v>PROCEDIMENTOS INVASIVOS</v>
      </c>
      <c r="F10345" s="2" t="str">
        <f>"PRO_INVASIVO"</f>
        <v>PRO_INVASIVO</v>
      </c>
      <c r="G10345" s="2" t="str">
        <f>"Clínica e Assistencial / Controle de Infecção Hospitalar / Tabelas / Procedimentos Invasivos (PRO_INVASIVO)"</f>
        <v>Clínica e Assistencial / Controle de Infecção Hospitalar / Tabelas / Procedimentos Invasivos (PRO_INVASIVO)</v>
      </c>
    </row>
    <row r="10346" spans="1:7" x14ac:dyDescent="0.3">
      <c r="A10346" s="1" t="s">
        <v>4</v>
      </c>
      <c r="B10346" s="2" t="str">
        <f t="shared" si="909"/>
        <v>SISTEMA DE CONTROLE DE INFEC. HOSPITALAR</v>
      </c>
      <c r="C10346" s="2" t="str">
        <f t="shared" si="910"/>
        <v>INTER</v>
      </c>
      <c r="D10346" s="2" t="str">
        <f t="shared" si="911"/>
        <v>PSIH</v>
      </c>
      <c r="E10346" s="2" t="str">
        <f>"CADASTRO DE ANTIMICROBIANOS"</f>
        <v>CADASTRO DE ANTIMICROBIANOS</v>
      </c>
      <c r="F10346" s="2" t="str">
        <f>"M_ANTIMICROB"</f>
        <v>M_ANTIMICROB</v>
      </c>
      <c r="G10346" s="2" t="str">
        <f>"Clínica e Assistencial / Controle de Infecção Hospitalar / Tabelas / Antimicrobianos / Cadastro (M_ANTIMICROB)"</f>
        <v>Clínica e Assistencial / Controle de Infecção Hospitalar / Tabelas / Antimicrobianos / Cadastro (M_ANTIMICROB)</v>
      </c>
    </row>
    <row r="10347" spans="1:7" x14ac:dyDescent="0.3">
      <c r="A10347" s="1" t="s">
        <v>4</v>
      </c>
      <c r="B10347" s="2" t="str">
        <f t="shared" si="909"/>
        <v>SISTEMA DE CONTROLE DE INFEC. HOSPITALAR</v>
      </c>
      <c r="C10347" s="2" t="str">
        <f t="shared" si="910"/>
        <v>INTER</v>
      </c>
      <c r="D10347" s="2" t="str">
        <f t="shared" si="911"/>
        <v>PSIH</v>
      </c>
      <c r="E10347" s="2" t="str">
        <f>"."</f>
        <v>.</v>
      </c>
      <c r="F10347" s="2" t="str">
        <f>"."</f>
        <v>.</v>
      </c>
      <c r="G10347" s="2" t="str">
        <f>" ()"</f>
        <v xml:space="preserve"> ()</v>
      </c>
    </row>
    <row r="10348" spans="1:7" x14ac:dyDescent="0.3">
      <c r="A10348" s="1" t="s">
        <v>4</v>
      </c>
      <c r="B10348" s="2" t="str">
        <f t="shared" si="909"/>
        <v>SISTEMA DE CONTROLE DE INFEC. HOSPITALAR</v>
      </c>
      <c r="C10348" s="2" t="str">
        <f t="shared" si="910"/>
        <v>INTER</v>
      </c>
      <c r="D10348" s="2" t="str">
        <f t="shared" si="911"/>
        <v>PSIH</v>
      </c>
      <c r="E10348" s="2" t="str">
        <f>"PSIH_G_SERVICO"</f>
        <v>PSIH_G_SERVICO</v>
      </c>
      <c r="F10348" s="2" t="str">
        <f>"PSIH_G_SERVICO"</f>
        <v>PSIH_G_SERVICO</v>
      </c>
      <c r="G10348" s="2" t="str">
        <f>" ()"</f>
        <v xml:space="preserve"> ()</v>
      </c>
    </row>
    <row r="10349" spans="1:7" x14ac:dyDescent="0.3">
      <c r="A10349" s="1" t="s">
        <v>4</v>
      </c>
      <c r="B10349" s="2" t="str">
        <f t="shared" si="909"/>
        <v>SISTEMA DE CONTROLE DE INFEC. HOSPITALAR</v>
      </c>
      <c r="C10349" s="2" t="str">
        <f t="shared" si="910"/>
        <v>INTER</v>
      </c>
      <c r="D10349" s="2" t="str">
        <f t="shared" si="911"/>
        <v>PSIH</v>
      </c>
      <c r="E10349" s="2" t="str">
        <f>"R_IND_CONT_AGEN_INFEC"</f>
        <v>R_IND_CONT_AGEN_INFEC</v>
      </c>
      <c r="F10349" s="2" t="str">
        <f>"R_IND_CONT_AGEN_INFEC"</f>
        <v>R_IND_CONT_AGEN_INFEC</v>
      </c>
      <c r="G10349" s="2" t="str">
        <f>"Clínica e Assistencial / Controle de Infecção Hospitalar / Relatórios / Indicadores Gerais / Relatórios - Controle de Agentes Infecciosos (R_IND_CONT_AGEN_INFEC)"</f>
        <v>Clínica e Assistencial / Controle de Infecção Hospitalar / Relatórios / Indicadores Gerais / Relatórios - Controle de Agentes Infecciosos (R_IND_CONT_AGEN_INFEC)</v>
      </c>
    </row>
    <row r="10350" spans="1:7" x14ac:dyDescent="0.3">
      <c r="A10350" s="1" t="s">
        <v>4</v>
      </c>
      <c r="B10350" s="2" t="str">
        <f t="shared" si="909"/>
        <v>SISTEMA DE CONTROLE DE INFEC. HOSPITALAR</v>
      </c>
      <c r="C10350" s="2" t="str">
        <f t="shared" si="910"/>
        <v>INTER</v>
      </c>
      <c r="D10350" s="2" t="str">
        <f t="shared" si="911"/>
        <v>PSIH</v>
      </c>
      <c r="E10350" s="2" t="str">
        <f>"R_IND_CONT_ANT"</f>
        <v>R_IND_CONT_ANT</v>
      </c>
      <c r="F10350" s="2" t="str">
        <f>"R_IND_CONT_ANT"</f>
        <v>R_IND_CONT_ANT</v>
      </c>
      <c r="G10350" s="2" t="str">
        <f>"Clínica e Assistencial / Controle de Infecção Hospitalar / Relatórios / Indicadores Gerais / Relatórios - Controle de Antimicrobianos (R_IND_CONT_ANT)"</f>
        <v>Clínica e Assistencial / Controle de Infecção Hospitalar / Relatórios / Indicadores Gerais / Relatórios - Controle de Antimicrobianos (R_IND_CONT_ANT)</v>
      </c>
    </row>
    <row r="10351" spans="1:7" x14ac:dyDescent="0.3">
      <c r="A10351" s="1" t="s">
        <v>4</v>
      </c>
      <c r="B10351" s="2" t="str">
        <f t="shared" si="909"/>
        <v>SISTEMA DE CONTROLE DE INFEC. HOSPITALAR</v>
      </c>
      <c r="C10351" s="2" t="str">
        <f t="shared" si="910"/>
        <v>INTER</v>
      </c>
      <c r="D10351" s="2" t="str">
        <f t="shared" si="911"/>
        <v>PSIH</v>
      </c>
      <c r="E10351" s="2" t="str">
        <f>"FICHA DE INFECÇÃO"</f>
        <v>FICHA DE INFECÇÃO</v>
      </c>
      <c r="F10351" s="2" t="str">
        <f>"R_FICHA_INFEC"</f>
        <v>R_FICHA_INFEC</v>
      </c>
      <c r="G10351" s="2" t="str">
        <f>"Clínica e Assistencial / Controle de Infecção Hospitalar / Relatórios / Operacionais / Relatórios - Ficha de Infecção Hospitalar (R_FICHA_INFEC)"</f>
        <v>Clínica e Assistencial / Controle de Infecção Hospitalar / Relatórios / Operacionais / Relatórios - Ficha de Infecção Hospitalar (R_FICHA_INFEC)</v>
      </c>
    </row>
    <row r="10352" spans="1:7" x14ac:dyDescent="0.3">
      <c r="A10352" s="1" t="s">
        <v>4</v>
      </c>
      <c r="B10352" s="2" t="str">
        <f t="shared" si="909"/>
        <v>SISTEMA DE CONTROLE DE INFEC. HOSPITALAR</v>
      </c>
      <c r="C10352" s="2" t="str">
        <f t="shared" si="910"/>
        <v>INTER</v>
      </c>
      <c r="D10352" s="2" t="str">
        <f t="shared" si="911"/>
        <v>PSIH</v>
      </c>
      <c r="E10352" s="2" t="str">
        <f>"PSIH"</f>
        <v>PSIH</v>
      </c>
      <c r="F10352" s="2" t="str">
        <f>"PSIH"</f>
        <v>PSIH</v>
      </c>
      <c r="G10352" s="2" t="str">
        <f>" ()"</f>
        <v xml:space="preserve"> ()</v>
      </c>
    </row>
    <row r="10353" spans="1:7" x14ac:dyDescent="0.3">
      <c r="A10353" s="1" t="s">
        <v>4</v>
      </c>
      <c r="B10353" s="2" t="str">
        <f t="shared" si="909"/>
        <v>SISTEMA DE CONTROLE DE INFEC. HOSPITALAR</v>
      </c>
      <c r="C10353" s="2" t="str">
        <f t="shared" si="910"/>
        <v>INTER</v>
      </c>
      <c r="D10353" s="2" t="str">
        <f t="shared" si="911"/>
        <v>PSIH</v>
      </c>
      <c r="E10353" s="2" t="str">
        <f>"CADASTRO DAS TOPOGRAFIAS"</f>
        <v>CADASTRO DAS TOPOGRAFIAS</v>
      </c>
      <c r="F10353" s="2" t="str">
        <f>"M_TOPOGRAFIA"</f>
        <v>M_TOPOGRAFIA</v>
      </c>
      <c r="G10353" s="2" t="str">
        <f>"Clínica e Assistencial / Controle de Infecção Hospitalar / Tabelas / Topografia (M_TOPOGRAFIA)"</f>
        <v>Clínica e Assistencial / Controle de Infecção Hospitalar / Tabelas / Topografia (M_TOPOGRAFIA)</v>
      </c>
    </row>
    <row r="10354" spans="1:7" x14ac:dyDescent="0.3">
      <c r="A10354" s="1" t="s">
        <v>4</v>
      </c>
      <c r="B10354" s="2" t="str">
        <f t="shared" si="909"/>
        <v>SISTEMA DE CONTROLE DE INFEC. HOSPITALAR</v>
      </c>
      <c r="C10354" s="2" t="str">
        <f t="shared" si="910"/>
        <v>INTER</v>
      </c>
      <c r="D10354" s="2" t="str">
        <f t="shared" si="911"/>
        <v>PSIH</v>
      </c>
      <c r="E10354" s="2" t="str">
        <f>"MPSIH"</f>
        <v>MPSIH</v>
      </c>
      <c r="F10354" s="2" t="str">
        <f>"MPSIH"</f>
        <v>MPSIH</v>
      </c>
      <c r="G10354" s="2" t="str">
        <f>" ()"</f>
        <v xml:space="preserve"> ()</v>
      </c>
    </row>
    <row r="10355" spans="1:7" x14ac:dyDescent="0.3">
      <c r="A10355" s="1" t="s">
        <v>4</v>
      </c>
      <c r="B10355" s="2" t="str">
        <f t="shared" si="909"/>
        <v>SISTEMA DE CONTROLE DE INFEC. HOSPITALAR</v>
      </c>
      <c r="C10355" s="2" t="str">
        <f t="shared" si="910"/>
        <v>INTER</v>
      </c>
      <c r="D10355" s="2" t="str">
        <f t="shared" si="911"/>
        <v>PSIH</v>
      </c>
      <c r="E10355" s="2" t="str">
        <f>"PSIH_G_INDICA_ANT"</f>
        <v>PSIH_G_INDICA_ANT</v>
      </c>
      <c r="F10355" s="2" t="str">
        <f>"PSIH_G_INDICA_ANT"</f>
        <v>PSIH_G_INDICA_ANT</v>
      </c>
      <c r="G10355" s="2" t="str">
        <f>" ()"</f>
        <v xml:space="preserve"> ()</v>
      </c>
    </row>
    <row r="10356" spans="1:7" x14ac:dyDescent="0.3">
      <c r="A10356" s="1" t="s">
        <v>4</v>
      </c>
      <c r="B10356" s="2" t="str">
        <f t="shared" si="909"/>
        <v>SISTEMA DE CONTROLE DE INFEC. HOSPITALAR</v>
      </c>
      <c r="C10356" s="2" t="str">
        <f t="shared" si="910"/>
        <v>INTER</v>
      </c>
      <c r="D10356" s="2" t="str">
        <f t="shared" si="911"/>
        <v>PSIH</v>
      </c>
      <c r="E10356" s="2" t="str">
        <f>"FOI IMPLEMENTA"</f>
        <v>FOI IMPLEMENTA</v>
      </c>
      <c r="F10356" s="2" t="str">
        <f>"FOI IMPLEMENTA"</f>
        <v>FOI IMPLEMENTA</v>
      </c>
      <c r="G10356" s="2" t="str">
        <f>" ()"</f>
        <v xml:space="preserve"> ()</v>
      </c>
    </row>
    <row r="10357" spans="1:7" x14ac:dyDescent="0.3">
      <c r="A10357" s="1" t="s">
        <v>4</v>
      </c>
      <c r="B10357" s="2" t="str">
        <f t="shared" si="909"/>
        <v>SISTEMA DE CONTROLE DE INFEC. HOSPITALAR</v>
      </c>
      <c r="C10357" s="2" t="str">
        <f t="shared" si="910"/>
        <v>INTER</v>
      </c>
      <c r="D10357" s="2" t="str">
        <f t="shared" si="911"/>
        <v>PSIH</v>
      </c>
      <c r="E10357" s="2" t="str">
        <f>"R_INFEC_PACIENTE_SINT"</f>
        <v>R_INFEC_PACIENTE_SINT</v>
      </c>
      <c r="F10357" s="2" t="str">
        <f>"R_INFEC_PACIENTE_SINT"</f>
        <v>R_INFEC_PACIENTE_SINT</v>
      </c>
      <c r="G10357" s="2" t="str">
        <f>" ()"</f>
        <v xml:space="preserve"> ()</v>
      </c>
    </row>
    <row r="10358" spans="1:7" x14ac:dyDescent="0.3">
      <c r="A10358" s="1" t="s">
        <v>4</v>
      </c>
      <c r="B10358" s="2" t="str">
        <f t="shared" si="909"/>
        <v>SISTEMA DE CONTROLE DE INFEC. HOSPITALAR</v>
      </c>
      <c r="C10358" s="2" t="str">
        <f t="shared" si="910"/>
        <v>INTER</v>
      </c>
      <c r="D10358" s="2" t="str">
        <f t="shared" si="911"/>
        <v>PSIH</v>
      </c>
      <c r="E10358" s="2" t="str">
        <f>"REGISTRO DE INFECÇÃO"</f>
        <v>REGISTRO DE INFECÇÃO</v>
      </c>
      <c r="F10358" s="2" t="str">
        <f>"M_FICHA_INFECCAO"</f>
        <v>M_FICHA_INFECCAO</v>
      </c>
      <c r="G10358" s="2" t="str">
        <f>"Clínica e Assistencial / Controle de Infecção Hospitalar / Consultas / Registro de Infecção/Colonização (M_FICHA_INFECCAO)"</f>
        <v>Clínica e Assistencial / Controle de Infecção Hospitalar / Consultas / Registro de Infecção/Colonização (M_FICHA_INFECCAO)</v>
      </c>
    </row>
    <row r="10359" spans="1:7" x14ac:dyDescent="0.3">
      <c r="A10359" s="1" t="s">
        <v>4</v>
      </c>
      <c r="B10359" s="2" t="str">
        <f t="shared" si="909"/>
        <v>SISTEMA DE CONTROLE DE INFEC. HOSPITALAR</v>
      </c>
      <c r="C10359" s="2" t="str">
        <f t="shared" si="910"/>
        <v>INTER</v>
      </c>
      <c r="D10359" s="2" t="str">
        <f t="shared" si="911"/>
        <v>PSIH</v>
      </c>
      <c r="E10359" s="2" t="str">
        <f>"REGISTRO DE INFECÇÃO"</f>
        <v>REGISTRO DE INFECÇÃO</v>
      </c>
      <c r="F10359" s="2" t="str">
        <f>"M_FICHA_INFECCAO"</f>
        <v>M_FICHA_INFECCAO</v>
      </c>
      <c r="G10359" s="2" t="str">
        <f>"Clínica e Assistencial / Controle de Infecção Hospitalar / Atendimento / Registro de Infecção/Colonização (M_FICHA_INFECCAO)"</f>
        <v>Clínica e Assistencial / Controle de Infecção Hospitalar / Atendimento / Registro de Infecção/Colonização (M_FICHA_INFECCAO)</v>
      </c>
    </row>
    <row r="10360" spans="1:7" x14ac:dyDescent="0.3">
      <c r="A10360" s="1" t="s">
        <v>4</v>
      </c>
      <c r="B10360" s="2" t="str">
        <f t="shared" si="909"/>
        <v>SISTEMA DE CONTROLE DE INFEC. HOSPITALAR</v>
      </c>
      <c r="C10360" s="2" t="str">
        <f t="shared" si="910"/>
        <v>INTER</v>
      </c>
      <c r="D10360" s="2" t="str">
        <f t="shared" si="911"/>
        <v>PSIH</v>
      </c>
      <c r="E10360" s="2" t="str">
        <f>"PROCEDIMENTOS INVASIVOS"</f>
        <v>PROCEDIMENTOS INVASIVOS</v>
      </c>
      <c r="F10360" s="2" t="str">
        <f>"M_PRO_INVASIVO"</f>
        <v>M_PRO_INVASIVO</v>
      </c>
      <c r="G10360" s="2" t="str">
        <f>" ()"</f>
        <v xml:space="preserve"> ()</v>
      </c>
    </row>
    <row r="10361" spans="1:7" x14ac:dyDescent="0.3">
      <c r="A10361" s="1" t="s">
        <v>4</v>
      </c>
      <c r="B10361" s="2" t="str">
        <f t="shared" si="909"/>
        <v>SISTEMA DE CONTROLE DE INFEC. HOSPITALAR</v>
      </c>
      <c r="C10361" s="2" t="str">
        <f t="shared" si="910"/>
        <v>INTER</v>
      </c>
      <c r="D10361" s="2" t="str">
        <f t="shared" si="911"/>
        <v>PSIH</v>
      </c>
      <c r="E10361" s="2" t="str">
        <f>"CALENDÁRIO"</f>
        <v>CALENDÁRIO</v>
      </c>
      <c r="F10361" s="2" t="str">
        <f>"R_SEN_AGE_INFEC"</f>
        <v>R_SEN_AGE_INFEC</v>
      </c>
      <c r="G10361" s="2" t="str">
        <f>"Clínica e Assistencial / Controle de Infecção Hospitalar / Relatórios / Operacionais / Sensibilidades dos Microorganismos (R_SEN_AGE_INFEC)"</f>
        <v>Clínica e Assistencial / Controle de Infecção Hospitalar / Relatórios / Operacionais / Sensibilidades dos Microorganismos (R_SEN_AGE_INFEC)</v>
      </c>
    </row>
    <row r="10362" spans="1:7" x14ac:dyDescent="0.3">
      <c r="A10362" s="1" t="s">
        <v>4</v>
      </c>
      <c r="B10362" s="2" t="str">
        <f t="shared" si="909"/>
        <v>SISTEMA DE CONTROLE DE INFEC. HOSPITALAR</v>
      </c>
      <c r="C10362" s="2" t="str">
        <f t="shared" si="910"/>
        <v>INTER</v>
      </c>
      <c r="D10362" s="2" t="str">
        <f t="shared" si="911"/>
        <v>PSIH</v>
      </c>
      <c r="E10362" s="2" t="str">
        <f>"INFECÇÕES SEGUNDO O TIPO DE CIRURGIA"</f>
        <v>INFECÇÕES SEGUNDO O TIPO DE CIRURGIA</v>
      </c>
      <c r="F10362" s="2" t="str">
        <f>"R_INFEC_CIR"</f>
        <v>R_INFEC_CIR</v>
      </c>
      <c r="G10362" s="2" t="str">
        <f>"Clínica e Assistencial / Controle de Infecção Hospitalar / Relatórios / Operacionais / Relatórios - Infecções Segundo o Tipo de Cirurgia (R_INFEC_CIR)"</f>
        <v>Clínica e Assistencial / Controle de Infecção Hospitalar / Relatórios / Operacionais / Relatórios - Infecções Segundo o Tipo de Cirurgia (R_INFEC_CIR)</v>
      </c>
    </row>
    <row r="10363" spans="1:7" x14ac:dyDescent="0.3">
      <c r="A10363" s="1" t="s">
        <v>4</v>
      </c>
      <c r="B10363" s="2" t="str">
        <f t="shared" si="909"/>
        <v>SISTEMA DE CONTROLE DE INFEC. HOSPITALAR</v>
      </c>
      <c r="C10363" s="2" t="str">
        <f t="shared" si="910"/>
        <v>INTER</v>
      </c>
      <c r="D10363" s="2" t="str">
        <f t="shared" si="911"/>
        <v>PSIH</v>
      </c>
      <c r="E10363" s="2" t="str">
        <f>"R_QT_PRO_INV"</f>
        <v>R_QT_PRO_INV</v>
      </c>
      <c r="F10363" s="2" t="str">
        <f>"R_QT_PRO_INV"</f>
        <v>R_QT_PRO_INV</v>
      </c>
      <c r="G10363" s="2" t="str">
        <f>"Clínica e Assistencial / Controle de Infecção Hospitalar / Relatórios / Operacionais / Relatórios - Quantitativo das Infecções por Procedimento  (R_QT_PRO_INV)"</f>
        <v>Clínica e Assistencial / Controle de Infecção Hospitalar / Relatórios / Operacionais / Relatórios - Quantitativo das Infecções por Procedimento  (R_QT_PRO_INV)</v>
      </c>
    </row>
    <row r="10364" spans="1:7" x14ac:dyDescent="0.3">
      <c r="A10364" s="1" t="s">
        <v>4</v>
      </c>
      <c r="B10364" s="2" t="str">
        <f t="shared" si="909"/>
        <v>SISTEMA DE CONTROLE DE INFEC. HOSPITALAR</v>
      </c>
      <c r="C10364" s="2" t="str">
        <f t="shared" si="910"/>
        <v>INTER</v>
      </c>
      <c r="D10364" s="2" t="str">
        <f t="shared" si="911"/>
        <v>PSIH</v>
      </c>
      <c r="E10364" s="2" t="str">
        <f>"ANTIMICROB_SEG_FIN"</f>
        <v>ANTIMICROB_SEG_FIN</v>
      </c>
      <c r="F10364" s="2" t="str">
        <f>"ANTIMICROB_SEG_FIN"</f>
        <v>ANTIMICROB_SEG_FIN</v>
      </c>
      <c r="G10364" s="2" t="str">
        <f>"Clínica e Assistencial / Controle de Infecção Hospitalar / Relatórios / Operacionais / Antimicrobianos Segundo a Finalidade (ANTIMICROB_SEG_FIN)"</f>
        <v>Clínica e Assistencial / Controle de Infecção Hospitalar / Relatórios / Operacionais / Antimicrobianos Segundo a Finalidade (ANTIMICROB_SEG_FIN)</v>
      </c>
    </row>
    <row r="10365" spans="1:7" x14ac:dyDescent="0.3">
      <c r="A10365" s="1" t="s">
        <v>4</v>
      </c>
      <c r="B10365" s="2" t="str">
        <f t="shared" si="909"/>
        <v>SISTEMA DE CONTROLE DE INFEC. HOSPITALAR</v>
      </c>
      <c r="C10365" s="2" t="str">
        <f t="shared" si="910"/>
        <v>INTER</v>
      </c>
      <c r="D10365" s="2" t="str">
        <f t="shared" si="911"/>
        <v>PSIH</v>
      </c>
      <c r="E10365" s="2" t="str">
        <f>"R_CULTURA_X_GERME"</f>
        <v>R_CULTURA_X_GERME</v>
      </c>
      <c r="F10365" s="2" t="str">
        <f>"R_CULTURA_X_GERME"</f>
        <v>R_CULTURA_X_GERME</v>
      </c>
      <c r="G10365" s="2" t="str">
        <f>"Clínica e Assistencial / Controle de Infecção Hospitalar / Relatórios / Operacionais / Culturas / Relatórios - Agentes infecciosos x Material Pesquisado (R_CULTURA_X_GERME)"</f>
        <v>Clínica e Assistencial / Controle de Infecção Hospitalar / Relatórios / Operacionais / Culturas / Relatórios - Agentes infecciosos x Material Pesquisado (R_CULTURA_X_GERME)</v>
      </c>
    </row>
    <row r="10366" spans="1:7" x14ac:dyDescent="0.3">
      <c r="A10366" s="1" t="s">
        <v>4</v>
      </c>
      <c r="B10366" s="2" t="str">
        <f t="shared" ref="B10366:B10429" si="912">"SISTEMA DE CONTROLE DE INFEC. HOSPITALAR"</f>
        <v>SISTEMA DE CONTROLE DE INFEC. HOSPITALAR</v>
      </c>
      <c r="C10366" s="2" t="str">
        <f t="shared" ref="C10366:C10429" si="913">"INTER"</f>
        <v>INTER</v>
      </c>
      <c r="D10366" s="2" t="str">
        <f t="shared" ref="D10366:D10429" si="914">"PSIH"</f>
        <v>PSIH</v>
      </c>
      <c r="E10366" s="2" t="str">
        <f>"R_CULTURA_X_GERME"</f>
        <v>R_CULTURA_X_GERME</v>
      </c>
      <c r="F10366" s="2" t="str">
        <f>"R_CULTURA_X_GERME"</f>
        <v>R_CULTURA_X_GERME</v>
      </c>
      <c r="G10366" s="2" t="str">
        <f>"Clínica e Assistencial / Controle de Infecção Hospitalar / Relatórios / Operacionais / Relatórios - Culturas Realizadas (R_CULTURA_X_GERME)"</f>
        <v>Clínica e Assistencial / Controle de Infecção Hospitalar / Relatórios / Operacionais / Relatórios - Culturas Realizadas (R_CULTURA_X_GERME)</v>
      </c>
    </row>
    <row r="10367" spans="1:7" x14ac:dyDescent="0.3">
      <c r="A10367" s="1" t="s">
        <v>4</v>
      </c>
      <c r="B10367" s="2" t="str">
        <f t="shared" si="912"/>
        <v>SISTEMA DE CONTROLE DE INFEC. HOSPITALAR</v>
      </c>
      <c r="C10367" s="2" t="str">
        <f t="shared" si="913"/>
        <v>INTER</v>
      </c>
      <c r="D10367" s="2" t="str">
        <f t="shared" si="914"/>
        <v>PSIH</v>
      </c>
      <c r="E10367" s="2" t="str">
        <f>"FREQUENCIA DOS AGENTES INFECCIOSOS"</f>
        <v>FREQUENCIA DOS AGENTES INFECCIOSOS</v>
      </c>
      <c r="F10367" s="2" t="str">
        <f>"R_AGENTE_INFEC"</f>
        <v>R_AGENTE_INFEC</v>
      </c>
      <c r="G10367" s="2" t="str">
        <f>"Clínica e Assistencial / Controle de Infecção Hospitalar / Relatórios / Operacionais / Relatórios - Agentes Infecciosos (R_AGENTE_INFEC)"</f>
        <v>Clínica e Assistencial / Controle de Infecção Hospitalar / Relatórios / Operacionais / Relatórios - Agentes Infecciosos (R_AGENTE_INFEC)</v>
      </c>
    </row>
    <row r="10368" spans="1:7" x14ac:dyDescent="0.3">
      <c r="A10368" s="1" t="s">
        <v>4</v>
      </c>
      <c r="B10368" s="2" t="str">
        <f t="shared" si="912"/>
        <v>SISTEMA DE CONTROLE DE INFEC. HOSPITALAR</v>
      </c>
      <c r="C10368" s="2" t="str">
        <f t="shared" si="913"/>
        <v>INTER</v>
      </c>
      <c r="D10368" s="2" t="str">
        <f t="shared" si="914"/>
        <v>PSIH</v>
      </c>
      <c r="E10368" s="2" t="str">
        <f>"RELATÓRIO DE PACIENTES COM INFECÇÃO"</f>
        <v>RELATÓRIO DE PACIENTES COM INFECÇÃO</v>
      </c>
      <c r="F10368" s="2" t="str">
        <f>"R_INFEC_PACIENTE"</f>
        <v>R_INFEC_PACIENTE</v>
      </c>
      <c r="G10368" s="2" t="str">
        <f>"Clínica e Assistencial / Controle de Infecção Hospitalar / Relatórios / Operacionais / Relatórios - Pacientes com Infecção (R_INFEC_PACIENTE)"</f>
        <v>Clínica e Assistencial / Controle de Infecção Hospitalar / Relatórios / Operacionais / Relatórios - Pacientes com Infecção (R_INFEC_PACIENTE)</v>
      </c>
    </row>
    <row r="10369" spans="1:7" x14ac:dyDescent="0.3">
      <c r="A10369" s="1" t="s">
        <v>4</v>
      </c>
      <c r="B10369" s="2" t="str">
        <f t="shared" si="912"/>
        <v>SISTEMA DE CONTROLE DE INFEC. HOSPITALAR</v>
      </c>
      <c r="C10369" s="2" t="str">
        <f t="shared" si="913"/>
        <v>INTER</v>
      </c>
      <c r="D10369" s="2" t="str">
        <f t="shared" si="914"/>
        <v>PSIH</v>
      </c>
      <c r="E10369" s="2" t="str">
        <f>"R_LETA_INFEC_TOPO"</f>
        <v>R_LETA_INFEC_TOPO</v>
      </c>
      <c r="F10369" s="2" t="str">
        <f>"R_LETA_INFEC_TOPO"</f>
        <v>R_LETA_INFEC_TOPO</v>
      </c>
      <c r="G10369" s="2" t="str">
        <f>"Clínica e Assistencial / Controle de Infecção Hospitalar / Relatórios / Operacionais / Relatórios - Letalidade por Infecções Segundo a Topografia (R_LETA_INFEC_TOPO)"</f>
        <v>Clínica e Assistencial / Controle de Infecção Hospitalar / Relatórios / Operacionais / Relatórios - Letalidade por Infecções Segundo a Topografia (R_LETA_INFEC_TOPO)</v>
      </c>
    </row>
    <row r="10370" spans="1:7" x14ac:dyDescent="0.3">
      <c r="A10370" s="1" t="s">
        <v>4</v>
      </c>
      <c r="B10370" s="2" t="str">
        <f t="shared" si="912"/>
        <v>SISTEMA DE CONTROLE DE INFEC. HOSPITALAR</v>
      </c>
      <c r="C10370" s="2" t="str">
        <f t="shared" si="913"/>
        <v>INTER</v>
      </c>
      <c r="D10370" s="2" t="str">
        <f t="shared" si="914"/>
        <v>PSIH</v>
      </c>
      <c r="E10370" s="2" t="str">
        <f>"M_MODO_GRF"</f>
        <v>M_MODO_GRF</v>
      </c>
      <c r="F10370" s="2" t="str">
        <f>"M_MODO_GRF"</f>
        <v>M_MODO_GRF</v>
      </c>
      <c r="G10370" s="2" t="str">
        <f>" ()"</f>
        <v xml:space="preserve"> ()</v>
      </c>
    </row>
    <row r="10371" spans="1:7" x14ac:dyDescent="0.3">
      <c r="A10371" s="1" t="s">
        <v>4</v>
      </c>
      <c r="B10371" s="2" t="str">
        <f t="shared" si="912"/>
        <v>SISTEMA DE CONTROLE DE INFEC. HOSPITALAR</v>
      </c>
      <c r="C10371" s="2" t="str">
        <f t="shared" si="913"/>
        <v>INTER</v>
      </c>
      <c r="D10371" s="2" t="str">
        <f t="shared" si="914"/>
        <v>PSIH</v>
      </c>
      <c r="E10371" s="2" t="str">
        <f>"R_COMPARA_INFEC_CEN_CIR"</f>
        <v>R_COMPARA_INFEC_CEN_CIR</v>
      </c>
      <c r="F10371" s="2" t="str">
        <f>"R_COMPARA_INFEC_CEN_CIR"</f>
        <v>R_COMPARA_INFEC_CEN_CIR</v>
      </c>
      <c r="G10371" s="2" t="str">
        <f>"Clínica e Assistencial / Controle de Infecção Hospitalar / Relatórios / Gerenciais / Comparativos / Relatórios - Anual de Infecções em Centro Cirúrgico (R_COMPARA_INFEC_CEN_CIR)"</f>
        <v>Clínica e Assistencial / Controle de Infecção Hospitalar / Relatórios / Gerenciais / Comparativos / Relatórios - Anual de Infecções em Centro Cirúrgico (R_COMPARA_INFEC_CEN_CIR)</v>
      </c>
    </row>
    <row r="10372" spans="1:7" x14ac:dyDescent="0.3">
      <c r="A10372" s="1" t="s">
        <v>4</v>
      </c>
      <c r="B10372" s="2" t="str">
        <f t="shared" si="912"/>
        <v>SISTEMA DE CONTROLE DE INFEC. HOSPITALAR</v>
      </c>
      <c r="C10372" s="2" t="str">
        <f t="shared" si="913"/>
        <v>INTER</v>
      </c>
      <c r="D10372" s="2" t="str">
        <f t="shared" si="914"/>
        <v>PSIH</v>
      </c>
      <c r="E10372" s="2" t="str">
        <f>"INFECÇÕES CLASSIFICADAS POR SERVIÇOS"</f>
        <v>INFECÇÕES CLASSIFICADAS POR SERVIÇOS</v>
      </c>
      <c r="F10372" s="2" t="str">
        <f>"R_C_G_SERVICO"</f>
        <v>R_C_G_SERVICO</v>
      </c>
      <c r="G10372" s="2" t="str">
        <f>"Clínica e Assistencial / Controle de Infecção Hospitalar / Relatórios / Indicadores Gerais / Relatórios - Infecções Classificadas por Serviço (R_C_G_SERVICO)"</f>
        <v>Clínica e Assistencial / Controle de Infecção Hospitalar / Relatórios / Indicadores Gerais / Relatórios - Infecções Classificadas por Serviço (R_C_G_SERVICO)</v>
      </c>
    </row>
    <row r="10373" spans="1:7" x14ac:dyDescent="0.3">
      <c r="A10373" s="1" t="s">
        <v>4</v>
      </c>
      <c r="B10373" s="2" t="str">
        <f t="shared" si="912"/>
        <v>SISTEMA DE CONTROLE DE INFEC. HOSPITALAR</v>
      </c>
      <c r="C10373" s="2" t="str">
        <f t="shared" si="913"/>
        <v>INTER</v>
      </c>
      <c r="D10373" s="2" t="str">
        <f t="shared" si="914"/>
        <v>PSIH</v>
      </c>
      <c r="E10373" s="2" t="str">
        <f>"TABELA DE PROCEDIMENTOS INVASIVOS"</f>
        <v>TABELA DE PROCEDIMENTOS INVASIVOS</v>
      </c>
      <c r="F10373" s="2" t="str">
        <f>"R_PRO_INVASIVO"</f>
        <v>R_PRO_INVASIVO</v>
      </c>
      <c r="G10373" s="2" t="str">
        <f>"Clínica e Assistencial / Controle de Infecção Hospitalar / Relatórios / Tabelas / Relatórios - Procedimentos Invasivos (R_PRO_INVASIVO)"</f>
        <v>Clínica e Assistencial / Controle de Infecção Hospitalar / Relatórios / Tabelas / Relatórios - Procedimentos Invasivos (R_PRO_INVASIVO)</v>
      </c>
    </row>
    <row r="10374" spans="1:7" x14ac:dyDescent="0.3">
      <c r="A10374" s="1" t="s">
        <v>4</v>
      </c>
      <c r="B10374" s="2" t="str">
        <f t="shared" si="912"/>
        <v>SISTEMA DE CONTROLE DE INFEC. HOSPITALAR</v>
      </c>
      <c r="C10374" s="2" t="str">
        <f t="shared" si="913"/>
        <v>INTER</v>
      </c>
      <c r="D10374" s="2" t="str">
        <f t="shared" si="914"/>
        <v>PSIH</v>
      </c>
      <c r="E10374" s="2" t="str">
        <f>"M_CTRL_SRV_LAVANDERIA"</f>
        <v>M_CTRL_SRV_LAVANDERIA</v>
      </c>
      <c r="F10374" s="2" t="str">
        <f>"M_CTRL_SRV_LAVANDERIA"</f>
        <v>M_CTRL_SRV_LAVANDERIA</v>
      </c>
      <c r="G10374" s="2" t="str">
        <f>"Clínica e Assistencial / Controle de Infecção Hospitalar / Consultas / Lavanderia (M_CTRL_SRV_LAVANDERIA)"</f>
        <v>Clínica e Assistencial / Controle de Infecção Hospitalar / Consultas / Lavanderia (M_CTRL_SRV_LAVANDERIA)</v>
      </c>
    </row>
    <row r="10375" spans="1:7" x14ac:dyDescent="0.3">
      <c r="A10375" s="1" t="s">
        <v>4</v>
      </c>
      <c r="B10375" s="2" t="str">
        <f t="shared" si="912"/>
        <v>SISTEMA DE CONTROLE DE INFEC. HOSPITALAR</v>
      </c>
      <c r="C10375" s="2" t="str">
        <f t="shared" si="913"/>
        <v>INTER</v>
      </c>
      <c r="D10375" s="2" t="str">
        <f t="shared" si="914"/>
        <v>PSIH</v>
      </c>
      <c r="E10375" s="2" t="str">
        <f>"R_COMPARA_INFEC_ESPEC"</f>
        <v>R_COMPARA_INFEC_ESPEC</v>
      </c>
      <c r="F10375" s="2" t="str">
        <f>"R_COMPARA_INFEC_ESPEC"</f>
        <v>R_COMPARA_INFEC_ESPEC</v>
      </c>
      <c r="G10375" s="2" t="str">
        <f>"Clínica e Assistencial / Controle de Infecção Hospitalar / Relatórios / Gerenciais / Comparativos / Relatórios - Anual de Infecções por Especialidade Cirúrgica (R_COMPARA_INFEC_ESPEC)"</f>
        <v>Clínica e Assistencial / Controle de Infecção Hospitalar / Relatórios / Gerenciais / Comparativos / Relatórios - Anual de Infecções por Especialidade Cirúrgica (R_COMPARA_INFEC_ESPEC)</v>
      </c>
    </row>
    <row r="10376" spans="1:7" x14ac:dyDescent="0.3">
      <c r="A10376" s="1" t="s">
        <v>4</v>
      </c>
      <c r="B10376" s="2" t="str">
        <f t="shared" si="912"/>
        <v>SISTEMA DE CONTROLE DE INFEC. HOSPITALAR</v>
      </c>
      <c r="C10376" s="2" t="str">
        <f t="shared" si="913"/>
        <v>INTER</v>
      </c>
      <c r="D10376" s="2" t="str">
        <f t="shared" si="914"/>
        <v>PSIH</v>
      </c>
      <c r="E10376" s="2" t="str">
        <f>"INFECÇÕES POR LOCALIZAÇÃO"</f>
        <v>INFECÇÕES POR LOCALIZAÇÃO</v>
      </c>
      <c r="F10376" s="2" t="str">
        <f>"R_INFEC_UNID_INT"</f>
        <v>R_INFEC_UNID_INT</v>
      </c>
      <c r="G10376" s="2" t="str">
        <f>"Clínica e Assistencial / Controle de Infecção Hospitalar / Relatórios / Indicadores Gerais / Relatórios - Infecções por Localização (R_INFEC_UNID_INT)"</f>
        <v>Clínica e Assistencial / Controle de Infecção Hospitalar / Relatórios / Indicadores Gerais / Relatórios - Infecções por Localização (R_INFEC_UNID_INT)</v>
      </c>
    </row>
    <row r="10377" spans="1:7" x14ac:dyDescent="0.3">
      <c r="A10377" s="1" t="s">
        <v>4</v>
      </c>
      <c r="B10377" s="2" t="str">
        <f t="shared" si="912"/>
        <v>SISTEMA DE CONTROLE DE INFEC. HOSPITALAR</v>
      </c>
      <c r="C10377" s="2" t="str">
        <f t="shared" si="913"/>
        <v>INTER</v>
      </c>
      <c r="D10377" s="2" t="str">
        <f t="shared" si="914"/>
        <v>PSIH</v>
      </c>
      <c r="E10377" s="2" t="str">
        <f>"CENTRAL DE ESTERILIZAÇÃO"</f>
        <v>CENTRAL DE ESTERILIZAÇÃO</v>
      </c>
      <c r="F10377" s="2" t="str">
        <f>"M_CTRL_ESTERIL"</f>
        <v>M_CTRL_ESTERIL</v>
      </c>
      <c r="G10377" s="2" t="str">
        <f>"Clínica e Assistencial / Controle de Infecção Hospitalar / Consultas / Central de Esterilização (M_CTRL_ESTERIL)"</f>
        <v>Clínica e Assistencial / Controle de Infecção Hospitalar / Consultas / Central de Esterilização (M_CTRL_ESTERIL)</v>
      </c>
    </row>
    <row r="10378" spans="1:7" x14ac:dyDescent="0.3">
      <c r="A10378" s="1" t="s">
        <v>4</v>
      </c>
      <c r="B10378" s="2" t="str">
        <f t="shared" si="912"/>
        <v>SISTEMA DE CONTROLE DE INFEC. HOSPITALAR</v>
      </c>
      <c r="C10378" s="2" t="str">
        <f t="shared" si="913"/>
        <v>INTER</v>
      </c>
      <c r="D10378" s="2" t="str">
        <f t="shared" si="914"/>
        <v>PSIH</v>
      </c>
      <c r="E10378" s="2" t="str">
        <f>"EVOLUÇÃO DE INFECÇÕES POR LOCALIZAÇÃO"</f>
        <v>EVOLUÇÃO DE INFECÇÕES POR LOCALIZAÇÃO</v>
      </c>
      <c r="F10378" s="2" t="str">
        <f>"R_EVO_INFEC_UNID_INT"</f>
        <v>R_EVO_INFEC_UNID_INT</v>
      </c>
      <c r="G10378" s="2" t="str">
        <f>"Clínica e Assistencial / Controle de Infecção Hospitalar / Relatórios / Indicadores Gerais / Relatórios - Evolução de Infecções por Localização (R_EVO_INFEC_UNID_INT)"</f>
        <v>Clínica e Assistencial / Controle de Infecção Hospitalar / Relatórios / Indicadores Gerais / Relatórios - Evolução de Infecções por Localização (R_EVO_INFEC_UNID_INT)</v>
      </c>
    </row>
    <row r="10379" spans="1:7" x14ac:dyDescent="0.3">
      <c r="A10379" s="1" t="s">
        <v>4</v>
      </c>
      <c r="B10379" s="2" t="str">
        <f t="shared" si="912"/>
        <v>SISTEMA DE CONTROLE DE INFEC. HOSPITALAR</v>
      </c>
      <c r="C10379" s="2" t="str">
        <f t="shared" si="913"/>
        <v>INTER</v>
      </c>
      <c r="D10379" s="2" t="str">
        <f t="shared" si="914"/>
        <v>PSIH</v>
      </c>
      <c r="E10379" s="2" t="str">
        <f>"CENTRAL DE SERVIÇO DE LIMPEZA"</f>
        <v>CENTRAL DE SERVIÇO DE LIMPEZA</v>
      </c>
      <c r="F10379" s="2" t="str">
        <f>"M_CTRL_SRV_LIMPEZA"</f>
        <v>M_CTRL_SRV_LIMPEZA</v>
      </c>
      <c r="G10379" s="2" t="str">
        <f>"Clínica e Assistencial / Controle de Infecção Hospitalar / Consultas / Zeladoria (M_CTRL_SRV_LIMPEZA)"</f>
        <v>Clínica e Assistencial / Controle de Infecção Hospitalar / Consultas / Zeladoria (M_CTRL_SRV_LIMPEZA)</v>
      </c>
    </row>
    <row r="10380" spans="1:7" x14ac:dyDescent="0.3">
      <c r="A10380" s="1" t="s">
        <v>4</v>
      </c>
      <c r="B10380" s="2" t="str">
        <f t="shared" si="912"/>
        <v>SISTEMA DE CONTROLE DE INFEC. HOSPITALAR</v>
      </c>
      <c r="C10380" s="2" t="str">
        <f t="shared" si="913"/>
        <v>INTER</v>
      </c>
      <c r="D10380" s="2" t="str">
        <f t="shared" si="914"/>
        <v>PSIH</v>
      </c>
      <c r="E10380" s="2" t="str">
        <f>"MAPA GERAL DE INFECÇÕES"</f>
        <v>MAPA GERAL DE INFECÇÕES</v>
      </c>
      <c r="F10380" s="2" t="str">
        <f>"C_MAPA_CCIH"</f>
        <v>C_MAPA_CCIH</v>
      </c>
      <c r="G10380" s="2" t="str">
        <f>"Clínica e Assistencial / Controle de Infecção Hospitalar / Consultas / Mapa Geral de Infecções (C_MAPA_CCIH)"</f>
        <v>Clínica e Assistencial / Controle de Infecção Hospitalar / Consultas / Mapa Geral de Infecções (C_MAPA_CCIH)</v>
      </c>
    </row>
    <row r="10381" spans="1:7" x14ac:dyDescent="0.3">
      <c r="A10381" s="1" t="s">
        <v>4</v>
      </c>
      <c r="B10381" s="2" t="str">
        <f t="shared" si="912"/>
        <v>SISTEMA DE CONTROLE DE INFEC. HOSPITALAR</v>
      </c>
      <c r="C10381" s="2" t="str">
        <f t="shared" si="913"/>
        <v>INTER</v>
      </c>
      <c r="D10381" s="2" t="str">
        <f t="shared" si="914"/>
        <v>PSIH</v>
      </c>
      <c r="E10381" s="2" t="str">
        <f>"M_REG_PROC_INV"</f>
        <v>M_REG_PROC_INV</v>
      </c>
      <c r="F10381" s="2" t="str">
        <f>"M_REG_PROC_INV"</f>
        <v>M_REG_PROC_INV</v>
      </c>
      <c r="G10381" s="2" t="str">
        <f>"Clínica e Assistencial / Controle de Infecção Hospitalar / Atendimento / Procedimentos Invasivos (M_REG_PROC_INV)"</f>
        <v>Clínica e Assistencial / Controle de Infecção Hospitalar / Atendimento / Procedimentos Invasivos (M_REG_PROC_INV)</v>
      </c>
    </row>
    <row r="10382" spans="1:7" x14ac:dyDescent="0.3">
      <c r="A10382" s="1" t="s">
        <v>4</v>
      </c>
      <c r="B10382" s="2" t="str">
        <f t="shared" si="912"/>
        <v>SISTEMA DE CONTROLE DE INFEC. HOSPITALAR</v>
      </c>
      <c r="C10382" s="2" t="str">
        <f t="shared" si="913"/>
        <v>INTER</v>
      </c>
      <c r="D10382" s="2" t="str">
        <f t="shared" si="914"/>
        <v>PSIH</v>
      </c>
      <c r="E10382" s="2" t="str">
        <f>"M_REG_PROC_INV"</f>
        <v>M_REG_PROC_INV</v>
      </c>
      <c r="F10382" s="2" t="str">
        <f>"M_REG_PROC_INV"</f>
        <v>M_REG_PROC_INV</v>
      </c>
      <c r="G10382" s="2" t="str">
        <f>"Clínica e Assistencial / Gerenciamento de Unidades / Enfermagem / Procedimentos Invasivos (M_REG_PROC_INV)"</f>
        <v>Clínica e Assistencial / Gerenciamento de Unidades / Enfermagem / Procedimentos Invasivos (M_REG_PROC_INV)</v>
      </c>
    </row>
    <row r="10383" spans="1:7" x14ac:dyDescent="0.3">
      <c r="A10383" s="1" t="s">
        <v>4</v>
      </c>
      <c r="B10383" s="2" t="str">
        <f t="shared" si="912"/>
        <v>SISTEMA DE CONTROLE DE INFEC. HOSPITALAR</v>
      </c>
      <c r="C10383" s="2" t="str">
        <f t="shared" si="913"/>
        <v>INTER</v>
      </c>
      <c r="D10383" s="2" t="str">
        <f t="shared" si="914"/>
        <v>PSIH</v>
      </c>
      <c r="E10383" s="2" t="str">
        <f>"M_AUDIT_PRESC"</f>
        <v>M_AUDIT_PRESC</v>
      </c>
      <c r="F10383" s="2" t="str">
        <f>"M_AUDIT_PRESC"</f>
        <v>M_AUDIT_PRESC</v>
      </c>
      <c r="G10383" s="2" t="str">
        <f>" ()"</f>
        <v xml:space="preserve"> ()</v>
      </c>
    </row>
    <row r="10384" spans="1:7" x14ac:dyDescent="0.3">
      <c r="A10384" s="1" t="s">
        <v>4</v>
      </c>
      <c r="B10384" s="2" t="str">
        <f t="shared" si="912"/>
        <v>SISTEMA DE CONTROLE DE INFEC. HOSPITALAR</v>
      </c>
      <c r="C10384" s="2" t="str">
        <f t="shared" si="913"/>
        <v>INTER</v>
      </c>
      <c r="D10384" s="2" t="str">
        <f t="shared" si="914"/>
        <v>PSIH</v>
      </c>
      <c r="E10384" s="2" t="str">
        <f>"R_CULTURA_POS"</f>
        <v>R_CULTURA_POS</v>
      </c>
      <c r="F10384" s="2" t="str">
        <f>"R_CULTURA_POS"</f>
        <v>R_CULTURA_POS</v>
      </c>
      <c r="G10384" s="2" t="str">
        <f>" ()"</f>
        <v xml:space="preserve"> ()</v>
      </c>
    </row>
    <row r="10385" spans="1:7" x14ac:dyDescent="0.3">
      <c r="A10385" s="1" t="s">
        <v>4</v>
      </c>
      <c r="B10385" s="2" t="str">
        <f t="shared" si="912"/>
        <v>SISTEMA DE CONTROLE DE INFEC. HOSPITALAR</v>
      </c>
      <c r="C10385" s="2" t="str">
        <f t="shared" si="913"/>
        <v>INTER</v>
      </c>
      <c r="D10385" s="2" t="str">
        <f t="shared" si="914"/>
        <v>PSIH</v>
      </c>
      <c r="E10385" s="2" t="str">
        <f>"WIN_PRINCIPAL"</f>
        <v>WIN_PRINCIPAL</v>
      </c>
      <c r="F10385" s="2" t="str">
        <f>"M_CONFIG_PSIH"</f>
        <v>M_CONFIG_PSIH</v>
      </c>
      <c r="G10385" s="2" t="str">
        <f>"Clínica e Assistencial / Controle de Infecção Hospitalar / Configurações / Parâmetros (M_CONFIG_PSIH)"</f>
        <v>Clínica e Assistencial / Controle de Infecção Hospitalar / Configurações / Parâmetros (M_CONFIG_PSIH)</v>
      </c>
    </row>
    <row r="10386" spans="1:7" x14ac:dyDescent="0.3">
      <c r="A10386" s="1" t="s">
        <v>4</v>
      </c>
      <c r="B10386" s="2" t="str">
        <f t="shared" si="912"/>
        <v>SISTEMA DE CONTROLE DE INFEC. HOSPITALAR</v>
      </c>
      <c r="C10386" s="2" t="str">
        <f t="shared" si="913"/>
        <v>INTER</v>
      </c>
      <c r="D10386" s="2" t="str">
        <f t="shared" si="914"/>
        <v>PSIH</v>
      </c>
      <c r="E10386" s="2" t="str">
        <f>"PERFIL BACTERIANO PORTOPOGRAFÍA"</f>
        <v>PERFIL BACTERIANO PORTOPOGRAFÍA</v>
      </c>
      <c r="F10386" s="2" t="str">
        <f>"R_PERFIL_GERME_X_TOPO"</f>
        <v>R_PERFIL_GERME_X_TOPO</v>
      </c>
      <c r="G10386" s="2" t="str">
        <f>"Clínica e Assistencial / Controle de Infecção Hospitalar / Relatórios / Gerenciais / Relatórios - Perfil Bacteriano por TopoGrafia (R_PERFIL_GERME_X_TOPO)"</f>
        <v>Clínica e Assistencial / Controle de Infecção Hospitalar / Relatórios / Gerenciais / Relatórios - Perfil Bacteriano por TopoGrafia (R_PERFIL_GERME_X_TOPO)</v>
      </c>
    </row>
    <row r="10387" spans="1:7" x14ac:dyDescent="0.3">
      <c r="A10387" s="1" t="s">
        <v>4</v>
      </c>
      <c r="B10387" s="2" t="str">
        <f t="shared" si="912"/>
        <v>SISTEMA DE CONTROLE DE INFEC. HOSPITALAR</v>
      </c>
      <c r="C10387" s="2" t="str">
        <f t="shared" si="913"/>
        <v>INTER</v>
      </c>
      <c r="D10387" s="2" t="str">
        <f t="shared" si="914"/>
        <v>PSIH</v>
      </c>
      <c r="E10387" s="2" t="str">
        <f>"R_EST_UNID_GERME"</f>
        <v>R_EST_UNID_GERME</v>
      </c>
      <c r="F10387" s="2" t="str">
        <f>"R_EST_UNID_GERME"</f>
        <v>R_EST_UNID_GERME</v>
      </c>
      <c r="G10387" s="2" t="str">
        <f>"Clínica e Assistencial / Controle de Infecção Hospitalar / Relatórios / Estatísticos / Microorganismos X Unidade de Internação (R_EST_UNID_GERME)"</f>
        <v>Clínica e Assistencial / Controle de Infecção Hospitalar / Relatórios / Estatísticos / Microorganismos X Unidade de Internação (R_EST_UNID_GERME)</v>
      </c>
    </row>
    <row r="10388" spans="1:7" x14ac:dyDescent="0.3">
      <c r="A10388" s="1" t="s">
        <v>4</v>
      </c>
      <c r="B10388" s="2" t="str">
        <f t="shared" si="912"/>
        <v>SISTEMA DE CONTROLE DE INFEC. HOSPITALAR</v>
      </c>
      <c r="C10388" s="2" t="str">
        <f t="shared" si="913"/>
        <v>INTER</v>
      </c>
      <c r="D10388" s="2" t="str">
        <f t="shared" si="914"/>
        <v>PSIH</v>
      </c>
      <c r="E10388" s="2" t="str">
        <f>"WIN_PRINCIPAL"</f>
        <v>WIN_PRINCIPAL</v>
      </c>
      <c r="F10388" s="2" t="str">
        <f>"C_CHAMA_REG_PROC_INV"</f>
        <v>C_CHAMA_REG_PROC_INV</v>
      </c>
      <c r="G10388" s="2" t="str">
        <f>" ()"</f>
        <v xml:space="preserve"> ()</v>
      </c>
    </row>
    <row r="10389" spans="1:7" x14ac:dyDescent="0.3">
      <c r="A10389" s="1" t="s">
        <v>4</v>
      </c>
      <c r="B10389" s="2" t="str">
        <f t="shared" si="912"/>
        <v>SISTEMA DE CONTROLE DE INFEC. HOSPITALAR</v>
      </c>
      <c r="C10389" s="2" t="str">
        <f t="shared" si="913"/>
        <v>INTER</v>
      </c>
      <c r="D10389" s="2" t="str">
        <f t="shared" si="914"/>
        <v>PSIH</v>
      </c>
      <c r="E10389" s="2" t="str">
        <f>"WIN_PRINCIPAL"</f>
        <v>WIN_PRINCIPAL</v>
      </c>
      <c r="F10389" s="2" t="str">
        <f>"C_CHAMA_FICHA_INFEC"</f>
        <v>C_CHAMA_FICHA_INFEC</v>
      </c>
      <c r="G10389" s="2" t="str">
        <f>" ()"</f>
        <v xml:space="preserve"> ()</v>
      </c>
    </row>
    <row r="10390" spans="1:7" x14ac:dyDescent="0.3">
      <c r="A10390" s="1" t="s">
        <v>4</v>
      </c>
      <c r="B10390" s="2" t="str">
        <f t="shared" si="912"/>
        <v>SISTEMA DE CONTROLE DE INFEC. HOSPITALAR</v>
      </c>
      <c r="C10390" s="2" t="str">
        <f t="shared" si="913"/>
        <v>INTER</v>
      </c>
      <c r="D10390" s="2" t="str">
        <f t="shared" si="914"/>
        <v>PSIH</v>
      </c>
      <c r="E10390" s="2" t="str">
        <f>"R_CONFIRMA_INFEC_CIRUR"</f>
        <v>R_CONFIRMA_INFEC_CIRUR</v>
      </c>
      <c r="F10390" s="2" t="str">
        <f>"R_CONFIRMA_INFEC_CIRUR"</f>
        <v>R_CONFIRMA_INFEC_CIRUR</v>
      </c>
      <c r="G10390" s="2" t="str">
        <f>"Clínica e Assistencial / Controle de Infecção Hospitalar / Relatórios / Operacionais / Relatórios - Confirmação de Infecções em Cirurgias (R_CONFIRMA_INFEC_CIRUR)"</f>
        <v>Clínica e Assistencial / Controle de Infecção Hospitalar / Relatórios / Operacionais / Relatórios - Confirmação de Infecções em Cirurgias (R_CONFIRMA_INFEC_CIRUR)</v>
      </c>
    </row>
    <row r="10391" spans="1:7" x14ac:dyDescent="0.3">
      <c r="A10391" s="1" t="s">
        <v>4</v>
      </c>
      <c r="B10391" s="2" t="str">
        <f t="shared" si="912"/>
        <v>SISTEMA DE CONTROLE DE INFEC. HOSPITALAR</v>
      </c>
      <c r="C10391" s="2" t="str">
        <f t="shared" si="913"/>
        <v>INTER</v>
      </c>
      <c r="D10391" s="2" t="str">
        <f t="shared" si="914"/>
        <v>PSIH</v>
      </c>
      <c r="E10391" s="2" t="str">
        <f>"ÍNDICE DE GRAVIDADE"</f>
        <v>ÍNDICE DE GRAVIDADE</v>
      </c>
      <c r="F10391" s="2" t="str">
        <f>"M_EVOL_ATEND_ASIS"</f>
        <v>M_EVOL_ATEND_ASIS</v>
      </c>
      <c r="G10391" s="2" t="str">
        <f>"Clínica e Assistencial / Controle de Infecção Hospitalar / Atendimento / Indice de Gravidade (ASIS) (M_EVOL_ATEND_ASIS)"</f>
        <v>Clínica e Assistencial / Controle de Infecção Hospitalar / Atendimento / Indice de Gravidade (ASIS) (M_EVOL_ATEND_ASIS)</v>
      </c>
    </row>
    <row r="10392" spans="1:7" x14ac:dyDescent="0.3">
      <c r="A10392" s="1" t="s">
        <v>4</v>
      </c>
      <c r="B10392" s="2" t="str">
        <f t="shared" si="912"/>
        <v>SISTEMA DE CONTROLE DE INFEC. HOSPITALAR</v>
      </c>
      <c r="C10392" s="2" t="str">
        <f t="shared" si="913"/>
        <v>INTER</v>
      </c>
      <c r="D10392" s="2" t="str">
        <f t="shared" si="914"/>
        <v>PSIH</v>
      </c>
      <c r="E10392" s="2" t="str">
        <f>"TABELA DE TOPOGRAFIAS"</f>
        <v>TABELA DE TOPOGRAFIAS</v>
      </c>
      <c r="F10392" s="2" t="str">
        <f>"R_TOPOGRAFIA"</f>
        <v>R_TOPOGRAFIA</v>
      </c>
      <c r="G10392" s="2" t="str">
        <f>"Clínica e Assistencial / Controle de Infecção Hospitalar / Relatórios / Tabelas / Relatórios - Topografia (R_TOPOGRAFIA)"</f>
        <v>Clínica e Assistencial / Controle de Infecção Hospitalar / Relatórios / Tabelas / Relatórios - Topografia (R_TOPOGRAFIA)</v>
      </c>
    </row>
    <row r="10393" spans="1:7" x14ac:dyDescent="0.3">
      <c r="A10393" s="1" t="s">
        <v>4</v>
      </c>
      <c r="B10393" s="2" t="str">
        <f t="shared" si="912"/>
        <v>SISTEMA DE CONTROLE DE INFEC. HOSPITALAR</v>
      </c>
      <c r="C10393" s="2" t="str">
        <f t="shared" si="913"/>
        <v>INTER</v>
      </c>
      <c r="D10393" s="2" t="str">
        <f t="shared" si="914"/>
        <v>PSIH</v>
      </c>
      <c r="E10393" s="2" t="str">
        <f>"R_PAC_REGRESSO"</f>
        <v>R_PAC_REGRESSO</v>
      </c>
      <c r="F10393" s="2" t="str">
        <f>"R_PAC_REGRESSO"</f>
        <v>R_PAC_REGRESSO</v>
      </c>
      <c r="G10393" s="2" t="str">
        <f>"Clínica e Assistencial / Controle de Infecção Hospitalar / Relatórios / Operacionais / Relatórios - Pacientes de Regresso (R_PAC_REGRESSO)"</f>
        <v>Clínica e Assistencial / Controle de Infecção Hospitalar / Relatórios / Operacionais / Relatórios - Pacientes de Regresso (R_PAC_REGRESSO)</v>
      </c>
    </row>
    <row r="10394" spans="1:7" x14ac:dyDescent="0.3">
      <c r="A10394" s="1" t="s">
        <v>4</v>
      </c>
      <c r="B10394" s="2" t="str">
        <f t="shared" si="912"/>
        <v>SISTEMA DE CONTROLE DE INFEC. HOSPITALAR</v>
      </c>
      <c r="C10394" s="2" t="str">
        <f t="shared" si="913"/>
        <v>INTER</v>
      </c>
      <c r="D10394" s="2" t="str">
        <f t="shared" si="914"/>
        <v>PSIH</v>
      </c>
      <c r="E10394" s="2" t="str">
        <f>"TABELA DE GERMES"</f>
        <v>TABELA DE GERMES</v>
      </c>
      <c r="F10394" s="2" t="str">
        <f>"R_GERME"</f>
        <v>R_GERME</v>
      </c>
      <c r="G10394" s="2" t="str">
        <f>"Clínica e Assistencial / Controle de Infecção Hospitalar / Relatórios / Tabelas / Microorganismos (R_GERME)"</f>
        <v>Clínica e Assistencial / Controle de Infecção Hospitalar / Relatórios / Tabelas / Microorganismos (R_GERME)</v>
      </c>
    </row>
    <row r="10395" spans="1:7" x14ac:dyDescent="0.3">
      <c r="A10395" s="1" t="s">
        <v>4</v>
      </c>
      <c r="B10395" s="2" t="str">
        <f t="shared" si="912"/>
        <v>SISTEMA DE CONTROLE DE INFEC. HOSPITALAR</v>
      </c>
      <c r="C10395" s="2" t="str">
        <f t="shared" si="913"/>
        <v>INTER</v>
      </c>
      <c r="D10395" s="2" t="str">
        <f t="shared" si="914"/>
        <v>PSIH</v>
      </c>
      <c r="E10395" s="2" t="str">
        <f>"RELATÓRIO ESTATÍSTICO CULTURA X MATERIAL"</f>
        <v>RELATÓRIO ESTATÍSTICO CULTURA X MATERIAL</v>
      </c>
      <c r="F10395" s="2" t="str">
        <f>"R_EST_CULTURA_MATERIAL"</f>
        <v>R_EST_CULTURA_MATERIAL</v>
      </c>
      <c r="G10395" s="2" t="str">
        <f>"Diagnóstico e Terapia / Laboratório de Análises Clínicas / Relatórios / Estatisticos / Estatística de Cultura x Material (R_EST_CULTURA_MATERIAL)"</f>
        <v>Diagnóstico e Terapia / Laboratório de Análises Clínicas / Relatórios / Estatisticos / Estatística de Cultura x Material (R_EST_CULTURA_MATERIAL)</v>
      </c>
    </row>
    <row r="10396" spans="1:7" x14ac:dyDescent="0.3">
      <c r="A10396" s="1" t="s">
        <v>4</v>
      </c>
      <c r="B10396" s="2" t="str">
        <f t="shared" si="912"/>
        <v>SISTEMA DE CONTROLE DE INFEC. HOSPITALAR</v>
      </c>
      <c r="C10396" s="2" t="str">
        <f t="shared" si="913"/>
        <v>INTER</v>
      </c>
      <c r="D10396" s="2" t="str">
        <f t="shared" si="914"/>
        <v>PSIH</v>
      </c>
      <c r="E10396" s="2" t="str">
        <f>"RELATÓRIO ESTATÍSTICO CULTURA X MATERIAL"</f>
        <v>RELATÓRIO ESTATÍSTICO CULTURA X MATERIAL</v>
      </c>
      <c r="F10396" s="2" t="str">
        <f>"R_EST_CULTURA_MATERIAL"</f>
        <v>R_EST_CULTURA_MATERIAL</v>
      </c>
      <c r="G10396" s="2" t="str">
        <f>"Clínica e Assistencial / Controle de Infecção Hospitalar / Relatórios / Estatísticos / Relatórios - Estatística de Cultura x Material (R_EST_CULTURA_MATERIAL)"</f>
        <v>Clínica e Assistencial / Controle de Infecção Hospitalar / Relatórios / Estatísticos / Relatórios - Estatística de Cultura x Material (R_EST_CULTURA_MATERIAL)</v>
      </c>
    </row>
    <row r="10397" spans="1:7" x14ac:dyDescent="0.3">
      <c r="A10397" s="1" t="s">
        <v>4</v>
      </c>
      <c r="B10397" s="2" t="str">
        <f t="shared" si="912"/>
        <v>SISTEMA DE CONTROLE DE INFEC. HOSPITALAR</v>
      </c>
      <c r="C10397" s="2" t="str">
        <f t="shared" si="913"/>
        <v>INTER</v>
      </c>
      <c r="D10397" s="2" t="str">
        <f t="shared" si="914"/>
        <v>PSIH</v>
      </c>
      <c r="E10397" s="2" t="str">
        <f>"R_EST_INFEC_PROC_INV"</f>
        <v>R_EST_INFEC_PROC_INV</v>
      </c>
      <c r="F10397" s="2" t="str">
        <f>"R_EST_INFEC_PROC_INV"</f>
        <v>R_EST_INFEC_PROC_INV</v>
      </c>
      <c r="G10397" s="2" t="str">
        <f>"Clínica e Assistencial / Controle de Infecção Hospitalar / Relatórios / Estatísticos / Relatórios - Procedimento Invasivo X Infecção (CID) (R_EST_INFEC_PROC_INV)"</f>
        <v>Clínica e Assistencial / Controle de Infecção Hospitalar / Relatórios / Estatísticos / Relatórios - Procedimento Invasivo X Infecção (CID) (R_EST_INFEC_PROC_INV)</v>
      </c>
    </row>
    <row r="10398" spans="1:7" x14ac:dyDescent="0.3">
      <c r="A10398" s="1" t="s">
        <v>4</v>
      </c>
      <c r="B10398" s="2" t="str">
        <f t="shared" si="912"/>
        <v>SISTEMA DE CONTROLE DE INFEC. HOSPITALAR</v>
      </c>
      <c r="C10398" s="2" t="str">
        <f t="shared" si="913"/>
        <v>INTER</v>
      </c>
      <c r="D10398" s="2" t="str">
        <f t="shared" si="914"/>
        <v>PSIH</v>
      </c>
      <c r="E10398" s="2" t="str">
        <f>"LETALIDADE POR INFECÇÃO SEGUNDO O SETOR"</f>
        <v>LETALIDADE POR INFECÇÃO SEGUNDO O SETOR</v>
      </c>
      <c r="F10398" s="2" t="str">
        <f>"R_LETA_INFEC_SETOR"</f>
        <v>R_LETA_INFEC_SETOR</v>
      </c>
      <c r="G10398" s="2" t="str">
        <f>"Clínica e Assistencial / Controle de Infecção Hospitalar / Relatórios / Operacionais / Relatórios - Letalidade por Infecções Segundo o Setor (R_LETA_INFEC_SETOR)"</f>
        <v>Clínica e Assistencial / Controle de Infecção Hospitalar / Relatórios / Operacionais / Relatórios - Letalidade por Infecções Segundo o Setor (R_LETA_INFEC_SETOR)</v>
      </c>
    </row>
    <row r="10399" spans="1:7" x14ac:dyDescent="0.3">
      <c r="A10399" s="1" t="s">
        <v>4</v>
      </c>
      <c r="B10399" s="2" t="str">
        <f t="shared" si="912"/>
        <v>SISTEMA DE CONTROLE DE INFEC. HOSPITALAR</v>
      </c>
      <c r="C10399" s="2" t="str">
        <f t="shared" si="913"/>
        <v>INTER</v>
      </c>
      <c r="D10399" s="2" t="str">
        <f t="shared" si="914"/>
        <v>PSIH</v>
      </c>
      <c r="E10399" s="2" t="str">
        <f>"R_COMPARA_INFEC_EQUIPE"</f>
        <v>R_COMPARA_INFEC_EQUIPE</v>
      </c>
      <c r="F10399" s="2" t="str">
        <f>"R_COMPARA_INFEC_EQUIPE"</f>
        <v>R_COMPARA_INFEC_EQUIPE</v>
      </c>
      <c r="G10399" s="2" t="str">
        <f>"Clínica e Assistencial / Controle de Infecção Hospitalar / Relatórios / Gerenciais / Comparativos / Relatórios - Infecções por Equipe Médica (R_COMPARA_INFEC_EQUIPE)"</f>
        <v>Clínica e Assistencial / Controle de Infecção Hospitalar / Relatórios / Gerenciais / Comparativos / Relatórios - Infecções por Equipe Médica (R_COMPARA_INFEC_EQUIPE)</v>
      </c>
    </row>
    <row r="10400" spans="1:7" x14ac:dyDescent="0.3">
      <c r="A10400" s="1" t="s">
        <v>4</v>
      </c>
      <c r="B10400" s="2" t="str">
        <f t="shared" si="912"/>
        <v>SISTEMA DE CONTROLE DE INFEC. HOSPITALAR</v>
      </c>
      <c r="C10400" s="2" t="str">
        <f t="shared" si="913"/>
        <v>INTER</v>
      </c>
      <c r="D10400" s="2" t="str">
        <f t="shared" si="914"/>
        <v>PSIH</v>
      </c>
      <c r="E10400" s="2" t="str">
        <f>"CADASTRO DE ANTIMICROBIANOS"</f>
        <v>CADASTRO DE ANTIMICROBIANOS</v>
      </c>
      <c r="F10400" s="2" t="str">
        <f>"M_ASIS_CARACT_CLINICA"</f>
        <v>M_ASIS_CARACT_CLINICA</v>
      </c>
      <c r="G10400" s="2" t="str">
        <f>"Clínica e Assistencial / Controle de Infecção Hospitalar / Tabelas / Tabela ASIS (M_ASIS_CARACT_CLINICA)"</f>
        <v>Clínica e Assistencial / Controle de Infecção Hospitalar / Tabelas / Tabela ASIS (M_ASIS_CARACT_CLINICA)</v>
      </c>
    </row>
    <row r="10401" spans="1:7" x14ac:dyDescent="0.3">
      <c r="A10401" s="1" t="s">
        <v>4</v>
      </c>
      <c r="B10401" s="2" t="str">
        <f t="shared" si="912"/>
        <v>SISTEMA DE CONTROLE DE INFEC. HOSPITALAR</v>
      </c>
      <c r="C10401" s="2" t="str">
        <f t="shared" si="913"/>
        <v>INTER</v>
      </c>
      <c r="D10401" s="2" t="str">
        <f t="shared" si="914"/>
        <v>PSIH</v>
      </c>
      <c r="E10401" s="2" t="str">
        <f>"CADASTRO DE ANTIMICROBIANOS"</f>
        <v>CADASTRO DE ANTIMICROBIANOS</v>
      </c>
      <c r="F10401" s="2" t="str">
        <f>"M_CARACT_CLINICA"</f>
        <v>M_CARACT_CLINICA</v>
      </c>
      <c r="G10401" s="2" t="str">
        <f>"Clínica e Assistencial / Controle de Infecção Hospitalar / Tabelas / Características Clínicas (ASIS) (M_CARACT_CLINICA)"</f>
        <v>Clínica e Assistencial / Controle de Infecção Hospitalar / Tabelas / Características Clínicas (ASIS) (M_CARACT_CLINICA)</v>
      </c>
    </row>
    <row r="10402" spans="1:7" x14ac:dyDescent="0.3">
      <c r="A10402" s="1" t="s">
        <v>4</v>
      </c>
      <c r="B10402" s="2" t="str">
        <f t="shared" si="912"/>
        <v>SISTEMA DE CONTROLE DE INFEC. HOSPITALAR</v>
      </c>
      <c r="C10402" s="2" t="str">
        <f t="shared" si="913"/>
        <v>INTER</v>
      </c>
      <c r="D10402" s="2" t="str">
        <f t="shared" si="914"/>
        <v>PSIH</v>
      </c>
      <c r="E10402" s="2" t="str">
        <f>"R_EST_MAT_GERME"</f>
        <v>R_EST_MAT_GERME</v>
      </c>
      <c r="F10402" s="2" t="str">
        <f>"R_EST_MAT_GERME"</f>
        <v>R_EST_MAT_GERME</v>
      </c>
      <c r="G10402" s="2" t="str">
        <f>"Clínica e Assistencial / Controle de Infecção Hospitalar / Relatórios / Estatísticos / Microorganismos X Material (R_EST_MAT_GERME)"</f>
        <v>Clínica e Assistencial / Controle de Infecção Hospitalar / Relatórios / Estatísticos / Microorganismos X Material (R_EST_MAT_GERME)</v>
      </c>
    </row>
    <row r="10403" spans="1:7" x14ac:dyDescent="0.3">
      <c r="A10403" s="1" t="s">
        <v>4</v>
      </c>
      <c r="B10403" s="2" t="str">
        <f t="shared" si="912"/>
        <v>SISTEMA DE CONTROLE DE INFEC. HOSPITALAR</v>
      </c>
      <c r="C10403" s="2" t="str">
        <f t="shared" si="913"/>
        <v>INTER</v>
      </c>
      <c r="D10403" s="2" t="str">
        <f t="shared" si="914"/>
        <v>PSIH</v>
      </c>
      <c r="E10403" s="2" t="str">
        <f>"R_TAXA_PRO_INV"</f>
        <v>R_TAXA_PRO_INV</v>
      </c>
      <c r="F10403" s="2" t="str">
        <f>"R_TAXA_PRO_INV"</f>
        <v>R_TAXA_PRO_INV</v>
      </c>
      <c r="G10403" s="2" t="str">
        <f>"Clínica e Assistencial / Controle de Infecção Hospitalar / Relatórios / Gerenciais / Relatórios - Taxa de Utilização de Procedimentos Invasivos (R_TAXA_PRO_INV)"</f>
        <v>Clínica e Assistencial / Controle de Infecção Hospitalar / Relatórios / Gerenciais / Relatórios - Taxa de Utilização de Procedimentos Invasivos (R_TAXA_PRO_INV)</v>
      </c>
    </row>
    <row r="10404" spans="1:7" x14ac:dyDescent="0.3">
      <c r="A10404" s="1" t="s">
        <v>4</v>
      </c>
      <c r="B10404" s="2" t="str">
        <f t="shared" si="912"/>
        <v>SISTEMA DE CONTROLE DE INFEC. HOSPITALAR</v>
      </c>
      <c r="C10404" s="2" t="str">
        <f t="shared" si="913"/>
        <v>INTER</v>
      </c>
      <c r="D10404" s="2" t="str">
        <f t="shared" si="914"/>
        <v>PSIH</v>
      </c>
      <c r="E10404" s="2" t="str">
        <f>"TABELA DE ANTIMICROBIANOS"</f>
        <v>TABELA DE ANTIMICROBIANOS</v>
      </c>
      <c r="F10404" s="2" t="str">
        <f>"R_ANTIMICROB"</f>
        <v>R_ANTIMICROB</v>
      </c>
      <c r="G10404" s="2" t="str">
        <f>"Clínica e Assistencial / Controle de Infecção Hospitalar / Relatórios / Tabelas / Relatórios - Antimicrobianos (R_ANTIMICROB)"</f>
        <v>Clínica e Assistencial / Controle de Infecção Hospitalar / Relatórios / Tabelas / Relatórios - Antimicrobianos (R_ANTIMICROB)</v>
      </c>
    </row>
    <row r="10405" spans="1:7" x14ac:dyDescent="0.3">
      <c r="A10405" s="1" t="s">
        <v>4</v>
      </c>
      <c r="B10405" s="2" t="str">
        <f t="shared" si="912"/>
        <v>SISTEMA DE CONTROLE DE INFEC. HOSPITALAR</v>
      </c>
      <c r="C10405" s="2" t="str">
        <f t="shared" si="913"/>
        <v>INTER</v>
      </c>
      <c r="D10405" s="2" t="str">
        <f t="shared" si="914"/>
        <v>PSIH</v>
      </c>
      <c r="E10405" s="2" t="str">
        <f>"R_AGENTE_ETIOLOGICO"</f>
        <v>R_AGENTE_ETIOLOGICO</v>
      </c>
      <c r="F10405" s="2" t="str">
        <f>"R_AGENTE_ETIOLOGICO"</f>
        <v>R_AGENTE_ETIOLOGICO</v>
      </c>
      <c r="G10405" s="2" t="str">
        <f>"Clínica e Assistencial / Controle de Infecção Hospitalar / Relatórios / Gerenciais / Relatórios - Agentes Etiológicos do Sítio Cirúrgico (R_AGENTE_ETIOLOGICO)"</f>
        <v>Clínica e Assistencial / Controle de Infecção Hospitalar / Relatórios / Gerenciais / Relatórios - Agentes Etiológicos do Sítio Cirúrgico (R_AGENTE_ETIOLOGICO)</v>
      </c>
    </row>
    <row r="10406" spans="1:7" x14ac:dyDescent="0.3">
      <c r="A10406" s="1" t="s">
        <v>4</v>
      </c>
      <c r="B10406" s="2" t="str">
        <f t="shared" si="912"/>
        <v>SISTEMA DE CONTROLE DE INFEC. HOSPITALAR</v>
      </c>
      <c r="C10406" s="2" t="str">
        <f t="shared" si="913"/>
        <v>INTER</v>
      </c>
      <c r="D10406" s="2" t="str">
        <f t="shared" si="914"/>
        <v>PSIH</v>
      </c>
      <c r="E10406" s="2" t="str">
        <f>"R_EST_INCID_SETOR"</f>
        <v>R_EST_INCID_SETOR</v>
      </c>
      <c r="F10406" s="2" t="str">
        <f>"R_EST_INCID_SETOR"</f>
        <v>R_EST_INCID_SETOR</v>
      </c>
      <c r="G10406" s="2" t="str">
        <f>"Clínica e Assistencial / Controle de Infecção Hospitalar / Relatórios / Estatísticos / Relatórios - Incidências de Infecções (R_EST_INCID_SETOR)"</f>
        <v>Clínica e Assistencial / Controle de Infecção Hospitalar / Relatórios / Estatísticos / Relatórios - Incidências de Infecções (R_EST_INCID_SETOR)</v>
      </c>
    </row>
    <row r="10407" spans="1:7" x14ac:dyDescent="0.3">
      <c r="A10407" s="1" t="s">
        <v>4</v>
      </c>
      <c r="B10407" s="2" t="str">
        <f t="shared" si="912"/>
        <v>SISTEMA DE CONTROLE DE INFEC. HOSPITALAR</v>
      </c>
      <c r="C10407" s="2" t="str">
        <f t="shared" si="913"/>
        <v>INTER</v>
      </c>
      <c r="D10407" s="2" t="str">
        <f t="shared" si="914"/>
        <v>PSIH</v>
      </c>
      <c r="E10407" s="2" t="str">
        <f>"R_PERFIL_ANTIMICROB"</f>
        <v>R_PERFIL_ANTIMICROB</v>
      </c>
      <c r="F10407" s="2" t="str">
        <f>"R_PERFIL_ANTIMICROB"</f>
        <v>R_PERFIL_ANTIMICROB</v>
      </c>
      <c r="G10407" s="2" t="str">
        <f>"Diagnóstico e Terapia / Laboratório de Análises Clínicas / Relatórios / Estatisticos / Perfil de Resistência a Antimicrobianos (R_PERFIL_ANTIMICROB)"</f>
        <v>Diagnóstico e Terapia / Laboratório de Análises Clínicas / Relatórios / Estatisticos / Perfil de Resistência a Antimicrobianos (R_PERFIL_ANTIMICROB)</v>
      </c>
    </row>
    <row r="10408" spans="1:7" x14ac:dyDescent="0.3">
      <c r="A10408" s="1" t="s">
        <v>4</v>
      </c>
      <c r="B10408" s="2" t="str">
        <f t="shared" si="912"/>
        <v>SISTEMA DE CONTROLE DE INFEC. HOSPITALAR</v>
      </c>
      <c r="C10408" s="2" t="str">
        <f t="shared" si="913"/>
        <v>INTER</v>
      </c>
      <c r="D10408" s="2" t="str">
        <f t="shared" si="914"/>
        <v>PSIH</v>
      </c>
      <c r="E10408" s="2" t="str">
        <f>"R_PERFIL_ANTIMICROB"</f>
        <v>R_PERFIL_ANTIMICROB</v>
      </c>
      <c r="F10408" s="2" t="str">
        <f>"R_PERFIL_ANTIMICROB"</f>
        <v>R_PERFIL_ANTIMICROB</v>
      </c>
      <c r="G10408" s="2" t="str">
        <f>"Clínica e Assistencial / Controle de Infecção Hospitalar / Relatórios / Indicadores Gerais / Relatórios - Perfil de Resistência a Antimicrobianos (R_PERFIL_ANTIMICROB)"</f>
        <v>Clínica e Assistencial / Controle de Infecção Hospitalar / Relatórios / Indicadores Gerais / Relatórios - Perfil de Resistência a Antimicrobianos (R_PERFIL_ANTIMICROB)</v>
      </c>
    </row>
    <row r="10409" spans="1:7" x14ac:dyDescent="0.3">
      <c r="A10409" s="1" t="s">
        <v>4</v>
      </c>
      <c r="B10409" s="2" t="str">
        <f t="shared" si="912"/>
        <v>SISTEMA DE CONTROLE DE INFEC. HOSPITALAR</v>
      </c>
      <c r="C10409" s="2" t="str">
        <f t="shared" si="913"/>
        <v>INTER</v>
      </c>
      <c r="D10409" s="2" t="str">
        <f t="shared" si="914"/>
        <v>PSIH</v>
      </c>
      <c r="E10409" s="2" t="str">
        <f>"AGENDA DE PACIENTES SUSPEITOS"</f>
        <v>AGENDA DE PACIENTES SUSPEITOS</v>
      </c>
      <c r="F10409" s="2" t="str">
        <f>"M_AVISO_INFEC"</f>
        <v>M_AVISO_INFEC</v>
      </c>
      <c r="G10409" s="2" t="str">
        <f>"Clínica e Assistencial / Controle de Infecção Hospitalar / Atendimento / Pacientes Suspeitos à Infecção (M_AVISO_INFEC)"</f>
        <v>Clínica e Assistencial / Controle de Infecção Hospitalar / Atendimento / Pacientes Suspeitos à Infecção (M_AVISO_INFEC)</v>
      </c>
    </row>
    <row r="10410" spans="1:7" x14ac:dyDescent="0.3">
      <c r="A10410" s="1" t="s">
        <v>4</v>
      </c>
      <c r="B10410" s="2" t="str">
        <f t="shared" si="912"/>
        <v>SISTEMA DE CONTROLE DE INFEC. HOSPITALAR</v>
      </c>
      <c r="C10410" s="2" t="str">
        <f t="shared" si="913"/>
        <v>INTER</v>
      </c>
      <c r="D10410" s="2" t="str">
        <f t="shared" si="914"/>
        <v>PSIH</v>
      </c>
      <c r="E10410" s="2" t="str">
        <f>"PRODUTO X ANTIMICROBIANO"</f>
        <v>PRODUTO X ANTIMICROBIANO</v>
      </c>
      <c r="F10410" s="2" t="str">
        <f>"ANT_PRO_757"</f>
        <v>ANT_PRO_757</v>
      </c>
      <c r="G10410" s="2" t="str">
        <f>" ()"</f>
        <v xml:space="preserve"> ()</v>
      </c>
    </row>
    <row r="10411" spans="1:7" x14ac:dyDescent="0.3">
      <c r="A10411" s="1" t="s">
        <v>4</v>
      </c>
      <c r="B10411" s="2" t="str">
        <f t="shared" si="912"/>
        <v>SISTEMA DE CONTROLE DE INFEC. HOSPITALAR</v>
      </c>
      <c r="C10411" s="2" t="str">
        <f t="shared" si="913"/>
        <v>INTER</v>
      </c>
      <c r="D10411" s="2" t="str">
        <f t="shared" si="914"/>
        <v>PSIH</v>
      </c>
      <c r="E10411" s="2" t="str">
        <f>"CALENDÁRIO"</f>
        <v>CALENDÁRIO</v>
      </c>
      <c r="F10411" s="2" t="str">
        <f>"R_EST_UNID_INT_PRO_INV"</f>
        <v>R_EST_UNID_INT_PRO_INV</v>
      </c>
      <c r="G10411" s="2" t="str">
        <f>"Clínica e Assistencial / Controle de Infecção Hospitalar / Relatórios / Estatísticos / Relatórios - Procedimento Invasivo X Unidade de Internação  (R_EST_UNID_INT_PRO_INV)"</f>
        <v>Clínica e Assistencial / Controle de Infecção Hospitalar / Relatórios / Estatísticos / Relatórios - Procedimento Invasivo X Unidade de Internação  (R_EST_UNID_INT_PRO_INV)</v>
      </c>
    </row>
    <row r="10412" spans="1:7" x14ac:dyDescent="0.3">
      <c r="A10412" s="1" t="s">
        <v>4</v>
      </c>
      <c r="B10412" s="2" t="str">
        <f t="shared" si="912"/>
        <v>SISTEMA DE CONTROLE DE INFEC. HOSPITALAR</v>
      </c>
      <c r="C10412" s="2" t="str">
        <f t="shared" si="913"/>
        <v>INTER</v>
      </c>
      <c r="D10412" s="2" t="str">
        <f t="shared" si="914"/>
        <v>PSIH</v>
      </c>
      <c r="E10412" s="2" t="str">
        <f>"CADASTRO DE GERMES"</f>
        <v>CADASTRO DE GERMES</v>
      </c>
      <c r="F10412" s="2" t="str">
        <f>"M_GERME"</f>
        <v>M_GERME</v>
      </c>
      <c r="G10412" s="2" t="str">
        <f>"Clínica e Assistencial / Controle de Infecção Hospitalar / Tabelas / Microrganismos (M_GERME)"</f>
        <v>Clínica e Assistencial / Controle de Infecção Hospitalar / Tabelas / Microrganismos (M_GERME)</v>
      </c>
    </row>
    <row r="10413" spans="1:7" x14ac:dyDescent="0.3">
      <c r="A10413" s="1" t="s">
        <v>4</v>
      </c>
      <c r="B10413" s="2" t="str">
        <f t="shared" si="912"/>
        <v>SISTEMA DE CONTROLE DE INFEC. HOSPITALAR</v>
      </c>
      <c r="C10413" s="2" t="str">
        <f t="shared" si="913"/>
        <v>INTER</v>
      </c>
      <c r="D10413" s="2" t="str">
        <f t="shared" si="914"/>
        <v>PSIH</v>
      </c>
      <c r="E10413" s="2" t="str">
        <f>"CADASTRO DE GERMES"</f>
        <v>CADASTRO DE GERMES</v>
      </c>
      <c r="F10413" s="2" t="str">
        <f>"M_GERME"</f>
        <v>M_GERME</v>
      </c>
      <c r="G10413" s="2" t="str">
        <f>"Diagnóstico e Terapia / Laboratório de Análises Clínicas / Tabelas / Cultura / Microrganismos (M_GERME)"</f>
        <v>Diagnóstico e Terapia / Laboratório de Análises Clínicas / Tabelas / Cultura / Microrganismos (M_GERME)</v>
      </c>
    </row>
    <row r="10414" spans="1:7" x14ac:dyDescent="0.3">
      <c r="A10414" s="1" t="s">
        <v>4</v>
      </c>
      <c r="B10414" s="2" t="str">
        <f t="shared" si="912"/>
        <v>SISTEMA DE CONTROLE DE INFEC. HOSPITALAR</v>
      </c>
      <c r="C10414" s="2" t="str">
        <f t="shared" si="913"/>
        <v>INTER</v>
      </c>
      <c r="D10414" s="2" t="str">
        <f t="shared" si="914"/>
        <v>PSIH</v>
      </c>
      <c r="E10414" s="2" t="str">
        <f>"CADASTRO DE CULTURA"</f>
        <v>CADASTRO DE CULTURA</v>
      </c>
      <c r="F10414" s="2" t="str">
        <f>"M_CULTURA"</f>
        <v>M_CULTURA</v>
      </c>
      <c r="G10414" s="2" t="str">
        <f>"Clínica e Assistencial / Controle de Infecção Hospitalar / Tabelas / Materiais para Cultura (M_CULTURA)"</f>
        <v>Clínica e Assistencial / Controle de Infecção Hospitalar / Tabelas / Materiais para Cultura (M_CULTURA)</v>
      </c>
    </row>
    <row r="10415" spans="1:7" x14ac:dyDescent="0.3">
      <c r="A10415" s="1" t="s">
        <v>4</v>
      </c>
      <c r="B10415" s="2" t="str">
        <f t="shared" si="912"/>
        <v>SISTEMA DE CONTROLE DE INFEC. HOSPITALAR</v>
      </c>
      <c r="C10415" s="2" t="str">
        <f t="shared" si="913"/>
        <v>INTER</v>
      </c>
      <c r="D10415" s="2" t="str">
        <f t="shared" si="914"/>
        <v>PSIH</v>
      </c>
      <c r="E10415" s="2" t="str">
        <f>"R_AVALIACAO_PRESCRICAO"</f>
        <v>R_AVALIACAO_PRESCRICAO</v>
      </c>
      <c r="F10415" s="2" t="str">
        <f>"R_AVALIACAO_PRESCRICAO"</f>
        <v>R_AVALIACAO_PRESCRICAO</v>
      </c>
      <c r="G10415" s="2" t="str">
        <f>"Clínica e Assistencial / Controle de Infecção Hospitalar / Relatórios / Operacionais / Relatórios - Avaliação da Prescrição (R_AVALIACAO_PRESCRICAO)"</f>
        <v>Clínica e Assistencial / Controle de Infecção Hospitalar / Relatórios / Operacionais / Relatórios - Avaliação da Prescrição (R_AVALIACAO_PRESCRICAO)</v>
      </c>
    </row>
    <row r="10416" spans="1:7" x14ac:dyDescent="0.3">
      <c r="A10416" s="1" t="s">
        <v>4</v>
      </c>
      <c r="B10416" s="2" t="str">
        <f t="shared" si="912"/>
        <v>SISTEMA DE CONTROLE DE INFEC. HOSPITALAR</v>
      </c>
      <c r="C10416" s="2" t="str">
        <f t="shared" si="913"/>
        <v>INTER</v>
      </c>
      <c r="D10416" s="2" t="str">
        <f t="shared" si="914"/>
        <v>PSIH</v>
      </c>
      <c r="E10416" s="2" t="str">
        <f>"FICHA DE CONTROLE DE INFECCAO DO PACIENT"</f>
        <v>FICHA DE CONTROLE DE INFECCAO DO PACIENT</v>
      </c>
      <c r="F10416" s="2" t="str">
        <f>"R_FICHA_CTRL_INFEC"</f>
        <v>R_FICHA_CTRL_INFEC</v>
      </c>
      <c r="G10416" s="2" t="str">
        <f>" ()"</f>
        <v xml:space="preserve"> ()</v>
      </c>
    </row>
    <row r="10417" spans="1:7" x14ac:dyDescent="0.3">
      <c r="A10417" s="1" t="s">
        <v>4</v>
      </c>
      <c r="B10417" s="2" t="str">
        <f t="shared" si="912"/>
        <v>SISTEMA DE CONTROLE DE INFEC. HOSPITALAR</v>
      </c>
      <c r="C10417" s="2" t="str">
        <f t="shared" si="913"/>
        <v>INTER</v>
      </c>
      <c r="D10417" s="2" t="str">
        <f t="shared" si="914"/>
        <v>PSIH</v>
      </c>
      <c r="E10417" s="2" t="str">
        <f>"ANTIMICROBIANOS PRESCRITOS SUSPENSOS"</f>
        <v>ANTIMICROBIANOS PRESCRITOS SUSPENSOS</v>
      </c>
      <c r="F10417" s="2" t="str">
        <f>"R_ANTIPRO_SUSPENSO.RDF"</f>
        <v>R_ANTIPRO_SUSPENSO.RDF</v>
      </c>
      <c r="G10417" s="2" t="str">
        <f>" ()"</f>
        <v xml:space="preserve"> ()</v>
      </c>
    </row>
    <row r="10418" spans="1:7" x14ac:dyDescent="0.3">
      <c r="A10418" s="1" t="s">
        <v>4</v>
      </c>
      <c r="B10418" s="2" t="str">
        <f t="shared" si="912"/>
        <v>SISTEMA DE CONTROLE DE INFEC. HOSPITALAR</v>
      </c>
      <c r="C10418" s="2" t="str">
        <f t="shared" si="913"/>
        <v>INTER</v>
      </c>
      <c r="D10418" s="2" t="str">
        <f t="shared" si="914"/>
        <v>PSIH</v>
      </c>
      <c r="E10418" s="2" t="str">
        <f>"AGENTES INFECC. X MATERIAL PESQUISADO"</f>
        <v>AGENTES INFECC. X MATERIAL PESQUISADO</v>
      </c>
      <c r="F10418" s="2" t="str">
        <f>"R_CULTURA_X_GERME.RDF"</f>
        <v>R_CULTURA_X_GERME.RDF</v>
      </c>
      <c r="G10418" s="2" t="str">
        <f>" ()"</f>
        <v xml:space="preserve"> ()</v>
      </c>
    </row>
    <row r="10419" spans="1:7" x14ac:dyDescent="0.3">
      <c r="A10419" s="1" t="s">
        <v>4</v>
      </c>
      <c r="B10419" s="2" t="str">
        <f t="shared" si="912"/>
        <v>SISTEMA DE CONTROLE DE INFEC. HOSPITALAR</v>
      </c>
      <c r="C10419" s="2" t="str">
        <f t="shared" si="913"/>
        <v>INTER</v>
      </c>
      <c r="D10419" s="2" t="str">
        <f t="shared" si="914"/>
        <v>PSIH</v>
      </c>
      <c r="E10419" s="2" t="str">
        <f>"FICHA DE ESTOQUE"</f>
        <v>FICHA DE ESTOQUE</v>
      </c>
      <c r="F10419" s="2" t="str">
        <f>"M_FICHA_ESTOQUE"</f>
        <v>M_FICHA_ESTOQUE</v>
      </c>
      <c r="G10419" s="2" t="str">
        <f>" ()"</f>
        <v xml:space="preserve"> ()</v>
      </c>
    </row>
    <row r="10420" spans="1:7" x14ac:dyDescent="0.3">
      <c r="A10420" s="1" t="s">
        <v>4</v>
      </c>
      <c r="B10420" s="2" t="str">
        <f t="shared" si="912"/>
        <v>SISTEMA DE CONTROLE DE INFEC. HOSPITALAR</v>
      </c>
      <c r="C10420" s="2" t="str">
        <f t="shared" si="913"/>
        <v>INTER</v>
      </c>
      <c r="D10420" s="2" t="str">
        <f t="shared" si="914"/>
        <v>PSIH</v>
      </c>
      <c r="E10420" s="2" t="str">
        <f>"CONSUMO DE ANTIMICROBIANO E DDD"</f>
        <v>CONSUMO DE ANTIMICROBIANO E DDD</v>
      </c>
      <c r="F10420" s="2" t="str">
        <f>"C_G_INDICA_ANT"</f>
        <v>C_G_INDICA_ANT</v>
      </c>
      <c r="G10420" s="2" t="str">
        <f>"Clínica e Assistencial / Controle de Infecção Hospitalar / Indicadores / Consumo de Antimicrobianos e DDD (C_G_INDICA_ANT)"</f>
        <v>Clínica e Assistencial / Controle de Infecção Hospitalar / Indicadores / Consumo de Antimicrobianos e DDD (C_G_INDICA_ANT)</v>
      </c>
    </row>
    <row r="10421" spans="1:7" x14ac:dyDescent="0.3">
      <c r="A10421" s="1" t="s">
        <v>4</v>
      </c>
      <c r="B10421" s="2" t="str">
        <f t="shared" si="912"/>
        <v>SISTEMA DE CONTROLE DE INFEC. HOSPITALAR</v>
      </c>
      <c r="C10421" s="2" t="str">
        <f t="shared" si="913"/>
        <v>INTER</v>
      </c>
      <c r="D10421" s="2" t="str">
        <f t="shared" si="914"/>
        <v>PSIH</v>
      </c>
      <c r="E10421" s="2" t="str">
        <f>"R_IND_CONT_INFEC"</f>
        <v>R_IND_CONT_INFEC</v>
      </c>
      <c r="F10421" s="2" t="str">
        <f>"R_IND_CONT_INFEC"</f>
        <v>R_IND_CONT_INFEC</v>
      </c>
      <c r="G10421" s="2" t="str">
        <f>"Clínica e Assistencial / Controle de Infecção Hospitalar / Relatórios / Indicadores Gerais / Relatórios - Controle de Infecção Hospitalar (R_IND_CONT_INFEC)"</f>
        <v>Clínica e Assistencial / Controle de Infecção Hospitalar / Relatórios / Indicadores Gerais / Relatórios - Controle de Infecção Hospitalar (R_IND_CONT_INFEC)</v>
      </c>
    </row>
    <row r="10422" spans="1:7" x14ac:dyDescent="0.3">
      <c r="A10422" s="1" t="s">
        <v>4</v>
      </c>
      <c r="B10422" s="2" t="str">
        <f t="shared" si="912"/>
        <v>SISTEMA DE CONTROLE DE INFEC. HOSPITALAR</v>
      </c>
      <c r="C10422" s="2" t="str">
        <f t="shared" si="913"/>
        <v>INTER</v>
      </c>
      <c r="D10422" s="2" t="str">
        <f t="shared" si="914"/>
        <v>PSIH</v>
      </c>
      <c r="E10422" s="2" t="str">
        <f>"PACIENTES COM INFECÇÃO"</f>
        <v>PACIENTES COM INFECÇÃO</v>
      </c>
      <c r="F10422" s="2" t="str">
        <f>"R_INFEC_PACIENTE.RDF"</f>
        <v>R_INFEC_PACIENTE.RDF</v>
      </c>
      <c r="G10422" s="2" t="str">
        <f>" ()"</f>
        <v xml:space="preserve"> ()</v>
      </c>
    </row>
    <row r="10423" spans="1:7" x14ac:dyDescent="0.3">
      <c r="A10423" s="1" t="s">
        <v>4</v>
      </c>
      <c r="B10423" s="2" t="str">
        <f t="shared" si="912"/>
        <v>SISTEMA DE CONTROLE DE INFEC. HOSPITALAR</v>
      </c>
      <c r="C10423" s="2" t="str">
        <f t="shared" si="913"/>
        <v>INTER</v>
      </c>
      <c r="D10423" s="2" t="str">
        <f t="shared" si="914"/>
        <v>PSIH</v>
      </c>
      <c r="E10423" s="2" t="str">
        <f>"TABELA DE ANTIMICROBIANOS"</f>
        <v>TABELA DE ANTIMICROBIANOS</v>
      </c>
      <c r="F10423" s="2" t="str">
        <f>"R_ANTIMICROB.RDF"</f>
        <v>R_ANTIMICROB.RDF</v>
      </c>
      <c r="G10423" s="2" t="str">
        <f>" ()"</f>
        <v xml:space="preserve"> ()</v>
      </c>
    </row>
    <row r="10424" spans="1:7" x14ac:dyDescent="0.3">
      <c r="A10424" s="1" t="s">
        <v>4</v>
      </c>
      <c r="B10424" s="2" t="str">
        <f t="shared" si="912"/>
        <v>SISTEMA DE CONTROLE DE INFEC. HOSPITALAR</v>
      </c>
      <c r="C10424" s="2" t="str">
        <f t="shared" si="913"/>
        <v>INTER</v>
      </c>
      <c r="D10424" s="2" t="str">
        <f t="shared" si="914"/>
        <v>PSIH</v>
      </c>
      <c r="E10424" s="2" t="str">
        <f>"WIN_PRINCIPAL"</f>
        <v>WIN_PRINCIPAL</v>
      </c>
      <c r="F10424" s="2" t="str">
        <f>"R_EGRESSO_CIRURGICO"</f>
        <v>R_EGRESSO_CIRURGICO</v>
      </c>
      <c r="G10424" s="2" t="str">
        <f>"Clínica e Assistencial / Controle de Infecção Hospitalar / Relatórios / Operacionais / Relatórios - Vigilância do Egresso Cirúrgico (R_EGRESSO_CIRURGICO)"</f>
        <v>Clínica e Assistencial / Controle de Infecção Hospitalar / Relatórios / Operacionais / Relatórios - Vigilância do Egresso Cirúrgico (R_EGRESSO_CIRURGICO)</v>
      </c>
    </row>
    <row r="10425" spans="1:7" x14ac:dyDescent="0.3">
      <c r="A10425" s="1" t="s">
        <v>4</v>
      </c>
      <c r="B10425" s="2" t="str">
        <f t="shared" si="912"/>
        <v>SISTEMA DE CONTROLE DE INFEC. HOSPITALAR</v>
      </c>
      <c r="C10425" s="2" t="str">
        <f t="shared" si="913"/>
        <v>INTER</v>
      </c>
      <c r="D10425" s="2" t="str">
        <f t="shared" si="914"/>
        <v>PSIH</v>
      </c>
      <c r="E10425" s="2" t="str">
        <f>"RELATORIO DE INFECÇÕES POR EQUIPE MÉDICA"</f>
        <v>RELATORIO DE INFECÇÕES POR EQUIPE MÉDICA</v>
      </c>
      <c r="F10425" s="2" t="str">
        <f>"R_COMPARA_INFEC_EQUIPE.RDF"</f>
        <v>R_COMPARA_INFEC_EQUIPE.RDF</v>
      </c>
      <c r="G10425" s="2" t="str">
        <f t="shared" ref="G10425:G10451" si="915">" ()"</f>
        <v xml:space="preserve"> ()</v>
      </c>
    </row>
    <row r="10426" spans="1:7" x14ac:dyDescent="0.3">
      <c r="A10426" s="1" t="s">
        <v>4</v>
      </c>
      <c r="B10426" s="2" t="str">
        <f t="shared" si="912"/>
        <v>SISTEMA DE CONTROLE DE INFEC. HOSPITALAR</v>
      </c>
      <c r="C10426" s="2" t="str">
        <f t="shared" si="913"/>
        <v>INTER</v>
      </c>
      <c r="D10426" s="2" t="str">
        <f t="shared" si="914"/>
        <v>PSIH</v>
      </c>
      <c r="E10426" s="2" t="str">
        <f>"REL. ANUAL DA TAXA GERAL DE INFECÇÃO"</f>
        <v>REL. ANUAL DA TAXA GERAL DE INFECÇÃO</v>
      </c>
      <c r="F10426" s="2" t="str">
        <f>"R_COMPARA_GERAL_INFEC.RDF"</f>
        <v>R_COMPARA_GERAL_INFEC.RDF</v>
      </c>
      <c r="G10426" s="2" t="str">
        <f t="shared" si="915"/>
        <v xml:space="preserve"> ()</v>
      </c>
    </row>
    <row r="10427" spans="1:7" x14ac:dyDescent="0.3">
      <c r="A10427" s="1" t="s">
        <v>4</v>
      </c>
      <c r="B10427" s="2" t="str">
        <f t="shared" si="912"/>
        <v>SISTEMA DE CONTROLE DE INFEC. HOSPITALAR</v>
      </c>
      <c r="C10427" s="2" t="str">
        <f t="shared" si="913"/>
        <v>INTER</v>
      </c>
      <c r="D10427" s="2" t="str">
        <f t="shared" si="914"/>
        <v>PSIH</v>
      </c>
      <c r="E10427" s="2" t="str">
        <f>"REL. ANUAL DE INFEC. P/ESPEC. CIRÚRGICA"</f>
        <v>REL. ANUAL DE INFEC. P/ESPEC. CIRÚRGICA</v>
      </c>
      <c r="F10427" s="2" t="str">
        <f>"R_COMPARA_INFEC_ESPEC.RDF"</f>
        <v>R_COMPARA_INFEC_ESPEC.RDF</v>
      </c>
      <c r="G10427" s="2" t="str">
        <f t="shared" si="915"/>
        <v xml:space="preserve"> ()</v>
      </c>
    </row>
    <row r="10428" spans="1:7" x14ac:dyDescent="0.3">
      <c r="A10428" s="1" t="s">
        <v>4</v>
      </c>
      <c r="B10428" s="2" t="str">
        <f t="shared" si="912"/>
        <v>SISTEMA DE CONTROLE DE INFEC. HOSPITALAR</v>
      </c>
      <c r="C10428" s="2" t="str">
        <f t="shared" si="913"/>
        <v>INTER</v>
      </c>
      <c r="D10428" s="2" t="str">
        <f t="shared" si="914"/>
        <v>PSIH</v>
      </c>
      <c r="E10428" s="2" t="str">
        <f>"REL. ANUAL DE INFEC. EM CENTRO CIRÚRGICO"</f>
        <v>REL. ANUAL DE INFEC. EM CENTRO CIRÚRGICO</v>
      </c>
      <c r="F10428" s="2" t="str">
        <f>"R_COMPARA_INFEC_CEN_CIR.RDF"</f>
        <v>R_COMPARA_INFEC_CEN_CIR.RDF</v>
      </c>
      <c r="G10428" s="2" t="str">
        <f t="shared" si="915"/>
        <v xml:space="preserve"> ()</v>
      </c>
    </row>
    <row r="10429" spans="1:7" x14ac:dyDescent="0.3">
      <c r="A10429" s="1" t="s">
        <v>4</v>
      </c>
      <c r="B10429" s="2" t="str">
        <f t="shared" si="912"/>
        <v>SISTEMA DE CONTROLE DE INFEC. HOSPITALAR</v>
      </c>
      <c r="C10429" s="2" t="str">
        <f t="shared" si="913"/>
        <v>INTER</v>
      </c>
      <c r="D10429" s="2" t="str">
        <f t="shared" si="914"/>
        <v>PSIH</v>
      </c>
      <c r="E10429" s="2" t="str">
        <f>"REL.AGENT. ETILÓGICOS DO SÍTIO CIRÚRGICO"</f>
        <v>REL.AGENT. ETILÓGICOS DO SÍTIO CIRÚRGICO</v>
      </c>
      <c r="F10429" s="2" t="str">
        <f>"R_AGENTE_ETIOLOGICO.RDF"</f>
        <v>R_AGENTE_ETIOLOGICO.RDF</v>
      </c>
      <c r="G10429" s="2" t="str">
        <f t="shared" si="915"/>
        <v xml:space="preserve"> ()</v>
      </c>
    </row>
    <row r="10430" spans="1:7" x14ac:dyDescent="0.3">
      <c r="A10430" s="1" t="s">
        <v>4</v>
      </c>
      <c r="B10430" s="2" t="str">
        <f t="shared" ref="B10430:B10453" si="916">"SISTEMA DE CONTROLE DE INFEC. HOSPITALAR"</f>
        <v>SISTEMA DE CONTROLE DE INFEC. HOSPITALAR</v>
      </c>
      <c r="C10430" s="2" t="str">
        <f t="shared" ref="C10430:C10453" si="917">"INTER"</f>
        <v>INTER</v>
      </c>
      <c r="D10430" s="2" t="str">
        <f t="shared" ref="D10430:D10453" si="918">"PSIH"</f>
        <v>PSIH</v>
      </c>
      <c r="E10430" s="2" t="str">
        <f>"TX.UTILIZAÇÃO DE PROCEDIMENTOS INVASIVOS"</f>
        <v>TX.UTILIZAÇÃO DE PROCEDIMENTOS INVASIVOS</v>
      </c>
      <c r="F10430" s="2" t="str">
        <f>"R_TAXA_PRO_INV.RDF"</f>
        <v>R_TAXA_PRO_INV.RDF</v>
      </c>
      <c r="G10430" s="2" t="str">
        <f t="shared" si="915"/>
        <v xml:space="preserve"> ()</v>
      </c>
    </row>
    <row r="10431" spans="1:7" x14ac:dyDescent="0.3">
      <c r="A10431" s="1" t="s">
        <v>4</v>
      </c>
      <c r="B10431" s="2" t="str">
        <f t="shared" si="916"/>
        <v>SISTEMA DE CONTROLE DE INFEC. HOSPITALAR</v>
      </c>
      <c r="C10431" s="2" t="str">
        <f t="shared" si="917"/>
        <v>INTER</v>
      </c>
      <c r="D10431" s="2" t="str">
        <f t="shared" si="918"/>
        <v>PSIH</v>
      </c>
      <c r="E10431" s="2" t="str">
        <f>"REL. DE PERFIL BACTERIANO POR TOPOGRAFIA"</f>
        <v>REL. DE PERFIL BACTERIANO POR TOPOGRAFIA</v>
      </c>
      <c r="F10431" s="2" t="str">
        <f>"R_PERFIL_GERME_X_TOPO.RDF"</f>
        <v>R_PERFIL_GERME_X_TOPO.RDF</v>
      </c>
      <c r="G10431" s="2" t="str">
        <f t="shared" si="915"/>
        <v xml:space="preserve"> ()</v>
      </c>
    </row>
    <row r="10432" spans="1:7" x14ac:dyDescent="0.3">
      <c r="A10432" s="1" t="s">
        <v>4</v>
      </c>
      <c r="B10432" s="2" t="str">
        <f t="shared" si="916"/>
        <v>SISTEMA DE CONTROLE DE INFEC. HOSPITALAR</v>
      </c>
      <c r="C10432" s="2" t="str">
        <f t="shared" si="917"/>
        <v>INTER</v>
      </c>
      <c r="D10432" s="2" t="str">
        <f t="shared" si="918"/>
        <v>PSIH</v>
      </c>
      <c r="E10432" s="2" t="str">
        <f>"REL. PERFIL DE RESIST. A ANTIMICROBIANOS"</f>
        <v>REL. PERFIL DE RESIST. A ANTIMICROBIANOS</v>
      </c>
      <c r="F10432" s="2" t="str">
        <f>"R_PERFIL_ANTIMICROB.RDF"</f>
        <v>R_PERFIL_ANTIMICROB.RDF</v>
      </c>
      <c r="G10432" s="2" t="str">
        <f t="shared" si="915"/>
        <v xml:space="preserve"> ()</v>
      </c>
    </row>
    <row r="10433" spans="1:7" x14ac:dyDescent="0.3">
      <c r="A10433" s="1" t="s">
        <v>4</v>
      </c>
      <c r="B10433" s="2" t="str">
        <f t="shared" si="916"/>
        <v>SISTEMA DE CONTROLE DE INFEC. HOSPITALAR</v>
      </c>
      <c r="C10433" s="2" t="str">
        <f t="shared" si="917"/>
        <v>INTER</v>
      </c>
      <c r="D10433" s="2" t="str">
        <f t="shared" si="918"/>
        <v>PSIH</v>
      </c>
      <c r="E10433" s="2" t="str">
        <f>"REL. EVOLUÇÃO DE INFECÇÕES P/LOCALIZAÇÃO"</f>
        <v>REL. EVOLUÇÃO DE INFECÇÕES P/LOCALIZAÇÃO</v>
      </c>
      <c r="F10433" s="2" t="str">
        <f>"R_EVO_INFEC_UNID_INT.RDF"</f>
        <v>R_EVO_INFEC_UNID_INT.RDF</v>
      </c>
      <c r="G10433" s="2" t="str">
        <f t="shared" si="915"/>
        <v xml:space="preserve"> ()</v>
      </c>
    </row>
    <row r="10434" spans="1:7" x14ac:dyDescent="0.3">
      <c r="A10434" s="1" t="s">
        <v>4</v>
      </c>
      <c r="B10434" s="2" t="str">
        <f t="shared" si="916"/>
        <v>SISTEMA DE CONTROLE DE INFEC. HOSPITALAR</v>
      </c>
      <c r="C10434" s="2" t="str">
        <f t="shared" si="917"/>
        <v>INTER</v>
      </c>
      <c r="D10434" s="2" t="str">
        <f t="shared" si="918"/>
        <v>PSIH</v>
      </c>
      <c r="E10434" s="2" t="str">
        <f>"REL. INFECÇÕES CLASSIFICADAS POR SERVIÇO"</f>
        <v>REL. INFECÇÕES CLASSIFICADAS POR SERVIÇO</v>
      </c>
      <c r="F10434" s="2" t="str">
        <f>"R_C_G_SERVICO.RDF"</f>
        <v>R_C_G_SERVICO.RDF</v>
      </c>
      <c r="G10434" s="2" t="str">
        <f t="shared" si="915"/>
        <v xml:space="preserve"> ()</v>
      </c>
    </row>
    <row r="10435" spans="1:7" x14ac:dyDescent="0.3">
      <c r="A10435" s="1" t="s">
        <v>4</v>
      </c>
      <c r="B10435" s="2" t="str">
        <f t="shared" si="916"/>
        <v>SISTEMA DE CONTROLE DE INFEC. HOSPITALAR</v>
      </c>
      <c r="C10435" s="2" t="str">
        <f t="shared" si="917"/>
        <v>INTER</v>
      </c>
      <c r="D10435" s="2" t="str">
        <f t="shared" si="918"/>
        <v>PSIH</v>
      </c>
      <c r="E10435" s="2" t="str">
        <f>"REL. DE CONTROLE DE AGENTES INFECCIOSOS"</f>
        <v>REL. DE CONTROLE DE AGENTES INFECCIOSOS</v>
      </c>
      <c r="F10435" s="2" t="str">
        <f>"R_IND_CONT_AGEN_INFEC.RDF"</f>
        <v>R_IND_CONT_AGEN_INFEC.RDF</v>
      </c>
      <c r="G10435" s="2" t="str">
        <f t="shared" si="915"/>
        <v xml:space="preserve"> ()</v>
      </c>
    </row>
    <row r="10436" spans="1:7" x14ac:dyDescent="0.3">
      <c r="A10436" s="1" t="s">
        <v>4</v>
      </c>
      <c r="B10436" s="2" t="str">
        <f t="shared" si="916"/>
        <v>SISTEMA DE CONTROLE DE INFEC. HOSPITALAR</v>
      </c>
      <c r="C10436" s="2" t="str">
        <f t="shared" si="917"/>
        <v>INTER</v>
      </c>
      <c r="D10436" s="2" t="str">
        <f t="shared" si="918"/>
        <v>PSIH</v>
      </c>
      <c r="E10436" s="2" t="str">
        <f>"REL. DE CONTROLE DE ANTIMICROBIANOS"</f>
        <v>REL. DE CONTROLE DE ANTIMICROBIANOS</v>
      </c>
      <c r="F10436" s="2" t="str">
        <f>"R_IND_CONT_ANT.RDF"</f>
        <v>R_IND_CONT_ANT.RDF</v>
      </c>
      <c r="G10436" s="2" t="str">
        <f t="shared" si="915"/>
        <v xml:space="preserve"> ()</v>
      </c>
    </row>
    <row r="10437" spans="1:7" x14ac:dyDescent="0.3">
      <c r="A10437" s="1" t="s">
        <v>4</v>
      </c>
      <c r="B10437" s="2" t="str">
        <f t="shared" si="916"/>
        <v>SISTEMA DE CONTROLE DE INFEC. HOSPITALAR</v>
      </c>
      <c r="C10437" s="2" t="str">
        <f t="shared" si="917"/>
        <v>INTER</v>
      </c>
      <c r="D10437" s="2" t="str">
        <f t="shared" si="918"/>
        <v>PSIH</v>
      </c>
      <c r="E10437" s="2" t="str">
        <f>"RELATÓRIO DE CONTROLE DE INFECÇÃO HOSP."</f>
        <v>RELATÓRIO DE CONTROLE DE INFECÇÃO HOSP.</v>
      </c>
      <c r="F10437" s="2" t="str">
        <f>"R_IND_CONT_INFEC.RDF"</f>
        <v>R_IND_CONT_INFEC.RDF</v>
      </c>
      <c r="G10437" s="2" t="str">
        <f t="shared" si="915"/>
        <v xml:space="preserve"> ()</v>
      </c>
    </row>
    <row r="10438" spans="1:7" x14ac:dyDescent="0.3">
      <c r="A10438" s="1" t="s">
        <v>4</v>
      </c>
      <c r="B10438" s="2" t="str">
        <f t="shared" si="916"/>
        <v>SISTEMA DE CONTROLE DE INFEC. HOSPITALAR</v>
      </c>
      <c r="C10438" s="2" t="str">
        <f t="shared" si="917"/>
        <v>INTER</v>
      </c>
      <c r="D10438" s="2" t="str">
        <f t="shared" si="918"/>
        <v>PSIH</v>
      </c>
      <c r="E10438" s="2" t="str">
        <f>"RELATÓRIO DE INCIDÊNCIAS DE INFECÇÃO"</f>
        <v>RELATÓRIO DE INCIDÊNCIAS DE INFECÇÃO</v>
      </c>
      <c r="F10438" s="2" t="str">
        <f>"R_EST_INCID_SETOR.RDF"</f>
        <v>R_EST_INCID_SETOR.RDF</v>
      </c>
      <c r="G10438" s="2" t="str">
        <f t="shared" si="915"/>
        <v xml:space="preserve"> ()</v>
      </c>
    </row>
    <row r="10439" spans="1:7" x14ac:dyDescent="0.3">
      <c r="A10439" s="1" t="s">
        <v>4</v>
      </c>
      <c r="B10439" s="2" t="str">
        <f t="shared" si="916"/>
        <v>SISTEMA DE CONTROLE DE INFEC. HOSPITALAR</v>
      </c>
      <c r="C10439" s="2" t="str">
        <f t="shared" si="917"/>
        <v>INTER</v>
      </c>
      <c r="D10439" s="2" t="str">
        <f t="shared" si="918"/>
        <v>PSIH</v>
      </c>
      <c r="E10439" s="2" t="str">
        <f>"RELATÓRIO GERMES X UNID. DE INTERNAÇÃO"</f>
        <v>RELATÓRIO GERMES X UNID. DE INTERNAÇÃO</v>
      </c>
      <c r="F10439" s="2" t="str">
        <f>"R_EST_UNID_GERME.RDF"</f>
        <v>R_EST_UNID_GERME.RDF</v>
      </c>
      <c r="G10439" s="2" t="str">
        <f t="shared" si="915"/>
        <v xml:space="preserve"> ()</v>
      </c>
    </row>
    <row r="10440" spans="1:7" x14ac:dyDescent="0.3">
      <c r="A10440" s="1" t="s">
        <v>4</v>
      </c>
      <c r="B10440" s="2" t="str">
        <f t="shared" si="916"/>
        <v>SISTEMA DE CONTROLE DE INFEC. HOSPITALAR</v>
      </c>
      <c r="C10440" s="2" t="str">
        <f t="shared" si="917"/>
        <v>INTER</v>
      </c>
      <c r="D10440" s="2" t="str">
        <f t="shared" si="918"/>
        <v>PSIH</v>
      </c>
      <c r="E10440" s="2" t="str">
        <f>"RELATÓRIO DE GERMES X MATERIAL"</f>
        <v>RELATÓRIO DE GERMES X MATERIAL</v>
      </c>
      <c r="F10440" s="2" t="str">
        <f>"R_EST_MAT_GERME.RDF"</f>
        <v>R_EST_MAT_GERME.RDF</v>
      </c>
      <c r="G10440" s="2" t="str">
        <f t="shared" si="915"/>
        <v xml:space="preserve"> ()</v>
      </c>
    </row>
    <row r="10441" spans="1:7" x14ac:dyDescent="0.3">
      <c r="A10441" s="1" t="s">
        <v>4</v>
      </c>
      <c r="B10441" s="2" t="str">
        <f t="shared" si="916"/>
        <v>SISTEMA DE CONTROLE DE INFEC. HOSPITALAR</v>
      </c>
      <c r="C10441" s="2" t="str">
        <f t="shared" si="917"/>
        <v>INTER</v>
      </c>
      <c r="D10441" s="2" t="str">
        <f t="shared" si="918"/>
        <v>PSIH</v>
      </c>
      <c r="E10441" s="2" t="str">
        <f>"REL. DE PROCEDIMENTO INVASIVO X INFECÇÃO"</f>
        <v>REL. DE PROCEDIMENTO INVASIVO X INFECÇÃO</v>
      </c>
      <c r="F10441" s="2" t="str">
        <f>"R_EST_INFEC_PROC_INV.RDF"</f>
        <v>R_EST_INFEC_PROC_INV.RDF</v>
      </c>
      <c r="G10441" s="2" t="str">
        <f t="shared" si="915"/>
        <v xml:space="preserve"> ()</v>
      </c>
    </row>
    <row r="10442" spans="1:7" x14ac:dyDescent="0.3">
      <c r="A10442" s="1" t="s">
        <v>4</v>
      </c>
      <c r="B10442" s="2" t="str">
        <f t="shared" si="916"/>
        <v>SISTEMA DE CONTROLE DE INFEC. HOSPITALAR</v>
      </c>
      <c r="C10442" s="2" t="str">
        <f t="shared" si="917"/>
        <v>INTER</v>
      </c>
      <c r="D10442" s="2" t="str">
        <f t="shared" si="918"/>
        <v>PSIH</v>
      </c>
      <c r="E10442" s="2" t="str">
        <f>"REL. TOPOGRAFIA X UNIDADE DE INTERNAÇÃO"</f>
        <v>REL. TOPOGRAFIA X UNIDADE DE INTERNAÇÃO</v>
      </c>
      <c r="F10442" s="2" t="str">
        <f>"R_EST_INFEC_TOPOGRAFIA.RDF"</f>
        <v>R_EST_INFEC_TOPOGRAFIA.RDF</v>
      </c>
      <c r="G10442" s="2" t="str">
        <f t="shared" si="915"/>
        <v xml:space="preserve"> ()</v>
      </c>
    </row>
    <row r="10443" spans="1:7" x14ac:dyDescent="0.3">
      <c r="A10443" s="1" t="s">
        <v>4</v>
      </c>
      <c r="B10443" s="2" t="str">
        <f t="shared" si="916"/>
        <v>SISTEMA DE CONTROLE DE INFEC. HOSPITALAR</v>
      </c>
      <c r="C10443" s="2" t="str">
        <f t="shared" si="917"/>
        <v>INTER</v>
      </c>
      <c r="D10443" s="2" t="str">
        <f t="shared" si="918"/>
        <v>PSIH</v>
      </c>
      <c r="E10443" s="2" t="str">
        <f>"REL. DE PROC. INVASIVO X UNID INTERNAÇÃO"</f>
        <v>REL. DE PROC. INVASIVO X UNID INTERNAÇÃO</v>
      </c>
      <c r="F10443" s="2" t="str">
        <f>"R_EST_UNID_INT_PRO_INV.RDF"</f>
        <v>R_EST_UNID_INT_PRO_INV.RDF</v>
      </c>
      <c r="G10443" s="2" t="str">
        <f t="shared" si="915"/>
        <v xml:space="preserve"> ()</v>
      </c>
    </row>
    <row r="10444" spans="1:7" x14ac:dyDescent="0.3">
      <c r="A10444" s="1" t="s">
        <v>4</v>
      </c>
      <c r="B10444" s="2" t="str">
        <f t="shared" si="916"/>
        <v>SISTEMA DE CONTROLE DE INFEC. HOSPITALAR</v>
      </c>
      <c r="C10444" s="2" t="str">
        <f t="shared" si="917"/>
        <v>INTER</v>
      </c>
      <c r="D10444" s="2" t="str">
        <f t="shared" si="918"/>
        <v>PSIH</v>
      </c>
      <c r="E10444" s="2" t="str">
        <f>"REL. DE  PACIENTES SUSPEITOS DE INFECÇÃO"</f>
        <v>REL. DE  PACIENTES SUSPEITOS DE INFECÇÃO</v>
      </c>
      <c r="F10444" s="2" t="str">
        <f>"R_PAC_SUSPEITO.RDF"</f>
        <v>R_PAC_SUSPEITO.RDF</v>
      </c>
      <c r="G10444" s="2" t="str">
        <f t="shared" si="915"/>
        <v xml:space="preserve"> ()</v>
      </c>
    </row>
    <row r="10445" spans="1:7" x14ac:dyDescent="0.3">
      <c r="A10445" s="1" t="s">
        <v>4</v>
      </c>
      <c r="B10445" s="2" t="str">
        <f t="shared" si="916"/>
        <v>SISTEMA DE CONTROLE DE INFEC. HOSPITALAR</v>
      </c>
      <c r="C10445" s="2" t="str">
        <f t="shared" si="917"/>
        <v>INTER</v>
      </c>
      <c r="D10445" s="2" t="str">
        <f t="shared" si="918"/>
        <v>PSIH</v>
      </c>
      <c r="E10445" s="2" t="str">
        <f>"RELATÓRIO DE PACIENTES DE REGRESSO"</f>
        <v>RELATÓRIO DE PACIENTES DE REGRESSO</v>
      </c>
      <c r="F10445" s="2" t="str">
        <f>"R_PAC_REGRESSO.RDF"</f>
        <v>R_PAC_REGRESSO.RDF</v>
      </c>
      <c r="G10445" s="2" t="str">
        <f t="shared" si="915"/>
        <v xml:space="preserve"> ()</v>
      </c>
    </row>
    <row r="10446" spans="1:7" x14ac:dyDescent="0.3">
      <c r="A10446" s="1" t="s">
        <v>4</v>
      </c>
      <c r="B10446" s="2" t="str">
        <f t="shared" si="916"/>
        <v>SISTEMA DE CONTROLE DE INFEC. HOSPITALAR</v>
      </c>
      <c r="C10446" s="2" t="str">
        <f t="shared" si="917"/>
        <v>INTER</v>
      </c>
      <c r="D10446" s="2" t="str">
        <f t="shared" si="918"/>
        <v>PSIH</v>
      </c>
      <c r="E10446" s="2" t="str">
        <f>"REL. DE FICHA DE INFECÇÃO HOSPITALAR"</f>
        <v>REL. DE FICHA DE INFECÇÃO HOSPITALAR</v>
      </c>
      <c r="F10446" s="2" t="str">
        <f>"R_FICHA_INFEC.RDF"</f>
        <v>R_FICHA_INFEC.RDF</v>
      </c>
      <c r="G10446" s="2" t="str">
        <f t="shared" si="915"/>
        <v xml:space="preserve"> ()</v>
      </c>
    </row>
    <row r="10447" spans="1:7" x14ac:dyDescent="0.3">
      <c r="A10447" s="1" t="s">
        <v>4</v>
      </c>
      <c r="B10447" s="2" t="str">
        <f t="shared" si="916"/>
        <v>SISTEMA DE CONTROLE DE INFEC. HOSPITALAR</v>
      </c>
      <c r="C10447" s="2" t="str">
        <f t="shared" si="917"/>
        <v>INTER</v>
      </c>
      <c r="D10447" s="2" t="str">
        <f t="shared" si="918"/>
        <v>PSIH</v>
      </c>
      <c r="E10447" s="2" t="str">
        <f>"RELATÓRIO DE SENSIBILIDADES DOS GERMES."</f>
        <v>RELATÓRIO DE SENSIBILIDADES DOS GERMES.</v>
      </c>
      <c r="F10447" s="2" t="str">
        <f>"R_SEN_AGE_INFEC.RDF"</f>
        <v>R_SEN_AGE_INFEC.RDF</v>
      </c>
      <c r="G10447" s="2" t="str">
        <f t="shared" si="915"/>
        <v xml:space="preserve"> ()</v>
      </c>
    </row>
    <row r="10448" spans="1:7" x14ac:dyDescent="0.3">
      <c r="A10448" s="1" t="s">
        <v>4</v>
      </c>
      <c r="B10448" s="2" t="str">
        <f t="shared" si="916"/>
        <v>SISTEMA DE CONTROLE DE INFEC. HOSPITALAR</v>
      </c>
      <c r="C10448" s="2" t="str">
        <f t="shared" si="917"/>
        <v>INTER</v>
      </c>
      <c r="D10448" s="2" t="str">
        <f t="shared" si="918"/>
        <v>PSIH</v>
      </c>
      <c r="E10448" s="2" t="str">
        <f>"REL. LISTAGEM DOS ATEND. NÃO REVISADOS"</f>
        <v>REL. LISTAGEM DOS ATEND. NÃO REVISADOS</v>
      </c>
      <c r="F10448" s="2" t="str">
        <f>"R_PAC_SEM_REVISAO.RDF"</f>
        <v>R_PAC_SEM_REVISAO.RDF</v>
      </c>
      <c r="G10448" s="2" t="str">
        <f t="shared" si="915"/>
        <v xml:space="preserve"> ()</v>
      </c>
    </row>
    <row r="10449" spans="1:7" x14ac:dyDescent="0.3">
      <c r="A10449" s="1" t="s">
        <v>4</v>
      </c>
      <c r="B10449" s="2" t="str">
        <f t="shared" si="916"/>
        <v>SISTEMA DE CONTROLE DE INFEC. HOSPITALAR</v>
      </c>
      <c r="C10449" s="2" t="str">
        <f t="shared" si="917"/>
        <v>INTER</v>
      </c>
      <c r="D10449" s="2" t="str">
        <f t="shared" si="918"/>
        <v>PSIH</v>
      </c>
      <c r="E10449" s="2" t="str">
        <f>"REL.INFECÇÕES SEGUNDO O TIPO DE CIRURGIA"</f>
        <v>REL.INFECÇÕES SEGUNDO O TIPO DE CIRURGIA</v>
      </c>
      <c r="F10449" s="2" t="str">
        <f>"R_INFEC_CIR.RDF"</f>
        <v>R_INFEC_CIR.RDF</v>
      </c>
      <c r="G10449" s="2" t="str">
        <f t="shared" si="915"/>
        <v xml:space="preserve"> ()</v>
      </c>
    </row>
    <row r="10450" spans="1:7" x14ac:dyDescent="0.3">
      <c r="A10450" s="1" t="s">
        <v>4</v>
      </c>
      <c r="B10450" s="2" t="str">
        <f t="shared" si="916"/>
        <v>SISTEMA DE CONTROLE DE INFEC. HOSPITALAR</v>
      </c>
      <c r="C10450" s="2" t="str">
        <f t="shared" si="917"/>
        <v>INTER</v>
      </c>
      <c r="D10450" s="2" t="str">
        <f t="shared" si="918"/>
        <v>PSIH</v>
      </c>
      <c r="E10450" s="2" t="str">
        <f>"REL. QUANT. DAS INFECÇÕES POR PROCED."</f>
        <v>REL. QUANT. DAS INFECÇÕES POR PROCED.</v>
      </c>
      <c r="F10450" s="2" t="str">
        <f>"R_QT_PRO_INV.RDF"</f>
        <v>R_QT_PRO_INV.RDF</v>
      </c>
      <c r="G10450" s="2" t="str">
        <f t="shared" si="915"/>
        <v xml:space="preserve"> ()</v>
      </c>
    </row>
    <row r="10451" spans="1:7" x14ac:dyDescent="0.3">
      <c r="A10451" s="1" t="s">
        <v>4</v>
      </c>
      <c r="B10451" s="2" t="str">
        <f t="shared" si="916"/>
        <v>SISTEMA DE CONTROLE DE INFEC. HOSPITALAR</v>
      </c>
      <c r="C10451" s="2" t="str">
        <f t="shared" si="917"/>
        <v>INTER</v>
      </c>
      <c r="D10451" s="2" t="str">
        <f t="shared" si="918"/>
        <v>PSIH</v>
      </c>
      <c r="E10451" s="2" t="str">
        <f>"REL. DE ANTIMICROBIANOS POR FINALIDADE"</f>
        <v>REL. DE ANTIMICROBIANOS POR FINALIDADE</v>
      </c>
      <c r="F10451" s="2" t="str">
        <f>"ANTIMICROB_SEG_FIN.RDF"</f>
        <v>ANTIMICROB_SEG_FIN.RDF</v>
      </c>
      <c r="G10451" s="2" t="str">
        <f t="shared" si="915"/>
        <v xml:space="preserve"> ()</v>
      </c>
    </row>
    <row r="10452" spans="1:7" x14ac:dyDescent="0.3">
      <c r="A10452" s="1" t="s">
        <v>4</v>
      </c>
      <c r="B10452" s="2" t="str">
        <f t="shared" si="916"/>
        <v>SISTEMA DE CONTROLE DE INFEC. HOSPITALAR</v>
      </c>
      <c r="C10452" s="2" t="str">
        <f t="shared" si="917"/>
        <v>INTER</v>
      </c>
      <c r="D10452" s="2" t="str">
        <f t="shared" si="918"/>
        <v>PSIH</v>
      </c>
      <c r="E10452" s="2" t="str">
        <f>"LISTAGEM DOS ATENDIMENTOS NÃO REVISADOS"</f>
        <v>LISTAGEM DOS ATENDIMENTOS NÃO REVISADOS</v>
      </c>
      <c r="F10452" s="2" t="str">
        <f>"R_PAC_SEM_REVISAO"</f>
        <v>R_PAC_SEM_REVISAO</v>
      </c>
      <c r="G10452" s="2" t="str">
        <f>"Clínica e Assistencial / Controle de Infecção Hospitalar / Relatórios / Operacionais / Relatórios - Listagem dos Atendimentos não Revisados (R_PAC_SEM_REVISAO)"</f>
        <v>Clínica e Assistencial / Controle de Infecção Hospitalar / Relatórios / Operacionais / Relatórios - Listagem dos Atendimentos não Revisados (R_PAC_SEM_REVISAO)</v>
      </c>
    </row>
    <row r="10453" spans="1:7" x14ac:dyDescent="0.3">
      <c r="A10453" s="1" t="s">
        <v>4</v>
      </c>
      <c r="B10453" s="2" t="str">
        <f t="shared" si="916"/>
        <v>SISTEMA DE CONTROLE DE INFEC. HOSPITALAR</v>
      </c>
      <c r="C10453" s="2" t="str">
        <f t="shared" si="917"/>
        <v>INTER</v>
      </c>
      <c r="D10453" s="2" t="str">
        <f t="shared" si="918"/>
        <v>PSIH</v>
      </c>
      <c r="E10453" s="2" t="str">
        <f>"REL. DE VIGILÂNCIADO EGRESSO CIRÚRGICO"</f>
        <v>REL. DE VIGILÂNCIADO EGRESSO CIRÚRGICO</v>
      </c>
      <c r="F10453" s="2" t="str">
        <f>"R_EGRESSO_CIRURGICO.RDF"</f>
        <v>R_EGRESSO_CIRURGICO.RDF</v>
      </c>
      <c r="G10453" s="2" t="str">
        <f>" ()"</f>
        <v xml:space="preserve"> ()</v>
      </c>
    </row>
    <row r="10454" spans="1:7" x14ac:dyDescent="0.3">
      <c r="A10454" s="1" t="s">
        <v>4</v>
      </c>
      <c r="B10454" s="2" t="str">
        <f t="shared" ref="B10454:B10517" si="919">"SISTEMA DE NUTRIÇÃO E DIETÉTICA"</f>
        <v>SISTEMA DE NUTRIÇÃO E DIETÉTICA</v>
      </c>
      <c r="C10454" s="2" t="str">
        <f t="shared" ref="C10454:C10517" si="920">"APOIO"</f>
        <v>APOIO</v>
      </c>
      <c r="D10454" s="2" t="str">
        <f t="shared" ref="D10454:D10517" si="921">"PSND"</f>
        <v>PSND</v>
      </c>
      <c r="E10454" s="2" t="str">
        <f>"RELAÇÃO DE DIETAS GERADAS POR PERÍODO"</f>
        <v>RELAÇÃO DE DIETAS GERADAS POR PERÍODO</v>
      </c>
      <c r="F10454" s="2" t="str">
        <f>"R_DIETAS_GERADAS.RDF"</f>
        <v>R_DIETAS_GERADAS.RDF</v>
      </c>
      <c r="G10454" s="2" t="str">
        <f>" ()"</f>
        <v xml:space="preserve"> ()</v>
      </c>
    </row>
    <row r="10455" spans="1:7" x14ac:dyDescent="0.3">
      <c r="A10455" s="1" t="s">
        <v>4</v>
      </c>
      <c r="B10455" s="2" t="str">
        <f t="shared" si="919"/>
        <v>SISTEMA DE NUTRIÇÃO E DIETÉTICA</v>
      </c>
      <c r="C10455" s="2" t="str">
        <f t="shared" si="920"/>
        <v>APOIO</v>
      </c>
      <c r="D10455" s="2" t="str">
        <f t="shared" si="921"/>
        <v>PSND</v>
      </c>
      <c r="E10455" s="2" t="str">
        <f>"TABELAS"</f>
        <v>TABELAS</v>
      </c>
      <c r="F10455" s="2" t="str">
        <f>"M_TIPO_REFEICAO_HORARIO"</f>
        <v>M_TIPO_REFEICAO_HORARIO</v>
      </c>
      <c r="G10455" s="2" t="str">
        <f>"Serviços de Apoio / Nutrição e Dietética / Tabelas / Tipo de Refeição por Horário (M_TIPO_REFEICAO_HORARIO)"</f>
        <v>Serviços de Apoio / Nutrição e Dietética / Tabelas / Tipo de Refeição por Horário (M_TIPO_REFEICAO_HORARIO)</v>
      </c>
    </row>
    <row r="10456" spans="1:7" x14ac:dyDescent="0.3">
      <c r="A10456" s="1" t="s">
        <v>4</v>
      </c>
      <c r="B10456" s="2" t="str">
        <f t="shared" si="919"/>
        <v>SISTEMA DE NUTRIÇÃO E DIETÉTICA</v>
      </c>
      <c r="C10456" s="2" t="str">
        <f t="shared" si="920"/>
        <v>APOIO</v>
      </c>
      <c r="D10456" s="2" t="str">
        <f t="shared" si="921"/>
        <v>PSND</v>
      </c>
      <c r="E10456" s="2" t="str">
        <f>"TABELAS"</f>
        <v>TABELAS</v>
      </c>
      <c r="F10456" s="2" t="str">
        <f>"M_LOG_GERA_PSND"</f>
        <v>M_LOG_GERA_PSND</v>
      </c>
      <c r="G10456" s="2" t="str">
        <f>"Serviços de Apoio / Nutrição e Dietética / Tabelas / Log Consulta Mov. Cardápio (M_LOG_GERA_PSND)"</f>
        <v>Serviços de Apoio / Nutrição e Dietética / Tabelas / Log Consulta Mov. Cardápio (M_LOG_GERA_PSND)</v>
      </c>
    </row>
    <row r="10457" spans="1:7" x14ac:dyDescent="0.3">
      <c r="A10457" s="1" t="s">
        <v>4</v>
      </c>
      <c r="B10457" s="2" t="str">
        <f t="shared" si="919"/>
        <v>SISTEMA DE NUTRIÇÃO E DIETÉTICA</v>
      </c>
      <c r="C10457" s="2" t="str">
        <f t="shared" si="920"/>
        <v>APOIO</v>
      </c>
      <c r="D10457" s="2" t="str">
        <f t="shared" si="921"/>
        <v>PSND</v>
      </c>
      <c r="E10457" s="2" t="str">
        <f>"LISTAGEM DO DIA - SINTETICO"</f>
        <v>LISTAGEM DO DIA - SINTETICO</v>
      </c>
      <c r="F10457" s="2" t="str">
        <f>"R_LISTAGEM_SIN"</f>
        <v>R_LISTAGEM_SIN</v>
      </c>
      <c r="G10457" s="2" t="str">
        <f>" ()"</f>
        <v xml:space="preserve"> ()</v>
      </c>
    </row>
    <row r="10458" spans="1:7" x14ac:dyDescent="0.3">
      <c r="A10458" s="1" t="s">
        <v>4</v>
      </c>
      <c r="B10458" s="2" t="str">
        <f t="shared" si="919"/>
        <v>SISTEMA DE NUTRIÇÃO E DIETÉTICA</v>
      </c>
      <c r="C10458" s="2" t="str">
        <f t="shared" si="920"/>
        <v>APOIO</v>
      </c>
      <c r="D10458" s="2" t="str">
        <f t="shared" si="921"/>
        <v>PSND</v>
      </c>
      <c r="E10458" s="2" t="str">
        <f>"RELATÓRIO DE ORIENTAÇÃO DE DIETA"</f>
        <v>RELATÓRIO DE ORIENTAÇÃO DE DIETA</v>
      </c>
      <c r="F10458" s="2" t="str">
        <f>"R_ORIENTACAO"</f>
        <v>R_ORIENTACAO</v>
      </c>
      <c r="G10458" s="2" t="str">
        <f>"Serviços de Apoio / Nutrição e Dietética / Relatórios / Tabelas / Orientação da Dieta (R_ORIENTACAO)"</f>
        <v>Serviços de Apoio / Nutrição e Dietética / Relatórios / Tabelas / Orientação da Dieta (R_ORIENTACAO)</v>
      </c>
    </row>
    <row r="10459" spans="1:7" x14ac:dyDescent="0.3">
      <c r="A10459" s="1" t="s">
        <v>4</v>
      </c>
      <c r="B10459" s="2" t="str">
        <f t="shared" si="919"/>
        <v>SISTEMA DE NUTRIÇÃO E DIETÉTICA</v>
      </c>
      <c r="C10459" s="2" t="str">
        <f t="shared" si="920"/>
        <v>APOIO</v>
      </c>
      <c r="D10459" s="2" t="str">
        <f t="shared" si="921"/>
        <v>PSND</v>
      </c>
      <c r="E10459" s="2" t="str">
        <f>"R_ETIQ_MAMADEIRA.FMX"</f>
        <v>R_ETIQ_MAMADEIRA.FMX</v>
      </c>
      <c r="F10459" s="2" t="str">
        <f>"R_ETIQ_MAMADEIRA.FMX"</f>
        <v>R_ETIQ_MAMADEIRA.FMX</v>
      </c>
      <c r="G10459" s="2" t="str">
        <f>" ()"</f>
        <v xml:space="preserve"> ()</v>
      </c>
    </row>
    <row r="10460" spans="1:7" x14ac:dyDescent="0.3">
      <c r="A10460" s="1" t="s">
        <v>4</v>
      </c>
      <c r="B10460" s="2" t="str">
        <f t="shared" si="919"/>
        <v>SISTEMA DE NUTRIÇÃO E DIETÉTICA</v>
      </c>
      <c r="C10460" s="2" t="str">
        <f t="shared" si="920"/>
        <v>APOIO</v>
      </c>
      <c r="D10460" s="2" t="str">
        <f t="shared" si="921"/>
        <v>PSND</v>
      </c>
      <c r="E10460" s="2" t="str">
        <f>"Monitoramento de Entrega de Refeições"</f>
        <v>Monitoramento de Entrega de Refeições</v>
      </c>
      <c r="F10460" s="2" t="str">
        <f>"M_MON_ENTREGA_REFEICAO"</f>
        <v>M_MON_ENTREGA_REFEICAO</v>
      </c>
      <c r="G10460" s="2" t="str">
        <f>" ()"</f>
        <v xml:space="preserve"> ()</v>
      </c>
    </row>
    <row r="10461" spans="1:7" x14ac:dyDescent="0.3">
      <c r="A10461" s="1" t="s">
        <v>4</v>
      </c>
      <c r="B10461" s="2" t="str">
        <f t="shared" si="919"/>
        <v>SISTEMA DE NUTRIÇÃO E DIETÉTICA</v>
      </c>
      <c r="C10461" s="2" t="str">
        <f t="shared" si="920"/>
        <v>APOIO</v>
      </c>
      <c r="D10461" s="2" t="str">
        <f t="shared" si="921"/>
        <v>PSND</v>
      </c>
      <c r="E10461" s="2" t="str">
        <f>"Monitoramento de Entrega de Refeições"</f>
        <v>Monitoramento de Entrega de Refeições</v>
      </c>
      <c r="F10461" s="2" t="str">
        <f>"R_MON_ENTREGA_REFEICAO"</f>
        <v>R_MON_ENTREGA_REFEICAO</v>
      </c>
      <c r="G10461" s="2" t="str">
        <f>" ()"</f>
        <v xml:space="preserve"> ()</v>
      </c>
    </row>
    <row r="10462" spans="1:7" x14ac:dyDescent="0.3">
      <c r="A10462" s="1" t="s">
        <v>4</v>
      </c>
      <c r="B10462" s="2" t="str">
        <f t="shared" si="919"/>
        <v>SISTEMA DE NUTRIÇÃO E DIETÉTICA</v>
      </c>
      <c r="C10462" s="2" t="str">
        <f t="shared" si="920"/>
        <v>APOIO</v>
      </c>
      <c r="D10462" s="2" t="str">
        <f t="shared" si="921"/>
        <v>PSND</v>
      </c>
      <c r="E10462" s="2" t="str">
        <f>"Tipos de Ocorrência"</f>
        <v>Tipos de Ocorrência</v>
      </c>
      <c r="F10462" s="2" t="str">
        <f>"M_TIPO_OCORRENCIA"</f>
        <v>M_TIPO_OCORRENCIA</v>
      </c>
      <c r="G10462" s="2" t="str">
        <f>" ()"</f>
        <v xml:space="preserve"> ()</v>
      </c>
    </row>
    <row r="10463" spans="1:7" x14ac:dyDescent="0.3">
      <c r="A10463" s="1" t="s">
        <v>4</v>
      </c>
      <c r="B10463" s="2" t="str">
        <f t="shared" si="919"/>
        <v>SISTEMA DE NUTRIÇÃO E DIETÉTICA</v>
      </c>
      <c r="C10463" s="2" t="str">
        <f t="shared" si="920"/>
        <v>APOIO</v>
      </c>
      <c r="D10463" s="2" t="str">
        <f t="shared" si="921"/>
        <v>PSND</v>
      </c>
      <c r="E10463" s="2" t="str">
        <f>"ETIQUETA NUTRICA0"</f>
        <v>ETIQUETA NUTRICA0</v>
      </c>
      <c r="F10463" s="2" t="str">
        <f>"USR_ETIQUETA_NUTRICA0"</f>
        <v>USR_ETIQUETA_NUTRICA0</v>
      </c>
      <c r="G10463" s="2" t="str">
        <f>" ()"</f>
        <v xml:space="preserve"> ()</v>
      </c>
    </row>
    <row r="10464" spans="1:7" x14ac:dyDescent="0.3">
      <c r="A10464" s="1" t="s">
        <v>4</v>
      </c>
      <c r="B10464" s="2" t="str">
        <f t="shared" si="919"/>
        <v>SISTEMA DE NUTRIÇÃO E DIETÉTICA</v>
      </c>
      <c r="C10464" s="2" t="str">
        <f t="shared" si="920"/>
        <v>APOIO</v>
      </c>
      <c r="D10464" s="2" t="str">
        <f t="shared" si="921"/>
        <v>PSND</v>
      </c>
      <c r="E10464" s="2" t="str">
        <f>"CADASTRO SOLICITAÇÃO PLANO CARDAPIO"</f>
        <v>CADASTRO SOLICITAÇÃO PLANO CARDAPIO</v>
      </c>
      <c r="F10464" s="2" t="str">
        <f>"M_SOL_PLANO_CARDAPIO"</f>
        <v>M_SOL_PLANO_CARDAPIO</v>
      </c>
      <c r="G10464" s="2" t="str">
        <f>"Serviços de Apoio / Nutrição e Dietética / Movimentação / Solicitação de Planejamento de Cardápio (M_SOL_PLANO_CARDAPIO)"</f>
        <v>Serviços de Apoio / Nutrição e Dietética / Movimentação / Solicitação de Planejamento de Cardápio (M_SOL_PLANO_CARDAPIO)</v>
      </c>
    </row>
    <row r="10465" spans="1:7" x14ac:dyDescent="0.3">
      <c r="A10465" s="1" t="s">
        <v>4</v>
      </c>
      <c r="B10465" s="2" t="str">
        <f t="shared" si="919"/>
        <v>SISTEMA DE NUTRIÇÃO E DIETÉTICA</v>
      </c>
      <c r="C10465" s="2" t="str">
        <f t="shared" si="920"/>
        <v>APOIO</v>
      </c>
      <c r="D10465" s="2" t="str">
        <f t="shared" si="921"/>
        <v>PSND</v>
      </c>
      <c r="E10465" s="2" t="str">
        <f>"CADASTRO PLANEJAMENTO CARDAPIO"</f>
        <v>CADASTRO PLANEJAMENTO CARDAPIO</v>
      </c>
      <c r="F10465" s="2" t="str">
        <f>"M_PLAN_CARDAPIO"</f>
        <v>M_PLAN_CARDAPIO</v>
      </c>
      <c r="G10465" s="2" t="str">
        <f>"Serviços de Apoio / Nutrição e Dietética / Movimentação / Planejamento do Cardápio (M_PLAN_CARDAPIO)"</f>
        <v>Serviços de Apoio / Nutrição e Dietética / Movimentação / Planejamento do Cardápio (M_PLAN_CARDAPIO)</v>
      </c>
    </row>
    <row r="10466" spans="1:7" x14ac:dyDescent="0.3">
      <c r="A10466" s="1" t="s">
        <v>4</v>
      </c>
      <c r="B10466" s="2" t="str">
        <f t="shared" si="919"/>
        <v>SISTEMA DE NUTRIÇÃO E DIETÉTICA</v>
      </c>
      <c r="C10466" s="2" t="str">
        <f t="shared" si="920"/>
        <v>APOIO</v>
      </c>
      <c r="D10466" s="2" t="str">
        <f t="shared" si="921"/>
        <v>PSND</v>
      </c>
      <c r="E10466" s="2" t="str">
        <f>"PRESCRIÇÃO PARENTERAL"</f>
        <v>PRESCRIÇÃO PARENTERAL</v>
      </c>
      <c r="F10466" s="2" t="str">
        <f>"M_PRESC_NPP_FARMACIA"</f>
        <v>M_PRESC_NPP_FARMACIA</v>
      </c>
      <c r="G10466" s="2" t="str">
        <f>"Materiais e Logística / Almoxarifado / Relatórios / Operacionais / Prescrição Parenteral (M_PRESC_NPP_FARMACIA)"</f>
        <v>Materiais e Logística / Almoxarifado / Relatórios / Operacionais / Prescrição Parenteral (M_PRESC_NPP_FARMACIA)</v>
      </c>
    </row>
    <row r="10467" spans="1:7" x14ac:dyDescent="0.3">
      <c r="A10467" s="1" t="s">
        <v>4</v>
      </c>
      <c r="B10467" s="2" t="str">
        <f t="shared" si="919"/>
        <v>SISTEMA DE NUTRIÇÃO E DIETÉTICA</v>
      </c>
      <c r="C10467" s="2" t="str">
        <f t="shared" si="920"/>
        <v>APOIO</v>
      </c>
      <c r="D10467" s="2" t="str">
        <f t="shared" si="921"/>
        <v>PSND</v>
      </c>
      <c r="E10467" s="2" t="str">
        <f>"DISTRIBUICAO DE REFEIÇÕES"</f>
        <v>DISTRIBUICAO DE REFEIÇÕES</v>
      </c>
      <c r="F10467" s="2" t="str">
        <f>"R_DISTRIBUICAO_REFEICAO"</f>
        <v>R_DISTRIBUICAO_REFEICAO</v>
      </c>
      <c r="G10467" s="2" t="str">
        <f>"Serviços de Apoio / Nutrição e Dietética / Relatórios / Operacionais / Distribuição de Refeições (R_DISTRIBUICAO_REFEICAO)"</f>
        <v>Serviços de Apoio / Nutrição e Dietética / Relatórios / Operacionais / Distribuição de Refeições (R_DISTRIBUICAO_REFEICAO)</v>
      </c>
    </row>
    <row r="10468" spans="1:7" x14ac:dyDescent="0.3">
      <c r="A10468" s="1" t="s">
        <v>4</v>
      </c>
      <c r="B10468" s="2" t="str">
        <f t="shared" si="919"/>
        <v>SISTEMA DE NUTRIÇÃO E DIETÉTICA</v>
      </c>
      <c r="C10468" s="2" t="str">
        <f t="shared" si="920"/>
        <v>APOIO</v>
      </c>
      <c r="D10468" s="2" t="str">
        <f t="shared" si="921"/>
        <v>PSND</v>
      </c>
      <c r="E10468" s="2" t="str">
        <f>"Etiqueta Admissão/Alteração de Dieta"</f>
        <v>Etiqueta Admissão/Alteração de Dieta</v>
      </c>
      <c r="F10468" s="2" t="str">
        <f>"R_ETIQ_AVISO_PSND"</f>
        <v>R_ETIQ_AVISO_PSND</v>
      </c>
      <c r="G10468" s="2" t="str">
        <f>"Etiqueta Admissão/Alteração de Dieta (R_ETIQ_AVISO_PSND)"</f>
        <v>Etiqueta Admissão/Alteração de Dieta (R_ETIQ_AVISO_PSND)</v>
      </c>
    </row>
    <row r="10469" spans="1:7" x14ac:dyDescent="0.3">
      <c r="A10469" s="1" t="s">
        <v>4</v>
      </c>
      <c r="B10469" s="2" t="str">
        <f t="shared" si="919"/>
        <v>SISTEMA DE NUTRIÇÃO E DIETÉTICA</v>
      </c>
      <c r="C10469" s="2" t="str">
        <f t="shared" si="920"/>
        <v>APOIO</v>
      </c>
      <c r="D10469" s="2" t="str">
        <f t="shared" si="921"/>
        <v>PSND</v>
      </c>
      <c r="E10469" s="2" t="str">
        <f>"RELAT. DE RESUMO DE DIETA MAIS FREQ."</f>
        <v>RELAT. DE RESUMO DE DIETA MAIS FREQ.</v>
      </c>
      <c r="F10469" s="2" t="str">
        <f>"R_RESUMO_DIETA"</f>
        <v>R_RESUMO_DIETA</v>
      </c>
      <c r="G10469" s="2" t="str">
        <f>"Serviços de Apoio / Nutrição e Dietética / Relatórios / Estatístico / Mapa de Resumo de Dietas (R_RESUMO_DIETA)"</f>
        <v>Serviços de Apoio / Nutrição e Dietética / Relatórios / Estatístico / Mapa de Resumo de Dietas (R_RESUMO_DIETA)</v>
      </c>
    </row>
    <row r="10470" spans="1:7" x14ac:dyDescent="0.3">
      <c r="A10470" s="1" t="s">
        <v>4</v>
      </c>
      <c r="B10470" s="2" t="str">
        <f t="shared" si="919"/>
        <v>SISTEMA DE NUTRIÇÃO E DIETÉTICA</v>
      </c>
      <c r="C10470" s="2" t="str">
        <f t="shared" si="920"/>
        <v>APOIO</v>
      </c>
      <c r="D10470" s="2" t="str">
        <f t="shared" si="921"/>
        <v>PSND</v>
      </c>
      <c r="E10470" s="2" t="str">
        <f>"RELATÓRIO DE EXAMES POR PACIENTES"</f>
        <v>RELATÓRIO DE EXAMES POR PACIENTES</v>
      </c>
      <c r="F10470" s="2" t="str">
        <f>"R_MOV_CARDAPIO_PROD"</f>
        <v>R_MOV_CARDAPIO_PROD</v>
      </c>
      <c r="G10470" s="2" t="str">
        <f>"Serviços de Apoio / Nutrição e Dietética / Relatórios / Operacionais / Produção da movimentação de cardápio (R_MOV_CARDAPIO_PROD)"</f>
        <v>Serviços de Apoio / Nutrição e Dietética / Relatórios / Operacionais / Produção da movimentação de cardápio (R_MOV_CARDAPIO_PROD)</v>
      </c>
    </row>
    <row r="10471" spans="1:7" x14ac:dyDescent="0.3">
      <c r="A10471" s="1" t="s">
        <v>4</v>
      </c>
      <c r="B10471" s="2" t="str">
        <f t="shared" si="919"/>
        <v>SISTEMA DE NUTRIÇÃO E DIETÉTICA</v>
      </c>
      <c r="C10471" s="2" t="str">
        <f t="shared" si="920"/>
        <v>APOIO</v>
      </c>
      <c r="D10471" s="2" t="str">
        <f t="shared" si="921"/>
        <v>PSND</v>
      </c>
      <c r="E10471" s="2" t="str">
        <f>"R_EST_CONSUMO_REFEICAO"</f>
        <v>R_EST_CONSUMO_REFEICAO</v>
      </c>
      <c r="F10471" s="2" t="str">
        <f>"R_EST_CONSUMO_REFEICAO"</f>
        <v>R_EST_CONSUMO_REFEICAO</v>
      </c>
      <c r="G10471" s="2" t="str">
        <f>" ()"</f>
        <v xml:space="preserve"> ()</v>
      </c>
    </row>
    <row r="10472" spans="1:7" x14ac:dyDescent="0.3">
      <c r="A10472" s="1" t="s">
        <v>4</v>
      </c>
      <c r="B10472" s="2" t="str">
        <f t="shared" si="919"/>
        <v>SISTEMA DE NUTRIÇÃO E DIETÉTICA</v>
      </c>
      <c r="C10472" s="2" t="str">
        <f t="shared" si="920"/>
        <v>APOIO</v>
      </c>
      <c r="D10472" s="2" t="str">
        <f t="shared" si="921"/>
        <v>PSND</v>
      </c>
      <c r="E10472" s="2" t="str">
        <f>"CONFIGURAÇÕES DO SISTEMA DE MANUTENÇÃO"</f>
        <v>CONFIGURAÇÕES DO SISTEMA DE MANUTENÇÃO</v>
      </c>
      <c r="F10472" s="2" t="str">
        <f>"M_CONFIG_PSND"</f>
        <v>M_CONFIG_PSND</v>
      </c>
      <c r="G10472" s="2" t="str">
        <f>"Serviços de Apoio / Nutrição e Dietética / Configuração / Parâmetros (M_CONFIG_PSND)"</f>
        <v>Serviços de Apoio / Nutrição e Dietética / Configuração / Parâmetros (M_CONFIG_PSND)</v>
      </c>
    </row>
    <row r="10473" spans="1:7" x14ac:dyDescent="0.3">
      <c r="A10473" s="1" t="s">
        <v>4</v>
      </c>
      <c r="B10473" s="2" t="str">
        <f t="shared" si="919"/>
        <v>SISTEMA DE NUTRIÇÃO E DIETÉTICA</v>
      </c>
      <c r="C10473" s="2" t="str">
        <f t="shared" si="920"/>
        <v>APOIO</v>
      </c>
      <c r="D10473" s="2" t="str">
        <f t="shared" si="921"/>
        <v>PSND</v>
      </c>
      <c r="E10473" s="2" t="str">
        <f>"R_ETIQ_NUTRICAO_750"</f>
        <v>R_ETIQ_NUTRICAO_750</v>
      </c>
      <c r="F10473" s="2" t="str">
        <f>"R_ETIQ_NUTRICAO_750"</f>
        <v>R_ETIQ_NUTRICAO_750</v>
      </c>
      <c r="G10473" s="2" t="str">
        <f>" ()"</f>
        <v xml:space="preserve"> ()</v>
      </c>
    </row>
    <row r="10474" spans="1:7" x14ac:dyDescent="0.3">
      <c r="A10474" s="1" t="s">
        <v>4</v>
      </c>
      <c r="B10474" s="2" t="str">
        <f t="shared" si="919"/>
        <v>SISTEMA DE NUTRIÇÃO E DIETÉTICA</v>
      </c>
      <c r="C10474" s="2" t="str">
        <f t="shared" si="920"/>
        <v>APOIO</v>
      </c>
      <c r="D10474" s="2" t="str">
        <f t="shared" si="921"/>
        <v>PSND</v>
      </c>
      <c r="E10474" s="2" t="str">
        <f>"MAPA DE REFEIÇÃO PARA PACIENTE E ACOMP."</f>
        <v>MAPA DE REFEIÇÃO PARA PACIENTE E ACOMP.</v>
      </c>
      <c r="F10474" s="2" t="str">
        <f>"R_MAPA_REF_PAC_ACOM"</f>
        <v>R_MAPA_REF_PAC_ACOM</v>
      </c>
      <c r="G10474" s="2" t="str">
        <f>"Serviços de Apoio / Nutrição e Dietética / Relatórios / Estatístico / Mapa de Pedido de Refeição para Paciente (R_MAPA_REF_PAC_ACOM)"</f>
        <v>Serviços de Apoio / Nutrição e Dietética / Relatórios / Estatístico / Mapa de Pedido de Refeição para Paciente (R_MAPA_REF_PAC_ACOM)</v>
      </c>
    </row>
    <row r="10475" spans="1:7" x14ac:dyDescent="0.3">
      <c r="A10475" s="1" t="s">
        <v>4</v>
      </c>
      <c r="B10475" s="2" t="str">
        <f t="shared" si="919"/>
        <v>SISTEMA DE NUTRIÇÃO E DIETÉTICA</v>
      </c>
      <c r="C10475" s="2" t="str">
        <f t="shared" si="920"/>
        <v>APOIO</v>
      </c>
      <c r="D10475" s="2" t="str">
        <f t="shared" si="921"/>
        <v>PSND</v>
      </c>
      <c r="E10475" s="2" t="str">
        <f>"PERSONALIZADOS DO PSND"</f>
        <v>PERSONALIZADOS DO PSND</v>
      </c>
      <c r="F10475" s="2" t="str">
        <f>"R_PERSON_PSND"</f>
        <v>R_PERSON_PSND</v>
      </c>
      <c r="G10475" s="2" t="str">
        <f>"Serviços de Apoio / Nutrição e Dietética / Relatórios / Personalizados (R_PERSON_PSND)"</f>
        <v>Serviços de Apoio / Nutrição e Dietética / Relatórios / Personalizados (R_PERSON_PSND)</v>
      </c>
    </row>
    <row r="10476" spans="1:7" x14ac:dyDescent="0.3">
      <c r="A10476" s="1" t="s">
        <v>4</v>
      </c>
      <c r="B10476" s="2" t="str">
        <f t="shared" si="919"/>
        <v>SISTEMA DE NUTRIÇÃO E DIETÉTICA</v>
      </c>
      <c r="C10476" s="2" t="str">
        <f t="shared" si="920"/>
        <v>APOIO</v>
      </c>
      <c r="D10476" s="2" t="str">
        <f t="shared" si="921"/>
        <v>PSND</v>
      </c>
      <c r="E10476" s="2" t="str">
        <f>"RELATORIO DE LISTAGEM DO DIA SINTETICO"</f>
        <v>RELATORIO DE LISTAGEM DO DIA SINTETICO</v>
      </c>
      <c r="F10476" s="2" t="str">
        <f>"R_LISTAGEM_DIA_SIN"</f>
        <v>R_LISTAGEM_DIA_SIN</v>
      </c>
      <c r="G10476" s="2" t="str">
        <f>" ()"</f>
        <v xml:space="preserve"> ()</v>
      </c>
    </row>
    <row r="10477" spans="1:7" x14ac:dyDescent="0.3">
      <c r="A10477" s="1" t="s">
        <v>4</v>
      </c>
      <c r="B10477" s="2" t="str">
        <f t="shared" si="919"/>
        <v>SISTEMA DE NUTRIÇÃO E DIETÉTICA</v>
      </c>
      <c r="C10477" s="2" t="str">
        <f t="shared" si="920"/>
        <v>APOIO</v>
      </c>
      <c r="D10477" s="2" t="str">
        <f t="shared" si="921"/>
        <v>PSND</v>
      </c>
      <c r="E10477" s="2" t="str">
        <f>"RELAT. RESUMO DIETA MAIS FREQUENTES"</f>
        <v>RELAT. RESUMO DIETA MAIS FREQUENTES</v>
      </c>
      <c r="F10477" s="2" t="str">
        <f>"R_RESUMO_DIETA_C"</f>
        <v>R_RESUMO_DIETA_C</v>
      </c>
      <c r="G10477" s="2" t="str">
        <f>" ()"</f>
        <v xml:space="preserve"> ()</v>
      </c>
    </row>
    <row r="10478" spans="1:7" x14ac:dyDescent="0.3">
      <c r="A10478" s="1" t="s">
        <v>4</v>
      </c>
      <c r="B10478" s="2" t="str">
        <f t="shared" si="919"/>
        <v>SISTEMA DE NUTRIÇÃO E DIETÉTICA</v>
      </c>
      <c r="C10478" s="2" t="str">
        <f t="shared" si="920"/>
        <v>APOIO</v>
      </c>
      <c r="D10478" s="2" t="str">
        <f t="shared" si="921"/>
        <v>PSND</v>
      </c>
      <c r="E10478" s="2" t="str">
        <f>"REFEIÇÕES POR DESTINO"</f>
        <v>REFEIÇÕES POR DESTINO</v>
      </c>
      <c r="F10478" s="2" t="str">
        <f>"R_EST_REF_DESTINO"</f>
        <v>R_EST_REF_DESTINO</v>
      </c>
      <c r="G10478" s="2" t="str">
        <f>"Serviços de Apoio / Nutrição e Dietética / Relatórios / Estatístico / Estatístico de Refeições por Destino (R_EST_REF_DESTINO)"</f>
        <v>Serviços de Apoio / Nutrição e Dietética / Relatórios / Estatístico / Estatístico de Refeições por Destino (R_EST_REF_DESTINO)</v>
      </c>
    </row>
    <row r="10479" spans="1:7" x14ac:dyDescent="0.3">
      <c r="A10479" s="1" t="s">
        <v>4</v>
      </c>
      <c r="B10479" s="2" t="str">
        <f t="shared" si="919"/>
        <v>SISTEMA DE NUTRIÇÃO E DIETÉTICA</v>
      </c>
      <c r="C10479" s="2" t="str">
        <f t="shared" si="920"/>
        <v>APOIO</v>
      </c>
      <c r="D10479" s="2" t="str">
        <f t="shared" si="921"/>
        <v>PSND</v>
      </c>
      <c r="E10479" s="2" t="str">
        <f>"PRODUÇÃO MENSAL DE DIETAS"</f>
        <v>PRODUÇÃO MENSAL DE DIETAS</v>
      </c>
      <c r="F10479" s="2" t="str">
        <f>"R_PROD_MENSAL_DIETA"</f>
        <v>R_PROD_MENSAL_DIETA</v>
      </c>
      <c r="G10479" s="2" t="str">
        <f>"Serviços de Apoio / Nutrição e Dietética / Relatórios / Estatístico / Produção Mensal de Dietas (R_PROD_MENSAL_DIETA)"</f>
        <v>Serviços de Apoio / Nutrição e Dietética / Relatórios / Estatístico / Produção Mensal de Dietas (R_PROD_MENSAL_DIETA)</v>
      </c>
    </row>
    <row r="10480" spans="1:7" x14ac:dyDescent="0.3">
      <c r="A10480" s="1" t="s">
        <v>4</v>
      </c>
      <c r="B10480" s="2" t="str">
        <f t="shared" si="919"/>
        <v>SISTEMA DE NUTRIÇÃO E DIETÉTICA</v>
      </c>
      <c r="C10480" s="2" t="str">
        <f t="shared" si="920"/>
        <v>APOIO</v>
      </c>
      <c r="D10480" s="2" t="str">
        <f t="shared" si="921"/>
        <v>PSND</v>
      </c>
      <c r="E10480" s="2" t="str">
        <f>"R_ETIQ_NUTRICAO_297"</f>
        <v>R_ETIQ_NUTRICAO_297</v>
      </c>
      <c r="F10480" s="2" t="str">
        <f>"R_ETIQ_NUTRICAO_297"</f>
        <v>R_ETIQ_NUTRICAO_297</v>
      </c>
      <c r="G10480" s="2" t="str">
        <f t="shared" ref="G10480:G10490" si="922">" ()"</f>
        <v xml:space="preserve"> ()</v>
      </c>
    </row>
    <row r="10481" spans="1:7" x14ac:dyDescent="0.3">
      <c r="A10481" s="1" t="s">
        <v>4</v>
      </c>
      <c r="B10481" s="2" t="str">
        <f t="shared" si="919"/>
        <v>SISTEMA DE NUTRIÇÃO E DIETÉTICA</v>
      </c>
      <c r="C10481" s="2" t="str">
        <f t="shared" si="920"/>
        <v>APOIO</v>
      </c>
      <c r="D10481" s="2" t="str">
        <f t="shared" si="921"/>
        <v>PSND</v>
      </c>
      <c r="E10481" s="2" t="str">
        <f>"R_RESUMO_DIETA_NEW"</f>
        <v>R_RESUMO_DIETA_NEW</v>
      </c>
      <c r="F10481" s="2" t="str">
        <f>"R_RESUMO_DIETA_NEW"</f>
        <v>R_RESUMO_DIETA_NEW</v>
      </c>
      <c r="G10481" s="2" t="str">
        <f t="shared" si="922"/>
        <v xml:space="preserve"> ()</v>
      </c>
    </row>
    <row r="10482" spans="1:7" x14ac:dyDescent="0.3">
      <c r="A10482" s="1" t="s">
        <v>4</v>
      </c>
      <c r="B10482" s="2" t="str">
        <f t="shared" si="919"/>
        <v>SISTEMA DE NUTRIÇÃO E DIETÉTICA</v>
      </c>
      <c r="C10482" s="2" t="str">
        <f t="shared" si="920"/>
        <v>APOIO</v>
      </c>
      <c r="D10482" s="2" t="str">
        <f t="shared" si="921"/>
        <v>PSND</v>
      </c>
      <c r="E10482" s="2" t="str">
        <f>"M_OPCAO_CARDAPIO_ANTIGO"</f>
        <v>M_OPCAO_CARDAPIO_ANTIGO</v>
      </c>
      <c r="F10482" s="2" t="str">
        <f>"M_OPCAO_CARDAPIO_ANTIGO"</f>
        <v>M_OPCAO_CARDAPIO_ANTIGO</v>
      </c>
      <c r="G10482" s="2" t="str">
        <f t="shared" si="922"/>
        <v xml:space="preserve"> ()</v>
      </c>
    </row>
    <row r="10483" spans="1:7" x14ac:dyDescent="0.3">
      <c r="A10483" s="1" t="s">
        <v>4</v>
      </c>
      <c r="B10483" s="2" t="str">
        <f t="shared" si="919"/>
        <v>SISTEMA DE NUTRIÇÃO E DIETÉTICA</v>
      </c>
      <c r="C10483" s="2" t="str">
        <f t="shared" si="920"/>
        <v>APOIO</v>
      </c>
      <c r="D10483" s="2" t="str">
        <f t="shared" si="921"/>
        <v>PSND</v>
      </c>
      <c r="E10483" s="2" t="str">
        <f>"M_COMPOSICAO"</f>
        <v>M_COMPOSICAO</v>
      </c>
      <c r="F10483" s="2" t="str">
        <f>"M_COMPOSICAO"</f>
        <v>M_COMPOSICAO</v>
      </c>
      <c r="G10483" s="2" t="str">
        <f t="shared" si="922"/>
        <v xml:space="preserve"> ()</v>
      </c>
    </row>
    <row r="10484" spans="1:7" x14ac:dyDescent="0.3">
      <c r="A10484" s="1" t="s">
        <v>4</v>
      </c>
      <c r="B10484" s="2" t="str">
        <f t="shared" si="919"/>
        <v>SISTEMA DE NUTRIÇÃO E DIETÉTICA</v>
      </c>
      <c r="C10484" s="2" t="str">
        <f t="shared" si="920"/>
        <v>APOIO</v>
      </c>
      <c r="D10484" s="2" t="str">
        <f t="shared" si="921"/>
        <v>PSND</v>
      </c>
      <c r="E10484" s="2" t="str">
        <f>"PRESCRIÇÃO DE DIETA"</f>
        <v>PRESCRIÇÃO DE DIETA</v>
      </c>
      <c r="F10484" s="2" t="str">
        <f>"M_PRESCRICAO_DIETA"</f>
        <v>M_PRESCRICAO_DIETA</v>
      </c>
      <c r="G10484" s="2" t="str">
        <f t="shared" si="922"/>
        <v xml:space="preserve"> ()</v>
      </c>
    </row>
    <row r="10485" spans="1:7" x14ac:dyDescent="0.3">
      <c r="A10485" s="1" t="s">
        <v>4</v>
      </c>
      <c r="B10485" s="2" t="str">
        <f t="shared" si="919"/>
        <v>SISTEMA DE NUTRIÇÃO E DIETÉTICA</v>
      </c>
      <c r="C10485" s="2" t="str">
        <f t="shared" si="920"/>
        <v>APOIO</v>
      </c>
      <c r="D10485" s="2" t="str">
        <f t="shared" si="921"/>
        <v>PSND</v>
      </c>
      <c r="E10485" s="2" t="str">
        <f>"CADASTRO DE ALIMENTOS"</f>
        <v>CADASTRO DE ALIMENTOS</v>
      </c>
      <c r="F10485" s="2" t="str">
        <f>"M_ALIMENTO"</f>
        <v>M_ALIMENTO</v>
      </c>
      <c r="G10485" s="2" t="str">
        <f t="shared" si="922"/>
        <v xml:space="preserve"> ()</v>
      </c>
    </row>
    <row r="10486" spans="1:7" x14ac:dyDescent="0.3">
      <c r="A10486" s="1" t="s">
        <v>4</v>
      </c>
      <c r="B10486" s="2" t="str">
        <f t="shared" si="919"/>
        <v>SISTEMA DE NUTRIÇÃO E DIETÉTICA</v>
      </c>
      <c r="C10486" s="2" t="str">
        <f t="shared" si="920"/>
        <v>APOIO</v>
      </c>
      <c r="D10486" s="2" t="str">
        <f t="shared" si="921"/>
        <v>PSND</v>
      </c>
      <c r="E10486" s="2" t="str">
        <f>"CADASTRO DE TIPOS DE REFEIÇÕES"</f>
        <v>CADASTRO DE TIPOS DE REFEIÇÕES</v>
      </c>
      <c r="F10486" s="2" t="str">
        <f>"M_TIPO_REFEICAO_DIETA"</f>
        <v>M_TIPO_REFEICAO_DIETA</v>
      </c>
      <c r="G10486" s="2" t="str">
        <f t="shared" si="922"/>
        <v xml:space="preserve"> ()</v>
      </c>
    </row>
    <row r="10487" spans="1:7" x14ac:dyDescent="0.3">
      <c r="A10487" s="1" t="s">
        <v>4</v>
      </c>
      <c r="B10487" s="2" t="str">
        <f t="shared" si="919"/>
        <v>SISTEMA DE NUTRIÇÃO E DIETÉTICA</v>
      </c>
      <c r="C10487" s="2" t="str">
        <f t="shared" si="920"/>
        <v>APOIO</v>
      </c>
      <c r="D10487" s="2" t="str">
        <f t="shared" si="921"/>
        <v>PSND</v>
      </c>
      <c r="E10487" s="2" t="str">
        <f>"CENSO POR COPA"</f>
        <v>CENSO POR COPA</v>
      </c>
      <c r="F10487" s="2" t="str">
        <f>"R_INT_NUTRICAO_1715"</f>
        <v>R_INT_NUTRICAO_1715</v>
      </c>
      <c r="G10487" s="2" t="str">
        <f t="shared" si="922"/>
        <v xml:space="preserve"> ()</v>
      </c>
    </row>
    <row r="10488" spans="1:7" x14ac:dyDescent="0.3">
      <c r="A10488" s="1" t="s">
        <v>4</v>
      </c>
      <c r="B10488" s="2" t="str">
        <f t="shared" si="919"/>
        <v>SISTEMA DE NUTRIÇÃO E DIETÉTICA</v>
      </c>
      <c r="C10488" s="2" t="str">
        <f t="shared" si="920"/>
        <v>APOIO</v>
      </c>
      <c r="D10488" s="2" t="str">
        <f t="shared" si="921"/>
        <v>PSND</v>
      </c>
      <c r="E10488" s="2" t="str">
        <f>"CADASTRO DE TIPOS DE DIETAS"</f>
        <v>CADASTRO DE TIPOS DE DIETAS</v>
      </c>
      <c r="F10488" s="2" t="str">
        <f>"M_TIPO_DE_DIETA"</f>
        <v>M_TIPO_DE_DIETA</v>
      </c>
      <c r="G10488" s="2" t="str">
        <f t="shared" si="922"/>
        <v xml:space="preserve"> ()</v>
      </c>
    </row>
    <row r="10489" spans="1:7" x14ac:dyDescent="0.3">
      <c r="A10489" s="1" t="s">
        <v>4</v>
      </c>
      <c r="B10489" s="2" t="str">
        <f t="shared" si="919"/>
        <v>SISTEMA DE NUTRIÇÃO E DIETÉTICA</v>
      </c>
      <c r="C10489" s="2" t="str">
        <f t="shared" si="920"/>
        <v>APOIO</v>
      </c>
      <c r="D10489" s="2" t="str">
        <f t="shared" si="921"/>
        <v>PSND</v>
      </c>
      <c r="E10489" s="2" t="str">
        <f>"CADASTRO DE NUTRIENTES"</f>
        <v>CADASTRO DE NUTRIENTES</v>
      </c>
      <c r="F10489" s="2" t="str">
        <f>"M_NUTRIENTE"</f>
        <v>M_NUTRIENTE</v>
      </c>
      <c r="G10489" s="2" t="str">
        <f t="shared" si="922"/>
        <v xml:space="preserve"> ()</v>
      </c>
    </row>
    <row r="10490" spans="1:7" x14ac:dyDescent="0.3">
      <c r="A10490" s="1" t="s">
        <v>4</v>
      </c>
      <c r="B10490" s="2" t="str">
        <f t="shared" si="919"/>
        <v>SISTEMA DE NUTRIÇÃO E DIETÉTICA</v>
      </c>
      <c r="C10490" s="2" t="str">
        <f t="shared" si="920"/>
        <v>APOIO</v>
      </c>
      <c r="D10490" s="2" t="str">
        <f t="shared" si="921"/>
        <v>PSND</v>
      </c>
      <c r="E10490" s="2" t="str">
        <f>"CADASTRO DE GRUPO ALIMENTAR"</f>
        <v>CADASTRO DE GRUPO ALIMENTAR</v>
      </c>
      <c r="F10490" s="2" t="str">
        <f>"M_GRUPO_ALIMENTAR"</f>
        <v>M_GRUPO_ALIMENTAR</v>
      </c>
      <c r="G10490" s="2" t="str">
        <f t="shared" si="922"/>
        <v xml:space="preserve"> ()</v>
      </c>
    </row>
    <row r="10491" spans="1:7" x14ac:dyDescent="0.3">
      <c r="A10491" s="1" t="s">
        <v>4</v>
      </c>
      <c r="B10491" s="2" t="str">
        <f t="shared" si="919"/>
        <v>SISTEMA DE NUTRIÇÃO E DIETÉTICA</v>
      </c>
      <c r="C10491" s="2" t="str">
        <f t="shared" si="920"/>
        <v>APOIO</v>
      </c>
      <c r="D10491" s="2" t="str">
        <f t="shared" si="921"/>
        <v>PSND</v>
      </c>
      <c r="E10491" s="2" t="str">
        <f>"CENSO POR COPA"</f>
        <v>CENSO POR COPA</v>
      </c>
      <c r="F10491" s="2" t="str">
        <f>"R_MAPA_COPEIRA"</f>
        <v>R_MAPA_COPEIRA</v>
      </c>
      <c r="G10491" s="2" t="str">
        <f>"Serviços de Apoio / Nutrição e Dietética / Relatórios / Estatístico / Mapa das Copeiras (R_MAPA_COPEIRA)"</f>
        <v>Serviços de Apoio / Nutrição e Dietética / Relatórios / Estatístico / Mapa das Copeiras (R_MAPA_COPEIRA)</v>
      </c>
    </row>
    <row r="10492" spans="1:7" x14ac:dyDescent="0.3">
      <c r="A10492" s="1" t="s">
        <v>4</v>
      </c>
      <c r="B10492" s="2" t="str">
        <f t="shared" si="919"/>
        <v>SISTEMA DE NUTRIÇÃO E DIETÉTICA</v>
      </c>
      <c r="C10492" s="2" t="str">
        <f t="shared" si="920"/>
        <v>APOIO</v>
      </c>
      <c r="D10492" s="2" t="str">
        <f t="shared" si="921"/>
        <v>PSND</v>
      </c>
      <c r="E10492" s="2" t="str">
        <f>"ETIQUETAS NUTRIÇÃO"</f>
        <v>ETIQUETAS NUTRIÇÃO</v>
      </c>
      <c r="F10492" s="2" t="str">
        <f>"R_ETIQ_NUTRICAO"</f>
        <v>R_ETIQ_NUTRICAO</v>
      </c>
      <c r="G10492" s="2" t="str">
        <f>"Serviços de Apoio / Nutrição e Dietética / Relatórios / Operacionais / Etiquetas de Nutrição (Censo) (R_ETIQ_NUTRICAO)"</f>
        <v>Serviços de Apoio / Nutrição e Dietética / Relatórios / Operacionais / Etiquetas de Nutrição (Censo) (R_ETIQ_NUTRICAO)</v>
      </c>
    </row>
    <row r="10493" spans="1:7" x14ac:dyDescent="0.3">
      <c r="A10493" s="1" t="s">
        <v>4</v>
      </c>
      <c r="B10493" s="2" t="str">
        <f t="shared" si="919"/>
        <v>SISTEMA DE NUTRIÇÃO E DIETÉTICA</v>
      </c>
      <c r="C10493" s="2" t="str">
        <f t="shared" si="920"/>
        <v>APOIO</v>
      </c>
      <c r="D10493" s="2" t="str">
        <f t="shared" si="921"/>
        <v>PSND</v>
      </c>
      <c r="E10493" s="2" t="str">
        <f>"R_ETIQ_INT"</f>
        <v>R_ETIQ_INT</v>
      </c>
      <c r="F10493" s="2" t="str">
        <f>"R_ETIQ_INT"</f>
        <v>R_ETIQ_INT</v>
      </c>
      <c r="G10493" s="2" t="str">
        <f>" ()"</f>
        <v xml:space="preserve"> ()</v>
      </c>
    </row>
    <row r="10494" spans="1:7" x14ac:dyDescent="0.3">
      <c r="A10494" s="1" t="s">
        <v>4</v>
      </c>
      <c r="B10494" s="2" t="str">
        <f t="shared" si="919"/>
        <v>SISTEMA DE NUTRIÇÃO E DIETÉTICA</v>
      </c>
      <c r="C10494" s="2" t="str">
        <f t="shared" si="920"/>
        <v>APOIO</v>
      </c>
      <c r="D10494" s="2" t="str">
        <f t="shared" si="921"/>
        <v>PSND</v>
      </c>
      <c r="E10494" s="2" t="str">
        <f>"R_COMP_MOV_CARDAPIO"</f>
        <v>R_COMP_MOV_CARDAPIO</v>
      </c>
      <c r="F10494" s="2" t="str">
        <f>"R_COMP_MOV_CARDAPIO"</f>
        <v>R_COMP_MOV_CARDAPIO</v>
      </c>
      <c r="G10494" s="2" t="str">
        <f>" ()"</f>
        <v xml:space="preserve"> ()</v>
      </c>
    </row>
    <row r="10495" spans="1:7" x14ac:dyDescent="0.3">
      <c r="A10495" s="1" t="s">
        <v>4</v>
      </c>
      <c r="B10495" s="2" t="str">
        <f t="shared" si="919"/>
        <v>SISTEMA DE NUTRIÇÃO E DIETÉTICA</v>
      </c>
      <c r="C10495" s="2" t="str">
        <f t="shared" si="920"/>
        <v>APOIO</v>
      </c>
      <c r="D10495" s="2" t="str">
        <f t="shared" si="921"/>
        <v>PSND</v>
      </c>
      <c r="E10495" s="2" t="str">
        <f>"WINDOW"</f>
        <v>WINDOW</v>
      </c>
      <c r="F10495" s="2" t="str">
        <f>"M_STATUS"</f>
        <v>M_STATUS</v>
      </c>
      <c r="G10495" s="2" t="str">
        <f>"Serviços de Apoio / Nutrição e Dietética / Movimentação / Status da Refeição (M_STATUS)"</f>
        <v>Serviços de Apoio / Nutrição e Dietética / Movimentação / Status da Refeição (M_STATUS)</v>
      </c>
    </row>
    <row r="10496" spans="1:7" x14ac:dyDescent="0.3">
      <c r="A10496" s="1" t="s">
        <v>4</v>
      </c>
      <c r="B10496" s="2" t="str">
        <f t="shared" si="919"/>
        <v>SISTEMA DE NUTRIÇÃO E DIETÉTICA</v>
      </c>
      <c r="C10496" s="2" t="str">
        <f t="shared" si="920"/>
        <v>APOIO</v>
      </c>
      <c r="D10496" s="2" t="str">
        <f t="shared" si="921"/>
        <v>PSND</v>
      </c>
      <c r="E10496" s="2" t="str">
        <f>"CADASTRO: STATUS DA REFEICAO"</f>
        <v>CADASTRO: STATUS DA REFEICAO</v>
      </c>
      <c r="F10496" s="2" t="str">
        <f>"C_STATUS_REFEICAO"</f>
        <v>C_STATUS_REFEICAO</v>
      </c>
      <c r="G10496" s="2" t="str">
        <f>"Serviços de Apoio / Nutrição e Dietética / Consultas / Status da Refeição (C_STATUS_REFEICAO)"</f>
        <v>Serviços de Apoio / Nutrição e Dietética / Consultas / Status da Refeição (C_STATUS_REFEICAO)</v>
      </c>
    </row>
    <row r="10497" spans="1:7" x14ac:dyDescent="0.3">
      <c r="A10497" s="1" t="s">
        <v>4</v>
      </c>
      <c r="B10497" s="2" t="str">
        <f t="shared" si="919"/>
        <v>SISTEMA DE NUTRIÇÃO E DIETÉTICA</v>
      </c>
      <c r="C10497" s="2" t="str">
        <f t="shared" si="920"/>
        <v>APOIO</v>
      </c>
      <c r="D10497" s="2" t="str">
        <f t="shared" si="921"/>
        <v>PSND</v>
      </c>
      <c r="E10497" s="2" t="str">
        <f>"CONSULTA MOVIMENTAÇÃO DO CARDAPIO"</f>
        <v>CONSULTA MOVIMENTAÇÃO DO CARDAPIO</v>
      </c>
      <c r="F10497" s="2" t="str">
        <f>"C_MOV_CARDAPIO"</f>
        <v>C_MOV_CARDAPIO</v>
      </c>
      <c r="G10497" s="2" t="str">
        <f>"Serviços de Apoio / Nutrição e Dietética / Consultas / Movimentação do Cardapio (C_MOV_CARDAPIO)"</f>
        <v>Serviços de Apoio / Nutrição e Dietética / Consultas / Movimentação do Cardapio (C_MOV_CARDAPIO)</v>
      </c>
    </row>
    <row r="10498" spans="1:7" x14ac:dyDescent="0.3">
      <c r="A10498" s="1" t="s">
        <v>4</v>
      </c>
      <c r="B10498" s="2" t="str">
        <f t="shared" si="919"/>
        <v>SISTEMA DE NUTRIÇÃO E DIETÉTICA</v>
      </c>
      <c r="C10498" s="2" t="str">
        <f t="shared" si="920"/>
        <v>APOIO</v>
      </c>
      <c r="D10498" s="2" t="str">
        <f t="shared" si="921"/>
        <v>PSND</v>
      </c>
      <c r="E10498" s="2" t="str">
        <f>"WIN_PRINCIPAL - HOSPITAL MV SISTEMAS"</f>
        <v>WIN_PRINCIPAL - HOSPITAL MV SISTEMAS</v>
      </c>
      <c r="F10498" s="2" t="str">
        <f>"M_CANCEL_CARDAPIO"</f>
        <v>M_CANCEL_CARDAPIO</v>
      </c>
      <c r="G10498" s="2" t="str">
        <f>" ()"</f>
        <v xml:space="preserve"> ()</v>
      </c>
    </row>
    <row r="10499" spans="1:7" x14ac:dyDescent="0.3">
      <c r="A10499" s="1" t="s">
        <v>4</v>
      </c>
      <c r="B10499" s="2" t="str">
        <f t="shared" si="919"/>
        <v>SISTEMA DE NUTRIÇÃO E DIETÉTICA</v>
      </c>
      <c r="C10499" s="2" t="str">
        <f t="shared" si="920"/>
        <v>APOIO</v>
      </c>
      <c r="D10499" s="2" t="str">
        <f t="shared" si="921"/>
        <v>PSND</v>
      </c>
      <c r="E10499" s="2" t="str">
        <f>"WIN_PRINCIPAL - HOSPITAL MV SISTEMAS"</f>
        <v>WIN_PRINCIPAL - HOSPITAL MV SISTEMAS</v>
      </c>
      <c r="F10499" s="2" t="str">
        <f>"R_ETIQUETA_MAT"</f>
        <v>R_ETIQUETA_MAT</v>
      </c>
      <c r="G10499" s="2" t="str">
        <f>" ()"</f>
        <v xml:space="preserve"> ()</v>
      </c>
    </row>
    <row r="10500" spans="1:7" x14ac:dyDescent="0.3">
      <c r="A10500" s="1" t="s">
        <v>4</v>
      </c>
      <c r="B10500" s="2" t="str">
        <f t="shared" si="919"/>
        <v>SISTEMA DE NUTRIÇÃO E DIETÉTICA</v>
      </c>
      <c r="C10500" s="2" t="str">
        <f t="shared" si="920"/>
        <v>APOIO</v>
      </c>
      <c r="D10500" s="2" t="str">
        <f t="shared" si="921"/>
        <v>PSND</v>
      </c>
      <c r="E10500" s="2" t="str">
        <f>"MAPA DE DIETAS"</f>
        <v>MAPA DE DIETAS</v>
      </c>
      <c r="F10500" s="2" t="str">
        <f>"R_MAPA_DIETAS"</f>
        <v>R_MAPA_DIETAS</v>
      </c>
      <c r="G10500" s="2" t="str">
        <f>"Serviços de Apoio / Nutrição e Dietética / Relatórios / Operacionais / Mapa de Dietas (R_MAPA_DIETAS)"</f>
        <v>Serviços de Apoio / Nutrição e Dietética / Relatórios / Operacionais / Mapa de Dietas (R_MAPA_DIETAS)</v>
      </c>
    </row>
    <row r="10501" spans="1:7" x14ac:dyDescent="0.3">
      <c r="A10501" s="1" t="s">
        <v>4</v>
      </c>
      <c r="B10501" s="2" t="str">
        <f t="shared" si="919"/>
        <v>SISTEMA DE NUTRIÇÃO E DIETÉTICA</v>
      </c>
      <c r="C10501" s="2" t="str">
        <f t="shared" si="920"/>
        <v>APOIO</v>
      </c>
      <c r="D10501" s="2" t="str">
        <f t="shared" si="921"/>
        <v>PSND</v>
      </c>
      <c r="E10501" s="2" t="str">
        <f>"GERAÇÃO AUTOMÁTICA DE CARDÁPIOS"</f>
        <v>GERAÇÃO AUTOMÁTICA DE CARDÁPIOS</v>
      </c>
      <c r="F10501" s="2" t="str">
        <f>"M_GERA_CARDAPIO"</f>
        <v>M_GERA_CARDAPIO</v>
      </c>
      <c r="G10501" s="2" t="str">
        <f>"Serviços de Apoio / Nutrição e Dietética / Movimentação / Geração Automática de Cardápios (M_GERA_CARDAPIO)"</f>
        <v>Serviços de Apoio / Nutrição e Dietética / Movimentação / Geração Automática de Cardápios (M_GERA_CARDAPIO)</v>
      </c>
    </row>
    <row r="10502" spans="1:7" x14ac:dyDescent="0.3">
      <c r="A10502" s="1" t="s">
        <v>4</v>
      </c>
      <c r="B10502" s="2" t="str">
        <f t="shared" si="919"/>
        <v>SISTEMA DE NUTRIÇÃO E DIETÉTICA</v>
      </c>
      <c r="C10502" s="2" t="str">
        <f t="shared" si="920"/>
        <v>APOIO</v>
      </c>
      <c r="D10502" s="2" t="str">
        <f t="shared" si="921"/>
        <v>PSND</v>
      </c>
      <c r="E10502" s="2" t="str">
        <f>"STATUS DA REFEIÇÃO ACOMPANHANTE"</f>
        <v>STATUS DA REFEIÇÃO ACOMPANHANTE</v>
      </c>
      <c r="F10502" s="2" t="str">
        <f>"M_STATUS_ACOMPANHANTE"</f>
        <v>M_STATUS_ACOMPANHANTE</v>
      </c>
      <c r="G10502" s="2" t="str">
        <f>"Serviços de Apoio / Nutrição e Dietética / Movimentação / Status do Acompanhante (M_STATUS_ACOMPANHANTE)"</f>
        <v>Serviços de Apoio / Nutrição e Dietética / Movimentação / Status do Acompanhante (M_STATUS_ACOMPANHANTE)</v>
      </c>
    </row>
    <row r="10503" spans="1:7" x14ac:dyDescent="0.3">
      <c r="A10503" s="1" t="s">
        <v>4</v>
      </c>
      <c r="B10503" s="2" t="str">
        <f t="shared" si="919"/>
        <v>SISTEMA DE NUTRIÇÃO E DIETÉTICA</v>
      </c>
      <c r="C10503" s="2" t="str">
        <f t="shared" si="920"/>
        <v>APOIO</v>
      </c>
      <c r="D10503" s="2" t="str">
        <f t="shared" si="921"/>
        <v>PSND</v>
      </c>
      <c r="E10503" s="2" t="str">
        <f>"PERFIL PER CAPTA  - SINTETICO"</f>
        <v>PERFIL PER CAPTA  - SINTETICO</v>
      </c>
      <c r="F10503" s="2" t="str">
        <f>"R_CAPTA_REF"</f>
        <v>R_CAPTA_REF</v>
      </c>
      <c r="G10503" s="2" t="str">
        <f>"Serviços de Apoio / Nutrição e Dietética / Relatórios / Gerencial / Perfil per Capta (R_CAPTA_REF)"</f>
        <v>Serviços de Apoio / Nutrição e Dietética / Relatórios / Gerencial / Perfil per Capta (R_CAPTA_REF)</v>
      </c>
    </row>
    <row r="10504" spans="1:7" x14ac:dyDescent="0.3">
      <c r="A10504" s="1" t="s">
        <v>4</v>
      </c>
      <c r="B10504" s="2" t="str">
        <f t="shared" si="919"/>
        <v>SISTEMA DE NUTRIÇÃO E DIETÉTICA</v>
      </c>
      <c r="C10504" s="2" t="str">
        <f t="shared" si="920"/>
        <v>APOIO</v>
      </c>
      <c r="D10504" s="2" t="str">
        <f t="shared" si="921"/>
        <v>PSND</v>
      </c>
      <c r="E10504" s="2" t="str">
        <f>"UNIDADE DE INTERNAÇÃO X COPA"</f>
        <v>UNIDADE DE INTERNAÇÃO X COPA</v>
      </c>
      <c r="F10504" s="2" t="str">
        <f>"M_UNID_INT_COPA"</f>
        <v>M_UNID_INT_COPA</v>
      </c>
      <c r="G10504" s="2" t="str">
        <f>"Serviços de Apoio / Nutrição e Dietética / Personalizados / Unidade de Internação por Copa (M_UNID_INT_COPA)"</f>
        <v>Serviços de Apoio / Nutrição e Dietética / Personalizados / Unidade de Internação por Copa (M_UNID_INT_COPA)</v>
      </c>
    </row>
    <row r="10505" spans="1:7" x14ac:dyDescent="0.3">
      <c r="A10505" s="1" t="s">
        <v>4</v>
      </c>
      <c r="B10505" s="2" t="str">
        <f t="shared" si="919"/>
        <v>SISTEMA DE NUTRIÇÃO E DIETÉTICA</v>
      </c>
      <c r="C10505" s="2" t="str">
        <f t="shared" si="920"/>
        <v>APOIO</v>
      </c>
      <c r="D10505" s="2" t="str">
        <f t="shared" si="921"/>
        <v>PSND</v>
      </c>
      <c r="E10505" s="2" t="str">
        <f>"MENU DO SISTEMA DE NUTRICAO"</f>
        <v>MENU DO SISTEMA DE NUTRICAO</v>
      </c>
      <c r="F10505" s="2" t="str">
        <f>"M_PSND"</f>
        <v>M_PSND</v>
      </c>
      <c r="G10505" s="2" t="str">
        <f>" ()"</f>
        <v xml:space="preserve"> ()</v>
      </c>
    </row>
    <row r="10506" spans="1:7" x14ac:dyDescent="0.3">
      <c r="A10506" s="1" t="s">
        <v>4</v>
      </c>
      <c r="B10506" s="2" t="str">
        <f t="shared" si="919"/>
        <v>SISTEMA DE NUTRIÇÃO E DIETÉTICA</v>
      </c>
      <c r="C10506" s="2" t="str">
        <f t="shared" si="920"/>
        <v>APOIO</v>
      </c>
      <c r="D10506" s="2" t="str">
        <f t="shared" si="921"/>
        <v>PSND</v>
      </c>
      <c r="E10506" s="2" t="str">
        <f>"TELA PRINCIPAL DO SISTEMA DE NUTRICAO"</f>
        <v>TELA PRINCIPAL DO SISTEMA DE NUTRICAO</v>
      </c>
      <c r="F10506" s="2" t="str">
        <f>"PSND"</f>
        <v>PSND</v>
      </c>
      <c r="G10506" s="2" t="str">
        <f>" ()"</f>
        <v xml:space="preserve"> ()</v>
      </c>
    </row>
    <row r="10507" spans="1:7" x14ac:dyDescent="0.3">
      <c r="A10507" s="1" t="s">
        <v>4</v>
      </c>
      <c r="B10507" s="2" t="str">
        <f t="shared" si="919"/>
        <v>SISTEMA DE NUTRIÇÃO E DIETÉTICA</v>
      </c>
      <c r="C10507" s="2" t="str">
        <f t="shared" si="920"/>
        <v>APOIO</v>
      </c>
      <c r="D10507" s="2" t="str">
        <f t="shared" si="921"/>
        <v>PSND</v>
      </c>
      <c r="E10507" s="2" t="str">
        <f>"CADASTRO DE FUNCIONARIO"</f>
        <v>CADASTRO DE FUNCIONARIO</v>
      </c>
      <c r="F10507" s="2" t="str">
        <f>"M_FUNC"</f>
        <v>M_FUNC</v>
      </c>
      <c r="G10507" s="2" t="str">
        <f>"Serviços de Apoio / Nutrição e Dietética / Tabelas / Funcionário (M_FUNC)"</f>
        <v>Serviços de Apoio / Nutrição e Dietética / Tabelas / Funcionário (M_FUNC)</v>
      </c>
    </row>
    <row r="10508" spans="1:7" x14ac:dyDescent="0.3">
      <c r="A10508" s="1" t="s">
        <v>4</v>
      </c>
      <c r="B10508" s="2" t="str">
        <f t="shared" si="919"/>
        <v>SISTEMA DE NUTRIÇÃO E DIETÉTICA</v>
      </c>
      <c r="C10508" s="2" t="str">
        <f t="shared" si="920"/>
        <v>APOIO</v>
      </c>
      <c r="D10508" s="2" t="str">
        <f t="shared" si="921"/>
        <v>PSND</v>
      </c>
      <c r="E10508" s="2" t="str">
        <f>"RELATORIO  DE TIPO DE DIETA"</f>
        <v>RELATORIO  DE TIPO DE DIETA</v>
      </c>
      <c r="F10508" s="2" t="str">
        <f>"R_TIPO_DIETA"</f>
        <v>R_TIPO_DIETA</v>
      </c>
      <c r="G10508" s="2" t="str">
        <f>"Serviços de Apoio / Nutrição e Dietética / Relatórios / Tabelas / Tipo de Dieta (R_TIPO_DIETA)"</f>
        <v>Serviços de Apoio / Nutrição e Dietética / Relatórios / Tabelas / Tipo de Dieta (R_TIPO_DIETA)</v>
      </c>
    </row>
    <row r="10509" spans="1:7" x14ac:dyDescent="0.3">
      <c r="A10509" s="1" t="s">
        <v>4</v>
      </c>
      <c r="B10509" s="2" t="str">
        <f t="shared" si="919"/>
        <v>SISTEMA DE NUTRIÇÃO E DIETÉTICA</v>
      </c>
      <c r="C10509" s="2" t="str">
        <f t="shared" si="920"/>
        <v>APOIO</v>
      </c>
      <c r="D10509" s="2" t="str">
        <f t="shared" si="921"/>
        <v>PSND</v>
      </c>
      <c r="E10509" s="2" t="str">
        <f>"RELATÓRIO DE TIPO DE REFEIICAO"</f>
        <v>RELATÓRIO DE TIPO DE REFEIICAO</v>
      </c>
      <c r="F10509" s="2" t="str">
        <f>"R_TIPO_REFEICAO"</f>
        <v>R_TIPO_REFEICAO</v>
      </c>
      <c r="G10509" s="2" t="str">
        <f>"Serviços de Apoio / Nutrição e Dietética / Relatórios / Tabelas / Tipo de Refeição (R_TIPO_REFEICAO)"</f>
        <v>Serviços de Apoio / Nutrição e Dietética / Relatórios / Tabelas / Tipo de Refeição (R_TIPO_REFEICAO)</v>
      </c>
    </row>
    <row r="10510" spans="1:7" x14ac:dyDescent="0.3">
      <c r="A10510" s="1" t="s">
        <v>4</v>
      </c>
      <c r="B10510" s="2" t="str">
        <f t="shared" si="919"/>
        <v>SISTEMA DE NUTRIÇÃO E DIETÉTICA</v>
      </c>
      <c r="C10510" s="2" t="str">
        <f t="shared" si="920"/>
        <v>APOIO</v>
      </c>
      <c r="D10510" s="2" t="str">
        <f t="shared" si="921"/>
        <v>PSND</v>
      </c>
      <c r="E10510" s="2" t="str">
        <f>"CADASTRO DE TIPO DE DIETA"</f>
        <v>CADASTRO DE TIPO DE DIETA</v>
      </c>
      <c r="F10510" s="2" t="str">
        <f>"M_TIPO_DIETA"</f>
        <v>M_TIPO_DIETA</v>
      </c>
      <c r="G10510" s="2" t="str">
        <f>"Serviços de Apoio / Nutrição e Dietética / Tabelas / Tipos de Dieta (M_TIPO_DIETA)"</f>
        <v>Serviços de Apoio / Nutrição e Dietética / Tabelas / Tipos de Dieta (M_TIPO_DIETA)</v>
      </c>
    </row>
    <row r="10511" spans="1:7" x14ac:dyDescent="0.3">
      <c r="A10511" s="1" t="s">
        <v>4</v>
      </c>
      <c r="B10511" s="2" t="str">
        <f t="shared" si="919"/>
        <v>SISTEMA DE NUTRIÇÃO E DIETÉTICA</v>
      </c>
      <c r="C10511" s="2" t="str">
        <f t="shared" si="920"/>
        <v>APOIO</v>
      </c>
      <c r="D10511" s="2" t="str">
        <f t="shared" si="921"/>
        <v>PSND</v>
      </c>
      <c r="E10511" s="2" t="str">
        <f>"CADASTRO DE TIPO DE REFEIICAO"</f>
        <v>CADASTRO DE TIPO DE REFEIICAO</v>
      </c>
      <c r="F10511" s="2" t="str">
        <f>"M_TIPO_REFEICAO"</f>
        <v>M_TIPO_REFEICAO</v>
      </c>
      <c r="G10511" s="2" t="str">
        <f>"Serviços de Apoio / Nutrição e Dietética / Tabelas / Tipo de Refeição (M_TIPO_REFEICAO)"</f>
        <v>Serviços de Apoio / Nutrição e Dietética / Tabelas / Tipo de Refeição (M_TIPO_REFEICAO)</v>
      </c>
    </row>
    <row r="10512" spans="1:7" x14ac:dyDescent="0.3">
      <c r="A10512" s="1" t="s">
        <v>17</v>
      </c>
      <c r="B10512" s="2" t="str">
        <f t="shared" si="919"/>
        <v>SISTEMA DE NUTRIÇÃO E DIETÉTICA</v>
      </c>
      <c r="C10512" s="2" t="str">
        <f t="shared" si="920"/>
        <v>APOIO</v>
      </c>
      <c r="D10512" s="2" t="str">
        <f t="shared" si="921"/>
        <v>PSND</v>
      </c>
      <c r="E10512" s="2" t="str">
        <f>"PACIENTES INTERNADOS PARA A NUTRIÇÃO"</f>
        <v>PACIENTES INTERNADOS PARA A NUTRIÇÃO</v>
      </c>
      <c r="F10512" s="2" t="str">
        <f>"R_INT_NUTRICAO"</f>
        <v>R_INT_NUTRICAO</v>
      </c>
      <c r="G10512" s="2" t="str">
        <f>"Serviços de Apoio / Nutrição e Dietética / Relatórios / Operacionais / Censo por Copa (R_INT_NUTRICAO)"</f>
        <v>Serviços de Apoio / Nutrição e Dietética / Relatórios / Operacionais / Censo por Copa (R_INT_NUTRICAO)</v>
      </c>
    </row>
    <row r="10513" spans="1:7" x14ac:dyDescent="0.3">
      <c r="A10513" s="1" t="s">
        <v>4</v>
      </c>
      <c r="B10513" s="2" t="str">
        <f t="shared" si="919"/>
        <v>SISTEMA DE NUTRIÇÃO E DIETÉTICA</v>
      </c>
      <c r="C10513" s="2" t="str">
        <f t="shared" si="920"/>
        <v>APOIO</v>
      </c>
      <c r="D10513" s="2" t="str">
        <f t="shared" si="921"/>
        <v>PSND</v>
      </c>
      <c r="E10513" s="2" t="str">
        <f>"MAPA DE REFEICAO"</f>
        <v>MAPA DE REFEICAO</v>
      </c>
      <c r="F10513" s="2" t="str">
        <f>"R_MAPA_REFEICAO"</f>
        <v>R_MAPA_REFEICAO</v>
      </c>
      <c r="G10513" s="2" t="str">
        <f>"Serviços de Apoio / Nutrição e Dietética / Relatórios / Estatístico / Mapa de Refeições (R_MAPA_REFEICAO)"</f>
        <v>Serviços de Apoio / Nutrição e Dietética / Relatórios / Estatístico / Mapa de Refeições (R_MAPA_REFEICAO)</v>
      </c>
    </row>
    <row r="10514" spans="1:7" x14ac:dyDescent="0.3">
      <c r="A10514" s="1" t="s">
        <v>4</v>
      </c>
      <c r="B10514" s="2" t="str">
        <f t="shared" si="919"/>
        <v>SISTEMA DE NUTRIÇÃO E DIETÉTICA</v>
      </c>
      <c r="C10514" s="2" t="str">
        <f t="shared" si="920"/>
        <v>APOIO</v>
      </c>
      <c r="D10514" s="2" t="str">
        <f t="shared" si="921"/>
        <v>PSND</v>
      </c>
      <c r="E10514" s="2" t="str">
        <f>"MOVIMENTACAO POPR ATENDIMENTO"</f>
        <v>MOVIMENTACAO POPR ATENDIMENTO</v>
      </c>
      <c r="F10514" s="2" t="str">
        <f>"R_MOV_ATENDIME"</f>
        <v>R_MOV_ATENDIME</v>
      </c>
      <c r="G10514" s="2" t="str">
        <f>"Serviços de Apoio / Nutrição e Dietética / Relatórios / Estatístico / Movimentação Por Atendimento (R_MOV_ATENDIME)"</f>
        <v>Serviços de Apoio / Nutrição e Dietética / Relatórios / Estatístico / Movimentação Por Atendimento (R_MOV_ATENDIME)</v>
      </c>
    </row>
    <row r="10515" spans="1:7" x14ac:dyDescent="0.3">
      <c r="A10515" s="1" t="s">
        <v>4</v>
      </c>
      <c r="B10515" s="2" t="str">
        <f t="shared" si="919"/>
        <v>SISTEMA DE NUTRIÇÃO E DIETÉTICA</v>
      </c>
      <c r="C10515" s="2" t="str">
        <f t="shared" si="920"/>
        <v>APOIO</v>
      </c>
      <c r="D10515" s="2" t="str">
        <f t="shared" si="921"/>
        <v>PSND</v>
      </c>
      <c r="E10515" s="2" t="str">
        <f>"MOVIMENTAÇÃO DE CARDÁPIO"</f>
        <v>MOVIMENTAÇÃO DE CARDÁPIO</v>
      </c>
      <c r="F10515" s="2" t="str">
        <f>"M_MOV_CARDAPIO"</f>
        <v>M_MOV_CARDAPIO</v>
      </c>
      <c r="G10515" s="2" t="str">
        <f>"Serviços de Apoio / Nutrição e Dietética / Movimentação / Cardápios (M_MOV_CARDAPIO)"</f>
        <v>Serviços de Apoio / Nutrição e Dietética / Movimentação / Cardápios (M_MOV_CARDAPIO)</v>
      </c>
    </row>
    <row r="10516" spans="1:7" x14ac:dyDescent="0.3">
      <c r="A10516" s="1" t="s">
        <v>4</v>
      </c>
      <c r="B10516" s="2" t="str">
        <f t="shared" si="919"/>
        <v>SISTEMA DE NUTRIÇÃO E DIETÉTICA</v>
      </c>
      <c r="C10516" s="2" t="str">
        <f t="shared" si="920"/>
        <v>APOIO</v>
      </c>
      <c r="D10516" s="2" t="str">
        <f t="shared" si="921"/>
        <v>PSND</v>
      </c>
      <c r="E10516" s="2" t="str">
        <f>"ESTATÍSTICO DE REFEIÇÕES POR COPA"</f>
        <v>ESTATÍSTICO DE REFEIÇÕES POR COPA</v>
      </c>
      <c r="F10516" s="2" t="str">
        <f>"R_ESTAT_COPA"</f>
        <v>R_ESTAT_COPA</v>
      </c>
      <c r="G10516" s="2" t="str">
        <f>"Serviços de Apoio / Nutrição e Dietética / Relatórios / Estatístico / Estatístico de Refeições por Copa (R_ESTAT_COPA)"</f>
        <v>Serviços de Apoio / Nutrição e Dietética / Relatórios / Estatístico / Estatístico de Refeições por Copa (R_ESTAT_COPA)</v>
      </c>
    </row>
    <row r="10517" spans="1:7" x14ac:dyDescent="0.3">
      <c r="A10517" s="1" t="s">
        <v>4</v>
      </c>
      <c r="B10517" s="2" t="str">
        <f t="shared" si="919"/>
        <v>SISTEMA DE NUTRIÇÃO E DIETÉTICA</v>
      </c>
      <c r="C10517" s="2" t="str">
        <f t="shared" si="920"/>
        <v>APOIO</v>
      </c>
      <c r="D10517" s="2" t="str">
        <f t="shared" si="921"/>
        <v>PSND</v>
      </c>
      <c r="E10517" s="2" t="str">
        <f>"LISTAGEM DO DIA POR SETOR"</f>
        <v>LISTAGEM DO DIA POR SETOR</v>
      </c>
      <c r="F10517" s="2" t="str">
        <f>"R_LISTAGEM_DIA_SETOR"</f>
        <v>R_LISTAGEM_DIA_SETOR</v>
      </c>
      <c r="G10517" s="2" t="str">
        <f>"Serviços de Apoio / Nutrição e Dietética / Relatórios / Estatístico / Movimentação de Pratos por Setor (R_LISTAGEM_DIA_SETOR)"</f>
        <v>Serviços de Apoio / Nutrição e Dietética / Relatórios / Estatístico / Movimentação de Pratos por Setor (R_LISTAGEM_DIA_SETOR)</v>
      </c>
    </row>
    <row r="10518" spans="1:7" x14ac:dyDescent="0.3">
      <c r="A10518" s="1" t="s">
        <v>4</v>
      </c>
      <c r="B10518" s="2" t="str">
        <f t="shared" ref="B10518:B10581" si="923">"SISTEMA DE NUTRIÇÃO E DIETÉTICA"</f>
        <v>SISTEMA DE NUTRIÇÃO E DIETÉTICA</v>
      </c>
      <c r="C10518" s="2" t="str">
        <f t="shared" ref="C10518:C10581" si="924">"APOIO"</f>
        <v>APOIO</v>
      </c>
      <c r="D10518" s="2" t="str">
        <f t="shared" ref="D10518:D10581" si="925">"PSND"</f>
        <v>PSND</v>
      </c>
      <c r="E10518" s="2" t="str">
        <f>"COMPARATIVO DE CUSTOS POR PRATO"</f>
        <v>COMPARATIVO DE CUSTOS POR PRATO</v>
      </c>
      <c r="F10518" s="2" t="str">
        <f>"R_COMP_CUSTO_PRATO"</f>
        <v>R_COMP_CUSTO_PRATO</v>
      </c>
      <c r="G10518" s="2" t="str">
        <f>"Serviços de Apoio / Nutrição e Dietética / Relatórios / Tabelas / Comparativo de Custo por Prato (R_COMP_CUSTO_PRATO)"</f>
        <v>Serviços de Apoio / Nutrição e Dietética / Relatórios / Tabelas / Comparativo de Custo por Prato (R_COMP_CUSTO_PRATO)</v>
      </c>
    </row>
    <row r="10519" spans="1:7" x14ac:dyDescent="0.3">
      <c r="A10519" s="1" t="s">
        <v>4</v>
      </c>
      <c r="B10519" s="2" t="str">
        <f t="shared" si="923"/>
        <v>SISTEMA DE NUTRIÇÃO E DIETÉTICA</v>
      </c>
      <c r="C10519" s="2" t="str">
        <f t="shared" si="924"/>
        <v>APOIO</v>
      </c>
      <c r="D10519" s="2" t="str">
        <f t="shared" si="925"/>
        <v>PSND</v>
      </c>
      <c r="E10519" s="2" t="str">
        <f>"RELATORIO DE FICHA DE PREPARO DE PRATO"</f>
        <v>RELATORIO DE FICHA DE PREPARO DE PRATO</v>
      </c>
      <c r="F10519" s="2" t="str">
        <f>"R_FICHA_PREPARO"</f>
        <v>R_FICHA_PREPARO</v>
      </c>
      <c r="G10519" s="2" t="str">
        <f>"Serviços de Apoio / Nutrição e Dietética / Relatórios / Tabelas / Ficha de Preparo (R_FICHA_PREPARO)"</f>
        <v>Serviços de Apoio / Nutrição e Dietética / Relatórios / Tabelas / Ficha de Preparo (R_FICHA_PREPARO)</v>
      </c>
    </row>
    <row r="10520" spans="1:7" x14ac:dyDescent="0.3">
      <c r="A10520" s="1" t="s">
        <v>4</v>
      </c>
      <c r="B10520" s="2" t="str">
        <f t="shared" si="923"/>
        <v>SISTEMA DE NUTRIÇÃO E DIETÉTICA</v>
      </c>
      <c r="C10520" s="2" t="str">
        <f t="shared" si="924"/>
        <v>APOIO</v>
      </c>
      <c r="D10520" s="2" t="str">
        <f t="shared" si="925"/>
        <v>PSND</v>
      </c>
      <c r="E10520" s="2" t="str">
        <f>"CADASTRO DE PRATOS"</f>
        <v>CADASTRO DE PRATOS</v>
      </c>
      <c r="F10520" s="2" t="str">
        <f>"M_PRATO"</f>
        <v>M_PRATO</v>
      </c>
      <c r="G10520" s="2" t="str">
        <f>"Serviços de Apoio / Nutrição e Dietética / Tabelas / Pratos (M_PRATO)"</f>
        <v>Serviços de Apoio / Nutrição e Dietética / Tabelas / Pratos (M_PRATO)</v>
      </c>
    </row>
    <row r="10521" spans="1:7" x14ac:dyDescent="0.3">
      <c r="A10521" s="1" t="s">
        <v>4</v>
      </c>
      <c r="B10521" s="2" t="str">
        <f t="shared" si="923"/>
        <v>SISTEMA DE NUTRIÇÃO E DIETÉTICA</v>
      </c>
      <c r="C10521" s="2" t="str">
        <f t="shared" si="924"/>
        <v>APOIO</v>
      </c>
      <c r="D10521" s="2" t="str">
        <f t="shared" si="925"/>
        <v>PSND</v>
      </c>
      <c r="E10521" s="2" t="str">
        <f>"RELATORIO DE PRATOS"</f>
        <v>RELATORIO DE PRATOS</v>
      </c>
      <c r="F10521" s="2" t="str">
        <f>"R_PRATO"</f>
        <v>R_PRATO</v>
      </c>
      <c r="G10521" s="2" t="str">
        <f>"Serviços de Apoio / Nutrição e Dietética / Relatórios / Tabelas / Tipo de Prato (R_PRATO)"</f>
        <v>Serviços de Apoio / Nutrição e Dietética / Relatórios / Tabelas / Tipo de Prato (R_PRATO)</v>
      </c>
    </row>
    <row r="10522" spans="1:7" x14ac:dyDescent="0.3">
      <c r="A10522" s="1" t="s">
        <v>4</v>
      </c>
      <c r="B10522" s="2" t="str">
        <f t="shared" si="923"/>
        <v>SISTEMA DE NUTRIÇÃO E DIETÉTICA</v>
      </c>
      <c r="C10522" s="2" t="str">
        <f t="shared" si="924"/>
        <v>APOIO</v>
      </c>
      <c r="D10522" s="2" t="str">
        <f t="shared" si="925"/>
        <v>PSND</v>
      </c>
      <c r="E10522" s="2" t="str">
        <f>"ORIENTACÕES DAS DIETAS"</f>
        <v>ORIENTACÕES DAS DIETAS</v>
      </c>
      <c r="F10522" s="2" t="str">
        <f>"M_ORIENTACAO"</f>
        <v>M_ORIENTACAO</v>
      </c>
      <c r="G10522" s="2" t="str">
        <f>"Serviços de Apoio / Nutrição e Dietética / Tabelas / Orientação da Dieta (M_ORIENTACAO)"</f>
        <v>Serviços de Apoio / Nutrição e Dietética / Tabelas / Orientação da Dieta (M_ORIENTACAO)</v>
      </c>
    </row>
    <row r="10523" spans="1:7" x14ac:dyDescent="0.3">
      <c r="A10523" s="1" t="s">
        <v>4</v>
      </c>
      <c r="B10523" s="2" t="str">
        <f t="shared" si="923"/>
        <v>SISTEMA DE NUTRIÇÃO E DIETÉTICA</v>
      </c>
      <c r="C10523" s="2" t="str">
        <f t="shared" si="924"/>
        <v>APOIO</v>
      </c>
      <c r="D10523" s="2" t="str">
        <f t="shared" si="925"/>
        <v>PSND</v>
      </c>
      <c r="E10523" s="2" t="str">
        <f>"LISTAGEM DO DIA - ANALITICO"</f>
        <v>LISTAGEM DO DIA - ANALITICO</v>
      </c>
      <c r="F10523" s="2" t="str">
        <f>"R_LISTAGEM_DIA"</f>
        <v>R_LISTAGEM_DIA</v>
      </c>
      <c r="G10523" s="2" t="str">
        <f>"Serviços de Apoio / Nutrição e Dietética / Relatórios / Administrativo / Listagem do Dia (R_LISTAGEM_DIA)"</f>
        <v>Serviços de Apoio / Nutrição e Dietética / Relatórios / Administrativo / Listagem do Dia (R_LISTAGEM_DIA)</v>
      </c>
    </row>
    <row r="10524" spans="1:7" x14ac:dyDescent="0.3">
      <c r="A10524" s="1" t="s">
        <v>4</v>
      </c>
      <c r="B10524" s="2" t="str">
        <f t="shared" si="923"/>
        <v>SISTEMA DE NUTRIÇÃO E DIETÉTICA</v>
      </c>
      <c r="C10524" s="2" t="str">
        <f t="shared" si="924"/>
        <v>APOIO</v>
      </c>
      <c r="D10524" s="2" t="str">
        <f t="shared" si="925"/>
        <v>PSND</v>
      </c>
      <c r="E10524" s="2" t="str">
        <f>"COMPOSIÇÃO DE OPÇÃO DE CARDÁPIO"</f>
        <v>COMPOSIÇÃO DE OPÇÃO DE CARDÁPIO</v>
      </c>
      <c r="F10524" s="2" t="str">
        <f>"R_COMP_OPCAO_CARDAPIO"</f>
        <v>R_COMP_OPCAO_CARDAPIO</v>
      </c>
      <c r="G10524" s="2" t="str">
        <f>"Serviços de Apoio / Nutrição e Dietética / Relatórios / Tabelas / Composição das Opções do Cardápio (R_COMP_OPCAO_CARDAPIO)"</f>
        <v>Serviços de Apoio / Nutrição e Dietética / Relatórios / Tabelas / Composição das Opções do Cardápio (R_COMP_OPCAO_CARDAPIO)</v>
      </c>
    </row>
    <row r="10525" spans="1:7" x14ac:dyDescent="0.3">
      <c r="A10525" s="1" t="s">
        <v>4</v>
      </c>
      <c r="B10525" s="2" t="str">
        <f t="shared" si="923"/>
        <v>SISTEMA DE NUTRIÇÃO E DIETÉTICA</v>
      </c>
      <c r="C10525" s="2" t="str">
        <f t="shared" si="924"/>
        <v>APOIO</v>
      </c>
      <c r="D10525" s="2" t="str">
        <f t="shared" si="925"/>
        <v>PSND</v>
      </c>
      <c r="E10525" s="2" t="str">
        <f>"RELATORIO DE OPÇÃO DE CARDÁPIO"</f>
        <v>RELATORIO DE OPÇÃO DE CARDÁPIO</v>
      </c>
      <c r="F10525" s="2" t="str">
        <f>"R_OPCAO_CARDAPIO"</f>
        <v>R_OPCAO_CARDAPIO</v>
      </c>
      <c r="G10525" s="2" t="str">
        <f>"Serviços de Apoio / Nutrição e Dietética / Relatórios / Tabelas / Cardápio / Opções (R_OPCAO_CARDAPIO)"</f>
        <v>Serviços de Apoio / Nutrição e Dietética / Relatórios / Tabelas / Cardápio / Opções (R_OPCAO_CARDAPIO)</v>
      </c>
    </row>
    <row r="10526" spans="1:7" x14ac:dyDescent="0.3">
      <c r="A10526" s="1" t="s">
        <v>4</v>
      </c>
      <c r="B10526" s="2" t="str">
        <f t="shared" si="923"/>
        <v>SISTEMA DE NUTRIÇÃO E DIETÉTICA</v>
      </c>
      <c r="C10526" s="2" t="str">
        <f t="shared" si="924"/>
        <v>APOIO</v>
      </c>
      <c r="D10526" s="2" t="str">
        <f t="shared" si="925"/>
        <v>PSND</v>
      </c>
      <c r="E10526" s="2" t="str">
        <f>"CADASTRO DE OPÇÕES DE CARDÁPIO"</f>
        <v>CADASTRO DE OPÇÕES DE CARDÁPIO</v>
      </c>
      <c r="F10526" s="2" t="str">
        <f>"M_OPCAO_CARDAPIO"</f>
        <v>M_OPCAO_CARDAPIO</v>
      </c>
      <c r="G10526" s="2" t="str">
        <f>"Serviços de Apoio / Nutrição e Dietética / Tabelas / Cardápio / Opções (M_OPCAO_CARDAPIO)"</f>
        <v>Serviços de Apoio / Nutrição e Dietética / Tabelas / Cardápio / Opções (M_OPCAO_CARDAPIO)</v>
      </c>
    </row>
    <row r="10527" spans="1:7" x14ac:dyDescent="0.3">
      <c r="A10527" s="1" t="s">
        <v>4</v>
      </c>
      <c r="B10527" s="2" t="str">
        <f t="shared" si="923"/>
        <v>SISTEMA DE NUTRIÇÃO E DIETÉTICA</v>
      </c>
      <c r="C10527" s="2" t="str">
        <f t="shared" si="924"/>
        <v>APOIO</v>
      </c>
      <c r="D10527" s="2" t="str">
        <f t="shared" si="925"/>
        <v>PSND</v>
      </c>
      <c r="E10527" s="2" t="str">
        <f>"CADASTRO DE CLASSIFICAÇÃO DE CARDÁPIO"</f>
        <v>CADASTRO DE CLASSIFICAÇÃO DE CARDÁPIO</v>
      </c>
      <c r="F10527" s="2" t="str">
        <f>"M_CLAS_CARDAPIO"</f>
        <v>M_CLAS_CARDAPIO</v>
      </c>
      <c r="G10527" s="2" t="str">
        <f>"Serviços de Apoio / Nutrição e Dietética / Tabelas / Cardápio / Classificação (M_CLAS_CARDAPIO)"</f>
        <v>Serviços de Apoio / Nutrição e Dietética / Tabelas / Cardápio / Classificação (M_CLAS_CARDAPIO)</v>
      </c>
    </row>
    <row r="10528" spans="1:7" x14ac:dyDescent="0.3">
      <c r="A10528" s="1" t="s">
        <v>4</v>
      </c>
      <c r="B10528" s="2" t="str">
        <f t="shared" si="923"/>
        <v>SISTEMA DE NUTRIÇÃO E DIETÉTICA</v>
      </c>
      <c r="C10528" s="2" t="str">
        <f t="shared" si="924"/>
        <v>APOIO</v>
      </c>
      <c r="D10528" s="2" t="str">
        <f t="shared" si="925"/>
        <v>PSND</v>
      </c>
      <c r="E10528" s="2" t="str">
        <f>"REFEIÇÃO POR DIETA"</f>
        <v>REFEIÇÃO POR DIETA</v>
      </c>
      <c r="F10528" s="2" t="str">
        <f>"R_REF_DIETA"</f>
        <v>R_REF_DIETA</v>
      </c>
      <c r="G10528" s="2" t="str">
        <f>"Serviços de Apoio / Nutrição e Dietética / Relatórios / Estatístico / Estatístico de Refeições por Dieta (R_REF_DIETA)"</f>
        <v>Serviços de Apoio / Nutrição e Dietética / Relatórios / Estatístico / Estatístico de Refeições por Dieta (R_REF_DIETA)</v>
      </c>
    </row>
    <row r="10529" spans="1:7" x14ac:dyDescent="0.3">
      <c r="A10529" s="1" t="s">
        <v>4</v>
      </c>
      <c r="B10529" s="2" t="str">
        <f t="shared" si="923"/>
        <v>SISTEMA DE NUTRIÇÃO E DIETÉTICA</v>
      </c>
      <c r="C10529" s="2" t="str">
        <f t="shared" si="924"/>
        <v>APOIO</v>
      </c>
      <c r="D10529" s="2" t="str">
        <f t="shared" si="925"/>
        <v>PSND</v>
      </c>
      <c r="E10529" s="2" t="str">
        <f>"RELAT. PERFIL PER CAPTA - ANALITICO"</f>
        <v>RELAT. PERFIL PER CAPTA - ANALITICO</v>
      </c>
      <c r="F10529" s="2" t="str">
        <f>"R_CAPTA_REF_ANA"</f>
        <v>R_CAPTA_REF_ANA</v>
      </c>
      <c r="G10529" s="2" t="str">
        <f>" ()"</f>
        <v xml:space="preserve"> ()</v>
      </c>
    </row>
    <row r="10530" spans="1:7" x14ac:dyDescent="0.3">
      <c r="A10530" s="1" t="s">
        <v>4</v>
      </c>
      <c r="B10530" s="2" t="str">
        <f t="shared" si="923"/>
        <v>SISTEMA DE NUTRIÇÃO E DIETÉTICA</v>
      </c>
      <c r="C10530" s="2" t="str">
        <f t="shared" si="924"/>
        <v>APOIO</v>
      </c>
      <c r="D10530" s="2" t="str">
        <f t="shared" si="925"/>
        <v>PSND</v>
      </c>
      <c r="E10530" s="2" t="str">
        <f>"LEITOS X COPAS"</f>
        <v>LEITOS X COPAS</v>
      </c>
      <c r="F10530" s="2" t="str">
        <f>"M_LEITO_COPA"</f>
        <v>M_LEITO_COPA</v>
      </c>
      <c r="G10530" s="2" t="str">
        <f>"Serviços de Apoio / Nutrição e Dietética / Tabelas / Leitos x Copas (Pacientes Internados) (M_LEITO_COPA)"</f>
        <v>Serviços de Apoio / Nutrição e Dietética / Tabelas / Leitos x Copas (Pacientes Internados) (M_LEITO_COPA)</v>
      </c>
    </row>
    <row r="10531" spans="1:7" x14ac:dyDescent="0.3">
      <c r="A10531" s="1" t="s">
        <v>4</v>
      </c>
      <c r="B10531" s="2" t="str">
        <f t="shared" si="923"/>
        <v>SISTEMA DE NUTRIÇÃO E DIETÉTICA</v>
      </c>
      <c r="C10531" s="2" t="str">
        <f t="shared" si="924"/>
        <v>APOIO</v>
      </c>
      <c r="D10531" s="2" t="str">
        <f t="shared" si="925"/>
        <v>PSND</v>
      </c>
      <c r="E10531" s="2" t="str">
        <f>"CADASTRO DE COPAS"</f>
        <v>CADASTRO DE COPAS</v>
      </c>
      <c r="F10531" s="2" t="str">
        <f>"M_COPA"</f>
        <v>M_COPA</v>
      </c>
      <c r="G10531" s="2" t="str">
        <f>"Serviços de Apoio / Nutrição e Dietética / Tabelas / Copas (M_COPA)"</f>
        <v>Serviços de Apoio / Nutrição e Dietética / Tabelas / Copas (M_COPA)</v>
      </c>
    </row>
    <row r="10532" spans="1:7" x14ac:dyDescent="0.3">
      <c r="A10532" s="1" t="s">
        <v>4</v>
      </c>
      <c r="B10532" s="2" t="str">
        <f t="shared" si="923"/>
        <v>SISTEMA DE NUTRIÇÃO E DIETÉTICA</v>
      </c>
      <c r="C10532" s="2" t="str">
        <f t="shared" si="924"/>
        <v>APOIO</v>
      </c>
      <c r="D10532" s="2" t="str">
        <f t="shared" si="925"/>
        <v>PSND</v>
      </c>
      <c r="E10532" s="2" t="str">
        <f>"CADASTRO: ORIGEM X COPA"</f>
        <v>CADASTRO: ORIGEM X COPA</v>
      </c>
      <c r="F10532" s="2" t="str">
        <f>"M_ORIATE_COPA"</f>
        <v>M_ORIATE_COPA</v>
      </c>
      <c r="G10532" s="2" t="str">
        <f>"Serviços de Apoio / Nutrição e Dietética / Tabelas / Origem x Copas (Pacientes Ambulatoriais) (M_ORIATE_COPA)"</f>
        <v>Serviços de Apoio / Nutrição e Dietética / Tabelas / Origem x Copas (Pacientes Ambulatoriais) (M_ORIATE_COPA)</v>
      </c>
    </row>
    <row r="10533" spans="1:7" x14ac:dyDescent="0.3">
      <c r="A10533" s="1" t="s">
        <v>4</v>
      </c>
      <c r="B10533" s="2" t="str">
        <f t="shared" si="923"/>
        <v>SISTEMA DE NUTRIÇÃO E DIETÉTICA</v>
      </c>
      <c r="C10533" s="2" t="str">
        <f t="shared" si="924"/>
        <v>APOIO</v>
      </c>
      <c r="D10533" s="2" t="str">
        <f t="shared" si="925"/>
        <v>PSND</v>
      </c>
      <c r="E10533" s="2" t="str">
        <f>"MOVIMENTAÇÃO DO CARDÁPIO"</f>
        <v>MOVIMENTAÇÃO DO CARDÁPIO</v>
      </c>
      <c r="F10533" s="2" t="str">
        <f>"M_MOV_CARDAPIO_MULTIPLO"</f>
        <v>M_MOV_CARDAPIO_MULTIPLO</v>
      </c>
      <c r="G10533" s="2" t="str">
        <f>"Serviços de Apoio / Nutrição e Dietética / Movimentação / Solicitação de Refeições Avulsas (M_MOV_CARDAPIO_MULTIPLO)"</f>
        <v>Serviços de Apoio / Nutrição e Dietética / Movimentação / Solicitação de Refeições Avulsas (M_MOV_CARDAPIO_MULTIPLO)</v>
      </c>
    </row>
    <row r="10534" spans="1:7" x14ac:dyDescent="0.3">
      <c r="A10534" s="1" t="s">
        <v>4</v>
      </c>
      <c r="B10534" s="2" t="str">
        <f t="shared" si="923"/>
        <v>SISTEMA DE NUTRIÇÃO E DIETÉTICA</v>
      </c>
      <c r="C10534" s="2" t="str">
        <f t="shared" si="924"/>
        <v>APOIO</v>
      </c>
      <c r="D10534" s="2" t="str">
        <f t="shared" si="925"/>
        <v>PSND</v>
      </c>
      <c r="E10534" s="2" t="str">
        <f>"CENSO POR COPA"</f>
        <v>CENSO POR COPA</v>
      </c>
      <c r="F10534" s="2" t="str">
        <f>"R_INT_NUTRICAO_734"</f>
        <v>R_INT_NUTRICAO_734</v>
      </c>
      <c r="G10534" s="2" t="str">
        <f>" ()"</f>
        <v xml:space="preserve"> ()</v>
      </c>
    </row>
    <row r="10535" spans="1:7" x14ac:dyDescent="0.3">
      <c r="A10535" s="1" t="s">
        <v>4</v>
      </c>
      <c r="B10535" s="2" t="str">
        <f t="shared" si="923"/>
        <v>SISTEMA DE NUTRIÇÃO E DIETÉTICA</v>
      </c>
      <c r="C10535" s="2" t="str">
        <f t="shared" si="924"/>
        <v>APOIO</v>
      </c>
      <c r="D10535" s="2" t="str">
        <f t="shared" si="925"/>
        <v>PSND</v>
      </c>
      <c r="E10535" s="2" t="str">
        <f>"MAMADEIRA X UNIDADE DE INTERNAÇÃO"</f>
        <v>MAMADEIRA X UNIDADE DE INTERNAÇÃO</v>
      </c>
      <c r="F10535" s="2" t="str">
        <f>"R_MAMADEIRA_UNID_INT"</f>
        <v>R_MAMADEIRA_UNID_INT</v>
      </c>
      <c r="G10535" s="2" t="str">
        <f>"Serviços de Apoio / Nutrição e Dietética / Relatórios / Operacionais / Mamadeira x Unidade de Internação (R_MAMADEIRA_UNID_INT)"</f>
        <v>Serviços de Apoio / Nutrição e Dietética / Relatórios / Operacionais / Mamadeira x Unidade de Internação (R_MAMADEIRA_UNID_INT)</v>
      </c>
    </row>
    <row r="10536" spans="1:7" x14ac:dyDescent="0.3">
      <c r="A10536" s="1" t="s">
        <v>4</v>
      </c>
      <c r="B10536" s="2" t="str">
        <f t="shared" si="923"/>
        <v>SISTEMA DE NUTRIÇÃO E DIETÉTICA</v>
      </c>
      <c r="C10536" s="2" t="str">
        <f t="shared" si="924"/>
        <v>APOIO</v>
      </c>
      <c r="D10536" s="2" t="str">
        <f t="shared" si="925"/>
        <v>PSND</v>
      </c>
      <c r="E10536" s="2" t="str">
        <f>"WIN_PRINCIPAL - HOSPITAL MV SISTEMAS"</f>
        <v>WIN_PRINCIPAL - HOSPITAL MV SISTEMAS</v>
      </c>
      <c r="F10536" s="2" t="str">
        <f>"R_ETIQ_AVISO_PSND_734"</f>
        <v>R_ETIQ_AVISO_PSND_734</v>
      </c>
      <c r="G10536" s="2" t="str">
        <f>" ()"</f>
        <v xml:space="preserve"> ()</v>
      </c>
    </row>
    <row r="10537" spans="1:7" x14ac:dyDescent="0.3">
      <c r="A10537" s="1" t="s">
        <v>4</v>
      </c>
      <c r="B10537" s="2" t="str">
        <f t="shared" si="923"/>
        <v>SISTEMA DE NUTRIÇÃO E DIETÉTICA</v>
      </c>
      <c r="C10537" s="2" t="str">
        <f t="shared" si="924"/>
        <v>APOIO</v>
      </c>
      <c r="D10537" s="2" t="str">
        <f t="shared" si="925"/>
        <v>PSND</v>
      </c>
      <c r="E10537" s="2" t="str">
        <f>"M_EXCECAO_PRECO"</f>
        <v>M_EXCECAO_PRECO</v>
      </c>
      <c r="F10537" s="2" t="str">
        <f>"M_EXCECAO_PRECO"</f>
        <v>M_EXCECAO_PRECO</v>
      </c>
      <c r="G10537" s="2" t="str">
        <f>"Serviços de Apoio / Nutrição e Dietética / Tabelas / Exceção de Preços de Refeições por Tipo de Dieta (M_EXCECAO_PRECO)"</f>
        <v>Serviços de Apoio / Nutrição e Dietética / Tabelas / Exceção de Preços de Refeições por Tipo de Dieta (M_EXCECAO_PRECO)</v>
      </c>
    </row>
    <row r="10538" spans="1:7" x14ac:dyDescent="0.3">
      <c r="A10538" s="1" t="s">
        <v>4</v>
      </c>
      <c r="B10538" s="2" t="str">
        <f t="shared" si="923"/>
        <v>SISTEMA DE NUTRIÇÃO E DIETÉTICA</v>
      </c>
      <c r="C10538" s="2" t="str">
        <f t="shared" si="924"/>
        <v>APOIO</v>
      </c>
      <c r="D10538" s="2" t="str">
        <f t="shared" si="925"/>
        <v>PSND</v>
      </c>
      <c r="E10538" s="2" t="str">
        <f>"ETIQUETAS DE PACIENTES COM DIETA ENTERAL"</f>
        <v>ETIQUETAS DE PACIENTES COM DIETA ENTERAL</v>
      </c>
      <c r="F10538" s="2" t="str">
        <f>"R_ETIQ_DIETA_ENTERAL"</f>
        <v>R_ETIQ_DIETA_ENTERAL</v>
      </c>
      <c r="G10538" s="2" t="str">
        <f>"Serviços de Apoio / Nutrição e Dietética / Relatórios / Operacionais / Etiquetas de Pacientes com Dieta Enteral (R_ETIQ_DIETA_ENTERAL)"</f>
        <v>Serviços de Apoio / Nutrição e Dietética / Relatórios / Operacionais / Etiquetas de Pacientes com Dieta Enteral (R_ETIQ_DIETA_ENTERAL)</v>
      </c>
    </row>
    <row r="10539" spans="1:7" x14ac:dyDescent="0.3">
      <c r="A10539" s="1" t="s">
        <v>4</v>
      </c>
      <c r="B10539" s="2" t="str">
        <f t="shared" si="923"/>
        <v>SISTEMA DE NUTRIÇÃO E DIETÉTICA</v>
      </c>
      <c r="C10539" s="2" t="str">
        <f t="shared" si="924"/>
        <v>APOIO</v>
      </c>
      <c r="D10539" s="2" t="str">
        <f t="shared" si="925"/>
        <v>PSND</v>
      </c>
      <c r="E10539" s="2" t="str">
        <f>"RELAÇÃO DE PACIENTES COM DIETA ENTERAL"</f>
        <v>RELAÇÃO DE PACIENTES COM DIETA ENTERAL</v>
      </c>
      <c r="F10539" s="2" t="str">
        <f>"R_PAC_DIETA_ENTERAL"</f>
        <v>R_PAC_DIETA_ENTERAL</v>
      </c>
      <c r="G10539" s="2" t="str">
        <f>"Serviços de Apoio / Nutrição e Dietética / Relatórios / Operacionais / Relação de Pacientes com Dieta Enteral (R_PAC_DIETA_ENTERAL)"</f>
        <v>Serviços de Apoio / Nutrição e Dietética / Relatórios / Operacionais / Relação de Pacientes com Dieta Enteral (R_PAC_DIETA_ENTERAL)</v>
      </c>
    </row>
    <row r="10540" spans="1:7" x14ac:dyDescent="0.3">
      <c r="A10540" s="1" t="s">
        <v>4</v>
      </c>
      <c r="B10540" s="2" t="str">
        <f t="shared" si="923"/>
        <v>SISTEMA DE NUTRIÇÃO E DIETÉTICA</v>
      </c>
      <c r="C10540" s="2" t="str">
        <f t="shared" si="924"/>
        <v>APOIO</v>
      </c>
      <c r="D10540" s="2" t="str">
        <f t="shared" si="925"/>
        <v>PSND</v>
      </c>
      <c r="E10540" s="2" t="str">
        <f>"COMPROVANTE DE SOLICITAÇÃO DE REFEIÇÃO"</f>
        <v>COMPROVANTE DE SOLICITAÇÃO DE REFEIÇÃO</v>
      </c>
      <c r="F10540" s="2" t="str">
        <f>"R_COMPROVANTE_ACOMPANHANTE"</f>
        <v>R_COMPROVANTE_ACOMPANHANTE</v>
      </c>
      <c r="G10540" s="2" t="str">
        <f>"Serviços de Apoio / Nutrição e Dietética / Relatórios / Operacionais / Comprovante de Solicitação de Refeição (R_COMPROVANTE_ACOMPANHANTE)"</f>
        <v>Serviços de Apoio / Nutrição e Dietética / Relatórios / Operacionais / Comprovante de Solicitação de Refeição (R_COMPROVANTE_ACOMPANHANTE)</v>
      </c>
    </row>
    <row r="10541" spans="1:7" x14ac:dyDescent="0.3">
      <c r="A10541" s="1" t="s">
        <v>4</v>
      </c>
      <c r="B10541" s="2" t="str">
        <f t="shared" si="923"/>
        <v>SISTEMA DE NUTRIÇÃO E DIETÉTICA</v>
      </c>
      <c r="C10541" s="2" t="str">
        <f t="shared" si="924"/>
        <v>APOIO</v>
      </c>
      <c r="D10541" s="2" t="str">
        <f t="shared" si="925"/>
        <v>PSND</v>
      </c>
      <c r="E10541" s="2" t="str">
        <f>"RELAÇÃO DE DIETAS DE ACOMPANHANTES"</f>
        <v>RELAÇÃO DE DIETAS DE ACOMPANHANTES</v>
      </c>
      <c r="F10541" s="2" t="str">
        <f>"R_LISTA_DIETAS_ACOMPANHANTE"</f>
        <v>R_LISTA_DIETAS_ACOMPANHANTE</v>
      </c>
      <c r="G10541" s="2" t="str">
        <f>"Serviços de Apoio / Nutrição e Dietética / Relatórios / Operacionais / Relação de Dietas de Acompanhantes (R_LISTA_DIETAS_ACOMPANHANTE)"</f>
        <v>Serviços de Apoio / Nutrição e Dietética / Relatórios / Operacionais / Relação de Dietas de Acompanhantes (R_LISTA_DIETAS_ACOMPANHANTE)</v>
      </c>
    </row>
    <row r="10542" spans="1:7" x14ac:dyDescent="0.3">
      <c r="A10542" s="1" t="s">
        <v>4</v>
      </c>
      <c r="B10542" s="2" t="str">
        <f t="shared" si="923"/>
        <v>SISTEMA DE NUTRIÇÃO E DIETÉTICA</v>
      </c>
      <c r="C10542" s="2" t="str">
        <f t="shared" si="924"/>
        <v>APOIO</v>
      </c>
      <c r="D10542" s="2" t="str">
        <f t="shared" si="925"/>
        <v>PSND</v>
      </c>
      <c r="E10542" s="2" t="str">
        <f>"MAPA DE REFEIÇÕES - ACOMPANHANTES"</f>
        <v>MAPA DE REFEIÇÕES - ACOMPANHANTES</v>
      </c>
      <c r="F10542" s="2" t="str">
        <f>"R_MAPA_ACOMPANHANTE"</f>
        <v>R_MAPA_ACOMPANHANTE</v>
      </c>
      <c r="G10542" s="2" t="str">
        <f>"Serviços de Apoio / Nutrição e Dietética / Relatórios / Operacionais / Mapa de Acompanhantes (R_MAPA_ACOMPANHANTE)"</f>
        <v>Serviços de Apoio / Nutrição e Dietética / Relatórios / Operacionais / Mapa de Acompanhantes (R_MAPA_ACOMPANHANTE)</v>
      </c>
    </row>
    <row r="10543" spans="1:7" x14ac:dyDescent="0.3">
      <c r="A10543" s="1" t="s">
        <v>4</v>
      </c>
      <c r="B10543" s="2" t="str">
        <f t="shared" si="923"/>
        <v>SISTEMA DE NUTRIÇÃO E DIETÉTICA</v>
      </c>
      <c r="C10543" s="2" t="str">
        <f t="shared" si="924"/>
        <v>APOIO</v>
      </c>
      <c r="D10543" s="2" t="str">
        <f t="shared" si="925"/>
        <v>PSND</v>
      </c>
      <c r="E10543" s="2" t="str">
        <f>"ETIQUETAS DE MAMADEIRA"</f>
        <v>ETIQUETAS DE MAMADEIRA</v>
      </c>
      <c r="F10543" s="2" t="str">
        <f>"R_ETIQ_MAMADEIRA"</f>
        <v>R_ETIQ_MAMADEIRA</v>
      </c>
      <c r="G10543" s="2" t="str">
        <f>"Serviços de Apoio / Nutrição e Dietética / Relatórios / Operacionais / Etiquetas de Mamadeira (R_ETIQ_MAMADEIRA)"</f>
        <v>Serviços de Apoio / Nutrição e Dietética / Relatórios / Operacionais / Etiquetas de Mamadeira (R_ETIQ_MAMADEIRA)</v>
      </c>
    </row>
    <row r="10544" spans="1:7" x14ac:dyDescent="0.3">
      <c r="A10544" s="1" t="s">
        <v>4</v>
      </c>
      <c r="B10544" s="2" t="str">
        <f t="shared" si="923"/>
        <v>SISTEMA DE NUTRIÇÃO E DIETÉTICA</v>
      </c>
      <c r="C10544" s="2" t="str">
        <f t="shared" si="924"/>
        <v>APOIO</v>
      </c>
      <c r="D10544" s="2" t="str">
        <f t="shared" si="925"/>
        <v>PSND</v>
      </c>
      <c r="E10544" s="2" t="str">
        <f>"DIETAS GERADAS POR PERÍODO"</f>
        <v>DIETAS GERADAS POR PERÍODO</v>
      </c>
      <c r="F10544" s="2" t="str">
        <f>"R_DIETAS_GERADAS"</f>
        <v>R_DIETAS_GERADAS</v>
      </c>
      <c r="G10544" s="2" t="str">
        <f>"Serviços de Apoio / Nutrição e Dietética / Relatórios / Operacionais / Relação de Dietas Geradas por Período (R_DIETAS_GERADAS)"</f>
        <v>Serviços de Apoio / Nutrição e Dietética / Relatórios / Operacionais / Relação de Dietas Geradas por Período (R_DIETAS_GERADAS)</v>
      </c>
    </row>
    <row r="10545" spans="1:7" x14ac:dyDescent="0.3">
      <c r="A10545" s="1" t="s">
        <v>4</v>
      </c>
      <c r="B10545" s="2" t="str">
        <f t="shared" si="923"/>
        <v>SISTEMA DE NUTRIÇÃO E DIETÉTICA</v>
      </c>
      <c r="C10545" s="2" t="str">
        <f t="shared" si="924"/>
        <v>APOIO</v>
      </c>
      <c r="D10545" s="2" t="str">
        <f t="shared" si="925"/>
        <v>PSND</v>
      </c>
      <c r="E10545" s="2" t="str">
        <f>"DIETAS COM OBSERVAÇÕES DO LACTÁRIO"</f>
        <v>DIETAS COM OBSERVAÇÕES DO LACTÁRIO</v>
      </c>
      <c r="F10545" s="2" t="str">
        <f>"R_DIETA_OBS_LACTARIO"</f>
        <v>R_DIETA_OBS_LACTARIO</v>
      </c>
      <c r="G10545" s="2" t="str">
        <f>"Serviços de Apoio / Nutrição e Dietética / Relatórios / Operacionais / Dietas com Observações do Lactário (R_DIETA_OBS_LACTARIO)"</f>
        <v>Serviços de Apoio / Nutrição e Dietética / Relatórios / Operacionais / Dietas com Observações do Lactário (R_DIETA_OBS_LACTARIO)</v>
      </c>
    </row>
    <row r="10546" spans="1:7" x14ac:dyDescent="0.3">
      <c r="A10546" s="1" t="s">
        <v>4</v>
      </c>
      <c r="B10546" s="2" t="str">
        <f t="shared" si="923"/>
        <v>SISTEMA DE NUTRIÇÃO E DIETÉTICA</v>
      </c>
      <c r="C10546" s="2" t="str">
        <f t="shared" si="924"/>
        <v>APOIO</v>
      </c>
      <c r="D10546" s="2" t="str">
        <f t="shared" si="925"/>
        <v>PSND</v>
      </c>
      <c r="E10546" s="2" t="str">
        <f>"MAPA DE PRODUÇÃO DE MAMADEIRAS"</f>
        <v>MAPA DE PRODUÇÃO DE MAMADEIRAS</v>
      </c>
      <c r="F10546" s="2" t="str">
        <f>"R_MAPA_PROD_MAMADEIRA"</f>
        <v>R_MAPA_PROD_MAMADEIRA</v>
      </c>
      <c r="G10546" s="2" t="str">
        <f>"Serviços de Apoio / Nutrição e Dietética / Relatórios / Operacionais / Mapa de Produção de Mamadeiras (R_MAPA_PROD_MAMADEIRA)"</f>
        <v>Serviços de Apoio / Nutrição e Dietética / Relatórios / Operacionais / Mapa de Produção de Mamadeiras (R_MAPA_PROD_MAMADEIRA)</v>
      </c>
    </row>
    <row r="10547" spans="1:7" x14ac:dyDescent="0.3">
      <c r="A10547" s="1" t="s">
        <v>4</v>
      </c>
      <c r="B10547" s="2" t="str">
        <f t="shared" si="923"/>
        <v>SISTEMA DE NUTRIÇÃO E DIETÉTICA</v>
      </c>
      <c r="C10547" s="2" t="str">
        <f t="shared" si="924"/>
        <v>APOIO</v>
      </c>
      <c r="D10547" s="2" t="str">
        <f t="shared" si="925"/>
        <v>PSND</v>
      </c>
      <c r="E10547" s="2" t="str">
        <f>"CONSULTA MOVIMENTAÇÃO DO CARDAPIO"</f>
        <v>CONSULTA MOVIMENTAÇÃO DO CARDAPIO</v>
      </c>
      <c r="F10547" s="2" t="str">
        <f>"C_MOV_CARDAPIO_LACTARIO"</f>
        <v>C_MOV_CARDAPIO_LACTARIO</v>
      </c>
      <c r="G10547" s="2" t="str">
        <f>"Serviços de Apoio / Nutrição e Dietética / Consultas / Movimentação do Cardapio - Lactário (C_MOV_CARDAPIO_LACTARIO)"</f>
        <v>Serviços de Apoio / Nutrição e Dietética / Consultas / Movimentação do Cardapio - Lactário (C_MOV_CARDAPIO_LACTARIO)</v>
      </c>
    </row>
    <row r="10548" spans="1:7" x14ac:dyDescent="0.3">
      <c r="A10548" s="1" t="s">
        <v>4</v>
      </c>
      <c r="B10548" s="2" t="str">
        <f t="shared" si="923"/>
        <v>SISTEMA DE NUTRIÇÃO E DIETÉTICA</v>
      </c>
      <c r="C10548" s="2" t="str">
        <f t="shared" si="924"/>
        <v>APOIO</v>
      </c>
      <c r="D10548" s="2" t="str">
        <f t="shared" si="925"/>
        <v>PSND</v>
      </c>
      <c r="E10548" s="2" t="str">
        <f>"MAPA DE MAMADEIRAS"</f>
        <v>MAPA DE MAMADEIRAS</v>
      </c>
      <c r="F10548" s="2" t="str">
        <f>"R_MAPA_MAMADEIRA"</f>
        <v>R_MAPA_MAMADEIRA</v>
      </c>
      <c r="G10548" s="2" t="str">
        <f>"Serviços de Apoio / Nutrição e Dietética / Relatórios / Operacionais / Mapa de Mamadeiras (R_MAPA_MAMADEIRA)"</f>
        <v>Serviços de Apoio / Nutrição e Dietética / Relatórios / Operacionais / Mapa de Mamadeiras (R_MAPA_MAMADEIRA)</v>
      </c>
    </row>
    <row r="10549" spans="1:7" x14ac:dyDescent="0.3">
      <c r="A10549" s="1" t="s">
        <v>4</v>
      </c>
      <c r="B10549" s="2" t="str">
        <f t="shared" si="923"/>
        <v>SISTEMA DE NUTRIÇÃO E DIETÉTICA</v>
      </c>
      <c r="C10549" s="2" t="str">
        <f t="shared" si="924"/>
        <v>APOIO</v>
      </c>
      <c r="D10549" s="2" t="str">
        <f t="shared" si="925"/>
        <v>PSND</v>
      </c>
      <c r="E10549" s="2" t="str">
        <f>"M_FICHA_NUTRICAO.FMX"</f>
        <v>M_FICHA_NUTRICAO.FMX</v>
      </c>
      <c r="F10549" s="2" t="str">
        <f>"M_FICHA_NUTRICAO.FMX"</f>
        <v>M_FICHA_NUTRICAO.FMX</v>
      </c>
      <c r="G10549" s="2" t="str">
        <f t="shared" ref="G10549:G10557" si="926">" ()"</f>
        <v xml:space="preserve"> ()</v>
      </c>
    </row>
    <row r="10550" spans="1:7" x14ac:dyDescent="0.3">
      <c r="A10550" s="1" t="s">
        <v>4</v>
      </c>
      <c r="B10550" s="2" t="str">
        <f t="shared" si="923"/>
        <v>SISTEMA DE NUTRIÇÃO E DIETÉTICA</v>
      </c>
      <c r="C10550" s="2" t="str">
        <f t="shared" si="924"/>
        <v>APOIO</v>
      </c>
      <c r="D10550" s="2" t="str">
        <f t="shared" si="925"/>
        <v>PSND</v>
      </c>
      <c r="E10550" s="2" t="str">
        <f>"M_CONFIG_PSND.FMX"</f>
        <v>M_CONFIG_PSND.FMX</v>
      </c>
      <c r="F10550" s="2" t="str">
        <f>"M_CONFIG_PSND.FMX"</f>
        <v>M_CONFIG_PSND.FMX</v>
      </c>
      <c r="G10550" s="2" t="str">
        <f t="shared" si="926"/>
        <v xml:space="preserve"> ()</v>
      </c>
    </row>
    <row r="10551" spans="1:7" x14ac:dyDescent="0.3">
      <c r="A10551" s="1" t="s">
        <v>4</v>
      </c>
      <c r="B10551" s="2" t="str">
        <f t="shared" si="923"/>
        <v>SISTEMA DE NUTRIÇÃO E DIETÉTICA</v>
      </c>
      <c r="C10551" s="2" t="str">
        <f t="shared" si="924"/>
        <v>APOIO</v>
      </c>
      <c r="D10551" s="2" t="str">
        <f t="shared" si="925"/>
        <v>PSND</v>
      </c>
      <c r="E10551" s="2" t="str">
        <f>"M_MANIPULADOR.FMX"</f>
        <v>M_MANIPULADOR.FMX</v>
      </c>
      <c r="F10551" s="2" t="str">
        <f>"M_MANIPULADOR.FMX"</f>
        <v>M_MANIPULADOR.FMX</v>
      </c>
      <c r="G10551" s="2" t="str">
        <f t="shared" si="926"/>
        <v xml:space="preserve"> ()</v>
      </c>
    </row>
    <row r="10552" spans="1:7" x14ac:dyDescent="0.3">
      <c r="A10552" s="1" t="s">
        <v>4</v>
      </c>
      <c r="B10552" s="2" t="str">
        <f t="shared" si="923"/>
        <v>SISTEMA DE NUTRIÇÃO E DIETÉTICA</v>
      </c>
      <c r="C10552" s="2" t="str">
        <f t="shared" si="924"/>
        <v>APOIO</v>
      </c>
      <c r="D10552" s="2" t="str">
        <f t="shared" si="925"/>
        <v>PSND</v>
      </c>
      <c r="E10552" s="2" t="str">
        <f>"M_BICO_MAMADEIRA.FMX"</f>
        <v>M_BICO_MAMADEIRA.FMX</v>
      </c>
      <c r="F10552" s="2" t="str">
        <f>"M_BICO_MAMADEIRA.FMX"</f>
        <v>M_BICO_MAMADEIRA.FMX</v>
      </c>
      <c r="G10552" s="2" t="str">
        <f t="shared" si="926"/>
        <v xml:space="preserve"> ()</v>
      </c>
    </row>
    <row r="10553" spans="1:7" x14ac:dyDescent="0.3">
      <c r="A10553" s="1" t="s">
        <v>4</v>
      </c>
      <c r="B10553" s="2" t="str">
        <f t="shared" si="923"/>
        <v>SISTEMA DE NUTRIÇÃO E DIETÉTICA</v>
      </c>
      <c r="C10553" s="2" t="str">
        <f t="shared" si="924"/>
        <v>APOIO</v>
      </c>
      <c r="D10553" s="2" t="str">
        <f t="shared" si="925"/>
        <v>PSND</v>
      </c>
      <c r="E10553" s="2" t="str">
        <f>"R_DIETAS_GERADAS.FMX"</f>
        <v>R_DIETAS_GERADAS.FMX</v>
      </c>
      <c r="F10553" s="2" t="str">
        <f>"R_DIETAS_GERADAS.FMX"</f>
        <v>R_DIETAS_GERADAS.FMX</v>
      </c>
      <c r="G10553" s="2" t="str">
        <f t="shared" si="926"/>
        <v xml:space="preserve"> ()</v>
      </c>
    </row>
    <row r="10554" spans="1:7" x14ac:dyDescent="0.3">
      <c r="A10554" s="1" t="s">
        <v>4</v>
      </c>
      <c r="B10554" s="2" t="str">
        <f t="shared" si="923"/>
        <v>SISTEMA DE NUTRIÇÃO E DIETÉTICA</v>
      </c>
      <c r="C10554" s="2" t="str">
        <f t="shared" si="924"/>
        <v>APOIO</v>
      </c>
      <c r="D10554" s="2" t="str">
        <f t="shared" si="925"/>
        <v>PSND</v>
      </c>
      <c r="E10554" s="2" t="str">
        <f>"R_LISTA_DIETAS_ACOMPANHANTE.FMX"</f>
        <v>R_LISTA_DIETAS_ACOMPANHANTE.FMX</v>
      </c>
      <c r="F10554" s="2" t="str">
        <f>"R_LISTA_DIETAS_ACOMPANHANTE.FMX"</f>
        <v>R_LISTA_DIETAS_ACOMPANHANTE.FMX</v>
      </c>
      <c r="G10554" s="2" t="str">
        <f t="shared" si="926"/>
        <v xml:space="preserve"> ()</v>
      </c>
    </row>
    <row r="10555" spans="1:7" x14ac:dyDescent="0.3">
      <c r="A10555" s="1" t="s">
        <v>4</v>
      </c>
      <c r="B10555" s="2" t="str">
        <f t="shared" si="923"/>
        <v>SISTEMA DE NUTRIÇÃO E DIETÉTICA</v>
      </c>
      <c r="C10555" s="2" t="str">
        <f t="shared" si="924"/>
        <v>APOIO</v>
      </c>
      <c r="D10555" s="2" t="str">
        <f t="shared" si="925"/>
        <v>PSND</v>
      </c>
      <c r="E10555" s="2" t="str">
        <f>"R_ETIQ_ACOMPANHANTE.FMX"</f>
        <v>R_ETIQ_ACOMPANHANTE.FMX</v>
      </c>
      <c r="F10555" s="2" t="str">
        <f>"R_ETIQ_ACOMPANHANTE.FMX"</f>
        <v>R_ETIQ_ACOMPANHANTE.FMX</v>
      </c>
      <c r="G10555" s="2" t="str">
        <f t="shared" si="926"/>
        <v xml:space="preserve"> ()</v>
      </c>
    </row>
    <row r="10556" spans="1:7" x14ac:dyDescent="0.3">
      <c r="A10556" s="1" t="s">
        <v>4</v>
      </c>
      <c r="B10556" s="2" t="str">
        <f t="shared" si="923"/>
        <v>SISTEMA DE NUTRIÇÃO E DIETÉTICA</v>
      </c>
      <c r="C10556" s="2" t="str">
        <f t="shared" si="924"/>
        <v>APOIO</v>
      </c>
      <c r="D10556" s="2" t="str">
        <f t="shared" si="925"/>
        <v>PSND</v>
      </c>
      <c r="E10556" s="2" t="str">
        <f>"R_MAPA_ACOMPANHANTE.FMX"</f>
        <v>R_MAPA_ACOMPANHANTE.FMX</v>
      </c>
      <c r="F10556" s="2" t="str">
        <f>"R_MAPA_ACOMPANHANTE.FMX"</f>
        <v>R_MAPA_ACOMPANHANTE.FMX</v>
      </c>
      <c r="G10556" s="2" t="str">
        <f t="shared" si="926"/>
        <v xml:space="preserve"> ()</v>
      </c>
    </row>
    <row r="10557" spans="1:7" x14ac:dyDescent="0.3">
      <c r="A10557" s="1" t="s">
        <v>4</v>
      </c>
      <c r="B10557" s="2" t="str">
        <f t="shared" si="923"/>
        <v>SISTEMA DE NUTRIÇÃO E DIETÉTICA</v>
      </c>
      <c r="C10557" s="2" t="str">
        <f t="shared" si="924"/>
        <v>APOIO</v>
      </c>
      <c r="D10557" s="2" t="str">
        <f t="shared" si="925"/>
        <v>PSND</v>
      </c>
      <c r="E10557" s="2" t="str">
        <f>"R_DIETA_OBS_LACTARIO.FMX"</f>
        <v>R_DIETA_OBS_LACTARIO.FMX</v>
      </c>
      <c r="F10557" s="2" t="str">
        <f>"R_DIETA_OBS_LACTARIO.FMX"</f>
        <v>R_DIETA_OBS_LACTARIO.FMX</v>
      </c>
      <c r="G10557" s="2" t="str">
        <f t="shared" si="926"/>
        <v xml:space="preserve"> ()</v>
      </c>
    </row>
    <row r="10558" spans="1:7" x14ac:dyDescent="0.3">
      <c r="A10558" s="1" t="s">
        <v>4</v>
      </c>
      <c r="B10558" s="2" t="str">
        <f t="shared" si="923"/>
        <v>SISTEMA DE NUTRIÇÃO E DIETÉTICA</v>
      </c>
      <c r="C10558" s="2" t="str">
        <f t="shared" si="924"/>
        <v>APOIO</v>
      </c>
      <c r="D10558" s="2" t="str">
        <f t="shared" si="925"/>
        <v>PSND</v>
      </c>
      <c r="E10558" s="2" t="str">
        <f>"ETIQUETA DE REFEIÇÃO PARA ACOMPANHANTES"</f>
        <v>ETIQUETA DE REFEIÇÃO PARA ACOMPANHANTES</v>
      </c>
      <c r="F10558" s="2" t="str">
        <f>"R_ETIQ_ACOMPANHANTE"</f>
        <v>R_ETIQ_ACOMPANHANTE</v>
      </c>
      <c r="G10558" s="2" t="str">
        <f>"Serviços de Apoio / Nutrição e Dietética / Relatórios / Operacionais / Etiquetas de Acompanhantes (R_ETIQ_ACOMPANHANTE)"</f>
        <v>Serviços de Apoio / Nutrição e Dietética / Relatórios / Operacionais / Etiquetas de Acompanhantes (R_ETIQ_ACOMPANHANTE)</v>
      </c>
    </row>
    <row r="10559" spans="1:7" x14ac:dyDescent="0.3">
      <c r="A10559" s="1" t="s">
        <v>4</v>
      </c>
      <c r="B10559" s="2" t="str">
        <f t="shared" si="923"/>
        <v>SISTEMA DE NUTRIÇÃO E DIETÉTICA</v>
      </c>
      <c r="C10559" s="2" t="str">
        <f t="shared" si="924"/>
        <v>APOIO</v>
      </c>
      <c r="D10559" s="2" t="str">
        <f t="shared" si="925"/>
        <v>PSND</v>
      </c>
      <c r="E10559" s="2" t="str">
        <f>"R_MAPA_PROD_MAMADEIRA.FMX"</f>
        <v>R_MAPA_PROD_MAMADEIRA.FMX</v>
      </c>
      <c r="F10559" s="2" t="str">
        <f>"R_MAPA_PROD_MAMADEIRA.FMX"</f>
        <v>R_MAPA_PROD_MAMADEIRA.FMX</v>
      </c>
      <c r="G10559" s="2" t="str">
        <f>" ()"</f>
        <v xml:space="preserve"> ()</v>
      </c>
    </row>
    <row r="10560" spans="1:7" x14ac:dyDescent="0.3">
      <c r="A10560" s="1" t="s">
        <v>4</v>
      </c>
      <c r="B10560" s="2" t="str">
        <f t="shared" si="923"/>
        <v>SISTEMA DE NUTRIÇÃO E DIETÉTICA</v>
      </c>
      <c r="C10560" s="2" t="str">
        <f t="shared" si="924"/>
        <v>APOIO</v>
      </c>
      <c r="D10560" s="2" t="str">
        <f t="shared" si="925"/>
        <v>PSND</v>
      </c>
      <c r="E10560" s="2" t="str">
        <f>"R_MAPA_MAMADEIRA.FMX"</f>
        <v>R_MAPA_MAMADEIRA.FMX</v>
      </c>
      <c r="F10560" s="2" t="str">
        <f>"R_MAPA_MAMADEIRA.FMX"</f>
        <v>R_MAPA_MAMADEIRA.FMX</v>
      </c>
      <c r="G10560" s="2" t="str">
        <f>" ()"</f>
        <v xml:space="preserve"> ()</v>
      </c>
    </row>
    <row r="10561" spans="1:7" x14ac:dyDescent="0.3">
      <c r="A10561" s="1" t="s">
        <v>4</v>
      </c>
      <c r="B10561" s="2" t="str">
        <f t="shared" si="923"/>
        <v>SISTEMA DE NUTRIÇÃO E DIETÉTICA</v>
      </c>
      <c r="C10561" s="2" t="str">
        <f t="shared" si="924"/>
        <v>APOIO</v>
      </c>
      <c r="D10561" s="2" t="str">
        <f t="shared" si="925"/>
        <v>PSND</v>
      </c>
      <c r="E10561" s="2" t="str">
        <f>"MOVIMENTAÇÃO DO CARDÁPIO - LACTÁRIO"</f>
        <v>MOVIMENTAÇÃO DO CARDÁPIO - LACTÁRIO</v>
      </c>
      <c r="F10561" s="2" t="str">
        <f>"M_MOV_CARDAPIO_LACTARIO"</f>
        <v>M_MOV_CARDAPIO_LACTARIO</v>
      </c>
      <c r="G10561" s="2" t="str">
        <f>"Serviços de Apoio / Nutrição e Dietética / Movimentação / Cardápios do Lactário (M_MOV_CARDAPIO_LACTARIO)"</f>
        <v>Serviços de Apoio / Nutrição e Dietética / Movimentação / Cardápios do Lactário (M_MOV_CARDAPIO_LACTARIO)</v>
      </c>
    </row>
    <row r="10562" spans="1:7" x14ac:dyDescent="0.3">
      <c r="A10562" s="1" t="s">
        <v>4</v>
      </c>
      <c r="B10562" s="2" t="str">
        <f t="shared" si="923"/>
        <v>SISTEMA DE NUTRIÇÃO E DIETÉTICA</v>
      </c>
      <c r="C10562" s="2" t="str">
        <f t="shared" si="924"/>
        <v>APOIO</v>
      </c>
      <c r="D10562" s="2" t="str">
        <f t="shared" si="925"/>
        <v>PSND</v>
      </c>
      <c r="E10562" s="2" t="str">
        <f>"CADASTRO: STATUS DA REFEICAO"</f>
        <v>CADASTRO: STATUS DA REFEICAO</v>
      </c>
      <c r="F10562" s="2" t="str">
        <f>"C_STATUS_LACTARIO"</f>
        <v>C_STATUS_LACTARIO</v>
      </c>
      <c r="G10562" s="2" t="str">
        <f>"Serviços de Apoio / Nutrição e Dietética / Consultas / Status da Refeição - Lactário (C_STATUS_LACTARIO)"</f>
        <v>Serviços de Apoio / Nutrição e Dietética / Consultas / Status da Refeição - Lactário (C_STATUS_LACTARIO)</v>
      </c>
    </row>
    <row r="10563" spans="1:7" x14ac:dyDescent="0.3">
      <c r="A10563" s="1" t="s">
        <v>4</v>
      </c>
      <c r="B10563" s="2" t="str">
        <f t="shared" si="923"/>
        <v>SISTEMA DE NUTRIÇÃO E DIETÉTICA</v>
      </c>
      <c r="C10563" s="2" t="str">
        <f t="shared" si="924"/>
        <v>APOIO</v>
      </c>
      <c r="D10563" s="2" t="str">
        <f t="shared" si="925"/>
        <v>PSND</v>
      </c>
      <c r="E10563" s="2" t="str">
        <f>"CADASTRO: MANIPULADORES DE MAMADEIRA"</f>
        <v>CADASTRO: MANIPULADORES DE MAMADEIRA</v>
      </c>
      <c r="F10563" s="2" t="str">
        <f>"M_MANIPULADOR"</f>
        <v>M_MANIPULADOR</v>
      </c>
      <c r="G10563" s="2" t="str">
        <f>"Serviços de Apoio / Nutrição e Dietética / Tabelas / Manipuladores de Mamadeira (M_MANIPULADOR)"</f>
        <v>Serviços de Apoio / Nutrição e Dietética / Tabelas / Manipuladores de Mamadeira (M_MANIPULADOR)</v>
      </c>
    </row>
    <row r="10564" spans="1:7" x14ac:dyDescent="0.3">
      <c r="A10564" s="1" t="s">
        <v>4</v>
      </c>
      <c r="B10564" s="2" t="str">
        <f t="shared" si="923"/>
        <v>SISTEMA DE NUTRIÇÃO E DIETÉTICA</v>
      </c>
      <c r="C10564" s="2" t="str">
        <f t="shared" si="924"/>
        <v>APOIO</v>
      </c>
      <c r="D10564" s="2" t="str">
        <f t="shared" si="925"/>
        <v>PSND</v>
      </c>
      <c r="E10564" s="2" t="str">
        <f>"BICOS DE MAMADEIRA"</f>
        <v>BICOS DE MAMADEIRA</v>
      </c>
      <c r="F10564" s="2" t="str">
        <f>"M_BICO_MAMADEIRA"</f>
        <v>M_BICO_MAMADEIRA</v>
      </c>
      <c r="G10564" s="2" t="str">
        <f>"Serviços de Apoio / Nutrição e Dietética / Tabelas / Bico de Mamadeira (M_BICO_MAMADEIRA)"</f>
        <v>Serviços de Apoio / Nutrição e Dietética / Tabelas / Bico de Mamadeira (M_BICO_MAMADEIRA)</v>
      </c>
    </row>
    <row r="10565" spans="1:7" x14ac:dyDescent="0.3">
      <c r="A10565" s="1" t="s">
        <v>4</v>
      </c>
      <c r="B10565" s="2" t="str">
        <f t="shared" si="923"/>
        <v>SISTEMA DE NUTRIÇÃO E DIETÉTICA</v>
      </c>
      <c r="C10565" s="2" t="str">
        <f t="shared" si="924"/>
        <v>APOIO</v>
      </c>
      <c r="D10565" s="2" t="str">
        <f t="shared" si="925"/>
        <v>PSND</v>
      </c>
      <c r="E10565" s="2" t="str">
        <f>"STATUS DA REFEIÇÃO - LACTÁRIO"</f>
        <v>STATUS DA REFEIÇÃO - LACTÁRIO</v>
      </c>
      <c r="F10565" s="2" t="str">
        <f>"M_STATUS_LACTARIO"</f>
        <v>M_STATUS_LACTARIO</v>
      </c>
      <c r="G10565" s="2" t="str">
        <f>"Serviços de Apoio / Nutrição e Dietética / Movimentação / Status do Lactário (M_STATUS_LACTARIO)"</f>
        <v>Serviços de Apoio / Nutrição e Dietética / Movimentação / Status do Lactário (M_STATUS_LACTARIO)</v>
      </c>
    </row>
    <row r="10566" spans="1:7" x14ac:dyDescent="0.3">
      <c r="A10566" s="1" t="s">
        <v>4</v>
      </c>
      <c r="B10566" s="2" t="str">
        <f t="shared" si="923"/>
        <v>SISTEMA DE NUTRIÇÃO E DIETÉTICA</v>
      </c>
      <c r="C10566" s="2" t="str">
        <f t="shared" si="924"/>
        <v>APOIO</v>
      </c>
      <c r="D10566" s="2" t="str">
        <f t="shared" si="925"/>
        <v>PSND</v>
      </c>
      <c r="E10566" s="2" t="str">
        <f>"MOVIMENTAÇÃO DO CARDÁPIO"</f>
        <v>MOVIMENTAÇÃO DO CARDÁPIO</v>
      </c>
      <c r="F10566" s="2" t="str">
        <f>"M_FICHA_NUTRICAO"</f>
        <v>M_FICHA_NUTRICAO</v>
      </c>
      <c r="G10566" s="2" t="str">
        <f>"Serviços de Apoio / Nutrição e Dietética / Movimentação / Ficha Nutricional de Pacientes (M_FICHA_NUTRICAO)"</f>
        <v>Serviços de Apoio / Nutrição e Dietética / Movimentação / Ficha Nutricional de Pacientes (M_FICHA_NUTRICAO)</v>
      </c>
    </row>
    <row r="10567" spans="1:7" x14ac:dyDescent="0.3">
      <c r="A10567" s="1" t="s">
        <v>4</v>
      </c>
      <c r="B10567" s="2" t="str">
        <f t="shared" si="923"/>
        <v>SISTEMA DE NUTRIÇÃO E DIETÉTICA</v>
      </c>
      <c r="C10567" s="2" t="str">
        <f t="shared" si="924"/>
        <v>APOIO</v>
      </c>
      <c r="D10567" s="2" t="str">
        <f t="shared" si="925"/>
        <v>PSND</v>
      </c>
      <c r="E10567" s="2" t="str">
        <f>"MOVIMENTAÇÃO DO CARDÁPIO"</f>
        <v>MOVIMENTAÇÃO DO CARDÁPIO</v>
      </c>
      <c r="F10567" s="2" t="str">
        <f>"M_MOV_CARDAPIO_AUT"</f>
        <v>M_MOV_CARDAPIO_AUT</v>
      </c>
      <c r="G10567" s="2" t="str">
        <f>"Serviços de Apoio / Nutrição e Dietética / Configuração / Movimentação Automática de Cardápio (M_MOV_CARDAPIO_AUT)"</f>
        <v>Serviços de Apoio / Nutrição e Dietética / Configuração / Movimentação Automática de Cardápio (M_MOV_CARDAPIO_AUT)</v>
      </c>
    </row>
    <row r="10568" spans="1:7" x14ac:dyDescent="0.3">
      <c r="A10568" s="1" t="s">
        <v>4</v>
      </c>
      <c r="B10568" s="2" t="str">
        <f t="shared" si="923"/>
        <v>SISTEMA DE NUTRIÇÃO E DIETÉTICA</v>
      </c>
      <c r="C10568" s="2" t="str">
        <f t="shared" si="924"/>
        <v>APOIO</v>
      </c>
      <c r="D10568" s="2" t="str">
        <f t="shared" si="925"/>
        <v>PSND</v>
      </c>
      <c r="E10568" s="2" t="str">
        <f>"MAPA DE REFEIÇÕES"</f>
        <v>MAPA DE REFEIÇÕES</v>
      </c>
      <c r="F10568" s="2" t="str">
        <f>"R_MAPA_TIPO_COMENSAL"</f>
        <v>R_MAPA_TIPO_COMENSAL</v>
      </c>
      <c r="G10568" s="2" t="str">
        <f>"Serviços de Apoio / Nutrição e Dietética / Relatórios / Estatístico / Mapa de Refeições por Tipo de Comensal (R_MAPA_TIPO_COMENSAL)"</f>
        <v>Serviços de Apoio / Nutrição e Dietética / Relatórios / Estatístico / Mapa de Refeições por Tipo de Comensal (R_MAPA_TIPO_COMENSAL)</v>
      </c>
    </row>
    <row r="10569" spans="1:7" x14ac:dyDescent="0.3">
      <c r="A10569" s="1" t="s">
        <v>4</v>
      </c>
      <c r="B10569" s="2" t="str">
        <f t="shared" si="923"/>
        <v>SISTEMA DE NUTRIÇÃO E DIETÉTICA</v>
      </c>
      <c r="C10569" s="2" t="str">
        <f t="shared" si="924"/>
        <v>APOIO</v>
      </c>
      <c r="D10569" s="2" t="str">
        <f t="shared" si="925"/>
        <v>PSND</v>
      </c>
      <c r="E10569" s="2" t="str">
        <f>"MAPA DE REFEIÇÕES"</f>
        <v>MAPA DE REFEIÇÕES</v>
      </c>
      <c r="F10569" s="2" t="str">
        <f>"R_MAPA_REF_DESTINO"</f>
        <v>R_MAPA_REF_DESTINO</v>
      </c>
      <c r="G10569" s="2" t="str">
        <f>"Serviços de Apoio / Nutrição e Dietética / Relatórios / Estatístico / Mapa de Refeições por Destino (R_MAPA_REF_DESTINO)"</f>
        <v>Serviços de Apoio / Nutrição e Dietética / Relatórios / Estatístico / Mapa de Refeições por Destino (R_MAPA_REF_DESTINO)</v>
      </c>
    </row>
    <row r="10570" spans="1:7" x14ac:dyDescent="0.3">
      <c r="A10570" s="1" t="s">
        <v>4</v>
      </c>
      <c r="B10570" s="2" t="str">
        <f t="shared" si="923"/>
        <v>SISTEMA DE NUTRIÇÃO E DIETÉTICA</v>
      </c>
      <c r="C10570" s="2" t="str">
        <f t="shared" si="924"/>
        <v>APOIO</v>
      </c>
      <c r="D10570" s="2" t="str">
        <f t="shared" si="925"/>
        <v>PSND</v>
      </c>
      <c r="E10570" s="2" t="str">
        <f>"R_MAPA_REF_DESTINO_SINT"</f>
        <v>R_MAPA_REF_DESTINO_SINT</v>
      </c>
      <c r="F10570" s="2" t="str">
        <f>"R_MAPA_REF_DESTINO_SINT"</f>
        <v>R_MAPA_REF_DESTINO_SINT</v>
      </c>
      <c r="G10570" s="2" t="str">
        <f t="shared" ref="G10570:G10602" si="927">" ()"</f>
        <v xml:space="preserve"> ()</v>
      </c>
    </row>
    <row r="10571" spans="1:7" x14ac:dyDescent="0.3">
      <c r="A10571" s="1" t="s">
        <v>4</v>
      </c>
      <c r="B10571" s="2" t="str">
        <f t="shared" si="923"/>
        <v>SISTEMA DE NUTRIÇÃO E DIETÉTICA</v>
      </c>
      <c r="C10571" s="2" t="str">
        <f t="shared" si="924"/>
        <v>APOIO</v>
      </c>
      <c r="D10571" s="2" t="str">
        <f t="shared" si="925"/>
        <v>PSND</v>
      </c>
      <c r="E10571" s="2" t="str">
        <f>"CADASTRO: STATUS DA REFEICAO"</f>
        <v>CADASTRO: STATUS DA REFEICAO</v>
      </c>
      <c r="F10571" s="2" t="str">
        <f>"M_STATUS_REFEICAO"</f>
        <v>M_STATUS_REFEICAO</v>
      </c>
      <c r="G10571" s="2" t="str">
        <f t="shared" si="927"/>
        <v xml:space="preserve"> ()</v>
      </c>
    </row>
    <row r="10572" spans="1:7" x14ac:dyDescent="0.3">
      <c r="A10572" s="1" t="s">
        <v>4</v>
      </c>
      <c r="B10572" s="2" t="str">
        <f t="shared" si="923"/>
        <v>SISTEMA DE NUTRIÇÃO E DIETÉTICA</v>
      </c>
      <c r="C10572" s="2" t="str">
        <f t="shared" si="924"/>
        <v>APOIO</v>
      </c>
      <c r="D10572" s="2" t="str">
        <f t="shared" si="925"/>
        <v>PSND</v>
      </c>
      <c r="E10572" s="2" t="str">
        <f>"M_MOV_CARDAPIO_LACTARIO.FMX"</f>
        <v>M_MOV_CARDAPIO_LACTARIO.FMX</v>
      </c>
      <c r="F10572" s="2" t="str">
        <f>"M_MOV_CARDAPIO_LACTARIO.FMX"</f>
        <v>M_MOV_CARDAPIO_LACTARIO.FMX</v>
      </c>
      <c r="G10572" s="2" t="str">
        <f t="shared" si="927"/>
        <v xml:space="preserve"> ()</v>
      </c>
    </row>
    <row r="10573" spans="1:7" x14ac:dyDescent="0.3">
      <c r="A10573" s="1" t="s">
        <v>4</v>
      </c>
      <c r="B10573" s="2" t="str">
        <f t="shared" si="923"/>
        <v>SISTEMA DE NUTRIÇÃO E DIETÉTICA</v>
      </c>
      <c r="C10573" s="2" t="str">
        <f t="shared" si="924"/>
        <v>APOIO</v>
      </c>
      <c r="D10573" s="2" t="str">
        <f t="shared" si="925"/>
        <v>PSND</v>
      </c>
      <c r="E10573" s="2" t="str">
        <f>"MAPA DE REFEIÇÕES POR DESTINO"</f>
        <v>MAPA DE REFEIÇÕES POR DESTINO</v>
      </c>
      <c r="F10573" s="2" t="str">
        <f>"R_MAPA_REF_DESTINO.RDF"</f>
        <v>R_MAPA_REF_DESTINO.RDF</v>
      </c>
      <c r="G10573" s="2" t="str">
        <f t="shared" si="927"/>
        <v xml:space="preserve"> ()</v>
      </c>
    </row>
    <row r="10574" spans="1:7" x14ac:dyDescent="0.3">
      <c r="A10574" s="1" t="s">
        <v>4</v>
      </c>
      <c r="B10574" s="2" t="str">
        <f t="shared" si="923"/>
        <v>SISTEMA DE NUTRIÇÃO E DIETÉTICA</v>
      </c>
      <c r="C10574" s="2" t="str">
        <f t="shared" si="924"/>
        <v>APOIO</v>
      </c>
      <c r="D10574" s="2" t="str">
        <f t="shared" si="925"/>
        <v>PSND</v>
      </c>
      <c r="E10574" s="2" t="str">
        <f>"ESTATÍSTICO DE REFEIÇÕES POR DESTINO"</f>
        <v>ESTATÍSTICO DE REFEIÇÕES POR DESTINO</v>
      </c>
      <c r="F10574" s="2" t="str">
        <f>"R_EST_REF_DESTINO_SINT"</f>
        <v>R_EST_REF_DESTINO_SINT</v>
      </c>
      <c r="G10574" s="2" t="str">
        <f t="shared" si="927"/>
        <v xml:space="preserve"> ()</v>
      </c>
    </row>
    <row r="10575" spans="1:7" x14ac:dyDescent="0.3">
      <c r="A10575" s="1" t="s">
        <v>4</v>
      </c>
      <c r="B10575" s="2" t="str">
        <f t="shared" si="923"/>
        <v>SISTEMA DE NUTRIÇÃO E DIETÉTICA</v>
      </c>
      <c r="C10575" s="2" t="str">
        <f t="shared" si="924"/>
        <v>APOIO</v>
      </c>
      <c r="D10575" s="2" t="str">
        <f t="shared" si="925"/>
        <v>PSND</v>
      </c>
      <c r="E10575" s="2" t="str">
        <f>"LISTAGEM DO DIA - SINTÉTICO"</f>
        <v>LISTAGEM DO DIA - SINTÉTICO</v>
      </c>
      <c r="F10575" s="2" t="str">
        <f>"R_LISTAGEM_DIA_SINT"</f>
        <v>R_LISTAGEM_DIA_SINT</v>
      </c>
      <c r="G10575" s="2" t="str">
        <f t="shared" si="927"/>
        <v xml:space="preserve"> ()</v>
      </c>
    </row>
    <row r="10576" spans="1:7" x14ac:dyDescent="0.3">
      <c r="A10576" s="1" t="s">
        <v>4</v>
      </c>
      <c r="B10576" s="2" t="str">
        <f t="shared" si="923"/>
        <v>SISTEMA DE NUTRIÇÃO E DIETÉTICA</v>
      </c>
      <c r="C10576" s="2" t="str">
        <f t="shared" si="924"/>
        <v>APOIO</v>
      </c>
      <c r="D10576" s="2" t="str">
        <f t="shared" si="925"/>
        <v>PSND</v>
      </c>
      <c r="E10576" s="2" t="str">
        <f>"MAPA DE MAMADEIRAS"</f>
        <v>MAPA DE MAMADEIRAS</v>
      </c>
      <c r="F10576" s="2" t="str">
        <f>"R_MAPA_MAMADEIRA.RDF"</f>
        <v>R_MAPA_MAMADEIRA.RDF</v>
      </c>
      <c r="G10576" s="2" t="str">
        <f t="shared" si="927"/>
        <v xml:space="preserve"> ()</v>
      </c>
    </row>
    <row r="10577" spans="1:7" x14ac:dyDescent="0.3">
      <c r="A10577" s="1" t="s">
        <v>4</v>
      </c>
      <c r="B10577" s="2" t="str">
        <f t="shared" si="923"/>
        <v>SISTEMA DE NUTRIÇÃO E DIETÉTICA</v>
      </c>
      <c r="C10577" s="2" t="str">
        <f t="shared" si="924"/>
        <v>APOIO</v>
      </c>
      <c r="D10577" s="2" t="str">
        <f t="shared" si="925"/>
        <v>PSND</v>
      </c>
      <c r="E10577" s="2" t="str">
        <f>"TIPO DE DIETA"</f>
        <v>TIPO DE DIETA</v>
      </c>
      <c r="F10577" s="2" t="str">
        <f>"M_TIPO_DIETA.RDF"</f>
        <v>M_TIPO_DIETA.RDF</v>
      </c>
      <c r="G10577" s="2" t="str">
        <f t="shared" si="927"/>
        <v xml:space="preserve"> ()</v>
      </c>
    </row>
    <row r="10578" spans="1:7" x14ac:dyDescent="0.3">
      <c r="A10578" s="1" t="s">
        <v>4</v>
      </c>
      <c r="B10578" s="2" t="str">
        <f t="shared" si="923"/>
        <v>SISTEMA DE NUTRIÇÃO E DIETÉTICA</v>
      </c>
      <c r="C10578" s="2" t="str">
        <f t="shared" si="924"/>
        <v>APOIO</v>
      </c>
      <c r="D10578" s="2" t="str">
        <f t="shared" si="925"/>
        <v>PSND</v>
      </c>
      <c r="E10578" s="2" t="str">
        <f>"REFEIÇÕES POR TIPO DE COMENSAL"</f>
        <v>REFEIÇÕES POR TIPO DE COMENSAL</v>
      </c>
      <c r="F10578" s="2" t="str">
        <f>"R_MAPA_TIPO_COMENSAL.RDF"</f>
        <v>R_MAPA_TIPO_COMENSAL.RDF</v>
      </c>
      <c r="G10578" s="2" t="str">
        <f t="shared" si="927"/>
        <v xml:space="preserve"> ()</v>
      </c>
    </row>
    <row r="10579" spans="1:7" x14ac:dyDescent="0.3">
      <c r="A10579" s="1" t="s">
        <v>4</v>
      </c>
      <c r="B10579" s="2" t="str">
        <f t="shared" si="923"/>
        <v>SISTEMA DE NUTRIÇÃO E DIETÉTICA</v>
      </c>
      <c r="C10579" s="2" t="str">
        <f t="shared" si="924"/>
        <v>APOIO</v>
      </c>
      <c r="D10579" s="2" t="str">
        <f t="shared" si="925"/>
        <v>PSND</v>
      </c>
      <c r="E10579" s="2" t="str">
        <f>"MAPA DE PRODUÇÃO DE MAMADEIRAS"</f>
        <v>MAPA DE PRODUÇÃO DE MAMADEIRAS</v>
      </c>
      <c r="F10579" s="2" t="str">
        <f>"R_MAPA_PROD_MAMADEIRA.RDF"</f>
        <v>R_MAPA_PROD_MAMADEIRA.RDF</v>
      </c>
      <c r="G10579" s="2" t="str">
        <f t="shared" si="927"/>
        <v xml:space="preserve"> ()</v>
      </c>
    </row>
    <row r="10580" spans="1:7" x14ac:dyDescent="0.3">
      <c r="A10580" s="1" t="s">
        <v>4</v>
      </c>
      <c r="B10580" s="2" t="str">
        <f t="shared" si="923"/>
        <v>SISTEMA DE NUTRIÇÃO E DIETÉTICA</v>
      </c>
      <c r="C10580" s="2" t="str">
        <f t="shared" si="924"/>
        <v>APOIO</v>
      </c>
      <c r="D10580" s="2" t="str">
        <f t="shared" si="925"/>
        <v>PSND</v>
      </c>
      <c r="E10580" s="2" t="str">
        <f>"PERFIL PER CAPTA"</f>
        <v>PERFIL PER CAPTA</v>
      </c>
      <c r="F10580" s="2" t="str">
        <f>"R_CAPTA_REF_SINT"</f>
        <v>R_CAPTA_REF_SINT</v>
      </c>
      <c r="G10580" s="2" t="str">
        <f t="shared" si="927"/>
        <v xml:space="preserve"> ()</v>
      </c>
    </row>
    <row r="10581" spans="1:7" x14ac:dyDescent="0.3">
      <c r="A10581" s="1" t="s">
        <v>4</v>
      </c>
      <c r="B10581" s="2" t="str">
        <f t="shared" si="923"/>
        <v>SISTEMA DE NUTRIÇÃO E DIETÉTICA</v>
      </c>
      <c r="C10581" s="2" t="str">
        <f t="shared" si="924"/>
        <v>APOIO</v>
      </c>
      <c r="D10581" s="2" t="str">
        <f t="shared" si="925"/>
        <v>PSND</v>
      </c>
      <c r="E10581" s="2" t="str">
        <f>"MOVIMENTAÇÃO DE CARDÁPIO"</f>
        <v>MOVIMENTAÇÃO DE CARDÁPIO</v>
      </c>
      <c r="F10581" s="2" t="str">
        <f>"R_MOV_CARDAPIO_PROD.RDF"</f>
        <v>R_MOV_CARDAPIO_PROD.RDF</v>
      </c>
      <c r="G10581" s="2" t="str">
        <f t="shared" si="927"/>
        <v xml:space="preserve"> ()</v>
      </c>
    </row>
    <row r="10582" spans="1:7" x14ac:dyDescent="0.3">
      <c r="A10582" s="1" t="s">
        <v>4</v>
      </c>
      <c r="B10582" s="2" t="str">
        <f t="shared" ref="B10582:B10601" si="928">"SISTEMA DE NUTRIÇÃO E DIETÉTICA"</f>
        <v>SISTEMA DE NUTRIÇÃO E DIETÉTICA</v>
      </c>
      <c r="C10582" s="2" t="str">
        <f t="shared" ref="C10582:C10601" si="929">"APOIO"</f>
        <v>APOIO</v>
      </c>
      <c r="D10582" s="2" t="str">
        <f t="shared" ref="D10582:D10601" si="930">"PSND"</f>
        <v>PSND</v>
      </c>
      <c r="E10582" s="2" t="str">
        <f>"ETIQUETAS DE NUTRIÇÃO"</f>
        <v>ETIQUETAS DE NUTRIÇÃO</v>
      </c>
      <c r="F10582" s="2" t="str">
        <f>"R_ETIQ_NUTRICAO.RDF"</f>
        <v>R_ETIQ_NUTRICAO.RDF</v>
      </c>
      <c r="G10582" s="2" t="str">
        <f t="shared" si="927"/>
        <v xml:space="preserve"> ()</v>
      </c>
    </row>
    <row r="10583" spans="1:7" x14ac:dyDescent="0.3">
      <c r="A10583" s="1" t="s">
        <v>4</v>
      </c>
      <c r="B10583" s="2" t="str">
        <f t="shared" si="928"/>
        <v>SISTEMA DE NUTRIÇÃO E DIETÉTICA</v>
      </c>
      <c r="C10583" s="2" t="str">
        <f t="shared" si="929"/>
        <v>APOIO</v>
      </c>
      <c r="D10583" s="2" t="str">
        <f t="shared" si="930"/>
        <v>PSND</v>
      </c>
      <c r="E10583" s="2" t="str">
        <f>"CADASTRO DE MEDIDAS CASEIRAS"</f>
        <v>CADASTRO DE MEDIDAS CASEIRAS</v>
      </c>
      <c r="F10583" s="2" t="str">
        <f>"M_MEDIDA_CASEIRA"</f>
        <v>M_MEDIDA_CASEIRA</v>
      </c>
      <c r="G10583" s="2" t="str">
        <f t="shared" si="927"/>
        <v xml:space="preserve"> ()</v>
      </c>
    </row>
    <row r="10584" spans="1:7" x14ac:dyDescent="0.3">
      <c r="A10584" s="1" t="s">
        <v>4</v>
      </c>
      <c r="B10584" s="2" t="str">
        <f t="shared" si="928"/>
        <v>SISTEMA DE NUTRIÇÃO E DIETÉTICA</v>
      </c>
      <c r="C10584" s="2" t="str">
        <f t="shared" si="929"/>
        <v>APOIO</v>
      </c>
      <c r="D10584" s="2" t="str">
        <f t="shared" si="930"/>
        <v>PSND</v>
      </c>
      <c r="E10584" s="2" t="str">
        <f>"DIETAS DE ACOMPANHANTES"</f>
        <v>DIETAS DE ACOMPANHANTES</v>
      </c>
      <c r="F10584" s="2" t="str">
        <f>"R_LISTA_DIETAS_ACOMPANHANTE.RDF"</f>
        <v>R_LISTA_DIETAS_ACOMPANHANTE.RDF</v>
      </c>
      <c r="G10584" s="2" t="str">
        <f t="shared" si="927"/>
        <v xml:space="preserve"> ()</v>
      </c>
    </row>
    <row r="10585" spans="1:7" x14ac:dyDescent="0.3">
      <c r="A10585" s="1" t="s">
        <v>4</v>
      </c>
      <c r="B10585" s="2" t="str">
        <f t="shared" si="928"/>
        <v>SISTEMA DE NUTRIÇÃO E DIETÉTICA</v>
      </c>
      <c r="C10585" s="2" t="str">
        <f t="shared" si="929"/>
        <v>APOIO</v>
      </c>
      <c r="D10585" s="2" t="str">
        <f t="shared" si="930"/>
        <v>PSND</v>
      </c>
      <c r="E10585" s="2" t="str">
        <f>"ETIQUETAS DE ACOMPANHANTES"</f>
        <v>ETIQUETAS DE ACOMPANHANTES</v>
      </c>
      <c r="F10585" s="2" t="str">
        <f>"R_ETIQ_ACOMPANHANTE.RDF"</f>
        <v>R_ETIQ_ACOMPANHANTE.RDF</v>
      </c>
      <c r="G10585" s="2" t="str">
        <f t="shared" si="927"/>
        <v xml:space="preserve"> ()</v>
      </c>
    </row>
    <row r="10586" spans="1:7" x14ac:dyDescent="0.3">
      <c r="A10586" s="1" t="s">
        <v>4</v>
      </c>
      <c r="B10586" s="2" t="str">
        <f t="shared" si="928"/>
        <v>SISTEMA DE NUTRIÇÃO E DIETÉTICA</v>
      </c>
      <c r="C10586" s="2" t="str">
        <f t="shared" si="929"/>
        <v>APOIO</v>
      </c>
      <c r="D10586" s="2" t="str">
        <f t="shared" si="930"/>
        <v>PSND</v>
      </c>
      <c r="E10586" s="2" t="str">
        <f>"MAPA DE ACOMPANHANTES"</f>
        <v>MAPA DE ACOMPANHANTES</v>
      </c>
      <c r="F10586" s="2" t="str">
        <f>"R_MAPA_ACOMPANHANTE.RDF"</f>
        <v>R_MAPA_ACOMPANHANTE.RDF</v>
      </c>
      <c r="G10586" s="2" t="str">
        <f t="shared" si="927"/>
        <v xml:space="preserve"> ()</v>
      </c>
    </row>
    <row r="10587" spans="1:7" x14ac:dyDescent="0.3">
      <c r="A10587" s="1" t="s">
        <v>4</v>
      </c>
      <c r="B10587" s="2" t="str">
        <f t="shared" si="928"/>
        <v>SISTEMA DE NUTRIÇÃO E DIETÉTICA</v>
      </c>
      <c r="C10587" s="2" t="str">
        <f t="shared" si="929"/>
        <v>APOIO</v>
      </c>
      <c r="D10587" s="2" t="str">
        <f t="shared" si="930"/>
        <v>PSND</v>
      </c>
      <c r="E10587" s="2" t="str">
        <f>"NÃO USAR"</f>
        <v>NÃO USAR</v>
      </c>
      <c r="F10587" s="2" t="str">
        <f>"R_MAPA_DIETAS.RDF"</f>
        <v>R_MAPA_DIETAS.RDF</v>
      </c>
      <c r="G10587" s="2" t="str">
        <f t="shared" si="927"/>
        <v xml:space="preserve"> ()</v>
      </c>
    </row>
    <row r="10588" spans="1:7" x14ac:dyDescent="0.3">
      <c r="A10588" s="1" t="s">
        <v>4</v>
      </c>
      <c r="B10588" s="2" t="str">
        <f t="shared" si="928"/>
        <v>SISTEMA DE NUTRIÇÃO E DIETÉTICA</v>
      </c>
      <c r="C10588" s="2" t="str">
        <f t="shared" si="929"/>
        <v>APOIO</v>
      </c>
      <c r="D10588" s="2" t="str">
        <f t="shared" si="930"/>
        <v>PSND</v>
      </c>
      <c r="E10588" s="2" t="str">
        <f>"MAMADEIRA X UNIDADE DE INTERNAÇÃO"</f>
        <v>MAMADEIRA X UNIDADE DE INTERNAÇÃO</v>
      </c>
      <c r="F10588" s="2" t="str">
        <f>"R_MAMADEIRA_UNID_INT.RDF"</f>
        <v>R_MAMADEIRA_UNID_INT.RDF</v>
      </c>
      <c r="G10588" s="2" t="str">
        <f t="shared" si="927"/>
        <v xml:space="preserve"> ()</v>
      </c>
    </row>
    <row r="10589" spans="1:7" x14ac:dyDescent="0.3">
      <c r="A10589" s="1" t="s">
        <v>4</v>
      </c>
      <c r="B10589" s="2" t="str">
        <f t="shared" si="928"/>
        <v>SISTEMA DE NUTRIÇÃO E DIETÉTICA</v>
      </c>
      <c r="C10589" s="2" t="str">
        <f t="shared" si="929"/>
        <v>APOIO</v>
      </c>
      <c r="D10589" s="2" t="str">
        <f t="shared" si="930"/>
        <v>PSND</v>
      </c>
      <c r="E10589" s="2" t="str">
        <f>"DIETAS COM OBSERVAÇÕES DO LACTÁRIO"</f>
        <v>DIETAS COM OBSERVAÇÕES DO LACTÁRIO</v>
      </c>
      <c r="F10589" s="2" t="str">
        <f>"R_DIETA_OBS_LACTARIO.RDF"</f>
        <v>R_DIETA_OBS_LACTARIO.RDF</v>
      </c>
      <c r="G10589" s="2" t="str">
        <f t="shared" si="927"/>
        <v xml:space="preserve"> ()</v>
      </c>
    </row>
    <row r="10590" spans="1:7" x14ac:dyDescent="0.3">
      <c r="A10590" s="1" t="s">
        <v>4</v>
      </c>
      <c r="B10590" s="2" t="str">
        <f t="shared" si="928"/>
        <v>SISTEMA DE NUTRIÇÃO E DIETÉTICA</v>
      </c>
      <c r="C10590" s="2" t="str">
        <f t="shared" si="929"/>
        <v>APOIO</v>
      </c>
      <c r="D10590" s="2" t="str">
        <f t="shared" si="930"/>
        <v>PSND</v>
      </c>
      <c r="E10590" s="2" t="str">
        <f>"ETIQUETAS DE MAMADEIRA"</f>
        <v>ETIQUETAS DE MAMADEIRA</v>
      </c>
      <c r="F10590" s="2" t="str">
        <f>"R_ETIQ_MAMADEIRA.RDF"</f>
        <v>R_ETIQ_MAMADEIRA.RDF</v>
      </c>
      <c r="G10590" s="2" t="str">
        <f t="shared" si="927"/>
        <v xml:space="preserve"> ()</v>
      </c>
    </row>
    <row r="10591" spans="1:7" x14ac:dyDescent="0.3">
      <c r="A10591" s="1" t="s">
        <v>4</v>
      </c>
      <c r="B10591" s="2" t="str">
        <f t="shared" si="928"/>
        <v>SISTEMA DE NUTRIÇÃO E DIETÉTICA</v>
      </c>
      <c r="C10591" s="2" t="str">
        <f t="shared" si="929"/>
        <v>APOIO</v>
      </c>
      <c r="D10591" s="2" t="str">
        <f t="shared" si="930"/>
        <v>PSND</v>
      </c>
      <c r="E10591" s="2" t="str">
        <f>"PERFIL PER CAPTA - SINTÉTICO"</f>
        <v>PERFIL PER CAPTA - SINTÉTICO</v>
      </c>
      <c r="F10591" s="2" t="str">
        <f>"R_CAPTA_REF.RDF"</f>
        <v>R_CAPTA_REF.RDF</v>
      </c>
      <c r="G10591" s="2" t="str">
        <f t="shared" si="927"/>
        <v xml:space="preserve"> ()</v>
      </c>
    </row>
    <row r="10592" spans="1:7" x14ac:dyDescent="0.3">
      <c r="A10592" s="1" t="s">
        <v>4</v>
      </c>
      <c r="B10592" s="2" t="str">
        <f t="shared" si="928"/>
        <v>SISTEMA DE NUTRIÇÃO E DIETÉTICA</v>
      </c>
      <c r="C10592" s="2" t="str">
        <f t="shared" si="929"/>
        <v>APOIO</v>
      </c>
      <c r="D10592" s="2" t="str">
        <f t="shared" si="930"/>
        <v>PSND</v>
      </c>
      <c r="E10592" s="2" t="str">
        <f>"PRODUÇÃO MENSAL DE DIETAS"</f>
        <v>PRODUÇÃO MENSAL DE DIETAS</v>
      </c>
      <c r="F10592" s="2" t="str">
        <f>"R_PROD_MENSAL_DIETA.RDF"</f>
        <v>R_PROD_MENSAL_DIETA.RDF</v>
      </c>
      <c r="G10592" s="2" t="str">
        <f t="shared" si="927"/>
        <v xml:space="preserve"> ()</v>
      </c>
    </row>
    <row r="10593" spans="1:7" x14ac:dyDescent="0.3">
      <c r="A10593" s="1" t="s">
        <v>4</v>
      </c>
      <c r="B10593" s="2" t="str">
        <f t="shared" si="928"/>
        <v>SISTEMA DE NUTRIÇÃO E DIETÉTICA</v>
      </c>
      <c r="C10593" s="2" t="str">
        <f t="shared" si="929"/>
        <v>APOIO</v>
      </c>
      <c r="D10593" s="2" t="str">
        <f t="shared" si="930"/>
        <v>PSND</v>
      </c>
      <c r="E10593" s="2" t="str">
        <f>"MAPA DE PEDIDO DE REFEIÇÃO PARA PACIENTE"</f>
        <v>MAPA DE PEDIDO DE REFEIÇÃO PARA PACIENTE</v>
      </c>
      <c r="F10593" s="2" t="str">
        <f>"R_MAPA_REF_PAC_ACOM.RDF"</f>
        <v>R_MAPA_REF_PAC_ACOM.RDF</v>
      </c>
      <c r="G10593" s="2" t="str">
        <f t="shared" si="927"/>
        <v xml:space="preserve"> ()</v>
      </c>
    </row>
    <row r="10594" spans="1:7" x14ac:dyDescent="0.3">
      <c r="A10594" s="1" t="s">
        <v>4</v>
      </c>
      <c r="B10594" s="2" t="str">
        <f t="shared" si="928"/>
        <v>SISTEMA DE NUTRIÇÃO E DIETÉTICA</v>
      </c>
      <c r="C10594" s="2" t="str">
        <f t="shared" si="929"/>
        <v>APOIO</v>
      </c>
      <c r="D10594" s="2" t="str">
        <f t="shared" si="930"/>
        <v>PSND</v>
      </c>
      <c r="E10594" s="2" t="str">
        <f>"ESTATÍSTICO DE REFEIÇÕES POR DIETA"</f>
        <v>ESTATÍSTICO DE REFEIÇÕES POR DIETA</v>
      </c>
      <c r="F10594" s="2" t="str">
        <f>"R_REF_DIETA.RDF"</f>
        <v>R_REF_DIETA.RDF</v>
      </c>
      <c r="G10594" s="2" t="str">
        <f t="shared" si="927"/>
        <v xml:space="preserve"> ()</v>
      </c>
    </row>
    <row r="10595" spans="1:7" x14ac:dyDescent="0.3">
      <c r="A10595" s="1" t="s">
        <v>4</v>
      </c>
      <c r="B10595" s="2" t="str">
        <f t="shared" si="928"/>
        <v>SISTEMA DE NUTRIÇÃO E DIETÉTICA</v>
      </c>
      <c r="C10595" s="2" t="str">
        <f t="shared" si="929"/>
        <v>APOIO</v>
      </c>
      <c r="D10595" s="2" t="str">
        <f t="shared" si="930"/>
        <v>PSND</v>
      </c>
      <c r="E10595" s="2" t="str">
        <f>"ESTATÍSTICO DE REFEIÇÕES POR DESTINO"</f>
        <v>ESTATÍSTICO DE REFEIÇÕES POR DESTINO</v>
      </c>
      <c r="F10595" s="2" t="str">
        <f>"R_EST_REF_DESTINO.RDF"</f>
        <v>R_EST_REF_DESTINO.RDF</v>
      </c>
      <c r="G10595" s="2" t="str">
        <f t="shared" si="927"/>
        <v xml:space="preserve"> ()</v>
      </c>
    </row>
    <row r="10596" spans="1:7" x14ac:dyDescent="0.3">
      <c r="A10596" s="1" t="s">
        <v>4</v>
      </c>
      <c r="B10596" s="2" t="str">
        <f t="shared" si="928"/>
        <v>SISTEMA DE NUTRIÇÃO E DIETÉTICA</v>
      </c>
      <c r="C10596" s="2" t="str">
        <f t="shared" si="929"/>
        <v>APOIO</v>
      </c>
      <c r="D10596" s="2" t="str">
        <f t="shared" si="930"/>
        <v>PSND</v>
      </c>
      <c r="E10596" s="2" t="str">
        <f>"ESTATÍSTICO DE REFEIÇÕES POR COPA"</f>
        <v>ESTATÍSTICO DE REFEIÇÕES POR COPA</v>
      </c>
      <c r="F10596" s="2" t="str">
        <f>"R_ESTAT_COPA.RDF"</f>
        <v>R_ESTAT_COPA.RDF</v>
      </c>
      <c r="G10596" s="2" t="str">
        <f t="shared" si="927"/>
        <v xml:space="preserve"> ()</v>
      </c>
    </row>
    <row r="10597" spans="1:7" x14ac:dyDescent="0.3">
      <c r="A10597" s="1" t="s">
        <v>4</v>
      </c>
      <c r="B10597" s="2" t="str">
        <f t="shared" si="928"/>
        <v>SISTEMA DE NUTRIÇÃO E DIETÉTICA</v>
      </c>
      <c r="C10597" s="2" t="str">
        <f t="shared" si="929"/>
        <v>APOIO</v>
      </c>
      <c r="D10597" s="2" t="str">
        <f t="shared" si="930"/>
        <v>PSND</v>
      </c>
      <c r="E10597" s="2" t="str">
        <f>"MAPA DE COPEIRAS"</f>
        <v>MAPA DE COPEIRAS</v>
      </c>
      <c r="F10597" s="2" t="str">
        <f>"R_MAPA_COPEIRA.RDF"</f>
        <v>R_MAPA_COPEIRA.RDF</v>
      </c>
      <c r="G10597" s="2" t="str">
        <f t="shared" si="927"/>
        <v xml:space="preserve"> ()</v>
      </c>
    </row>
    <row r="10598" spans="1:7" x14ac:dyDescent="0.3">
      <c r="A10598" s="1" t="s">
        <v>4</v>
      </c>
      <c r="B10598" s="2" t="str">
        <f t="shared" si="928"/>
        <v>SISTEMA DE NUTRIÇÃO E DIETÉTICA</v>
      </c>
      <c r="C10598" s="2" t="str">
        <f t="shared" si="929"/>
        <v>APOIO</v>
      </c>
      <c r="D10598" s="2" t="str">
        <f t="shared" si="930"/>
        <v>PSND</v>
      </c>
      <c r="E10598" s="2" t="str">
        <f>"LISTAGEM DO DIA"</f>
        <v>LISTAGEM DO DIA</v>
      </c>
      <c r="F10598" s="2" t="str">
        <f>"R_LISTAGEM_DIA.RDF"</f>
        <v>R_LISTAGEM_DIA.RDF</v>
      </c>
      <c r="G10598" s="2" t="str">
        <f t="shared" si="927"/>
        <v xml:space="preserve"> ()</v>
      </c>
    </row>
    <row r="10599" spans="1:7" x14ac:dyDescent="0.3">
      <c r="A10599" s="1" t="s">
        <v>4</v>
      </c>
      <c r="B10599" s="2" t="str">
        <f t="shared" si="928"/>
        <v>SISTEMA DE NUTRIÇÃO E DIETÉTICA</v>
      </c>
      <c r="C10599" s="2" t="str">
        <f t="shared" si="929"/>
        <v>APOIO</v>
      </c>
      <c r="D10599" s="2" t="str">
        <f t="shared" si="930"/>
        <v>PSND</v>
      </c>
      <c r="E10599" s="2" t="str">
        <f>"COMPROVANTE DE SOLICITAÇÃO DE REFEIÇÃO"</f>
        <v>COMPROVANTE DE SOLICITAÇÃO DE REFEIÇÃO</v>
      </c>
      <c r="F10599" s="2" t="str">
        <f>"R_COMPROVANTE_ACOMPANHANTE.RDF"</f>
        <v>R_COMPROVANTE_ACOMPANHANTE.RDF</v>
      </c>
      <c r="G10599" s="2" t="str">
        <f t="shared" si="927"/>
        <v xml:space="preserve"> ()</v>
      </c>
    </row>
    <row r="10600" spans="1:7" x14ac:dyDescent="0.3">
      <c r="A10600" s="1" t="s">
        <v>4</v>
      </c>
      <c r="B10600" s="2" t="str">
        <f t="shared" si="928"/>
        <v>SISTEMA DE NUTRIÇÃO E DIETÉTICA</v>
      </c>
      <c r="C10600" s="2" t="str">
        <f t="shared" si="929"/>
        <v>APOIO</v>
      </c>
      <c r="D10600" s="2" t="str">
        <f t="shared" si="930"/>
        <v>PSND</v>
      </c>
      <c r="E10600" s="2" t="str">
        <f>"ETIQUETAS DE PACIENTES COM DIETA ENTERAL"</f>
        <v>ETIQUETAS DE PACIENTES COM DIETA ENTERAL</v>
      </c>
      <c r="F10600" s="2" t="str">
        <f>"R_ETIQ_DIETA_ENTERAL.RDF"</f>
        <v>R_ETIQ_DIETA_ENTERAL.RDF</v>
      </c>
      <c r="G10600" s="2" t="str">
        <f t="shared" si="927"/>
        <v xml:space="preserve"> ()</v>
      </c>
    </row>
    <row r="10601" spans="1:7" x14ac:dyDescent="0.3">
      <c r="A10601" s="1" t="s">
        <v>4</v>
      </c>
      <c r="B10601" s="2" t="str">
        <f t="shared" si="928"/>
        <v>SISTEMA DE NUTRIÇÃO E DIETÉTICA</v>
      </c>
      <c r="C10601" s="2" t="str">
        <f t="shared" si="929"/>
        <v>APOIO</v>
      </c>
      <c r="D10601" s="2" t="str">
        <f t="shared" si="930"/>
        <v>PSND</v>
      </c>
      <c r="E10601" s="2" t="str">
        <f>"RELAÇÃO DE PACIENTES COM DIETA ENTERAL"</f>
        <v>RELAÇÃO DE PACIENTES COM DIETA ENTERAL</v>
      </c>
      <c r="F10601" s="2" t="str">
        <f>"R_PAC_DIETA_ENTERAL.RDF"</f>
        <v>R_PAC_DIETA_ENTERAL.RDF</v>
      </c>
      <c r="G10601" s="2" t="str">
        <f t="shared" si="927"/>
        <v xml:space="preserve"> ()</v>
      </c>
    </row>
    <row r="10602" spans="1:7" x14ac:dyDescent="0.3">
      <c r="A10602" s="1" t="s">
        <v>4</v>
      </c>
      <c r="B10602" s="2" t="str">
        <f t="shared" ref="B10602:B10665" si="931">"SISTEMA DE DIAGNÓSTICO LABORATORIAL"</f>
        <v>SISTEMA DE DIAGNÓSTICO LABORATORIAL</v>
      </c>
      <c r="C10602" s="2" t="str">
        <f t="shared" ref="C10602:C10665" si="932">"DIAGN"</f>
        <v>DIAGN</v>
      </c>
      <c r="D10602" s="2" t="str">
        <f t="shared" ref="D10602:D10665" si="933">"PSSD"</f>
        <v>PSSD</v>
      </c>
      <c r="E10602" s="2" t="str">
        <f>"RELATÓRIO DE EXAMES POR CIDADE"</f>
        <v>RELATÓRIO DE EXAMES POR CIDADE</v>
      </c>
      <c r="F10602" s="2" t="str">
        <f>"R_EXAME_CIDADE_PSSD_SINT"</f>
        <v>R_EXAME_CIDADE_PSSD_SINT</v>
      </c>
      <c r="G10602" s="2" t="str">
        <f t="shared" si="927"/>
        <v xml:space="preserve"> ()</v>
      </c>
    </row>
    <row r="10603" spans="1:7" x14ac:dyDescent="0.3">
      <c r="A10603" s="1" t="s">
        <v>4</v>
      </c>
      <c r="B10603" s="2" t="str">
        <f t="shared" si="931"/>
        <v>SISTEMA DE DIAGNÓSTICO LABORATORIAL</v>
      </c>
      <c r="C10603" s="2" t="str">
        <f t="shared" si="932"/>
        <v>DIAGN</v>
      </c>
      <c r="D10603" s="2" t="str">
        <f t="shared" si="933"/>
        <v>PSSD</v>
      </c>
      <c r="E10603" s="2" t="str">
        <f>"Orientações de Exames"</f>
        <v>Orientações de Exames</v>
      </c>
      <c r="F10603" s="2" t="str">
        <f>"M_ORIENTACAO_EXAME"</f>
        <v>M_ORIENTACAO_EXAME</v>
      </c>
      <c r="G10603" s="2" t="str">
        <f>"Diagnóstico e Terapia / Laboratório de Análises Clínicas / Tabelas / Orientações de Exames (M_ORIENTACAO_EXAME)"</f>
        <v>Diagnóstico e Terapia / Laboratório de Análises Clínicas / Tabelas / Orientações de Exames (M_ORIENTACAO_EXAME)</v>
      </c>
    </row>
    <row r="10604" spans="1:7" x14ac:dyDescent="0.3">
      <c r="A10604" s="1" t="s">
        <v>4</v>
      </c>
      <c r="B10604" s="2" t="str">
        <f t="shared" si="931"/>
        <v>SISTEMA DE DIAGNÓSTICO LABORATORIAL</v>
      </c>
      <c r="C10604" s="2" t="str">
        <f t="shared" si="932"/>
        <v>DIAGN</v>
      </c>
      <c r="D10604" s="2" t="str">
        <f t="shared" si="933"/>
        <v>PSSD</v>
      </c>
      <c r="E10604" s="2" t="str">
        <f>"Preparo Unificado de Exames"</f>
        <v>Preparo Unificado de Exames</v>
      </c>
      <c r="F10604" s="2" t="str">
        <f>"R_PREPARO_UNIFICADO_EXAMES"</f>
        <v>R_PREPARO_UNIFICADO_EXAMES</v>
      </c>
      <c r="G10604" s="2" t="str">
        <f>"Preparo Unificado de Exames (R_PREPARO_UNIFICADO_EXAMES)"</f>
        <v>Preparo Unificado de Exames (R_PREPARO_UNIFICADO_EXAMES)</v>
      </c>
    </row>
    <row r="10605" spans="1:7" x14ac:dyDescent="0.3">
      <c r="A10605" s="1" t="s">
        <v>4</v>
      </c>
      <c r="B10605" s="2" t="str">
        <f t="shared" si="931"/>
        <v>SISTEMA DE DIAGNÓSTICO LABORATORIAL</v>
      </c>
      <c r="C10605" s="2" t="str">
        <f t="shared" si="932"/>
        <v>DIAGN</v>
      </c>
      <c r="D10605" s="2" t="str">
        <f t="shared" si="933"/>
        <v>PSSD</v>
      </c>
      <c r="E10605" s="2" t="str">
        <f>"Tipos de Orientação de Exames"</f>
        <v>Tipos de Orientação de Exames</v>
      </c>
      <c r="F10605" s="2" t="str">
        <f>"M_TIPO_ORIENTACAO_EXAME"</f>
        <v>M_TIPO_ORIENTACAO_EXAME</v>
      </c>
      <c r="G10605" s="2" t="str">
        <f>"Diagnóstico e Terapia / Laboratório de Análises Clínicas / Tabelas / Tipos de Orientação de Exames (M_TIPO_ORIENTACAO_EXAME)"</f>
        <v>Diagnóstico e Terapia / Laboratório de Análises Clínicas / Tabelas / Tipos de Orientação de Exames (M_TIPO_ORIENTACAO_EXAME)</v>
      </c>
    </row>
    <row r="10606" spans="1:7" x14ac:dyDescent="0.3">
      <c r="A10606" s="1" t="s">
        <v>4</v>
      </c>
      <c r="B10606" s="2" t="str">
        <f t="shared" si="931"/>
        <v>SISTEMA DE DIAGNÓSTICO LABORATORIAL</v>
      </c>
      <c r="C10606" s="2" t="str">
        <f t="shared" si="932"/>
        <v>DIAGN</v>
      </c>
      <c r="D10606" s="2" t="str">
        <f t="shared" si="933"/>
        <v>PSSD</v>
      </c>
      <c r="E10606" s="2" t="str">
        <f>"Execução da guia de exames / Atendimento"</f>
        <v>Execução da guia de exames / Atendimento</v>
      </c>
      <c r="F10606" s="2" t="str">
        <f>"M_EXEC_GUIA_FRUTO"</f>
        <v>M_EXEC_GUIA_FRUTO</v>
      </c>
      <c r="G10606" s="2" t="str">
        <f>" ()"</f>
        <v xml:space="preserve"> ()</v>
      </c>
    </row>
    <row r="10607" spans="1:7" x14ac:dyDescent="0.3">
      <c r="A10607" s="1" t="s">
        <v>4</v>
      </c>
      <c r="B10607" s="2" t="str">
        <f t="shared" si="931"/>
        <v>SISTEMA DE DIAGNÓSTICO LABORATORIAL</v>
      </c>
      <c r="C10607" s="2" t="str">
        <f t="shared" si="932"/>
        <v>DIAGN</v>
      </c>
      <c r="D10607" s="2" t="str">
        <f t="shared" si="933"/>
        <v>PSSD</v>
      </c>
      <c r="E10607" s="2" t="str">
        <f>"Agrupamento - Ordem de Impressão."</f>
        <v>Agrupamento - Ordem de Impressão.</v>
      </c>
      <c r="F10607" s="2" t="str">
        <f>"M_ORDEM_IMPRESSAO_LAUDO"</f>
        <v>M_ORDEM_IMPRESSAO_LAUDO</v>
      </c>
      <c r="G10607" s="2" t="str">
        <f>" ()"</f>
        <v xml:space="preserve"> ()</v>
      </c>
    </row>
    <row r="10608" spans="1:7" x14ac:dyDescent="0.3">
      <c r="A10608" s="1" t="s">
        <v>4</v>
      </c>
      <c r="B10608" s="2" t="str">
        <f t="shared" si="931"/>
        <v>SISTEMA DE DIAGNÓSTICO LABORATORIAL</v>
      </c>
      <c r="C10608" s="2" t="str">
        <f t="shared" si="932"/>
        <v>DIAGN</v>
      </c>
      <c r="D10608" s="2" t="str">
        <f t="shared" si="933"/>
        <v>PSSD</v>
      </c>
      <c r="E10608" s="2" t="str">
        <f>"Grupos de Centro de Custos - PSSD"</f>
        <v>Grupos de Centro de Custos - PSSD</v>
      </c>
      <c r="F10608" s="2" t="str">
        <f>"M_GRUPO_CUSTO_PSSD"</f>
        <v>M_GRUPO_CUSTO_PSSD</v>
      </c>
      <c r="G10608" s="2" t="str">
        <f>" ()"</f>
        <v xml:space="preserve"> ()</v>
      </c>
    </row>
    <row r="10609" spans="1:7" x14ac:dyDescent="0.3">
      <c r="A10609" s="1" t="s">
        <v>4</v>
      </c>
      <c r="B10609" s="2" t="str">
        <f t="shared" si="931"/>
        <v>SISTEMA DE DIAGNÓSTICO LABORATORIAL</v>
      </c>
      <c r="C10609" s="2" t="str">
        <f t="shared" si="932"/>
        <v>DIAGN</v>
      </c>
      <c r="D10609" s="2" t="str">
        <f t="shared" si="933"/>
        <v>PSSD</v>
      </c>
      <c r="E10609" s="2" t="str">
        <f>"LIBERACAO DE PLANTOES"</f>
        <v>LIBERACAO DE PLANTOES</v>
      </c>
      <c r="F10609" s="2" t="str">
        <f>"F_GERASADT"</f>
        <v>F_GERASADT</v>
      </c>
      <c r="G10609" s="2" t="str">
        <f>"Diagnóstico e Terapia / Laboratório de Análises Clínicas / Agendamento / Liberação de Agendamentos (F_GERASADT)"</f>
        <v>Diagnóstico e Terapia / Laboratório de Análises Clínicas / Agendamento / Liberação de Agendamentos (F_GERASADT)</v>
      </c>
    </row>
    <row r="10610" spans="1:7" x14ac:dyDescent="0.3">
      <c r="A10610" s="1" t="s">
        <v>4</v>
      </c>
      <c r="B10610" s="2" t="str">
        <f t="shared" si="931"/>
        <v>SISTEMA DE DIAGNÓSTICO LABORATORIAL</v>
      </c>
      <c r="C10610" s="2" t="str">
        <f t="shared" si="932"/>
        <v>DIAGN</v>
      </c>
      <c r="D10610" s="2" t="str">
        <f t="shared" si="933"/>
        <v>PSSD</v>
      </c>
      <c r="E10610" s="2" t="str">
        <f>"M_PED_LAB_110"</f>
        <v>M_PED_LAB_110</v>
      </c>
      <c r="F10610" s="2" t="str">
        <f>"M_PED_LAB_110"</f>
        <v>M_PED_LAB_110</v>
      </c>
      <c r="G10610" s="2" t="str">
        <f>" ()"</f>
        <v xml:space="preserve"> ()</v>
      </c>
    </row>
    <row r="10611" spans="1:7" x14ac:dyDescent="0.3">
      <c r="A10611" s="1" t="s">
        <v>4</v>
      </c>
      <c r="B10611" s="2" t="str">
        <f t="shared" si="931"/>
        <v>SISTEMA DE DIAGNÓSTICO LABORATORIAL</v>
      </c>
      <c r="C10611" s="2" t="str">
        <f t="shared" si="932"/>
        <v>DIAGN</v>
      </c>
      <c r="D10611" s="2" t="str">
        <f t="shared" si="933"/>
        <v>PSSD</v>
      </c>
      <c r="E10611" s="2" t="str">
        <f>"GERENCIAMENTO DE EXAMES"</f>
        <v>GERENCIAMENTO DE EXAMES</v>
      </c>
      <c r="F10611" s="2" t="str">
        <f>"M_ADMIN_EXA_LAB"</f>
        <v>M_ADMIN_EXA_LAB</v>
      </c>
      <c r="G10611" s="2" t="str">
        <f>"Diagnóstico e Terapia / Laboratório de Análises Clínicas / Atendimento / Gerenciamento de Exames (M_ADMIN_EXA_LAB)"</f>
        <v>Diagnóstico e Terapia / Laboratório de Análises Clínicas / Atendimento / Gerenciamento de Exames (M_ADMIN_EXA_LAB)</v>
      </c>
    </row>
    <row r="10612" spans="1:7" x14ac:dyDescent="0.3">
      <c r="A10612" s="1" t="s">
        <v>4</v>
      </c>
      <c r="B10612" s="2" t="str">
        <f t="shared" si="931"/>
        <v>SISTEMA DE DIAGNÓSTICO LABORATORIAL</v>
      </c>
      <c r="C10612" s="2" t="str">
        <f t="shared" si="932"/>
        <v>DIAGN</v>
      </c>
      <c r="D10612" s="2" t="str">
        <f t="shared" si="933"/>
        <v>PSSD</v>
      </c>
      <c r="E10612" s="2" t="str">
        <f>"EXCLUSÃO ATENDIMENTO LABORATORIO"</f>
        <v>EXCLUSÃO ATENDIMENTO LABORATORIO</v>
      </c>
      <c r="F10612" s="2" t="str">
        <f>"EXCL_ATE_PSSD"</f>
        <v>EXCL_ATE_PSSD</v>
      </c>
      <c r="G10612" s="2" t="str">
        <f>"Diagnóstico e Terapia / Laboratório de Análises Clínicas / Atendimento / Exclusão de atendimento (EXCL_ATE_PSSD)"</f>
        <v>Diagnóstico e Terapia / Laboratório de Análises Clínicas / Atendimento / Exclusão de atendimento (EXCL_ATE_PSSD)</v>
      </c>
    </row>
    <row r="10613" spans="1:7" x14ac:dyDescent="0.3">
      <c r="A10613" s="1" t="s">
        <v>4</v>
      </c>
      <c r="B10613" s="2" t="str">
        <f t="shared" si="931"/>
        <v>SISTEMA DE DIAGNÓSTICO LABORATORIAL</v>
      </c>
      <c r="C10613" s="2" t="str">
        <f t="shared" si="932"/>
        <v>DIAGN</v>
      </c>
      <c r="D10613" s="2" t="str">
        <f t="shared" si="933"/>
        <v>PSSD</v>
      </c>
      <c r="E10613" s="2" t="str">
        <f>"Justificativas de Resultados Absurdos"</f>
        <v>Justificativas de Resultados Absurdos</v>
      </c>
      <c r="F10613" s="2" t="str">
        <f>"M_JUSTIFICATIVA_LIB_ABSURDO"</f>
        <v>M_JUSTIFICATIVA_LIB_ABSURDO</v>
      </c>
      <c r="G10613" s="2" t="str">
        <f>"Diagnóstico e Terapia / Laboratório de Análises Clínicas / Relatórios / Operacionais / Justificativas de Resultados Absurdos (M_JUSTIFICATIVA_LIB_ABSURDO)"</f>
        <v>Diagnóstico e Terapia / Laboratório de Análises Clínicas / Relatórios / Operacionais / Justificativas de Resultados Absurdos (M_JUSTIFICATIVA_LIB_ABSURDO)</v>
      </c>
    </row>
    <row r="10614" spans="1:7" x14ac:dyDescent="0.3">
      <c r="A10614" s="1" t="s">
        <v>4</v>
      </c>
      <c r="B10614" s="2" t="str">
        <f t="shared" si="931"/>
        <v>SISTEMA DE DIAGNÓSTICO LABORATORIAL</v>
      </c>
      <c r="C10614" s="2" t="str">
        <f t="shared" si="932"/>
        <v>DIAGN</v>
      </c>
      <c r="D10614" s="2" t="str">
        <f t="shared" si="933"/>
        <v>PSSD</v>
      </c>
      <c r="E10614" s="2" t="str">
        <f>"Justificativas de Resultados Absurdos"</f>
        <v>Justificativas de Resultados Absurdos</v>
      </c>
      <c r="F10614" s="2" t="str">
        <f>"M_JUSTIFICATIVA_LIB_ABSURDO"</f>
        <v>M_JUSTIFICATIVA_LIB_ABSURDO</v>
      </c>
      <c r="G10614" s="2" t="str">
        <f>"Diagnóstico e Terapia / Laboratório de Análises Clínicas / Tabelas / Justificativas de Resultados Absurdos (M_JUSTIFICATIVA_LIB_ABSURDO)"</f>
        <v>Diagnóstico e Terapia / Laboratório de Análises Clínicas / Tabelas / Justificativas de Resultados Absurdos (M_JUSTIFICATIVA_LIB_ABSURDO)</v>
      </c>
    </row>
    <row r="10615" spans="1:7" x14ac:dyDescent="0.3">
      <c r="A10615" s="1" t="s">
        <v>4</v>
      </c>
      <c r="B10615" s="2" t="str">
        <f t="shared" si="931"/>
        <v>SISTEMA DE DIAGNÓSTICO LABORATORIAL</v>
      </c>
      <c r="C10615" s="2" t="str">
        <f t="shared" si="932"/>
        <v>DIAGN</v>
      </c>
      <c r="D10615" s="2" t="str">
        <f t="shared" si="933"/>
        <v>PSSD</v>
      </c>
      <c r="E10615" s="2" t="str">
        <f>"Motivos de Retificacao do Exame"</f>
        <v>Motivos de Retificacao do Exame</v>
      </c>
      <c r="F10615" s="2" t="str">
        <f>"R_MOTIVO_RETIFICACAO_EXAME"</f>
        <v>R_MOTIVO_RETIFICACAO_EXAME</v>
      </c>
      <c r="G10615" s="2" t="str">
        <f>"Diagnóstico e Terapia / Laboratório de Análises Clínicas / Relatórios / Operacionais / Motivos de Retificacao do Exame (R_MOTIVO_RETIFICACAO_EXAME)"</f>
        <v>Diagnóstico e Terapia / Laboratório de Análises Clínicas / Relatórios / Operacionais / Motivos de Retificacao do Exame (R_MOTIVO_RETIFICACAO_EXAME)</v>
      </c>
    </row>
    <row r="10616" spans="1:7" x14ac:dyDescent="0.3">
      <c r="A10616" s="1" t="s">
        <v>4</v>
      </c>
      <c r="B10616" s="2" t="str">
        <f t="shared" si="931"/>
        <v>SISTEMA DE DIAGNÓSTICO LABORATORIAL</v>
      </c>
      <c r="C10616" s="2" t="str">
        <f t="shared" si="932"/>
        <v>DIAGN</v>
      </c>
      <c r="D10616" s="2" t="str">
        <f t="shared" si="933"/>
        <v>PSSD</v>
      </c>
      <c r="E10616" s="2" t="str">
        <f>"Motivos de retificacao do exame"</f>
        <v>Motivos de retificacao do exame</v>
      </c>
      <c r="F10616" s="2" t="str">
        <f>"M_MOTIVO_RETIFICACAO_EXAME"</f>
        <v>M_MOTIVO_RETIFICACAO_EXAME</v>
      </c>
      <c r="G10616" s="2" t="str">
        <f>"Diagnóstico e Terapia / Laboratório de Análises Clínicas / Tabelas / Motivos de retificacao do exame (M_MOTIVO_RETIFICACAO_EXAME)"</f>
        <v>Diagnóstico e Terapia / Laboratório de Análises Clínicas / Tabelas / Motivos de retificacao do exame (M_MOTIVO_RETIFICACAO_EXAME)</v>
      </c>
    </row>
    <row r="10617" spans="1:7" x14ac:dyDescent="0.3">
      <c r="A10617" s="1" t="s">
        <v>4</v>
      </c>
      <c r="B10617" s="2" t="str">
        <f t="shared" si="931"/>
        <v>SISTEMA DE DIAGNÓSTICO LABORATORIAL</v>
      </c>
      <c r="C10617" s="2" t="str">
        <f t="shared" si="932"/>
        <v>DIAGN</v>
      </c>
      <c r="D10617" s="2" t="str">
        <f t="shared" si="933"/>
        <v>PSSD</v>
      </c>
      <c r="E10617" s="2" t="str">
        <f>"Reg. Passagem Amostras pelas Bancadas"</f>
        <v>Reg. Passagem Amostras pelas Bancadas</v>
      </c>
      <c r="F10617" s="2" t="str">
        <f>"R_REGISTRA_MOV_AMOSTRA"</f>
        <v>R_REGISTRA_MOV_AMOSTRA</v>
      </c>
      <c r="G10617" s="2" t="str">
        <f>" ()"</f>
        <v xml:space="preserve"> ()</v>
      </c>
    </row>
    <row r="10618" spans="1:7" x14ac:dyDescent="0.3">
      <c r="A10618" s="1" t="s">
        <v>4</v>
      </c>
      <c r="B10618" s="2" t="str">
        <f t="shared" si="931"/>
        <v>SISTEMA DE DIAGNÓSTICO LABORATORIAL</v>
      </c>
      <c r="C10618" s="2" t="str">
        <f t="shared" si="932"/>
        <v>DIAGN</v>
      </c>
      <c r="D10618" s="2" t="str">
        <f t="shared" si="933"/>
        <v>PSSD</v>
      </c>
      <c r="E10618" s="2" t="str">
        <f>"WIN_PRINCIPAL - HOSPITAL MV SISTEMAS"</f>
        <v>WIN_PRINCIPAL - HOSPITAL MV SISTEMAS</v>
      </c>
      <c r="F10618" s="2" t="str">
        <f>"M_AREA_ENTREGA"</f>
        <v>M_AREA_ENTREGA</v>
      </c>
      <c r="G10618" s="2" t="str">
        <f>"Diagnóstico e Terapia / Laboratório de Análises Clínicas / Tabelas / Áreas de Entrega e Coleta / Área de Entrega ou Coleta domiciliar (M_AREA_ENTREGA)"</f>
        <v>Diagnóstico e Terapia / Laboratório de Análises Clínicas / Tabelas / Áreas de Entrega e Coleta / Área de Entrega ou Coleta domiciliar (M_AREA_ENTREGA)</v>
      </c>
    </row>
    <row r="10619" spans="1:7" x14ac:dyDescent="0.3">
      <c r="A10619" s="1" t="s">
        <v>4</v>
      </c>
      <c r="B10619" s="2" t="str">
        <f t="shared" si="931"/>
        <v>SISTEMA DE DIAGNÓSTICO LABORATORIAL</v>
      </c>
      <c r="C10619" s="2" t="str">
        <f t="shared" si="932"/>
        <v>DIAGN</v>
      </c>
      <c r="D10619" s="2" t="str">
        <f t="shared" si="933"/>
        <v>PSSD</v>
      </c>
      <c r="E10619" s="2" t="str">
        <f>"Resultado e Liberação de Exames"</f>
        <v>Resultado e Liberação de Exames</v>
      </c>
      <c r="F10619" s="2" t="str">
        <f>"M_RESULTADO_EXA_LAB"</f>
        <v>M_RESULTADO_EXA_LAB</v>
      </c>
      <c r="G10619" s="2" t="str">
        <f>" ()"</f>
        <v xml:space="preserve"> ()</v>
      </c>
    </row>
    <row r="10620" spans="1:7" x14ac:dyDescent="0.3">
      <c r="A10620" s="1" t="s">
        <v>4</v>
      </c>
      <c r="B10620" s="2" t="str">
        <f t="shared" si="931"/>
        <v>SISTEMA DE DIAGNÓSTICO LABORATORIAL</v>
      </c>
      <c r="C10620" s="2" t="str">
        <f t="shared" si="932"/>
        <v>DIAGN</v>
      </c>
      <c r="D10620" s="2" t="str">
        <f t="shared" si="933"/>
        <v>PSSD</v>
      </c>
      <c r="E10620" s="2" t="str">
        <f>"Confirmar Presença para Recoleta"</f>
        <v>Confirmar Presença para Recoleta</v>
      </c>
      <c r="F10620" s="2" t="str">
        <f>"M_PRESENCA_RECOLETA_PACIENTE"</f>
        <v>M_PRESENCA_RECOLETA_PACIENTE</v>
      </c>
      <c r="G10620" s="2" t="str">
        <f>"Diagnóstico e Terapia / Laboratório de Análises Clínicas / Coleta / Confirmar Presença para Recoleta (M_PRESENCA_RECOLETA_PACIENTE)"</f>
        <v>Diagnóstico e Terapia / Laboratório de Análises Clínicas / Coleta / Confirmar Presença para Recoleta (M_PRESENCA_RECOLETA_PACIENTE)</v>
      </c>
    </row>
    <row r="10621" spans="1:7" x14ac:dyDescent="0.3">
      <c r="A10621" s="1" t="s">
        <v>4</v>
      </c>
      <c r="B10621" s="2" t="str">
        <f t="shared" si="931"/>
        <v>SISTEMA DE DIAGNÓSTICO LABORATORIAL</v>
      </c>
      <c r="C10621" s="2" t="str">
        <f t="shared" si="932"/>
        <v>DIAGN</v>
      </c>
      <c r="D10621" s="2" t="str">
        <f t="shared" si="933"/>
        <v>PSSD</v>
      </c>
      <c r="E10621" s="2" t="str">
        <f>"Notificar atraso de resultado"</f>
        <v>Notificar atraso de resultado</v>
      </c>
      <c r="F10621" s="2" t="str">
        <f>"M_NOTIFICA_ATRASO_RESULTADO"</f>
        <v>M_NOTIFICA_ATRASO_RESULTADO</v>
      </c>
      <c r="G10621" s="2" t="str">
        <f>"Diagnóstico e Terapia / Laboratório de Análises Clínicas / Atendimento / Notificar Atraso de Resultado (M_NOTIFICA_ATRASO_RESULTADO)"</f>
        <v>Diagnóstico e Terapia / Laboratório de Análises Clínicas / Atendimento / Notificar Atraso de Resultado (M_NOTIFICA_ATRASO_RESULTADO)</v>
      </c>
    </row>
    <row r="10622" spans="1:7" x14ac:dyDescent="0.3">
      <c r="A10622" s="1" t="s">
        <v>4</v>
      </c>
      <c r="B10622" s="2" t="str">
        <f t="shared" si="931"/>
        <v>SISTEMA DE DIAGNÓSTICO LABORATORIAL</v>
      </c>
      <c r="C10622" s="2" t="str">
        <f t="shared" si="932"/>
        <v>DIAGN</v>
      </c>
      <c r="D10622" s="2" t="str">
        <f t="shared" si="933"/>
        <v>PSSD</v>
      </c>
      <c r="E10622" s="2" t="str">
        <f>"Consulta de Atendimento de Origem"</f>
        <v>Consulta de Atendimento de Origem</v>
      </c>
      <c r="F10622" s="2" t="str">
        <f>"M_CONS_ATE_ORI"</f>
        <v>M_CONS_ATE_ORI</v>
      </c>
      <c r="G10622" s="2" t="str">
        <f>" ()"</f>
        <v xml:space="preserve"> ()</v>
      </c>
    </row>
    <row r="10623" spans="1:7" x14ac:dyDescent="0.3">
      <c r="A10623" s="1" t="s">
        <v>4</v>
      </c>
      <c r="B10623" s="2" t="str">
        <f t="shared" si="931"/>
        <v>SISTEMA DE DIAGNÓSTICO LABORATORIAL</v>
      </c>
      <c r="C10623" s="2" t="str">
        <f t="shared" si="932"/>
        <v>DIAGN</v>
      </c>
      <c r="D10623" s="2" t="str">
        <f t="shared" si="933"/>
        <v>PSSD</v>
      </c>
      <c r="E10623" s="2" t="str">
        <f>"Consultar prestador e setor por pedido"</f>
        <v>Consultar prestador e setor por pedido</v>
      </c>
      <c r="F10623" s="2" t="str">
        <f>"M_ITPED_PREST_SETOR"</f>
        <v>M_ITPED_PREST_SETOR</v>
      </c>
      <c r="G10623" s="2" t="str">
        <f>" ()"</f>
        <v xml:space="preserve"> ()</v>
      </c>
    </row>
    <row r="10624" spans="1:7" x14ac:dyDescent="0.3">
      <c r="A10624" s="1" t="s">
        <v>4</v>
      </c>
      <c r="B10624" s="2" t="str">
        <f t="shared" si="931"/>
        <v>SISTEMA DE DIAGNÓSTICO LABORATORIAL</v>
      </c>
      <c r="C10624" s="2" t="str">
        <f t="shared" si="932"/>
        <v>DIAGN</v>
      </c>
      <c r="D10624" s="2" t="str">
        <f t="shared" si="933"/>
        <v>PSSD</v>
      </c>
      <c r="E10624" s="2" t="str">
        <f>"Multi-prestadores e Setores por Pedido"</f>
        <v>Multi-prestadores e Setores por Pedido</v>
      </c>
      <c r="F10624" s="2" t="str">
        <f>"M_PREST_SETOR_SOLIC_EXA"</f>
        <v>M_PREST_SETOR_SOLIC_EXA</v>
      </c>
      <c r="G10624" s="2" t="str">
        <f>" ()"</f>
        <v xml:space="preserve"> ()</v>
      </c>
    </row>
    <row r="10625" spans="1:7" x14ac:dyDescent="0.3">
      <c r="A10625" s="1" t="s">
        <v>4</v>
      </c>
      <c r="B10625" s="2" t="str">
        <f t="shared" si="931"/>
        <v>SISTEMA DE DIAGNÓSTICO LABORATORIAL</v>
      </c>
      <c r="C10625" s="2" t="str">
        <f t="shared" si="932"/>
        <v>DIAGN</v>
      </c>
      <c r="D10625" s="2" t="str">
        <f t="shared" si="933"/>
        <v>PSSD</v>
      </c>
      <c r="E10625" s="2" t="str">
        <f>"Pedido de Exames Multi-Empresa"</f>
        <v>Pedido de Exames Multi-Empresa</v>
      </c>
      <c r="F10625" s="2" t="str">
        <f>"M_PED_LAB_CENTRALIZADO"</f>
        <v>M_PED_LAB_CENTRALIZADO</v>
      </c>
      <c r="G10625" s="2" t="str">
        <f>"Diagnóstico e Terapia / Laboratório de Análises Clínicas / Atendimento / Pedido de Exames Multi-Empresa (M_PED_LAB_CENTRALIZADO)"</f>
        <v>Diagnóstico e Terapia / Laboratório de Análises Clínicas / Atendimento / Pedido de Exames Multi-Empresa (M_PED_LAB_CENTRALIZADO)</v>
      </c>
    </row>
    <row r="10626" spans="1:7" x14ac:dyDescent="0.3">
      <c r="A10626" s="1" t="s">
        <v>4</v>
      </c>
      <c r="B10626" s="2" t="str">
        <f t="shared" si="931"/>
        <v>SISTEMA DE DIAGNÓSTICO LABORATORIAL</v>
      </c>
      <c r="C10626" s="2" t="str">
        <f t="shared" si="932"/>
        <v>DIAGN</v>
      </c>
      <c r="D10626" s="2" t="str">
        <f t="shared" si="933"/>
        <v>PSSD</v>
      </c>
      <c r="E10626" s="2" t="str">
        <f>"Tela de Preview de Laudos do PSSD"</f>
        <v>Tela de Preview de Laudos do PSSD</v>
      </c>
      <c r="F10626" s="2" t="str">
        <f>"M_PREVIEW_LAUDO_PSSD"</f>
        <v>M_PREVIEW_LAUDO_PSSD</v>
      </c>
      <c r="G10626" s="2" t="str">
        <f>" ()"</f>
        <v xml:space="preserve"> ()</v>
      </c>
    </row>
    <row r="10627" spans="1:7" x14ac:dyDescent="0.3">
      <c r="A10627" s="1" t="s">
        <v>4</v>
      </c>
      <c r="B10627" s="2" t="str">
        <f t="shared" si="931"/>
        <v>SISTEMA DE DIAGNÓSTICO LABORATORIAL</v>
      </c>
      <c r="C10627" s="2" t="str">
        <f t="shared" si="932"/>
        <v>DIAGN</v>
      </c>
      <c r="D10627" s="2" t="str">
        <f t="shared" si="933"/>
        <v>PSSD</v>
      </c>
      <c r="E10627" s="2" t="str">
        <f>"Tela de Lista de Últimos Resultados"</f>
        <v>Tela de Lista de Últimos Resultados</v>
      </c>
      <c r="F10627" s="2" t="str">
        <f>"M_ULTIMOS_RESULTADOS_LISTA"</f>
        <v>M_ULTIMOS_RESULTADOS_LISTA</v>
      </c>
      <c r="G10627" s="2" t="str">
        <f>" ()"</f>
        <v xml:space="preserve"> ()</v>
      </c>
    </row>
    <row r="10628" spans="1:7" x14ac:dyDescent="0.3">
      <c r="A10628" s="1" t="s">
        <v>4</v>
      </c>
      <c r="B10628" s="2" t="str">
        <f t="shared" si="931"/>
        <v>SISTEMA DE DIAGNÓSTICO LABORATORIAL</v>
      </c>
      <c r="C10628" s="2" t="str">
        <f t="shared" si="932"/>
        <v>DIAGN</v>
      </c>
      <c r="D10628" s="2" t="str">
        <f t="shared" si="933"/>
        <v>PSSD</v>
      </c>
      <c r="E10628" s="2" t="str">
        <f>"PAINEL OPERACIONAL PSSD"</f>
        <v>PAINEL OPERACIONAL PSSD</v>
      </c>
      <c r="F10628" s="2" t="str">
        <f>"M_WORKFLOW_PENDENCIAS_PSSD"</f>
        <v>M_WORKFLOW_PENDENCIAS_PSSD</v>
      </c>
      <c r="G10628" s="2" t="str">
        <f>" ()"</f>
        <v xml:space="preserve"> ()</v>
      </c>
    </row>
    <row r="10629" spans="1:7" x14ac:dyDescent="0.3">
      <c r="A10629" s="1" t="s">
        <v>4</v>
      </c>
      <c r="B10629" s="2" t="str">
        <f t="shared" si="931"/>
        <v>SISTEMA DE DIAGNÓSTICO LABORATORIAL</v>
      </c>
      <c r="C10629" s="2" t="str">
        <f t="shared" si="932"/>
        <v>DIAGN</v>
      </c>
      <c r="D10629" s="2" t="str">
        <f t="shared" si="933"/>
        <v>PSSD</v>
      </c>
      <c r="E10629" s="2" t="str">
        <f>"RESULTADO EM LOTE"</f>
        <v>RESULTADO EM LOTE</v>
      </c>
      <c r="F10629" s="2" t="str">
        <f>"M_RESULTADO_LOTE"</f>
        <v>M_RESULTADO_LOTE</v>
      </c>
      <c r="G10629" s="2" t="str">
        <f>"Diagnóstico e Terapia / Laboratório de Análises Clínicas / Atendimento / Resultado em Lote (M_RESULTADO_LOTE)"</f>
        <v>Diagnóstico e Terapia / Laboratório de Análises Clínicas / Atendimento / Resultado em Lote (M_RESULTADO_LOTE)</v>
      </c>
    </row>
    <row r="10630" spans="1:7" x14ac:dyDescent="0.3">
      <c r="A10630" s="1" t="s">
        <v>4</v>
      </c>
      <c r="B10630" s="2" t="str">
        <f t="shared" si="931"/>
        <v>SISTEMA DE DIAGNÓSTICO LABORATORIAL</v>
      </c>
      <c r="C10630" s="2" t="str">
        <f t="shared" si="932"/>
        <v>DIAGN</v>
      </c>
      <c r="D10630" s="2" t="str">
        <f t="shared" si="933"/>
        <v>PSSD</v>
      </c>
      <c r="E10630" s="2" t="str">
        <f>"Tipos de Resultados Antimicrobianos"</f>
        <v>Tipos de Resultados Antimicrobianos</v>
      </c>
      <c r="F10630" s="2" t="str">
        <f>"M_TIPO_RESULTADO_ANTIMICROB"</f>
        <v>M_TIPO_RESULTADO_ANTIMICROB</v>
      </c>
      <c r="G10630" s="2" t="str">
        <f>"Diagnóstico e Terapia / Laboratório de Análises Clínicas / Tabelas / Tipos de Resultados Antimicrobianos (M_TIPO_RESULTADO_ANTIMICROB)"</f>
        <v>Diagnóstico e Terapia / Laboratório de Análises Clínicas / Tabelas / Tipos de Resultados Antimicrobianos (M_TIPO_RESULTADO_ANTIMICROB)</v>
      </c>
    </row>
    <row r="10631" spans="1:7" x14ac:dyDescent="0.3">
      <c r="A10631" s="1" t="s">
        <v>4</v>
      </c>
      <c r="B10631" s="2" t="str">
        <f t="shared" si="931"/>
        <v>SISTEMA DE DIAGNÓSTICO LABORATORIAL</v>
      </c>
      <c r="C10631" s="2" t="str">
        <f t="shared" si="932"/>
        <v>DIAGN</v>
      </c>
      <c r="D10631" s="2" t="str">
        <f t="shared" si="933"/>
        <v>PSSD</v>
      </c>
      <c r="E10631" s="2" t="str">
        <f>"LAUDOS POR CIDADE"</f>
        <v>LAUDOS POR CIDADE</v>
      </c>
      <c r="F10631" s="2" t="str">
        <f>"R_LAUDO_CIDADE"</f>
        <v>R_LAUDO_CIDADE</v>
      </c>
      <c r="G10631" s="2" t="str">
        <f>"Diagnóstico e Terapia / Laboratório de Análises Clínicas / Relatórios / Estatisticos / Laudos por Cidade (R_LAUDO_CIDADE)"</f>
        <v>Diagnóstico e Terapia / Laboratório de Análises Clínicas / Relatórios / Estatisticos / Laudos por Cidade (R_LAUDO_CIDADE)</v>
      </c>
    </row>
    <row r="10632" spans="1:7" x14ac:dyDescent="0.3">
      <c r="A10632" s="1" t="s">
        <v>4</v>
      </c>
      <c r="B10632" s="2" t="str">
        <f t="shared" si="931"/>
        <v>SISTEMA DE DIAGNÓSTICO LABORATORIAL</v>
      </c>
      <c r="C10632" s="2" t="str">
        <f t="shared" si="932"/>
        <v>DIAGN</v>
      </c>
      <c r="D10632" s="2" t="str">
        <f t="shared" si="933"/>
        <v>PSSD</v>
      </c>
      <c r="E10632" s="2" t="str">
        <f>"POP - Procedimento Operacional Padrão"</f>
        <v>POP - Procedimento Operacional Padrão</v>
      </c>
      <c r="F10632" s="2" t="str">
        <f>"M_POP"</f>
        <v>M_POP</v>
      </c>
      <c r="G10632" s="2" t="str">
        <f>"Diagnóstico e Terapia / Laboratório de Análises Clínicas / Tabelas / POP - Procedimento Operacional Padrão (M_POP)"</f>
        <v>Diagnóstico e Terapia / Laboratório de Análises Clínicas / Tabelas / POP - Procedimento Operacional Padrão (M_POP)</v>
      </c>
    </row>
    <row r="10633" spans="1:7" x14ac:dyDescent="0.3">
      <c r="A10633" s="1" t="s">
        <v>4</v>
      </c>
      <c r="B10633" s="2" t="str">
        <f t="shared" si="931"/>
        <v>SISTEMA DE DIAGNÓSTICO LABORATORIAL</v>
      </c>
      <c r="C10633" s="2" t="str">
        <f t="shared" si="932"/>
        <v>DIAGN</v>
      </c>
      <c r="D10633" s="2" t="str">
        <f t="shared" si="933"/>
        <v>PSSD</v>
      </c>
      <c r="E10633" s="2" t="str">
        <f>"Pedidos de Exames / Atendimento Externo"</f>
        <v>Pedidos de Exames / Atendimento Externo</v>
      </c>
      <c r="F10633" s="2" t="str">
        <f>"M_PED_EXA_ATEND"</f>
        <v>M_PED_EXA_ATEND</v>
      </c>
      <c r="G10633" s="2" t="str">
        <f>"Diagnóstico e Terapia / Laboratório de Análises Clínicas / Atendimento / Pedidos de Exames / Atendimento Externo (M_PED_EXA_ATEND)"</f>
        <v>Diagnóstico e Terapia / Laboratório de Análises Clínicas / Atendimento / Pedidos de Exames / Atendimento Externo (M_PED_EXA_ATEND)</v>
      </c>
    </row>
    <row r="10634" spans="1:7" x14ac:dyDescent="0.3">
      <c r="A10634" s="1" t="s">
        <v>4</v>
      </c>
      <c r="B10634" s="2" t="str">
        <f t="shared" si="931"/>
        <v>SISTEMA DE DIAGNÓSTICO LABORATORIAL</v>
      </c>
      <c r="C10634" s="2" t="str">
        <f t="shared" si="932"/>
        <v>DIAGN</v>
      </c>
      <c r="D10634" s="2" t="str">
        <f t="shared" si="933"/>
        <v>PSSD</v>
      </c>
      <c r="E10634" s="2" t="str">
        <f>"Exames Faltosos"</f>
        <v>Exames Faltosos</v>
      </c>
      <c r="F10634" s="2" t="str">
        <f>"M_EXA_LAB_FALTOSOS"</f>
        <v>M_EXA_LAB_FALTOSOS</v>
      </c>
      <c r="G10634" s="2" t="str">
        <f>"Diagnóstico e Terapia / Laboratório de Análises Clínicas / Coleta / Exames Faltosos (M_EXA_LAB_FALTOSOS)"</f>
        <v>Diagnóstico e Terapia / Laboratório de Análises Clínicas / Coleta / Exames Faltosos (M_EXA_LAB_FALTOSOS)</v>
      </c>
    </row>
    <row r="10635" spans="1:7" x14ac:dyDescent="0.3">
      <c r="A10635" s="1" t="s">
        <v>4</v>
      </c>
      <c r="B10635" s="2" t="str">
        <f t="shared" si="931"/>
        <v>SISTEMA DE DIAGNÓSTICO LABORATORIAL</v>
      </c>
      <c r="C10635" s="2" t="str">
        <f t="shared" si="932"/>
        <v>DIAGN</v>
      </c>
      <c r="D10635" s="2" t="str">
        <f t="shared" si="933"/>
        <v>PSSD</v>
      </c>
      <c r="E10635" s="2" t="str">
        <f>"RELATÓRIO EXAMES REALIZADOS POR BANCADA"</f>
        <v>RELATÓRIO EXAMES REALIZADOS POR BANCADA</v>
      </c>
      <c r="F10635" s="2" t="str">
        <f>"R_PROD_BANCADA"</f>
        <v>R_PROD_BANCADA</v>
      </c>
      <c r="G10635" s="2" t="str">
        <f>"Diagnóstico e Terapia / Laboratório de Análises Clínicas / Relatórios / Gerenciais / Produção por Bancada (R_PROD_BANCADA)"</f>
        <v>Diagnóstico e Terapia / Laboratório de Análises Clínicas / Relatórios / Gerenciais / Produção por Bancada (R_PROD_BANCADA)</v>
      </c>
    </row>
    <row r="10636" spans="1:7" x14ac:dyDescent="0.3">
      <c r="A10636" s="1" t="s">
        <v>4</v>
      </c>
      <c r="B10636" s="2" t="str">
        <f t="shared" si="931"/>
        <v>SISTEMA DE DIAGNÓSTICO LABORATORIAL</v>
      </c>
      <c r="C10636" s="2" t="str">
        <f t="shared" si="932"/>
        <v>DIAGN</v>
      </c>
      <c r="D10636" s="2" t="str">
        <f t="shared" si="933"/>
        <v>PSSD</v>
      </c>
      <c r="E10636" s="2" t="str">
        <f>"RASTREAMENTO DE AMOSTRAS POR BANCADA"</f>
        <v>RASTREAMENTO DE AMOSTRAS POR BANCADA</v>
      </c>
      <c r="F10636" s="2" t="str">
        <f>"M_RASTREAR_AMOSTRA_BANCADA"</f>
        <v>M_RASTREAR_AMOSTRA_BANCADA</v>
      </c>
      <c r="G10636" s="2" t="str">
        <f>"Diagnóstico e Terapia / Laboratório de Análises Clínicas / Coleta / Rastreamento de Amostras / Rastreamento de Amostras por Bancada (M_RASTREAR_AMOSTRA_BANCADA)"</f>
        <v>Diagnóstico e Terapia / Laboratório de Análises Clínicas / Coleta / Rastreamento de Amostras / Rastreamento de Amostras por Bancada (M_RASTREAR_AMOSTRA_BANCADA)</v>
      </c>
    </row>
    <row r="10637" spans="1:7" x14ac:dyDescent="0.3">
      <c r="A10637" s="1" t="s">
        <v>4</v>
      </c>
      <c r="B10637" s="2" t="str">
        <f t="shared" si="931"/>
        <v>SISTEMA DE DIAGNÓSTICO LABORATORIAL</v>
      </c>
      <c r="C10637" s="2" t="str">
        <f t="shared" si="932"/>
        <v>DIAGN</v>
      </c>
      <c r="D10637" s="2" t="str">
        <f t="shared" si="933"/>
        <v>PSSD</v>
      </c>
      <c r="E10637" s="2" t="str">
        <f>"RASTREAMENTO DE AMOSTRAS GLOBAL"</f>
        <v>RASTREAMENTO DE AMOSTRAS GLOBAL</v>
      </c>
      <c r="F10637" s="2" t="str">
        <f>"M_RASTREAR_AMOSTRA_GLOBAL"</f>
        <v>M_RASTREAR_AMOSTRA_GLOBAL</v>
      </c>
      <c r="G10637" s="2" t="str">
        <f>"Diagnóstico e Terapia / Laboratório de Análises Clínicas / Coleta / Rastreamento de Amostras / Rastreamento de Amostras On-Line (M_RASTREAR_AMOSTRA_GLOBAL)"</f>
        <v>Diagnóstico e Terapia / Laboratório de Análises Clínicas / Coleta / Rastreamento de Amostras / Rastreamento de Amostras On-Line (M_RASTREAR_AMOSTRA_GLOBAL)</v>
      </c>
    </row>
    <row r="10638" spans="1:7" x14ac:dyDescent="0.3">
      <c r="A10638" s="1" t="s">
        <v>4</v>
      </c>
      <c r="B10638" s="2" t="str">
        <f t="shared" si="931"/>
        <v>SISTEMA DE DIAGNÓSTICO LABORATORIAL</v>
      </c>
      <c r="C10638" s="2" t="str">
        <f t="shared" si="932"/>
        <v>DIAGN</v>
      </c>
      <c r="D10638" s="2" t="str">
        <f t="shared" si="933"/>
        <v>PSSD</v>
      </c>
      <c r="E10638" s="2" t="str">
        <f>"RELAT. ESTAT. CULT.XMAT. UNID.INT. PSSD"</f>
        <v>RELAT. ESTAT. CULT.XMAT. UNID.INT. PSSD</v>
      </c>
      <c r="F10638" s="2" t="str">
        <f>"R_EST_POS_CULTURA_MATERIAL_PSSD"</f>
        <v>R_EST_POS_CULTURA_MATERIAL_PSSD</v>
      </c>
      <c r="G10638" s="2" t="str">
        <f>"Diagnóstico e Terapia / Laboratório de Análises Clínicas / Relatórios / Estatisticos / Estatística de Cultura x Material por Unid.Internação (R_EST_POS_CULTURA_MATERIAL_PSSD)"</f>
        <v>Diagnóstico e Terapia / Laboratório de Análises Clínicas / Relatórios / Estatisticos / Estatística de Cultura x Material por Unid.Internação (R_EST_POS_CULTURA_MATERIAL_PSSD)</v>
      </c>
    </row>
    <row r="10639" spans="1:7" x14ac:dyDescent="0.3">
      <c r="A10639" s="1" t="s">
        <v>4</v>
      </c>
      <c r="B10639" s="2" t="str">
        <f t="shared" si="931"/>
        <v>SISTEMA DE DIAGNÓSTICO LABORATORIAL</v>
      </c>
      <c r="C10639" s="2" t="str">
        <f t="shared" si="932"/>
        <v>DIAGN</v>
      </c>
      <c r="D10639" s="2" t="str">
        <f t="shared" si="933"/>
        <v>PSSD</v>
      </c>
      <c r="E10639" s="2" t="str">
        <f>"AGRUPAMENTO DE EXAMES"</f>
        <v>AGRUPAMENTO DE EXAMES</v>
      </c>
      <c r="F10639" s="2" t="str">
        <f>"M_AGRUPAMENTO_EXAME"</f>
        <v>M_AGRUPAMENTO_EXAME</v>
      </c>
      <c r="G10639" s="2" t="str">
        <f>"Diagnóstico e Terapia / Laboratório de Análises Clínicas / Tabelas / AGRUPAMENTO DE EXAMES (M_AGRUPAMENTO_EXAME)"</f>
        <v>Diagnóstico e Terapia / Laboratório de Análises Clínicas / Tabelas / AGRUPAMENTO DE EXAMES (M_AGRUPAMENTO_EXAME)</v>
      </c>
    </row>
    <row r="10640" spans="1:7" x14ac:dyDescent="0.3">
      <c r="A10640" s="1" t="s">
        <v>4</v>
      </c>
      <c r="B10640" s="2" t="str">
        <f t="shared" si="931"/>
        <v>SISTEMA DE DIAGNÓSTICO LABORATORIAL</v>
      </c>
      <c r="C10640" s="2" t="str">
        <f t="shared" si="932"/>
        <v>DIAGN</v>
      </c>
      <c r="D10640" s="2" t="str">
        <f t="shared" si="933"/>
        <v>PSSD</v>
      </c>
      <c r="E10640" s="2" t="str">
        <f>"GERENCIAMENTO DE PASTA DE TRABALHO"</f>
        <v>GERENCIAMENTO DE PASTA DE TRABALHO</v>
      </c>
      <c r="F10640" s="2" t="str">
        <f>"M_PASTA_TRABALHO_PSSD"</f>
        <v>M_PASTA_TRABALHO_PSSD</v>
      </c>
      <c r="G10640" s="2" t="str">
        <f>"Diagnóstico e Terapia / Laboratório de Análises Clínicas / Atendimento / GERENCIAMENTO DE PASTA DE TRABALHO (M_PASTA_TRABALHO_PSSD)"</f>
        <v>Diagnóstico e Terapia / Laboratório de Análises Clínicas / Atendimento / GERENCIAMENTO DE PASTA DE TRABALHO (M_PASTA_TRABALHO_PSSD)</v>
      </c>
    </row>
    <row r="10641" spans="1:7" x14ac:dyDescent="0.3">
      <c r="A10641" s="1" t="s">
        <v>4</v>
      </c>
      <c r="B10641" s="2" t="str">
        <f t="shared" si="931"/>
        <v>SISTEMA DE DIAGNÓSTICO LABORATORIAL</v>
      </c>
      <c r="C10641" s="2" t="str">
        <f t="shared" si="932"/>
        <v>DIAGN</v>
      </c>
      <c r="D10641" s="2" t="str">
        <f t="shared" si="933"/>
        <v>PSSD</v>
      </c>
      <c r="E10641" s="2" t="str">
        <f>"CONFIRMAÇÃO DE ENTREGA DE AMOSTRA"</f>
        <v>CONFIRMAÇÃO DE ENTREGA DE AMOSTRA</v>
      </c>
      <c r="F10641" s="2" t="str">
        <f>"M_ENTREGA_AMOSTRA"</f>
        <v>M_ENTREGA_AMOSTRA</v>
      </c>
      <c r="G10641" s="2" t="str">
        <f>"Diagnóstico e Terapia / Laboratório de Análises Clínicas / Atendimento / Confirmação de Entrega de Amostra (M_ENTREGA_AMOSTRA)"</f>
        <v>Diagnóstico e Terapia / Laboratório de Análises Clínicas / Atendimento / Confirmação de Entrega de Amostra (M_ENTREGA_AMOSTRA)</v>
      </c>
    </row>
    <row r="10642" spans="1:7" x14ac:dyDescent="0.3">
      <c r="A10642" s="1" t="s">
        <v>4</v>
      </c>
      <c r="B10642" s="2" t="str">
        <f t="shared" si="931"/>
        <v>SISTEMA DE DIAGNÓSTICO LABORATORIAL</v>
      </c>
      <c r="C10642" s="2" t="str">
        <f t="shared" si="932"/>
        <v>DIAGN</v>
      </c>
      <c r="D10642" s="2" t="str">
        <f t="shared" si="933"/>
        <v>PSSD</v>
      </c>
      <c r="E10642" s="2" t="str">
        <f>"PACIENTES POR BANCADA"</f>
        <v>PACIENTES POR BANCADA</v>
      </c>
      <c r="F10642" s="2" t="str">
        <f>"R_PACIENTE_BANCADA"</f>
        <v>R_PACIENTE_BANCADA</v>
      </c>
      <c r="G10642" s="2" t="str">
        <f>"Diagnóstico e Terapia / Laboratório de Análises Clínicas / Relatórios / Operacionais / Pacientes dia (R_PACIENTE_BANCADA)"</f>
        <v>Diagnóstico e Terapia / Laboratório de Análises Clínicas / Relatórios / Operacionais / Pacientes dia (R_PACIENTE_BANCADA)</v>
      </c>
    </row>
    <row r="10643" spans="1:7" x14ac:dyDescent="0.3">
      <c r="A10643" s="1" t="s">
        <v>4</v>
      </c>
      <c r="B10643" s="2" t="str">
        <f t="shared" si="931"/>
        <v>SISTEMA DE DIAGNÓSTICO LABORATORIAL</v>
      </c>
      <c r="C10643" s="2" t="str">
        <f t="shared" si="932"/>
        <v>DIAGN</v>
      </c>
      <c r="D10643" s="2" t="str">
        <f t="shared" si="933"/>
        <v>PSSD</v>
      </c>
      <c r="E10643" s="2" t="str">
        <f>"Pendências de Coleta"</f>
        <v>Pendências de Coleta</v>
      </c>
      <c r="F10643" s="2" t="str">
        <f>"M_PENDENCIA_COLETA"</f>
        <v>M_PENDENCIA_COLETA</v>
      </c>
      <c r="G10643" s="2" t="str">
        <f>"Diagnóstico e Terapia / Laboratório de Análises Clínicas / Atendimento / Pendências de Coleta (M_PENDENCIA_COLETA)"</f>
        <v>Diagnóstico e Terapia / Laboratório de Análises Clínicas / Atendimento / Pendências de Coleta (M_PENDENCIA_COLETA)</v>
      </c>
    </row>
    <row r="10644" spans="1:7" x14ac:dyDescent="0.3">
      <c r="A10644" s="1" t="s">
        <v>4</v>
      </c>
      <c r="B10644" s="2" t="str">
        <f t="shared" si="931"/>
        <v>SISTEMA DE DIAGNÓSTICO LABORATORIAL</v>
      </c>
      <c r="C10644" s="2" t="str">
        <f t="shared" si="932"/>
        <v>DIAGN</v>
      </c>
      <c r="D10644" s="2" t="str">
        <f t="shared" si="933"/>
        <v>PSSD</v>
      </c>
      <c r="E10644" s="2" t="str">
        <f>"Setores Solic. X Setores Executantes"</f>
        <v>Setores Solic. X Setores Executantes</v>
      </c>
      <c r="F10644" s="2" t="str">
        <f>"M_SETOR_SOLIC_EXEC_PSSD"</f>
        <v>M_SETOR_SOLIC_EXEC_PSSD</v>
      </c>
      <c r="G10644" s="2" t="str">
        <f>"Diagnóstico e Terapia / Laboratório de Análises Clínicas / Configuração / Setores Solic. X Setores Executantes (M_SETOR_SOLIC_EXEC_PSSD)"</f>
        <v>Diagnóstico e Terapia / Laboratório de Análises Clínicas / Configuração / Setores Solic. X Setores Executantes (M_SETOR_SOLIC_EXEC_PSSD)</v>
      </c>
    </row>
    <row r="10645" spans="1:7" x14ac:dyDescent="0.3">
      <c r="A10645" s="1" t="s">
        <v>4</v>
      </c>
      <c r="B10645" s="2" t="str">
        <f t="shared" si="931"/>
        <v>SISTEMA DE DIAGNÓSTICO LABORATORIAL</v>
      </c>
      <c r="C10645" s="2" t="str">
        <f t="shared" si="932"/>
        <v>DIAGN</v>
      </c>
      <c r="D10645" s="2" t="str">
        <f t="shared" si="933"/>
        <v>PSSD</v>
      </c>
      <c r="E10645" s="2" t="str">
        <f>"CONSULTA DE RESULTADO DE EXAMES"</f>
        <v>CONSULTA DE RESULTADO DE EXAMES</v>
      </c>
      <c r="F10645" s="2" t="str">
        <f>"C_RES_EXA_PSSD"</f>
        <v>C_RES_EXA_PSSD</v>
      </c>
      <c r="G10645" s="2" t="str">
        <f>"Clínica e Assistencial / Controle de Infecção Hospitalar / Consultas / Exames Laboratoriais / Resultados de Exames (C_RES_EXA_PSSD)"</f>
        <v>Clínica e Assistencial / Controle de Infecção Hospitalar / Consultas / Exames Laboratoriais / Resultados de Exames (C_RES_EXA_PSSD)</v>
      </c>
    </row>
    <row r="10646" spans="1:7" x14ac:dyDescent="0.3">
      <c r="A10646" s="1" t="s">
        <v>4</v>
      </c>
      <c r="B10646" s="2" t="str">
        <f t="shared" si="931"/>
        <v>SISTEMA DE DIAGNÓSTICO LABORATORIAL</v>
      </c>
      <c r="C10646" s="2" t="str">
        <f t="shared" si="932"/>
        <v>DIAGN</v>
      </c>
      <c r="D10646" s="2" t="str">
        <f t="shared" si="933"/>
        <v>PSSD</v>
      </c>
      <c r="E10646" s="2" t="str">
        <f>"CONSULTA DE RESULTADO DE EXAMES"</f>
        <v>CONSULTA DE RESULTADO DE EXAMES</v>
      </c>
      <c r="F10646" s="2" t="str">
        <f>"C_RES_EXA_PSSD"</f>
        <v>C_RES_EXA_PSSD</v>
      </c>
      <c r="G10646" s="2" t="str">
        <f>"Diagnóstico e Terapia / Laboratório de Análises Clínicas / Consultas / Resultado de Exames (C_RES_EXA_PSSD)"</f>
        <v>Diagnóstico e Terapia / Laboratório de Análises Clínicas / Consultas / Resultado de Exames (C_RES_EXA_PSSD)</v>
      </c>
    </row>
    <row r="10647" spans="1:7" x14ac:dyDescent="0.3">
      <c r="A10647" s="1" t="s">
        <v>4</v>
      </c>
      <c r="B10647" s="2" t="str">
        <f t="shared" si="931"/>
        <v>SISTEMA DE DIAGNÓSTICO LABORATORIAL</v>
      </c>
      <c r="C10647" s="2" t="str">
        <f t="shared" si="932"/>
        <v>DIAGN</v>
      </c>
      <c r="D10647" s="2" t="str">
        <f t="shared" si="933"/>
        <v>PSSD</v>
      </c>
      <c r="E10647" s="2" t="str">
        <f>"DISQUETE SISCOLO - CITOPATOLOGIA"</f>
        <v>DISQUETE SISCOLO - CITOPATOLOGIA</v>
      </c>
      <c r="F10647" s="2" t="str">
        <f>"O_GERACITOPAT"</f>
        <v>O_GERACITOPAT</v>
      </c>
      <c r="G10647" s="2" t="str">
        <f>" ()"</f>
        <v xml:space="preserve"> ()</v>
      </c>
    </row>
    <row r="10648" spans="1:7" x14ac:dyDescent="0.3">
      <c r="A10648" s="1" t="s">
        <v>4</v>
      </c>
      <c r="B10648" s="2" t="str">
        <f t="shared" si="931"/>
        <v>SISTEMA DE DIAGNÓSTICO LABORATORIAL</v>
      </c>
      <c r="C10648" s="2" t="str">
        <f t="shared" si="932"/>
        <v>DIAGN</v>
      </c>
      <c r="D10648" s="2" t="str">
        <f t="shared" si="933"/>
        <v>PSSD</v>
      </c>
      <c r="E10648" s="2" t="str">
        <f>"RELATÓRIO DE EXAMES POR MÉDICO(SINTÉTIC)"</f>
        <v>RELATÓRIO DE EXAMES POR MÉDICO(SINTÉTIC)</v>
      </c>
      <c r="F10648" s="2" t="str">
        <f>"R_EXAMEDS"</f>
        <v>R_EXAMEDS</v>
      </c>
      <c r="G10648" s="2" t="str">
        <f>"Diagnóstico e Terapia / Laboratório de Análises Clínicas / Relatórios / Estatisticos / Exames por Médicos / Sintético (R_EXAMEDS)"</f>
        <v>Diagnóstico e Terapia / Laboratório de Análises Clínicas / Relatórios / Estatisticos / Exames por Médicos / Sintético (R_EXAMEDS)</v>
      </c>
    </row>
    <row r="10649" spans="1:7" x14ac:dyDescent="0.3">
      <c r="A10649" s="1" t="s">
        <v>4</v>
      </c>
      <c r="B10649" s="2" t="str">
        <f t="shared" si="931"/>
        <v>SISTEMA DE DIAGNÓSTICO LABORATORIAL</v>
      </c>
      <c r="C10649" s="2" t="str">
        <f t="shared" si="932"/>
        <v>DIAGN</v>
      </c>
      <c r="D10649" s="2" t="str">
        <f t="shared" si="933"/>
        <v>PSSD</v>
      </c>
      <c r="E10649" s="2" t="str">
        <f>"RELATÓRIO DE EXAMES POR MÉDICO(ANALIT.)"</f>
        <v>RELATÓRIO DE EXAMES POR MÉDICO(ANALIT.)</v>
      </c>
      <c r="F10649" s="2" t="str">
        <f>"R_EXAMED"</f>
        <v>R_EXAMED</v>
      </c>
      <c r="G10649" s="2" t="str">
        <f>"Diagnóstico e Terapia / Laboratório de Análises Clínicas / Relatórios / Estatisticos / Exames por Médicos / Analítico (R_EXAMED)"</f>
        <v>Diagnóstico e Terapia / Laboratório de Análises Clínicas / Relatórios / Estatisticos / Exames por Médicos / Analítico (R_EXAMED)</v>
      </c>
    </row>
    <row r="10650" spans="1:7" x14ac:dyDescent="0.3">
      <c r="A10650" s="1" t="s">
        <v>4</v>
      </c>
      <c r="B10650" s="2" t="str">
        <f t="shared" si="931"/>
        <v>SISTEMA DE DIAGNÓSTICO LABORATORIAL</v>
      </c>
      <c r="C10650" s="2" t="str">
        <f t="shared" si="932"/>
        <v>DIAGN</v>
      </c>
      <c r="D10650" s="2" t="str">
        <f t="shared" si="933"/>
        <v>PSSD</v>
      </c>
      <c r="E10650" s="2" t="str">
        <f>"CONSULTA: AGENDAMENTO DE EXAMES"</f>
        <v>CONSULTA: AGENDAMENTO DE EXAMES</v>
      </c>
      <c r="F10650" s="2" t="str">
        <f>"C_AGENDA_PSSD"</f>
        <v>C_AGENDA_PSSD</v>
      </c>
      <c r="G10650" s="2" t="str">
        <f>"Diagnóstico e Terapia / Laboratório de Análises Clínicas / Consultas / Agendamento de Exames (C_AGENDA_PSSD)"</f>
        <v>Diagnóstico e Terapia / Laboratório de Análises Clínicas / Consultas / Agendamento de Exames (C_AGENDA_PSSD)</v>
      </c>
    </row>
    <row r="10651" spans="1:7" x14ac:dyDescent="0.3">
      <c r="A10651" s="1" t="s">
        <v>4</v>
      </c>
      <c r="B10651" s="2" t="str">
        <f t="shared" si="931"/>
        <v>SISTEMA DE DIAGNÓSTICO LABORATORIAL</v>
      </c>
      <c r="C10651" s="2" t="str">
        <f t="shared" si="932"/>
        <v>DIAGN</v>
      </c>
      <c r="D10651" s="2" t="str">
        <f t="shared" si="933"/>
        <v>PSSD</v>
      </c>
      <c r="E10651" s="2" t="str">
        <f>"ESPELHO_1302.PRT"</f>
        <v>ESPELHO_1302.PRT</v>
      </c>
      <c r="F10651" s="2" t="str">
        <f>"ESPELHO_1302.PRT"</f>
        <v>ESPELHO_1302.PRT</v>
      </c>
      <c r="G10651" s="2" t="str">
        <f>" ()"</f>
        <v xml:space="preserve"> ()</v>
      </c>
    </row>
    <row r="10652" spans="1:7" x14ac:dyDescent="0.3">
      <c r="A10652" s="1" t="s">
        <v>4</v>
      </c>
      <c r="B10652" s="2" t="str">
        <f t="shared" si="931"/>
        <v>SISTEMA DE DIAGNÓSTICO LABORATORIAL</v>
      </c>
      <c r="C10652" s="2" t="str">
        <f t="shared" si="932"/>
        <v>DIAGN</v>
      </c>
      <c r="D10652" s="2" t="str">
        <f t="shared" si="933"/>
        <v>PSSD</v>
      </c>
      <c r="E10652" s="2" t="str">
        <f>"R_ESPELHO_1302"</f>
        <v>R_ESPELHO_1302</v>
      </c>
      <c r="F10652" s="2" t="str">
        <f>"R_ESPELHO_1302"</f>
        <v>R_ESPELHO_1302</v>
      </c>
      <c r="G10652" s="2" t="str">
        <f>" ()"</f>
        <v xml:space="preserve"> ()</v>
      </c>
    </row>
    <row r="10653" spans="1:7" x14ac:dyDescent="0.3">
      <c r="A10653" s="1" t="s">
        <v>4</v>
      </c>
      <c r="B10653" s="2" t="str">
        <f t="shared" si="931"/>
        <v>SISTEMA DE DIAGNÓSTICO LABORATORIAL</v>
      </c>
      <c r="C10653" s="2" t="str">
        <f t="shared" si="932"/>
        <v>DIAGN</v>
      </c>
      <c r="D10653" s="2" t="str">
        <f t="shared" si="933"/>
        <v>PSSD</v>
      </c>
      <c r="E10653" s="2" t="str">
        <f>"R_PEDIDO_1302"</f>
        <v>R_PEDIDO_1302</v>
      </c>
      <c r="F10653" s="2" t="str">
        <f>"R_PEDIDO_1302"</f>
        <v>R_PEDIDO_1302</v>
      </c>
      <c r="G10653" s="2" t="str">
        <f>" ()"</f>
        <v xml:space="preserve"> ()</v>
      </c>
    </row>
    <row r="10654" spans="1:7" x14ac:dyDescent="0.3">
      <c r="A10654" s="1" t="s">
        <v>4</v>
      </c>
      <c r="B10654" s="2" t="str">
        <f t="shared" si="931"/>
        <v>SISTEMA DE DIAGNÓSTICO LABORATORIAL</v>
      </c>
      <c r="C10654" s="2" t="str">
        <f t="shared" si="932"/>
        <v>DIAGN</v>
      </c>
      <c r="D10654" s="2" t="str">
        <f t="shared" si="933"/>
        <v>PSSD</v>
      </c>
      <c r="E10654" s="2" t="str">
        <f>"ATENDIMENTO: PEDIDOS DE EXAMES"</f>
        <v>ATENDIMENTO: PEDIDOS DE EXAMES</v>
      </c>
      <c r="F10654" s="2" t="str">
        <f>"M_PEDEXA_1302"</f>
        <v>M_PEDEXA_1302</v>
      </c>
      <c r="G10654" s="2" t="str">
        <f>" ()"</f>
        <v xml:space="preserve"> ()</v>
      </c>
    </row>
    <row r="10655" spans="1:7" x14ac:dyDescent="0.3">
      <c r="A10655" s="1" t="s">
        <v>4</v>
      </c>
      <c r="B10655" s="2" t="str">
        <f t="shared" si="931"/>
        <v>SISTEMA DE DIAGNÓSTICO LABORATORIAL</v>
      </c>
      <c r="C10655" s="2" t="str">
        <f t="shared" si="932"/>
        <v>DIAGN</v>
      </c>
      <c r="D10655" s="2" t="str">
        <f t="shared" si="933"/>
        <v>PSSD</v>
      </c>
      <c r="E10655" s="2" t="str">
        <f>"R_LAUDO3_110"</f>
        <v>R_LAUDO3_110</v>
      </c>
      <c r="F10655" s="2" t="str">
        <f>"R_LAUDO3_110"</f>
        <v>R_LAUDO3_110</v>
      </c>
      <c r="G10655" s="2" t="str">
        <f>" ()"</f>
        <v xml:space="preserve"> ()</v>
      </c>
    </row>
    <row r="10656" spans="1:7" x14ac:dyDescent="0.3">
      <c r="A10656" s="1" t="s">
        <v>4</v>
      </c>
      <c r="B10656" s="2" t="str">
        <f t="shared" si="931"/>
        <v>SISTEMA DE DIAGNÓSTICO LABORATORIAL</v>
      </c>
      <c r="C10656" s="2" t="str">
        <f t="shared" si="932"/>
        <v>DIAGN</v>
      </c>
      <c r="D10656" s="2" t="str">
        <f t="shared" si="933"/>
        <v>PSSD</v>
      </c>
      <c r="E10656" s="2" t="str">
        <f>"EXCLUSÃO DE PEDIDOS LABORATORIAIS"</f>
        <v>EXCLUSÃO DE PEDIDOS LABORATORIAIS</v>
      </c>
      <c r="F10656" s="2" t="str">
        <f>"M_EXC_PED_LAB"</f>
        <v>M_EXC_PED_LAB</v>
      </c>
      <c r="G10656" s="2" t="str">
        <f>"Diagnóstico e Terapia / Laboratório de Análises Clínicas / Atendimento / Exclusão de Pedido de Exame (M_EXC_PED_LAB)"</f>
        <v>Diagnóstico e Terapia / Laboratório de Análises Clínicas / Atendimento / Exclusão de Pedido de Exame (M_EXC_PED_LAB)</v>
      </c>
    </row>
    <row r="10657" spans="1:7" x14ac:dyDescent="0.3">
      <c r="A10657" s="1" t="s">
        <v>4</v>
      </c>
      <c r="B10657" s="2" t="str">
        <f t="shared" si="931"/>
        <v>SISTEMA DE DIAGNÓSTICO LABORATORIAL</v>
      </c>
      <c r="C10657" s="2" t="str">
        <f t="shared" si="932"/>
        <v>DIAGN</v>
      </c>
      <c r="D10657" s="2" t="str">
        <f t="shared" si="933"/>
        <v>PSSD</v>
      </c>
      <c r="E10657" s="2" t="str">
        <f>"RELATÓRIO DE EXAMES POR ORIGEM"</f>
        <v>RELATÓRIO DE EXAMES POR ORIGEM</v>
      </c>
      <c r="F10657" s="2" t="str">
        <f>"R_EXAORI2"</f>
        <v>R_EXAORI2</v>
      </c>
      <c r="G10657" s="2" t="str">
        <f>"Diagnóstico e Terapia / Laboratório de Análises Clínicas / Relatórios / Estatisticos / Exames por Origem (R_EXAORI2)"</f>
        <v>Diagnóstico e Terapia / Laboratório de Análises Clínicas / Relatórios / Estatisticos / Exames por Origem (R_EXAORI2)</v>
      </c>
    </row>
    <row r="10658" spans="1:7" x14ac:dyDescent="0.3">
      <c r="A10658" s="1" t="s">
        <v>4</v>
      </c>
      <c r="B10658" s="2" t="str">
        <f t="shared" si="931"/>
        <v>SISTEMA DE DIAGNÓSTICO LABORATORIAL</v>
      </c>
      <c r="C10658" s="2" t="str">
        <f t="shared" si="932"/>
        <v>DIAGN</v>
      </c>
      <c r="D10658" s="2" t="str">
        <f t="shared" si="933"/>
        <v>PSSD</v>
      </c>
      <c r="E10658" s="2" t="str">
        <f>"RELATÓRIO DE MATERIAL DE EXAMES"</f>
        <v>RELATÓRIO DE MATERIAL DE EXAMES</v>
      </c>
      <c r="F10658" s="2" t="str">
        <f>"R_MATERIAL"</f>
        <v>R_MATERIAL</v>
      </c>
      <c r="G10658" s="2" t="str">
        <f>"Diagnóstico e Terapia / Laboratório de Análises Clínicas / Relatórios / Tabelas / Material de Exames (R_MATERIAL)"</f>
        <v>Diagnóstico e Terapia / Laboratório de Análises Clínicas / Relatórios / Tabelas / Material de Exames (R_MATERIAL)</v>
      </c>
    </row>
    <row r="10659" spans="1:7" x14ac:dyDescent="0.3">
      <c r="A10659" s="1" t="s">
        <v>4</v>
      </c>
      <c r="B10659" s="2" t="str">
        <f t="shared" si="931"/>
        <v>SISTEMA DE DIAGNÓSTICO LABORATORIAL</v>
      </c>
      <c r="C10659" s="2" t="str">
        <f t="shared" si="932"/>
        <v>DIAGN</v>
      </c>
      <c r="D10659" s="2" t="str">
        <f t="shared" si="933"/>
        <v>PSSD</v>
      </c>
      <c r="E10659" s="2" t="str">
        <f>"RELATÓRIO DE MATERIAL DE EXAMES"</f>
        <v>RELATÓRIO DE MATERIAL DE EXAMES</v>
      </c>
      <c r="F10659" s="2" t="str">
        <f>"R_MATERIAL"</f>
        <v>R_MATERIAL</v>
      </c>
      <c r="G10659" s="2" t="str">
        <f>"Clínica e Assistencial / Controle de Infecção Hospitalar / Relatórios / Tabelas / Relatórios - Material de Exames (R_MATERIAL)"</f>
        <v>Clínica e Assistencial / Controle de Infecção Hospitalar / Relatórios / Tabelas / Relatórios - Material de Exames (R_MATERIAL)</v>
      </c>
    </row>
    <row r="10660" spans="1:7" x14ac:dyDescent="0.3">
      <c r="A10660" s="1" t="s">
        <v>4</v>
      </c>
      <c r="B10660" s="2" t="str">
        <f t="shared" si="931"/>
        <v>SISTEMA DE DIAGNÓSTICO LABORATORIAL</v>
      </c>
      <c r="C10660" s="2" t="str">
        <f t="shared" si="932"/>
        <v>DIAGN</v>
      </c>
      <c r="D10660" s="2" t="str">
        <f t="shared" si="933"/>
        <v>PSSD</v>
      </c>
      <c r="E10660" s="2" t="str">
        <f>"RELATÓRIO DE FORMAÇÃO DOS LAUDOS"</f>
        <v>RELATÓRIO DE FORMAÇÃO DOS LAUDOS</v>
      </c>
      <c r="F10660" s="2" t="str">
        <f>"R_DESLAU"</f>
        <v>R_DESLAU</v>
      </c>
      <c r="G10660" s="2" t="str">
        <f>"Diagnóstico e Terapia / Laboratório de Análises Clínicas / Relatórios / Tabelas / Formatação dos Laudos (R_DESLAU)"</f>
        <v>Diagnóstico e Terapia / Laboratório de Análises Clínicas / Relatórios / Tabelas / Formatação dos Laudos (R_DESLAU)</v>
      </c>
    </row>
    <row r="10661" spans="1:7" x14ac:dyDescent="0.3">
      <c r="A10661" s="1" t="s">
        <v>4</v>
      </c>
      <c r="B10661" s="2" t="str">
        <f t="shared" si="931"/>
        <v>SISTEMA DE DIAGNÓSTICO LABORATORIAL</v>
      </c>
      <c r="C10661" s="2" t="str">
        <f t="shared" si="932"/>
        <v>DIAGN</v>
      </c>
      <c r="D10661" s="2" t="str">
        <f t="shared" si="933"/>
        <v>PSSD</v>
      </c>
      <c r="E10661" s="2" t="str">
        <f>"RELATÓRIO DE PERGUNTAS X EXAMES"</f>
        <v>RELATÓRIO DE PERGUNTAS X EXAMES</v>
      </c>
      <c r="F10661" s="2" t="str">
        <f>"R_PEREXA"</f>
        <v>R_PEREXA</v>
      </c>
      <c r="G10661" s="2" t="str">
        <f>"Diagnóstico e Terapia / Laboratório de Análises Clínicas / Relatórios / Tabelas / Perguntas x Exames (R_PEREXA)"</f>
        <v>Diagnóstico e Terapia / Laboratório de Análises Clínicas / Relatórios / Tabelas / Perguntas x Exames (R_PEREXA)</v>
      </c>
    </row>
    <row r="10662" spans="1:7" x14ac:dyDescent="0.3">
      <c r="A10662" s="1" t="s">
        <v>4</v>
      </c>
      <c r="B10662" s="2" t="str">
        <f t="shared" si="931"/>
        <v>SISTEMA DE DIAGNÓSTICO LABORATORIAL</v>
      </c>
      <c r="C10662" s="2" t="str">
        <f t="shared" si="932"/>
        <v>DIAGN</v>
      </c>
      <c r="D10662" s="2" t="str">
        <f t="shared" si="933"/>
        <v>PSSD</v>
      </c>
      <c r="E10662" s="2" t="str">
        <f>"RELATÓRIO DE LABORATÓRIO X EXAMES"</f>
        <v>RELATÓRIO DE LABORATÓRIO X EXAMES</v>
      </c>
      <c r="F10662" s="2" t="str">
        <f>"LABEXA"</f>
        <v>LABEXA</v>
      </c>
      <c r="G10662" s="2" t="str">
        <f>" ()"</f>
        <v xml:space="preserve"> ()</v>
      </c>
    </row>
    <row r="10663" spans="1:7" x14ac:dyDescent="0.3">
      <c r="A10663" s="1" t="s">
        <v>4</v>
      </c>
      <c r="B10663" s="2" t="str">
        <f t="shared" si="931"/>
        <v>SISTEMA DE DIAGNÓSTICO LABORATORIAL</v>
      </c>
      <c r="C10663" s="2" t="str">
        <f t="shared" si="932"/>
        <v>DIAGN</v>
      </c>
      <c r="D10663" s="2" t="str">
        <f t="shared" si="933"/>
        <v>PSSD</v>
      </c>
      <c r="E10663" s="2" t="str">
        <f>"RELATÓRIO DE EXAMES E PERGUNTAS"</f>
        <v>RELATÓRIO DE EXAMES E PERGUNTAS</v>
      </c>
      <c r="F10663" s="2" t="str">
        <f>"R_EXAPER"</f>
        <v>R_EXAPER</v>
      </c>
      <c r="G10663" s="2" t="str">
        <f>"Diagnóstico e Terapia / Laboratório de Análises Clínicas / Relatórios / Tabelas / Exames x Perguntas (R_EXAPER)"</f>
        <v>Diagnóstico e Terapia / Laboratório de Análises Clínicas / Relatórios / Tabelas / Exames x Perguntas (R_EXAPER)</v>
      </c>
    </row>
    <row r="10664" spans="1:7" x14ac:dyDescent="0.3">
      <c r="A10664" s="1" t="s">
        <v>4</v>
      </c>
      <c r="B10664" s="2" t="str">
        <f t="shared" si="931"/>
        <v>SISTEMA DE DIAGNÓSTICO LABORATORIAL</v>
      </c>
      <c r="C10664" s="2" t="str">
        <f t="shared" si="932"/>
        <v>DIAGN</v>
      </c>
      <c r="D10664" s="2" t="str">
        <f t="shared" si="933"/>
        <v>PSSD</v>
      </c>
      <c r="E10664" s="2" t="str">
        <f>"RELATÓRIO DE EXAMES"</f>
        <v>RELATÓRIO DE EXAMES</v>
      </c>
      <c r="F10664" s="2" t="str">
        <f>"R_EXALAB"</f>
        <v>R_EXALAB</v>
      </c>
      <c r="G10664" s="2" t="str">
        <f>"Diagnóstico e Terapia / Laboratório de Análises Clínicas / Relatórios / Tabelas / Exames (R_EXALAB)"</f>
        <v>Diagnóstico e Terapia / Laboratório de Análises Clínicas / Relatórios / Tabelas / Exames (R_EXALAB)</v>
      </c>
    </row>
    <row r="10665" spans="1:7" x14ac:dyDescent="0.3">
      <c r="A10665" s="1" t="s">
        <v>4</v>
      </c>
      <c r="B10665" s="2" t="str">
        <f t="shared" si="931"/>
        <v>SISTEMA DE DIAGNÓSTICO LABORATORIAL</v>
      </c>
      <c r="C10665" s="2" t="str">
        <f t="shared" si="932"/>
        <v>DIAGN</v>
      </c>
      <c r="D10665" s="2" t="str">
        <f t="shared" si="933"/>
        <v>PSSD</v>
      </c>
      <c r="E10665" s="2" t="str">
        <f>"RELATÓRIO DE GERMES"</f>
        <v>RELATÓRIO DE GERMES</v>
      </c>
      <c r="F10665" s="2" t="str">
        <f>"R_GERMES"</f>
        <v>R_GERMES</v>
      </c>
      <c r="G10665" s="2" t="str">
        <f>"Diagnóstico e Terapia / Laboratório de Análises Clínicas / Relatórios / Tabelas / Germes (R_GERMES)"</f>
        <v>Diagnóstico e Terapia / Laboratório de Análises Clínicas / Relatórios / Tabelas / Germes (R_GERMES)</v>
      </c>
    </row>
    <row r="10666" spans="1:7" x14ac:dyDescent="0.3">
      <c r="A10666" s="1" t="s">
        <v>4</v>
      </c>
      <c r="B10666" s="2" t="str">
        <f t="shared" ref="B10666:B10729" si="934">"SISTEMA DE DIAGNÓSTICO LABORATORIAL"</f>
        <v>SISTEMA DE DIAGNÓSTICO LABORATORIAL</v>
      </c>
      <c r="C10666" s="2" t="str">
        <f t="shared" ref="C10666:C10729" si="935">"DIAGN"</f>
        <v>DIAGN</v>
      </c>
      <c r="D10666" s="2" t="str">
        <f t="shared" ref="D10666:D10729" si="936">"PSSD"</f>
        <v>PSSD</v>
      </c>
      <c r="E10666" s="2" t="str">
        <f>"RELATÓRIO EXAMES SOLICITADO POR CONVÊNIO"</f>
        <v>RELATÓRIO EXAMES SOLICITADO POR CONVÊNIO</v>
      </c>
      <c r="F10666" s="2" t="str">
        <f>"R_EXAME_SOL_CONVENIO"</f>
        <v>R_EXAME_SOL_CONVENIO</v>
      </c>
      <c r="G10666" s="2" t="str">
        <f>"Diagnóstico e Terapia / Laboratório de Análises Clínicas / Relatórios / Administrativos / Exames Solicitados por Convênio (R_EXAME_SOL_CONVENIO)"</f>
        <v>Diagnóstico e Terapia / Laboratório de Análises Clínicas / Relatórios / Administrativos / Exames Solicitados por Convênio (R_EXAME_SOL_CONVENIO)</v>
      </c>
    </row>
    <row r="10667" spans="1:7" x14ac:dyDescent="0.3">
      <c r="A10667" s="1" t="s">
        <v>4</v>
      </c>
      <c r="B10667" s="2" t="str">
        <f t="shared" si="934"/>
        <v>SISTEMA DE DIAGNÓSTICO LABORATORIAL</v>
      </c>
      <c r="C10667" s="2" t="str">
        <f t="shared" si="935"/>
        <v>DIAGN</v>
      </c>
      <c r="D10667" s="2" t="str">
        <f t="shared" si="936"/>
        <v>PSSD</v>
      </c>
      <c r="E10667" s="2" t="str">
        <f>"R_EXAMES_CIDADE_LAB"</f>
        <v>R_EXAMES_CIDADE_LAB</v>
      </c>
      <c r="F10667" s="2" t="str">
        <f>"R_EXAMES_CIDADE_LAB"</f>
        <v>R_EXAMES_CIDADE_LAB</v>
      </c>
      <c r="G10667" s="2" t="str">
        <f>" ()"</f>
        <v xml:space="preserve"> ()</v>
      </c>
    </row>
    <row r="10668" spans="1:7" x14ac:dyDescent="0.3">
      <c r="A10668" s="1" t="s">
        <v>4</v>
      </c>
      <c r="B10668" s="2" t="str">
        <f t="shared" si="934"/>
        <v>SISTEMA DE DIAGNÓSTICO LABORATORIAL</v>
      </c>
      <c r="C10668" s="2" t="str">
        <f t="shared" si="935"/>
        <v>DIAGN</v>
      </c>
      <c r="D10668" s="2" t="str">
        <f t="shared" si="936"/>
        <v>PSSD</v>
      </c>
      <c r="E10668" s="2" t="str">
        <f>"ATENDIMENTO: GASTOS DOS EXAMES"</f>
        <v>ATENDIMENTO: GASTOS DOS EXAMES</v>
      </c>
      <c r="F10668" s="2" t="str">
        <f>"M_G_EXA"</f>
        <v>M_G_EXA</v>
      </c>
      <c r="G10668" s="2" t="str">
        <f>"Diagnóstico e Terapia / Laboratório de Análises Clínicas / Atendimento / Gastos do Exame (M_G_EXA)"</f>
        <v>Diagnóstico e Terapia / Laboratório de Análises Clínicas / Atendimento / Gastos do Exame (M_G_EXA)</v>
      </c>
    </row>
    <row r="10669" spans="1:7" x14ac:dyDescent="0.3">
      <c r="A10669" s="1" t="s">
        <v>4</v>
      </c>
      <c r="B10669" s="2" t="str">
        <f t="shared" si="934"/>
        <v>SISTEMA DE DIAGNÓSTICO LABORATORIAL</v>
      </c>
      <c r="C10669" s="2" t="str">
        <f t="shared" si="935"/>
        <v>DIAGN</v>
      </c>
      <c r="D10669" s="2" t="str">
        <f t="shared" si="936"/>
        <v>PSSD</v>
      </c>
      <c r="E10669" s="2" t="str">
        <f>"CADASTRO: ANTIMICROBIANOS"</f>
        <v>CADASTRO: ANTIMICROBIANOS</v>
      </c>
      <c r="F10669" s="2" t="str">
        <f>"M_ANTIMICROBIANO"</f>
        <v>M_ANTIMICROBIANO</v>
      </c>
      <c r="G10669" s="2" t="str">
        <f>"Diagnóstico e Terapia / Laboratório de Análises Clínicas / Tabelas / Cultura / Antimicrobianos (M_ANTIMICROBIANO)"</f>
        <v>Diagnóstico e Terapia / Laboratório de Análises Clínicas / Tabelas / Cultura / Antimicrobianos (M_ANTIMICROBIANO)</v>
      </c>
    </row>
    <row r="10670" spans="1:7" x14ac:dyDescent="0.3">
      <c r="A10670" s="1" t="s">
        <v>4</v>
      </c>
      <c r="B10670" s="2" t="str">
        <f t="shared" si="934"/>
        <v>SISTEMA DE DIAGNÓSTICO LABORATORIAL</v>
      </c>
      <c r="C10670" s="2" t="str">
        <f t="shared" si="935"/>
        <v>DIAGN</v>
      </c>
      <c r="D10670" s="2" t="str">
        <f t="shared" si="936"/>
        <v>PSSD</v>
      </c>
      <c r="E10670" s="2" t="str">
        <f>"RELATÓRIO DE SETORES DE EXAMES - PSSD"</f>
        <v>RELATÓRIO DE SETORES DE EXAMES - PSSD</v>
      </c>
      <c r="F10670" s="2" t="str">
        <f>"R_SETEXA_PSSD"</f>
        <v>R_SETEXA_PSSD</v>
      </c>
      <c r="G10670" s="2" t="str">
        <f>"Diagnóstico e Terapia / Laboratório de Análises Clínicas / Relatórios / Tabelas / Setores de Exames (R_SETEXA_PSSD)"</f>
        <v>Diagnóstico e Terapia / Laboratório de Análises Clínicas / Relatórios / Tabelas / Setores de Exames (R_SETEXA_PSSD)</v>
      </c>
    </row>
    <row r="10671" spans="1:7" x14ac:dyDescent="0.3">
      <c r="A10671" s="1" t="s">
        <v>4</v>
      </c>
      <c r="B10671" s="2" t="str">
        <f t="shared" si="934"/>
        <v>SISTEMA DE DIAGNÓSTICO LABORATORIAL</v>
      </c>
      <c r="C10671" s="2" t="str">
        <f t="shared" si="935"/>
        <v>DIAGN</v>
      </c>
      <c r="D10671" s="2" t="str">
        <f t="shared" si="936"/>
        <v>PSSD</v>
      </c>
      <c r="E10671" s="2" t="str">
        <f>"REL DE EXAMES SOLICITADOS POR CONVENIO"</f>
        <v>REL DE EXAMES SOLICITADOS POR CONVENIO</v>
      </c>
      <c r="F10671" s="2" t="str">
        <f>"R_PEDEXACON"</f>
        <v>R_PEDEXACON</v>
      </c>
      <c r="G10671" s="2" t="str">
        <f>"Diagnóstico e Terapia / Laboratório de Análises Clínicas / Relatórios / Administrativos / Exames Solicitados por / Convênio (R_PEDEXACON)"</f>
        <v>Diagnóstico e Terapia / Laboratório de Análises Clínicas / Relatórios / Administrativos / Exames Solicitados por / Convênio (R_PEDEXACON)</v>
      </c>
    </row>
    <row r="10672" spans="1:7" x14ac:dyDescent="0.3">
      <c r="A10672" s="1" t="s">
        <v>4</v>
      </c>
      <c r="B10672" s="2" t="str">
        <f t="shared" si="934"/>
        <v>SISTEMA DE DIAGNÓSTICO LABORATORIAL</v>
      </c>
      <c r="C10672" s="2" t="str">
        <f t="shared" si="935"/>
        <v>DIAGN</v>
      </c>
      <c r="D10672" s="2" t="str">
        <f t="shared" si="936"/>
        <v>PSSD</v>
      </c>
      <c r="E10672" s="2" t="str">
        <f>"REL DE EXAMES SOLICITADOS POR REQUISIÇÃO"</f>
        <v>REL DE EXAMES SOLICITADOS POR REQUISIÇÃO</v>
      </c>
      <c r="F10672" s="2" t="str">
        <f>"R_PEDEXAPAC"</f>
        <v>R_PEDEXAPAC</v>
      </c>
      <c r="G10672" s="2" t="str">
        <f>"Diagnóstico e Terapia / Laboratório de Análises Clínicas / Relatórios / Administrativos / Exames Solicitados por / Requisição (R_PEDEXAPAC)"</f>
        <v>Diagnóstico e Terapia / Laboratório de Análises Clínicas / Relatórios / Administrativos / Exames Solicitados por / Requisição (R_PEDEXAPAC)</v>
      </c>
    </row>
    <row r="10673" spans="1:7" x14ac:dyDescent="0.3">
      <c r="A10673" s="1" t="s">
        <v>4</v>
      </c>
      <c r="B10673" s="2" t="str">
        <f t="shared" si="934"/>
        <v>SISTEMA DE DIAGNÓSTICO LABORATORIAL</v>
      </c>
      <c r="C10673" s="2" t="str">
        <f t="shared" si="935"/>
        <v>DIAGN</v>
      </c>
      <c r="D10673" s="2" t="str">
        <f t="shared" si="936"/>
        <v>PSSD</v>
      </c>
      <c r="E10673" s="2" t="str">
        <f>"REL. DE EXAMES SOLICITADOS POR LABORAT."</f>
        <v>REL. DE EXAMES SOLICITADOS POR LABORAT.</v>
      </c>
      <c r="F10673" s="2" t="str">
        <f>"R_PEDEXA"</f>
        <v>R_PEDEXA</v>
      </c>
      <c r="G10673" s="2" t="str">
        <f>"Diagnóstico e Terapia / Laboratório de Análises Clínicas / Relatórios / Administrativos / Exames Solicitados por / Laboratório (R_PEDEXA)"</f>
        <v>Diagnóstico e Terapia / Laboratório de Análises Clínicas / Relatórios / Administrativos / Exames Solicitados por / Laboratório (R_PEDEXA)</v>
      </c>
    </row>
    <row r="10674" spans="1:7" x14ac:dyDescent="0.3">
      <c r="A10674" s="1" t="s">
        <v>4</v>
      </c>
      <c r="B10674" s="2" t="str">
        <f t="shared" si="934"/>
        <v>SISTEMA DE DIAGNÓSTICO LABORATORIAL</v>
      </c>
      <c r="C10674" s="2" t="str">
        <f t="shared" si="935"/>
        <v>DIAGN</v>
      </c>
      <c r="D10674" s="2" t="str">
        <f t="shared" si="936"/>
        <v>PSSD</v>
      </c>
      <c r="E10674" s="2" t="str">
        <f>"TRG DE LCTO AUT. DO PSSD PARA O FFAS"</f>
        <v>TRG DE LCTO AUT. DO PSSD PARA O FFAS</v>
      </c>
      <c r="F10674" s="2" t="str">
        <f>"TRG_LANCA_PSSD_FFAS"</f>
        <v>TRG_LANCA_PSSD_FFAS</v>
      </c>
      <c r="G10674" s="2" t="str">
        <f>" ()"</f>
        <v xml:space="preserve"> ()</v>
      </c>
    </row>
    <row r="10675" spans="1:7" x14ac:dyDescent="0.3">
      <c r="A10675" s="1" t="s">
        <v>4</v>
      </c>
      <c r="B10675" s="2" t="str">
        <f t="shared" si="934"/>
        <v>SISTEMA DE DIAGNÓSTICO LABORATORIAL</v>
      </c>
      <c r="C10675" s="2" t="str">
        <f t="shared" si="935"/>
        <v>DIAGN</v>
      </c>
      <c r="D10675" s="2" t="str">
        <f t="shared" si="936"/>
        <v>PSSD</v>
      </c>
      <c r="E10675" s="2" t="str">
        <f>"REL. DE ENTREGA DE EXAMES"</f>
        <v>REL. DE ENTREGA DE EXAMES</v>
      </c>
      <c r="F10675" s="2" t="str">
        <f>"R_ENTREGAEXA"</f>
        <v>R_ENTREGAEXA</v>
      </c>
      <c r="G10675" s="2" t="str">
        <f>"Diagnóstico e Terapia / Laboratório de Análises Clínicas / Relatórios / Administrativos / Entrega de Exames (R_ENTREGAEXA)"</f>
        <v>Diagnóstico e Terapia / Laboratório de Análises Clínicas / Relatórios / Administrativos / Entrega de Exames (R_ENTREGAEXA)</v>
      </c>
    </row>
    <row r="10676" spans="1:7" x14ac:dyDescent="0.3">
      <c r="A10676" s="1" t="s">
        <v>4</v>
      </c>
      <c r="B10676" s="2" t="str">
        <f t="shared" si="934"/>
        <v>SISTEMA DE DIAGNÓSTICO LABORATORIAL</v>
      </c>
      <c r="C10676" s="2" t="str">
        <f t="shared" si="935"/>
        <v>DIAGN</v>
      </c>
      <c r="D10676" s="2" t="str">
        <f t="shared" si="936"/>
        <v>PSSD</v>
      </c>
      <c r="E10676" s="2" t="str">
        <f>"REL DE ITENS PRESCRISTOS E NÃO CADASTRAD"</f>
        <v>REL DE ITENS PRESCRISTOS E NÃO CADASTRAD</v>
      </c>
      <c r="F10676" s="2" t="str">
        <f>"R_ITEPRESC"</f>
        <v>R_ITEPRESC</v>
      </c>
      <c r="G10676" s="2" t="str">
        <f>"Diagnóstico e Terapia / Laboratório de Análises Clínicas / Relatórios / Administrativos / Itens Prescritos e não cadastrados (R_ITEPRESC)"</f>
        <v>Diagnóstico e Terapia / Laboratório de Análises Clínicas / Relatórios / Administrativos / Itens Prescritos e não cadastrados (R_ITEPRESC)</v>
      </c>
    </row>
    <row r="10677" spans="1:7" x14ac:dyDescent="0.3">
      <c r="A10677" s="1" t="s">
        <v>4</v>
      </c>
      <c r="B10677" s="2" t="str">
        <f t="shared" si="934"/>
        <v>SISTEMA DE DIAGNÓSTICO LABORATORIAL</v>
      </c>
      <c r="C10677" s="2" t="str">
        <f t="shared" si="935"/>
        <v>DIAGN</v>
      </c>
      <c r="D10677" s="2" t="str">
        <f t="shared" si="936"/>
        <v>PSSD</v>
      </c>
      <c r="E10677" s="2" t="str">
        <f>"REL DE ESPELHO DA SOLICITAÇÃO DE EXAMES"</f>
        <v>REL DE ESPELHO DA SOLICITAÇÃO DE EXAMES</v>
      </c>
      <c r="F10677" s="2" t="str">
        <f>"R_ESPELHO"</f>
        <v>R_ESPELHO</v>
      </c>
      <c r="G10677" s="2" t="str">
        <f>"Diagnóstico e Terapia / Laboratório de Análises Clínicas / Relatórios / Operacionais / Mapa de Trabalho por Bancada (R_ESPELHO)"</f>
        <v>Diagnóstico e Terapia / Laboratório de Análises Clínicas / Relatórios / Operacionais / Mapa de Trabalho por Bancada (R_ESPELHO)</v>
      </c>
    </row>
    <row r="10678" spans="1:7" x14ac:dyDescent="0.3">
      <c r="A10678" s="1" t="s">
        <v>4</v>
      </c>
      <c r="B10678" s="2" t="str">
        <f t="shared" si="934"/>
        <v>SISTEMA DE DIAGNÓSTICO LABORATORIAL</v>
      </c>
      <c r="C10678" s="2" t="str">
        <f t="shared" si="935"/>
        <v>DIAGN</v>
      </c>
      <c r="D10678" s="2" t="str">
        <f t="shared" si="936"/>
        <v>PSSD</v>
      </c>
      <c r="E10678" s="2" t="str">
        <f>"REL DE EMISSÃO DE LAUDOS"</f>
        <v>REL DE EMISSÃO DE LAUDOS</v>
      </c>
      <c r="F10678" s="2" t="str">
        <f>"R_LAUDO3"</f>
        <v>R_LAUDO3</v>
      </c>
      <c r="G10678" s="2" t="str">
        <f>"Diagnóstico e Terapia / Laboratório de Análises Clínicas / Relatórios / Operacionais / Laudos - Impressão por Pedido de Exame (R_LAUDO3)"</f>
        <v>Diagnóstico e Terapia / Laboratório de Análises Clínicas / Relatórios / Operacionais / Laudos - Impressão por Pedido de Exame (R_LAUDO3)</v>
      </c>
    </row>
    <row r="10679" spans="1:7" x14ac:dyDescent="0.3">
      <c r="A10679" s="1" t="s">
        <v>4</v>
      </c>
      <c r="B10679" s="2" t="str">
        <f t="shared" si="934"/>
        <v>SISTEMA DE DIAGNÓSTICO LABORATORIAL</v>
      </c>
      <c r="C10679" s="2" t="str">
        <f t="shared" si="935"/>
        <v>DIAGN</v>
      </c>
      <c r="D10679" s="2" t="str">
        <f t="shared" si="936"/>
        <v>PSSD</v>
      </c>
      <c r="E10679" s="2" t="str">
        <f>"REL DE EMISSÃO DE LAUDOS"</f>
        <v>REL DE EMISSÃO DE LAUDOS</v>
      </c>
      <c r="F10679" s="2" t="str">
        <f>"R_LAUDO3"</f>
        <v>R_LAUDO3</v>
      </c>
      <c r="G10679" s="2" t="str">
        <f>"Diagnóstico e Terapia / Laboratório de Análises Clínicas / Relatórios / Operacionais / Laudos (R_LAUDO3)"</f>
        <v>Diagnóstico e Terapia / Laboratório de Análises Clínicas / Relatórios / Operacionais / Laudos (R_LAUDO3)</v>
      </c>
    </row>
    <row r="10680" spans="1:7" x14ac:dyDescent="0.3">
      <c r="A10680" s="1" t="s">
        <v>4</v>
      </c>
      <c r="B10680" s="2" t="str">
        <f t="shared" si="934"/>
        <v>SISTEMA DE DIAGNÓSTICO LABORATORIAL</v>
      </c>
      <c r="C10680" s="2" t="str">
        <f t="shared" si="935"/>
        <v>DIAGN</v>
      </c>
      <c r="D10680" s="2" t="str">
        <f t="shared" si="936"/>
        <v>PSSD</v>
      </c>
      <c r="E10680" s="2" t="str">
        <f>"REL DE EXAMES COM RESULTADO PENDENTE"</f>
        <v>REL DE EXAMES COM RESULTADO PENDENTE</v>
      </c>
      <c r="F10680" s="2" t="str">
        <f>"R_EXAPEN"</f>
        <v>R_EXAPEN</v>
      </c>
      <c r="G10680" s="2" t="str">
        <f>"Diagnóstico e Terapia / Laboratório de Análises Clínicas / Relatórios / Administrativos / Resultados Pendentes (R_EXAPEN)"</f>
        <v>Diagnóstico e Terapia / Laboratório de Análises Clínicas / Relatórios / Administrativos / Resultados Pendentes (R_EXAPEN)</v>
      </c>
    </row>
    <row r="10681" spans="1:7" x14ac:dyDescent="0.3">
      <c r="A10681" s="1" t="s">
        <v>4</v>
      </c>
      <c r="B10681" s="2" t="str">
        <f t="shared" si="934"/>
        <v>SISTEMA DE DIAGNÓSTICO LABORATORIAL</v>
      </c>
      <c r="C10681" s="2" t="str">
        <f t="shared" si="935"/>
        <v>DIAGN</v>
      </c>
      <c r="D10681" s="2" t="str">
        <f t="shared" si="936"/>
        <v>PSSD</v>
      </c>
      <c r="E10681" s="2" t="str">
        <f>"ANTIMICROBIANOS"</f>
        <v>ANTIMICROBIANOS</v>
      </c>
      <c r="F10681" s="2" t="str">
        <f>"R_ANTIMICROBIANOS"</f>
        <v>R_ANTIMICROBIANOS</v>
      </c>
      <c r="G10681" s="2" t="str">
        <f>"Diagnóstico e Terapia / Laboratório de Análises Clínicas / Relatórios / Tabelas / Antimicrobianos (R_ANTIMICROBIANOS)"</f>
        <v>Diagnóstico e Terapia / Laboratório de Análises Clínicas / Relatórios / Tabelas / Antimicrobianos (R_ANTIMICROBIANOS)</v>
      </c>
    </row>
    <row r="10682" spans="1:7" x14ac:dyDescent="0.3">
      <c r="A10682" s="1" t="s">
        <v>4</v>
      </c>
      <c r="B10682" s="2" t="str">
        <f t="shared" si="934"/>
        <v>SISTEMA DE DIAGNÓSTICO LABORATORIAL</v>
      </c>
      <c r="C10682" s="2" t="str">
        <f t="shared" si="935"/>
        <v>DIAGN</v>
      </c>
      <c r="D10682" s="2" t="str">
        <f t="shared" si="936"/>
        <v>PSSD</v>
      </c>
      <c r="E10682" s="2" t="str">
        <f>"REL DE ETIQUETAS DE PEDIDO DO PSSD"</f>
        <v>REL DE ETIQUETAS DE PEDIDO DO PSSD</v>
      </c>
      <c r="F10682" s="2" t="str">
        <f>"R_ETIQ_PEDIDO_PSSD"</f>
        <v>R_ETIQ_PEDIDO_PSSD</v>
      </c>
      <c r="G10682" s="2" t="str">
        <f>" ()"</f>
        <v xml:space="preserve"> ()</v>
      </c>
    </row>
    <row r="10683" spans="1:7" x14ac:dyDescent="0.3">
      <c r="A10683" s="1" t="s">
        <v>4</v>
      </c>
      <c r="B10683" s="2" t="str">
        <f t="shared" si="934"/>
        <v>SISTEMA DE DIAGNÓSTICO LABORATORIAL</v>
      </c>
      <c r="C10683" s="2" t="str">
        <f t="shared" si="935"/>
        <v>DIAGN</v>
      </c>
      <c r="D10683" s="2" t="str">
        <f t="shared" si="936"/>
        <v>PSSD</v>
      </c>
      <c r="E10683" s="2" t="str">
        <f>"TIPOS DE AMOSTRAS"</f>
        <v>TIPOS DE AMOSTRAS</v>
      </c>
      <c r="F10683" s="2" t="str">
        <f>"M_TIPO_AMOSTRA"</f>
        <v>M_TIPO_AMOSTRA</v>
      </c>
      <c r="G10683" s="2" t="str">
        <f>" ()"</f>
        <v xml:space="preserve"> ()</v>
      </c>
    </row>
    <row r="10684" spans="1:7" x14ac:dyDescent="0.3">
      <c r="A10684" s="1" t="s">
        <v>4</v>
      </c>
      <c r="B10684" s="2" t="str">
        <f t="shared" si="934"/>
        <v>SISTEMA DE DIAGNÓSTICO LABORATORIAL</v>
      </c>
      <c r="C10684" s="2" t="str">
        <f t="shared" si="935"/>
        <v>DIAGN</v>
      </c>
      <c r="D10684" s="2" t="str">
        <f t="shared" si="936"/>
        <v>PSSD</v>
      </c>
      <c r="E10684" s="2" t="str">
        <f>"REL ESTATISTICO DE EXAMES POR CIDADE"</f>
        <v>REL ESTATISTICO DE EXAMES POR CIDADE</v>
      </c>
      <c r="F10684" s="2" t="str">
        <f>"R_EXAME_CIDADE_PSSD"</f>
        <v>R_EXAME_CIDADE_PSSD</v>
      </c>
      <c r="G10684" s="2" t="str">
        <f>"Diagnóstico e Terapia / Laboratório de Análises Clínicas / Relatórios / Estatisticos / Exames por Cidade (R_EXAME_CIDADE_PSSD)"</f>
        <v>Diagnóstico e Terapia / Laboratório de Análises Clínicas / Relatórios / Estatisticos / Exames por Cidade (R_EXAME_CIDADE_PSSD)</v>
      </c>
    </row>
    <row r="10685" spans="1:7" x14ac:dyDescent="0.3">
      <c r="A10685" s="1" t="s">
        <v>4</v>
      </c>
      <c r="B10685" s="2" t="str">
        <f t="shared" si="934"/>
        <v>SISTEMA DE DIAGNÓSTICO LABORATORIAL</v>
      </c>
      <c r="C10685" s="2" t="str">
        <f t="shared" si="935"/>
        <v>DIAGN</v>
      </c>
      <c r="D10685" s="2" t="str">
        <f t="shared" si="936"/>
        <v>PSSD</v>
      </c>
      <c r="E10685" s="2" t="str">
        <f>"DISQUETE SISCOLO - HISTOPATOLOGIA"</f>
        <v>DISQUETE SISCOLO - HISTOPATOLOGIA</v>
      </c>
      <c r="F10685" s="2" t="str">
        <f>"O_GERAHISTOPAT"</f>
        <v>O_GERAHISTOPAT</v>
      </c>
      <c r="G10685" s="2" t="str">
        <f>" ()"</f>
        <v xml:space="preserve"> ()</v>
      </c>
    </row>
    <row r="10686" spans="1:7" x14ac:dyDescent="0.3">
      <c r="A10686" s="1" t="s">
        <v>4</v>
      </c>
      <c r="B10686" s="2" t="str">
        <f t="shared" si="934"/>
        <v>SISTEMA DE DIAGNÓSTICO LABORATORIAL</v>
      </c>
      <c r="C10686" s="2" t="str">
        <f t="shared" si="935"/>
        <v>DIAGN</v>
      </c>
      <c r="D10686" s="2" t="str">
        <f t="shared" si="936"/>
        <v>PSSD</v>
      </c>
      <c r="E10686" s="2" t="str">
        <f>"TELA PRINCIPAL DO PSSD"</f>
        <v>TELA PRINCIPAL DO PSSD</v>
      </c>
      <c r="F10686" s="2" t="str">
        <f>"PSSD"</f>
        <v>PSSD</v>
      </c>
      <c r="G10686" s="2" t="str">
        <f>" ()"</f>
        <v xml:space="preserve"> ()</v>
      </c>
    </row>
    <row r="10687" spans="1:7" x14ac:dyDescent="0.3">
      <c r="A10687" s="1" t="s">
        <v>4</v>
      </c>
      <c r="B10687" s="2" t="str">
        <f t="shared" si="934"/>
        <v>SISTEMA DE DIAGNÓSTICO LABORATORIAL</v>
      </c>
      <c r="C10687" s="2" t="str">
        <f t="shared" si="935"/>
        <v>DIAGN</v>
      </c>
      <c r="D10687" s="2" t="str">
        <f t="shared" si="936"/>
        <v>PSSD</v>
      </c>
      <c r="E10687" s="2" t="str">
        <f>"REL DE ETIQUETA DE IDENT DO PACIENTE"</f>
        <v>REL DE ETIQUETA DE IDENT DO PACIENTE</v>
      </c>
      <c r="F10687" s="2" t="str">
        <f>"R_ETIQUETA_PACIENTE"</f>
        <v>R_ETIQUETA_PACIENTE</v>
      </c>
      <c r="G10687" s="2" t="str">
        <f>"Diagnóstico e Terapia / Laboratório de Análises Clínicas / Relatórios / Operacionais / Etiqueta de Identificação (R_ETIQUETA_PACIENTE)"</f>
        <v>Diagnóstico e Terapia / Laboratório de Análises Clínicas / Relatórios / Operacionais / Etiqueta de Identificação (R_ETIQUETA_PACIENTE)</v>
      </c>
    </row>
    <row r="10688" spans="1:7" x14ac:dyDescent="0.3">
      <c r="A10688" s="1" t="s">
        <v>4</v>
      </c>
      <c r="B10688" s="2" t="str">
        <f t="shared" si="934"/>
        <v>SISTEMA DE DIAGNÓSTICO LABORATORIAL</v>
      </c>
      <c r="C10688" s="2" t="str">
        <f t="shared" si="935"/>
        <v>DIAGN</v>
      </c>
      <c r="D10688" s="2" t="str">
        <f t="shared" si="936"/>
        <v>PSSD</v>
      </c>
      <c r="E10688" s="2" t="str">
        <f>"CONSULTA ENTREGA DE EXAMES PSSD"</f>
        <v>CONSULTA ENTREGA DE EXAMES PSSD</v>
      </c>
      <c r="F10688" s="2" t="str">
        <f>"C_ENT_EXA_PSSD"</f>
        <v>C_ENT_EXA_PSSD</v>
      </c>
      <c r="G10688" s="2" t="str">
        <f>" ()"</f>
        <v xml:space="preserve"> ()</v>
      </c>
    </row>
    <row r="10689" spans="1:7" x14ac:dyDescent="0.3">
      <c r="A10689" s="1" t="s">
        <v>4</v>
      </c>
      <c r="B10689" s="2" t="str">
        <f t="shared" si="934"/>
        <v>SISTEMA DE DIAGNÓSTICO LABORATORIAL</v>
      </c>
      <c r="C10689" s="2" t="str">
        <f t="shared" si="935"/>
        <v>DIAGN</v>
      </c>
      <c r="D10689" s="2" t="str">
        <f t="shared" si="936"/>
        <v>PSSD</v>
      </c>
      <c r="E10689" s="2" t="str">
        <f>"CONSULTA EXAMES SOLICITADOS"</f>
        <v>CONSULTA EXAMES SOLICITADOS</v>
      </c>
      <c r="F10689" s="2" t="str">
        <f>"C_EXA_SOL_LAB"</f>
        <v>C_EXA_SOL_LAB</v>
      </c>
      <c r="G10689" s="2" t="str">
        <f>"Clínica e Assistencial / Controle de Infecção Hospitalar / Consultas / Exames Laboratoriais / Exames Solicitados (C_EXA_SOL_LAB)"</f>
        <v>Clínica e Assistencial / Controle de Infecção Hospitalar / Consultas / Exames Laboratoriais / Exames Solicitados (C_EXA_SOL_LAB)</v>
      </c>
    </row>
    <row r="10690" spans="1:7" x14ac:dyDescent="0.3">
      <c r="A10690" s="1" t="s">
        <v>4</v>
      </c>
      <c r="B10690" s="2" t="str">
        <f t="shared" si="934"/>
        <v>SISTEMA DE DIAGNÓSTICO LABORATORIAL</v>
      </c>
      <c r="C10690" s="2" t="str">
        <f t="shared" si="935"/>
        <v>DIAGN</v>
      </c>
      <c r="D10690" s="2" t="str">
        <f t="shared" si="936"/>
        <v>PSSD</v>
      </c>
      <c r="E10690" s="2" t="str">
        <f>"CONSULTA EXAMES SOLICITADOS"</f>
        <v>CONSULTA EXAMES SOLICITADOS</v>
      </c>
      <c r="F10690" s="2" t="str">
        <f>"C_EXA_SOL_LAB"</f>
        <v>C_EXA_SOL_LAB</v>
      </c>
      <c r="G10690" s="2" t="str">
        <f>"Diagnóstico e Terapia / Laboratório de Análises Clínicas / Consultas / Exames Solicitados (C_EXA_SOL_LAB)"</f>
        <v>Diagnóstico e Terapia / Laboratório de Análises Clínicas / Consultas / Exames Solicitados (C_EXA_SOL_LAB)</v>
      </c>
    </row>
    <row r="10691" spans="1:7" x14ac:dyDescent="0.3">
      <c r="A10691" s="1" t="s">
        <v>4</v>
      </c>
      <c r="B10691" s="2" t="str">
        <f t="shared" si="934"/>
        <v>SISTEMA DE DIAGNÓSTICO LABORATORIAL</v>
      </c>
      <c r="C10691" s="2" t="str">
        <f t="shared" si="935"/>
        <v>DIAGN</v>
      </c>
      <c r="D10691" s="2" t="str">
        <f t="shared" si="936"/>
        <v>PSSD</v>
      </c>
      <c r="E10691" s="2" t="str">
        <f>"RELATÓRIO DE PRODUÇÃO DO LABORATÓRIO"</f>
        <v>RELATÓRIO DE PRODUÇÃO DO LABORATÓRIO</v>
      </c>
      <c r="F10691" s="2" t="str">
        <f>"R_PRODUCAO_LAB_MATERIAL_387"</f>
        <v>R_PRODUCAO_LAB_MATERIAL_387</v>
      </c>
      <c r="G10691" s="2" t="str">
        <f>" ()"</f>
        <v xml:space="preserve"> ()</v>
      </c>
    </row>
    <row r="10692" spans="1:7" x14ac:dyDescent="0.3">
      <c r="A10692" s="1" t="s">
        <v>4</v>
      </c>
      <c r="B10692" s="2" t="str">
        <f t="shared" si="934"/>
        <v>SISTEMA DE DIAGNÓSTICO LABORATORIAL</v>
      </c>
      <c r="C10692" s="2" t="str">
        <f t="shared" si="935"/>
        <v>DIAGN</v>
      </c>
      <c r="D10692" s="2" t="str">
        <f t="shared" si="936"/>
        <v>PSSD</v>
      </c>
      <c r="E10692" s="2" t="str">
        <f>"R_PEDIDO_110"</f>
        <v>R_PEDIDO_110</v>
      </c>
      <c r="F10692" s="2" t="str">
        <f>"R_PEDIDO_110"</f>
        <v>R_PEDIDO_110</v>
      </c>
      <c r="G10692" s="2" t="str">
        <f>" ()"</f>
        <v xml:space="preserve"> ()</v>
      </c>
    </row>
    <row r="10693" spans="1:7" x14ac:dyDescent="0.3">
      <c r="A10693" s="1" t="s">
        <v>4</v>
      </c>
      <c r="B10693" s="2" t="str">
        <f t="shared" si="934"/>
        <v>SISTEMA DE DIAGNÓSTICO LABORATORIAL</v>
      </c>
      <c r="C10693" s="2" t="str">
        <f t="shared" si="935"/>
        <v>DIAGN</v>
      </c>
      <c r="D10693" s="2" t="str">
        <f t="shared" si="936"/>
        <v>PSSD</v>
      </c>
      <c r="E10693" s="2" t="str">
        <f>"R_LAUDO3_ORI"</f>
        <v>R_LAUDO3_ORI</v>
      </c>
      <c r="F10693" s="2" t="str">
        <f>"R_LAUDO3_ORI"</f>
        <v>R_LAUDO3_ORI</v>
      </c>
      <c r="G10693" s="2" t="str">
        <f>" ()"</f>
        <v xml:space="preserve"> ()</v>
      </c>
    </row>
    <row r="10694" spans="1:7" x14ac:dyDescent="0.3">
      <c r="A10694" s="1" t="s">
        <v>4</v>
      </c>
      <c r="B10694" s="2" t="str">
        <f t="shared" si="934"/>
        <v>SISTEMA DE DIAGNÓSTICO LABORATORIAL</v>
      </c>
      <c r="C10694" s="2" t="str">
        <f t="shared" si="935"/>
        <v>DIAGN</v>
      </c>
      <c r="D10694" s="2" t="str">
        <f t="shared" si="936"/>
        <v>PSSD</v>
      </c>
      <c r="E10694" s="2" t="str">
        <f>"PERSONALIZADOS DO PSSD"</f>
        <v>PERSONALIZADOS DO PSSD</v>
      </c>
      <c r="F10694" s="2" t="str">
        <f>"R_PERSON_PSSD"</f>
        <v>R_PERSON_PSSD</v>
      </c>
      <c r="G10694" s="2" t="str">
        <f>"Diagnóstico e Terapia / Laboratório de Análises Clínicas / Relatórios / Personalizados (R_PERSON_PSSD)"</f>
        <v>Diagnóstico e Terapia / Laboratório de Análises Clínicas / Relatórios / Personalizados (R_PERSON_PSSD)</v>
      </c>
    </row>
    <row r="10695" spans="1:7" x14ac:dyDescent="0.3">
      <c r="A10695" s="1" t="s">
        <v>4</v>
      </c>
      <c r="B10695" s="2" t="str">
        <f t="shared" si="934"/>
        <v>SISTEMA DE DIAGNÓSTICO LABORATORIAL</v>
      </c>
      <c r="C10695" s="2" t="str">
        <f t="shared" si="935"/>
        <v>DIAGN</v>
      </c>
      <c r="D10695" s="2" t="str">
        <f t="shared" si="936"/>
        <v>PSSD</v>
      </c>
      <c r="E10695" s="2" t="str">
        <f>"CADASTRO DE USUÁRIO POR SETOR"</f>
        <v>CADASTRO DE USUÁRIO POR SETOR</v>
      </c>
      <c r="F10695" s="2" t="str">
        <f>"M_USUSET"</f>
        <v>M_USUSET</v>
      </c>
      <c r="G10695" s="2" t="str">
        <f>" ()"</f>
        <v xml:space="preserve"> ()</v>
      </c>
    </row>
    <row r="10696" spans="1:7" x14ac:dyDescent="0.3">
      <c r="A10696" s="1" t="s">
        <v>4</v>
      </c>
      <c r="B10696" s="2" t="str">
        <f t="shared" si="934"/>
        <v>SISTEMA DE DIAGNÓSTICO LABORATORIAL</v>
      </c>
      <c r="C10696" s="2" t="str">
        <f t="shared" si="935"/>
        <v>DIAGN</v>
      </c>
      <c r="D10696" s="2" t="str">
        <f t="shared" si="936"/>
        <v>PSSD</v>
      </c>
      <c r="E10696" s="2" t="str">
        <f>"CADASTRO DE RECURSOS"</f>
        <v>CADASTRO DE RECURSOS</v>
      </c>
      <c r="F10696" s="2" t="str">
        <f>"M_SRECURSO"</f>
        <v>M_SRECURSO</v>
      </c>
      <c r="G10696" s="2" t="str">
        <f>"Diagnóstico e Terapia / Laboratório de Análises Clínicas / Agendamento / Recursos (M_SRECURSO)"</f>
        <v>Diagnóstico e Terapia / Laboratório de Análises Clínicas / Agendamento / Recursos (M_SRECURSO)</v>
      </c>
    </row>
    <row r="10697" spans="1:7" x14ac:dyDescent="0.3">
      <c r="A10697" s="1" t="s">
        <v>4</v>
      </c>
      <c r="B10697" s="2" t="str">
        <f t="shared" si="934"/>
        <v>SISTEMA DE DIAGNÓSTICO LABORATORIAL</v>
      </c>
      <c r="C10697" s="2" t="str">
        <f t="shared" si="935"/>
        <v>DIAGN</v>
      </c>
      <c r="D10697" s="2" t="str">
        <f t="shared" si="936"/>
        <v>PSSD</v>
      </c>
      <c r="E10697" s="2" t="str">
        <f>"ESCALAS DE PLANTÕES"</f>
        <v>ESCALAS DE PLANTÕES</v>
      </c>
      <c r="F10697" s="2" t="str">
        <f>"M_SESCALA"</f>
        <v>M_SESCALA</v>
      </c>
      <c r="G10697" s="2" t="str">
        <f>"Diagnóstico e Terapia / Laboratório de Análises Clínicas / Agendamento / Escalas (M_SESCALA)"</f>
        <v>Diagnóstico e Terapia / Laboratório de Análises Clínicas / Agendamento / Escalas (M_SESCALA)</v>
      </c>
    </row>
    <row r="10698" spans="1:7" x14ac:dyDescent="0.3">
      <c r="A10698" s="1" t="s">
        <v>4</v>
      </c>
      <c r="B10698" s="2" t="str">
        <f t="shared" si="934"/>
        <v>SISTEMA DE DIAGNÓSTICO LABORATORIAL</v>
      </c>
      <c r="C10698" s="2" t="str">
        <f t="shared" si="935"/>
        <v>DIAGN</v>
      </c>
      <c r="D10698" s="2" t="str">
        <f t="shared" si="936"/>
        <v>PSSD</v>
      </c>
      <c r="E10698" s="2" t="str">
        <f>"ESCALA DIARIA DE PLANTÕES"</f>
        <v>ESCALA DIARIA DE PLANTÕES</v>
      </c>
      <c r="F10698" s="2" t="str">
        <f>"M_SESC_DIA"</f>
        <v>M_SESC_DIA</v>
      </c>
      <c r="G10698" s="2" t="str">
        <f>"Diagnóstico e Terapia / Laboratório de Análises Clínicas / Agendamento / Plantões (M_SESC_DIA)"</f>
        <v>Diagnóstico e Terapia / Laboratório de Análises Clínicas / Agendamento / Plantões (M_SESC_DIA)</v>
      </c>
    </row>
    <row r="10699" spans="1:7" x14ac:dyDescent="0.3">
      <c r="A10699" s="1" t="s">
        <v>4</v>
      </c>
      <c r="B10699" s="2" t="str">
        <f t="shared" si="934"/>
        <v>SISTEMA DE DIAGNÓSTICO LABORATORIAL</v>
      </c>
      <c r="C10699" s="2" t="str">
        <f t="shared" si="935"/>
        <v>DIAGN</v>
      </c>
      <c r="D10699" s="2" t="str">
        <f t="shared" si="936"/>
        <v>PSSD</v>
      </c>
      <c r="E10699" s="2" t="str">
        <f>"RODAPE DOS EXAMES"</f>
        <v>RODAPE DOS EXAMES</v>
      </c>
      <c r="F10699" s="2" t="str">
        <f>"M_RODAPE"</f>
        <v>M_RODAPE</v>
      </c>
      <c r="G10699" s="2" t="str">
        <f>" ()"</f>
        <v xml:space="preserve"> ()</v>
      </c>
    </row>
    <row r="10700" spans="1:7" x14ac:dyDescent="0.3">
      <c r="A10700" s="1" t="s">
        <v>4</v>
      </c>
      <c r="B10700" s="2" t="str">
        <f t="shared" si="934"/>
        <v>SISTEMA DE DIAGNÓSTICO LABORATORIAL</v>
      </c>
      <c r="C10700" s="2" t="str">
        <f t="shared" si="935"/>
        <v>DIAGN</v>
      </c>
      <c r="D10700" s="2" t="str">
        <f t="shared" si="936"/>
        <v>PSSD</v>
      </c>
      <c r="E10700" s="2" t="str">
        <f>"RESULTADOS DE EXAMES"</f>
        <v>RESULTADOS DE EXAMES</v>
      </c>
      <c r="F10700" s="2" t="str">
        <f>"M_RESULTADOS"</f>
        <v>M_RESULTADOS</v>
      </c>
      <c r="G10700" s="2" t="str">
        <f>" ()"</f>
        <v xml:space="preserve"> ()</v>
      </c>
    </row>
    <row r="10701" spans="1:7" x14ac:dyDescent="0.3">
      <c r="A10701" s="1" t="s">
        <v>4</v>
      </c>
      <c r="B10701" s="2" t="str">
        <f t="shared" si="934"/>
        <v>SISTEMA DE DIAGNÓSTICO LABORATORIAL</v>
      </c>
      <c r="C10701" s="2" t="str">
        <f t="shared" si="935"/>
        <v>DIAGN</v>
      </c>
      <c r="D10701" s="2" t="str">
        <f t="shared" si="936"/>
        <v>PSSD</v>
      </c>
      <c r="E10701" s="2" t="str">
        <f>"CADASTRO DE PERGUNTA"</f>
        <v>CADASTRO DE PERGUNTA</v>
      </c>
      <c r="F10701" s="2" t="str">
        <f>"M_PERGUNTA"</f>
        <v>M_PERGUNTA</v>
      </c>
      <c r="G10701" s="2" t="str">
        <f>"Diagnóstico e Terapia / Laboratório de Análises Clínicas / Tabelas / Perguntas (M_PERGUNTA)"</f>
        <v>Diagnóstico e Terapia / Laboratório de Análises Clínicas / Tabelas / Perguntas (M_PERGUNTA)</v>
      </c>
    </row>
    <row r="10702" spans="1:7" x14ac:dyDescent="0.3">
      <c r="A10702" s="1" t="s">
        <v>4</v>
      </c>
      <c r="B10702" s="2" t="str">
        <f t="shared" si="934"/>
        <v>SISTEMA DE DIAGNÓSTICO LABORATORIAL</v>
      </c>
      <c r="C10702" s="2" t="str">
        <f t="shared" si="935"/>
        <v>DIAGN</v>
      </c>
      <c r="D10702" s="2" t="str">
        <f t="shared" si="936"/>
        <v>PSSD</v>
      </c>
      <c r="E10702" s="2" t="str">
        <f>"R_ESPELHO_736"</f>
        <v>R_ESPELHO_736</v>
      </c>
      <c r="F10702" s="2" t="str">
        <f>"R_ESPELHO_736"</f>
        <v>R_ESPELHO_736</v>
      </c>
      <c r="G10702" s="2" t="str">
        <f t="shared" ref="G10702:G10713" si="937">" ()"</f>
        <v xml:space="preserve"> ()</v>
      </c>
    </row>
    <row r="10703" spans="1:7" x14ac:dyDescent="0.3">
      <c r="A10703" s="1" t="s">
        <v>4</v>
      </c>
      <c r="B10703" s="2" t="str">
        <f t="shared" si="934"/>
        <v>SISTEMA DE DIAGNÓSTICO LABORATORIAL</v>
      </c>
      <c r="C10703" s="2" t="str">
        <f t="shared" si="935"/>
        <v>DIAGN</v>
      </c>
      <c r="D10703" s="2" t="str">
        <f t="shared" si="936"/>
        <v>PSSD</v>
      </c>
      <c r="E10703" s="2" t="str">
        <f>"R_ETIQUETA_EXAME_LAB_734"</f>
        <v>R_ETIQUETA_EXAME_LAB_734</v>
      </c>
      <c r="F10703" s="2" t="str">
        <f>"R_ETIQUETA_EXAME_LAB_734"</f>
        <v>R_ETIQUETA_EXAME_LAB_734</v>
      </c>
      <c r="G10703" s="2" t="str">
        <f t="shared" si="937"/>
        <v xml:space="preserve"> ()</v>
      </c>
    </row>
    <row r="10704" spans="1:7" x14ac:dyDescent="0.3">
      <c r="A10704" s="1" t="s">
        <v>4</v>
      </c>
      <c r="B10704" s="2" t="str">
        <f t="shared" si="934"/>
        <v>SISTEMA DE DIAGNÓSTICO LABORATORIAL</v>
      </c>
      <c r="C10704" s="2" t="str">
        <f t="shared" si="935"/>
        <v>DIAGN</v>
      </c>
      <c r="D10704" s="2" t="str">
        <f t="shared" si="936"/>
        <v>PSSD</v>
      </c>
      <c r="E10704" s="2" t="str">
        <f>"R_ESPELHO_734"</f>
        <v>R_ESPELHO_734</v>
      </c>
      <c r="F10704" s="2" t="str">
        <f>"R_ESPELHO_734"</f>
        <v>R_ESPELHO_734</v>
      </c>
      <c r="G10704" s="2" t="str">
        <f t="shared" si="937"/>
        <v xml:space="preserve"> ()</v>
      </c>
    </row>
    <row r="10705" spans="1:7" x14ac:dyDescent="0.3">
      <c r="A10705" s="1" t="s">
        <v>4</v>
      </c>
      <c r="B10705" s="2" t="str">
        <f t="shared" si="934"/>
        <v>SISTEMA DE DIAGNÓSTICO LABORATORIAL</v>
      </c>
      <c r="C10705" s="2" t="str">
        <f t="shared" si="935"/>
        <v>DIAGN</v>
      </c>
      <c r="D10705" s="2" t="str">
        <f t="shared" si="936"/>
        <v>PSSD</v>
      </c>
      <c r="E10705" s="2" t="str">
        <f>"R_ESPELHO_420"</f>
        <v>R_ESPELHO_420</v>
      </c>
      <c r="F10705" s="2" t="str">
        <f>"R_ESPELHO_420"</f>
        <v>R_ESPELHO_420</v>
      </c>
      <c r="G10705" s="2" t="str">
        <f t="shared" si="937"/>
        <v xml:space="preserve"> ()</v>
      </c>
    </row>
    <row r="10706" spans="1:7" x14ac:dyDescent="0.3">
      <c r="A10706" s="1" t="s">
        <v>4</v>
      </c>
      <c r="B10706" s="2" t="str">
        <f t="shared" si="934"/>
        <v>SISTEMA DE DIAGNÓSTICO LABORATORIAL</v>
      </c>
      <c r="C10706" s="2" t="str">
        <f t="shared" si="935"/>
        <v>DIAGN</v>
      </c>
      <c r="D10706" s="2" t="str">
        <f t="shared" si="936"/>
        <v>PSSD</v>
      </c>
      <c r="E10706" s="2" t="str">
        <f>"R_ESPELHO_PLAN_297"</f>
        <v>R_ESPELHO_PLAN_297</v>
      </c>
      <c r="F10706" s="2" t="str">
        <f>"R_ESPELHO_PLAN_297"</f>
        <v>R_ESPELHO_PLAN_297</v>
      </c>
      <c r="G10706" s="2" t="str">
        <f t="shared" si="937"/>
        <v xml:space="preserve"> ()</v>
      </c>
    </row>
    <row r="10707" spans="1:7" x14ac:dyDescent="0.3">
      <c r="A10707" s="1" t="s">
        <v>4</v>
      </c>
      <c r="B10707" s="2" t="str">
        <f t="shared" si="934"/>
        <v>SISTEMA DE DIAGNÓSTICO LABORATORIAL</v>
      </c>
      <c r="C10707" s="2" t="str">
        <f t="shared" si="935"/>
        <v>DIAGN</v>
      </c>
      <c r="D10707" s="2" t="str">
        <f t="shared" si="936"/>
        <v>PSSD</v>
      </c>
      <c r="E10707" s="2" t="str">
        <f>"M_CONFIG_PSSD_1302"</f>
        <v>M_CONFIG_PSSD_1302</v>
      </c>
      <c r="F10707" s="2" t="str">
        <f>"M_CONFIG_PSSD_1302"</f>
        <v>M_CONFIG_PSSD_1302</v>
      </c>
      <c r="G10707" s="2" t="str">
        <f t="shared" si="937"/>
        <v xml:space="preserve"> ()</v>
      </c>
    </row>
    <row r="10708" spans="1:7" x14ac:dyDescent="0.3">
      <c r="A10708" s="1" t="s">
        <v>4</v>
      </c>
      <c r="B10708" s="2" t="str">
        <f t="shared" si="934"/>
        <v>SISTEMA DE DIAGNÓSTICO LABORATORIAL</v>
      </c>
      <c r="C10708" s="2" t="str">
        <f t="shared" si="935"/>
        <v>DIAGN</v>
      </c>
      <c r="D10708" s="2" t="str">
        <f t="shared" si="936"/>
        <v>PSSD</v>
      </c>
      <c r="E10708" s="2" t="str">
        <f>"R_ETIQ_ANATOMIA_1101"</f>
        <v>R_ETIQ_ANATOMIA_1101</v>
      </c>
      <c r="F10708" s="2" t="str">
        <f>"R_ETIQ_ANATOMIA_1101"</f>
        <v>R_ETIQ_ANATOMIA_1101</v>
      </c>
      <c r="G10708" s="2" t="str">
        <f t="shared" si="937"/>
        <v xml:space="preserve"> ()</v>
      </c>
    </row>
    <row r="10709" spans="1:7" x14ac:dyDescent="0.3">
      <c r="A10709" s="1" t="s">
        <v>4</v>
      </c>
      <c r="B10709" s="2" t="str">
        <f t="shared" si="934"/>
        <v>SISTEMA DE DIAGNÓSTICO LABORATORIAL</v>
      </c>
      <c r="C10709" s="2" t="str">
        <f t="shared" si="935"/>
        <v>DIAGN</v>
      </c>
      <c r="D10709" s="2" t="str">
        <f t="shared" si="936"/>
        <v>PSSD</v>
      </c>
      <c r="E10709" s="2" t="str">
        <f>"R_PED_SEM_COLETA"</f>
        <v>R_PED_SEM_COLETA</v>
      </c>
      <c r="F10709" s="2" t="str">
        <f>"R_PED_SEM_COLETA"</f>
        <v>R_PED_SEM_COLETA</v>
      </c>
      <c r="G10709" s="2" t="str">
        <f t="shared" si="937"/>
        <v xml:space="preserve"> ()</v>
      </c>
    </row>
    <row r="10710" spans="1:7" x14ac:dyDescent="0.3">
      <c r="A10710" s="1" t="s">
        <v>4</v>
      </c>
      <c r="B10710" s="2" t="str">
        <f t="shared" si="934"/>
        <v>SISTEMA DE DIAGNÓSTICO LABORATORIAL</v>
      </c>
      <c r="C10710" s="2" t="str">
        <f t="shared" si="935"/>
        <v>DIAGN</v>
      </c>
      <c r="D10710" s="2" t="str">
        <f t="shared" si="936"/>
        <v>PSSD</v>
      </c>
      <c r="E10710" s="2" t="str">
        <f>"R_EXA_REALIZ_TIPO_ATEND"</f>
        <v>R_EXA_REALIZ_TIPO_ATEND</v>
      </c>
      <c r="F10710" s="2" t="str">
        <f>"R_EXA_REALIZ_TIPO_ATEND"</f>
        <v>R_EXA_REALIZ_TIPO_ATEND</v>
      </c>
      <c r="G10710" s="2" t="str">
        <f t="shared" si="937"/>
        <v xml:space="preserve"> ()</v>
      </c>
    </row>
    <row r="10711" spans="1:7" x14ac:dyDescent="0.3">
      <c r="A10711" s="1" t="s">
        <v>4</v>
      </c>
      <c r="B10711" s="2" t="str">
        <f t="shared" si="934"/>
        <v>SISTEMA DE DIAGNÓSTICO LABORATORIAL</v>
      </c>
      <c r="C10711" s="2" t="str">
        <f t="shared" si="935"/>
        <v>DIAGN</v>
      </c>
      <c r="D10711" s="2" t="str">
        <f t="shared" si="936"/>
        <v>PSSD</v>
      </c>
      <c r="E10711" s="2" t="str">
        <f>"R_EXA_ORIENTACAO"</f>
        <v>R_EXA_ORIENTACAO</v>
      </c>
      <c r="F10711" s="2" t="str">
        <f>"R_EXA_ORIENTACAO"</f>
        <v>R_EXA_ORIENTACAO</v>
      </c>
      <c r="G10711" s="2" t="str">
        <f t="shared" si="937"/>
        <v xml:space="preserve"> ()</v>
      </c>
    </row>
    <row r="10712" spans="1:7" x14ac:dyDescent="0.3">
      <c r="A10712" s="1" t="s">
        <v>4</v>
      </c>
      <c r="B10712" s="2" t="str">
        <f t="shared" si="934"/>
        <v>SISTEMA DE DIAGNÓSTICO LABORATORIAL</v>
      </c>
      <c r="C10712" s="2" t="str">
        <f t="shared" si="935"/>
        <v>DIAGN</v>
      </c>
      <c r="D10712" s="2" t="str">
        <f t="shared" si="936"/>
        <v>PSSD</v>
      </c>
      <c r="E10712" s="2" t="str">
        <f>"PSSD2"</f>
        <v>PSSD2</v>
      </c>
      <c r="F10712" s="2" t="str">
        <f>"PSSD2"</f>
        <v>PSSD2</v>
      </c>
      <c r="G10712" s="2" t="str">
        <f t="shared" si="937"/>
        <v xml:space="preserve"> ()</v>
      </c>
    </row>
    <row r="10713" spans="1:7" x14ac:dyDescent="0.3">
      <c r="A10713" s="1" t="s">
        <v>4</v>
      </c>
      <c r="B10713" s="2" t="str">
        <f t="shared" si="934"/>
        <v>SISTEMA DE DIAGNÓSTICO LABORATORIAL</v>
      </c>
      <c r="C10713" s="2" t="str">
        <f t="shared" si="935"/>
        <v>DIAGN</v>
      </c>
      <c r="D10713" s="2" t="str">
        <f t="shared" si="936"/>
        <v>PSSD</v>
      </c>
      <c r="E10713" s="2" t="str">
        <f>"M_G_EXA2"</f>
        <v>M_G_EXA2</v>
      </c>
      <c r="F10713" s="2" t="str">
        <f>"M_G_EXA2"</f>
        <v>M_G_EXA2</v>
      </c>
      <c r="G10713" s="2" t="str">
        <f t="shared" si="937"/>
        <v xml:space="preserve"> ()</v>
      </c>
    </row>
    <row r="10714" spans="1:7" x14ac:dyDescent="0.3">
      <c r="A10714" s="1" t="s">
        <v>4</v>
      </c>
      <c r="B10714" s="2" t="str">
        <f t="shared" si="934"/>
        <v>SISTEMA DE DIAGNÓSTICO LABORATORIAL</v>
      </c>
      <c r="C10714" s="2" t="str">
        <f t="shared" si="935"/>
        <v>DIAGN</v>
      </c>
      <c r="D10714" s="2" t="str">
        <f t="shared" si="936"/>
        <v>PSSD</v>
      </c>
      <c r="E10714" s="2" t="str">
        <f>"M_ESPERA_COLETA"</f>
        <v>M_ESPERA_COLETA</v>
      </c>
      <c r="F10714" s="2" t="str">
        <f>"M_ESPERA_COLETA"</f>
        <v>M_ESPERA_COLETA</v>
      </c>
      <c r="G10714" s="2" t="str">
        <f>"Diagnóstico e Terapia / Laboratório de Análises Clínicas / Coleta / Lista de Espera para Coleta (M_ESPERA_COLETA)"</f>
        <v>Diagnóstico e Terapia / Laboratório de Análises Clínicas / Coleta / Lista de Espera para Coleta (M_ESPERA_COLETA)</v>
      </c>
    </row>
    <row r="10715" spans="1:7" x14ac:dyDescent="0.3">
      <c r="A10715" s="1" t="s">
        <v>4</v>
      </c>
      <c r="B10715" s="2" t="str">
        <f t="shared" si="934"/>
        <v>SISTEMA DE DIAGNÓSTICO LABORATORIAL</v>
      </c>
      <c r="C10715" s="2" t="str">
        <f t="shared" si="935"/>
        <v>DIAGN</v>
      </c>
      <c r="D10715" s="2" t="str">
        <f t="shared" si="936"/>
        <v>PSSD</v>
      </c>
      <c r="E10715" s="2" t="str">
        <f>"EXAMEDS"</f>
        <v>EXAMEDS</v>
      </c>
      <c r="F10715" s="2" t="str">
        <f>"EXAMEDS"</f>
        <v>EXAMEDS</v>
      </c>
      <c r="G10715" s="2" t="str">
        <f>" ()"</f>
        <v xml:space="preserve"> ()</v>
      </c>
    </row>
    <row r="10716" spans="1:7" x14ac:dyDescent="0.3">
      <c r="A10716" s="1" t="s">
        <v>4</v>
      </c>
      <c r="B10716" s="2" t="str">
        <f t="shared" si="934"/>
        <v>SISTEMA DE DIAGNÓSTICO LABORATORIAL</v>
      </c>
      <c r="C10716" s="2" t="str">
        <f t="shared" si="935"/>
        <v>DIAGN</v>
      </c>
      <c r="D10716" s="2" t="str">
        <f t="shared" si="936"/>
        <v>PSSD</v>
      </c>
      <c r="E10716" s="2" t="str">
        <f>"C_RES_EXA_PSSD_ANTIGO"</f>
        <v>C_RES_EXA_PSSD_ANTIGO</v>
      </c>
      <c r="F10716" s="2" t="str">
        <f>"C_RES_EXA_PSSD_ANTIGO"</f>
        <v>C_RES_EXA_PSSD_ANTIGO</v>
      </c>
      <c r="G10716" s="2" t="str">
        <f>" ()"</f>
        <v xml:space="preserve"> ()</v>
      </c>
    </row>
    <row r="10717" spans="1:7" x14ac:dyDescent="0.3">
      <c r="A10717" s="1" t="s">
        <v>4</v>
      </c>
      <c r="B10717" s="2" t="str">
        <f t="shared" si="934"/>
        <v>SISTEMA DE DIAGNÓSTICO LABORATORIAL</v>
      </c>
      <c r="C10717" s="2" t="str">
        <f t="shared" si="935"/>
        <v>DIAGN</v>
      </c>
      <c r="D10717" s="2" t="str">
        <f t="shared" si="936"/>
        <v>PSSD</v>
      </c>
      <c r="E10717" s="2" t="str">
        <f>"A"</f>
        <v>A</v>
      </c>
      <c r="F10717" s="2" t="str">
        <f>"TESTANDO"</f>
        <v>TESTANDO</v>
      </c>
      <c r="G10717" s="2" t="str">
        <f>" ()"</f>
        <v xml:space="preserve"> ()</v>
      </c>
    </row>
    <row r="10718" spans="1:7" x14ac:dyDescent="0.3">
      <c r="A10718" s="1" t="s">
        <v>4</v>
      </c>
      <c r="B10718" s="2" t="str">
        <f t="shared" si="934"/>
        <v>SISTEMA DE DIAGNÓSTICO LABORATORIAL</v>
      </c>
      <c r="C10718" s="2" t="str">
        <f t="shared" si="935"/>
        <v>DIAGN</v>
      </c>
      <c r="D10718" s="2" t="str">
        <f t="shared" si="936"/>
        <v>PSSD</v>
      </c>
      <c r="E10718" s="2" t="str">
        <f>"ETIQUETAS DE CÓDIGO DE BARRAS"</f>
        <v>ETIQUETAS DE CÓDIGO DE BARRAS</v>
      </c>
      <c r="F10718" s="2" t="str">
        <f>"M_CONFIG_ETIQUETA_PSSD"</f>
        <v>M_CONFIG_ETIQUETA_PSSD</v>
      </c>
      <c r="G10718" s="2" t="str">
        <f>"Diagnóstico e Terapia / Laboratório de Análises Clínicas / Configuração / Etiqueta de Código de Barras (M_CONFIG_ETIQUETA_PSSD)"</f>
        <v>Diagnóstico e Terapia / Laboratório de Análises Clínicas / Configuração / Etiqueta de Código de Barras (M_CONFIG_ETIQUETA_PSSD)</v>
      </c>
    </row>
    <row r="10719" spans="1:7" x14ac:dyDescent="0.3">
      <c r="A10719" s="1" t="s">
        <v>4</v>
      </c>
      <c r="B10719" s="2" t="str">
        <f t="shared" si="934"/>
        <v>SISTEMA DE DIAGNÓSTICO LABORATORIAL</v>
      </c>
      <c r="C10719" s="2" t="str">
        <f t="shared" si="935"/>
        <v>DIAGN</v>
      </c>
      <c r="D10719" s="2" t="str">
        <f t="shared" si="936"/>
        <v>PSSD</v>
      </c>
      <c r="E10719" s="2" t="str">
        <f>"M_AVISO_PACIENTE_RECOLETA"</f>
        <v>M_AVISO_PACIENTE_RECOLETA</v>
      </c>
      <c r="F10719" s="2" t="str">
        <f>"M_AVISO_PACIENTE_RECOLETA"</f>
        <v>M_AVISO_PACIENTE_RECOLETA</v>
      </c>
      <c r="G10719" s="2" t="str">
        <f>"Diagnóstico e Terapia / Laboratório de Análises Clínicas / Coleta / Aviso de Comparecimento para Recoleta (M_AVISO_PACIENTE_RECOLETA)"</f>
        <v>Diagnóstico e Terapia / Laboratório de Análises Clínicas / Coleta / Aviso de Comparecimento para Recoleta (M_AVISO_PACIENTE_RECOLETA)</v>
      </c>
    </row>
    <row r="10720" spans="1:7" x14ac:dyDescent="0.3">
      <c r="A10720" s="1" t="s">
        <v>4</v>
      </c>
      <c r="B10720" s="2" t="str">
        <f t="shared" si="934"/>
        <v>SISTEMA DE DIAGNÓSTICO LABORATORIAL</v>
      </c>
      <c r="C10720" s="2" t="str">
        <f t="shared" si="935"/>
        <v>DIAGN</v>
      </c>
      <c r="D10720" s="2" t="str">
        <f t="shared" si="936"/>
        <v>PSSD</v>
      </c>
      <c r="E10720" s="2" t="str">
        <f>"M_MOTIVO_RECOLETA"</f>
        <v>M_MOTIVO_RECOLETA</v>
      </c>
      <c r="F10720" s="2" t="str">
        <f>"M_MOTIVO_RECOLETA"</f>
        <v>M_MOTIVO_RECOLETA</v>
      </c>
      <c r="G10720" s="2" t="str">
        <f>"Diagnóstico e Terapia / Laboratório de Análises Clínicas / Tabelas / Motivos para Solicitação de Recoleta (M_MOTIVO_RECOLETA)"</f>
        <v>Diagnóstico e Terapia / Laboratório de Análises Clínicas / Tabelas / Motivos para Solicitação de Recoleta (M_MOTIVO_RECOLETA)</v>
      </c>
    </row>
    <row r="10721" spans="1:7" x14ac:dyDescent="0.3">
      <c r="A10721" s="1" t="s">
        <v>4</v>
      </c>
      <c r="B10721" s="2" t="str">
        <f t="shared" si="934"/>
        <v>SISTEMA DE DIAGNÓSTICO LABORATORIAL</v>
      </c>
      <c r="C10721" s="2" t="str">
        <f t="shared" si="935"/>
        <v>DIAGN</v>
      </c>
      <c r="D10721" s="2" t="str">
        <f t="shared" si="936"/>
        <v>PSSD</v>
      </c>
      <c r="E10721" s="2" t="str">
        <f>"MAPA DE CONFERÊNCIA"</f>
        <v>MAPA DE CONFERÊNCIA</v>
      </c>
      <c r="F10721" s="2" t="str">
        <f>"R_MAPA_CONFERENCIA_967"</f>
        <v>R_MAPA_CONFERENCIA_967</v>
      </c>
      <c r="G10721" s="2" t="str">
        <f t="shared" ref="G10721:G10726" si="938">" ()"</f>
        <v xml:space="preserve"> ()</v>
      </c>
    </row>
    <row r="10722" spans="1:7" x14ac:dyDescent="0.3">
      <c r="A10722" s="1" t="s">
        <v>4</v>
      </c>
      <c r="B10722" s="2" t="str">
        <f t="shared" si="934"/>
        <v>SISTEMA DE DIAGNÓSTICO LABORATORIAL</v>
      </c>
      <c r="C10722" s="2" t="str">
        <f t="shared" si="935"/>
        <v>DIAGN</v>
      </c>
      <c r="D10722" s="2" t="str">
        <f t="shared" si="936"/>
        <v>PSSD</v>
      </c>
      <c r="E10722" s="2" t="str">
        <f>"MAPA DE TRABALHO POR BANCADA"</f>
        <v>MAPA DE TRABALHO POR BANCADA</v>
      </c>
      <c r="F10722" s="2" t="str">
        <f>"R_ESPELHO_967"</f>
        <v>R_ESPELHO_967</v>
      </c>
      <c r="G10722" s="2" t="str">
        <f t="shared" si="938"/>
        <v xml:space="preserve"> ()</v>
      </c>
    </row>
    <row r="10723" spans="1:7" x14ac:dyDescent="0.3">
      <c r="A10723" s="1" t="s">
        <v>4</v>
      </c>
      <c r="B10723" s="2" t="str">
        <f t="shared" si="934"/>
        <v>SISTEMA DE DIAGNÓSTICO LABORATORIAL</v>
      </c>
      <c r="C10723" s="2" t="str">
        <f t="shared" si="935"/>
        <v>DIAGN</v>
      </c>
      <c r="D10723" s="2" t="str">
        <f t="shared" si="936"/>
        <v>PSSD</v>
      </c>
      <c r="E10723" s="2" t="str">
        <f>"CALENDÁRIO"</f>
        <v>CALENDÁRIO</v>
      </c>
      <c r="F10723" s="2" t="str">
        <f>"R_EXA_REALIZ_CONV_750"</f>
        <v>R_EXA_REALIZ_CONV_750</v>
      </c>
      <c r="G10723" s="2" t="str">
        <f t="shared" si="938"/>
        <v xml:space="preserve"> ()</v>
      </c>
    </row>
    <row r="10724" spans="1:7" x14ac:dyDescent="0.3">
      <c r="A10724" s="1" t="s">
        <v>4</v>
      </c>
      <c r="B10724" s="2" t="str">
        <f t="shared" si="934"/>
        <v>SISTEMA DE DIAGNÓSTICO LABORATORIAL</v>
      </c>
      <c r="C10724" s="2" t="str">
        <f t="shared" si="935"/>
        <v>DIAGN</v>
      </c>
      <c r="D10724" s="2" t="str">
        <f t="shared" si="936"/>
        <v>PSSD</v>
      </c>
      <c r="E10724" s="2" t="str">
        <f>"R_ESPELH_967"</f>
        <v>R_ESPELH_967</v>
      </c>
      <c r="F10724" s="2" t="str">
        <f>"R_ESPELH_967"</f>
        <v>R_ESPELH_967</v>
      </c>
      <c r="G10724" s="2" t="str">
        <f t="shared" si="938"/>
        <v xml:space="preserve"> ()</v>
      </c>
    </row>
    <row r="10725" spans="1:7" x14ac:dyDescent="0.3">
      <c r="A10725" s="1" t="s">
        <v>4</v>
      </c>
      <c r="B10725" s="2" t="str">
        <f t="shared" si="934"/>
        <v>SISTEMA DE DIAGNÓSTICO LABORATORIAL</v>
      </c>
      <c r="C10725" s="2" t="str">
        <f t="shared" si="935"/>
        <v>DIAGN</v>
      </c>
      <c r="D10725" s="2" t="str">
        <f t="shared" si="936"/>
        <v>PSSD</v>
      </c>
      <c r="E10725" s="2" t="str">
        <f>"RELATÓRIO DE ESPELHO INDIVIDUAL"</f>
        <v>RELATÓRIO DE ESPELHO INDIVIDUAL</v>
      </c>
      <c r="F10725" s="2" t="str">
        <f>"R_ESPELHO_297"</f>
        <v>R_ESPELHO_297</v>
      </c>
      <c r="G10725" s="2" t="str">
        <f t="shared" si="938"/>
        <v xml:space="preserve"> ()</v>
      </c>
    </row>
    <row r="10726" spans="1:7" x14ac:dyDescent="0.3">
      <c r="A10726" s="1" t="s">
        <v>4</v>
      </c>
      <c r="B10726" s="2" t="str">
        <f t="shared" si="934"/>
        <v>SISTEMA DE DIAGNÓSTICO LABORATORIAL</v>
      </c>
      <c r="C10726" s="2" t="str">
        <f t="shared" si="935"/>
        <v>DIAGN</v>
      </c>
      <c r="D10726" s="2" t="str">
        <f t="shared" si="936"/>
        <v>PSSD</v>
      </c>
      <c r="E10726" s="2" t="str">
        <f>"CONTRATO E NOTA PROMISSÓRIA"</f>
        <v>CONTRATO E NOTA PROMISSÓRIA</v>
      </c>
      <c r="F10726" s="2" t="str">
        <f>"R_CONTRATO_1302"</f>
        <v>R_CONTRATO_1302</v>
      </c>
      <c r="G10726" s="2" t="str">
        <f t="shared" si="938"/>
        <v xml:space="preserve"> ()</v>
      </c>
    </row>
    <row r="10727" spans="1:7" x14ac:dyDescent="0.3">
      <c r="A10727" s="1" t="s">
        <v>4</v>
      </c>
      <c r="B10727" s="2" t="str">
        <f t="shared" si="934"/>
        <v>SISTEMA DE DIAGNÓSTICO LABORATORIAL</v>
      </c>
      <c r="C10727" s="2" t="str">
        <f t="shared" si="935"/>
        <v>DIAGN</v>
      </c>
      <c r="D10727" s="2" t="str">
        <f t="shared" si="936"/>
        <v>PSSD</v>
      </c>
      <c r="E10727" s="2" t="str">
        <f>"COMENTÁRIO PADRÃO CODIFICADO"</f>
        <v>COMENTÁRIO PADRÃO CODIFICADO</v>
      </c>
      <c r="F10727" s="2" t="str">
        <f>"M_COMENTARIO_PADRAO"</f>
        <v>M_COMENTARIO_PADRAO</v>
      </c>
      <c r="G10727" s="2" t="str">
        <f>"Diagnóstico e Terapia / Laboratório de Análises Clínicas / Formatação / Comentário padrão codificado (M_COMENTARIO_PADRAO)"</f>
        <v>Diagnóstico e Terapia / Laboratório de Análises Clínicas / Formatação / Comentário padrão codificado (M_COMENTARIO_PADRAO)</v>
      </c>
    </row>
    <row r="10728" spans="1:7" x14ac:dyDescent="0.3">
      <c r="A10728" s="1" t="s">
        <v>4</v>
      </c>
      <c r="B10728" s="2" t="str">
        <f t="shared" si="934"/>
        <v>SISTEMA DE DIAGNÓSTICO LABORATORIAL</v>
      </c>
      <c r="C10728" s="2" t="str">
        <f t="shared" si="935"/>
        <v>DIAGN</v>
      </c>
      <c r="D10728" s="2" t="str">
        <f t="shared" si="936"/>
        <v>PSSD</v>
      </c>
      <c r="E10728" s="2" t="str">
        <f>"REL. ESTATÍSTICO CULTURA X MATERIAL"</f>
        <v>REL. ESTATÍSTICO CULTURA X MATERIAL</v>
      </c>
      <c r="F10728" s="2" t="str">
        <f>"R_EST_CULTURA_MATERIAL.RDF"</f>
        <v>R_EST_CULTURA_MATERIAL.RDF</v>
      </c>
      <c r="G10728" s="2" t="str">
        <f t="shared" ref="G10728:G10748" si="939">" ()"</f>
        <v xml:space="preserve"> ()</v>
      </c>
    </row>
    <row r="10729" spans="1:7" x14ac:dyDescent="0.3">
      <c r="A10729" s="1" t="s">
        <v>4</v>
      </c>
      <c r="B10729" s="2" t="str">
        <f t="shared" si="934"/>
        <v>SISTEMA DE DIAGNÓSTICO LABORATORIAL</v>
      </c>
      <c r="C10729" s="2" t="str">
        <f t="shared" si="935"/>
        <v>DIAGN</v>
      </c>
      <c r="D10729" s="2" t="str">
        <f t="shared" si="936"/>
        <v>PSSD</v>
      </c>
      <c r="E10729" s="2" t="str">
        <f>"RELATÓRIO DE MATERIAL DE EXAMES."</f>
        <v>RELATÓRIO DE MATERIAL DE EXAMES.</v>
      </c>
      <c r="F10729" s="2" t="str">
        <f>"R_MATERIAL.RDF"</f>
        <v>R_MATERIAL.RDF</v>
      </c>
      <c r="G10729" s="2" t="str">
        <f t="shared" si="939"/>
        <v xml:space="preserve"> ()</v>
      </c>
    </row>
    <row r="10730" spans="1:7" x14ac:dyDescent="0.3">
      <c r="A10730" s="1" t="s">
        <v>4</v>
      </c>
      <c r="B10730" s="2" t="str">
        <f t="shared" ref="B10730:B10793" si="940">"SISTEMA DE DIAGNÓSTICO LABORATORIAL"</f>
        <v>SISTEMA DE DIAGNÓSTICO LABORATORIAL</v>
      </c>
      <c r="C10730" s="2" t="str">
        <f t="shared" ref="C10730:C10793" si="941">"DIAGN"</f>
        <v>DIAGN</v>
      </c>
      <c r="D10730" s="2" t="str">
        <f t="shared" ref="D10730:D10793" si="942">"PSSD"</f>
        <v>PSSD</v>
      </c>
      <c r="E10730" s="2" t="str">
        <f>"LIBERAÇÃO DE EXAMES - CRED PARTO"</f>
        <v>LIBERAÇÃO DE EXAMES - CRED PARTO</v>
      </c>
      <c r="F10730" s="2" t="str">
        <f>"M_LIBERA_EXAME_LAB"</f>
        <v>M_LIBERA_EXAME_LAB</v>
      </c>
      <c r="G10730" s="2" t="str">
        <f t="shared" si="939"/>
        <v xml:space="preserve"> ()</v>
      </c>
    </row>
    <row r="10731" spans="1:7" x14ac:dyDescent="0.3">
      <c r="A10731" s="1" t="s">
        <v>4</v>
      </c>
      <c r="B10731" s="2" t="str">
        <f t="shared" si="940"/>
        <v>SISTEMA DE DIAGNÓSTICO LABORATORIAL</v>
      </c>
      <c r="C10731" s="2" t="str">
        <f t="shared" si="941"/>
        <v>DIAGN</v>
      </c>
      <c r="D10731" s="2" t="str">
        <f t="shared" si="942"/>
        <v>PSSD</v>
      </c>
      <c r="E10731" s="2" t="str">
        <f>"PEDIDO DE EXAME RAPIDO"</f>
        <v>PEDIDO DE EXAME RAPIDO</v>
      </c>
      <c r="F10731" s="2" t="str">
        <f>"M_PEDEXA_RAPIDO_1302"</f>
        <v>M_PEDEXA_RAPIDO_1302</v>
      </c>
      <c r="G10731" s="2" t="str">
        <f t="shared" si="939"/>
        <v xml:space="preserve"> ()</v>
      </c>
    </row>
    <row r="10732" spans="1:7" x14ac:dyDescent="0.3">
      <c r="A10732" s="1" t="s">
        <v>4</v>
      </c>
      <c r="B10732" s="2" t="str">
        <f t="shared" si="940"/>
        <v>SISTEMA DE DIAGNÓSTICO LABORATORIAL</v>
      </c>
      <c r="C10732" s="2" t="str">
        <f t="shared" si="941"/>
        <v>DIAGN</v>
      </c>
      <c r="D10732" s="2" t="str">
        <f t="shared" si="942"/>
        <v>PSSD</v>
      </c>
      <c r="E10732" s="2" t="str">
        <f>"PLANILHA MENSAL DE EXAMES REALIZADOS"</f>
        <v>PLANILHA MENSAL DE EXAMES REALIZADOS</v>
      </c>
      <c r="F10732" s="2" t="str">
        <f>"R_ESTATISTICA_DIA_PSSD.RDF"</f>
        <v>R_ESTATISTICA_DIA_PSSD.RDF</v>
      </c>
      <c r="G10732" s="2" t="str">
        <f t="shared" si="939"/>
        <v xml:space="preserve"> ()</v>
      </c>
    </row>
    <row r="10733" spans="1:7" x14ac:dyDescent="0.3">
      <c r="A10733" s="1" t="s">
        <v>4</v>
      </c>
      <c r="B10733" s="2" t="str">
        <f t="shared" si="940"/>
        <v>SISTEMA DE DIAGNÓSTICO LABORATORIAL</v>
      </c>
      <c r="C10733" s="2" t="str">
        <f t="shared" si="941"/>
        <v>DIAGN</v>
      </c>
      <c r="D10733" s="2" t="str">
        <f t="shared" si="942"/>
        <v>PSSD</v>
      </c>
      <c r="E10733" s="2" t="str">
        <f>"ESTATÍSTICA DE EXAMES NÃO REALIZADOS"</f>
        <v>ESTATÍSTICA DE EXAMES NÃO REALIZADOS</v>
      </c>
      <c r="F10733" s="2" t="str">
        <f>"R_EST_EXAME_N_REALIZ.RDF"</f>
        <v>R_EST_EXAME_N_REALIZ.RDF</v>
      </c>
      <c r="G10733" s="2" t="str">
        <f t="shared" si="939"/>
        <v xml:space="preserve"> ()</v>
      </c>
    </row>
    <row r="10734" spans="1:7" x14ac:dyDescent="0.3">
      <c r="A10734" s="1" t="s">
        <v>4</v>
      </c>
      <c r="B10734" s="2" t="str">
        <f t="shared" si="940"/>
        <v>SISTEMA DE DIAGNÓSTICO LABORATORIAL</v>
      </c>
      <c r="C10734" s="2" t="str">
        <f t="shared" si="941"/>
        <v>DIAGN</v>
      </c>
      <c r="D10734" s="2" t="str">
        <f t="shared" si="942"/>
        <v>PSSD</v>
      </c>
      <c r="E10734" s="2" t="str">
        <f>"REL. DE FATURAMENTO POR EXAME"</f>
        <v>REL. DE FATURAMENTO POR EXAME</v>
      </c>
      <c r="F10734" s="2" t="str">
        <f>"R_FATURA_POR_EXAME.RDF"</f>
        <v>R_FATURA_POR_EXAME.RDF</v>
      </c>
      <c r="G10734" s="2" t="str">
        <f t="shared" si="939"/>
        <v xml:space="preserve"> ()</v>
      </c>
    </row>
    <row r="10735" spans="1:7" x14ac:dyDescent="0.3">
      <c r="A10735" s="1" t="s">
        <v>4</v>
      </c>
      <c r="B10735" s="2" t="str">
        <f t="shared" si="940"/>
        <v>SISTEMA DE DIAGNÓSTICO LABORATORIAL</v>
      </c>
      <c r="C10735" s="2" t="str">
        <f t="shared" si="941"/>
        <v>DIAGN</v>
      </c>
      <c r="D10735" s="2" t="str">
        <f t="shared" si="942"/>
        <v>PSSD</v>
      </c>
      <c r="E10735" s="2" t="str">
        <f>"RELATÓRIO DE PRODUÇÃO POR CONVÊNIO"</f>
        <v>RELATÓRIO DE PRODUÇÃO POR CONVÊNIO</v>
      </c>
      <c r="F10735" s="2" t="str">
        <f>"R_PROD_CONV.RDF"</f>
        <v>R_PROD_CONV.RDF</v>
      </c>
      <c r="G10735" s="2" t="str">
        <f t="shared" si="939"/>
        <v xml:space="preserve"> ()</v>
      </c>
    </row>
    <row r="10736" spans="1:7" x14ac:dyDescent="0.3">
      <c r="A10736" s="1" t="s">
        <v>4</v>
      </c>
      <c r="B10736" s="2" t="str">
        <f t="shared" si="940"/>
        <v>SISTEMA DE DIAGNÓSTICO LABORATORIAL</v>
      </c>
      <c r="C10736" s="2" t="str">
        <f t="shared" si="941"/>
        <v>DIAGN</v>
      </c>
      <c r="D10736" s="2" t="str">
        <f t="shared" si="942"/>
        <v>PSSD</v>
      </c>
      <c r="E10736" s="2" t="str">
        <f>"REL DE LISTA DE EXAMES POR MAPA DE TRAB."</f>
        <v>REL DE LISTA DE EXAMES POR MAPA DE TRAB.</v>
      </c>
      <c r="F10736" s="2" t="str">
        <f>"R_LISTA_EXAME_LOTE.RDF"</f>
        <v>R_LISTA_EXAME_LOTE.RDF</v>
      </c>
      <c r="G10736" s="2" t="str">
        <f t="shared" si="939"/>
        <v xml:space="preserve"> ()</v>
      </c>
    </row>
    <row r="10737" spans="1:7" x14ac:dyDescent="0.3">
      <c r="A10737" s="1" t="s">
        <v>4</v>
      </c>
      <c r="B10737" s="2" t="str">
        <f t="shared" si="940"/>
        <v>SISTEMA DE DIAGNÓSTICO LABORATORIAL</v>
      </c>
      <c r="C10737" s="2" t="str">
        <f t="shared" si="941"/>
        <v>DIAGN</v>
      </c>
      <c r="D10737" s="2" t="str">
        <f t="shared" si="942"/>
        <v>PSSD</v>
      </c>
      <c r="E10737" s="2" t="str">
        <f>"AVALIAÇÃO DE TEMPO : RECEPÇÃO X COLETA"</f>
        <v>AVALIAÇÃO DE TEMPO : RECEPÇÃO X COLETA</v>
      </c>
      <c r="F10737" s="2" t="str">
        <f>"R_TEMPO_RECEP_COLETA.RDF"</f>
        <v>R_TEMPO_RECEP_COLETA.RDF</v>
      </c>
      <c r="G10737" s="2" t="str">
        <f t="shared" si="939"/>
        <v xml:space="preserve"> ()</v>
      </c>
    </row>
    <row r="10738" spans="1:7" x14ac:dyDescent="0.3">
      <c r="A10738" s="1" t="s">
        <v>4</v>
      </c>
      <c r="B10738" s="2" t="str">
        <f t="shared" si="940"/>
        <v>SISTEMA DE DIAGNÓSTICO LABORATORIAL</v>
      </c>
      <c r="C10738" s="2" t="str">
        <f t="shared" si="941"/>
        <v>DIAGN</v>
      </c>
      <c r="D10738" s="2" t="str">
        <f t="shared" si="942"/>
        <v>PSSD</v>
      </c>
      <c r="E10738" s="2" t="str">
        <f>"REL DE COLETA DE MATERIAIS"</f>
        <v>REL DE COLETA DE MATERIAIS</v>
      </c>
      <c r="F10738" s="2" t="str">
        <f>"R_BAIXA.RDF"</f>
        <v>R_BAIXA.RDF</v>
      </c>
      <c r="G10738" s="2" t="str">
        <f t="shared" si="939"/>
        <v xml:space="preserve"> ()</v>
      </c>
    </row>
    <row r="10739" spans="1:7" x14ac:dyDescent="0.3">
      <c r="A10739" s="1" t="s">
        <v>4</v>
      </c>
      <c r="B10739" s="2" t="str">
        <f t="shared" si="940"/>
        <v>SISTEMA DE DIAGNÓSTICO LABORATORIAL</v>
      </c>
      <c r="C10739" s="2" t="str">
        <f t="shared" si="941"/>
        <v>DIAGN</v>
      </c>
      <c r="D10739" s="2" t="str">
        <f t="shared" si="942"/>
        <v>PSSD</v>
      </c>
      <c r="E10739" s="2" t="str">
        <f>"COLETA DE MATERIAIS POR UNDADE DE INTER."</f>
        <v>COLETA DE MATERIAIS POR UNDADE DE INTER.</v>
      </c>
      <c r="F10739" s="2" t="str">
        <f>"R_COLETA_UNID.RDF"</f>
        <v>R_COLETA_UNID.RDF</v>
      </c>
      <c r="G10739" s="2" t="str">
        <f t="shared" si="939"/>
        <v xml:space="preserve"> ()</v>
      </c>
    </row>
    <row r="10740" spans="1:7" x14ac:dyDescent="0.3">
      <c r="A10740" s="1" t="s">
        <v>4</v>
      </c>
      <c r="B10740" s="2" t="str">
        <f t="shared" si="940"/>
        <v>SISTEMA DE DIAGNÓSTICO LABORATORIAL</v>
      </c>
      <c r="C10740" s="2" t="str">
        <f t="shared" si="941"/>
        <v>DIAGN</v>
      </c>
      <c r="D10740" s="2" t="str">
        <f t="shared" si="942"/>
        <v>PSSD</v>
      </c>
      <c r="E10740" s="2" t="str">
        <f>"REL EXAMES SOLICITADOS POR SETOR SOLIC."</f>
        <v>REL EXAMES SOLICITADOS POR SETOR SOLIC.</v>
      </c>
      <c r="F10740" s="2" t="str">
        <f>"R_EXA_LAB_REALIZADO_SETOR.RDF"</f>
        <v>R_EXA_LAB_REALIZADO_SETOR.RDF</v>
      </c>
      <c r="G10740" s="2" t="str">
        <f t="shared" si="939"/>
        <v xml:space="preserve"> ()</v>
      </c>
    </row>
    <row r="10741" spans="1:7" x14ac:dyDescent="0.3">
      <c r="A10741" s="1" t="s">
        <v>4</v>
      </c>
      <c r="B10741" s="2" t="str">
        <f t="shared" si="940"/>
        <v>SISTEMA DE DIAGNÓSTICO LABORATORIAL</v>
      </c>
      <c r="C10741" s="2" t="str">
        <f t="shared" si="941"/>
        <v>DIAGN</v>
      </c>
      <c r="D10741" s="2" t="str">
        <f t="shared" si="942"/>
        <v>PSSD</v>
      </c>
      <c r="E10741" s="2" t="str">
        <f>"REL EXAMES REALIZADOS"</f>
        <v>REL EXAMES REALIZADOS</v>
      </c>
      <c r="F10741" s="2" t="str">
        <f>"R_PED_S_CONF_COLETA.RDF"</f>
        <v>R_PED_S_CONF_COLETA.RDF</v>
      </c>
      <c r="G10741" s="2" t="str">
        <f t="shared" si="939"/>
        <v xml:space="preserve"> ()</v>
      </c>
    </row>
    <row r="10742" spans="1:7" x14ac:dyDescent="0.3">
      <c r="A10742" s="1" t="s">
        <v>4</v>
      </c>
      <c r="B10742" s="2" t="str">
        <f t="shared" si="940"/>
        <v>SISTEMA DE DIAGNÓSTICO LABORATORIAL</v>
      </c>
      <c r="C10742" s="2" t="str">
        <f t="shared" si="941"/>
        <v>DIAGN</v>
      </c>
      <c r="D10742" s="2" t="str">
        <f t="shared" si="942"/>
        <v>PSSD</v>
      </c>
      <c r="E10742" s="2" t="str">
        <f>"RELATÓRIO COM A RELAÇÃO DE PACIENTES"</f>
        <v>RELATÓRIO COM A RELAÇÃO DE PACIENTES</v>
      </c>
      <c r="F10742" s="2" t="str">
        <f>"R_RELACAO_PACIENTES_SD.RDF"</f>
        <v>R_RELACAO_PACIENTES_SD.RDF</v>
      </c>
      <c r="G10742" s="2" t="str">
        <f t="shared" si="939"/>
        <v xml:space="preserve"> ()</v>
      </c>
    </row>
    <row r="10743" spans="1:7" x14ac:dyDescent="0.3">
      <c r="A10743" s="1" t="s">
        <v>4</v>
      </c>
      <c r="B10743" s="2" t="str">
        <f t="shared" si="940"/>
        <v>SISTEMA DE DIAGNÓSTICO LABORATORIAL</v>
      </c>
      <c r="C10743" s="2" t="str">
        <f t="shared" si="941"/>
        <v>DIAGN</v>
      </c>
      <c r="D10743" s="2" t="str">
        <f t="shared" si="942"/>
        <v>PSSD</v>
      </c>
      <c r="E10743" s="2" t="str">
        <f>"EXAMES COM RESULTADOS FORA DA FAIXA"</f>
        <v>EXAMES COM RESULTADOS FORA DA FAIXA</v>
      </c>
      <c r="F10743" s="2" t="str">
        <f>"R_EXA_LAB_FORA_NORMAL.RDF"</f>
        <v>R_EXA_LAB_FORA_NORMAL.RDF</v>
      </c>
      <c r="G10743" s="2" t="str">
        <f t="shared" si="939"/>
        <v xml:space="preserve"> ()</v>
      </c>
    </row>
    <row r="10744" spans="1:7" x14ac:dyDescent="0.3">
      <c r="A10744" s="1" t="s">
        <v>4</v>
      </c>
      <c r="B10744" s="2" t="str">
        <f t="shared" si="940"/>
        <v>SISTEMA DE DIAGNÓSTICO LABORATORIAL</v>
      </c>
      <c r="C10744" s="2" t="str">
        <f t="shared" si="941"/>
        <v>DIAGN</v>
      </c>
      <c r="D10744" s="2" t="str">
        <f t="shared" si="942"/>
        <v>PSSD</v>
      </c>
      <c r="E10744" s="2" t="str">
        <f>"EXAMES SOLICITADOS POR CONVÊNIO"</f>
        <v>EXAMES SOLICITADOS POR CONVÊNIO</v>
      </c>
      <c r="F10744" s="2" t="str">
        <f>"R_EXAME_SOL_CONVENIO.RDF"</f>
        <v>R_EXAME_SOL_CONVENIO.RDF</v>
      </c>
      <c r="G10744" s="2" t="str">
        <f t="shared" si="939"/>
        <v xml:space="preserve"> ()</v>
      </c>
    </row>
    <row r="10745" spans="1:7" x14ac:dyDescent="0.3">
      <c r="A10745" s="1" t="s">
        <v>4</v>
      </c>
      <c r="B10745" s="2" t="str">
        <f t="shared" si="940"/>
        <v>SISTEMA DE DIAGNÓSTICO LABORATORIAL</v>
      </c>
      <c r="C10745" s="2" t="str">
        <f t="shared" si="941"/>
        <v>DIAGN</v>
      </c>
      <c r="D10745" s="2" t="str">
        <f t="shared" si="942"/>
        <v>PSSD</v>
      </c>
      <c r="E10745" s="2" t="str">
        <f>"EXAMES REALIZADOS POR TIPO DE ATEND."</f>
        <v>EXAMES REALIZADOS POR TIPO DE ATEND.</v>
      </c>
      <c r="F10745" s="2" t="str">
        <f>"R_EXA_REALIZ_TIPO_ATEND.RDF"</f>
        <v>R_EXA_REALIZ_TIPO_ATEND.RDF</v>
      </c>
      <c r="G10745" s="2" t="str">
        <f t="shared" si="939"/>
        <v xml:space="preserve"> ()</v>
      </c>
    </row>
    <row r="10746" spans="1:7" x14ac:dyDescent="0.3">
      <c r="A10746" s="1" t="s">
        <v>4</v>
      </c>
      <c r="B10746" s="2" t="str">
        <f t="shared" si="940"/>
        <v>SISTEMA DE DIAGNÓSTICO LABORATORIAL</v>
      </c>
      <c r="C10746" s="2" t="str">
        <f t="shared" si="941"/>
        <v>DIAGN</v>
      </c>
      <c r="D10746" s="2" t="str">
        <f t="shared" si="942"/>
        <v>PSSD</v>
      </c>
      <c r="E10746" s="2" t="str">
        <f>"EXAMES POR LABORATÓRIO X BANCADA"</f>
        <v>EXAMES POR LABORATÓRIO X BANCADA</v>
      </c>
      <c r="F10746" s="2" t="str">
        <f>"R_EXA_SOLIC_LAB.RDF"</f>
        <v>R_EXA_SOLIC_LAB.RDF</v>
      </c>
      <c r="G10746" s="2" t="str">
        <f t="shared" si="939"/>
        <v xml:space="preserve"> ()</v>
      </c>
    </row>
    <row r="10747" spans="1:7" x14ac:dyDescent="0.3">
      <c r="A10747" s="1" t="s">
        <v>4</v>
      </c>
      <c r="B10747" s="2" t="str">
        <f t="shared" si="940"/>
        <v>SISTEMA DE DIAGNÓSTICO LABORATORIAL</v>
      </c>
      <c r="C10747" s="2" t="str">
        <f t="shared" si="941"/>
        <v>DIAGN</v>
      </c>
      <c r="D10747" s="2" t="str">
        <f t="shared" si="942"/>
        <v>PSSD</v>
      </c>
      <c r="E10747" s="2" t="str">
        <f>"RELATÓRIO DE AMOSTRAS POR REMESSA"</f>
        <v>RELATÓRIO DE AMOSTRAS POR REMESSA</v>
      </c>
      <c r="F10747" s="2" t="str">
        <f>"R_AMOSTRA_POR_REMESSA.RDF"</f>
        <v>R_AMOSTRA_POR_REMESSA.RDF</v>
      </c>
      <c r="G10747" s="2" t="str">
        <f t="shared" si="939"/>
        <v xml:space="preserve"> ()</v>
      </c>
    </row>
    <row r="10748" spans="1:7" x14ac:dyDescent="0.3">
      <c r="A10748" s="1" t="s">
        <v>4</v>
      </c>
      <c r="B10748" s="2" t="str">
        <f t="shared" si="940"/>
        <v>SISTEMA DE DIAGNÓSTICO LABORATORIAL</v>
      </c>
      <c r="C10748" s="2" t="str">
        <f t="shared" si="941"/>
        <v>DIAGN</v>
      </c>
      <c r="D10748" s="2" t="str">
        <f t="shared" si="942"/>
        <v>PSSD</v>
      </c>
      <c r="E10748" s="2" t="str">
        <f>"R_RESUMO_FATURA_SETOR_734"</f>
        <v>R_RESUMO_FATURA_SETOR_734</v>
      </c>
      <c r="F10748" s="2" t="str">
        <f>"R_RESUMO_FATURA_SETOR_734"</f>
        <v>R_RESUMO_FATURA_SETOR_734</v>
      </c>
      <c r="G10748" s="2" t="str">
        <f t="shared" si="939"/>
        <v xml:space="preserve"> ()</v>
      </c>
    </row>
    <row r="10749" spans="1:7" x14ac:dyDescent="0.3">
      <c r="A10749" s="1" t="s">
        <v>4</v>
      </c>
      <c r="B10749" s="2" t="str">
        <f t="shared" si="940"/>
        <v>SISTEMA DE DIAGNÓSTICO LABORATORIAL</v>
      </c>
      <c r="C10749" s="2" t="str">
        <f t="shared" si="941"/>
        <v>DIAGN</v>
      </c>
      <c r="D10749" s="2" t="str">
        <f t="shared" si="942"/>
        <v>PSSD</v>
      </c>
      <c r="E10749" s="2" t="str">
        <f>"RELAÇÃO DE PACIENTES"</f>
        <v>RELAÇÃO DE PACIENTES</v>
      </c>
      <c r="F10749" s="2" t="str">
        <f>"R_RELACAO_PACIENTES_SD"</f>
        <v>R_RELACAO_PACIENTES_SD</v>
      </c>
      <c r="G10749" s="2" t="str">
        <f>"Diagnóstico e Terapia / Laboratório de Análises Clínicas / Relatórios / Administrativos / Relação de Pacientes do SADT (R_RELACAO_PACIENTES_SD)"</f>
        <v>Diagnóstico e Terapia / Laboratório de Análises Clínicas / Relatórios / Administrativos / Relação de Pacientes do SADT (R_RELACAO_PACIENTES_SD)</v>
      </c>
    </row>
    <row r="10750" spans="1:7" x14ac:dyDescent="0.3">
      <c r="A10750" s="1" t="s">
        <v>4</v>
      </c>
      <c r="B10750" s="2" t="str">
        <f t="shared" si="940"/>
        <v>SISTEMA DE DIAGNÓSTICO LABORATORIAL</v>
      </c>
      <c r="C10750" s="2" t="str">
        <f t="shared" si="941"/>
        <v>DIAGN</v>
      </c>
      <c r="D10750" s="2" t="str">
        <f t="shared" si="942"/>
        <v>PSSD</v>
      </c>
      <c r="E10750" s="2" t="str">
        <f>"R_EXAME_SOL_CONV"</f>
        <v>R_EXAME_SOL_CONV</v>
      </c>
      <c r="F10750" s="2" t="str">
        <f>"R_EXAME_SOL_CONV"</f>
        <v>R_EXAME_SOL_CONV</v>
      </c>
      <c r="G10750" s="2" t="str">
        <f>" ()"</f>
        <v xml:space="preserve"> ()</v>
      </c>
    </row>
    <row r="10751" spans="1:7" x14ac:dyDescent="0.3">
      <c r="A10751" s="1" t="s">
        <v>4</v>
      </c>
      <c r="B10751" s="2" t="str">
        <f t="shared" si="940"/>
        <v>SISTEMA DE DIAGNÓSTICO LABORATORIAL</v>
      </c>
      <c r="C10751" s="2" t="str">
        <f t="shared" si="941"/>
        <v>DIAGN</v>
      </c>
      <c r="D10751" s="2" t="str">
        <f t="shared" si="942"/>
        <v>PSSD</v>
      </c>
      <c r="E10751" s="2" t="str">
        <f>"REL. DE PEDIDO DE EXAMES"</f>
        <v>REL. DE PEDIDO DE EXAMES</v>
      </c>
      <c r="F10751" s="2" t="str">
        <f>"R_PEDIDO"</f>
        <v>R_PEDIDO</v>
      </c>
      <c r="G10751" s="2" t="str">
        <f>"Outros / Room Service / Relatórios / Operacionais / Reemitir Pedido (R_PEDIDO)"</f>
        <v>Outros / Room Service / Relatórios / Operacionais / Reemitir Pedido (R_PEDIDO)</v>
      </c>
    </row>
    <row r="10752" spans="1:7" x14ac:dyDescent="0.3">
      <c r="A10752" s="1" t="s">
        <v>4</v>
      </c>
      <c r="B10752" s="2" t="str">
        <f t="shared" si="940"/>
        <v>SISTEMA DE DIAGNÓSTICO LABORATORIAL</v>
      </c>
      <c r="C10752" s="2" t="str">
        <f t="shared" si="941"/>
        <v>DIAGN</v>
      </c>
      <c r="D10752" s="2" t="str">
        <f t="shared" si="942"/>
        <v>PSSD</v>
      </c>
      <c r="E10752" s="2" t="str">
        <f>"AGENDAMENTO E CONFIRMAÇÃO"</f>
        <v>AGENDAMENTO E CONFIRMAÇÃO</v>
      </c>
      <c r="F10752" s="2" t="str">
        <f>"M_AGENDA_PSSD"</f>
        <v>M_AGENDA_PSSD</v>
      </c>
      <c r="G10752" s="2" t="str">
        <f>"Diagnóstico e Terapia / Laboratório de Análises Clínicas / Agendamento / Agendamento (M_AGENDA_PSSD)"</f>
        <v>Diagnóstico e Terapia / Laboratório de Análises Clínicas / Agendamento / Agendamento (M_AGENDA_PSSD)</v>
      </c>
    </row>
    <row r="10753" spans="1:7" x14ac:dyDescent="0.3">
      <c r="A10753" s="1" t="s">
        <v>4</v>
      </c>
      <c r="B10753" s="2" t="str">
        <f t="shared" si="940"/>
        <v>SISTEMA DE DIAGNÓSTICO LABORATORIAL</v>
      </c>
      <c r="C10753" s="2" t="str">
        <f t="shared" si="941"/>
        <v>DIAGN</v>
      </c>
      <c r="D10753" s="2" t="str">
        <f t="shared" si="942"/>
        <v>PSSD</v>
      </c>
      <c r="E10753" s="2" t="str">
        <f>"QUESTIONÁRIO SISCOLO - HISTOPATOLOGIA"</f>
        <v>QUESTIONÁRIO SISCOLO - HISTOPATOLOGIA</v>
      </c>
      <c r="F10753" s="2" t="str">
        <f>"M_SISCO_HISTO"</f>
        <v>M_SISCO_HISTO</v>
      </c>
      <c r="G10753" s="2" t="str">
        <f>" ()"</f>
        <v xml:space="preserve"> ()</v>
      </c>
    </row>
    <row r="10754" spans="1:7" x14ac:dyDescent="0.3">
      <c r="A10754" s="1" t="s">
        <v>4</v>
      </c>
      <c r="B10754" s="2" t="str">
        <f t="shared" si="940"/>
        <v>SISTEMA DE DIAGNÓSTICO LABORATORIAL</v>
      </c>
      <c r="C10754" s="2" t="str">
        <f t="shared" si="941"/>
        <v>DIAGN</v>
      </c>
      <c r="D10754" s="2" t="str">
        <f t="shared" si="942"/>
        <v>PSSD</v>
      </c>
      <c r="E10754" s="2" t="str">
        <f>"R-LAUDO3_110"</f>
        <v>R-LAUDO3_110</v>
      </c>
      <c r="F10754" s="2" t="str">
        <f>"R-LAUDO3_110"</f>
        <v>R-LAUDO3_110</v>
      </c>
      <c r="G10754" s="2" t="str">
        <f>" ()"</f>
        <v xml:space="preserve"> ()</v>
      </c>
    </row>
    <row r="10755" spans="1:7" x14ac:dyDescent="0.3">
      <c r="A10755" s="1" t="s">
        <v>4</v>
      </c>
      <c r="B10755" s="2" t="str">
        <f t="shared" si="940"/>
        <v>SISTEMA DE DIAGNÓSTICO LABORATORIAL</v>
      </c>
      <c r="C10755" s="2" t="str">
        <f t="shared" si="941"/>
        <v>DIAGN</v>
      </c>
      <c r="D10755" s="2" t="str">
        <f t="shared" si="942"/>
        <v>PSSD</v>
      </c>
      <c r="E10755" s="2" t="str">
        <f>"RELAÇÃO NOMINAL DE PACIENTES"</f>
        <v>RELAÇÃO NOMINAL DE PACIENTES</v>
      </c>
      <c r="F10755" s="2" t="str">
        <f>"R_RELACAO_NOMINAL_PSSD_360"</f>
        <v>R_RELACAO_NOMINAL_PSSD_360</v>
      </c>
      <c r="G10755" s="2" t="str">
        <f>" ()"</f>
        <v xml:space="preserve"> ()</v>
      </c>
    </row>
    <row r="10756" spans="1:7" x14ac:dyDescent="0.3">
      <c r="A10756" s="1" t="s">
        <v>4</v>
      </c>
      <c r="B10756" s="2" t="str">
        <f t="shared" si="940"/>
        <v>SISTEMA DE DIAGNÓSTICO LABORATORIAL</v>
      </c>
      <c r="C10756" s="2" t="str">
        <f t="shared" si="941"/>
        <v>DIAGN</v>
      </c>
      <c r="D10756" s="2" t="str">
        <f t="shared" si="942"/>
        <v>PSSD</v>
      </c>
      <c r="E10756" s="2" t="str">
        <f>" M_ENTREGA"</f>
        <v xml:space="preserve"> M_ENTREGA</v>
      </c>
      <c r="F10756" s="2" t="str">
        <f>" M_ENTREGA"</f>
        <v xml:space="preserve"> M_ENTREGA</v>
      </c>
      <c r="G10756" s="2" t="str">
        <f>" ()"</f>
        <v xml:space="preserve"> ()</v>
      </c>
    </row>
    <row r="10757" spans="1:7" x14ac:dyDescent="0.3">
      <c r="A10757" s="1" t="s">
        <v>4</v>
      </c>
      <c r="B10757" s="2" t="str">
        <f t="shared" si="940"/>
        <v>SISTEMA DE DIAGNÓSTICO LABORATORIAL</v>
      </c>
      <c r="C10757" s="2" t="str">
        <f t="shared" si="941"/>
        <v>DIAGN</v>
      </c>
      <c r="D10757" s="2" t="str">
        <f t="shared" si="942"/>
        <v>PSSD</v>
      </c>
      <c r="E10757" s="2" t="str">
        <f>"LAUDO DO PSDD PARA A CONMEDH"</f>
        <v>LAUDO DO PSDD PARA A CONMEDH</v>
      </c>
      <c r="F10757" s="2" t="str">
        <f>"R_LAUDO3_301"</f>
        <v>R_LAUDO3_301</v>
      </c>
      <c r="G10757" s="2" t="str">
        <f>" ()"</f>
        <v xml:space="preserve"> ()</v>
      </c>
    </row>
    <row r="10758" spans="1:7" x14ac:dyDescent="0.3">
      <c r="A10758" s="1" t="s">
        <v>4</v>
      </c>
      <c r="B10758" s="2" t="str">
        <f t="shared" si="940"/>
        <v>SISTEMA DE DIAGNÓSTICO LABORATORIAL</v>
      </c>
      <c r="C10758" s="2" t="str">
        <f t="shared" si="941"/>
        <v>DIAGN</v>
      </c>
      <c r="D10758" s="2" t="str">
        <f t="shared" si="942"/>
        <v>PSSD</v>
      </c>
      <c r="E10758" s="2" t="str">
        <f>"CONFIGUIRAÇÕES DO LABORATÓRIO"</f>
        <v>CONFIGUIRAÇÕES DO LABORATÓRIO</v>
      </c>
      <c r="F10758" s="2" t="str">
        <f>"M_CONFIG_PSSD"</f>
        <v>M_CONFIG_PSSD</v>
      </c>
      <c r="G10758" s="2" t="str">
        <f>"Diagnóstico e Terapia / Laboratório de Análises Clínicas / Configuração / Parâmetros (M_CONFIG_PSSD)"</f>
        <v>Diagnóstico e Terapia / Laboratório de Análises Clínicas / Configuração / Parâmetros (M_CONFIG_PSSD)</v>
      </c>
    </row>
    <row r="10759" spans="1:7" x14ac:dyDescent="0.3">
      <c r="A10759" s="1" t="s">
        <v>4</v>
      </c>
      <c r="B10759" s="2" t="str">
        <f t="shared" si="940"/>
        <v>SISTEMA DE DIAGNÓSTICO LABORATORIAL</v>
      </c>
      <c r="C10759" s="2" t="str">
        <f t="shared" si="941"/>
        <v>DIAGN</v>
      </c>
      <c r="D10759" s="2" t="str">
        <f t="shared" si="942"/>
        <v>PSSD</v>
      </c>
      <c r="E10759" s="2" t="str">
        <f>"R_ETIQUETA_EXAME_LAB_110"</f>
        <v>R_ETIQUETA_EXAME_LAB_110</v>
      </c>
      <c r="F10759" s="2" t="str">
        <f>"R_ETIQUETA_EXAME_LAB_110"</f>
        <v>R_ETIQUETA_EXAME_LAB_110</v>
      </c>
      <c r="G10759" s="2" t="str">
        <f>" ()"</f>
        <v xml:space="preserve"> ()</v>
      </c>
    </row>
    <row r="10760" spans="1:7" x14ac:dyDescent="0.3">
      <c r="A10760" s="1" t="s">
        <v>4</v>
      </c>
      <c r="B10760" s="2" t="str">
        <f t="shared" si="940"/>
        <v>SISTEMA DE DIAGNÓSTICO LABORATORIAL</v>
      </c>
      <c r="C10760" s="2" t="str">
        <f t="shared" si="941"/>
        <v>DIAGN</v>
      </c>
      <c r="D10760" s="2" t="str">
        <f t="shared" si="942"/>
        <v>PSSD</v>
      </c>
      <c r="E10760" s="2" t="str">
        <f>"R_ETIQ_PSSD_PEDIDO_1711"</f>
        <v>R_ETIQ_PSSD_PEDIDO_1711</v>
      </c>
      <c r="F10760" s="2" t="str">
        <f>"R_ETIQ_PSSD_PEDIDO_1711"</f>
        <v>R_ETIQ_PSSD_PEDIDO_1711</v>
      </c>
      <c r="G10760" s="2" t="str">
        <f>" ()"</f>
        <v xml:space="preserve"> ()</v>
      </c>
    </row>
    <row r="10761" spans="1:7" x14ac:dyDescent="0.3">
      <c r="A10761" s="1" t="s">
        <v>4</v>
      </c>
      <c r="B10761" s="2" t="str">
        <f t="shared" si="940"/>
        <v>SISTEMA DE DIAGNÓSTICO LABORATORIAL</v>
      </c>
      <c r="C10761" s="2" t="str">
        <f t="shared" si="941"/>
        <v>DIAGN</v>
      </c>
      <c r="D10761" s="2" t="str">
        <f t="shared" si="942"/>
        <v>PSSD</v>
      </c>
      <c r="E10761" s="2" t="str">
        <f>"ATENDIMENTO: PEDIDOS DE EXAMES"</f>
        <v>ATENDIMENTO: PEDIDOS DE EXAMES</v>
      </c>
      <c r="F10761" s="2" t="str">
        <f>"M_PEDEXA_110"</f>
        <v>M_PEDEXA_110</v>
      </c>
      <c r="G10761" s="2" t="str">
        <f>" ()"</f>
        <v xml:space="preserve"> ()</v>
      </c>
    </row>
    <row r="10762" spans="1:7" x14ac:dyDescent="0.3">
      <c r="A10762" s="1" t="s">
        <v>4</v>
      </c>
      <c r="B10762" s="2" t="str">
        <f t="shared" si="940"/>
        <v>SISTEMA DE DIAGNÓSTICO LABORATORIAL</v>
      </c>
      <c r="C10762" s="2" t="str">
        <f t="shared" si="941"/>
        <v>DIAGN</v>
      </c>
      <c r="D10762" s="2" t="str">
        <f t="shared" si="942"/>
        <v>PSSD</v>
      </c>
      <c r="E10762" s="2" t="str">
        <f>"M_PEDEIXA"</f>
        <v>M_PEDEIXA</v>
      </c>
      <c r="F10762" s="2" t="str">
        <f>"M_PEDEIXA"</f>
        <v>M_PEDEIXA</v>
      </c>
      <c r="G10762" s="2" t="str">
        <f>" ()"</f>
        <v xml:space="preserve"> ()</v>
      </c>
    </row>
    <row r="10763" spans="1:7" x14ac:dyDescent="0.3">
      <c r="A10763" s="1" t="s">
        <v>4</v>
      </c>
      <c r="B10763" s="2" t="str">
        <f t="shared" si="940"/>
        <v>SISTEMA DE DIAGNÓSTICO LABORATORIAL</v>
      </c>
      <c r="C10763" s="2" t="str">
        <f t="shared" si="941"/>
        <v>DIAGN</v>
      </c>
      <c r="D10763" s="2" t="str">
        <f t="shared" si="942"/>
        <v>PSSD</v>
      </c>
      <c r="E10763" s="2" t="str">
        <f>"COTAS DE EXAMES"</f>
        <v>COTAS DE EXAMES</v>
      </c>
      <c r="F10763" s="2" t="str">
        <f>"M_COTA_EXA_LAB"</f>
        <v>M_COTA_EXA_LAB</v>
      </c>
      <c r="G10763" s="2" t="str">
        <f>"Diagnóstico e Terapia / Laboratório de Análises Clínicas / Tabelas / Cotas de Exames (M_COTA_EXA_LAB)"</f>
        <v>Diagnóstico e Terapia / Laboratório de Análises Clínicas / Tabelas / Cotas de Exames (M_COTA_EXA_LAB)</v>
      </c>
    </row>
    <row r="10764" spans="1:7" x14ac:dyDescent="0.3">
      <c r="A10764" s="1" t="s">
        <v>4</v>
      </c>
      <c r="B10764" s="2" t="str">
        <f t="shared" si="940"/>
        <v>SISTEMA DE DIAGNÓSTICO LABORATORIAL</v>
      </c>
      <c r="C10764" s="2" t="str">
        <f t="shared" si="941"/>
        <v>DIAGN</v>
      </c>
      <c r="D10764" s="2" t="str">
        <f t="shared" si="942"/>
        <v>PSSD</v>
      </c>
      <c r="E10764" s="2" t="str">
        <f>"EXAMES SOLICITADOS POR SETOR SOLICITANTE"</f>
        <v>EXAMES SOLICITADOS POR SETOR SOLICITANTE</v>
      </c>
      <c r="F10764" s="2" t="str">
        <f>"R_SOLEXA_PSSD"</f>
        <v>R_SOLEXA_PSSD</v>
      </c>
      <c r="G10764" s="2" t="str">
        <f>"Diagnóstico e Terapia / Laboratório de Análises Clínicas / Relatórios / Administrativos / Exames Solicitados por / Setor Solicitante (R_SOLEXA_PSSD)"</f>
        <v>Diagnóstico e Terapia / Laboratório de Análises Clínicas / Relatórios / Administrativos / Exames Solicitados por / Setor Solicitante (R_SOLEXA_PSSD)</v>
      </c>
    </row>
    <row r="10765" spans="1:7" x14ac:dyDescent="0.3">
      <c r="A10765" s="1" t="s">
        <v>4</v>
      </c>
      <c r="B10765" s="2" t="str">
        <f t="shared" si="940"/>
        <v>SISTEMA DE DIAGNÓSTICO LABORATORIAL</v>
      </c>
      <c r="C10765" s="2" t="str">
        <f t="shared" si="941"/>
        <v>DIAGN</v>
      </c>
      <c r="D10765" s="2" t="str">
        <f t="shared" si="942"/>
        <v>PSSD</v>
      </c>
      <c r="E10765" s="2" t="str">
        <f>"RELAT. DE EXAMES SOL. POR PRESTADORES"</f>
        <v>RELAT. DE EXAMES SOL. POR PRESTADORES</v>
      </c>
      <c r="F10765" s="2" t="str">
        <f>"R_EXAME_SOL_PREST"</f>
        <v>R_EXAME_SOL_PREST</v>
      </c>
      <c r="G10765" s="2" t="str">
        <f>"Diagnóstico e Terapia / Laboratório de Análises Clínicas / Relatórios / Administrativos / Exames Solicitados por / Prestador (R_EXAME_SOL_PREST)"</f>
        <v>Diagnóstico e Terapia / Laboratório de Análises Clínicas / Relatórios / Administrativos / Exames Solicitados por / Prestador (R_EXAME_SOL_PREST)</v>
      </c>
    </row>
    <row r="10766" spans="1:7" x14ac:dyDescent="0.3">
      <c r="A10766" s="1" t="s">
        <v>4</v>
      </c>
      <c r="B10766" s="2" t="str">
        <f t="shared" si="940"/>
        <v>SISTEMA DE DIAGNÓSTICO LABORATORIAL</v>
      </c>
      <c r="C10766" s="2" t="str">
        <f t="shared" si="941"/>
        <v>DIAGN</v>
      </c>
      <c r="D10766" s="2" t="str">
        <f t="shared" si="942"/>
        <v>PSSD</v>
      </c>
      <c r="E10766" s="2" t="str">
        <f>"QUESTIONÁRIO SISCOLO CITOPATOLOGIA"</f>
        <v>QUESTIONÁRIO SISCOLO CITOPATOLOGIA</v>
      </c>
      <c r="F10766" s="2" t="str">
        <f>"M_SISCO_CITO"</f>
        <v>M_SISCO_CITO</v>
      </c>
      <c r="G10766" s="2" t="str">
        <f>" ()"</f>
        <v xml:space="preserve"> ()</v>
      </c>
    </row>
    <row r="10767" spans="1:7" x14ac:dyDescent="0.3">
      <c r="A10767" s="1" t="s">
        <v>4</v>
      </c>
      <c r="B10767" s="2" t="str">
        <f t="shared" si="940"/>
        <v>SISTEMA DE DIAGNÓSTICO LABORATORIAL</v>
      </c>
      <c r="C10767" s="2" t="str">
        <f t="shared" si="941"/>
        <v>DIAGN</v>
      </c>
      <c r="D10767" s="2" t="str">
        <f t="shared" si="942"/>
        <v>PSSD</v>
      </c>
      <c r="E10767" s="2" t="str">
        <f>"MPSSD"</f>
        <v>MPSSD</v>
      </c>
      <c r="F10767" s="2" t="str">
        <f>"MPSSD"</f>
        <v>MPSSD</v>
      </c>
      <c r="G10767" s="2" t="str">
        <f>" ()"</f>
        <v xml:space="preserve"> ()</v>
      </c>
    </row>
    <row r="10768" spans="1:7" x14ac:dyDescent="0.3">
      <c r="A10768" s="1" t="s">
        <v>4</v>
      </c>
      <c r="B10768" s="2" t="str">
        <f t="shared" si="940"/>
        <v>SISTEMA DE DIAGNÓSTICO LABORATORIAL</v>
      </c>
      <c r="C10768" s="2" t="str">
        <f t="shared" si="941"/>
        <v>DIAGN</v>
      </c>
      <c r="D10768" s="2" t="str">
        <f t="shared" si="942"/>
        <v>PSSD</v>
      </c>
      <c r="E10768" s="2" t="str">
        <f>"REL EXAMES SOLICITADOS P/ SET EXECUTANTE"</f>
        <v>REL EXAMES SOLICITADOS P/ SET EXECUTANTE</v>
      </c>
      <c r="F10768" s="2" t="str">
        <f>"R_EXAME_SOL_SET_EXA"</f>
        <v>R_EXAME_SOL_SET_EXA</v>
      </c>
      <c r="G10768" s="2" t="str">
        <f>"Diagnóstico e Terapia / Laboratório de Análises Clínicas / Relatórios / Administrativos / Exames Solicitados por / Setor Executante (R_EXAME_SOL_SET_EXA)"</f>
        <v>Diagnóstico e Terapia / Laboratório de Análises Clínicas / Relatórios / Administrativos / Exames Solicitados por / Setor Executante (R_EXAME_SOL_SET_EXA)</v>
      </c>
    </row>
    <row r="10769" spans="1:7" x14ac:dyDescent="0.3">
      <c r="A10769" s="1" t="s">
        <v>4</v>
      </c>
      <c r="B10769" s="2" t="str">
        <f t="shared" si="940"/>
        <v>SISTEMA DE DIAGNÓSTICO LABORATORIAL</v>
      </c>
      <c r="C10769" s="2" t="str">
        <f t="shared" si="941"/>
        <v>DIAGN</v>
      </c>
      <c r="D10769" s="2" t="str">
        <f t="shared" si="942"/>
        <v>PSSD</v>
      </c>
      <c r="E10769" s="2" t="str">
        <f>"RELAÇÃO NOMINAL DE PACIENTE"</f>
        <v>RELAÇÃO NOMINAL DE PACIENTE</v>
      </c>
      <c r="F10769" s="2" t="str">
        <f>"R_RELACAO_NOMINAL_360"</f>
        <v>R_RELACAO_NOMINAL_360</v>
      </c>
      <c r="G10769" s="2" t="str">
        <f>" ()"</f>
        <v xml:space="preserve"> ()</v>
      </c>
    </row>
    <row r="10770" spans="1:7" x14ac:dyDescent="0.3">
      <c r="A10770" s="1" t="s">
        <v>4</v>
      </c>
      <c r="B10770" s="2" t="str">
        <f t="shared" si="940"/>
        <v>SISTEMA DE DIAGNÓSTICO LABORATORIAL</v>
      </c>
      <c r="C10770" s="2" t="str">
        <f t="shared" si="941"/>
        <v>DIAGN</v>
      </c>
      <c r="D10770" s="2" t="str">
        <f t="shared" si="942"/>
        <v>PSSD</v>
      </c>
      <c r="E10770" s="2" t="str">
        <f>"ESTATÍSTICA DE EXAMES NÃO REALIZADOS"</f>
        <v>ESTATÍSTICA DE EXAMES NÃO REALIZADOS</v>
      </c>
      <c r="F10770" s="2" t="str">
        <f>"R_EST_EXAME_N_REALIZ"</f>
        <v>R_EST_EXAME_N_REALIZ</v>
      </c>
      <c r="G10770" s="2" t="str">
        <f>"Diagnóstico e Terapia / Laboratório de Análises Clínicas / Relatórios / Estatisticos / Exames não Realizados (R_EST_EXAME_N_REALIZ)"</f>
        <v>Diagnóstico e Terapia / Laboratório de Análises Clínicas / Relatórios / Estatisticos / Exames não Realizados (R_EST_EXAME_N_REALIZ)</v>
      </c>
    </row>
    <row r="10771" spans="1:7" x14ac:dyDescent="0.3">
      <c r="A10771" s="1" t="s">
        <v>4</v>
      </c>
      <c r="B10771" s="2" t="str">
        <f t="shared" si="940"/>
        <v>SISTEMA DE DIAGNÓSTICO LABORATORIAL</v>
      </c>
      <c r="C10771" s="2" t="str">
        <f t="shared" si="941"/>
        <v>DIAGN</v>
      </c>
      <c r="D10771" s="2" t="str">
        <f t="shared" si="942"/>
        <v>PSSD</v>
      </c>
      <c r="E10771" s="2" t="str">
        <f>"RECEPÇÃO E CONFIRMAÇÃO DE AMOSTRAS"</f>
        <v>RECEPÇÃO E CONFIRMAÇÃO DE AMOSTRAS</v>
      </c>
      <c r="F10771" s="2" t="str">
        <f>"CONFIRMACAO_COLETA_C_D_M"</f>
        <v>CONFIRMACAO_COLETA_C_D_M</v>
      </c>
      <c r="G10771" s="2" t="str">
        <f>" ()"</f>
        <v xml:space="preserve"> ()</v>
      </c>
    </row>
    <row r="10772" spans="1:7" x14ac:dyDescent="0.3">
      <c r="A10772" s="1" t="s">
        <v>4</v>
      </c>
      <c r="B10772" s="2" t="str">
        <f t="shared" si="940"/>
        <v>SISTEMA DE DIAGNÓSTICO LABORATORIAL</v>
      </c>
      <c r="C10772" s="2" t="str">
        <f t="shared" si="941"/>
        <v>DIAGN</v>
      </c>
      <c r="D10772" s="2" t="str">
        <f t="shared" si="942"/>
        <v>PSSD</v>
      </c>
      <c r="E10772" s="2" t="str">
        <f>"RELATÓRIO DE DOENÇAS EXANTEMÁTICAS"</f>
        <v>RELATÓRIO DE DOENÇAS EXANTEMÁTICAS</v>
      </c>
      <c r="F10772" s="2" t="str">
        <f>"R_DOENCA_EXANTEMATICA_387"</f>
        <v>R_DOENCA_EXANTEMATICA_387</v>
      </c>
      <c r="G10772" s="2" t="str">
        <f>" ()"</f>
        <v xml:space="preserve"> ()</v>
      </c>
    </row>
    <row r="10773" spans="1:7" x14ac:dyDescent="0.3">
      <c r="A10773" s="1" t="s">
        <v>4</v>
      </c>
      <c r="B10773" s="2" t="str">
        <f t="shared" si="940"/>
        <v>SISTEMA DE DIAGNÓSTICO LABORATORIAL</v>
      </c>
      <c r="C10773" s="2" t="str">
        <f t="shared" si="941"/>
        <v>DIAGN</v>
      </c>
      <c r="D10773" s="2" t="str">
        <f t="shared" si="942"/>
        <v>PSSD</v>
      </c>
      <c r="E10773" s="2" t="str">
        <f>"WIN_PRINCIPAL"</f>
        <v>WIN_PRINCIPAL</v>
      </c>
      <c r="F10773" s="2" t="str">
        <f>"M_EXA_PROIBIDO_WEB"</f>
        <v>M_EXA_PROIBIDO_WEB</v>
      </c>
      <c r="G10773" s="2" t="str">
        <f>"Diagnóstico e Terapia / Laboratório de Análises Clínicas / Tabelas / Exames proibidos para publicação na Web (M_EXA_PROIBIDO_WEB)"</f>
        <v>Diagnóstico e Terapia / Laboratório de Análises Clínicas / Tabelas / Exames proibidos para publicação na Web (M_EXA_PROIBIDO_WEB)</v>
      </c>
    </row>
    <row r="10774" spans="1:7" x14ac:dyDescent="0.3">
      <c r="A10774" s="1" t="s">
        <v>4</v>
      </c>
      <c r="B10774" s="2" t="str">
        <f t="shared" si="940"/>
        <v>SISTEMA DE DIAGNÓSTICO LABORATORIAL</v>
      </c>
      <c r="C10774" s="2" t="str">
        <f t="shared" si="941"/>
        <v>DIAGN</v>
      </c>
      <c r="D10774" s="2" t="str">
        <f t="shared" si="942"/>
        <v>PSSD</v>
      </c>
      <c r="E10774" s="2" t="str">
        <f>"RELATÓRIO DE PARVOVÍRUS"</f>
        <v>RELATÓRIO DE PARVOVÍRUS</v>
      </c>
      <c r="F10774" s="2" t="str">
        <f>"R_PARVOVIRUS_387"</f>
        <v>R_PARVOVIRUS_387</v>
      </c>
      <c r="G10774" s="2" t="str">
        <f t="shared" ref="G10774:G10788" si="943">" ()"</f>
        <v xml:space="preserve"> ()</v>
      </c>
    </row>
    <row r="10775" spans="1:7" x14ac:dyDescent="0.3">
      <c r="A10775" s="1" t="s">
        <v>4</v>
      </c>
      <c r="B10775" s="2" t="str">
        <f t="shared" si="940"/>
        <v>SISTEMA DE DIAGNÓSTICO LABORATORIAL</v>
      </c>
      <c r="C10775" s="2" t="str">
        <f t="shared" si="941"/>
        <v>DIAGN</v>
      </c>
      <c r="D10775" s="2" t="str">
        <f t="shared" si="942"/>
        <v>PSSD</v>
      </c>
      <c r="E10775" s="2" t="str">
        <f>"C_RES_EXA_SOL"</f>
        <v>C_RES_EXA_SOL</v>
      </c>
      <c r="F10775" s="2" t="str">
        <f>"C_RES_EXA_SOL"</f>
        <v>C_RES_EXA_SOL</v>
      </c>
      <c r="G10775" s="2" t="str">
        <f t="shared" si="943"/>
        <v xml:space="preserve"> ()</v>
      </c>
    </row>
    <row r="10776" spans="1:7" x14ac:dyDescent="0.3">
      <c r="A10776" s="1" t="s">
        <v>4</v>
      </c>
      <c r="B10776" s="2" t="str">
        <f t="shared" si="940"/>
        <v>SISTEMA DE DIAGNÓSTICO LABORATORIAL</v>
      </c>
      <c r="C10776" s="2" t="str">
        <f t="shared" si="941"/>
        <v>DIAGN</v>
      </c>
      <c r="D10776" s="2" t="str">
        <f t="shared" si="942"/>
        <v>PSSD</v>
      </c>
      <c r="E10776" s="2" t="str">
        <f>"RELATÓRIO DE PRODUÇÃO"</f>
        <v>RELATÓRIO DE PRODUÇÃO</v>
      </c>
      <c r="F10776" s="2" t="str">
        <f>"R_PROD_RES_EXA_SETOR_387"</f>
        <v>R_PROD_RES_EXA_SETOR_387</v>
      </c>
      <c r="G10776" s="2" t="str">
        <f t="shared" si="943"/>
        <v xml:space="preserve"> ()</v>
      </c>
    </row>
    <row r="10777" spans="1:7" x14ac:dyDescent="0.3">
      <c r="A10777" s="1" t="s">
        <v>4</v>
      </c>
      <c r="B10777" s="2" t="str">
        <f t="shared" si="940"/>
        <v>SISTEMA DE DIAGNÓSTICO LABORATORIAL</v>
      </c>
      <c r="C10777" s="2" t="str">
        <f t="shared" si="941"/>
        <v>DIAGN</v>
      </c>
      <c r="D10777" s="2" t="str">
        <f t="shared" si="942"/>
        <v>PSSD</v>
      </c>
      <c r="E10777" s="2" t="str">
        <f>"RELATÓRIO DE PRODUÇÃO"</f>
        <v>RELATÓRIO DE PRODUÇÃO</v>
      </c>
      <c r="F10777" s="2" t="str">
        <f>"R_PROD_EXA_MAT_CIDADE_387"</f>
        <v>R_PROD_EXA_MAT_CIDADE_387</v>
      </c>
      <c r="G10777" s="2" t="str">
        <f t="shared" si="943"/>
        <v xml:space="preserve"> ()</v>
      </c>
    </row>
    <row r="10778" spans="1:7" x14ac:dyDescent="0.3">
      <c r="A10778" s="1" t="s">
        <v>4</v>
      </c>
      <c r="B10778" s="2" t="str">
        <f t="shared" si="940"/>
        <v>SISTEMA DE DIAGNÓSTICO LABORATORIAL</v>
      </c>
      <c r="C10778" s="2" t="str">
        <f t="shared" si="941"/>
        <v>DIAGN</v>
      </c>
      <c r="D10778" s="2" t="str">
        <f t="shared" si="942"/>
        <v>PSSD</v>
      </c>
      <c r="E10778" s="2" t="str">
        <f>"RELATÓRIO DE CONTROLE DE QUALIDADE"</f>
        <v>RELATÓRIO DE CONTROLE DE QUALIDADE</v>
      </c>
      <c r="F10778" s="2" t="str">
        <f>"R_CONTROLE_QUALIDADE_387"</f>
        <v>R_CONTROLE_QUALIDADE_387</v>
      </c>
      <c r="G10778" s="2" t="str">
        <f t="shared" si="943"/>
        <v xml:space="preserve"> ()</v>
      </c>
    </row>
    <row r="10779" spans="1:7" x14ac:dyDescent="0.3">
      <c r="A10779" s="1" t="s">
        <v>4</v>
      </c>
      <c r="B10779" s="2" t="str">
        <f t="shared" si="940"/>
        <v>SISTEMA DE DIAGNÓSTICO LABORATORIAL</v>
      </c>
      <c r="C10779" s="2" t="str">
        <f t="shared" si="941"/>
        <v>DIAGN</v>
      </c>
      <c r="D10779" s="2" t="str">
        <f t="shared" si="942"/>
        <v>PSSD</v>
      </c>
      <c r="E10779" s="2" t="str">
        <f>"R_QUANT_CULTURA_387"</f>
        <v>R_QUANT_CULTURA_387</v>
      </c>
      <c r="F10779" s="2" t="str">
        <f>"R_QUANT_CULTURA_387"</f>
        <v>R_QUANT_CULTURA_387</v>
      </c>
      <c r="G10779" s="2" t="str">
        <f t="shared" si="943"/>
        <v xml:space="preserve"> ()</v>
      </c>
    </row>
    <row r="10780" spans="1:7" x14ac:dyDescent="0.3">
      <c r="A10780" s="1" t="s">
        <v>4</v>
      </c>
      <c r="B10780" s="2" t="str">
        <f t="shared" si="940"/>
        <v>SISTEMA DE DIAGNÓSTICO LABORATORIAL</v>
      </c>
      <c r="C10780" s="2" t="str">
        <f t="shared" si="941"/>
        <v>DIAGN</v>
      </c>
      <c r="D10780" s="2" t="str">
        <f t="shared" si="942"/>
        <v>PSSD</v>
      </c>
      <c r="E10780" s="2" t="str">
        <f>"R_EXAME_REALIZ_SETOR_387"</f>
        <v>R_EXAME_REALIZ_SETOR_387</v>
      </c>
      <c r="F10780" s="2" t="str">
        <f>"R_EXAME_REALIZ_SETOR_387"</f>
        <v>R_EXAME_REALIZ_SETOR_387</v>
      </c>
      <c r="G10780" s="2" t="str">
        <f t="shared" si="943"/>
        <v xml:space="preserve"> ()</v>
      </c>
    </row>
    <row r="10781" spans="1:7" x14ac:dyDescent="0.3">
      <c r="A10781" s="1" t="s">
        <v>4</v>
      </c>
      <c r="B10781" s="2" t="str">
        <f t="shared" si="940"/>
        <v>SISTEMA DE DIAGNÓSTICO LABORATORIAL</v>
      </c>
      <c r="C10781" s="2" t="str">
        <f t="shared" si="941"/>
        <v>DIAGN</v>
      </c>
      <c r="D10781" s="2" t="str">
        <f t="shared" si="942"/>
        <v>PSSD</v>
      </c>
      <c r="E10781" s="2" t="str">
        <f>"RELATÓRIO DE PRODUÇÃO DO LABORATÓRIO"</f>
        <v>RELATÓRIO DE PRODUÇÃO DO LABORATÓRIO</v>
      </c>
      <c r="F10781" s="2" t="str">
        <f>"R_PRODUCAO_LAB_MENSAL_387"</f>
        <v>R_PRODUCAO_LAB_MENSAL_387</v>
      </c>
      <c r="G10781" s="2" t="str">
        <f t="shared" si="943"/>
        <v xml:space="preserve"> ()</v>
      </c>
    </row>
    <row r="10782" spans="1:7" x14ac:dyDescent="0.3">
      <c r="A10782" s="1" t="s">
        <v>4</v>
      </c>
      <c r="B10782" s="2" t="str">
        <f t="shared" si="940"/>
        <v>SISTEMA DE DIAGNÓSTICO LABORATORIAL</v>
      </c>
      <c r="C10782" s="2" t="str">
        <f t="shared" si="941"/>
        <v>DIAGN</v>
      </c>
      <c r="D10782" s="2" t="str">
        <f t="shared" si="942"/>
        <v>PSSD</v>
      </c>
      <c r="E10782" s="2" t="str">
        <f>"RELATÓRIO ANUAL DE EXAMES REALIZADOS"</f>
        <v>RELATÓRIO ANUAL DE EXAMES REALIZADOS</v>
      </c>
      <c r="F10782" s="2" t="str">
        <f>"R_EXAME_REALIZ_ANUAL_387"</f>
        <v>R_EXAME_REALIZ_ANUAL_387</v>
      </c>
      <c r="G10782" s="2" t="str">
        <f t="shared" si="943"/>
        <v xml:space="preserve"> ()</v>
      </c>
    </row>
    <row r="10783" spans="1:7" x14ac:dyDescent="0.3">
      <c r="A10783" s="1" t="s">
        <v>4</v>
      </c>
      <c r="B10783" s="2" t="str">
        <f t="shared" si="940"/>
        <v>SISTEMA DE DIAGNÓSTICO LABORATORIAL</v>
      </c>
      <c r="C10783" s="2" t="str">
        <f t="shared" si="941"/>
        <v>DIAGN</v>
      </c>
      <c r="D10783" s="2" t="str">
        <f t="shared" si="942"/>
        <v>PSSD</v>
      </c>
      <c r="E10783" s="2" t="str">
        <f>"RELATÓRIO DE PRODUÇÃO DO LABORATÓRIO"</f>
        <v>RELATÓRIO DE PRODUÇÃO DO LABORATÓRIO</v>
      </c>
      <c r="F10783" s="2" t="str">
        <f>"R_PRODUCAO_LAB_CIDADE_387"</f>
        <v>R_PRODUCAO_LAB_CIDADE_387</v>
      </c>
      <c r="G10783" s="2" t="str">
        <f t="shared" si="943"/>
        <v xml:space="preserve"> ()</v>
      </c>
    </row>
    <row r="10784" spans="1:7" x14ac:dyDescent="0.3">
      <c r="A10784" s="1" t="s">
        <v>4</v>
      </c>
      <c r="B10784" s="2" t="str">
        <f t="shared" si="940"/>
        <v>SISTEMA DE DIAGNÓSTICO LABORATORIAL</v>
      </c>
      <c r="C10784" s="2" t="str">
        <f t="shared" si="941"/>
        <v>DIAGN</v>
      </c>
      <c r="D10784" s="2" t="str">
        <f t="shared" si="942"/>
        <v>PSSD</v>
      </c>
      <c r="E10784" s="2" t="str">
        <f>"RELATÓRIO DE PRODUÇÃO DO LABORATÓRIO"</f>
        <v>RELATÓRIO DE PRODUÇÃO DO LABORATÓRIO</v>
      </c>
      <c r="F10784" s="2" t="str">
        <f>"R_PRODUCAO_LABORATORIO_387"</f>
        <v>R_PRODUCAO_LABORATORIO_387</v>
      </c>
      <c r="G10784" s="2" t="str">
        <f t="shared" si="943"/>
        <v xml:space="preserve"> ()</v>
      </c>
    </row>
    <row r="10785" spans="1:7" x14ac:dyDescent="0.3">
      <c r="A10785" s="1" t="s">
        <v>4</v>
      </c>
      <c r="B10785" s="2" t="str">
        <f t="shared" si="940"/>
        <v>SISTEMA DE DIAGNÓSTICO LABORATORIAL</v>
      </c>
      <c r="C10785" s="2" t="str">
        <f t="shared" si="941"/>
        <v>DIAGN</v>
      </c>
      <c r="D10785" s="2" t="str">
        <f t="shared" si="942"/>
        <v>PSSD</v>
      </c>
      <c r="E10785" s="2" t="str">
        <f>"R_EPIDEMIOLOGIA_METOD_387"</f>
        <v>R_EPIDEMIOLOGIA_METOD_387</v>
      </c>
      <c r="F10785" s="2" t="str">
        <f>"R_EPIDEMIOLOGIA_METOD_387"</f>
        <v>R_EPIDEMIOLOGIA_METOD_387</v>
      </c>
      <c r="G10785" s="2" t="str">
        <f t="shared" si="943"/>
        <v xml:space="preserve"> ()</v>
      </c>
    </row>
    <row r="10786" spans="1:7" x14ac:dyDescent="0.3">
      <c r="A10786" s="1" t="s">
        <v>4</v>
      </c>
      <c r="B10786" s="2" t="str">
        <f t="shared" si="940"/>
        <v>SISTEMA DE DIAGNÓSTICO LABORATORIAL</v>
      </c>
      <c r="C10786" s="2" t="str">
        <f t="shared" si="941"/>
        <v>DIAGN</v>
      </c>
      <c r="D10786" s="2" t="str">
        <f t="shared" si="942"/>
        <v>PSSD</v>
      </c>
      <c r="E10786" s="2" t="str">
        <f>"RELATÓRIO DE EPIDEMIOLOGIA"</f>
        <v>RELATÓRIO DE EPIDEMIOLOGIA</v>
      </c>
      <c r="F10786" s="2" t="str">
        <f>"R_EPIDEMIOLOGIA_EXAME_387"</f>
        <v>R_EPIDEMIOLOGIA_EXAME_387</v>
      </c>
      <c r="G10786" s="2" t="str">
        <f t="shared" si="943"/>
        <v xml:space="preserve"> ()</v>
      </c>
    </row>
    <row r="10787" spans="1:7" x14ac:dyDescent="0.3">
      <c r="A10787" s="1" t="s">
        <v>4</v>
      </c>
      <c r="B10787" s="2" t="str">
        <f t="shared" si="940"/>
        <v>SISTEMA DE DIAGNÓSTICO LABORATORIAL</v>
      </c>
      <c r="C10787" s="2" t="str">
        <f t="shared" si="941"/>
        <v>DIAGN</v>
      </c>
      <c r="D10787" s="2" t="str">
        <f t="shared" si="942"/>
        <v>PSSD</v>
      </c>
      <c r="E10787" s="2" t="str">
        <f>"LAYOUT DO EXAME DE CULTURA"</f>
        <v>LAYOUT DO EXAME DE CULTURA</v>
      </c>
      <c r="F10787" s="2" t="str">
        <f>"M_EDITOR_PSSD"</f>
        <v>M_EDITOR_PSSD</v>
      </c>
      <c r="G10787" s="2" t="str">
        <f t="shared" si="943"/>
        <v xml:space="preserve"> ()</v>
      </c>
    </row>
    <row r="10788" spans="1:7" x14ac:dyDescent="0.3">
      <c r="A10788" s="1" t="s">
        <v>4</v>
      </c>
      <c r="B10788" s="2" t="str">
        <f t="shared" si="940"/>
        <v>SISTEMA DE DIAGNÓSTICO LABORATORIAL</v>
      </c>
      <c r="C10788" s="2" t="str">
        <f t="shared" si="941"/>
        <v>DIAGN</v>
      </c>
      <c r="D10788" s="2" t="str">
        <f t="shared" si="942"/>
        <v>PSSD</v>
      </c>
      <c r="E10788" s="2" t="str">
        <f>"LAYOUT DO EXAME DE CULTURA"</f>
        <v>LAYOUT DO EXAME DE CULTURA</v>
      </c>
      <c r="F10788" s="2" t="str">
        <f>"M_LAYOUT_EXAME_CULTURA"</f>
        <v>M_LAYOUT_EXAME_CULTURA</v>
      </c>
      <c r="G10788" s="2" t="str">
        <f t="shared" si="943"/>
        <v xml:space="preserve"> ()</v>
      </c>
    </row>
    <row r="10789" spans="1:7" x14ac:dyDescent="0.3">
      <c r="A10789" s="1" t="s">
        <v>4</v>
      </c>
      <c r="B10789" s="2" t="str">
        <f t="shared" si="940"/>
        <v>SISTEMA DE DIAGNÓSTICO LABORATORIAL</v>
      </c>
      <c r="C10789" s="2" t="str">
        <f t="shared" si="941"/>
        <v>DIAGN</v>
      </c>
      <c r="D10789" s="2" t="str">
        <f t="shared" si="942"/>
        <v>PSSD</v>
      </c>
      <c r="E10789" s="2" t="str">
        <f>"CONSULTA DE EXAMES"</f>
        <v>CONSULTA DE EXAMES</v>
      </c>
      <c r="F10789" s="2" t="str">
        <f>"M_CAB_ROD_LAUDO"</f>
        <v>M_CAB_ROD_LAUDO</v>
      </c>
      <c r="G10789" s="2" t="str">
        <f>"Diagnóstico e Terapia / Laboratório de Análises Clínicas / Configuração / Variáveis de Cabeçalho e Rodape do Laudo (M_CAB_ROD_LAUDO)"</f>
        <v>Diagnóstico e Terapia / Laboratório de Análises Clínicas / Configuração / Variáveis de Cabeçalho e Rodape do Laudo (M_CAB_ROD_LAUDO)</v>
      </c>
    </row>
    <row r="10790" spans="1:7" x14ac:dyDescent="0.3">
      <c r="A10790" s="1" t="s">
        <v>4</v>
      </c>
      <c r="B10790" s="2" t="str">
        <f t="shared" si="940"/>
        <v>SISTEMA DE DIAGNÓSTICO LABORATORIAL</v>
      </c>
      <c r="C10790" s="2" t="str">
        <f t="shared" si="941"/>
        <v>DIAGN</v>
      </c>
      <c r="D10790" s="2" t="str">
        <f t="shared" si="942"/>
        <v>PSSD</v>
      </c>
      <c r="E10790" s="2" t="str">
        <f>"R_IMPRIMI_ETIQ_PSSD"</f>
        <v>R_IMPRIMI_ETIQ_PSSD</v>
      </c>
      <c r="F10790" s="2" t="str">
        <f>"R_IMPRIMI_ETIQ_PSSD"</f>
        <v>R_IMPRIMI_ETIQ_PSSD</v>
      </c>
      <c r="G10790" s="2" t="str">
        <f>"Diagnóstico e Terapia / Laboratório de Análises Clínicas / Relatórios / Etiqueta de Código de Barras (R_IMPRIMI_ETIQ_PSSD)"</f>
        <v>Diagnóstico e Terapia / Laboratório de Análises Clínicas / Relatórios / Etiqueta de Código de Barras (R_IMPRIMI_ETIQ_PSSD)</v>
      </c>
    </row>
    <row r="10791" spans="1:7" x14ac:dyDescent="0.3">
      <c r="A10791" s="1" t="s">
        <v>4</v>
      </c>
      <c r="B10791" s="2" t="str">
        <f t="shared" si="940"/>
        <v>SISTEMA DE DIAGNÓSTICO LABORATORIAL</v>
      </c>
      <c r="C10791" s="2" t="str">
        <f t="shared" si="941"/>
        <v>DIAGN</v>
      </c>
      <c r="D10791" s="2" t="str">
        <f t="shared" si="942"/>
        <v>PSSD</v>
      </c>
      <c r="E10791" s="2" t="str">
        <f>"RELATÓRIO DE ANTIMICROBIANOS"</f>
        <v>RELATÓRIO DE ANTIMICROBIANOS</v>
      </c>
      <c r="F10791" s="2" t="str">
        <f>"R_LISTA_EXAME_LOTE"</f>
        <v>R_LISTA_EXAME_LOTE</v>
      </c>
      <c r="G10791" s="2" t="str">
        <f>"Diagnóstico e Terapia / Laboratório de Análises Clínicas / Relatórios / Administrativos / Lista de Exames por Mapa de Trabalho (R_LISTA_EXAME_LOTE)"</f>
        <v>Diagnóstico e Terapia / Laboratório de Análises Clínicas / Relatórios / Administrativos / Lista de Exames por Mapa de Trabalho (R_LISTA_EXAME_LOTE)</v>
      </c>
    </row>
    <row r="10792" spans="1:7" x14ac:dyDescent="0.3">
      <c r="A10792" s="1" t="s">
        <v>4</v>
      </c>
      <c r="B10792" s="2" t="str">
        <f t="shared" si="940"/>
        <v>SISTEMA DE DIAGNÓSTICO LABORATORIAL</v>
      </c>
      <c r="C10792" s="2" t="str">
        <f t="shared" si="941"/>
        <v>DIAGN</v>
      </c>
      <c r="D10792" s="2" t="str">
        <f t="shared" si="942"/>
        <v>PSSD</v>
      </c>
      <c r="E10792" s="2" t="str">
        <f>"RELATÓRIO DE EXAMES REALIZADOS"</f>
        <v>RELATÓRIO DE EXAMES REALIZADOS</v>
      </c>
      <c r="F10792" s="2" t="str">
        <f>"R_PEDIDO_SEM_CONFIRMA_COLETA"</f>
        <v>R_PEDIDO_SEM_CONFIRMA_COLETA</v>
      </c>
      <c r="G10792" s="2" t="str">
        <f>" ()"</f>
        <v xml:space="preserve"> ()</v>
      </c>
    </row>
    <row r="10793" spans="1:7" x14ac:dyDescent="0.3">
      <c r="A10793" s="1" t="s">
        <v>4</v>
      </c>
      <c r="B10793" s="2" t="str">
        <f t="shared" si="940"/>
        <v>SISTEMA DE DIAGNÓSTICO LABORATORIAL</v>
      </c>
      <c r="C10793" s="2" t="str">
        <f t="shared" si="941"/>
        <v>DIAGN</v>
      </c>
      <c r="D10793" s="2" t="str">
        <f t="shared" si="942"/>
        <v>PSSD</v>
      </c>
      <c r="E10793" s="2" t="str">
        <f>"ATENDIMENTO: PEDIDOS DE EXAMES - RÁPIDO"</f>
        <v>ATENDIMENTO: PEDIDOS DE EXAMES - RÁPIDO</v>
      </c>
      <c r="F10793" s="2" t="str">
        <f>"M_PEDEXA_RAPIDO"</f>
        <v>M_PEDEXA_RAPIDO</v>
      </c>
      <c r="G10793" s="2" t="str">
        <f>" ()"</f>
        <v xml:space="preserve"> ()</v>
      </c>
    </row>
    <row r="10794" spans="1:7" x14ac:dyDescent="0.3">
      <c r="A10794" s="1" t="s">
        <v>4</v>
      </c>
      <c r="B10794" s="2" t="str">
        <f t="shared" ref="B10794:B10857" si="944">"SISTEMA DE DIAGNÓSTICO LABORATORIAL"</f>
        <v>SISTEMA DE DIAGNÓSTICO LABORATORIAL</v>
      </c>
      <c r="C10794" s="2" t="str">
        <f t="shared" ref="C10794:C10857" si="945">"DIAGN"</f>
        <v>DIAGN</v>
      </c>
      <c r="D10794" s="2" t="str">
        <f t="shared" ref="D10794:D10857" si="946">"PSSD"</f>
        <v>PSSD</v>
      </c>
      <c r="E10794" s="2" t="str">
        <f>"PLANILHA MENSAL DE EXAMES REALIZADOS"</f>
        <v>PLANILHA MENSAL DE EXAMES REALIZADOS</v>
      </c>
      <c r="F10794" s="2" t="str">
        <f>"R_ESTATISTICA_DIA_PSSD"</f>
        <v>R_ESTATISTICA_DIA_PSSD</v>
      </c>
      <c r="G10794" s="2" t="str">
        <f>"Diagnóstico e Terapia / Laboratório de Análises Clínicas / Relatórios / Estatisticos / Planilha Mensal de Exames Realizados (R_ESTATISTICA_DIA_PSSD)"</f>
        <v>Diagnóstico e Terapia / Laboratório de Análises Clínicas / Relatórios / Estatisticos / Planilha Mensal de Exames Realizados (R_ESTATISTICA_DIA_PSSD)</v>
      </c>
    </row>
    <row r="10795" spans="1:7" x14ac:dyDescent="0.3">
      <c r="A10795" s="1" t="s">
        <v>4</v>
      </c>
      <c r="B10795" s="2" t="str">
        <f t="shared" si="944"/>
        <v>SISTEMA DE DIAGNÓSTICO LABORATORIAL</v>
      </c>
      <c r="C10795" s="2" t="str">
        <f t="shared" si="945"/>
        <v>DIAGN</v>
      </c>
      <c r="D10795" s="2" t="str">
        <f t="shared" si="946"/>
        <v>PSSD</v>
      </c>
      <c r="E10795" s="2" t="str">
        <f>"R_EXA_LAB_REALIZADO_SETOR"</f>
        <v>R_EXA_LAB_REALIZADO_SETOR</v>
      </c>
      <c r="F10795" s="2" t="str">
        <f>"R_EXA_LAB_REALIZADO_SETOR"</f>
        <v>R_EXA_LAB_REALIZADO_SETOR</v>
      </c>
      <c r="G10795" s="2" t="str">
        <f>"Diagnóstico e Terapia / Laboratório de Análises Clínicas / Relatórios / Administrativos / Exames Realizados / Por Setor Solicitante (R_EXA_LAB_REALIZADO_SETOR)"</f>
        <v>Diagnóstico e Terapia / Laboratório de Análises Clínicas / Relatórios / Administrativos / Exames Realizados / Por Setor Solicitante (R_EXA_LAB_REALIZADO_SETOR)</v>
      </c>
    </row>
    <row r="10796" spans="1:7" x14ac:dyDescent="0.3">
      <c r="A10796" s="1" t="s">
        <v>4</v>
      </c>
      <c r="B10796" s="2" t="str">
        <f t="shared" si="944"/>
        <v>SISTEMA DE DIAGNÓSTICO LABORATORIAL</v>
      </c>
      <c r="C10796" s="2" t="str">
        <f t="shared" si="945"/>
        <v>DIAGN</v>
      </c>
      <c r="D10796" s="2" t="str">
        <f t="shared" si="946"/>
        <v>PSSD</v>
      </c>
      <c r="E10796" s="2" t="str">
        <f>"M_ETIQUETA_EXTERNA"</f>
        <v>M_ETIQUETA_EXTERNA</v>
      </c>
      <c r="F10796" s="2" t="str">
        <f>"M_ETIQUETA_EXTERNA"</f>
        <v>M_ETIQUETA_EXTERNA</v>
      </c>
      <c r="G10796" s="2" t="str">
        <f>"Diagnóstico e Terapia / Laboratório de Análises Clínicas / Coleta / Geração de Etiquetas Externas (M_ETIQUETA_EXTERNA)"</f>
        <v>Diagnóstico e Terapia / Laboratório de Análises Clínicas / Coleta / Geração de Etiquetas Externas (M_ETIQUETA_EXTERNA)</v>
      </c>
    </row>
    <row r="10797" spans="1:7" x14ac:dyDescent="0.3">
      <c r="A10797" s="1" t="s">
        <v>4</v>
      </c>
      <c r="B10797" s="2" t="str">
        <f t="shared" si="944"/>
        <v>SISTEMA DE DIAGNÓSTICO LABORATORIAL</v>
      </c>
      <c r="C10797" s="2" t="str">
        <f t="shared" si="945"/>
        <v>DIAGN</v>
      </c>
      <c r="D10797" s="2" t="str">
        <f t="shared" si="946"/>
        <v>PSSD</v>
      </c>
      <c r="E10797" s="2" t="str">
        <f>"R_EXA_REALIZ_TIPO_ATENDE"</f>
        <v>R_EXA_REALIZ_TIPO_ATENDE</v>
      </c>
      <c r="F10797" s="2" t="str">
        <f>"R_EXA_REALIZ_TIPO_ATENDE"</f>
        <v>R_EXA_REALIZ_TIPO_ATENDE</v>
      </c>
      <c r="G10797" s="2" t="str">
        <f>"Diagnóstico e Terapia / Laboratório de Análises Clínicas / Relatórios / Administrativos / Exames Realizados / Por Tipo de Atendimento (R_EXA_REALIZ_TIPO_ATENDE)"</f>
        <v>Diagnóstico e Terapia / Laboratório de Análises Clínicas / Relatórios / Administrativos / Exames Realizados / Por Tipo de Atendimento (R_EXA_REALIZ_TIPO_ATENDE)</v>
      </c>
    </row>
    <row r="10798" spans="1:7" x14ac:dyDescent="0.3">
      <c r="A10798" s="1" t="s">
        <v>4</v>
      </c>
      <c r="B10798" s="2" t="str">
        <f t="shared" si="944"/>
        <v>SISTEMA DE DIAGNÓSTICO LABORATORIAL</v>
      </c>
      <c r="C10798" s="2" t="str">
        <f t="shared" si="945"/>
        <v>DIAGN</v>
      </c>
      <c r="D10798" s="2" t="str">
        <f t="shared" si="946"/>
        <v>PSSD</v>
      </c>
      <c r="E10798" s="2" t="str">
        <f>"CONSULTA DE REMESSAS DE AMOSTRAS"</f>
        <v>CONSULTA DE REMESSAS DE AMOSTRAS</v>
      </c>
      <c r="F10798" s="2" t="str">
        <f>"M_CONSULTA_REMASSA_AMOSTRA"</f>
        <v>M_CONSULTA_REMASSA_AMOSTRA</v>
      </c>
      <c r="G10798" s="2" t="str">
        <f>" ()"</f>
        <v xml:space="preserve"> ()</v>
      </c>
    </row>
    <row r="10799" spans="1:7" x14ac:dyDescent="0.3">
      <c r="A10799" s="1" t="s">
        <v>4</v>
      </c>
      <c r="B10799" s="2" t="str">
        <f t="shared" si="944"/>
        <v>SISTEMA DE DIAGNÓSTICO LABORATORIAL</v>
      </c>
      <c r="C10799" s="2" t="str">
        <f t="shared" si="945"/>
        <v>DIAGN</v>
      </c>
      <c r="D10799" s="2" t="str">
        <f t="shared" si="946"/>
        <v>PSSD</v>
      </c>
      <c r="E10799" s="2" t="str">
        <f>"SETORES EXAMES - LABORATORIO"</f>
        <v>SETORES EXAMES - LABORATORIO</v>
      </c>
      <c r="F10799" s="2" t="str">
        <f>"M_SETEXA_PSSD"</f>
        <v>M_SETEXA_PSSD</v>
      </c>
      <c r="G10799" s="2" t="str">
        <f>"Diagnóstico e Terapia / Laboratório de Análises Clínicas / Tabelas / Setores de exames (M_SETEXA_PSSD)"</f>
        <v>Diagnóstico e Terapia / Laboratório de Análises Clínicas / Tabelas / Setores de exames (M_SETEXA_PSSD)</v>
      </c>
    </row>
    <row r="10800" spans="1:7" x14ac:dyDescent="0.3">
      <c r="A10800" s="1" t="s">
        <v>4</v>
      </c>
      <c r="B10800" s="2" t="str">
        <f t="shared" si="944"/>
        <v>SISTEMA DE DIAGNÓSTICO LABORATORIAL</v>
      </c>
      <c r="C10800" s="2" t="str">
        <f t="shared" si="945"/>
        <v>DIAGN</v>
      </c>
      <c r="D10800" s="2" t="str">
        <f t="shared" si="946"/>
        <v>PSSD</v>
      </c>
      <c r="E10800" s="2" t="str">
        <f>"CALLER DA M_FOREXA COM TP_LAUDO W"</f>
        <v>CALLER DA M_FOREXA COM TP_LAUDO W</v>
      </c>
      <c r="F10800" s="2" t="str">
        <f>"M_FOREXA_EDITOR"</f>
        <v>M_FOREXA_EDITOR</v>
      </c>
      <c r="G10800" s="2" t="str">
        <f>"Diagnóstico e Terapia / Laboratório de Análises Clínicas / Formatação / Laudos (Corpo do Exame) - Editor (M_FOREXA_EDITOR)"</f>
        <v>Diagnóstico e Terapia / Laboratório de Análises Clínicas / Formatação / Laudos (Corpo do Exame) - Editor (M_FOREXA_EDITOR)</v>
      </c>
    </row>
    <row r="10801" spans="1:7" x14ac:dyDescent="0.3">
      <c r="A10801" s="1" t="s">
        <v>4</v>
      </c>
      <c r="B10801" s="2" t="str">
        <f t="shared" si="944"/>
        <v>SISTEMA DE DIAGNÓSTICO LABORATORIAL</v>
      </c>
      <c r="C10801" s="2" t="str">
        <f t="shared" si="945"/>
        <v>DIAGN</v>
      </c>
      <c r="D10801" s="2" t="str">
        <f t="shared" si="946"/>
        <v>PSSD</v>
      </c>
      <c r="E10801" s="2" t="str">
        <f>"RECEPÇÃO - CENTRAL MARCAÇÕES - LABORAT"</f>
        <v>RECEPÇÃO - CENTRAL MARCAÇÕES - LABORAT</v>
      </c>
      <c r="F10801" s="2" t="str">
        <f>"M_RECEPCAO_AGENDA_PSSD"</f>
        <v>M_RECEPCAO_AGENDA_PSSD</v>
      </c>
      <c r="G10801" s="2" t="str">
        <f>"Diagnóstico e Terapia / Laboratório de Análises Clínicas / Atendimento / Recepção - Central de Marcações - Laboratório (M_RECEPCAO_AGENDA_PSSD)"</f>
        <v>Diagnóstico e Terapia / Laboratório de Análises Clínicas / Atendimento / Recepção - Central de Marcações - Laboratório (M_RECEPCAO_AGENDA_PSSD)</v>
      </c>
    </row>
    <row r="10802" spans="1:7" x14ac:dyDescent="0.3">
      <c r="A10802" s="1" t="s">
        <v>4</v>
      </c>
      <c r="B10802" s="2" t="str">
        <f t="shared" si="944"/>
        <v>SISTEMA DE DIAGNÓSTICO LABORATORIAL</v>
      </c>
      <c r="C10802" s="2" t="str">
        <f t="shared" si="945"/>
        <v>DIAGN</v>
      </c>
      <c r="D10802" s="2" t="str">
        <f t="shared" si="946"/>
        <v>PSSD</v>
      </c>
      <c r="E10802" s="2" t="str">
        <f>"EXAMES SOLICITADOS POR BANCADA"</f>
        <v>EXAMES SOLICITADOS POR BANCADA</v>
      </c>
      <c r="F10802" s="2" t="str">
        <f>"R_EXA_SOLIC_BANCADA.RDF"</f>
        <v>R_EXA_SOLIC_BANCADA.RDF</v>
      </c>
      <c r="G10802" s="2" t="str">
        <f>" ()"</f>
        <v xml:space="preserve"> ()</v>
      </c>
    </row>
    <row r="10803" spans="1:7" x14ac:dyDescent="0.3">
      <c r="A10803" s="1" t="s">
        <v>4</v>
      </c>
      <c r="B10803" s="2" t="str">
        <f t="shared" si="944"/>
        <v>SISTEMA DE DIAGNÓSTICO LABORATORIAL</v>
      </c>
      <c r="C10803" s="2" t="str">
        <f t="shared" si="945"/>
        <v>DIAGN</v>
      </c>
      <c r="D10803" s="2" t="str">
        <f t="shared" si="946"/>
        <v>PSSD</v>
      </c>
      <c r="E10803" s="2" t="str">
        <f>"EXAMES SOLICITADOS POR SETOR SOLICITANTE"</f>
        <v>EXAMES SOLICITADOS POR SETOR SOLICITANTE</v>
      </c>
      <c r="F10803" s="2" t="str">
        <f>"R_SOLEXA_PSSD.RDF"</f>
        <v>R_SOLEXA_PSSD.RDF</v>
      </c>
      <c r="G10803" s="2" t="str">
        <f>" ()"</f>
        <v xml:space="preserve"> ()</v>
      </c>
    </row>
    <row r="10804" spans="1:7" x14ac:dyDescent="0.3">
      <c r="A10804" s="1" t="s">
        <v>4</v>
      </c>
      <c r="B10804" s="2" t="str">
        <f t="shared" si="944"/>
        <v>SISTEMA DE DIAGNÓSTICO LABORATORIAL</v>
      </c>
      <c r="C10804" s="2" t="str">
        <f t="shared" si="945"/>
        <v>DIAGN</v>
      </c>
      <c r="D10804" s="2" t="str">
        <f t="shared" si="946"/>
        <v>PSSD</v>
      </c>
      <c r="E10804" s="2" t="str">
        <f>"CONFIGURAÇÃO DO CONTADOR DE CÉLULAS"</f>
        <v>CONFIGURAÇÃO DO CONTADOR DE CÉLULAS</v>
      </c>
      <c r="F10804" s="2" t="str">
        <f>"M_CONFIG_CONTADOR_CELULA"</f>
        <v>M_CONFIG_CONTADOR_CELULA</v>
      </c>
      <c r="G10804" s="2" t="str">
        <f>"Diagnóstico e Terapia / Laboratório de Análises Clínicas / Formatação / Contador de Células (M_CONFIG_CONTADOR_CELULA)"</f>
        <v>Diagnóstico e Terapia / Laboratório de Análises Clínicas / Formatação / Contador de Células (M_CONFIG_CONTADOR_CELULA)</v>
      </c>
    </row>
    <row r="10805" spans="1:7" x14ac:dyDescent="0.3">
      <c r="A10805" s="1" t="s">
        <v>4</v>
      </c>
      <c r="B10805" s="2" t="str">
        <f t="shared" si="944"/>
        <v>SISTEMA DE DIAGNÓSTICO LABORATORIAL</v>
      </c>
      <c r="C10805" s="2" t="str">
        <f t="shared" si="945"/>
        <v>DIAGN</v>
      </c>
      <c r="D10805" s="2" t="str">
        <f t="shared" si="946"/>
        <v>PSSD</v>
      </c>
      <c r="E10805" s="2" t="str">
        <f>"C_LOG_EXAME_RX"</f>
        <v>C_LOG_EXAME_RX</v>
      </c>
      <c r="F10805" s="2" t="str">
        <f>"C_LOG_EXAME_RX"</f>
        <v>C_LOG_EXAME_RX</v>
      </c>
      <c r="G10805" s="2" t="str">
        <f>"Diagnóstico e Terapia / Laboratório de Análises Clínicas / Consultas / Log de Movimentações de Exames  (C_LOG_EXAME_RX)"</f>
        <v>Diagnóstico e Terapia / Laboratório de Análises Clínicas / Consultas / Log de Movimentações de Exames  (C_LOG_EXAME_RX)</v>
      </c>
    </row>
    <row r="10806" spans="1:7" x14ac:dyDescent="0.3">
      <c r="A10806" s="1" t="s">
        <v>4</v>
      </c>
      <c r="B10806" s="2" t="str">
        <f t="shared" si="944"/>
        <v>SISTEMA DE DIAGNÓSTICO LABORATORIAL</v>
      </c>
      <c r="C10806" s="2" t="str">
        <f t="shared" si="945"/>
        <v>DIAGN</v>
      </c>
      <c r="D10806" s="2" t="str">
        <f t="shared" si="946"/>
        <v>PSSD</v>
      </c>
      <c r="E10806" s="2" t="str">
        <f>"TEXTO PADRAO"</f>
        <v>TEXTO PADRAO</v>
      </c>
      <c r="F10806" s="2" t="str">
        <f>"M_TEXPAD"</f>
        <v>M_TEXPAD</v>
      </c>
      <c r="G10806" s="2" t="str">
        <f>"Diagnóstico e Terapia / Laboratório de Análises Clínicas / Tabelas / Texto Padrão do Campo Livre (M_TEXPAD)"</f>
        <v>Diagnóstico e Terapia / Laboratório de Análises Clínicas / Tabelas / Texto Padrão do Campo Livre (M_TEXPAD)</v>
      </c>
    </row>
    <row r="10807" spans="1:7" x14ac:dyDescent="0.3">
      <c r="A10807" s="1" t="s">
        <v>4</v>
      </c>
      <c r="B10807" s="2" t="str">
        <f t="shared" si="944"/>
        <v>SISTEMA DE DIAGNÓSTICO LABORATORIAL</v>
      </c>
      <c r="C10807" s="2" t="str">
        <f t="shared" si="945"/>
        <v>DIAGN</v>
      </c>
      <c r="D10807" s="2" t="str">
        <f t="shared" si="946"/>
        <v>PSSD</v>
      </c>
      <c r="E10807" s="2" t="str">
        <f>"RELATÓRIO DE LABORATÓRIO X EXAMES"</f>
        <v>RELATÓRIO DE LABORATÓRIO X EXAMES</v>
      </c>
      <c r="F10807" s="2" t="str">
        <f>"R_LABEXA"</f>
        <v>R_LABEXA</v>
      </c>
      <c r="G10807" s="2" t="str">
        <f>"Diagnóstico e Terapia / Laboratório de Análises Clínicas / Relatórios / Tabelas / Laboratórios x Exames (R_LABEXA)"</f>
        <v>Diagnóstico e Terapia / Laboratório de Análises Clínicas / Relatórios / Tabelas / Laboratórios x Exames (R_LABEXA)</v>
      </c>
    </row>
    <row r="10808" spans="1:7" x14ac:dyDescent="0.3">
      <c r="A10808" s="1" t="s">
        <v>4</v>
      </c>
      <c r="B10808" s="2" t="str">
        <f t="shared" si="944"/>
        <v>SISTEMA DE DIAGNÓSTICO LABORATORIAL</v>
      </c>
      <c r="C10808" s="2" t="str">
        <f t="shared" si="945"/>
        <v>DIAGN</v>
      </c>
      <c r="D10808" s="2" t="str">
        <f t="shared" si="946"/>
        <v>PSSD</v>
      </c>
      <c r="E10808" s="2" t="str">
        <f>"REL DE EXAMES REALIZADOS"</f>
        <v>REL DE EXAMES REALIZADOS</v>
      </c>
      <c r="F10808" s="2" t="str">
        <f>"R_EXAME_REALIZ"</f>
        <v>R_EXAME_REALIZ</v>
      </c>
      <c r="G10808" s="2" t="str">
        <f>"Diagnóstico e Terapia / Laboratório de Análises Clínicas / Relatórios / Administrativos / Exames (R_EXAME_REALIZ)"</f>
        <v>Diagnóstico e Terapia / Laboratório de Análises Clínicas / Relatórios / Administrativos / Exames (R_EXAME_REALIZ)</v>
      </c>
    </row>
    <row r="10809" spans="1:7" x14ac:dyDescent="0.3">
      <c r="A10809" s="1" t="s">
        <v>4</v>
      </c>
      <c r="B10809" s="2" t="str">
        <f t="shared" si="944"/>
        <v>SISTEMA DE DIAGNÓSTICO LABORATORIAL</v>
      </c>
      <c r="C10809" s="2" t="str">
        <f t="shared" si="945"/>
        <v>DIAGN</v>
      </c>
      <c r="D10809" s="2" t="str">
        <f t="shared" si="946"/>
        <v>PSSD</v>
      </c>
      <c r="E10809" s="2" t="str">
        <f>"ENTREGA DE EXAMES"</f>
        <v>ENTREGA DE EXAMES</v>
      </c>
      <c r="F10809" s="2" t="str">
        <f>"M_ENTREGA"</f>
        <v>M_ENTREGA</v>
      </c>
      <c r="G10809" s="2" t="str">
        <f>" ()"</f>
        <v xml:space="preserve"> ()</v>
      </c>
    </row>
    <row r="10810" spans="1:7" x14ac:dyDescent="0.3">
      <c r="A10810" s="1" t="s">
        <v>4</v>
      </c>
      <c r="B10810" s="2" t="str">
        <f t="shared" si="944"/>
        <v>SISTEMA DE DIAGNÓSTICO LABORATORIAL</v>
      </c>
      <c r="C10810" s="2" t="str">
        <f t="shared" si="945"/>
        <v>DIAGN</v>
      </c>
      <c r="D10810" s="2" t="str">
        <f t="shared" si="946"/>
        <v>PSSD</v>
      </c>
      <c r="E10810" s="2" t="str">
        <f>"COLETA DE MATERIAL"</f>
        <v>COLETA DE MATERIAL</v>
      </c>
      <c r="F10810" s="2" t="str">
        <f>"M_COLMAT"</f>
        <v>M_COLMAT</v>
      </c>
      <c r="G10810" s="2" t="str">
        <f>" ()"</f>
        <v xml:space="preserve"> ()</v>
      </c>
    </row>
    <row r="10811" spans="1:7" x14ac:dyDescent="0.3">
      <c r="A10811" s="1" t="s">
        <v>4</v>
      </c>
      <c r="B10811" s="2" t="str">
        <f t="shared" si="944"/>
        <v>SISTEMA DE DIAGNÓSTICO LABORATORIAL</v>
      </c>
      <c r="C10811" s="2" t="str">
        <f t="shared" si="945"/>
        <v>DIAGN</v>
      </c>
      <c r="D10811" s="2" t="str">
        <f t="shared" si="946"/>
        <v>PSSD</v>
      </c>
      <c r="E10811" s="2" t="str">
        <f>"ETIQUETA DE ATENDIMENTO C/ CÓD. BARRAS"</f>
        <v>ETIQUETA DE ATENDIMENTO C/ CÓD. BARRAS</v>
      </c>
      <c r="F10811" s="2" t="str">
        <f>"R_ETIQ_ATEND_BARRAS_297"</f>
        <v>R_ETIQ_ATEND_BARRAS_297</v>
      </c>
      <c r="G10811" s="2" t="str">
        <f>" ()"</f>
        <v xml:space="preserve"> ()</v>
      </c>
    </row>
    <row r="10812" spans="1:7" x14ac:dyDescent="0.3">
      <c r="A10812" s="1" t="s">
        <v>4</v>
      </c>
      <c r="B10812" s="2" t="str">
        <f t="shared" si="944"/>
        <v>SISTEMA DE DIAGNÓSTICO LABORATORIAL</v>
      </c>
      <c r="C10812" s="2" t="str">
        <f t="shared" si="945"/>
        <v>DIAGN</v>
      </c>
      <c r="D10812" s="2" t="str">
        <f t="shared" si="946"/>
        <v>PSSD</v>
      </c>
      <c r="E10812" s="2" t="str">
        <f>"LIBERAÇÃO DE RESULTADO PARA CONSULTA"</f>
        <v>LIBERAÇÃO DE RESULTADO PARA CONSULTA</v>
      </c>
      <c r="F10812" s="2" t="str">
        <f>"M_LIBERA_RES"</f>
        <v>M_LIBERA_RES</v>
      </c>
      <c r="G10812" s="2" t="str">
        <f>"Diagnóstico e Terapia / Laboratório de Análises Clínicas / Atendimento / Liberação de resultados (M_LIBERA_RES)"</f>
        <v>Diagnóstico e Terapia / Laboratório de Análises Clínicas / Atendimento / Liberação de resultados (M_LIBERA_RES)</v>
      </c>
    </row>
    <row r="10813" spans="1:7" x14ac:dyDescent="0.3">
      <c r="A10813" s="1" t="s">
        <v>4</v>
      </c>
      <c r="B10813" s="2" t="str">
        <f t="shared" si="944"/>
        <v>SISTEMA DE DIAGNÓSTICO LABORATORIAL</v>
      </c>
      <c r="C10813" s="2" t="str">
        <f t="shared" si="945"/>
        <v>DIAGN</v>
      </c>
      <c r="D10813" s="2" t="str">
        <f t="shared" si="946"/>
        <v>PSSD</v>
      </c>
      <c r="E10813" s="2" t="str">
        <f>"RELATÓRIO DE EXAMES POR PACIENTE"</f>
        <v>RELATÓRIO DE EXAMES POR PACIENTE</v>
      </c>
      <c r="F10813" s="2" t="str">
        <f>"R_EXA_PGTO_448"</f>
        <v>R_EXA_PGTO_448</v>
      </c>
      <c r="G10813" s="2" t="str">
        <f>" ()"</f>
        <v xml:space="preserve"> ()</v>
      </c>
    </row>
    <row r="10814" spans="1:7" x14ac:dyDescent="0.3">
      <c r="A10814" s="1" t="s">
        <v>4</v>
      </c>
      <c r="B10814" s="2" t="str">
        <f t="shared" si="944"/>
        <v>SISTEMA DE DIAGNÓSTICO LABORATORIAL</v>
      </c>
      <c r="C10814" s="2" t="str">
        <f t="shared" si="945"/>
        <v>DIAGN</v>
      </c>
      <c r="D10814" s="2" t="str">
        <f t="shared" si="946"/>
        <v>PSSD</v>
      </c>
      <c r="E10814" s="2" t="str">
        <f>"RELATÓRIO DE PRODUÇÃO POR CONVÊNIO"</f>
        <v>RELATÓRIO DE PRODUÇÃO POR CONVÊNIO</v>
      </c>
      <c r="F10814" s="2" t="str">
        <f>"R_PROD_CONV"</f>
        <v>R_PROD_CONV</v>
      </c>
      <c r="G10814" s="2" t="str">
        <f>"Diagnóstico e Terapia / Laboratório de Análises Clínicas / Relatórios / Gerenciais / Produção por Convênio (R_PROD_CONV)"</f>
        <v>Diagnóstico e Terapia / Laboratório de Análises Clínicas / Relatórios / Gerenciais / Produção por Convênio (R_PROD_CONV)</v>
      </c>
    </row>
    <row r="10815" spans="1:7" x14ac:dyDescent="0.3">
      <c r="A10815" s="1" t="s">
        <v>4</v>
      </c>
      <c r="B10815" s="2" t="str">
        <f t="shared" si="944"/>
        <v>SISTEMA DE DIAGNÓSTICO LABORATORIAL</v>
      </c>
      <c r="C10815" s="2" t="str">
        <f t="shared" si="945"/>
        <v>DIAGN</v>
      </c>
      <c r="D10815" s="2" t="str">
        <f t="shared" si="946"/>
        <v>PSSD</v>
      </c>
      <c r="E10815" s="2" t="str">
        <f>"WIN_PRINCIPAL"</f>
        <v>WIN_PRINCIPAL</v>
      </c>
      <c r="F10815" s="2" t="str">
        <f>"M_CONSULTA_ENTREGA_LAB"</f>
        <v>M_CONSULTA_ENTREGA_LAB</v>
      </c>
      <c r="G10815" s="2" t="str">
        <f>"Diagnóstico e Terapia / Laboratório de Análises Clínicas / Consultas / Protocolos de Entrega (M_CONSULTA_ENTREGA_LAB)"</f>
        <v>Diagnóstico e Terapia / Laboratório de Análises Clínicas / Consultas / Protocolos de Entrega (M_CONSULTA_ENTREGA_LAB)</v>
      </c>
    </row>
    <row r="10816" spans="1:7" x14ac:dyDescent="0.3">
      <c r="A10816" s="1" t="s">
        <v>4</v>
      </c>
      <c r="B10816" s="2" t="str">
        <f t="shared" si="944"/>
        <v>SISTEMA DE DIAGNÓSTICO LABORATORIAL</v>
      </c>
      <c r="C10816" s="2" t="str">
        <f t="shared" si="945"/>
        <v>DIAGN</v>
      </c>
      <c r="D10816" s="2" t="str">
        <f t="shared" si="946"/>
        <v>PSSD</v>
      </c>
      <c r="E10816" s="2" t="str">
        <f>"WIN_PRINCIPAL - HOSPITAL MV SISTEMAS"</f>
        <v>WIN_PRINCIPAL - HOSPITAL MV SISTEMAS</v>
      </c>
      <c r="F10816" s="2" t="str">
        <f>"M_ENTREGA_LAB"</f>
        <v>M_ENTREGA_LAB</v>
      </c>
      <c r="G10816" s="2" t="str">
        <f>"Diagnóstico e Terapia / Laboratório de Análises Clínicas / Atendimento / Registro de Entrega de Exames (M_ENTREGA_LAB)"</f>
        <v>Diagnóstico e Terapia / Laboratório de Análises Clínicas / Atendimento / Registro de Entrega de Exames (M_ENTREGA_LAB)</v>
      </c>
    </row>
    <row r="10817" spans="1:7" x14ac:dyDescent="0.3">
      <c r="A10817" s="1" t="s">
        <v>4</v>
      </c>
      <c r="B10817" s="2" t="str">
        <f t="shared" si="944"/>
        <v>SISTEMA DE DIAGNÓSTICO LABORATORIAL</v>
      </c>
      <c r="C10817" s="2" t="str">
        <f t="shared" si="945"/>
        <v>DIAGN</v>
      </c>
      <c r="D10817" s="2" t="str">
        <f t="shared" si="946"/>
        <v>PSSD</v>
      </c>
      <c r="E10817" s="2" t="str">
        <f>"CADASTRO DE AGRUPAMENTOS DE RESULTADOS"</f>
        <v>CADASTRO DE AGRUPAMENTOS DE RESULTADOS</v>
      </c>
      <c r="F10817" s="2" t="str">
        <f>"M_AGRUPAMENTO_RESULTADO"</f>
        <v>M_AGRUPAMENTO_RESULTADO</v>
      </c>
      <c r="G10817" s="2" t="str">
        <f>"Diagnóstico e Terapia / Laboratório de Análises Clínicas / Formatação / Agrupamento de Campos do Exame (M_AGRUPAMENTO_RESULTADO)"</f>
        <v>Diagnóstico e Terapia / Laboratório de Análises Clínicas / Formatação / Agrupamento de Campos do Exame (M_AGRUPAMENTO_RESULTADO)</v>
      </c>
    </row>
    <row r="10818" spans="1:7" x14ac:dyDescent="0.3">
      <c r="A10818" s="1" t="s">
        <v>4</v>
      </c>
      <c r="B10818" s="2" t="str">
        <f t="shared" si="944"/>
        <v>SISTEMA DE DIAGNÓSTICO LABORATORIAL</v>
      </c>
      <c r="C10818" s="2" t="str">
        <f t="shared" si="945"/>
        <v>DIAGN</v>
      </c>
      <c r="D10818" s="2" t="str">
        <f t="shared" si="946"/>
        <v>PSSD</v>
      </c>
      <c r="E10818" s="2" t="str">
        <f>"ATENDIMENTO: PEDIDOS DE EXAMES"</f>
        <v>ATENDIMENTO: PEDIDOS DE EXAMES</v>
      </c>
      <c r="F10818" s="2" t="str">
        <f>"M_PEDEXA_682"</f>
        <v>M_PEDEXA_682</v>
      </c>
      <c r="G10818" s="2" t="str">
        <f>" ()"</f>
        <v xml:space="preserve"> ()</v>
      </c>
    </row>
    <row r="10819" spans="1:7" x14ac:dyDescent="0.3">
      <c r="A10819" s="1" t="s">
        <v>4</v>
      </c>
      <c r="B10819" s="2" t="str">
        <f t="shared" si="944"/>
        <v>SISTEMA DE DIAGNÓSTICO LABORATORIAL</v>
      </c>
      <c r="C10819" s="2" t="str">
        <f t="shared" si="945"/>
        <v>DIAGN</v>
      </c>
      <c r="D10819" s="2" t="str">
        <f t="shared" si="946"/>
        <v>PSSD</v>
      </c>
      <c r="E10819" s="2" t="str">
        <f>"ETIQUETA DE IDENTIFICAÇÃO DO PACIENTE"</f>
        <v>ETIQUETA DE IDENTIFICAÇÃO DO PACIENTE</v>
      </c>
      <c r="F10819" s="2" t="str">
        <f>"R_ETIQUETA_ATENDIMENTO_1302"</f>
        <v>R_ETIQUETA_ATENDIMENTO_1302</v>
      </c>
      <c r="G10819" s="2" t="str">
        <f>" ()"</f>
        <v xml:space="preserve"> ()</v>
      </c>
    </row>
    <row r="10820" spans="1:7" x14ac:dyDescent="0.3">
      <c r="A10820" s="1" t="s">
        <v>4</v>
      </c>
      <c r="B10820" s="2" t="str">
        <f t="shared" si="944"/>
        <v>SISTEMA DE DIAGNÓSTICO LABORATORIAL</v>
      </c>
      <c r="C10820" s="2" t="str">
        <f t="shared" si="945"/>
        <v>DIAGN</v>
      </c>
      <c r="D10820" s="2" t="str">
        <f t="shared" si="946"/>
        <v>PSSD</v>
      </c>
      <c r="E10820" s="2" t="str">
        <f>"CONSULTA DO MATRIX"</f>
        <v>CONSULTA DO MATRIX</v>
      </c>
      <c r="F10820" s="2" t="str">
        <f>"C_MATRIX"</f>
        <v>C_MATRIX</v>
      </c>
      <c r="G10820" s="2" t="str">
        <f>"Diagnóstico e Terapia / Laboratório de Análises Clínicas / Consultas / Log de interfaceamento (C_MATRIX)"</f>
        <v>Diagnóstico e Terapia / Laboratório de Análises Clínicas / Consultas / Log de interfaceamento (C_MATRIX)</v>
      </c>
    </row>
    <row r="10821" spans="1:7" x14ac:dyDescent="0.3">
      <c r="A10821" s="1" t="s">
        <v>4</v>
      </c>
      <c r="B10821" s="2" t="str">
        <f t="shared" si="944"/>
        <v>SISTEMA DE DIAGNÓSTICO LABORATORIAL</v>
      </c>
      <c r="C10821" s="2" t="str">
        <f t="shared" si="945"/>
        <v>DIAGN</v>
      </c>
      <c r="D10821" s="2" t="str">
        <f t="shared" si="946"/>
        <v>PSSD</v>
      </c>
      <c r="E10821" s="2" t="str">
        <f>"R_EXA_SOLIC_BANCADA"</f>
        <v>R_EXA_SOLIC_BANCADA</v>
      </c>
      <c r="F10821" s="2" t="str">
        <f>"R_EXA_SOLIC_BANCADA"</f>
        <v>R_EXA_SOLIC_BANCADA</v>
      </c>
      <c r="G10821" s="2" t="str">
        <f>"Diagnóstico e Terapia / Laboratório de Análises Clínicas / Relatórios / Administrativos / Exames Solicitados por / Bancada (R_EXA_SOLIC_BANCADA)"</f>
        <v>Diagnóstico e Terapia / Laboratório de Análises Clínicas / Relatórios / Administrativos / Exames Solicitados por / Bancada (R_EXA_SOLIC_BANCADA)</v>
      </c>
    </row>
    <row r="10822" spans="1:7" x14ac:dyDescent="0.3">
      <c r="A10822" s="1" t="s">
        <v>4</v>
      </c>
      <c r="B10822" s="2" t="str">
        <f t="shared" si="944"/>
        <v>SISTEMA DE DIAGNÓSTICO LABORATORIAL</v>
      </c>
      <c r="C10822" s="2" t="str">
        <f t="shared" si="945"/>
        <v>DIAGN</v>
      </c>
      <c r="D10822" s="2" t="str">
        <f t="shared" si="946"/>
        <v>PSSD</v>
      </c>
      <c r="E10822" s="2" t="str">
        <f>"MAPA DE TRABALHO POR BANCADA"</f>
        <v>MAPA DE TRABALHO POR BANCADA</v>
      </c>
      <c r="F10822" s="2" t="str">
        <f>"R_ESPELHO_1101"</f>
        <v>R_ESPELHO_1101</v>
      </c>
      <c r="G10822" s="2" t="str">
        <f>" ()"</f>
        <v xml:space="preserve"> ()</v>
      </c>
    </row>
    <row r="10823" spans="1:7" x14ac:dyDescent="0.3">
      <c r="A10823" s="1" t="s">
        <v>4</v>
      </c>
      <c r="B10823" s="2" t="str">
        <f t="shared" si="944"/>
        <v>SISTEMA DE DIAGNÓSTICO LABORATORIAL</v>
      </c>
      <c r="C10823" s="2" t="str">
        <f t="shared" si="945"/>
        <v>DIAGN</v>
      </c>
      <c r="D10823" s="2" t="str">
        <f t="shared" si="946"/>
        <v>PSSD</v>
      </c>
      <c r="E10823" s="2" t="str">
        <f>"RELATÓRIO DE MAPA DE BANCADA"</f>
        <v>RELATÓRIO DE MAPA DE BANCADA</v>
      </c>
      <c r="F10823" s="2" t="str">
        <f>"R_MAPA_BANCADA_970"</f>
        <v>R_MAPA_BANCADA_970</v>
      </c>
      <c r="G10823" s="2" t="str">
        <f>" ()"</f>
        <v xml:space="preserve"> ()</v>
      </c>
    </row>
    <row r="10824" spans="1:7" x14ac:dyDescent="0.3">
      <c r="A10824" s="1" t="s">
        <v>4</v>
      </c>
      <c r="B10824" s="2" t="str">
        <f t="shared" si="944"/>
        <v>SISTEMA DE DIAGNÓSTICO LABORATORIAL</v>
      </c>
      <c r="C10824" s="2" t="str">
        <f t="shared" si="945"/>
        <v>DIAGN</v>
      </c>
      <c r="D10824" s="2" t="str">
        <f t="shared" si="946"/>
        <v>PSSD</v>
      </c>
      <c r="E10824" s="2" t="str">
        <f>"AGRUPAMENTOS DE ANTIMICROBIANOS"</f>
        <v>AGRUPAMENTOS DE ANTIMICROBIANOS</v>
      </c>
      <c r="F10824" s="2" t="str">
        <f>"M_AGRUPAMENTO_PSSD"</f>
        <v>M_AGRUPAMENTO_PSSD</v>
      </c>
      <c r="G10824" s="2" t="str">
        <f>"Diagnóstico e Terapia / Laboratório de Análises Clínicas / Tabelas / Cultura / Agrupamento de Antimicrobianos (M_AGRUPAMENTO_PSSD)"</f>
        <v>Diagnóstico e Terapia / Laboratório de Análises Clínicas / Tabelas / Cultura / Agrupamento de Antimicrobianos (M_AGRUPAMENTO_PSSD)</v>
      </c>
    </row>
    <row r="10825" spans="1:7" x14ac:dyDescent="0.3">
      <c r="A10825" s="1" t="s">
        <v>4</v>
      </c>
      <c r="B10825" s="2" t="str">
        <f t="shared" si="944"/>
        <v>SISTEMA DE DIAGNÓSTICO LABORATORIAL</v>
      </c>
      <c r="C10825" s="2" t="str">
        <f t="shared" si="945"/>
        <v>DIAGN</v>
      </c>
      <c r="D10825" s="2" t="str">
        <f t="shared" si="946"/>
        <v>PSSD</v>
      </c>
      <c r="E10825" s="2" t="str">
        <f>"CADASTRO DE COLÔNIAS"</f>
        <v>CADASTRO DE COLÔNIAS</v>
      </c>
      <c r="F10825" s="2" t="str">
        <f>"M_COLONIA"</f>
        <v>M_COLONIA</v>
      </c>
      <c r="G10825" s="2" t="str">
        <f>"Diagnóstico e Terapia / Laboratório de Análises Clínicas / Tabelas / Cultura / Colônias (M_COLONIA)"</f>
        <v>Diagnóstico e Terapia / Laboratório de Análises Clínicas / Tabelas / Cultura / Colônias (M_COLONIA)</v>
      </c>
    </row>
    <row r="10826" spans="1:7" x14ac:dyDescent="0.3">
      <c r="A10826" s="1" t="s">
        <v>4</v>
      </c>
      <c r="B10826" s="2" t="str">
        <f t="shared" si="944"/>
        <v>SISTEMA DE DIAGNÓSTICO LABORATORIAL</v>
      </c>
      <c r="C10826" s="2" t="str">
        <f t="shared" si="945"/>
        <v>DIAGN</v>
      </c>
      <c r="D10826" s="2" t="str">
        <f t="shared" si="946"/>
        <v>PSSD</v>
      </c>
      <c r="E10826" s="2" t="str">
        <f>"IMPRESSÃO DE ETIQUETAS PARA AMOSTRA"</f>
        <v>IMPRESSÃO DE ETIQUETAS PARA AMOSTRA</v>
      </c>
      <c r="F10826" s="2" t="str">
        <f>"M_IMPRIME_ETIQ_AMOSTRA"</f>
        <v>M_IMPRIME_ETIQ_AMOSTRA</v>
      </c>
      <c r="G10826" s="2" t="str">
        <f>" ()"</f>
        <v xml:space="preserve"> ()</v>
      </c>
    </row>
    <row r="10827" spans="1:7" x14ac:dyDescent="0.3">
      <c r="A10827" s="1" t="s">
        <v>4</v>
      </c>
      <c r="B10827" s="2" t="str">
        <f t="shared" si="944"/>
        <v>SISTEMA DE DIAGNÓSTICO LABORATORIAL</v>
      </c>
      <c r="C10827" s="2" t="str">
        <f t="shared" si="945"/>
        <v>DIAGN</v>
      </c>
      <c r="D10827" s="2" t="str">
        <f t="shared" si="946"/>
        <v>PSSD</v>
      </c>
      <c r="E10827" s="2" t="str">
        <f>"M_USU_AUT_DT_PED_PSSD"</f>
        <v>M_USU_AUT_DT_PED_PSSD</v>
      </c>
      <c r="F10827" s="2" t="str">
        <f>"M_USU_AUT_DT_PED_PSSD"</f>
        <v>M_USU_AUT_DT_PED_PSSD</v>
      </c>
      <c r="G10827" s="2" t="str">
        <f>" ()"</f>
        <v xml:space="preserve"> ()</v>
      </c>
    </row>
    <row r="10828" spans="1:7" x14ac:dyDescent="0.3">
      <c r="A10828" s="1" t="s">
        <v>4</v>
      </c>
      <c r="B10828" s="2" t="str">
        <f t="shared" si="944"/>
        <v>SISTEMA DE DIAGNÓSTICO LABORATORIAL</v>
      </c>
      <c r="C10828" s="2" t="str">
        <f t="shared" si="945"/>
        <v>DIAGN</v>
      </c>
      <c r="D10828" s="2" t="str">
        <f t="shared" si="946"/>
        <v>PSSD</v>
      </c>
      <c r="E10828" s="2" t="str">
        <f>"ETIQUETA DE IDENTIFICAÇÃO DO PACIENTE"</f>
        <v>ETIQUETA DE IDENTIFICAÇÃO DO PACIENTE</v>
      </c>
      <c r="F10828" s="2" t="str">
        <f>"R_ETIQUETA_ATEND_297"</f>
        <v>R_ETIQUETA_ATEND_297</v>
      </c>
      <c r="G10828" s="2" t="str">
        <f>" ()"</f>
        <v xml:space="preserve"> ()</v>
      </c>
    </row>
    <row r="10829" spans="1:7" x14ac:dyDescent="0.3">
      <c r="A10829" s="1" t="s">
        <v>4</v>
      </c>
      <c r="B10829" s="2" t="str">
        <f t="shared" si="944"/>
        <v>SISTEMA DE DIAGNÓSTICO LABORATORIAL</v>
      </c>
      <c r="C10829" s="2" t="str">
        <f t="shared" si="945"/>
        <v>DIAGN</v>
      </c>
      <c r="D10829" s="2" t="str">
        <f t="shared" si="946"/>
        <v>PSSD</v>
      </c>
      <c r="E10829" s="2" t="str">
        <f>"AVALIAÇÃO DE TEMPO: RECEPÇÃO X COLETA"</f>
        <v>AVALIAÇÃO DE TEMPO: RECEPÇÃO X COLETA</v>
      </c>
      <c r="F10829" s="2" t="str">
        <f>"R_TEMPO_RECEP_COLETA"</f>
        <v>R_TEMPO_RECEP_COLETA</v>
      </c>
      <c r="G10829" s="2" t="str">
        <f>"Diagnóstico e Terapia / Laboratório de Análises Clínicas / Relatórios / Administrativos / Coleta de Materiais / Tempo de Atendimento: Recepção x Coleta (R_TEMPO_RECEP_COLETA)"</f>
        <v>Diagnóstico e Terapia / Laboratório de Análises Clínicas / Relatórios / Administrativos / Coleta de Materiais / Tempo de Atendimento: Recepção x Coleta (R_TEMPO_RECEP_COLETA)</v>
      </c>
    </row>
    <row r="10830" spans="1:7" x14ac:dyDescent="0.3">
      <c r="A10830" s="1" t="s">
        <v>4</v>
      </c>
      <c r="B10830" s="2" t="str">
        <f t="shared" si="944"/>
        <v>SISTEMA DE DIAGNÓSTICO LABORATORIAL</v>
      </c>
      <c r="C10830" s="2" t="str">
        <f t="shared" si="945"/>
        <v>DIAGN</v>
      </c>
      <c r="D10830" s="2" t="str">
        <f t="shared" si="946"/>
        <v>PSSD</v>
      </c>
      <c r="E10830" s="2" t="str">
        <f>"EXAMES SOLICITADOS SEM CONFIRMAÇÃO"</f>
        <v>EXAMES SOLICITADOS SEM CONFIRMAÇÃO</v>
      </c>
      <c r="F10830" s="2" t="str">
        <f>"R_PED_S_CONF_COLETA"</f>
        <v>R_PED_S_CONF_COLETA</v>
      </c>
      <c r="G10830" s="2" t="str">
        <f>"Diagnóstico e Terapia / Laboratório de Análises Clínicas / Relatórios / Operacionais / Exames Solicitados sem Confirmação de Coleta (R_PED_S_CONF_COLETA)"</f>
        <v>Diagnóstico e Terapia / Laboratório de Análises Clínicas / Relatórios / Operacionais / Exames Solicitados sem Confirmação de Coleta (R_PED_S_CONF_COLETA)</v>
      </c>
    </row>
    <row r="10831" spans="1:7" x14ac:dyDescent="0.3">
      <c r="A10831" s="1" t="s">
        <v>4</v>
      </c>
      <c r="B10831" s="2" t="str">
        <f t="shared" si="944"/>
        <v>SISTEMA DE DIAGNÓSTICO LABORATORIAL</v>
      </c>
      <c r="C10831" s="2" t="str">
        <f t="shared" si="945"/>
        <v>DIAGN</v>
      </c>
      <c r="D10831" s="2" t="str">
        <f t="shared" si="946"/>
        <v>PSSD</v>
      </c>
      <c r="E10831" s="2" t="str">
        <f>"R_ESPELHO_SEM_LOTE"</f>
        <v>R_ESPELHO_SEM_LOTE</v>
      </c>
      <c r="F10831" s="2" t="str">
        <f>"R_ESPELHO_SEM_LOTE"</f>
        <v>R_ESPELHO_SEM_LOTE</v>
      </c>
      <c r="G10831" s="2" t="str">
        <f>"Diagnóstico e Terapia / Laboratório de Análises Clínicas / Relatórios / Operacionais / Espelho (sem Lote) (R_ESPELHO_SEM_LOTE)"</f>
        <v>Diagnóstico e Terapia / Laboratório de Análises Clínicas / Relatórios / Operacionais / Espelho (sem Lote) (R_ESPELHO_SEM_LOTE)</v>
      </c>
    </row>
    <row r="10832" spans="1:7" x14ac:dyDescent="0.3">
      <c r="A10832" s="1" t="s">
        <v>4</v>
      </c>
      <c r="B10832" s="2" t="str">
        <f t="shared" si="944"/>
        <v>SISTEMA DE DIAGNÓSTICO LABORATORIAL</v>
      </c>
      <c r="C10832" s="2" t="str">
        <f t="shared" si="945"/>
        <v>DIAGN</v>
      </c>
      <c r="D10832" s="2" t="str">
        <f t="shared" si="946"/>
        <v>PSSD</v>
      </c>
      <c r="E10832" s="2" t="str">
        <f>"GERAÇÃO DE MAPA DE TRABALHO"</f>
        <v>GERAÇÃO DE MAPA DE TRABALHO</v>
      </c>
      <c r="F10832" s="2" t="str">
        <f>"M_GERA_MAPA_BANCADA"</f>
        <v>M_GERA_MAPA_BANCADA</v>
      </c>
      <c r="G10832" s="2" t="str">
        <f>" ()"</f>
        <v xml:space="preserve"> ()</v>
      </c>
    </row>
    <row r="10833" spans="1:7" x14ac:dyDescent="0.3">
      <c r="A10833" s="1" t="s">
        <v>4</v>
      </c>
      <c r="B10833" s="2" t="str">
        <f t="shared" si="944"/>
        <v>SISTEMA DE DIAGNÓSTICO LABORATORIAL</v>
      </c>
      <c r="C10833" s="2" t="str">
        <f t="shared" si="945"/>
        <v>DIAGN</v>
      </c>
      <c r="D10833" s="2" t="str">
        <f t="shared" si="946"/>
        <v>PSSD</v>
      </c>
      <c r="E10833" s="2" t="str">
        <f>"RELATÓRIO DE FATURAMENTO POR EXAME"</f>
        <v>RELATÓRIO DE FATURAMENTO POR EXAME</v>
      </c>
      <c r="F10833" s="2" t="str">
        <f>"R_EXA_RESTRICAO"</f>
        <v>R_EXA_RESTRICAO</v>
      </c>
      <c r="G10833" s="2" t="str">
        <f>" ()"</f>
        <v xml:space="preserve"> ()</v>
      </c>
    </row>
    <row r="10834" spans="1:7" x14ac:dyDescent="0.3">
      <c r="A10834" s="1" t="s">
        <v>4</v>
      </c>
      <c r="B10834" s="2" t="str">
        <f t="shared" si="944"/>
        <v>SISTEMA DE DIAGNÓSTICO LABORATORIAL</v>
      </c>
      <c r="C10834" s="2" t="str">
        <f t="shared" si="945"/>
        <v>DIAGN</v>
      </c>
      <c r="D10834" s="2" t="str">
        <f t="shared" si="946"/>
        <v>PSSD</v>
      </c>
      <c r="E10834" s="2" t="str">
        <f>"REGISTRO DE PASSAGEM DE AMOSTRA"</f>
        <v>REGISTRO DE PASSAGEM DE AMOSTRA</v>
      </c>
      <c r="F10834" s="2" t="str">
        <f>"M_REGISTRA_MOV_AMOSTRA"</f>
        <v>M_REGISTRA_MOV_AMOSTRA</v>
      </c>
      <c r="G10834" s="2" t="str">
        <f>"Diagnóstico e Terapia / Laboratório de Análises Clínicas / Coleta / Registro de Passagem de Amostra (M_REGISTRA_MOV_AMOSTRA)"</f>
        <v>Diagnóstico e Terapia / Laboratório de Análises Clínicas / Coleta / Registro de Passagem de Amostra (M_REGISTRA_MOV_AMOSTRA)</v>
      </c>
    </row>
    <row r="10835" spans="1:7" x14ac:dyDescent="0.3">
      <c r="A10835" s="1" t="s">
        <v>4</v>
      </c>
      <c r="B10835" s="2" t="str">
        <f t="shared" si="944"/>
        <v>SISTEMA DE DIAGNÓSTICO LABORATORIAL</v>
      </c>
      <c r="C10835" s="2" t="str">
        <f t="shared" si="945"/>
        <v>DIAGN</v>
      </c>
      <c r="D10835" s="2" t="str">
        <f t="shared" si="946"/>
        <v>PSSD</v>
      </c>
      <c r="E10835" s="2" t="str">
        <f>"RELATÓRIO DE AMOSTRAS POR REMESSA"</f>
        <v>RELATÓRIO DE AMOSTRAS POR REMESSA</v>
      </c>
      <c r="F10835" s="2" t="str">
        <f>"R_AMOSTRA_POR_REMESSA"</f>
        <v>R_AMOSTRA_POR_REMESSA</v>
      </c>
      <c r="G10835" s="2" t="str">
        <f>"Diagnóstico e Terapia / Laboratório de Análises Clínicas / Relatórios / Operacionais / Listagem de Amostras por Remessa (R_AMOSTRA_POR_REMESSA)"</f>
        <v>Diagnóstico e Terapia / Laboratório de Análises Clínicas / Relatórios / Operacionais / Listagem de Amostras por Remessa (R_AMOSTRA_POR_REMESSA)</v>
      </c>
    </row>
    <row r="10836" spans="1:7" x14ac:dyDescent="0.3">
      <c r="A10836" s="1" t="s">
        <v>4</v>
      </c>
      <c r="B10836" s="2" t="str">
        <f t="shared" si="944"/>
        <v>SISTEMA DE DIAGNÓSTICO LABORATORIAL</v>
      </c>
      <c r="C10836" s="2" t="str">
        <f t="shared" si="945"/>
        <v>DIAGN</v>
      </c>
      <c r="D10836" s="2" t="str">
        <f t="shared" si="946"/>
        <v>PSSD</v>
      </c>
      <c r="E10836" s="2" t="str">
        <f>"CONSULTA DE REMESSAS DE AMOSTRAS"</f>
        <v>CONSULTA DE REMESSAS DE AMOSTRAS</v>
      </c>
      <c r="F10836" s="2" t="str">
        <f>"M_CONSULTA_REMESSA_AMOSTRA"</f>
        <v>M_CONSULTA_REMESSA_AMOSTRA</v>
      </c>
      <c r="G10836" s="2" t="str">
        <f>"Diagnóstico e Terapia / Laboratório de Análises Clínicas / Consultas / Remessa de Amostras (M_CONSULTA_REMESSA_AMOSTRA)"</f>
        <v>Diagnóstico e Terapia / Laboratório de Análises Clínicas / Consultas / Remessa de Amostras (M_CONSULTA_REMESSA_AMOSTRA)</v>
      </c>
    </row>
    <row r="10837" spans="1:7" x14ac:dyDescent="0.3">
      <c r="A10837" s="1" t="s">
        <v>4</v>
      </c>
      <c r="B10837" s="2" t="str">
        <f t="shared" si="944"/>
        <v>SISTEMA DE DIAGNÓSTICO LABORATORIAL</v>
      </c>
      <c r="C10837" s="2" t="str">
        <f t="shared" si="945"/>
        <v>DIAGN</v>
      </c>
      <c r="D10837" s="2" t="str">
        <f t="shared" si="946"/>
        <v>PSSD</v>
      </c>
      <c r="E10837" s="2" t="str">
        <f>"M_MOTIVO_CANCELAMENTO"</f>
        <v>M_MOTIVO_CANCELAMENTO</v>
      </c>
      <c r="F10837" s="2" t="str">
        <f>"M_MOTIVO_CANCELAMENTO"</f>
        <v>M_MOTIVO_CANCELAMENTO</v>
      </c>
      <c r="G10837" s="2" t="str">
        <f>"Diagnóstico e Terapia / Laboratório de Análises Clínicas / Tabelas / Motivos de Cancelamento de Remessa (M_MOTIVO_CANCELAMENTO)"</f>
        <v>Diagnóstico e Terapia / Laboratório de Análises Clínicas / Tabelas / Motivos de Cancelamento de Remessa (M_MOTIVO_CANCELAMENTO)</v>
      </c>
    </row>
    <row r="10838" spans="1:7" x14ac:dyDescent="0.3">
      <c r="A10838" s="1" t="s">
        <v>4</v>
      </c>
      <c r="B10838" s="2" t="str">
        <f t="shared" si="944"/>
        <v>SISTEMA DE DIAGNÓSTICO LABORATORIAL</v>
      </c>
      <c r="C10838" s="2" t="str">
        <f t="shared" si="945"/>
        <v>DIAGN</v>
      </c>
      <c r="D10838" s="2" t="str">
        <f t="shared" si="946"/>
        <v>PSSD</v>
      </c>
      <c r="E10838" s="2" t="str">
        <f>"GERAÇÃO DE REMESSA DE AMOSTRA"</f>
        <v>GERAÇÃO DE REMESSA DE AMOSTRA</v>
      </c>
      <c r="F10838" s="2" t="str">
        <f>"M_GERA_REMESSA_AMOSTRA"</f>
        <v>M_GERA_REMESSA_AMOSTRA</v>
      </c>
      <c r="G10838" s="2" t="str">
        <f>"Diagnóstico e Terapia / Laboratório de Análises Clínicas / Coleta / Gerar Remessa de Amostras (M_GERA_REMESSA_AMOSTRA)"</f>
        <v>Diagnóstico e Terapia / Laboratório de Análises Clínicas / Coleta / Gerar Remessa de Amostras (M_GERA_REMESSA_AMOSTRA)</v>
      </c>
    </row>
    <row r="10839" spans="1:7" x14ac:dyDescent="0.3">
      <c r="A10839" s="1" t="s">
        <v>4</v>
      </c>
      <c r="B10839" s="2" t="str">
        <f t="shared" si="944"/>
        <v>SISTEMA DE DIAGNÓSTICO LABORATORIAL</v>
      </c>
      <c r="C10839" s="2" t="str">
        <f t="shared" si="945"/>
        <v>DIAGN</v>
      </c>
      <c r="D10839" s="2" t="str">
        <f t="shared" si="946"/>
        <v>PSSD</v>
      </c>
      <c r="E10839" s="2" t="str">
        <f>"R_TEX_LAB"</f>
        <v>R_TEX_LAB</v>
      </c>
      <c r="F10839" s="2" t="str">
        <f>"R_TEX_LAB"</f>
        <v>R_TEX_LAB</v>
      </c>
      <c r="G10839" s="2" t="str">
        <f>" ()"</f>
        <v xml:space="preserve"> ()</v>
      </c>
    </row>
    <row r="10840" spans="1:7" x14ac:dyDescent="0.3">
      <c r="A10840" s="1" t="s">
        <v>4</v>
      </c>
      <c r="B10840" s="2" t="str">
        <f t="shared" si="944"/>
        <v>SISTEMA DE DIAGNÓSTICO LABORATORIAL</v>
      </c>
      <c r="C10840" s="2" t="str">
        <f t="shared" si="945"/>
        <v>DIAGN</v>
      </c>
      <c r="D10840" s="2" t="str">
        <f t="shared" si="946"/>
        <v>PSSD</v>
      </c>
      <c r="E10840" s="2" t="str">
        <f>"WIN_PRINCIPAL - HOSPITAL MV SISTEMAS"</f>
        <v>WIN_PRINCIPAL - HOSPITAL MV SISTEMAS</v>
      </c>
      <c r="F10840" s="2" t="str">
        <f>"M_LOCAL_PADRAO"</f>
        <v>M_LOCAL_PADRAO</v>
      </c>
      <c r="G10840" s="2" t="str">
        <f>"Diagnóstico e Terapia / Laboratório de Análises Clínicas / Tabelas / Áreas de Entrega e Coleta / Locais Padrões de Entrega (M_LOCAL_PADRAO)"</f>
        <v>Diagnóstico e Terapia / Laboratório de Análises Clínicas / Tabelas / Áreas de Entrega e Coleta / Locais Padrões de Entrega (M_LOCAL_PADRAO)</v>
      </c>
    </row>
    <row r="10841" spans="1:7" x14ac:dyDescent="0.3">
      <c r="A10841" s="1" t="s">
        <v>4</v>
      </c>
      <c r="B10841" s="2" t="str">
        <f t="shared" si="944"/>
        <v>SISTEMA DE DIAGNÓSTICO LABORATORIAL</v>
      </c>
      <c r="C10841" s="2" t="str">
        <f t="shared" si="945"/>
        <v>DIAGN</v>
      </c>
      <c r="D10841" s="2" t="str">
        <f t="shared" si="946"/>
        <v>PSSD</v>
      </c>
      <c r="E10841" s="2" t="str">
        <f>"WIN_PRINCIPAL - HOSPITAL MV SISTEMAS"</f>
        <v>WIN_PRINCIPAL - HOSPITAL MV SISTEMAS</v>
      </c>
      <c r="F10841" s="2" t="str">
        <f>"M_TIPO_ENTREGA"</f>
        <v>M_TIPO_ENTREGA</v>
      </c>
      <c r="G10841" s="2" t="str">
        <f>"Diagnóstico e Terapia / Laboratório de Análises Clínicas / Tabelas / Áreas de Entrega e Coleta / Tipos de Entrega (M_TIPO_ENTREGA)"</f>
        <v>Diagnóstico e Terapia / Laboratório de Análises Clínicas / Tabelas / Áreas de Entrega e Coleta / Tipos de Entrega (M_TIPO_ENTREGA)</v>
      </c>
    </row>
    <row r="10842" spans="1:7" x14ac:dyDescent="0.3">
      <c r="A10842" s="1" t="s">
        <v>4</v>
      </c>
      <c r="B10842" s="2" t="str">
        <f t="shared" si="944"/>
        <v>SISTEMA DE DIAGNÓSTICO LABORATORIAL</v>
      </c>
      <c r="C10842" s="2" t="str">
        <f t="shared" si="945"/>
        <v>DIAGN</v>
      </c>
      <c r="D10842" s="2" t="str">
        <f t="shared" si="946"/>
        <v>PSSD</v>
      </c>
      <c r="E10842" s="2" t="str">
        <f>"WIN_PRINCIPAL"</f>
        <v>WIN_PRINCIPAL</v>
      </c>
      <c r="F10842" s="2" t="str">
        <f>"R_ETIQ_ENTR_PSSD"</f>
        <v>R_ETIQ_ENTR_PSSD</v>
      </c>
      <c r="G10842" s="2" t="str">
        <f>" ()"</f>
        <v xml:space="preserve"> ()</v>
      </c>
    </row>
    <row r="10843" spans="1:7" x14ac:dyDescent="0.3">
      <c r="A10843" s="1" t="s">
        <v>4</v>
      </c>
      <c r="B10843" s="2" t="str">
        <f t="shared" si="944"/>
        <v>SISTEMA DE DIAGNÓSTICO LABORATORIAL</v>
      </c>
      <c r="C10843" s="2" t="str">
        <f t="shared" si="945"/>
        <v>DIAGN</v>
      </c>
      <c r="D10843" s="2" t="str">
        <f t="shared" si="946"/>
        <v>PSSD</v>
      </c>
      <c r="E10843" s="2" t="str">
        <f>"R_ENTREGA_POR_TIPO"</f>
        <v>R_ENTREGA_POR_TIPO</v>
      </c>
      <c r="F10843" s="2" t="str">
        <f>"R_ENTREGA_POR_TIPO"</f>
        <v>R_ENTREGA_POR_TIPO</v>
      </c>
      <c r="G10843" s="2" t="str">
        <f>"Diagnóstico e Terapia / Laboratório de Análises Clínicas / Relatórios / Operacionais / Lista de Entrega por Tipo de Entrega (R_ENTREGA_POR_TIPO)"</f>
        <v>Diagnóstico e Terapia / Laboratório de Análises Clínicas / Relatórios / Operacionais / Lista de Entrega por Tipo de Entrega (R_ENTREGA_POR_TIPO)</v>
      </c>
    </row>
    <row r="10844" spans="1:7" x14ac:dyDescent="0.3">
      <c r="A10844" s="1" t="s">
        <v>4</v>
      </c>
      <c r="B10844" s="2" t="str">
        <f t="shared" si="944"/>
        <v>SISTEMA DE DIAGNÓSTICO LABORATORIAL</v>
      </c>
      <c r="C10844" s="2" t="str">
        <f t="shared" si="945"/>
        <v>DIAGN</v>
      </c>
      <c r="D10844" s="2" t="str">
        <f t="shared" si="946"/>
        <v>PSSD</v>
      </c>
      <c r="E10844" s="2" t="str">
        <f>"R_COMPR_ENTREGA"</f>
        <v>R_COMPR_ENTREGA</v>
      </c>
      <c r="F10844" s="2" t="str">
        <f>"R_COMPR_ENTREGA"</f>
        <v>R_COMPR_ENTREGA</v>
      </c>
      <c r="G10844" s="2" t="str">
        <f>"Diagnóstico e Terapia / Laboratório de Análises Clínicas / Relatórios / Operacionais / Comprovante de Entrega de Exames (R_COMPR_ENTREGA)"</f>
        <v>Diagnóstico e Terapia / Laboratório de Análises Clínicas / Relatórios / Operacionais / Comprovante de Entrega de Exames (R_COMPR_ENTREGA)</v>
      </c>
    </row>
    <row r="10845" spans="1:7" x14ac:dyDescent="0.3">
      <c r="A10845" s="1" t="s">
        <v>4</v>
      </c>
      <c r="B10845" s="2" t="str">
        <f t="shared" si="944"/>
        <v>SISTEMA DE DIAGNÓSTICO LABORATORIAL</v>
      </c>
      <c r="C10845" s="2" t="str">
        <f t="shared" si="945"/>
        <v>DIAGN</v>
      </c>
      <c r="D10845" s="2" t="str">
        <f t="shared" si="946"/>
        <v>PSSD</v>
      </c>
      <c r="E10845" s="2" t="str">
        <f>"R_EXA_SOLIC_LAB"</f>
        <v>R_EXA_SOLIC_LAB</v>
      </c>
      <c r="F10845" s="2" t="str">
        <f>"R_EXA_SOLIC_LAB"</f>
        <v>R_EXA_SOLIC_LAB</v>
      </c>
      <c r="G10845" s="2" t="str">
        <f>"Diagnóstico e Terapia / Laboratório de Análises Clínicas / Relatórios / Administrativos / Exames Solicitados por / Laboratório x Bancada (R_EXA_SOLIC_LAB)"</f>
        <v>Diagnóstico e Terapia / Laboratório de Análises Clínicas / Relatórios / Administrativos / Exames Solicitados por / Laboratório x Bancada (R_EXA_SOLIC_LAB)</v>
      </c>
    </row>
    <row r="10846" spans="1:7" x14ac:dyDescent="0.3">
      <c r="A10846" s="1" t="s">
        <v>4</v>
      </c>
      <c r="B10846" s="2" t="str">
        <f t="shared" si="944"/>
        <v>SISTEMA DE DIAGNÓSTICO LABORATORIAL</v>
      </c>
      <c r="C10846" s="2" t="str">
        <f t="shared" si="945"/>
        <v>DIAGN</v>
      </c>
      <c r="D10846" s="2" t="str">
        <f t="shared" si="946"/>
        <v>PSSD</v>
      </c>
      <c r="E10846" s="2" t="str">
        <f>"CADASTRO DE POSTOS DE COLETA"</f>
        <v>CADASTRO DE POSTOS DE COLETA</v>
      </c>
      <c r="F10846" s="2" t="str">
        <f>"M_POSTO_COLETA"</f>
        <v>M_POSTO_COLETA</v>
      </c>
      <c r="G10846" s="2" t="str">
        <f>"Diagnóstico e Terapia / Laboratório de Análises Clínicas / Tabelas / Postos de Coleta (M_POSTO_COLETA)"</f>
        <v>Diagnóstico e Terapia / Laboratório de Análises Clínicas / Tabelas / Postos de Coleta (M_POSTO_COLETA)</v>
      </c>
    </row>
    <row r="10847" spans="1:7" x14ac:dyDescent="0.3">
      <c r="A10847" s="1" t="s">
        <v>4</v>
      </c>
      <c r="B10847" s="2" t="str">
        <f t="shared" si="944"/>
        <v>SISTEMA DE DIAGNÓSTICO LABORATORIAL</v>
      </c>
      <c r="C10847" s="2" t="str">
        <f t="shared" si="945"/>
        <v>DIAGN</v>
      </c>
      <c r="D10847" s="2" t="str">
        <f t="shared" si="946"/>
        <v>PSSD</v>
      </c>
      <c r="E10847" s="2" t="str">
        <f>"LISTA DE EXAMES COM PENDÊNCIA"</f>
        <v>LISTA DE EXAMES COM PENDÊNCIA</v>
      </c>
      <c r="F10847" s="2" t="str">
        <f>"R_LISTA_EXAME_PENDENCIA"</f>
        <v>R_LISTA_EXAME_PENDENCIA</v>
      </c>
      <c r="G10847" s="2" t="str">
        <f>"Diagnóstico e Terapia / Laboratório de Análises Clínicas / Relatórios / Operacionais / Lista de Exames com Pendência (R_LISTA_EXAME_PENDENCIA)"</f>
        <v>Diagnóstico e Terapia / Laboratório de Análises Clínicas / Relatórios / Operacionais / Lista de Exames com Pendência (R_LISTA_EXAME_PENDENCIA)</v>
      </c>
    </row>
    <row r="10848" spans="1:7" x14ac:dyDescent="0.3">
      <c r="A10848" s="1" t="s">
        <v>4</v>
      </c>
      <c r="B10848" s="2" t="str">
        <f t="shared" si="944"/>
        <v>SISTEMA DE DIAGNÓSTICO LABORATORIAL</v>
      </c>
      <c r="C10848" s="2" t="str">
        <f t="shared" si="945"/>
        <v>DIAGN</v>
      </c>
      <c r="D10848" s="2" t="str">
        <f t="shared" si="946"/>
        <v>PSSD</v>
      </c>
      <c r="E10848" s="2" t="str">
        <f>"GERENCIAMENTO DE EXAMES"</f>
        <v>GERENCIAMENTO DE EXAMES</v>
      </c>
      <c r="F10848" s="2" t="str">
        <f>"M_RASTREAR_AMOSTRA"</f>
        <v>M_RASTREAR_AMOSTRA</v>
      </c>
      <c r="G10848" s="2" t="str">
        <f>"Diagnóstico e Terapia / Laboratório de Análises Clínicas / Coleta / Rastreamento de Amostras / Rastreamento de Amostras (M_RASTREAR_AMOSTRA)"</f>
        <v>Diagnóstico e Terapia / Laboratório de Análises Clínicas / Coleta / Rastreamento de Amostras / Rastreamento de Amostras (M_RASTREAR_AMOSTRA)</v>
      </c>
    </row>
    <row r="10849" spans="1:7" x14ac:dyDescent="0.3">
      <c r="A10849" s="1" t="s">
        <v>4</v>
      </c>
      <c r="B10849" s="2" t="str">
        <f t="shared" si="944"/>
        <v>SISTEMA DE DIAGNÓSTICO LABORATORIAL</v>
      </c>
      <c r="C10849" s="2" t="str">
        <f t="shared" si="945"/>
        <v>DIAGN</v>
      </c>
      <c r="D10849" s="2" t="str">
        <f t="shared" si="946"/>
        <v>PSSD</v>
      </c>
      <c r="E10849" s="2" t="str">
        <f>"RELATÓRIO DE FATURAMENTO POR EXAME"</f>
        <v>RELATÓRIO DE FATURAMENTO POR EXAME</v>
      </c>
      <c r="F10849" s="2" t="str">
        <f>"R_FATURA_POR_EXAME"</f>
        <v>R_FATURA_POR_EXAME</v>
      </c>
      <c r="G10849" s="2" t="str">
        <f>"Diagnóstico e Terapia / Laboratório de Análises Clínicas / Relatórios / Gerenciais / Faturamento por Exame (R_FATURA_POR_EXAME)"</f>
        <v>Diagnóstico e Terapia / Laboratório de Análises Clínicas / Relatórios / Gerenciais / Faturamento por Exame (R_FATURA_POR_EXAME)</v>
      </c>
    </row>
    <row r="10850" spans="1:7" x14ac:dyDescent="0.3">
      <c r="A10850" s="1" t="s">
        <v>4</v>
      </c>
      <c r="B10850" s="2" t="str">
        <f t="shared" si="944"/>
        <v>SISTEMA DE DIAGNÓSTICO LABORATORIAL</v>
      </c>
      <c r="C10850" s="2" t="str">
        <f t="shared" si="945"/>
        <v>DIAGN</v>
      </c>
      <c r="D10850" s="2" t="str">
        <f t="shared" si="946"/>
        <v>PSSD</v>
      </c>
      <c r="E10850" s="2" t="str">
        <f>"R_ETIQUETA_LAB_110"</f>
        <v>R_ETIQUETA_LAB_110</v>
      </c>
      <c r="F10850" s="2" t="str">
        <f>"R_ETIQUETA_LAB_110"</f>
        <v>R_ETIQUETA_LAB_110</v>
      </c>
      <c r="G10850" s="2" t="str">
        <f>" ()"</f>
        <v xml:space="preserve"> ()</v>
      </c>
    </row>
    <row r="10851" spans="1:7" x14ac:dyDescent="0.3">
      <c r="A10851" s="1" t="s">
        <v>4</v>
      </c>
      <c r="B10851" s="2" t="str">
        <f t="shared" si="944"/>
        <v>SISTEMA DE DIAGNÓSTICO LABORATORIAL</v>
      </c>
      <c r="C10851" s="2" t="str">
        <f t="shared" si="945"/>
        <v>DIAGN</v>
      </c>
      <c r="D10851" s="2" t="str">
        <f t="shared" si="946"/>
        <v>PSSD</v>
      </c>
      <c r="E10851" s="2" t="str">
        <f>"WIN_PRINCIPAL"</f>
        <v>WIN_PRINCIPAL</v>
      </c>
      <c r="F10851" s="2" t="str">
        <f>"M_LOTE_BANCADA"</f>
        <v>M_LOTE_BANCADA</v>
      </c>
      <c r="G10851" s="2" t="str">
        <f>"Diagnóstico e Terapia / Laboratório de Análises Clínicas / Tabelas / Mapa de Trabalho por Bancada (M_LOTE_BANCADA)"</f>
        <v>Diagnóstico e Terapia / Laboratório de Análises Clínicas / Tabelas / Mapa de Trabalho por Bancada (M_LOTE_BANCADA)</v>
      </c>
    </row>
    <row r="10852" spans="1:7" x14ac:dyDescent="0.3">
      <c r="A10852" s="1" t="s">
        <v>4</v>
      </c>
      <c r="B10852" s="2" t="str">
        <f t="shared" si="944"/>
        <v>SISTEMA DE DIAGNÓSTICO LABORATORIAL</v>
      </c>
      <c r="C10852" s="2" t="str">
        <f t="shared" si="945"/>
        <v>DIAGN</v>
      </c>
      <c r="D10852" s="2" t="str">
        <f t="shared" si="946"/>
        <v>PSSD</v>
      </c>
      <c r="E10852" s="2" t="str">
        <f>"REL EXAMES REALIZADOS POR SETOR SOLIC."</f>
        <v>REL EXAMES REALIZADOS POR SETOR SOLIC.</v>
      </c>
      <c r="F10852" s="2" t="str">
        <f>"R_EXA_LAB_FORA_NORMAL"</f>
        <v>R_EXA_LAB_FORA_NORMAL</v>
      </c>
      <c r="G10852" s="2" t="str">
        <f>"Diagnóstico e Terapia / Laboratório de Análises Clínicas / Relatórios / Administrativos / Resultados fora da Faixa Normal de Valores (R_EXA_LAB_FORA_NORMAL)"</f>
        <v>Diagnóstico e Terapia / Laboratório de Análises Clínicas / Relatórios / Administrativos / Resultados fora da Faixa Normal de Valores (R_EXA_LAB_FORA_NORMAL)</v>
      </c>
    </row>
    <row r="10853" spans="1:7" x14ac:dyDescent="0.3">
      <c r="A10853" s="1" t="s">
        <v>4</v>
      </c>
      <c r="B10853" s="2" t="str">
        <f t="shared" si="944"/>
        <v>SISTEMA DE DIAGNÓSTICO LABORATORIAL</v>
      </c>
      <c r="C10853" s="2" t="str">
        <f t="shared" si="945"/>
        <v>DIAGN</v>
      </c>
      <c r="D10853" s="2" t="str">
        <f t="shared" si="946"/>
        <v>PSSD</v>
      </c>
      <c r="E10853" s="2" t="str">
        <f>"CADASTRO: LOCAIS PARA COLETA"</f>
        <v>CADASTRO: LOCAIS PARA COLETA</v>
      </c>
      <c r="F10853" s="2" t="str">
        <f>"M_LOCAL_COLETA"</f>
        <v>M_LOCAL_COLETA</v>
      </c>
      <c r="G10853" s="2" t="str">
        <f>"Diagnóstico e Terapia / Laboratório de Análises Clínicas / Tabelas / Local para Coleta (M_LOCAL_COLETA)"</f>
        <v>Diagnóstico e Terapia / Laboratório de Análises Clínicas / Tabelas / Local para Coleta (M_LOCAL_COLETA)</v>
      </c>
    </row>
    <row r="10854" spans="1:7" x14ac:dyDescent="0.3">
      <c r="A10854" s="1" t="s">
        <v>4</v>
      </c>
      <c r="B10854" s="2" t="str">
        <f t="shared" si="944"/>
        <v>SISTEMA DE DIAGNÓSTICO LABORATORIAL</v>
      </c>
      <c r="C10854" s="2" t="str">
        <f t="shared" si="945"/>
        <v>DIAGN</v>
      </c>
      <c r="D10854" s="2" t="str">
        <f t="shared" si="946"/>
        <v>PSSD</v>
      </c>
      <c r="E10854" s="2" t="str">
        <f>"CONSULTA DE AGENDAMENTOS EXCLUÍDOS"</f>
        <v>CONSULTA DE AGENDAMENTOS EXCLUÍDOS</v>
      </c>
      <c r="F10854" s="2" t="str">
        <f>"C_LOG_EXC_AGENDA_PSSD"</f>
        <v>C_LOG_EXC_AGENDA_PSSD</v>
      </c>
      <c r="G10854" s="2" t="str">
        <f>"Diagnóstico e Terapia / Laboratório de Análises Clínicas / Consultas / Agendamentos Excluídos (C_LOG_EXC_AGENDA_PSSD)"</f>
        <v>Diagnóstico e Terapia / Laboratório de Análises Clínicas / Consultas / Agendamentos Excluídos (C_LOG_EXC_AGENDA_PSSD)</v>
      </c>
    </row>
    <row r="10855" spans="1:7" x14ac:dyDescent="0.3">
      <c r="A10855" s="1" t="s">
        <v>4</v>
      </c>
      <c r="B10855" s="2" t="str">
        <f t="shared" si="944"/>
        <v>SISTEMA DE DIAGNÓSTICO LABORATORIAL</v>
      </c>
      <c r="C10855" s="2" t="str">
        <f t="shared" si="945"/>
        <v>DIAGN</v>
      </c>
      <c r="D10855" s="2" t="str">
        <f t="shared" si="946"/>
        <v>PSSD</v>
      </c>
      <c r="E10855" s="2" t="str">
        <f>"M_ESPERA_LOCAL"</f>
        <v>M_ESPERA_LOCAL</v>
      </c>
      <c r="F10855" s="2" t="str">
        <f>"M_ESPERA_LOCAL"</f>
        <v>M_ESPERA_LOCAL</v>
      </c>
      <c r="G10855" s="2" t="str">
        <f>" ()"</f>
        <v xml:space="preserve"> ()</v>
      </c>
    </row>
    <row r="10856" spans="1:7" x14ac:dyDescent="0.3">
      <c r="A10856" s="1" t="s">
        <v>4</v>
      </c>
      <c r="B10856" s="2" t="str">
        <f t="shared" si="944"/>
        <v>SISTEMA DE DIAGNÓSTICO LABORATORIAL</v>
      </c>
      <c r="C10856" s="2" t="str">
        <f t="shared" si="945"/>
        <v>DIAGN</v>
      </c>
      <c r="D10856" s="2" t="str">
        <f t="shared" si="946"/>
        <v>PSSD</v>
      </c>
      <c r="E10856" s="2" t="str">
        <f>"WIN_PRINCIPAL"</f>
        <v>WIN_PRINCIPAL</v>
      </c>
      <c r="F10856" s="2" t="str">
        <f>"M_PERFIL_USUARIO"</f>
        <v>M_PERFIL_USUARIO</v>
      </c>
      <c r="G10856" s="2" t="str">
        <f>"Apoio a TI / Gestão de Usuários / Configurações de Acesso / Acessos Gerais / Perfil Usuários - Laboratório (M_PERFIL_USUARIO)"</f>
        <v>Apoio a TI / Gestão de Usuários / Configurações de Acesso / Acessos Gerais / Perfil Usuários - Laboratório (M_PERFIL_USUARIO)</v>
      </c>
    </row>
    <row r="10857" spans="1:7" x14ac:dyDescent="0.3">
      <c r="A10857" s="1" t="s">
        <v>4</v>
      </c>
      <c r="B10857" s="2" t="str">
        <f t="shared" si="944"/>
        <v>SISTEMA DE DIAGNÓSTICO LABORATORIAL</v>
      </c>
      <c r="C10857" s="2" t="str">
        <f t="shared" si="945"/>
        <v>DIAGN</v>
      </c>
      <c r="D10857" s="2" t="str">
        <f t="shared" si="946"/>
        <v>PSSD</v>
      </c>
      <c r="E10857" s="2" t="str">
        <f>"CONFIRMAÇÃO DE COLETA NO SETOR"</f>
        <v>CONFIRMAÇÃO DE COLETA NO SETOR</v>
      </c>
      <c r="F10857" s="2" t="str">
        <f>"M_SOLIC_COLETA"</f>
        <v>M_SOLIC_COLETA</v>
      </c>
      <c r="G10857" s="2" t="str">
        <f>" ()"</f>
        <v xml:space="preserve"> ()</v>
      </c>
    </row>
    <row r="10858" spans="1:7" x14ac:dyDescent="0.3">
      <c r="A10858" s="1" t="s">
        <v>4</v>
      </c>
      <c r="B10858" s="2" t="str">
        <f t="shared" ref="B10858:B10892" si="947">"SISTEMA DE DIAGNÓSTICO LABORATORIAL"</f>
        <v>SISTEMA DE DIAGNÓSTICO LABORATORIAL</v>
      </c>
      <c r="C10858" s="2" t="str">
        <f t="shared" ref="C10858:C10892" si="948">"DIAGN"</f>
        <v>DIAGN</v>
      </c>
      <c r="D10858" s="2" t="str">
        <f t="shared" ref="D10858:D10892" si="949">"PSSD"</f>
        <v>PSSD</v>
      </c>
      <c r="E10858" s="2" t="str">
        <f>"CADASTRO DE TUBOS DE COLETA"</f>
        <v>CADASTRO DE TUBOS DE COLETA</v>
      </c>
      <c r="F10858" s="2" t="str">
        <f>"M_TUBO_COLETA"</f>
        <v>M_TUBO_COLETA</v>
      </c>
      <c r="G10858" s="2" t="str">
        <f>"Diagnóstico e Terapia / Laboratório de Análises Clínicas / Tabelas / Tubos de Coleta (M_TUBO_COLETA)"</f>
        <v>Diagnóstico e Terapia / Laboratório de Análises Clínicas / Tabelas / Tubos de Coleta (M_TUBO_COLETA)</v>
      </c>
    </row>
    <row r="10859" spans="1:7" x14ac:dyDescent="0.3">
      <c r="A10859" s="1" t="s">
        <v>4</v>
      </c>
      <c r="B10859" s="2" t="str">
        <f t="shared" si="947"/>
        <v>SISTEMA DE DIAGNÓSTICO LABORATORIAL</v>
      </c>
      <c r="C10859" s="2" t="str">
        <f t="shared" si="948"/>
        <v>DIAGN</v>
      </c>
      <c r="D10859" s="2" t="str">
        <f t="shared" si="949"/>
        <v>PSSD</v>
      </c>
      <c r="E10859" s="2" t="str">
        <f>"R_COLETA_UNID"</f>
        <v>R_COLETA_UNID</v>
      </c>
      <c r="F10859" s="2" t="str">
        <f>"R_COLETA_UNID"</f>
        <v>R_COLETA_UNID</v>
      </c>
      <c r="G10859" s="2" t="str">
        <f>"Diagnóstico e Terapia / Laboratório de Análises Clínicas / Relatórios / Administrativos / Coleta de Materiais / Solicitação por Unidade de Internação (R_COLETA_UNID)"</f>
        <v>Diagnóstico e Terapia / Laboratório de Análises Clínicas / Relatórios / Administrativos / Coleta de Materiais / Solicitação por Unidade de Internação (R_COLETA_UNID)</v>
      </c>
    </row>
    <row r="10860" spans="1:7" x14ac:dyDescent="0.3">
      <c r="A10860" s="1" t="s">
        <v>4</v>
      </c>
      <c r="B10860" s="2" t="str">
        <f t="shared" si="947"/>
        <v>SISTEMA DE DIAGNÓSTICO LABORATORIAL</v>
      </c>
      <c r="C10860" s="2" t="str">
        <f t="shared" si="948"/>
        <v>DIAGN</v>
      </c>
      <c r="D10860" s="2" t="str">
        <f t="shared" si="949"/>
        <v>PSSD</v>
      </c>
      <c r="E10860" s="2" t="str">
        <f>"RELATÓRIO DE PERGUNTAS E SEUS EXAMES"</f>
        <v>RELATÓRIO DE PERGUNTAS E SEUS EXAMES</v>
      </c>
      <c r="F10860" s="2" t="str">
        <f>"R_MATEXA"</f>
        <v>R_MATEXA</v>
      </c>
      <c r="G10860" s="2" t="str">
        <f>"Diagnóstico e Terapia / Laboratório de Análises Clínicas / Relatórios / Tabelas / Materiais x Exames (R_MATEXA)"</f>
        <v>Diagnóstico e Terapia / Laboratório de Análises Clínicas / Relatórios / Tabelas / Materiais x Exames (R_MATEXA)</v>
      </c>
    </row>
    <row r="10861" spans="1:7" x14ac:dyDescent="0.3">
      <c r="A10861" s="1" t="s">
        <v>4</v>
      </c>
      <c r="B10861" s="2" t="str">
        <f t="shared" si="947"/>
        <v>SISTEMA DE DIAGNÓSTICO LABORATORIAL</v>
      </c>
      <c r="C10861" s="2" t="str">
        <f t="shared" si="948"/>
        <v>DIAGN</v>
      </c>
      <c r="D10861" s="2" t="str">
        <f t="shared" si="949"/>
        <v>PSSD</v>
      </c>
      <c r="E10861" s="2" t="str">
        <f>"RELATÓRIO DE EXAMES E SEUS MATERIAIS"</f>
        <v>RELATÓRIO DE EXAMES E SEUS MATERIAIS</v>
      </c>
      <c r="F10861" s="2" t="str">
        <f>"R_EXAMAT"</f>
        <v>R_EXAMAT</v>
      </c>
      <c r="G10861" s="2" t="str">
        <f>"Diagnóstico e Terapia / Laboratório de Análises Clínicas / Relatórios / Tabelas / Exames x Materiais (R_EXAMAT)"</f>
        <v>Diagnóstico e Terapia / Laboratório de Análises Clínicas / Relatórios / Tabelas / Exames x Materiais (R_EXAMAT)</v>
      </c>
    </row>
    <row r="10862" spans="1:7" x14ac:dyDescent="0.3">
      <c r="A10862" s="1" t="s">
        <v>4</v>
      </c>
      <c r="B10862" s="2" t="str">
        <f t="shared" si="947"/>
        <v>SISTEMA DE DIAGNÓSTICO LABORATORIAL</v>
      </c>
      <c r="C10862" s="2" t="str">
        <f t="shared" si="948"/>
        <v>DIAGN</v>
      </c>
      <c r="D10862" s="2" t="str">
        <f t="shared" si="949"/>
        <v>PSSD</v>
      </c>
      <c r="E10862" s="2" t="str">
        <f>"M_BAIXA_UNID"</f>
        <v>M_BAIXA_UNID</v>
      </c>
      <c r="F10862" s="2" t="str">
        <f>"M_BAIXA_UNID"</f>
        <v>M_BAIXA_UNID</v>
      </c>
      <c r="G10862" s="2" t="str">
        <f>" ()"</f>
        <v xml:space="preserve"> ()</v>
      </c>
    </row>
    <row r="10863" spans="1:7" x14ac:dyDescent="0.3">
      <c r="A10863" s="1" t="s">
        <v>4</v>
      </c>
      <c r="B10863" s="2" t="str">
        <f t="shared" si="947"/>
        <v>SISTEMA DE DIAGNÓSTICO LABORATORIAL</v>
      </c>
      <c r="C10863" s="2" t="str">
        <f t="shared" si="948"/>
        <v>DIAGN</v>
      </c>
      <c r="D10863" s="2" t="str">
        <f t="shared" si="949"/>
        <v>PSSD</v>
      </c>
      <c r="E10863" s="2" t="str">
        <f>"PEDIDO DE EXAMES"</f>
        <v>PEDIDO DE EXAMES</v>
      </c>
      <c r="F10863" s="2" t="str">
        <f>"M_PEDEXA"</f>
        <v>M_PEDEXA</v>
      </c>
      <c r="G10863" s="2" t="str">
        <f>"Diagnóstico e Terapia / Laboratório de Análises Clínicas / Atendimento / Pedidos de Exames Laboratório (M_PEDEXA)"</f>
        <v>Diagnóstico e Terapia / Laboratório de Análises Clínicas / Atendimento / Pedidos de Exames Laboratório (M_PEDEXA)</v>
      </c>
    </row>
    <row r="10864" spans="1:7" x14ac:dyDescent="0.3">
      <c r="A10864" s="1" t="s">
        <v>4</v>
      </c>
      <c r="B10864" s="2" t="str">
        <f t="shared" si="947"/>
        <v>SISTEMA DE DIAGNÓSTICO LABORATORIAL</v>
      </c>
      <c r="C10864" s="2" t="str">
        <f t="shared" si="948"/>
        <v>DIAGN</v>
      </c>
      <c r="D10864" s="2" t="str">
        <f t="shared" si="949"/>
        <v>PSSD</v>
      </c>
      <c r="E10864" s="2" t="str">
        <f>"CADASTRO DE MATERIAL"</f>
        <v>CADASTRO DE MATERIAL</v>
      </c>
      <c r="F10864" s="2" t="str">
        <f>"M_MATERIAL"</f>
        <v>M_MATERIAL</v>
      </c>
      <c r="G10864" s="2" t="str">
        <f>"Diagnóstico e Terapia / Laboratório de Análises Clínicas / Tabelas / Cultura / Material (M_MATERIAL)"</f>
        <v>Diagnóstico e Terapia / Laboratório de Análises Clínicas / Tabelas / Cultura / Material (M_MATERIAL)</v>
      </c>
    </row>
    <row r="10865" spans="1:7" x14ac:dyDescent="0.3">
      <c r="A10865" s="1" t="s">
        <v>4</v>
      </c>
      <c r="B10865" s="2" t="str">
        <f t="shared" si="947"/>
        <v>SISTEMA DE DIAGNÓSTICO LABORATORIAL</v>
      </c>
      <c r="C10865" s="2" t="str">
        <f t="shared" si="948"/>
        <v>DIAGN</v>
      </c>
      <c r="D10865" s="2" t="str">
        <f t="shared" si="949"/>
        <v>PSSD</v>
      </c>
      <c r="E10865" s="2" t="str">
        <f>"CADASTRO DE LABORATORIO"</f>
        <v>CADASTRO DE LABORATORIO</v>
      </c>
      <c r="F10865" s="2" t="str">
        <f>"M_LABORATORIO"</f>
        <v>M_LABORATORIO</v>
      </c>
      <c r="G10865" s="2" t="str">
        <f>"Clínica e Assistencial / Controle de Infecção Hospitalar / Tabelas / Laboratórios (M_LABORATORIO)"</f>
        <v>Clínica e Assistencial / Controle de Infecção Hospitalar / Tabelas / Laboratórios (M_LABORATORIO)</v>
      </c>
    </row>
    <row r="10866" spans="1:7" x14ac:dyDescent="0.3">
      <c r="A10866" s="1" t="s">
        <v>4</v>
      </c>
      <c r="B10866" s="2" t="str">
        <f t="shared" si="947"/>
        <v>SISTEMA DE DIAGNÓSTICO LABORATORIAL</v>
      </c>
      <c r="C10866" s="2" t="str">
        <f t="shared" si="948"/>
        <v>DIAGN</v>
      </c>
      <c r="D10866" s="2" t="str">
        <f t="shared" si="949"/>
        <v>PSSD</v>
      </c>
      <c r="E10866" s="2" t="str">
        <f>"CADASTRO DE LABORATORIO"</f>
        <v>CADASTRO DE LABORATORIO</v>
      </c>
      <c r="F10866" s="2" t="str">
        <f>"M_LABORATORIO"</f>
        <v>M_LABORATORIO</v>
      </c>
      <c r="G10866" s="2" t="str">
        <f>"Diagnóstico e Terapia / Laboratório de Análises Clínicas / Tabelas / Laboratórios (M_LABORATORIO)"</f>
        <v>Diagnóstico e Terapia / Laboratório de Análises Clínicas / Tabelas / Laboratórios (M_LABORATORIO)</v>
      </c>
    </row>
    <row r="10867" spans="1:7" x14ac:dyDescent="0.3">
      <c r="A10867" s="1" t="s">
        <v>4</v>
      </c>
      <c r="B10867" s="2" t="str">
        <f t="shared" si="947"/>
        <v>SISTEMA DE DIAGNÓSTICO LABORATORIAL</v>
      </c>
      <c r="C10867" s="2" t="str">
        <f t="shared" si="948"/>
        <v>DIAGN</v>
      </c>
      <c r="D10867" s="2" t="str">
        <f t="shared" si="949"/>
        <v>PSSD</v>
      </c>
      <c r="E10867" s="2" t="str">
        <f>"CADASTRO DE FORMULA DE EXAMES"</f>
        <v>CADASTRO DE FORMULA DE EXAMES</v>
      </c>
      <c r="F10867" s="2" t="str">
        <f>"M_FOREXA"</f>
        <v>M_FOREXA</v>
      </c>
      <c r="G10867" s="2" t="str">
        <f>"Diagnóstico e Terapia / Laboratório de Análises Clínicas / Formatação / Laudos (Corpo do Exame) (M_FOREXA)"</f>
        <v>Diagnóstico e Terapia / Laboratório de Análises Clínicas / Formatação / Laudos (Corpo do Exame) (M_FOREXA)</v>
      </c>
    </row>
    <row r="10868" spans="1:7" x14ac:dyDescent="0.3">
      <c r="A10868" s="1" t="s">
        <v>4</v>
      </c>
      <c r="B10868" s="2" t="str">
        <f t="shared" si="947"/>
        <v>SISTEMA DE DIAGNÓSTICO LABORATORIAL</v>
      </c>
      <c r="C10868" s="2" t="str">
        <f t="shared" si="948"/>
        <v>DIAGN</v>
      </c>
      <c r="D10868" s="2" t="str">
        <f t="shared" si="949"/>
        <v>PSSD</v>
      </c>
      <c r="E10868" s="2" t="str">
        <f>"CADASTRO DE EXAME LABORATORIAL"</f>
        <v>CADASTRO DE EXAME LABORATORIAL</v>
      </c>
      <c r="F10868" s="2" t="str">
        <f>"M_EXALAB"</f>
        <v>M_EXALAB</v>
      </c>
      <c r="G10868" s="2" t="str">
        <f>"Clínica e Assistencial / Controle de Infecção Hospitalar / Tabelas / Exames (M_EXALAB)"</f>
        <v>Clínica e Assistencial / Controle de Infecção Hospitalar / Tabelas / Exames (M_EXALAB)</v>
      </c>
    </row>
    <row r="10869" spans="1:7" x14ac:dyDescent="0.3">
      <c r="A10869" s="1" t="s">
        <v>4</v>
      </c>
      <c r="B10869" s="2" t="str">
        <f t="shared" si="947"/>
        <v>SISTEMA DE DIAGNÓSTICO LABORATORIAL</v>
      </c>
      <c r="C10869" s="2" t="str">
        <f t="shared" si="948"/>
        <v>DIAGN</v>
      </c>
      <c r="D10869" s="2" t="str">
        <f t="shared" si="949"/>
        <v>PSSD</v>
      </c>
      <c r="E10869" s="2" t="str">
        <f>"CADASTRO DE EXAME LABORATORIAL"</f>
        <v>CADASTRO DE EXAME LABORATORIAL</v>
      </c>
      <c r="F10869" s="2" t="str">
        <f>"M_EXALAB"</f>
        <v>M_EXALAB</v>
      </c>
      <c r="G10869" s="2" t="str">
        <f>"Diagnóstico e Terapia / Laboratório de Análises Clínicas / Tabelas / Exames (M_EXALAB)"</f>
        <v>Diagnóstico e Terapia / Laboratório de Análises Clínicas / Tabelas / Exames (M_EXALAB)</v>
      </c>
    </row>
    <row r="10870" spans="1:7" x14ac:dyDescent="0.3">
      <c r="A10870" s="1" t="s">
        <v>4</v>
      </c>
      <c r="B10870" s="2" t="str">
        <f t="shared" si="947"/>
        <v>SISTEMA DE DIAGNÓSTICO LABORATORIAL</v>
      </c>
      <c r="C10870" s="2" t="str">
        <f t="shared" si="948"/>
        <v>DIAGN</v>
      </c>
      <c r="D10870" s="2" t="str">
        <f t="shared" si="949"/>
        <v>PSSD</v>
      </c>
      <c r="E10870" s="2" t="str">
        <f>"CABECALHO DOS EXAMES"</f>
        <v>CABECALHO DOS EXAMES</v>
      </c>
      <c r="F10870" s="2" t="str">
        <f>"M_CABECALHO"</f>
        <v>M_CABECALHO</v>
      </c>
      <c r="G10870" s="2" t="str">
        <f>" ()"</f>
        <v xml:space="preserve"> ()</v>
      </c>
    </row>
    <row r="10871" spans="1:7" x14ac:dyDescent="0.3">
      <c r="A10871" s="1" t="s">
        <v>4</v>
      </c>
      <c r="B10871" s="2" t="str">
        <f t="shared" si="947"/>
        <v>SISTEMA DE DIAGNÓSTICO LABORATORIAL</v>
      </c>
      <c r="C10871" s="2" t="str">
        <f t="shared" si="948"/>
        <v>DIAGN</v>
      </c>
      <c r="D10871" s="2" t="str">
        <f t="shared" si="949"/>
        <v>PSSD</v>
      </c>
      <c r="E10871" s="2" t="str">
        <f>"CONFIRMACAO_COLETA_CDM"</f>
        <v>CONFIRMACAO_COLETA_CDM</v>
      </c>
      <c r="F10871" s="2" t="str">
        <f>"CONFIRMACAO_COLETA_CDM"</f>
        <v>CONFIRMACAO_COLETA_CDM</v>
      </c>
      <c r="G10871" s="2" t="str">
        <f>"Diagnóstico e Terapia / Laboratório de Análises Clínicas / Coleta / Recepção e Confirmação de Amostra (CONFIRMACAO_COLETA_CDM)"</f>
        <v>Diagnóstico e Terapia / Laboratório de Análises Clínicas / Coleta / Recepção e Confirmação de Amostra (CONFIRMACAO_COLETA_CDM)</v>
      </c>
    </row>
    <row r="10872" spans="1:7" x14ac:dyDescent="0.3">
      <c r="A10872" s="1" t="s">
        <v>4</v>
      </c>
      <c r="B10872" s="2" t="str">
        <f t="shared" si="947"/>
        <v>SISTEMA DE DIAGNÓSTICO LABORATORIAL</v>
      </c>
      <c r="C10872" s="2" t="str">
        <f t="shared" si="948"/>
        <v>DIAGN</v>
      </c>
      <c r="D10872" s="2" t="str">
        <f t="shared" si="949"/>
        <v>PSSD</v>
      </c>
      <c r="E10872" s="2" t="str">
        <f>"TRIAGEM DE AMOSTRA EXTERNA"</f>
        <v>TRIAGEM DE AMOSTRA EXTERNA</v>
      </c>
      <c r="F10872" s="2" t="str">
        <f>"CONFIRMACAO_TRIAGEM_COLETA"</f>
        <v>CONFIRMACAO_TRIAGEM_COLETA</v>
      </c>
      <c r="G10872" s="2" t="str">
        <f>"Diagnóstico e Terapia / Laboratório de Análises Clínicas / Coleta / Triagem de Amostra Externa (CONFIRMACAO_TRIAGEM_COLETA)"</f>
        <v>Diagnóstico e Terapia / Laboratório de Análises Clínicas / Coleta / Triagem de Amostra Externa (CONFIRMACAO_TRIAGEM_COLETA)</v>
      </c>
    </row>
    <row r="10873" spans="1:7" x14ac:dyDescent="0.3">
      <c r="A10873" s="1" t="s">
        <v>4</v>
      </c>
      <c r="B10873" s="2" t="str">
        <f t="shared" si="947"/>
        <v>SISTEMA DE DIAGNÓSTICO LABORATORIAL</v>
      </c>
      <c r="C10873" s="2" t="str">
        <f t="shared" si="948"/>
        <v>DIAGN</v>
      </c>
      <c r="D10873" s="2" t="str">
        <f t="shared" si="949"/>
        <v>PSSD</v>
      </c>
      <c r="E10873" s="2" t="str">
        <f>"CONFIRMACAO COLETA SETOR"</f>
        <v>CONFIRMACAO COLETA SETOR</v>
      </c>
      <c r="F10873" s="2" t="str">
        <f>"CONFIRMACAO_COLETA_SETOR"</f>
        <v>CONFIRMACAO_COLETA_SETOR</v>
      </c>
      <c r="G10873" s="2" t="str">
        <f>"Diagnóstico e Terapia / Laboratório de Análises Clínicas / Coleta / Confirmação de Coleta nos Setores e Postos (CONFIRMACAO_COLETA_SETOR)"</f>
        <v>Diagnóstico e Terapia / Laboratório de Análises Clínicas / Coleta / Confirmação de Coleta nos Setores e Postos (CONFIRMACAO_COLETA_SETOR)</v>
      </c>
    </row>
    <row r="10874" spans="1:7" x14ac:dyDescent="0.3">
      <c r="A10874" s="1" t="s">
        <v>4</v>
      </c>
      <c r="B10874" s="2" t="str">
        <f t="shared" si="947"/>
        <v>SISTEMA DE DIAGNÓSTICO LABORATORIAL</v>
      </c>
      <c r="C10874" s="2" t="str">
        <f t="shared" si="948"/>
        <v>DIAGN</v>
      </c>
      <c r="D10874" s="2" t="str">
        <f t="shared" si="949"/>
        <v>PSSD</v>
      </c>
      <c r="E10874" s="2" t="str">
        <f>"SOLICITAÇÃO DE COLETAS"</f>
        <v>SOLICITAÇÃO DE COLETAS</v>
      </c>
      <c r="F10874" s="2" t="str">
        <f>"SOLICITACAO_COLETA"</f>
        <v>SOLICITACAO_COLETA</v>
      </c>
      <c r="G10874" s="2" t="str">
        <f>"Diagnóstico e Terapia / Laboratório de Análises Clínicas / Coleta / Solicitação de Coleta (SOLICITACAO_COLETA)"</f>
        <v>Diagnóstico e Terapia / Laboratório de Análises Clínicas / Coleta / Solicitação de Coleta (SOLICITACAO_COLETA)</v>
      </c>
    </row>
    <row r="10875" spans="1:7" x14ac:dyDescent="0.3">
      <c r="A10875" s="1" t="s">
        <v>4</v>
      </c>
      <c r="B10875" s="2" t="str">
        <f t="shared" si="947"/>
        <v>SISTEMA DE DIAGNÓSTICO LABORATORIAL</v>
      </c>
      <c r="C10875" s="2" t="str">
        <f t="shared" si="948"/>
        <v>DIAGN</v>
      </c>
      <c r="D10875" s="2" t="str">
        <f t="shared" si="949"/>
        <v>PSSD</v>
      </c>
      <c r="E10875" s="2" t="str">
        <f>"CADASTRO PACIENTE - LABORATÓRIO"</f>
        <v>CADASTRO PACIENTE - LABORATÓRIO</v>
      </c>
      <c r="F10875" s="2" t="str">
        <f>"CAD_PAC_PSSD"</f>
        <v>CAD_PAC_PSSD</v>
      </c>
      <c r="G10875" s="2" t="str">
        <f>"Diagnóstico e Terapia / Laboratório de Análises Clínicas / Atendimento / Cadastro paciente (CAD_PAC_PSSD)"</f>
        <v>Diagnóstico e Terapia / Laboratório de Análises Clínicas / Atendimento / Cadastro paciente (CAD_PAC_PSSD)</v>
      </c>
    </row>
    <row r="10876" spans="1:7" x14ac:dyDescent="0.3">
      <c r="A10876" s="1" t="s">
        <v>4</v>
      </c>
      <c r="B10876" s="2" t="str">
        <f t="shared" si="947"/>
        <v>SISTEMA DE DIAGNÓSTICO LABORATORIAL</v>
      </c>
      <c r="C10876" s="2" t="str">
        <f t="shared" si="948"/>
        <v>DIAGN</v>
      </c>
      <c r="D10876" s="2" t="str">
        <f t="shared" si="949"/>
        <v>PSSD</v>
      </c>
      <c r="E10876" s="2" t="str">
        <f>"ATENDIMENTO EXTERNO - LABORATÓRIO"</f>
        <v>ATENDIMENTO EXTERNO - LABORATÓRIO</v>
      </c>
      <c r="F10876" s="2" t="str">
        <f>"ATEURG_PSSD"</f>
        <v>ATEURG_PSSD</v>
      </c>
      <c r="G10876" s="2" t="str">
        <f>"Diagnóstico e Terapia / Laboratório de Análises Clínicas / Atendimento / Atendimento Externo (ATEURG_PSSD)"</f>
        <v>Diagnóstico e Terapia / Laboratório de Análises Clínicas / Atendimento / Atendimento Externo (ATEURG_PSSD)</v>
      </c>
    </row>
    <row r="10877" spans="1:7" x14ac:dyDescent="0.3">
      <c r="A10877" s="1" t="s">
        <v>4</v>
      </c>
      <c r="B10877" s="2" t="str">
        <f t="shared" si="947"/>
        <v>SISTEMA DE DIAGNÓSTICO LABORATORIAL</v>
      </c>
      <c r="C10877" s="2" t="str">
        <f t="shared" si="948"/>
        <v>DIAGN</v>
      </c>
      <c r="D10877" s="2" t="str">
        <f t="shared" si="949"/>
        <v>PSSD</v>
      </c>
      <c r="E10877" s="2" t="str">
        <f>"ALTERAÇÃO DE ATENDIMENTO - LABORATÓRIO"</f>
        <v>ALTERAÇÃO DE ATENDIMENTO - LABORATÓRIO</v>
      </c>
      <c r="F10877" s="2" t="str">
        <f>"ATEURG_ALTERA_PSSD"</f>
        <v>ATEURG_ALTERA_PSSD</v>
      </c>
      <c r="G10877" s="2" t="str">
        <f>"Diagnóstico e Terapia / Laboratório de Análises Clínicas / Atendimento / Alteração atendimento (ATEURG_ALTERA_PSSD)"</f>
        <v>Diagnóstico e Terapia / Laboratório de Análises Clínicas / Atendimento / Alteração atendimento (ATEURG_ALTERA_PSSD)</v>
      </c>
    </row>
    <row r="10878" spans="1:7" x14ac:dyDescent="0.3">
      <c r="A10878" s="1" t="s">
        <v>4</v>
      </c>
      <c r="B10878" s="2" t="str">
        <f t="shared" si="947"/>
        <v>SISTEMA DE DIAGNÓSTICO LABORATORIAL</v>
      </c>
      <c r="C10878" s="2" t="str">
        <f t="shared" si="948"/>
        <v>DIAGN</v>
      </c>
      <c r="D10878" s="2" t="str">
        <f t="shared" si="949"/>
        <v>PSSD</v>
      </c>
      <c r="E10878" s="2" t="str">
        <f>"BLOQUEIO DESBLOQUEIO AGENDA -LABORATORIO"</f>
        <v>BLOQUEIO DESBLOQUEIO AGENDA -LABORATORIO</v>
      </c>
      <c r="F10878" s="2" t="str">
        <f>"M_BLOQUEIO_DESBLOQUEIO_AGENDA_PSSD"</f>
        <v>M_BLOQUEIO_DESBLOQUEIO_AGENDA_PSSD</v>
      </c>
      <c r="G10878" s="2" t="str">
        <f>"Diagnóstico e Terapia / Laboratório de Análises Clínicas / Agendamento / Bloqueio e desbloqueio agenda (M_BLOQUEIO_DESBLOQUEIO_AGENDA_PSSD)"</f>
        <v>Diagnóstico e Terapia / Laboratório de Análises Clínicas / Agendamento / Bloqueio e desbloqueio agenda (M_BLOQUEIO_DESBLOQUEIO_AGENDA_PSSD)</v>
      </c>
    </row>
    <row r="10879" spans="1:7" x14ac:dyDescent="0.3">
      <c r="A10879" s="1" t="s">
        <v>4</v>
      </c>
      <c r="B10879" s="2" t="str">
        <f t="shared" si="947"/>
        <v>SISTEMA DE DIAGNÓSTICO LABORATORIAL</v>
      </c>
      <c r="C10879" s="2" t="str">
        <f t="shared" si="948"/>
        <v>DIAGN</v>
      </c>
      <c r="D10879" s="2" t="str">
        <f t="shared" si="949"/>
        <v>PSSD</v>
      </c>
      <c r="E10879" s="2" t="str">
        <f>"CALLER DA TELA M_EDITOR_PSSD"</f>
        <v>CALLER DA TELA M_EDITOR_PSSD</v>
      </c>
      <c r="F10879" s="2" t="str">
        <f>"M_EDITOR_PSSD_CULTURA"</f>
        <v>M_EDITOR_PSSD_CULTURA</v>
      </c>
      <c r="G10879" s="2" t="str">
        <f>"Diagnóstico e Terapia / Laboratório de Análises Clínicas / Configuração / Layout do Exame de Cultura Personalizado (M_EDITOR_PSSD_CULTURA)"</f>
        <v>Diagnóstico e Terapia / Laboratório de Análises Clínicas / Configuração / Layout do Exame de Cultura Personalizado (M_EDITOR_PSSD_CULTURA)</v>
      </c>
    </row>
    <row r="10880" spans="1:7" x14ac:dyDescent="0.3">
      <c r="A10880" s="1" t="s">
        <v>4</v>
      </c>
      <c r="B10880" s="2" t="str">
        <f t="shared" si="947"/>
        <v>SISTEMA DE DIAGNÓSTICO LABORATORIAL</v>
      </c>
      <c r="C10880" s="2" t="str">
        <f t="shared" si="948"/>
        <v>DIAGN</v>
      </c>
      <c r="D10880" s="2" t="str">
        <f t="shared" si="949"/>
        <v>PSSD</v>
      </c>
      <c r="E10880" s="2" t="str">
        <f>"EXAMES X MATERIAIS"</f>
        <v>EXAMES X MATERIAIS</v>
      </c>
      <c r="F10880" s="2" t="str">
        <f>"R_EXAMAT.RDF"</f>
        <v>R_EXAMAT.RDF</v>
      </c>
      <c r="G10880" s="2" t="str">
        <f>" ()"</f>
        <v xml:space="preserve"> ()</v>
      </c>
    </row>
    <row r="10881" spans="1:7" x14ac:dyDescent="0.3">
      <c r="A10881" s="1" t="s">
        <v>4</v>
      </c>
      <c r="B10881" s="2" t="str">
        <f t="shared" si="947"/>
        <v>SISTEMA DE DIAGNÓSTICO LABORATORIAL</v>
      </c>
      <c r="C10881" s="2" t="str">
        <f t="shared" si="948"/>
        <v>DIAGN</v>
      </c>
      <c r="D10881" s="2" t="str">
        <f t="shared" si="949"/>
        <v>PSSD</v>
      </c>
      <c r="E10881" s="2" t="str">
        <f>"EXAMES SOLIC. POR LABORAT. SINTÉTICO"</f>
        <v>EXAMES SOLIC. POR LABORAT. SINTÉTICO</v>
      </c>
      <c r="F10881" s="2" t="str">
        <f>"R_PEDEXA_SINT"</f>
        <v>R_PEDEXA_SINT</v>
      </c>
      <c r="G10881" s="2" t="str">
        <f>" ()"</f>
        <v xml:space="preserve"> ()</v>
      </c>
    </row>
    <row r="10882" spans="1:7" x14ac:dyDescent="0.3">
      <c r="A10882" s="1" t="s">
        <v>4</v>
      </c>
      <c r="B10882" s="2" t="str">
        <f t="shared" si="947"/>
        <v>SISTEMA DE DIAGNÓSTICO LABORATORIAL</v>
      </c>
      <c r="C10882" s="2" t="str">
        <f t="shared" si="948"/>
        <v>DIAGN</v>
      </c>
      <c r="D10882" s="2" t="str">
        <f t="shared" si="949"/>
        <v>PSSD</v>
      </c>
      <c r="E10882" s="2" t="str">
        <f>"MONITOR DE URGÊNCIA"</f>
        <v>MONITOR DE URGÊNCIA</v>
      </c>
      <c r="F10882" s="2" t="str">
        <f>"M_MONITOR_LAB"</f>
        <v>M_MONITOR_LAB</v>
      </c>
      <c r="G10882" s="2" t="str">
        <f>"Diagnóstico e Terapia / Laboratório de Análises Clínicas / Atendimento / Monitor de Urgência (M_MONITOR_LAB)"</f>
        <v>Diagnóstico e Terapia / Laboratório de Análises Clínicas / Atendimento / Monitor de Urgência (M_MONITOR_LAB)</v>
      </c>
    </row>
    <row r="10883" spans="1:7" x14ac:dyDescent="0.3">
      <c r="A10883" s="1" t="s">
        <v>4</v>
      </c>
      <c r="B10883" s="2" t="str">
        <f t="shared" si="947"/>
        <v>SISTEMA DE DIAGNÓSTICO LABORATORIAL</v>
      </c>
      <c r="C10883" s="2" t="str">
        <f t="shared" si="948"/>
        <v>DIAGN</v>
      </c>
      <c r="D10883" s="2" t="str">
        <f t="shared" si="949"/>
        <v>PSSD</v>
      </c>
      <c r="E10883" s="2" t="str">
        <f>"RELAT. ETIQUETA DE EXAMES LABORATORIAIS"</f>
        <v>RELAT. ETIQUETA DE EXAMES LABORATORIAIS</v>
      </c>
      <c r="F10883" s="2" t="str">
        <f>"R_ETIQUETA_EXAME_LAB"</f>
        <v>R_ETIQUETA_EXAME_LAB</v>
      </c>
      <c r="G10883" s="2" t="str">
        <f>" ()"</f>
        <v xml:space="preserve"> ()</v>
      </c>
    </row>
    <row r="10884" spans="1:7" x14ac:dyDescent="0.3">
      <c r="A10884" s="1" t="s">
        <v>4</v>
      </c>
      <c r="B10884" s="2" t="str">
        <f t="shared" si="947"/>
        <v>SISTEMA DE DIAGNÓSTICO LABORATORIAL</v>
      </c>
      <c r="C10884" s="2" t="str">
        <f t="shared" si="948"/>
        <v>DIAGN</v>
      </c>
      <c r="D10884" s="2" t="str">
        <f t="shared" si="949"/>
        <v>PSSD</v>
      </c>
      <c r="E10884" s="2" t="str">
        <f>"TELA DE AUTORIZAÇÃO DE EXCLUSÃO DE AGEND"</f>
        <v>TELA DE AUTORIZAÇÃO DE EXCLUSÃO DE AGEND</v>
      </c>
      <c r="F10884" s="2" t="str">
        <f>"M_AGENDA_PSSD2"</f>
        <v>M_AGENDA_PSSD2</v>
      </c>
      <c r="G10884" s="2" t="str">
        <f>" ()"</f>
        <v xml:space="preserve"> ()</v>
      </c>
    </row>
    <row r="10885" spans="1:7" x14ac:dyDescent="0.3">
      <c r="A10885" s="1" t="s">
        <v>4</v>
      </c>
      <c r="B10885" s="2" t="str">
        <f t="shared" si="947"/>
        <v>SISTEMA DE DIAGNÓSTICO LABORATORIAL</v>
      </c>
      <c r="C10885" s="2" t="str">
        <f t="shared" si="948"/>
        <v>DIAGN</v>
      </c>
      <c r="D10885" s="2" t="str">
        <f t="shared" si="949"/>
        <v>PSSD</v>
      </c>
      <c r="E10885" s="2" t="str">
        <f>"USUARIOS POR SETORES DE EXAMES - PSSD"</f>
        <v>USUARIOS POR SETORES DE EXAMES - PSSD</v>
      </c>
      <c r="F10885" s="2" t="str">
        <f>"M_USU_PSSD"</f>
        <v>M_USU_PSSD</v>
      </c>
      <c r="G10885" s="2" t="str">
        <f>"Apoio a TI / Gestão de Usuários / Configurações de Acesso / Acessos Gerais / Usuários por Setor de Exame (M_USU_PSSD)"</f>
        <v>Apoio a TI / Gestão de Usuários / Configurações de Acesso / Acessos Gerais / Usuários por Setor de Exame (M_USU_PSSD)</v>
      </c>
    </row>
    <row r="10886" spans="1:7" x14ac:dyDescent="0.3">
      <c r="A10886" s="1" t="s">
        <v>4</v>
      </c>
      <c r="B10886" s="2" t="str">
        <f t="shared" si="947"/>
        <v>SISTEMA DE DIAGNÓSTICO LABORATORIAL</v>
      </c>
      <c r="C10886" s="2" t="str">
        <f t="shared" si="948"/>
        <v>DIAGN</v>
      </c>
      <c r="D10886" s="2" t="str">
        <f t="shared" si="949"/>
        <v>PSSD</v>
      </c>
      <c r="E10886" s="2" t="str">
        <f>"REL. DE ETIQUETA DE CÓDIGO DE BARRAS"</f>
        <v>REL. DE ETIQUETA DE CÓDIGO DE BARRAS</v>
      </c>
      <c r="F10886" s="2" t="str">
        <f>"R_IMPRIMI_ETIQ_PSSD.RDF"</f>
        <v>R_IMPRIMI_ETIQ_PSSD.RDF</v>
      </c>
      <c r="G10886" s="2" t="str">
        <f t="shared" ref="G10886:G10891" si="950">" ()"</f>
        <v xml:space="preserve"> ()</v>
      </c>
    </row>
    <row r="10887" spans="1:7" x14ac:dyDescent="0.3">
      <c r="A10887" s="1" t="s">
        <v>4</v>
      </c>
      <c r="B10887" s="2" t="str">
        <f t="shared" si="947"/>
        <v>SISTEMA DE DIAGNÓSTICO LABORATORIAL</v>
      </c>
      <c r="C10887" s="2" t="str">
        <f t="shared" si="948"/>
        <v>DIAGN</v>
      </c>
      <c r="D10887" s="2" t="str">
        <f t="shared" si="949"/>
        <v>PSSD</v>
      </c>
      <c r="E10887" s="2" t="str">
        <f>"LISTA DE EXAMES COM PENDÊNCIA"</f>
        <v>LISTA DE EXAMES COM PENDÊNCIA</v>
      </c>
      <c r="F10887" s="2" t="str">
        <f>"R_LISTA_EXAME_PENDENCIA.RDF"</f>
        <v>R_LISTA_EXAME_PENDENCIA.RDF</v>
      </c>
      <c r="G10887" s="2" t="str">
        <f t="shared" si="950"/>
        <v xml:space="preserve"> ()</v>
      </c>
    </row>
    <row r="10888" spans="1:7" x14ac:dyDescent="0.3">
      <c r="A10888" s="1" t="s">
        <v>4</v>
      </c>
      <c r="B10888" s="2" t="str">
        <f t="shared" si="947"/>
        <v>SISTEMA DE DIAGNÓSTICO LABORATORIAL</v>
      </c>
      <c r="C10888" s="2" t="str">
        <f t="shared" si="948"/>
        <v>DIAGN</v>
      </c>
      <c r="D10888" s="2" t="str">
        <f t="shared" si="949"/>
        <v>PSSD</v>
      </c>
      <c r="E10888" s="2" t="str">
        <f>"ESPELHO DA SOLICITAÇÃO DE EXAMES"</f>
        <v>ESPELHO DA SOLICITAÇÃO DE EXAMES</v>
      </c>
      <c r="F10888" s="2" t="str">
        <f>"R_ESPELHO_SEM_LOTE.RDF"</f>
        <v>R_ESPELHO_SEM_LOTE.RDF</v>
      </c>
      <c r="G10888" s="2" t="str">
        <f t="shared" si="950"/>
        <v xml:space="preserve"> ()</v>
      </c>
    </row>
    <row r="10889" spans="1:7" x14ac:dyDescent="0.3">
      <c r="A10889" s="1" t="s">
        <v>4</v>
      </c>
      <c r="B10889" s="2" t="str">
        <f t="shared" si="947"/>
        <v>SISTEMA DE DIAGNÓSTICO LABORATORIAL</v>
      </c>
      <c r="C10889" s="2" t="str">
        <f t="shared" si="948"/>
        <v>DIAGN</v>
      </c>
      <c r="D10889" s="2" t="str">
        <f t="shared" si="949"/>
        <v>PSSD</v>
      </c>
      <c r="E10889" s="2" t="str">
        <f>"LISTA DE ENTREGA POR TIPO DE ENTREGA"</f>
        <v>LISTA DE ENTREGA POR TIPO DE ENTREGA</v>
      </c>
      <c r="F10889" s="2" t="str">
        <f>"R_ENTREGA_POR_TIPO.RDF"</f>
        <v>R_ENTREGA_POR_TIPO.RDF</v>
      </c>
      <c r="G10889" s="2" t="str">
        <f t="shared" si="950"/>
        <v xml:space="preserve"> ()</v>
      </c>
    </row>
    <row r="10890" spans="1:7" x14ac:dyDescent="0.3">
      <c r="A10890" s="1" t="s">
        <v>4</v>
      </c>
      <c r="B10890" s="2" t="str">
        <f t="shared" si="947"/>
        <v>SISTEMA DE DIAGNÓSTICO LABORATORIAL</v>
      </c>
      <c r="C10890" s="2" t="str">
        <f t="shared" si="948"/>
        <v>DIAGN</v>
      </c>
      <c r="D10890" s="2" t="str">
        <f t="shared" si="949"/>
        <v>PSSD</v>
      </c>
      <c r="E10890" s="2" t="str">
        <f>"COMPROVANTE DE ENTREGA DE EXAMES"</f>
        <v>COMPROVANTE DE ENTREGA DE EXAMES</v>
      </c>
      <c r="F10890" s="2" t="str">
        <f>"R_COMPR_ENTREGA.RDF"</f>
        <v>R_COMPR_ENTREGA.RDF</v>
      </c>
      <c r="G10890" s="2" t="str">
        <f t="shared" si="950"/>
        <v xml:space="preserve"> ()</v>
      </c>
    </row>
    <row r="10891" spans="1:7" x14ac:dyDescent="0.3">
      <c r="A10891" s="1" t="s">
        <v>4</v>
      </c>
      <c r="B10891" s="2" t="str">
        <f t="shared" si="947"/>
        <v>SISTEMA DE DIAGNÓSTICO LABORATORIAL</v>
      </c>
      <c r="C10891" s="2" t="str">
        <f t="shared" si="948"/>
        <v>DIAGN</v>
      </c>
      <c r="D10891" s="2" t="str">
        <f t="shared" si="949"/>
        <v>PSSD</v>
      </c>
      <c r="E10891" s="2" t="str">
        <f>"RELTÓRIO DE MATERIAIS E SEUS  EXAMES"</f>
        <v>RELTÓRIO DE MATERIAIS E SEUS  EXAMES</v>
      </c>
      <c r="F10891" s="2" t="str">
        <f>"R_MATEXA.RDF"</f>
        <v>R_MATEXA.RDF</v>
      </c>
      <c r="G10891" s="2" t="str">
        <f t="shared" si="950"/>
        <v xml:space="preserve"> ()</v>
      </c>
    </row>
    <row r="10892" spans="1:7" x14ac:dyDescent="0.3">
      <c r="A10892" s="1" t="s">
        <v>4</v>
      </c>
      <c r="B10892" s="2" t="str">
        <f t="shared" si="947"/>
        <v>SISTEMA DE DIAGNÓSTICO LABORATORIAL</v>
      </c>
      <c r="C10892" s="2" t="str">
        <f t="shared" si="948"/>
        <v>DIAGN</v>
      </c>
      <c r="D10892" s="2" t="str">
        <f t="shared" si="949"/>
        <v>PSSD</v>
      </c>
      <c r="E10892" s="2" t="str">
        <f>"REL DOS AGENDAMENTOS DO PSSD"</f>
        <v>REL DOS AGENDAMENTOS DO PSSD</v>
      </c>
      <c r="F10892" s="2" t="str">
        <f>"R_AGENDA_PSSD"</f>
        <v>R_AGENDA_PSSD</v>
      </c>
      <c r="G10892" s="2" t="str">
        <f>"Diagnóstico e Terapia / Laboratório de Análises Clínicas / Relatórios / Agenda (R_AGENDA_PSSD)"</f>
        <v>Diagnóstico e Terapia / Laboratório de Análises Clínicas / Relatórios / Agenda (R_AGENDA_PSSD)</v>
      </c>
    </row>
    <row r="10893" spans="1:7" x14ac:dyDescent="0.3">
      <c r="A10893" s="1" t="s">
        <v>4</v>
      </c>
      <c r="B10893" s="2" t="str">
        <f t="shared" ref="B10893:B10909" si="951">"ROOM SERVICE"</f>
        <v>ROOM SERVICE</v>
      </c>
      <c r="C10893" s="2" t="str">
        <f>""</f>
        <v/>
      </c>
      <c r="D10893" s="2" t="str">
        <f t="shared" ref="D10893:D10909" si="952">"ROOM"</f>
        <v>ROOM</v>
      </c>
      <c r="E10893" s="2" t="str">
        <f>"RELATÓRIO DE GRUPOS DE ALIMENTOS"</f>
        <v>RELATÓRIO DE GRUPOS DE ALIMENTOS</v>
      </c>
      <c r="F10893" s="2" t="str">
        <f>"R_GRUPO.RDF"</f>
        <v>R_GRUPO.RDF</v>
      </c>
      <c r="G10893" s="2" t="str">
        <f t="shared" ref="G10893:G10899" si="953">" ()"</f>
        <v xml:space="preserve"> ()</v>
      </c>
    </row>
    <row r="10894" spans="1:7" x14ac:dyDescent="0.3">
      <c r="A10894" s="1" t="s">
        <v>4</v>
      </c>
      <c r="B10894" s="2" t="str">
        <f t="shared" si="951"/>
        <v>ROOM SERVICE</v>
      </c>
      <c r="C10894" s="2" t="str">
        <f>""</f>
        <v/>
      </c>
      <c r="D10894" s="2" t="str">
        <f t="shared" si="952"/>
        <v>ROOM</v>
      </c>
      <c r="E10894" s="2" t="str">
        <f>"RS_PEDIDO"</f>
        <v>RS_PEDIDO</v>
      </c>
      <c r="F10894" s="2" t="str">
        <f>"RS_PEDIDO"</f>
        <v>RS_PEDIDO</v>
      </c>
      <c r="G10894" s="2" t="str">
        <f t="shared" si="953"/>
        <v xml:space="preserve"> ()</v>
      </c>
    </row>
    <row r="10895" spans="1:7" x14ac:dyDescent="0.3">
      <c r="A10895" s="1" t="s">
        <v>4</v>
      </c>
      <c r="B10895" s="2" t="str">
        <f t="shared" si="951"/>
        <v>ROOM SERVICE</v>
      </c>
      <c r="C10895" s="2" t="str">
        <f>""</f>
        <v/>
      </c>
      <c r="D10895" s="2" t="str">
        <f t="shared" si="952"/>
        <v>ROOM</v>
      </c>
      <c r="E10895" s="2" t="str">
        <f>"RS_ITENS_CARDAPIO"</f>
        <v>RS_ITENS_CARDAPIO</v>
      </c>
      <c r="F10895" s="2" t="str">
        <f>"RS_ITENS_CARDAPIO"</f>
        <v>RS_ITENS_CARDAPIO</v>
      </c>
      <c r="G10895" s="2" t="str">
        <f t="shared" si="953"/>
        <v xml:space="preserve"> ()</v>
      </c>
    </row>
    <row r="10896" spans="1:7" x14ac:dyDescent="0.3">
      <c r="A10896" s="1" t="s">
        <v>4</v>
      </c>
      <c r="B10896" s="2" t="str">
        <f t="shared" si="951"/>
        <v>ROOM SERVICE</v>
      </c>
      <c r="C10896" s="2" t="str">
        <f>""</f>
        <v/>
      </c>
      <c r="D10896" s="2" t="str">
        <f t="shared" si="952"/>
        <v>ROOM</v>
      </c>
      <c r="E10896" s="2" t="str">
        <f>"RS_CONS_PEDIDO"</f>
        <v>RS_CONS_PEDIDO</v>
      </c>
      <c r="F10896" s="2" t="str">
        <f>"RS_CONS_PEDIDO"</f>
        <v>RS_CONS_PEDIDO</v>
      </c>
      <c r="G10896" s="2" t="str">
        <f t="shared" si="953"/>
        <v xml:space="preserve"> ()</v>
      </c>
    </row>
    <row r="10897" spans="1:7" x14ac:dyDescent="0.3">
      <c r="A10897" s="1" t="s">
        <v>4</v>
      </c>
      <c r="B10897" s="2" t="str">
        <f t="shared" si="951"/>
        <v>ROOM SERVICE</v>
      </c>
      <c r="C10897" s="2" t="str">
        <f>""</f>
        <v/>
      </c>
      <c r="D10897" s="2" t="str">
        <f t="shared" si="952"/>
        <v>ROOM</v>
      </c>
      <c r="E10897" s="2" t="str">
        <f>"P60"</f>
        <v>P60</v>
      </c>
      <c r="F10897" s="2" t="str">
        <f>"P60"</f>
        <v>P60</v>
      </c>
      <c r="G10897" s="2" t="str">
        <f t="shared" si="953"/>
        <v xml:space="preserve"> ()</v>
      </c>
    </row>
    <row r="10898" spans="1:7" x14ac:dyDescent="0.3">
      <c r="A10898" s="1" t="s">
        <v>4</v>
      </c>
      <c r="B10898" s="2" t="str">
        <f t="shared" si="951"/>
        <v>ROOM SERVICE</v>
      </c>
      <c r="C10898" s="2" t="str">
        <f>""</f>
        <v/>
      </c>
      <c r="D10898" s="2" t="str">
        <f t="shared" si="952"/>
        <v>ROOM</v>
      </c>
      <c r="E10898" s="2" t="str">
        <f>"RS_GRUPO"</f>
        <v>RS_GRUPO</v>
      </c>
      <c r="F10898" s="2" t="str">
        <f>"RS_GRUPO"</f>
        <v>RS_GRUPO</v>
      </c>
      <c r="G10898" s="2" t="str">
        <f t="shared" si="953"/>
        <v xml:space="preserve"> ()</v>
      </c>
    </row>
    <row r="10899" spans="1:7" x14ac:dyDescent="0.3">
      <c r="A10899" s="1" t="s">
        <v>4</v>
      </c>
      <c r="B10899" s="2" t="str">
        <f t="shared" si="951"/>
        <v>ROOM SERVICE</v>
      </c>
      <c r="C10899" s="2" t="str">
        <f>""</f>
        <v/>
      </c>
      <c r="D10899" s="2" t="str">
        <f t="shared" si="952"/>
        <v>ROOM</v>
      </c>
      <c r="E10899" s="2" t="str">
        <f>"ROOM"</f>
        <v>ROOM</v>
      </c>
      <c r="F10899" s="2" t="str">
        <f>"ROOM"</f>
        <v>ROOM</v>
      </c>
      <c r="G10899" s="2" t="str">
        <f t="shared" si="953"/>
        <v xml:space="preserve"> ()</v>
      </c>
    </row>
    <row r="10900" spans="1:7" x14ac:dyDescent="0.3">
      <c r="A10900" s="1" t="s">
        <v>4</v>
      </c>
      <c r="B10900" s="2" t="str">
        <f t="shared" si="951"/>
        <v>ROOM SERVICE</v>
      </c>
      <c r="C10900" s="2" t="str">
        <f>""</f>
        <v/>
      </c>
      <c r="D10900" s="2" t="str">
        <f t="shared" si="952"/>
        <v>ROOM</v>
      </c>
      <c r="E10900" s="2" t="str">
        <f>"CADASTRO: MEIOS DE CHAMADO"</f>
        <v>CADASTRO: MEIOS DE CHAMADO</v>
      </c>
      <c r="F10900" s="2" t="str">
        <f>"C_PEDIDO"</f>
        <v>C_PEDIDO</v>
      </c>
      <c r="G10900" s="2" t="str">
        <f>"Outros / Room Service / Pedidos Room Service / Pedido (C_PEDIDO)"</f>
        <v>Outros / Room Service / Pedidos Room Service / Pedido (C_PEDIDO)</v>
      </c>
    </row>
    <row r="10901" spans="1:7" x14ac:dyDescent="0.3">
      <c r="A10901" s="1" t="s">
        <v>4</v>
      </c>
      <c r="B10901" s="2" t="str">
        <f t="shared" si="951"/>
        <v>ROOM SERVICE</v>
      </c>
      <c r="C10901" s="2" t="str">
        <f>""</f>
        <v/>
      </c>
      <c r="D10901" s="2" t="str">
        <f t="shared" si="952"/>
        <v>ROOM</v>
      </c>
      <c r="E10901" s="2" t="str">
        <f>"CADASTRO: MEIOS DE CHAMADO"</f>
        <v>CADASTRO: MEIOS DE CHAMADO</v>
      </c>
      <c r="F10901" s="2" t="str">
        <f>"C_CARDAPIO"</f>
        <v>C_CARDAPIO</v>
      </c>
      <c r="G10901" s="2" t="str">
        <f>"Outros / Room Service / Tabelas / Itens do Cardápio (C_CARDAPIO)"</f>
        <v>Outros / Room Service / Tabelas / Itens do Cardápio (C_CARDAPIO)</v>
      </c>
    </row>
    <row r="10902" spans="1:7" x14ac:dyDescent="0.3">
      <c r="A10902" s="1" t="s">
        <v>4</v>
      </c>
      <c r="B10902" s="2" t="str">
        <f t="shared" si="951"/>
        <v>ROOM SERVICE</v>
      </c>
      <c r="C10902" s="2" t="str">
        <f>""</f>
        <v/>
      </c>
      <c r="D10902" s="2" t="str">
        <f t="shared" si="952"/>
        <v>ROOM</v>
      </c>
      <c r="E10902" s="2" t="str">
        <f>"CADASTRO: MEIOS DE CHAMADO"</f>
        <v>CADASTRO: MEIOS DE CHAMADO</v>
      </c>
      <c r="F10902" s="2" t="str">
        <f>"C_TIPO_LIMPEZA"</f>
        <v>C_TIPO_LIMPEZA</v>
      </c>
      <c r="G10902" s="2" t="str">
        <f>" ()"</f>
        <v xml:space="preserve"> ()</v>
      </c>
    </row>
    <row r="10903" spans="1:7" x14ac:dyDescent="0.3">
      <c r="A10903" s="1" t="s">
        <v>4</v>
      </c>
      <c r="B10903" s="2" t="str">
        <f t="shared" si="951"/>
        <v>ROOM SERVICE</v>
      </c>
      <c r="C10903" s="2" t="str">
        <f>""</f>
        <v/>
      </c>
      <c r="D10903" s="2" t="str">
        <f t="shared" si="952"/>
        <v>ROOM</v>
      </c>
      <c r="E10903" s="2" t="str">
        <f>"CADASTRO: MEIOS DE CHAMADO"</f>
        <v>CADASTRO: MEIOS DE CHAMADO</v>
      </c>
      <c r="F10903" s="2" t="str">
        <f>"C_GRUPO"</f>
        <v>C_GRUPO</v>
      </c>
      <c r="G10903" s="2" t="str">
        <f>"Outros / Room Service / Tabelas / Grupos de Alimentos (C_GRUPO)"</f>
        <v>Outros / Room Service / Tabelas / Grupos de Alimentos (C_GRUPO)</v>
      </c>
    </row>
    <row r="10904" spans="1:7" x14ac:dyDescent="0.3">
      <c r="A10904" s="1" t="s">
        <v>4</v>
      </c>
      <c r="B10904" s="2" t="str">
        <f t="shared" si="951"/>
        <v>ROOM SERVICE</v>
      </c>
      <c r="C10904" s="2" t="str">
        <f>""</f>
        <v/>
      </c>
      <c r="D10904" s="2" t="str">
        <f t="shared" si="952"/>
        <v>ROOM</v>
      </c>
      <c r="E10904" s="2" t="str">
        <f>"RELATÓRIO DE COMANDAS EMITIDAS"</f>
        <v>RELATÓRIO DE COMANDAS EMITIDAS</v>
      </c>
      <c r="F10904" s="2" t="str">
        <f>"R_PED_SEQ"</f>
        <v>R_PED_SEQ</v>
      </c>
      <c r="G10904" s="2" t="str">
        <f>"Outros / Room Service / Relatórios / Operacionais / Pedidos por Periodo (R_PED_SEQ)"</f>
        <v>Outros / Room Service / Relatórios / Operacionais / Pedidos por Periodo (R_PED_SEQ)</v>
      </c>
    </row>
    <row r="10905" spans="1:7" x14ac:dyDescent="0.3">
      <c r="A10905" s="1" t="s">
        <v>4</v>
      </c>
      <c r="B10905" s="2" t="str">
        <f t="shared" si="951"/>
        <v>ROOM SERVICE</v>
      </c>
      <c r="C10905" s="2" t="str">
        <f>""</f>
        <v/>
      </c>
      <c r="D10905" s="2" t="str">
        <f t="shared" si="952"/>
        <v>ROOM</v>
      </c>
      <c r="E10905" s="2" t="str">
        <f>"RELATÓRIO DO CARDÁPIO"</f>
        <v>RELATÓRIO DO CARDÁPIO</v>
      </c>
      <c r="F10905" s="2" t="str">
        <f>"R_CARDAPIO"</f>
        <v>R_CARDAPIO</v>
      </c>
      <c r="G10905" s="2" t="str">
        <f>"Outros / Room Service / Relatórios / Operacionais / Cardápio (R_CARDAPIO)"</f>
        <v>Outros / Room Service / Relatórios / Operacionais / Cardápio (R_CARDAPIO)</v>
      </c>
    </row>
    <row r="10906" spans="1:7" x14ac:dyDescent="0.3">
      <c r="A10906" s="1" t="s">
        <v>4</v>
      </c>
      <c r="B10906" s="2" t="str">
        <f t="shared" si="951"/>
        <v>ROOM SERVICE</v>
      </c>
      <c r="C10906" s="2" t="str">
        <f>""</f>
        <v/>
      </c>
      <c r="D10906" s="2" t="str">
        <f t="shared" si="952"/>
        <v>ROOM</v>
      </c>
      <c r="E10906" s="2" t="str">
        <f>"RELATÓRIO DE ITENS DE CARDÁPIO"</f>
        <v>RELATÓRIO DE ITENS DE CARDÁPIO</v>
      </c>
      <c r="F10906" s="2" t="str">
        <f>"R_ITENS"</f>
        <v>R_ITENS</v>
      </c>
      <c r="G10906" s="2" t="str">
        <f>"Outros / Room Service / Relatórios / Tabelas / Itens do Cardápio (R_ITENS)"</f>
        <v>Outros / Room Service / Relatórios / Tabelas / Itens do Cardápio (R_ITENS)</v>
      </c>
    </row>
    <row r="10907" spans="1:7" x14ac:dyDescent="0.3">
      <c r="A10907" s="1" t="s">
        <v>4</v>
      </c>
      <c r="B10907" s="2" t="str">
        <f t="shared" si="951"/>
        <v>ROOM SERVICE</v>
      </c>
      <c r="C10907" s="2" t="str">
        <f>""</f>
        <v/>
      </c>
      <c r="D10907" s="2" t="str">
        <f t="shared" si="952"/>
        <v>ROOM</v>
      </c>
      <c r="E10907" s="2" t="str">
        <f>"RELATÓRIO DE GRUPOS DE ALIMENTOS"</f>
        <v>RELATÓRIO DE GRUPOS DE ALIMENTOS</v>
      </c>
      <c r="F10907" s="2" t="str">
        <f>"R_GRUPO"</f>
        <v>R_GRUPO</v>
      </c>
      <c r="G10907" s="2" t="str">
        <f>"Outros / Room Service / Relatórios / Tabelas / Grupos de Alimentos (R_GRUPO)"</f>
        <v>Outros / Room Service / Relatórios / Tabelas / Grupos de Alimentos (R_GRUPO)</v>
      </c>
    </row>
    <row r="10908" spans="1:7" x14ac:dyDescent="0.3">
      <c r="A10908" s="1" t="s">
        <v>4</v>
      </c>
      <c r="B10908" s="2" t="str">
        <f t="shared" si="951"/>
        <v>ROOM SERVICE</v>
      </c>
      <c r="C10908" s="2" t="str">
        <f>""</f>
        <v/>
      </c>
      <c r="D10908" s="2" t="str">
        <f t="shared" si="952"/>
        <v>ROOM</v>
      </c>
      <c r="E10908" s="2" t="str">
        <f>"RELATÓRIO DE PEDIDOS POR PERÍODO"</f>
        <v>RELATÓRIO DE PEDIDOS POR PERÍODO</v>
      </c>
      <c r="F10908" s="2" t="str">
        <f>"R_PED_SEQ.RDF"</f>
        <v>R_PED_SEQ.RDF</v>
      </c>
      <c r="G10908" s="2" t="str">
        <f t="shared" ref="G10908:G10913" si="954">" ()"</f>
        <v xml:space="preserve"> ()</v>
      </c>
    </row>
    <row r="10909" spans="1:7" x14ac:dyDescent="0.3">
      <c r="A10909" s="1" t="s">
        <v>4</v>
      </c>
      <c r="B10909" s="2" t="str">
        <f t="shared" si="951"/>
        <v>ROOM SERVICE</v>
      </c>
      <c r="C10909" s="2" t="str">
        <f>""</f>
        <v/>
      </c>
      <c r="D10909" s="2" t="str">
        <f t="shared" si="952"/>
        <v>ROOM</v>
      </c>
      <c r="E10909" s="2" t="str">
        <f>"RELATÓRIO DE ITENS DO CARDÁPIO"</f>
        <v>RELATÓRIO DE ITENS DO CARDÁPIO</v>
      </c>
      <c r="F10909" s="2" t="str">
        <f>"R_ITENS.RDF"</f>
        <v>R_ITENS.RDF</v>
      </c>
      <c r="G10909" s="2" t="str">
        <f t="shared" si="954"/>
        <v xml:space="preserve"> ()</v>
      </c>
    </row>
    <row r="10910" spans="1:7" x14ac:dyDescent="0.3">
      <c r="A10910" s="1" t="s">
        <v>4</v>
      </c>
      <c r="B10910" s="2" t="str">
        <f t="shared" ref="B10910:B10973" si="955">"SERVICO ATENDIMENTO AO CLIENTE"</f>
        <v>SERVICO ATENDIMENTO AO CLIENTE</v>
      </c>
      <c r="C10910" s="2" t="str">
        <f t="shared" ref="C10910:C10973" si="956">"APOIO"</f>
        <v>APOIO</v>
      </c>
      <c r="D10910" s="2" t="str">
        <f t="shared" ref="D10910:D10973" si="957">"SAC"</f>
        <v>SAC</v>
      </c>
      <c r="E10910" s="2" t="str">
        <f>"RELATÓRIO DE NÍVEIS DE CHAMADO"</f>
        <v>RELATÓRIO DE NÍVEIS DE CHAMADO</v>
      </c>
      <c r="F10910" s="2" t="str">
        <f>"R_SAC_NIVEL_CHAMADO.RDF"</f>
        <v>R_SAC_NIVEL_CHAMADO.RDF</v>
      </c>
      <c r="G10910" s="2" t="str">
        <f t="shared" si="954"/>
        <v xml:space="preserve"> ()</v>
      </c>
    </row>
    <row r="10911" spans="1:7" x14ac:dyDescent="0.3">
      <c r="A10911" s="1" t="s">
        <v>4</v>
      </c>
      <c r="B10911" s="2" t="str">
        <f t="shared" si="955"/>
        <v>SERVICO ATENDIMENTO AO CLIENTE</v>
      </c>
      <c r="C10911" s="2" t="str">
        <f t="shared" si="956"/>
        <v>APOIO</v>
      </c>
      <c r="D10911" s="2" t="str">
        <f t="shared" si="957"/>
        <v>SAC</v>
      </c>
      <c r="E10911" s="2" t="str">
        <f>"Saída de Benefcio"</f>
        <v>Saída de Benefcio</v>
      </c>
      <c r="F10911" s="2" t="str">
        <f>"R_SAIDA_BENEFICIO"</f>
        <v>R_SAIDA_BENEFICIO</v>
      </c>
      <c r="G10911" s="2" t="str">
        <f t="shared" si="954"/>
        <v xml:space="preserve"> ()</v>
      </c>
    </row>
    <row r="10912" spans="1:7" x14ac:dyDescent="0.3">
      <c r="A10912" s="1" t="s">
        <v>4</v>
      </c>
      <c r="B10912" s="2" t="str">
        <f t="shared" si="955"/>
        <v>SERVICO ATENDIMENTO AO CLIENTE</v>
      </c>
      <c r="C10912" s="2" t="str">
        <f t="shared" si="956"/>
        <v>APOIO</v>
      </c>
      <c r="D10912" s="2" t="str">
        <f t="shared" si="957"/>
        <v>SAC</v>
      </c>
      <c r="E10912" s="2" t="str">
        <f>"Entrada de Benefcio"</f>
        <v>Entrada de Benefcio</v>
      </c>
      <c r="F10912" s="2" t="str">
        <f>"R_ENTRADA_BENEFICIO"</f>
        <v>R_ENTRADA_BENEFICIO</v>
      </c>
      <c r="G10912" s="2" t="str">
        <f t="shared" si="954"/>
        <v xml:space="preserve"> ()</v>
      </c>
    </row>
    <row r="10913" spans="1:7" x14ac:dyDescent="0.3">
      <c r="A10913" s="1" t="s">
        <v>4</v>
      </c>
      <c r="B10913" s="2" t="str">
        <f t="shared" si="955"/>
        <v>SERVICO ATENDIMENTO AO CLIENTE</v>
      </c>
      <c r="C10913" s="2" t="str">
        <f t="shared" si="956"/>
        <v>APOIO</v>
      </c>
      <c r="D10913" s="2" t="str">
        <f t="shared" si="957"/>
        <v>SAC</v>
      </c>
      <c r="E10913" s="2" t="str">
        <f>"R_SAC_NIVEL"</f>
        <v>R_SAC_NIVEL</v>
      </c>
      <c r="F10913" s="2" t="str">
        <f>"R_SAC_NIVEL"</f>
        <v>R_SAC_NIVEL</v>
      </c>
      <c r="G10913" s="2" t="str">
        <f t="shared" si="954"/>
        <v xml:space="preserve"> ()</v>
      </c>
    </row>
    <row r="10914" spans="1:7" x14ac:dyDescent="0.3">
      <c r="A10914" s="1" t="s">
        <v>4</v>
      </c>
      <c r="B10914" s="2" t="str">
        <f t="shared" si="955"/>
        <v>SERVICO ATENDIMENTO AO CLIENTE</v>
      </c>
      <c r="C10914" s="2" t="str">
        <f t="shared" si="956"/>
        <v>APOIO</v>
      </c>
      <c r="D10914" s="2" t="str">
        <f t="shared" si="957"/>
        <v>SAC</v>
      </c>
      <c r="E10914" s="2" t="str">
        <f>"SAÍDA DE BENEFÍCIOS"</f>
        <v>SAÍDA DE BENEFÍCIOS</v>
      </c>
      <c r="F10914" s="2" t="str">
        <f>"M_SAIDA_BENEFICIO"</f>
        <v>M_SAIDA_BENEFICIO</v>
      </c>
      <c r="G10914" s="2" t="str">
        <f>"Serviços de Apoio / Serviço Atendimento Cliente / Serviço Social / Saída de Benefícios (M_SAIDA_BENEFICIO)"</f>
        <v>Serviços de Apoio / Serviço Atendimento Cliente / Serviço Social / Saída de Benefícios (M_SAIDA_BENEFICIO)</v>
      </c>
    </row>
    <row r="10915" spans="1:7" x14ac:dyDescent="0.3">
      <c r="A10915" s="1" t="s">
        <v>4</v>
      </c>
      <c r="B10915" s="2" t="str">
        <f t="shared" si="955"/>
        <v>SERVICO ATENDIMENTO AO CLIENTE</v>
      </c>
      <c r="C10915" s="2" t="str">
        <f t="shared" si="956"/>
        <v>APOIO</v>
      </c>
      <c r="D10915" s="2" t="str">
        <f t="shared" si="957"/>
        <v>SAC</v>
      </c>
      <c r="E10915" s="2" t="str">
        <f>"ENTRADA DE BENEFÍCIOS"</f>
        <v>ENTRADA DE BENEFÍCIOS</v>
      </c>
      <c r="F10915" s="2" t="str">
        <f>"M_ENTRADA_BENEFICIO"</f>
        <v>M_ENTRADA_BENEFICIO</v>
      </c>
      <c r="G10915" s="2" t="str">
        <f>"Serviços de Apoio / Serviço Atendimento Cliente / Serviço Social / Entrada de Benefícios (M_ENTRADA_BENEFICIO)"</f>
        <v>Serviços de Apoio / Serviço Atendimento Cliente / Serviço Social / Entrada de Benefícios (M_ENTRADA_BENEFICIO)</v>
      </c>
    </row>
    <row r="10916" spans="1:7" x14ac:dyDescent="0.3">
      <c r="A10916" s="1" t="s">
        <v>4</v>
      </c>
      <c r="B10916" s="2" t="str">
        <f t="shared" si="955"/>
        <v>SERVICO ATENDIMENTO AO CLIENTE</v>
      </c>
      <c r="C10916" s="2" t="str">
        <f t="shared" si="956"/>
        <v>APOIO</v>
      </c>
      <c r="D10916" s="2" t="str">
        <f t="shared" si="957"/>
        <v>SAC</v>
      </c>
      <c r="E10916" s="2" t="str">
        <f>"TIPO DE DESTINATÁRIO DE BENEFÍCIOS"</f>
        <v>TIPO DE DESTINATÁRIO DE BENEFÍCIOS</v>
      </c>
      <c r="F10916" s="2" t="str">
        <f>"M_TIPO_DESTINATARIO_BENEF"</f>
        <v>M_TIPO_DESTINATARIO_BENEF</v>
      </c>
      <c r="G10916" s="2" t="str">
        <f>"Serviços de Apoio / Serviço Atendimento Cliente / Serviço Social / Tipo de Destinatário de Benefícios (M_TIPO_DESTINATARIO_BENEF)"</f>
        <v>Serviços de Apoio / Serviço Atendimento Cliente / Serviço Social / Tipo de Destinatário de Benefícios (M_TIPO_DESTINATARIO_BENEF)</v>
      </c>
    </row>
    <row r="10917" spans="1:7" x14ac:dyDescent="0.3">
      <c r="A10917" s="1" t="s">
        <v>4</v>
      </c>
      <c r="B10917" s="2" t="str">
        <f t="shared" si="955"/>
        <v>SERVICO ATENDIMENTO AO CLIENTE</v>
      </c>
      <c r="C10917" s="2" t="str">
        <f t="shared" si="956"/>
        <v>APOIO</v>
      </c>
      <c r="D10917" s="2" t="str">
        <f t="shared" si="957"/>
        <v>SAC</v>
      </c>
      <c r="E10917" s="2" t="str">
        <f>"PESQUISA DE TELEFONES ÚTEIS MUNICÍPIO"</f>
        <v>PESQUISA DE TELEFONES ÚTEIS MUNICÍPIO</v>
      </c>
      <c r="F10917" s="2" t="str">
        <f>"C_CIDADE_TIPO_LOCAL"</f>
        <v>C_CIDADE_TIPO_LOCAL</v>
      </c>
      <c r="G10917" s="2" t="str">
        <f>"Serviços de Apoio / Serviço Atendimento Cliente / Consulta / Pesquisa de Telefones Úteis por Município (C_CIDADE_TIPO_LOCAL)"</f>
        <v>Serviços de Apoio / Serviço Atendimento Cliente / Consulta / Pesquisa de Telefones Úteis por Município (C_CIDADE_TIPO_LOCAL)</v>
      </c>
    </row>
    <row r="10918" spans="1:7" x14ac:dyDescent="0.3">
      <c r="A10918" s="1" t="s">
        <v>4</v>
      </c>
      <c r="B10918" s="2" t="str">
        <f t="shared" si="955"/>
        <v>SERVICO ATENDIMENTO AO CLIENTE</v>
      </c>
      <c r="C10918" s="2" t="str">
        <f t="shared" si="956"/>
        <v>APOIO</v>
      </c>
      <c r="D10918" s="2" t="str">
        <f t="shared" si="957"/>
        <v>SAC</v>
      </c>
      <c r="E10918" s="2" t="str">
        <f>"TELEFONES ÚTEIS POR MUNICÍPIO"</f>
        <v>TELEFONES ÚTEIS POR MUNICÍPIO</v>
      </c>
      <c r="F10918" s="2" t="str">
        <f>"M_CIDADE_TIPO_LOCAL"</f>
        <v>M_CIDADE_TIPO_LOCAL</v>
      </c>
      <c r="G10918" s="2" t="str">
        <f>"Serviços de Apoio / Serviço Atendimento Cliente / Tabelas / Telefones Úteis por Município (M_CIDADE_TIPO_LOCAL)"</f>
        <v>Serviços de Apoio / Serviço Atendimento Cliente / Tabelas / Telefones Úteis por Município (M_CIDADE_TIPO_LOCAL)</v>
      </c>
    </row>
    <row r="10919" spans="1:7" x14ac:dyDescent="0.3">
      <c r="A10919" s="1" t="s">
        <v>4</v>
      </c>
      <c r="B10919" s="2" t="str">
        <f t="shared" si="955"/>
        <v>SERVICO ATENDIMENTO AO CLIENTE</v>
      </c>
      <c r="C10919" s="2" t="str">
        <f t="shared" si="956"/>
        <v>APOIO</v>
      </c>
      <c r="D10919" s="2" t="str">
        <f t="shared" si="957"/>
        <v>SAC</v>
      </c>
      <c r="E10919" s="2" t="str">
        <f>"CADASTRO TIPO LOCAL"</f>
        <v>CADASTRO TIPO LOCAL</v>
      </c>
      <c r="F10919" s="2" t="str">
        <f>"M_TIPO_LOCAL"</f>
        <v>M_TIPO_LOCAL</v>
      </c>
      <c r="G10919" s="2" t="str">
        <f>"Serviços de Apoio / Serviço Atendimento Cliente / Tabelas / Tipos de Local (M_TIPO_LOCAL)"</f>
        <v>Serviços de Apoio / Serviço Atendimento Cliente / Tabelas / Tipos de Local (M_TIPO_LOCAL)</v>
      </c>
    </row>
    <row r="10920" spans="1:7" x14ac:dyDescent="0.3">
      <c r="A10920" s="1" t="s">
        <v>4</v>
      </c>
      <c r="B10920" s="2" t="str">
        <f t="shared" si="955"/>
        <v>SERVICO ATENDIMENTO AO CLIENTE</v>
      </c>
      <c r="C10920" s="2" t="str">
        <f t="shared" si="956"/>
        <v>APOIO</v>
      </c>
      <c r="D10920" s="2" t="str">
        <f t="shared" si="957"/>
        <v>SAC</v>
      </c>
      <c r="E10920" s="2" t="str">
        <f>"PRESTADORES POR SETOR DE SERVIÇO SOCIAL"</f>
        <v>PRESTADORES POR SETOR DE SERVIÇO SOCIAL</v>
      </c>
      <c r="F10920" s="2" t="str">
        <f>"M_PREST_SET_SERV_SOCIAL"</f>
        <v>M_PREST_SET_SERV_SOCIAL</v>
      </c>
      <c r="G10920" s="2" t="str">
        <f>"Serviços de Apoio / Serviço Atendimento Cliente / Serviço Social / Prestadores por Setor de Serviço Social (M_PREST_SET_SERV_SOCIAL)"</f>
        <v>Serviços de Apoio / Serviço Atendimento Cliente / Serviço Social / Prestadores por Setor de Serviço Social (M_PREST_SET_SERV_SOCIAL)</v>
      </c>
    </row>
    <row r="10921" spans="1:7" x14ac:dyDescent="0.3">
      <c r="A10921" s="1" t="s">
        <v>4</v>
      </c>
      <c r="B10921" s="2" t="str">
        <f t="shared" si="955"/>
        <v>SERVICO ATENDIMENTO AO CLIENTE</v>
      </c>
      <c r="C10921" s="2" t="str">
        <f t="shared" si="956"/>
        <v>APOIO</v>
      </c>
      <c r="D10921" s="2" t="str">
        <f t="shared" si="957"/>
        <v>SAC</v>
      </c>
      <c r="E10921" s="2" t="str">
        <f>"TIPOS DE BENEFICIOS"</f>
        <v>TIPOS DE BENEFICIOS</v>
      </c>
      <c r="F10921" s="2" t="str">
        <f>"M_TIPO_BENEFICIO"</f>
        <v>M_TIPO_BENEFICIO</v>
      </c>
      <c r="G10921" s="2" t="str">
        <f>"Serviços de Apoio / Serviço Atendimento Cliente / Serviço Social / Tipos de Benefícios (M_TIPO_BENEFICIO)"</f>
        <v>Serviços de Apoio / Serviço Atendimento Cliente / Serviço Social / Tipos de Benefícios (M_TIPO_BENEFICIO)</v>
      </c>
    </row>
    <row r="10922" spans="1:7" x14ac:dyDescent="0.3">
      <c r="A10922" s="1" t="s">
        <v>4</v>
      </c>
      <c r="B10922" s="2" t="str">
        <f t="shared" si="955"/>
        <v>SERVICO ATENDIMENTO AO CLIENTE</v>
      </c>
      <c r="C10922" s="2" t="str">
        <f t="shared" si="956"/>
        <v>APOIO</v>
      </c>
      <c r="D10922" s="2" t="str">
        <f t="shared" si="957"/>
        <v>SAC</v>
      </c>
      <c r="E10922" s="2" t="str">
        <f>"PERSONALIZADOS DO SAC"</f>
        <v>PERSONALIZADOS DO SAC</v>
      </c>
      <c r="F10922" s="2" t="str">
        <f>"R_PERSON_SAC"</f>
        <v>R_PERSON_SAC</v>
      </c>
      <c r="G10922" s="2" t="str">
        <f>"Serviços de Apoio / Serviço Atendimento Cliente / Relatórios / Personalizados (R_PERSON_SAC)"</f>
        <v>Serviços de Apoio / Serviço Atendimento Cliente / Relatórios / Personalizados (R_PERSON_SAC)</v>
      </c>
    </row>
    <row r="10923" spans="1:7" x14ac:dyDescent="0.3">
      <c r="A10923" s="1" t="s">
        <v>4</v>
      </c>
      <c r="B10923" s="2" t="str">
        <f t="shared" si="955"/>
        <v>SERVICO ATENDIMENTO AO CLIENTE</v>
      </c>
      <c r="C10923" s="2" t="str">
        <f t="shared" si="956"/>
        <v>APOIO</v>
      </c>
      <c r="D10923" s="2" t="str">
        <f t="shared" si="957"/>
        <v>SAC</v>
      </c>
      <c r="E10923" s="2" t="str">
        <f>"CADASTRO: MEIOS DE CHAMADO"</f>
        <v>CADASTRO: MEIOS DE CHAMADO</v>
      </c>
      <c r="F10923" s="2" t="str">
        <f>"TIPO"</f>
        <v>TIPO</v>
      </c>
      <c r="G10923" s="2" t="str">
        <f>" ()"</f>
        <v xml:space="preserve"> ()</v>
      </c>
    </row>
    <row r="10924" spans="1:7" x14ac:dyDescent="0.3">
      <c r="A10924" s="1" t="s">
        <v>4</v>
      </c>
      <c r="B10924" s="2" t="str">
        <f t="shared" si="955"/>
        <v>SERVICO ATENDIMENTO AO CLIENTE</v>
      </c>
      <c r="C10924" s="2" t="str">
        <f t="shared" si="956"/>
        <v>APOIO</v>
      </c>
      <c r="D10924" s="2" t="str">
        <f t="shared" si="957"/>
        <v>SAC</v>
      </c>
      <c r="E10924" s="2" t="str">
        <f>"Usuário por Setor de Chamado"</f>
        <v>Usuário por Setor de Chamado</v>
      </c>
      <c r="F10924" s="2" t="str">
        <f>"M_USUARIO_SETOR_SAC"</f>
        <v>M_USUARIO_SETOR_SAC</v>
      </c>
      <c r="G10924" s="2" t="str">
        <f>"Serviços de Apoio / Serviço Atendimento Cliente / Tabelas / Usuário por Setor de Chamado (M_USUARIO_SETOR_SAC)"</f>
        <v>Serviços de Apoio / Serviço Atendimento Cliente / Tabelas / Usuário por Setor de Chamado (M_USUARIO_SETOR_SAC)</v>
      </c>
    </row>
    <row r="10925" spans="1:7" x14ac:dyDescent="0.3">
      <c r="A10925" s="1" t="s">
        <v>4</v>
      </c>
      <c r="B10925" s="2" t="str">
        <f t="shared" si="955"/>
        <v>SERVICO ATENDIMENTO AO CLIENTE</v>
      </c>
      <c r="C10925" s="2" t="str">
        <f t="shared" si="956"/>
        <v>APOIO</v>
      </c>
      <c r="D10925" s="2" t="str">
        <f t="shared" si="957"/>
        <v>SAC</v>
      </c>
      <c r="E10925" s="2" t="str">
        <f>"RELATÓRIO DE CHAMADOS"</f>
        <v>RELATÓRIO DE CHAMADOS</v>
      </c>
      <c r="F10925" s="2" t="str">
        <f>"R_SAC_SOLIC_TIPO.RDF"</f>
        <v>R_SAC_SOLIC_TIPO.RDF</v>
      </c>
      <c r="G10925" s="2" t="str">
        <f>" ()"</f>
        <v xml:space="preserve"> ()</v>
      </c>
    </row>
    <row r="10926" spans="1:7" x14ac:dyDescent="0.3">
      <c r="A10926" s="1" t="s">
        <v>4</v>
      </c>
      <c r="B10926" s="2" t="str">
        <f t="shared" si="955"/>
        <v>SERVICO ATENDIMENTO AO CLIENTE</v>
      </c>
      <c r="C10926" s="2" t="str">
        <f t="shared" si="956"/>
        <v>APOIO</v>
      </c>
      <c r="D10926" s="2" t="str">
        <f t="shared" si="957"/>
        <v>SAC</v>
      </c>
      <c r="E10926" s="2" t="str">
        <f>"R_SAC_EST_MOTIVO"</f>
        <v>R_SAC_EST_MOTIVO</v>
      </c>
      <c r="F10926" s="2" t="str">
        <f>"R_SAC_EST_MOTIVO"</f>
        <v>R_SAC_EST_MOTIVO</v>
      </c>
      <c r="G10926" s="2" t="str">
        <f>"Serviços de Apoio / Serviço Atendimento Cliente / Relatórios / Estatisticos / Motivos do Chamado (R_SAC_EST_MOTIVO)"</f>
        <v>Serviços de Apoio / Serviço Atendimento Cliente / Relatórios / Estatisticos / Motivos do Chamado (R_SAC_EST_MOTIVO)</v>
      </c>
    </row>
    <row r="10927" spans="1:7" x14ac:dyDescent="0.3">
      <c r="A10927" s="1" t="s">
        <v>4</v>
      </c>
      <c r="B10927" s="2" t="str">
        <f t="shared" si="955"/>
        <v>SERVICO ATENDIMENTO AO CLIENTE</v>
      </c>
      <c r="C10927" s="2" t="str">
        <f t="shared" si="956"/>
        <v>APOIO</v>
      </c>
      <c r="D10927" s="2" t="str">
        <f t="shared" si="957"/>
        <v>SAC</v>
      </c>
      <c r="E10927" s="2" t="str">
        <f>"RELATÓRIO DE CHAMADOS POR SITUAÇÃO"</f>
        <v>RELATÓRIO DE CHAMADOS POR SITUAÇÃO</v>
      </c>
      <c r="F10927" s="2" t="str">
        <f>"R_SAC_SITUACAO_CHAMADO"</f>
        <v>R_SAC_SITUACAO_CHAMADO</v>
      </c>
      <c r="G10927" s="2" t="str">
        <f>"Serviços de Apoio / Serviço Atendimento Cliente / Relatórios / Operacionais / Histórico de Chamados (R_SAC_SITUACAO_CHAMADO)"</f>
        <v>Serviços de Apoio / Serviço Atendimento Cliente / Relatórios / Operacionais / Histórico de Chamados (R_SAC_SITUACAO_CHAMADO)</v>
      </c>
    </row>
    <row r="10928" spans="1:7" x14ac:dyDescent="0.3">
      <c r="A10928" s="1" t="s">
        <v>4</v>
      </c>
      <c r="B10928" s="2" t="str">
        <f t="shared" si="955"/>
        <v>SERVICO ATENDIMENTO AO CLIENTE</v>
      </c>
      <c r="C10928" s="2" t="str">
        <f t="shared" si="956"/>
        <v>APOIO</v>
      </c>
      <c r="D10928" s="2" t="str">
        <f t="shared" si="957"/>
        <v>SAC</v>
      </c>
      <c r="E10928" s="2" t="str">
        <f>"SAC"</f>
        <v>SAC</v>
      </c>
      <c r="F10928" s="2" t="str">
        <f>"SAC"</f>
        <v>SAC</v>
      </c>
      <c r="G10928" s="2" t="str">
        <f>" ()"</f>
        <v xml:space="preserve"> ()</v>
      </c>
    </row>
    <row r="10929" spans="1:7" x14ac:dyDescent="0.3">
      <c r="A10929" s="1" t="s">
        <v>4</v>
      </c>
      <c r="B10929" s="2" t="str">
        <f t="shared" si="955"/>
        <v>SERVICO ATENDIMENTO AO CLIENTE</v>
      </c>
      <c r="C10929" s="2" t="str">
        <f t="shared" si="956"/>
        <v>APOIO</v>
      </c>
      <c r="D10929" s="2" t="str">
        <f t="shared" si="957"/>
        <v>SAC</v>
      </c>
      <c r="E10929" s="2" t="str">
        <f>"C_TIPO"</f>
        <v>C_TIPO</v>
      </c>
      <c r="F10929" s="2" t="str">
        <f>"C_TIPO"</f>
        <v>C_TIPO</v>
      </c>
      <c r="G10929" s="2" t="str">
        <f>"Serviços de Apoio / Serviço Atendimento Cliente / Tabelas / Tipos de Chamado (C_TIPO)"</f>
        <v>Serviços de Apoio / Serviço Atendimento Cliente / Tabelas / Tipos de Chamado (C_TIPO)</v>
      </c>
    </row>
    <row r="10930" spans="1:7" x14ac:dyDescent="0.3">
      <c r="A10930" s="1" t="s">
        <v>4</v>
      </c>
      <c r="B10930" s="2" t="str">
        <f t="shared" si="955"/>
        <v>SERVICO ATENDIMENTO AO CLIENTE</v>
      </c>
      <c r="C10930" s="2" t="str">
        <f t="shared" si="956"/>
        <v>APOIO</v>
      </c>
      <c r="D10930" s="2" t="str">
        <f t="shared" si="957"/>
        <v>SAC</v>
      </c>
      <c r="E10930" s="2" t="str">
        <f>"C_ORIGEM"</f>
        <v>C_ORIGEM</v>
      </c>
      <c r="F10930" s="2" t="str">
        <f>"C_ORIGEM"</f>
        <v>C_ORIGEM</v>
      </c>
      <c r="G10930" s="2" t="str">
        <f>"Serviços de Apoio / Serviço Atendimento Cliente / Tabelas / Origens da Solicitação (C_ORIGEM)"</f>
        <v>Serviços de Apoio / Serviço Atendimento Cliente / Tabelas / Origens da Solicitação (C_ORIGEM)</v>
      </c>
    </row>
    <row r="10931" spans="1:7" x14ac:dyDescent="0.3">
      <c r="A10931" s="1" t="s">
        <v>4</v>
      </c>
      <c r="B10931" s="2" t="str">
        <f t="shared" si="955"/>
        <v>SERVICO ATENDIMENTO AO CLIENTE</v>
      </c>
      <c r="C10931" s="2" t="str">
        <f t="shared" si="956"/>
        <v>APOIO</v>
      </c>
      <c r="D10931" s="2" t="str">
        <f t="shared" si="957"/>
        <v>SAC</v>
      </c>
      <c r="E10931" s="2" t="str">
        <f>"C_NIVEL"</f>
        <v>C_NIVEL</v>
      </c>
      <c r="F10931" s="2" t="str">
        <f>"C_NIVEL"</f>
        <v>C_NIVEL</v>
      </c>
      <c r="G10931" s="2" t="str">
        <f>"Serviços de Apoio / Serviço Atendimento Cliente / Tabelas / Níveis de Chamado (C_NIVEL)"</f>
        <v>Serviços de Apoio / Serviço Atendimento Cliente / Tabelas / Níveis de Chamado (C_NIVEL)</v>
      </c>
    </row>
    <row r="10932" spans="1:7" x14ac:dyDescent="0.3">
      <c r="A10932" s="1" t="s">
        <v>4</v>
      </c>
      <c r="B10932" s="2" t="str">
        <f t="shared" si="955"/>
        <v>SERVICO ATENDIMENTO AO CLIENTE</v>
      </c>
      <c r="C10932" s="2" t="str">
        <f t="shared" si="956"/>
        <v>APOIO</v>
      </c>
      <c r="D10932" s="2" t="str">
        <f t="shared" si="957"/>
        <v>SAC</v>
      </c>
      <c r="E10932" s="2" t="str">
        <f>"CADASTRO: NÍVEIS DE CHAMADO"</f>
        <v>CADASTRO: NÍVEIS DE CHAMADO</v>
      </c>
      <c r="F10932" s="2" t="str">
        <f>"TIPO_LIMPEZA"</f>
        <v>TIPO_LIMPEZA</v>
      </c>
      <c r="G10932" s="2" t="str">
        <f>" ()"</f>
        <v xml:space="preserve"> ()</v>
      </c>
    </row>
    <row r="10933" spans="1:7" x14ac:dyDescent="0.3">
      <c r="A10933" s="1" t="s">
        <v>4</v>
      </c>
      <c r="B10933" s="2" t="str">
        <f t="shared" si="955"/>
        <v>SERVICO ATENDIMENTO AO CLIENTE</v>
      </c>
      <c r="C10933" s="2" t="str">
        <f t="shared" si="956"/>
        <v>APOIO</v>
      </c>
      <c r="D10933" s="2" t="str">
        <f t="shared" si="957"/>
        <v>SAC</v>
      </c>
      <c r="E10933" s="2" t="str">
        <f>"CADASTRO:SUB_NIVEL DO TIPO DE CHAMADO"</f>
        <v>CADASTRO:SUB_NIVEL DO TIPO DE CHAMADO</v>
      </c>
      <c r="F10933" s="2" t="str">
        <f>"NIVEL"</f>
        <v>NIVEL</v>
      </c>
      <c r="G10933" s="2" t="str">
        <f>" ()"</f>
        <v xml:space="preserve"> ()</v>
      </c>
    </row>
    <row r="10934" spans="1:7" x14ac:dyDescent="0.3">
      <c r="A10934" s="1" t="s">
        <v>4</v>
      </c>
      <c r="B10934" s="2" t="str">
        <f t="shared" si="955"/>
        <v>SERVICO ATENDIMENTO AO CLIENTE</v>
      </c>
      <c r="C10934" s="2" t="str">
        <f t="shared" si="956"/>
        <v>APOIO</v>
      </c>
      <c r="D10934" s="2" t="str">
        <f t="shared" si="957"/>
        <v>SAC</v>
      </c>
      <c r="E10934" s="2" t="str">
        <f>"ORIGEM DA SOLICITAÇÃO DE CHAMADO"</f>
        <v>ORIGEM DA SOLICITAÇÃO DE CHAMADO</v>
      </c>
      <c r="F10934" s="2" t="str">
        <f>"ORIGEM"</f>
        <v>ORIGEM</v>
      </c>
      <c r="G10934" s="2" t="str">
        <f>" ()"</f>
        <v xml:space="preserve"> ()</v>
      </c>
    </row>
    <row r="10935" spans="1:7" x14ac:dyDescent="0.3">
      <c r="A10935" s="1" t="s">
        <v>4</v>
      </c>
      <c r="B10935" s="2" t="str">
        <f t="shared" si="955"/>
        <v>SERVICO ATENDIMENTO AO CLIENTE</v>
      </c>
      <c r="C10935" s="2" t="str">
        <f t="shared" si="956"/>
        <v>APOIO</v>
      </c>
      <c r="D10935" s="2" t="str">
        <f t="shared" si="957"/>
        <v>SAC</v>
      </c>
      <c r="E10935" s="2" t="str">
        <f>"CADASTRO: SITUAÇÃO DE ATENDIMENTO"</f>
        <v>CADASTRO: SITUAÇÃO DE ATENDIMENTO</v>
      </c>
      <c r="F10935" s="2" t="str">
        <f>"MEIO"</f>
        <v>MEIO</v>
      </c>
      <c r="G10935" s="2" t="str">
        <f>" ()"</f>
        <v xml:space="preserve"> ()</v>
      </c>
    </row>
    <row r="10936" spans="1:7" x14ac:dyDescent="0.3">
      <c r="A10936" s="1" t="s">
        <v>4</v>
      </c>
      <c r="B10936" s="2" t="str">
        <f t="shared" si="955"/>
        <v>SERVICO ATENDIMENTO AO CLIENTE</v>
      </c>
      <c r="C10936" s="2" t="str">
        <f t="shared" si="956"/>
        <v>APOIO</v>
      </c>
      <c r="D10936" s="2" t="str">
        <f t="shared" si="957"/>
        <v>SAC</v>
      </c>
      <c r="E10936" s="2" t="str">
        <f>"ORIGEM DA SOLICITAÇÃO DE CHAMADO"</f>
        <v>ORIGEM DA SOLICITAÇÃO DE CHAMADO</v>
      </c>
      <c r="F10936" s="2" t="str">
        <f>"CHAMADO"</f>
        <v>CHAMADO</v>
      </c>
      <c r="G10936" s="2" t="str">
        <f>" ()"</f>
        <v xml:space="preserve"> ()</v>
      </c>
    </row>
    <row r="10937" spans="1:7" x14ac:dyDescent="0.3">
      <c r="A10937" s="1" t="s">
        <v>4</v>
      </c>
      <c r="B10937" s="2" t="str">
        <f t="shared" si="955"/>
        <v>SERVICO ATENDIMENTO AO CLIENTE</v>
      </c>
      <c r="C10937" s="2" t="str">
        <f t="shared" si="956"/>
        <v>APOIO</v>
      </c>
      <c r="D10937" s="2" t="str">
        <f t="shared" si="957"/>
        <v>SAC</v>
      </c>
      <c r="E10937" s="2" t="str">
        <f>"CADASTRO: MEIOS DE CHAMADO"</f>
        <v>CADASTRO: MEIOS DE CHAMADO</v>
      </c>
      <c r="F10937" s="2" t="str">
        <f>"C_CONSULTA"</f>
        <v>C_CONSULTA</v>
      </c>
      <c r="G10937" s="2" t="str">
        <f>"Serviços de Apoio / Serviço Atendimento Cliente / Consulta / Consultar Chamado (C_CONSULTA)"</f>
        <v>Serviços de Apoio / Serviço Atendimento Cliente / Consulta / Consultar Chamado (C_CONSULTA)</v>
      </c>
    </row>
    <row r="10938" spans="1:7" x14ac:dyDescent="0.3">
      <c r="A10938" s="1" t="s">
        <v>4</v>
      </c>
      <c r="B10938" s="2" t="str">
        <f t="shared" si="955"/>
        <v>SERVICO ATENDIMENTO AO CLIENTE</v>
      </c>
      <c r="C10938" s="2" t="str">
        <f t="shared" si="956"/>
        <v>APOIO</v>
      </c>
      <c r="D10938" s="2" t="str">
        <f t="shared" si="957"/>
        <v>SAC</v>
      </c>
      <c r="E10938" s="2" t="str">
        <f>"RELATÓRIO DE RECEPTORES DE CHAMADO"</f>
        <v>RELATÓRIO DE RECEPTORES DE CHAMADO</v>
      </c>
      <c r="F10938" s="2" t="str">
        <f>"R_SAC_RECEPTOR"</f>
        <v>R_SAC_RECEPTOR</v>
      </c>
      <c r="G10938" s="2" t="str">
        <f>"Serviços de Apoio / Serviço Atendimento Cliente / Relatórios / Tabelas / Receptores de Chamado (R_SAC_RECEPTOR)"</f>
        <v>Serviços de Apoio / Serviço Atendimento Cliente / Relatórios / Tabelas / Receptores de Chamado (R_SAC_RECEPTOR)</v>
      </c>
    </row>
    <row r="10939" spans="1:7" x14ac:dyDescent="0.3">
      <c r="A10939" s="1" t="s">
        <v>4</v>
      </c>
      <c r="B10939" s="2" t="str">
        <f t="shared" si="955"/>
        <v>SERVICO ATENDIMENTO AO CLIENTE</v>
      </c>
      <c r="C10939" s="2" t="str">
        <f t="shared" si="956"/>
        <v>APOIO</v>
      </c>
      <c r="D10939" s="2" t="str">
        <f t="shared" si="957"/>
        <v>SAC</v>
      </c>
      <c r="E10939" s="2" t="str">
        <f>"CADASTRO DE RECEPTORES DE CHAMADOS"</f>
        <v>CADASTRO DE RECEPTORES DE CHAMADOS</v>
      </c>
      <c r="F10939" s="2" t="str">
        <f>"C_RECEPTOR"</f>
        <v>C_RECEPTOR</v>
      </c>
      <c r="G10939" s="2" t="str">
        <f>"Serviços de Apoio / Serviço Atendimento Cliente / Tabelas / Receptores de Chamado (C_RECEPTOR)"</f>
        <v>Serviços de Apoio / Serviço Atendimento Cliente / Tabelas / Receptores de Chamado (C_RECEPTOR)</v>
      </c>
    </row>
    <row r="10940" spans="1:7" x14ac:dyDescent="0.3">
      <c r="A10940" s="1" t="s">
        <v>4</v>
      </c>
      <c r="B10940" s="2" t="str">
        <f t="shared" si="955"/>
        <v>SERVICO ATENDIMENTO AO CLIENTE</v>
      </c>
      <c r="C10940" s="2" t="str">
        <f t="shared" si="956"/>
        <v>APOIO</v>
      </c>
      <c r="D10940" s="2" t="str">
        <f t="shared" si="957"/>
        <v>SAC</v>
      </c>
      <c r="E10940" s="2" t="str">
        <f>"CADASTRO: SITUAÇÕES DE CHAMADO"</f>
        <v>CADASTRO: SITUAÇÕES DE CHAMADO</v>
      </c>
      <c r="F10940" s="2" t="str">
        <f>"C_SITUACAO"</f>
        <v>C_SITUACAO</v>
      </c>
      <c r="G10940" s="2" t="str">
        <f>"Serviços de Apoio / Serviço Atendimento Cliente / Tabelas / Situações de Chamado (C_SITUACAO)"</f>
        <v>Serviços de Apoio / Serviço Atendimento Cliente / Tabelas / Situações de Chamado (C_SITUACAO)</v>
      </c>
    </row>
    <row r="10941" spans="1:7" x14ac:dyDescent="0.3">
      <c r="A10941" s="1" t="s">
        <v>4</v>
      </c>
      <c r="B10941" s="2" t="str">
        <f t="shared" si="955"/>
        <v>SERVICO ATENDIMENTO AO CLIENTE</v>
      </c>
      <c r="C10941" s="2" t="str">
        <f t="shared" si="956"/>
        <v>APOIO</v>
      </c>
      <c r="D10941" s="2" t="str">
        <f t="shared" si="957"/>
        <v>SAC</v>
      </c>
      <c r="E10941" s="2" t="str">
        <f>"CADASTRO: MEIOS DE CHAMADO"</f>
        <v>CADASTRO: MEIOS DE CHAMADO</v>
      </c>
      <c r="F10941" s="2" t="str">
        <f>"C_MEIO"</f>
        <v>C_MEIO</v>
      </c>
      <c r="G10941" s="2" t="str">
        <f>"Serviços de Apoio / Serviço Atendimento Cliente / Tabelas / Meios de Contato (C_MEIO)"</f>
        <v>Serviços de Apoio / Serviço Atendimento Cliente / Tabelas / Meios de Contato (C_MEIO)</v>
      </c>
    </row>
    <row r="10942" spans="1:7" x14ac:dyDescent="0.3">
      <c r="A10942" s="1" t="s">
        <v>4</v>
      </c>
      <c r="B10942" s="2" t="str">
        <f t="shared" si="955"/>
        <v>SERVICO ATENDIMENTO AO CLIENTE</v>
      </c>
      <c r="C10942" s="2" t="str">
        <f t="shared" si="956"/>
        <v>APOIO</v>
      </c>
      <c r="D10942" s="2" t="str">
        <f t="shared" si="957"/>
        <v>SAC</v>
      </c>
      <c r="E10942" s="2" t="str">
        <f>"RELATÓRIO DE ORIGENS DE SOLICITAÇÃO"</f>
        <v>RELATÓRIO DE ORIGENS DE SOLICITAÇÃO</v>
      </c>
      <c r="F10942" s="2" t="str">
        <f>"R_SAC_ORIGEM_SOLICITACAO"</f>
        <v>R_SAC_ORIGEM_SOLICITACAO</v>
      </c>
      <c r="G10942" s="2" t="str">
        <f>"Serviços de Apoio / Serviço Atendimento Cliente / Relatórios / Tabelas / Origens da Solicitação (R_SAC_ORIGEM_SOLICITACAO)"</f>
        <v>Serviços de Apoio / Serviço Atendimento Cliente / Relatórios / Tabelas / Origens da Solicitação (R_SAC_ORIGEM_SOLICITACAO)</v>
      </c>
    </row>
    <row r="10943" spans="1:7" x14ac:dyDescent="0.3">
      <c r="A10943" s="1" t="s">
        <v>4</v>
      </c>
      <c r="B10943" s="2" t="str">
        <f t="shared" si="955"/>
        <v>SERVICO ATENDIMENTO AO CLIENTE</v>
      </c>
      <c r="C10943" s="2" t="str">
        <f t="shared" si="956"/>
        <v>APOIO</v>
      </c>
      <c r="D10943" s="2" t="str">
        <f t="shared" si="957"/>
        <v>SAC</v>
      </c>
      <c r="E10943" s="2" t="str">
        <f>"RELATÓRIO DE MEIOS DE CONTATO"</f>
        <v>RELATÓRIO DE MEIOS DE CONTATO</v>
      </c>
      <c r="F10943" s="2" t="str">
        <f>"R_SAC_MEIO_CHAMADO"</f>
        <v>R_SAC_MEIO_CHAMADO</v>
      </c>
      <c r="G10943" s="2" t="str">
        <f>"Serviços de Apoio / Serviço Atendimento Cliente / Relatórios / Tabelas / Meios de Contato (R_SAC_MEIO_CHAMADO)"</f>
        <v>Serviços de Apoio / Serviço Atendimento Cliente / Relatórios / Tabelas / Meios de Contato (R_SAC_MEIO_CHAMADO)</v>
      </c>
    </row>
    <row r="10944" spans="1:7" x14ac:dyDescent="0.3">
      <c r="A10944" s="1" t="s">
        <v>4</v>
      </c>
      <c r="B10944" s="2" t="str">
        <f t="shared" si="955"/>
        <v>SERVICO ATENDIMENTO AO CLIENTE</v>
      </c>
      <c r="C10944" s="2" t="str">
        <f t="shared" si="956"/>
        <v>APOIO</v>
      </c>
      <c r="D10944" s="2" t="str">
        <f t="shared" si="957"/>
        <v>SAC</v>
      </c>
      <c r="E10944" s="2" t="str">
        <f>"R_SAC_EST_ORIGEM_TIPO"</f>
        <v>R_SAC_EST_ORIGEM_TIPO</v>
      </c>
      <c r="F10944" s="2" t="str">
        <f>"R_SAC_EST_ORIGEM_TIPO"</f>
        <v>R_SAC_EST_ORIGEM_TIPO</v>
      </c>
      <c r="G10944" s="2" t="str">
        <f>"Serviços de Apoio / Serviço Atendimento Cliente / Relatórios / Estatisticos / Origem do Chamado X Tipo (R_SAC_EST_ORIGEM_TIPO)"</f>
        <v>Serviços de Apoio / Serviço Atendimento Cliente / Relatórios / Estatisticos / Origem do Chamado X Tipo (R_SAC_EST_ORIGEM_TIPO)</v>
      </c>
    </row>
    <row r="10945" spans="1:7" x14ac:dyDescent="0.3">
      <c r="A10945" s="1" t="s">
        <v>4</v>
      </c>
      <c r="B10945" s="2" t="str">
        <f t="shared" si="955"/>
        <v>SERVICO ATENDIMENTO AO CLIENTE</v>
      </c>
      <c r="C10945" s="2" t="str">
        <f t="shared" si="956"/>
        <v>APOIO</v>
      </c>
      <c r="D10945" s="2" t="str">
        <f t="shared" si="957"/>
        <v>SAC</v>
      </c>
      <c r="E10945" s="2" t="str">
        <f>"R_SAC_EST_NIVEL_DET"</f>
        <v>R_SAC_EST_NIVEL_DET</v>
      </c>
      <c r="F10945" s="2" t="str">
        <f>"R_SAC_EST_NIVEL_DET"</f>
        <v>R_SAC_EST_NIVEL_DET</v>
      </c>
      <c r="G10945" s="2" t="str">
        <f>"Serviços de Apoio / Serviço Atendimento Cliente / Relatórios / Estatisticos / Nível de Chamado Detalhado (R_SAC_EST_NIVEL_DET)"</f>
        <v>Serviços de Apoio / Serviço Atendimento Cliente / Relatórios / Estatisticos / Nível de Chamado Detalhado (R_SAC_EST_NIVEL_DET)</v>
      </c>
    </row>
    <row r="10946" spans="1:7" x14ac:dyDescent="0.3">
      <c r="A10946" s="1" t="s">
        <v>4</v>
      </c>
      <c r="B10946" s="2" t="str">
        <f t="shared" si="955"/>
        <v>SERVICO ATENDIMENTO AO CLIENTE</v>
      </c>
      <c r="C10946" s="2" t="str">
        <f t="shared" si="956"/>
        <v>APOIO</v>
      </c>
      <c r="D10946" s="2" t="str">
        <f t="shared" si="957"/>
        <v>SAC</v>
      </c>
      <c r="E10946" s="2" t="str">
        <f>"R_SAC_EST_MEIO"</f>
        <v>R_SAC_EST_MEIO</v>
      </c>
      <c r="F10946" s="2" t="str">
        <f>"R_SAC_EST_MEIO"</f>
        <v>R_SAC_EST_MEIO</v>
      </c>
      <c r="G10946" s="2" t="str">
        <f>"Serviços de Apoio / Serviço Atendimento Cliente / Relatórios / Estatisticos / Meio de Abertura (R_SAC_EST_MEIO)"</f>
        <v>Serviços de Apoio / Serviço Atendimento Cliente / Relatórios / Estatisticos / Meio de Abertura (R_SAC_EST_MEIO)</v>
      </c>
    </row>
    <row r="10947" spans="1:7" x14ac:dyDescent="0.3">
      <c r="A10947" s="1" t="s">
        <v>4</v>
      </c>
      <c r="B10947" s="2" t="str">
        <f t="shared" si="955"/>
        <v>SERVICO ATENDIMENTO AO CLIENTE</v>
      </c>
      <c r="C10947" s="2" t="str">
        <f t="shared" si="956"/>
        <v>APOIO</v>
      </c>
      <c r="D10947" s="2" t="str">
        <f t="shared" si="957"/>
        <v>SAC</v>
      </c>
      <c r="E10947" s="2" t="str">
        <f>"R_SAC_EST_NIVEL"</f>
        <v>R_SAC_EST_NIVEL</v>
      </c>
      <c r="F10947" s="2" t="str">
        <f>"R_SAC_EST_NIVEL"</f>
        <v>R_SAC_EST_NIVEL</v>
      </c>
      <c r="G10947" s="2" t="str">
        <f>"Serviços de Apoio / Serviço Atendimento Cliente / Relatórios / Estatisticos / Níveis de Chamado (R_SAC_EST_NIVEL)"</f>
        <v>Serviços de Apoio / Serviço Atendimento Cliente / Relatórios / Estatisticos / Níveis de Chamado (R_SAC_EST_NIVEL)</v>
      </c>
    </row>
    <row r="10948" spans="1:7" x14ac:dyDescent="0.3">
      <c r="A10948" s="1" t="s">
        <v>4</v>
      </c>
      <c r="B10948" s="2" t="str">
        <f t="shared" si="955"/>
        <v>SERVICO ATENDIMENTO AO CLIENTE</v>
      </c>
      <c r="C10948" s="2" t="str">
        <f t="shared" si="956"/>
        <v>APOIO</v>
      </c>
      <c r="D10948" s="2" t="str">
        <f t="shared" si="957"/>
        <v>SAC</v>
      </c>
      <c r="E10948" s="2" t="str">
        <f>"CADASTRO DE DOCUMENTOS"</f>
        <v>CADASTRO DE DOCUMENTOS</v>
      </c>
      <c r="F10948" s="2" t="str">
        <f>"M_DOC_CHAMADO"</f>
        <v>M_DOC_CHAMADO</v>
      </c>
      <c r="G10948" s="2" t="str">
        <f>"Serviços de Apoio / Serviço Atendimento Cliente / Atendimento / Documentos do Chamado (M_DOC_CHAMADO)"</f>
        <v>Serviços de Apoio / Serviço Atendimento Cliente / Atendimento / Documentos do Chamado (M_DOC_CHAMADO)</v>
      </c>
    </row>
    <row r="10949" spans="1:7" x14ac:dyDescent="0.3">
      <c r="A10949" s="1" t="s">
        <v>4</v>
      </c>
      <c r="B10949" s="2" t="str">
        <f t="shared" si="955"/>
        <v>SERVICO ATENDIMENTO AO CLIENTE</v>
      </c>
      <c r="C10949" s="2" t="str">
        <f t="shared" si="956"/>
        <v>APOIO</v>
      </c>
      <c r="D10949" s="2" t="str">
        <f t="shared" si="957"/>
        <v>SAC</v>
      </c>
      <c r="E10949" s="2" t="str">
        <f>"WIN_PRINCIPAL"</f>
        <v>WIN_PRINCIPAL</v>
      </c>
      <c r="F10949" s="2" t="str">
        <f>"M_CAD_DOC"</f>
        <v>M_CAD_DOC</v>
      </c>
      <c r="G10949" s="2" t="str">
        <f>" ()"</f>
        <v xml:space="preserve"> ()</v>
      </c>
    </row>
    <row r="10950" spans="1:7" x14ac:dyDescent="0.3">
      <c r="A10950" s="1" t="s">
        <v>4</v>
      </c>
      <c r="B10950" s="2" t="str">
        <f t="shared" si="955"/>
        <v>SERVICO ATENDIMENTO AO CLIENTE</v>
      </c>
      <c r="C10950" s="2" t="str">
        <f t="shared" si="956"/>
        <v>APOIO</v>
      </c>
      <c r="D10950" s="2" t="str">
        <f t="shared" si="957"/>
        <v>SAC</v>
      </c>
      <c r="E10950" s="2" t="str">
        <f>"RELATÓRIO DE CHAMADOS"</f>
        <v>RELATÓRIO DE CHAMADOS</v>
      </c>
      <c r="F10950" s="2" t="str">
        <f>"R_SAC_SOLIC_TIPO"</f>
        <v>R_SAC_SOLIC_TIPO</v>
      </c>
      <c r="G10950" s="2" t="str">
        <f>"Serviços de Apoio / Serviço Atendimento Cliente / Relatórios / Operacionais / Chamados (R_SAC_SOLIC_TIPO)"</f>
        <v>Serviços de Apoio / Serviço Atendimento Cliente / Relatórios / Operacionais / Chamados (R_SAC_SOLIC_TIPO)</v>
      </c>
    </row>
    <row r="10951" spans="1:7" x14ac:dyDescent="0.3">
      <c r="A10951" s="1" t="s">
        <v>4</v>
      </c>
      <c r="B10951" s="2" t="str">
        <f t="shared" si="955"/>
        <v>SERVICO ATENDIMENTO AO CLIENTE</v>
      </c>
      <c r="C10951" s="2" t="str">
        <f t="shared" si="956"/>
        <v>APOIO</v>
      </c>
      <c r="D10951" s="2" t="str">
        <f t="shared" si="957"/>
        <v>SAC</v>
      </c>
      <c r="E10951" s="2" t="str">
        <f>"TELA DE CONSULTA DE CHAMADOS"</f>
        <v>TELA DE CONSULTA DE CHAMADOS</v>
      </c>
      <c r="F10951" s="2" t="str">
        <f>"M_CONSULTA_CHAMADO"</f>
        <v>M_CONSULTA_CHAMADO</v>
      </c>
      <c r="G10951" s="2" t="str">
        <f>" ()"</f>
        <v xml:space="preserve"> ()</v>
      </c>
    </row>
    <row r="10952" spans="1:7" x14ac:dyDescent="0.3">
      <c r="A10952" s="1" t="s">
        <v>4</v>
      </c>
      <c r="B10952" s="2" t="str">
        <f t="shared" si="955"/>
        <v>SERVICO ATENDIMENTO AO CLIENTE</v>
      </c>
      <c r="C10952" s="2" t="str">
        <f t="shared" si="956"/>
        <v>APOIO</v>
      </c>
      <c r="D10952" s="2" t="str">
        <f t="shared" si="957"/>
        <v>SAC</v>
      </c>
      <c r="E10952" s="2" t="str">
        <f>"CONSULTA DE SOLICITACAO"</f>
        <v>CONSULTA DE SOLICITACAO</v>
      </c>
      <c r="F10952" s="2" t="str">
        <f>"C_SOLICITACAO"</f>
        <v>C_SOLICITACAO</v>
      </c>
      <c r="G10952" s="2" t="str">
        <f>"Serviços de Apoio / Serviço Atendimento Cliente / Atendimento / Abertura de Chamados (C_SOLICITACAO)"</f>
        <v>Serviços de Apoio / Serviço Atendimento Cliente / Atendimento / Abertura de Chamados (C_SOLICITACAO)</v>
      </c>
    </row>
    <row r="10953" spans="1:7" x14ac:dyDescent="0.3">
      <c r="A10953" s="1" t="s">
        <v>4</v>
      </c>
      <c r="B10953" s="2" t="str">
        <f t="shared" si="955"/>
        <v>SERVICO ATENDIMENTO AO CLIENTE</v>
      </c>
      <c r="C10953" s="2" t="str">
        <f t="shared" si="956"/>
        <v>APOIO</v>
      </c>
      <c r="D10953" s="2" t="str">
        <f t="shared" si="957"/>
        <v>SAC</v>
      </c>
      <c r="E10953" s="2" t="str">
        <f>"WIN_PRINCIPAL"</f>
        <v>WIN_PRINCIPAL</v>
      </c>
      <c r="F10953" s="2" t="str">
        <f>"M_EXCLUSAO"</f>
        <v>M_EXCLUSAO</v>
      </c>
      <c r="G10953" s="2" t="str">
        <f>"Serviços de Apoio / Serviço Atendimento Cliente / Atendimento / Exclusão de Chamados (M_EXCLUSAO)"</f>
        <v>Serviços de Apoio / Serviço Atendimento Cliente / Atendimento / Exclusão de Chamados (M_EXCLUSAO)</v>
      </c>
    </row>
    <row r="10954" spans="1:7" x14ac:dyDescent="0.3">
      <c r="A10954" s="1" t="s">
        <v>4</v>
      </c>
      <c r="B10954" s="2" t="str">
        <f t="shared" si="955"/>
        <v>SERVICO ATENDIMENTO AO CLIENTE</v>
      </c>
      <c r="C10954" s="2" t="str">
        <f t="shared" si="956"/>
        <v>APOIO</v>
      </c>
      <c r="D10954" s="2" t="str">
        <f t="shared" si="957"/>
        <v>SAC</v>
      </c>
      <c r="E10954" s="2" t="str">
        <f>"INFORME ESTADÍSTICO DE TIPOS DE LLAMADO"</f>
        <v>INFORME ESTADÍSTICO DE TIPOS DE LLAMADO</v>
      </c>
      <c r="F10954" s="2" t="str">
        <f>"R_SAC_EST_TIPO_CHAMADO"</f>
        <v>R_SAC_EST_TIPO_CHAMADO</v>
      </c>
      <c r="G10954" s="2" t="str">
        <f>"Serviços de Apoio / Serviço Atendimento Cliente / Relatórios / Estatisticos / Tipos de Chamado (R_SAC_EST_TIPO_CHAMADO)"</f>
        <v>Serviços de Apoio / Serviço Atendimento Cliente / Relatórios / Estatisticos / Tipos de Chamado (R_SAC_EST_TIPO_CHAMADO)</v>
      </c>
    </row>
    <row r="10955" spans="1:7" x14ac:dyDescent="0.3">
      <c r="A10955" s="1" t="s">
        <v>4</v>
      </c>
      <c r="B10955" s="2" t="str">
        <f t="shared" si="955"/>
        <v>SERVICO ATENDIMENTO AO CLIENTE</v>
      </c>
      <c r="C10955" s="2" t="str">
        <f t="shared" si="956"/>
        <v>APOIO</v>
      </c>
      <c r="D10955" s="2" t="str">
        <f t="shared" si="957"/>
        <v>SAC</v>
      </c>
      <c r="E10955" s="2" t="str">
        <f>"INFORME DE LLAMADOS ABIERTOS POR PERÍODO"</f>
        <v>INFORME DE LLAMADOS ABIERTOS POR PERÍODO</v>
      </c>
      <c r="F10955" s="2" t="str">
        <f>"R_SAC_SOLIC_PERIODO"</f>
        <v>R_SAC_SOLIC_PERIODO</v>
      </c>
      <c r="G10955" s="2" t="str">
        <f>"Serviços de Apoio / Serviço Atendimento Cliente / Relatórios / Operacionais / Chamados Abertos por Período (R_SAC_SOLIC_PERIODO)"</f>
        <v>Serviços de Apoio / Serviço Atendimento Cliente / Relatórios / Operacionais / Chamados Abertos por Período (R_SAC_SOLIC_PERIODO)</v>
      </c>
    </row>
    <row r="10956" spans="1:7" x14ac:dyDescent="0.3">
      <c r="A10956" s="1" t="s">
        <v>4</v>
      </c>
      <c r="B10956" s="2" t="str">
        <f t="shared" si="955"/>
        <v>SERVICO ATENDIMENTO AO CLIENTE</v>
      </c>
      <c r="C10956" s="2" t="str">
        <f t="shared" si="956"/>
        <v>APOIO</v>
      </c>
      <c r="D10956" s="2" t="str">
        <f t="shared" si="957"/>
        <v>SAC</v>
      </c>
      <c r="E10956" s="2" t="str">
        <f>"RELATÓRIO DE MOTIVOS DO CHAMADO"</f>
        <v>RELATÓRIO DE MOTIVOS DO CHAMADO</v>
      </c>
      <c r="F10956" s="2" t="str">
        <f>"R_SAC_MOTIVO_CHAMADO"</f>
        <v>R_SAC_MOTIVO_CHAMADO</v>
      </c>
      <c r="G10956" s="2" t="str">
        <f>"Serviços de Apoio / Serviço Atendimento Cliente / Relatórios / Tabelas / Motivos do Chamado (R_SAC_MOTIVO_CHAMADO)"</f>
        <v>Serviços de Apoio / Serviço Atendimento Cliente / Relatórios / Tabelas / Motivos do Chamado (R_SAC_MOTIVO_CHAMADO)</v>
      </c>
    </row>
    <row r="10957" spans="1:7" x14ac:dyDescent="0.3">
      <c r="A10957" s="1" t="s">
        <v>4</v>
      </c>
      <c r="B10957" s="2" t="str">
        <f t="shared" si="955"/>
        <v>SERVICO ATENDIMENTO AO CLIENTE</v>
      </c>
      <c r="C10957" s="2" t="str">
        <f t="shared" si="956"/>
        <v>APOIO</v>
      </c>
      <c r="D10957" s="2" t="str">
        <f t="shared" si="957"/>
        <v>SAC</v>
      </c>
      <c r="E10957" s="2" t="str">
        <f>"RETORNO DE CHAMADOS"</f>
        <v>RETORNO DE CHAMADOS</v>
      </c>
      <c r="F10957" s="2" t="str">
        <f>"M_RETORNO_CHAMADO"</f>
        <v>M_RETORNO_CHAMADO</v>
      </c>
      <c r="G10957" s="2" t="str">
        <f>"Serviços de Apoio / Serviço Atendimento Cliente / Atendimento / Resposta de Solicitação de Parecer (M_RETORNO_CHAMADO)"</f>
        <v>Serviços de Apoio / Serviço Atendimento Cliente / Atendimento / Resposta de Solicitação de Parecer (M_RETORNO_CHAMADO)</v>
      </c>
    </row>
    <row r="10958" spans="1:7" x14ac:dyDescent="0.3">
      <c r="A10958" s="1" t="s">
        <v>4</v>
      </c>
      <c r="B10958" s="2" t="str">
        <f t="shared" si="955"/>
        <v>SERVICO ATENDIMENTO AO CLIENTE</v>
      </c>
      <c r="C10958" s="2" t="str">
        <f t="shared" si="956"/>
        <v>APOIO</v>
      </c>
      <c r="D10958" s="2" t="str">
        <f t="shared" si="957"/>
        <v>SAC</v>
      </c>
      <c r="E10958" s="2" t="str">
        <f>"PARECER DOS SETORES"</f>
        <v>PARECER DOS SETORES</v>
      </c>
      <c r="F10958" s="2" t="str">
        <f>"C_PARECER_SETOR"</f>
        <v>C_PARECER_SETOR</v>
      </c>
      <c r="G10958" s="2" t="str">
        <f>" ()"</f>
        <v xml:space="preserve"> ()</v>
      </c>
    </row>
    <row r="10959" spans="1:7" x14ac:dyDescent="0.3">
      <c r="A10959" s="1" t="s">
        <v>4</v>
      </c>
      <c r="B10959" s="2" t="str">
        <f t="shared" si="955"/>
        <v>SERVICO ATENDIMENTO AO CLIENTE</v>
      </c>
      <c r="C10959" s="2" t="str">
        <f t="shared" si="956"/>
        <v>APOIO</v>
      </c>
      <c r="D10959" s="2" t="str">
        <f t="shared" si="957"/>
        <v>SAC</v>
      </c>
      <c r="E10959" s="2" t="str">
        <f>"GERENCIAMENTO DE CHAMADOS"</f>
        <v>GERENCIAMENTO DE CHAMADOS</v>
      </c>
      <c r="F10959" s="2" t="str">
        <f>"M_GERENCIA_CHAMADO"</f>
        <v>M_GERENCIA_CHAMADO</v>
      </c>
      <c r="G10959" s="2" t="str">
        <f>"Serviços de Apoio / Serviço Atendimento Cliente / Atendimento / Gerenciamento de Chamados (M_GERENCIA_CHAMADO)"</f>
        <v>Serviços de Apoio / Serviço Atendimento Cliente / Atendimento / Gerenciamento de Chamados (M_GERENCIA_CHAMADO)</v>
      </c>
    </row>
    <row r="10960" spans="1:7" x14ac:dyDescent="0.3">
      <c r="A10960" s="1" t="s">
        <v>4</v>
      </c>
      <c r="B10960" s="2" t="str">
        <f t="shared" si="955"/>
        <v>SERVICO ATENDIMENTO AO CLIENTE</v>
      </c>
      <c r="C10960" s="2" t="str">
        <f t="shared" si="956"/>
        <v>APOIO</v>
      </c>
      <c r="D10960" s="2" t="str">
        <f t="shared" si="957"/>
        <v>SAC</v>
      </c>
      <c r="E10960" s="2" t="str">
        <f>"RETORNO AO CLIENTE"</f>
        <v>RETORNO AO CLIENTE</v>
      </c>
      <c r="F10960" s="2" t="str">
        <f>"M_RETORNO_CLIENTE"</f>
        <v>M_RETORNO_CLIENTE</v>
      </c>
      <c r="G10960" s="2" t="str">
        <f>"Serviços de Apoio / Serviço Atendimento Cliente / Atendimento / Retorno ao cliente  (M_RETORNO_CLIENTE)"</f>
        <v>Serviços de Apoio / Serviço Atendimento Cliente / Atendimento / Retorno ao cliente  (M_RETORNO_CLIENTE)</v>
      </c>
    </row>
    <row r="10961" spans="1:7" x14ac:dyDescent="0.3">
      <c r="A10961" s="1" t="s">
        <v>4</v>
      </c>
      <c r="B10961" s="2" t="str">
        <f t="shared" si="955"/>
        <v>SERVICO ATENDIMENTO AO CLIENTE</v>
      </c>
      <c r="C10961" s="2" t="str">
        <f t="shared" si="956"/>
        <v>APOIO</v>
      </c>
      <c r="D10961" s="2" t="str">
        <f t="shared" si="957"/>
        <v>SAC</v>
      </c>
      <c r="E10961" s="2" t="str">
        <f>"CADASTRO : MOTIVOS DO CHAMADO"</f>
        <v>CADASTRO : MOTIVOS DO CHAMADO</v>
      </c>
      <c r="F10961" s="2" t="str">
        <f>"M_MOTIVO_CHAMADO"</f>
        <v>M_MOTIVO_CHAMADO</v>
      </c>
      <c r="G10961" s="2" t="str">
        <f>"Serviços de Apoio / Serviço Atendimento Cliente / Tabelas / Motivos do Chamado (M_MOTIVO_CHAMADO)"</f>
        <v>Serviços de Apoio / Serviço Atendimento Cliente / Tabelas / Motivos do Chamado (M_MOTIVO_CHAMADO)</v>
      </c>
    </row>
    <row r="10962" spans="1:7" x14ac:dyDescent="0.3">
      <c r="A10962" s="1" t="s">
        <v>4</v>
      </c>
      <c r="B10962" s="2" t="str">
        <f t="shared" si="955"/>
        <v>SERVICO ATENDIMENTO AO CLIENTE</v>
      </c>
      <c r="C10962" s="2" t="str">
        <f t="shared" si="956"/>
        <v>APOIO</v>
      </c>
      <c r="D10962" s="2" t="str">
        <f t="shared" si="957"/>
        <v>SAC</v>
      </c>
      <c r="E10962" s="2" t="str">
        <f>"WIN_PRINCIPAL"</f>
        <v>WIN_PRINCIPAL</v>
      </c>
      <c r="F10962" s="2" t="str">
        <f>"M_CONFIG_SAC"</f>
        <v>M_CONFIG_SAC</v>
      </c>
      <c r="G10962" s="2" t="str">
        <f>"Serviços de Apoio / Serviço Atendimento Cliente / Configuração / Parâmetros (M_CONFIG_SAC)"</f>
        <v>Serviços de Apoio / Serviço Atendimento Cliente / Configuração / Parâmetros (M_CONFIG_SAC)</v>
      </c>
    </row>
    <row r="10963" spans="1:7" x14ac:dyDescent="0.3">
      <c r="A10963" s="1" t="s">
        <v>4</v>
      </c>
      <c r="B10963" s="2" t="str">
        <f t="shared" si="955"/>
        <v>SERVICO ATENDIMENTO AO CLIENTE</v>
      </c>
      <c r="C10963" s="2" t="str">
        <f t="shared" si="956"/>
        <v>APOIO</v>
      </c>
      <c r="D10963" s="2" t="str">
        <f t="shared" si="957"/>
        <v>SAC</v>
      </c>
      <c r="E10963" s="2" t="str">
        <f>"R_SAC_EST_ORIGEM"</f>
        <v>R_SAC_EST_ORIGEM</v>
      </c>
      <c r="F10963" s="2" t="str">
        <f>"R_SAC_EST_ORIGEM"</f>
        <v>R_SAC_EST_ORIGEM</v>
      </c>
      <c r="G10963" s="2" t="str">
        <f>"Serviços de Apoio / Serviço Atendimento Cliente / Relatórios / Estatisticos / Origem Chamado (R_SAC_EST_ORIGEM)"</f>
        <v>Serviços de Apoio / Serviço Atendimento Cliente / Relatórios / Estatisticos / Origem Chamado (R_SAC_EST_ORIGEM)</v>
      </c>
    </row>
    <row r="10964" spans="1:7" x14ac:dyDescent="0.3">
      <c r="A10964" s="1" t="s">
        <v>4</v>
      </c>
      <c r="B10964" s="2" t="str">
        <f t="shared" si="955"/>
        <v>SERVICO ATENDIMENTO AO CLIENTE</v>
      </c>
      <c r="C10964" s="2" t="str">
        <f t="shared" si="956"/>
        <v>APOIO</v>
      </c>
      <c r="D10964" s="2" t="str">
        <f t="shared" si="957"/>
        <v>SAC</v>
      </c>
      <c r="E10964" s="2" t="str">
        <f>"RELATÓRIO DE SITUAÇÕES"</f>
        <v>RELATÓRIO DE SITUAÇÕES</v>
      </c>
      <c r="F10964" s="2" t="str">
        <f>"R_SAC_SITUACAO"</f>
        <v>R_SAC_SITUACAO</v>
      </c>
      <c r="G10964" s="2" t="str">
        <f>"Serviços de Apoio / Serviço Atendimento Cliente / Relatórios / Tabelas / Situações de Chamado (R_SAC_SITUACAO)"</f>
        <v>Serviços de Apoio / Serviço Atendimento Cliente / Relatórios / Tabelas / Situações de Chamado (R_SAC_SITUACAO)</v>
      </c>
    </row>
    <row r="10965" spans="1:7" x14ac:dyDescent="0.3">
      <c r="A10965" s="1" t="s">
        <v>4</v>
      </c>
      <c r="B10965" s="2" t="str">
        <f t="shared" si="955"/>
        <v>SERVICO ATENDIMENTO AO CLIENTE</v>
      </c>
      <c r="C10965" s="2" t="str">
        <f t="shared" si="956"/>
        <v>APOIO</v>
      </c>
      <c r="D10965" s="2" t="str">
        <f t="shared" si="957"/>
        <v>SAC</v>
      </c>
      <c r="E10965" s="2" t="str">
        <f>"RELATÓRIO DE NÍVEL DE CHAMADO"</f>
        <v>RELATÓRIO DE NÍVEL DE CHAMADO</v>
      </c>
      <c r="F10965" s="2" t="str">
        <f>"R_SAC_NIVEL_CHAMADO"</f>
        <v>R_SAC_NIVEL_CHAMADO</v>
      </c>
      <c r="G10965" s="2" t="str">
        <f>"Serviços de Apoio / Serviço Atendimento Cliente / Relatórios / Tabelas / Níveis de Chamado (R_SAC_NIVEL_CHAMADO)"</f>
        <v>Serviços de Apoio / Serviço Atendimento Cliente / Relatórios / Tabelas / Níveis de Chamado (R_SAC_NIVEL_CHAMADO)</v>
      </c>
    </row>
    <row r="10966" spans="1:7" x14ac:dyDescent="0.3">
      <c r="A10966" s="1" t="s">
        <v>4</v>
      </c>
      <c r="B10966" s="2" t="str">
        <f t="shared" si="955"/>
        <v>SERVICO ATENDIMENTO AO CLIENTE</v>
      </c>
      <c r="C10966" s="2" t="str">
        <f t="shared" si="956"/>
        <v>APOIO</v>
      </c>
      <c r="D10966" s="2" t="str">
        <f t="shared" si="957"/>
        <v>SAC</v>
      </c>
      <c r="E10966" s="2" t="str">
        <f>"RELATÓRIO DE TIPOS DE CHAMADOS"</f>
        <v>RELATÓRIO DE TIPOS DE CHAMADOS</v>
      </c>
      <c r="F10966" s="2" t="str">
        <f>"R_SAC_TIPO_CHAMADO"</f>
        <v>R_SAC_TIPO_CHAMADO</v>
      </c>
      <c r="G10966" s="2" t="str">
        <f>"Serviços de Apoio / Serviço Atendimento Cliente / Relatórios / Tabelas / Tipo de Chamado (R_SAC_TIPO_CHAMADO)"</f>
        <v>Serviços de Apoio / Serviço Atendimento Cliente / Relatórios / Tabelas / Tipo de Chamado (R_SAC_TIPO_CHAMADO)</v>
      </c>
    </row>
    <row r="10967" spans="1:7" x14ac:dyDescent="0.3">
      <c r="A10967" s="1" t="s">
        <v>4</v>
      </c>
      <c r="B10967" s="2" t="str">
        <f t="shared" si="955"/>
        <v>SERVICO ATENDIMENTO AO CLIENTE</v>
      </c>
      <c r="C10967" s="2" t="str">
        <f t="shared" si="956"/>
        <v>APOIO</v>
      </c>
      <c r="D10967" s="2" t="str">
        <f t="shared" si="957"/>
        <v>SAC</v>
      </c>
      <c r="E10967" s="2" t="str">
        <f>"RELATÓRIO ESTATÍSTICO DE COMPROMETIMENTO"</f>
        <v>RELATÓRIO ESTATÍSTICO DE COMPROMETIMENTO</v>
      </c>
      <c r="F10967" s="2" t="str">
        <f>"R_SAC_EST_COMPR"</f>
        <v>R_SAC_EST_COMPR</v>
      </c>
      <c r="G10967" s="2" t="str">
        <f>"Serviços de Apoio / Serviço Atendimento Cliente / Relatórios / Estatisticos / Comprometimento (R_SAC_EST_COMPR)"</f>
        <v>Serviços de Apoio / Serviço Atendimento Cliente / Relatórios / Estatisticos / Comprometimento (R_SAC_EST_COMPR)</v>
      </c>
    </row>
    <row r="10968" spans="1:7" x14ac:dyDescent="0.3">
      <c r="A10968" s="1" t="s">
        <v>4</v>
      </c>
      <c r="B10968" s="2" t="str">
        <f t="shared" si="955"/>
        <v>SERVICO ATENDIMENTO AO CLIENTE</v>
      </c>
      <c r="C10968" s="2" t="str">
        <f t="shared" si="956"/>
        <v>APOIO</v>
      </c>
      <c r="D10968" s="2" t="str">
        <f t="shared" si="957"/>
        <v>SAC</v>
      </c>
      <c r="E10968" s="2" t="str">
        <f>"ESTATÍSTICO ORIGENS X TIPO DE CHAMADO"</f>
        <v>ESTATÍSTICO ORIGENS X TIPO DE CHAMADO</v>
      </c>
      <c r="F10968" s="2" t="str">
        <f>"R_SAC_EST_ORIGEM_TIPO.RDF"</f>
        <v>R_SAC_EST_ORIGEM_TIPO.RDF</v>
      </c>
      <c r="G10968" s="2" t="str">
        <f t="shared" ref="G10968:G10986" si="958">" ()"</f>
        <v xml:space="preserve"> ()</v>
      </c>
    </row>
    <row r="10969" spans="1:7" x14ac:dyDescent="0.3">
      <c r="A10969" s="1" t="s">
        <v>4</v>
      </c>
      <c r="B10969" s="2" t="str">
        <f t="shared" si="955"/>
        <v>SERVICO ATENDIMENTO AO CLIENTE</v>
      </c>
      <c r="C10969" s="2" t="str">
        <f t="shared" si="956"/>
        <v>APOIO</v>
      </c>
      <c r="D10969" s="2" t="str">
        <f t="shared" si="957"/>
        <v>SAC</v>
      </c>
      <c r="E10969" s="2" t="str">
        <f>"RELATÓRIO DE MEIOS DE ABERTURA"</f>
        <v>RELATÓRIO DE MEIOS DE ABERTURA</v>
      </c>
      <c r="F10969" s="2" t="str">
        <f>"R_SAC_EST_MEIO.RDF"</f>
        <v>R_SAC_EST_MEIO.RDF</v>
      </c>
      <c r="G10969" s="2" t="str">
        <f t="shared" si="958"/>
        <v xml:space="preserve"> ()</v>
      </c>
    </row>
    <row r="10970" spans="1:7" x14ac:dyDescent="0.3">
      <c r="A10970" s="1" t="s">
        <v>4</v>
      </c>
      <c r="B10970" s="2" t="str">
        <f t="shared" si="955"/>
        <v>SERVICO ATENDIMENTO AO CLIENTE</v>
      </c>
      <c r="C10970" s="2" t="str">
        <f t="shared" si="956"/>
        <v>APOIO</v>
      </c>
      <c r="D10970" s="2" t="str">
        <f t="shared" si="957"/>
        <v>SAC</v>
      </c>
      <c r="E10970" s="2" t="str">
        <f>"RELATÓRIO DE ORIGENS DE CHAMADO"</f>
        <v>RELATÓRIO DE ORIGENS DE CHAMADO</v>
      </c>
      <c r="F10970" s="2" t="str">
        <f>"R_SAC_EST_ORIGEM.RDF"</f>
        <v>R_SAC_EST_ORIGEM.RDF</v>
      </c>
      <c r="G10970" s="2" t="str">
        <f t="shared" si="958"/>
        <v xml:space="preserve"> ()</v>
      </c>
    </row>
    <row r="10971" spans="1:7" x14ac:dyDescent="0.3">
      <c r="A10971" s="1" t="s">
        <v>4</v>
      </c>
      <c r="B10971" s="2" t="str">
        <f t="shared" si="955"/>
        <v>SERVICO ATENDIMENTO AO CLIENTE</v>
      </c>
      <c r="C10971" s="2" t="str">
        <f t="shared" si="956"/>
        <v>APOIO</v>
      </c>
      <c r="D10971" s="2" t="str">
        <f t="shared" si="957"/>
        <v>SAC</v>
      </c>
      <c r="E10971" s="2" t="str">
        <f>"CHAMADOS ABERTOS POR PERÍODO"</f>
        <v>CHAMADOS ABERTOS POR PERÍODO</v>
      </c>
      <c r="F10971" s="2" t="str">
        <f>"R_SAC_SOLIC_PERIODO.RDF"</f>
        <v>R_SAC_SOLIC_PERIODO.RDF</v>
      </c>
      <c r="G10971" s="2" t="str">
        <f t="shared" si="958"/>
        <v xml:space="preserve"> ()</v>
      </c>
    </row>
    <row r="10972" spans="1:7" x14ac:dyDescent="0.3">
      <c r="A10972" s="1" t="s">
        <v>4</v>
      </c>
      <c r="B10972" s="2" t="str">
        <f t="shared" si="955"/>
        <v>SERVICO ATENDIMENTO AO CLIENTE</v>
      </c>
      <c r="C10972" s="2" t="str">
        <f t="shared" si="956"/>
        <v>APOIO</v>
      </c>
      <c r="D10972" s="2" t="str">
        <f t="shared" si="957"/>
        <v>SAC</v>
      </c>
      <c r="E10972" s="2" t="str">
        <f>"RELATÓRIO DE CHAMADO POR SITUAÇÃO"</f>
        <v>RELATÓRIO DE CHAMADO POR SITUAÇÃO</v>
      </c>
      <c r="F10972" s="2" t="str">
        <f>"R_SAC_SITUACAO_CHAMADO.RDF"</f>
        <v>R_SAC_SITUACAO_CHAMADO.RDF</v>
      </c>
      <c r="G10972" s="2" t="str">
        <f t="shared" si="958"/>
        <v xml:space="preserve"> ()</v>
      </c>
    </row>
    <row r="10973" spans="1:7" x14ac:dyDescent="0.3">
      <c r="A10973" s="1" t="s">
        <v>4</v>
      </c>
      <c r="B10973" s="2" t="str">
        <f t="shared" si="955"/>
        <v>SERVICO ATENDIMENTO AO CLIENTE</v>
      </c>
      <c r="C10973" s="2" t="str">
        <f t="shared" si="956"/>
        <v>APOIO</v>
      </c>
      <c r="D10973" s="2" t="str">
        <f t="shared" si="957"/>
        <v>SAC</v>
      </c>
      <c r="E10973" s="2" t="str">
        <f>"RELATÓRIO DE ORIGENS DE SOLICITAÇÃO"</f>
        <v>RELATÓRIO DE ORIGENS DE SOLICITAÇÃO</v>
      </c>
      <c r="F10973" s="2" t="str">
        <f>"R_SAC_ORIGEM_SOLICITACAO.RDF"</f>
        <v>R_SAC_ORIGEM_SOLICITACAO.RDF</v>
      </c>
      <c r="G10973" s="2" t="str">
        <f t="shared" si="958"/>
        <v xml:space="preserve"> ()</v>
      </c>
    </row>
    <row r="10974" spans="1:7" x14ac:dyDescent="0.3">
      <c r="A10974" s="1" t="s">
        <v>4</v>
      </c>
      <c r="B10974" s="2" t="str">
        <f t="shared" ref="B10974:B10983" si="959">"SERVICO ATENDIMENTO AO CLIENTE"</f>
        <v>SERVICO ATENDIMENTO AO CLIENTE</v>
      </c>
      <c r="C10974" s="2" t="str">
        <f t="shared" ref="C10974:C10985" si="960">"APOIO"</f>
        <v>APOIO</v>
      </c>
      <c r="D10974" s="2" t="str">
        <f t="shared" ref="D10974:D10983" si="961">"SAC"</f>
        <v>SAC</v>
      </c>
      <c r="E10974" s="2" t="str">
        <f>"RELATÓRIO DE MEIOS DE CONTATO"</f>
        <v>RELATÓRIO DE MEIOS DE CONTATO</v>
      </c>
      <c r="F10974" s="2" t="str">
        <f>"R_SAC_MEIO_CHAMADO.RDF"</f>
        <v>R_SAC_MEIO_CHAMADO.RDF</v>
      </c>
      <c r="G10974" s="2" t="str">
        <f t="shared" si="958"/>
        <v xml:space="preserve"> ()</v>
      </c>
    </row>
    <row r="10975" spans="1:7" x14ac:dyDescent="0.3">
      <c r="A10975" s="1" t="s">
        <v>4</v>
      </c>
      <c r="B10975" s="2" t="str">
        <f t="shared" si="959"/>
        <v>SERVICO ATENDIMENTO AO CLIENTE</v>
      </c>
      <c r="C10975" s="2" t="str">
        <f t="shared" si="960"/>
        <v>APOIO</v>
      </c>
      <c r="D10975" s="2" t="str">
        <f t="shared" si="961"/>
        <v>SAC</v>
      </c>
      <c r="E10975" s="2" t="str">
        <f>"RELATÓRIO DE MOTIVOS DE CHAMADO"</f>
        <v>RELATÓRIO DE MOTIVOS DE CHAMADO</v>
      </c>
      <c r="F10975" s="2" t="str">
        <f>"R_SAC_MOTIVO_CHAMADO.RDF"</f>
        <v>R_SAC_MOTIVO_CHAMADO.RDF</v>
      </c>
      <c r="G10975" s="2" t="str">
        <f t="shared" si="958"/>
        <v xml:space="preserve"> ()</v>
      </c>
    </row>
    <row r="10976" spans="1:7" x14ac:dyDescent="0.3">
      <c r="A10976" s="1" t="s">
        <v>4</v>
      </c>
      <c r="B10976" s="2" t="str">
        <f t="shared" si="959"/>
        <v>SERVICO ATENDIMENTO AO CLIENTE</v>
      </c>
      <c r="C10976" s="2" t="str">
        <f t="shared" si="960"/>
        <v>APOIO</v>
      </c>
      <c r="D10976" s="2" t="str">
        <f t="shared" si="961"/>
        <v>SAC</v>
      </c>
      <c r="E10976" s="2" t="str">
        <f>"RELATÓRIO DE COMPROMETIMENTO"</f>
        <v>RELATÓRIO DE COMPROMETIMENTO</v>
      </c>
      <c r="F10976" s="2" t="str">
        <f>"R_SAC_EST_COMPR.RDF"</f>
        <v>R_SAC_EST_COMPR.RDF</v>
      </c>
      <c r="G10976" s="2" t="str">
        <f t="shared" si="958"/>
        <v xml:space="preserve"> ()</v>
      </c>
    </row>
    <row r="10977" spans="1:7" x14ac:dyDescent="0.3">
      <c r="A10977" s="1" t="s">
        <v>4</v>
      </c>
      <c r="B10977" s="2" t="str">
        <f t="shared" si="959"/>
        <v>SERVICO ATENDIMENTO AO CLIENTE</v>
      </c>
      <c r="C10977" s="2" t="str">
        <f t="shared" si="960"/>
        <v>APOIO</v>
      </c>
      <c r="D10977" s="2" t="str">
        <f t="shared" si="961"/>
        <v>SAC</v>
      </c>
      <c r="E10977" s="2" t="str">
        <f>"RELATÓRIO DE TIPOS DE CHAMADO"</f>
        <v>RELATÓRIO DE TIPOS DE CHAMADO</v>
      </c>
      <c r="F10977" s="2" t="str">
        <f>"R_SAC_EST_TIPO_CHAMADO.RDF"</f>
        <v>R_SAC_EST_TIPO_CHAMADO.RDF</v>
      </c>
      <c r="G10977" s="2" t="str">
        <f t="shared" si="958"/>
        <v xml:space="preserve"> ()</v>
      </c>
    </row>
    <row r="10978" spans="1:7" x14ac:dyDescent="0.3">
      <c r="A10978" s="1" t="s">
        <v>4</v>
      </c>
      <c r="B10978" s="2" t="str">
        <f t="shared" si="959"/>
        <v>SERVICO ATENDIMENTO AO CLIENTE</v>
      </c>
      <c r="C10978" s="2" t="str">
        <f t="shared" si="960"/>
        <v>APOIO</v>
      </c>
      <c r="D10978" s="2" t="str">
        <f t="shared" si="961"/>
        <v>SAC</v>
      </c>
      <c r="E10978" s="2" t="str">
        <f>"RELATÓRIO DE MOTIVOS DOS CHAMADOS"</f>
        <v>RELATÓRIO DE MOTIVOS DOS CHAMADOS</v>
      </c>
      <c r="F10978" s="2" t="str">
        <f>"R_SAC_EST_MOTIVO.RDF"</f>
        <v>R_SAC_EST_MOTIVO.RDF</v>
      </c>
      <c r="G10978" s="2" t="str">
        <f t="shared" si="958"/>
        <v xml:space="preserve"> ()</v>
      </c>
    </row>
    <row r="10979" spans="1:7" x14ac:dyDescent="0.3">
      <c r="A10979" s="1" t="s">
        <v>4</v>
      </c>
      <c r="B10979" s="2" t="str">
        <f t="shared" si="959"/>
        <v>SERVICO ATENDIMENTO AO CLIENTE</v>
      </c>
      <c r="C10979" s="2" t="str">
        <f t="shared" si="960"/>
        <v>APOIO</v>
      </c>
      <c r="D10979" s="2" t="str">
        <f t="shared" si="961"/>
        <v>SAC</v>
      </c>
      <c r="E10979" s="2" t="str">
        <f>"REL. DE NÍVEIS DE CHAMADO DETALHADO"</f>
        <v>REL. DE NÍVEIS DE CHAMADO DETALHADO</v>
      </c>
      <c r="F10979" s="2" t="str">
        <f>"R_SAC_EST_NIVEL_DET.RDF"</f>
        <v>R_SAC_EST_NIVEL_DET.RDF</v>
      </c>
      <c r="G10979" s="2" t="str">
        <f t="shared" si="958"/>
        <v xml:space="preserve"> ()</v>
      </c>
    </row>
    <row r="10980" spans="1:7" x14ac:dyDescent="0.3">
      <c r="A10980" s="1" t="s">
        <v>4</v>
      </c>
      <c r="B10980" s="2" t="str">
        <f t="shared" si="959"/>
        <v>SERVICO ATENDIMENTO AO CLIENTE</v>
      </c>
      <c r="C10980" s="2" t="str">
        <f t="shared" si="960"/>
        <v>APOIO</v>
      </c>
      <c r="D10980" s="2" t="str">
        <f t="shared" si="961"/>
        <v>SAC</v>
      </c>
      <c r="E10980" s="2" t="str">
        <f>"REL. DE NÍVES DE ABERTURA DE CHAMADOS"</f>
        <v>REL. DE NÍVES DE ABERTURA DE CHAMADOS</v>
      </c>
      <c r="F10980" s="2" t="str">
        <f>"R_SAC_EST_NIVEL.RDF"</f>
        <v>R_SAC_EST_NIVEL.RDF</v>
      </c>
      <c r="G10980" s="2" t="str">
        <f t="shared" si="958"/>
        <v xml:space="preserve"> ()</v>
      </c>
    </row>
    <row r="10981" spans="1:7" x14ac:dyDescent="0.3">
      <c r="A10981" s="1" t="s">
        <v>4</v>
      </c>
      <c r="B10981" s="2" t="str">
        <f t="shared" si="959"/>
        <v>SERVICO ATENDIMENTO AO CLIENTE</v>
      </c>
      <c r="C10981" s="2" t="str">
        <f t="shared" si="960"/>
        <v>APOIO</v>
      </c>
      <c r="D10981" s="2" t="str">
        <f t="shared" si="961"/>
        <v>SAC</v>
      </c>
      <c r="E10981" s="2" t="str">
        <f>"RELATÓRIO DE TIPOS DE CHAMADO"</f>
        <v>RELATÓRIO DE TIPOS DE CHAMADO</v>
      </c>
      <c r="F10981" s="2" t="str">
        <f>"R_SAC_TIPO_CHAMADO.RDF"</f>
        <v>R_SAC_TIPO_CHAMADO.RDF</v>
      </c>
      <c r="G10981" s="2" t="str">
        <f t="shared" si="958"/>
        <v xml:space="preserve"> ()</v>
      </c>
    </row>
    <row r="10982" spans="1:7" x14ac:dyDescent="0.3">
      <c r="A10982" s="1" t="s">
        <v>4</v>
      </c>
      <c r="B10982" s="2" t="str">
        <f t="shared" si="959"/>
        <v>SERVICO ATENDIMENTO AO CLIENTE</v>
      </c>
      <c r="C10982" s="2" t="str">
        <f t="shared" si="960"/>
        <v>APOIO</v>
      </c>
      <c r="D10982" s="2" t="str">
        <f t="shared" si="961"/>
        <v>SAC</v>
      </c>
      <c r="E10982" s="2" t="str">
        <f>"RELATÓRIO DE SITUAÇÕES DE CHAMADOS"</f>
        <v>RELATÓRIO DE SITUAÇÕES DE CHAMADOS</v>
      </c>
      <c r="F10982" s="2" t="str">
        <f>"R_SAC_SITUACAO.RDF"</f>
        <v>R_SAC_SITUACAO.RDF</v>
      </c>
      <c r="G10982" s="2" t="str">
        <f t="shared" si="958"/>
        <v xml:space="preserve"> ()</v>
      </c>
    </row>
    <row r="10983" spans="1:7" x14ac:dyDescent="0.3">
      <c r="A10983" s="1" t="s">
        <v>4</v>
      </c>
      <c r="B10983" s="2" t="str">
        <f t="shared" si="959"/>
        <v>SERVICO ATENDIMENTO AO CLIENTE</v>
      </c>
      <c r="C10983" s="2" t="str">
        <f t="shared" si="960"/>
        <v>APOIO</v>
      </c>
      <c r="D10983" s="2" t="str">
        <f t="shared" si="961"/>
        <v>SAC</v>
      </c>
      <c r="E10983" s="2" t="str">
        <f>"RELATÓRIO DE RECEPTORES DE CHAMADO"</f>
        <v>RELATÓRIO DE RECEPTORES DE CHAMADO</v>
      </c>
      <c r="F10983" s="2" t="str">
        <f>"R_SAC_RECEPTOR.RDF"</f>
        <v>R_SAC_RECEPTOR.RDF</v>
      </c>
      <c r="G10983" s="2" t="str">
        <f t="shared" si="958"/>
        <v xml:space="preserve"> ()</v>
      </c>
    </row>
    <row r="10984" spans="1:7" x14ac:dyDescent="0.3">
      <c r="A10984" s="1" t="s">
        <v>4</v>
      </c>
      <c r="B10984" s="2" t="str">
        <f>"SISTEMA DE ATENDIMENTO GERAL"</f>
        <v>SISTEMA DE ATENDIMENTO GERAL</v>
      </c>
      <c r="C10984" s="2" t="str">
        <f t="shared" si="960"/>
        <v>APOIO</v>
      </c>
      <c r="D10984" s="2" t="str">
        <f>"SAGE"</f>
        <v>SAGE</v>
      </c>
      <c r="E10984" s="2" t="str">
        <f>"SAGE"</f>
        <v>SAGE</v>
      </c>
      <c r="F10984" s="2" t="str">
        <f>"SAGE"</f>
        <v>SAGE</v>
      </c>
      <c r="G10984" s="2" t="str">
        <f t="shared" si="958"/>
        <v xml:space="preserve"> ()</v>
      </c>
    </row>
    <row r="10985" spans="1:7" x14ac:dyDescent="0.3">
      <c r="A10985" s="1" t="s">
        <v>4</v>
      </c>
      <c r="B10985" s="2" t="str">
        <f>"SISTEMA DE ATENDIMENTO GERAL"</f>
        <v>SISTEMA DE ATENDIMENTO GERAL</v>
      </c>
      <c r="C10985" s="2" t="str">
        <f t="shared" si="960"/>
        <v>APOIO</v>
      </c>
      <c r="D10985" s="2" t="str">
        <f>"SAGE"</f>
        <v>SAGE</v>
      </c>
      <c r="E10985" s="2" t="str">
        <f>"R_MAPA_ESTATISTICO_SIN"</f>
        <v>R_MAPA_ESTATISTICO_SIN</v>
      </c>
      <c r="F10985" s="2" t="str">
        <f>"R_MAPA_ESTATISTICO_SIN"</f>
        <v>R_MAPA_ESTATISTICO_SIN</v>
      </c>
      <c r="G10985" s="2" t="str">
        <f t="shared" si="958"/>
        <v xml:space="preserve"> ()</v>
      </c>
    </row>
    <row r="10986" spans="1:7" x14ac:dyDescent="0.3">
      <c r="A10986" s="1" t="s">
        <v>4</v>
      </c>
      <c r="B10986" s="2" t="str">
        <f t="shared" ref="B10986:B10998" si="962">"CONTROLE DE CONTRIBUIÇÃO VOLUNTÁRIA"</f>
        <v>CONTROLE DE CONTRIBUIÇÃO VOLUNTÁRIA</v>
      </c>
      <c r="C10986" s="2" t="str">
        <f>""</f>
        <v/>
      </c>
      <c r="D10986" s="2" t="str">
        <f t="shared" ref="D10986:D10998" si="963">"SCCV"</f>
        <v>SCCV</v>
      </c>
      <c r="E10986" s="2" t="str">
        <f>"REPASSE POR MÉDICO"</f>
        <v>REPASSE POR MÉDICO</v>
      </c>
      <c r="F10986" s="2" t="str">
        <f>"R_REPASSE_MEDICO_SCCV"</f>
        <v>R_REPASSE_MEDICO_SCCV</v>
      </c>
      <c r="G10986" s="2" t="str">
        <f t="shared" si="958"/>
        <v xml:space="preserve"> ()</v>
      </c>
    </row>
    <row r="10987" spans="1:7" x14ac:dyDescent="0.3">
      <c r="A10987" s="1" t="s">
        <v>4</v>
      </c>
      <c r="B10987" s="2" t="str">
        <f t="shared" si="962"/>
        <v>CONTROLE DE CONTRIBUIÇÃO VOLUNTÁRIA</v>
      </c>
      <c r="C10987" s="2" t="str">
        <f>""</f>
        <v/>
      </c>
      <c r="D10987" s="2" t="str">
        <f t="shared" si="963"/>
        <v>SCCV</v>
      </c>
      <c r="E10987" s="2" t="str">
        <f>"CAD.DE LIMITE DE ATENDIMENTOS DO PRESTAD"</f>
        <v>CAD.DE LIMITE DE ATENDIMENTOS DO PRESTAD</v>
      </c>
      <c r="F10987" s="2" t="str">
        <f>"M_PRESTADOR_LIMITE_CV"</f>
        <v>M_PRESTADOR_LIMITE_CV</v>
      </c>
      <c r="G10987" s="2" t="str">
        <f>"Outros / Controle de Contribuinte Voluntário / Configurações / Limites de Atendimentos (M_PRESTADOR_LIMITE_CV)"</f>
        <v>Outros / Controle de Contribuinte Voluntário / Configurações / Limites de Atendimentos (M_PRESTADOR_LIMITE_CV)</v>
      </c>
    </row>
    <row r="10988" spans="1:7" x14ac:dyDescent="0.3">
      <c r="A10988" s="1" t="s">
        <v>4</v>
      </c>
      <c r="B10988" s="2" t="str">
        <f t="shared" si="962"/>
        <v>CONTROLE DE CONTRIBUIÇÃO VOLUNTÁRIA</v>
      </c>
      <c r="C10988" s="2" t="str">
        <f>""</f>
        <v/>
      </c>
      <c r="D10988" s="2" t="str">
        <f t="shared" si="963"/>
        <v>SCCV</v>
      </c>
      <c r="E10988" s="2" t="str">
        <f>"AUTORIZAÇÃO DE USUÁRIOS"</f>
        <v>AUTORIZAÇÃO DE USUÁRIOS</v>
      </c>
      <c r="F10988" s="2" t="str">
        <f>"M_USU_AUTORIZA_SCCV"</f>
        <v>M_USU_AUTORIZA_SCCV</v>
      </c>
      <c r="G10988" s="2" t="str">
        <f>"Outros / Controle de Contribuinte Voluntário / Configurações / Autorização de Usuarios (M_USU_AUTORIZA_SCCV)"</f>
        <v>Outros / Controle de Contribuinte Voluntário / Configurações / Autorização de Usuarios (M_USU_AUTORIZA_SCCV)</v>
      </c>
    </row>
    <row r="10989" spans="1:7" x14ac:dyDescent="0.3">
      <c r="A10989" s="1" t="s">
        <v>4</v>
      </c>
      <c r="B10989" s="2" t="str">
        <f t="shared" si="962"/>
        <v>CONTROLE DE CONTRIBUIÇÃO VOLUNTÁRIA</v>
      </c>
      <c r="C10989" s="2" t="str">
        <f>""</f>
        <v/>
      </c>
      <c r="D10989" s="2" t="str">
        <f t="shared" si="963"/>
        <v>SCCV</v>
      </c>
      <c r="E10989" s="2" t="str">
        <f>"AGENDAMENTO E CONFIRMAÇÃO"</f>
        <v>AGENDAMENTO E CONFIRMAÇÃO</v>
      </c>
      <c r="F10989" s="2" t="str">
        <f>"M_AGE_SCCV"</f>
        <v>M_AGE_SCCV</v>
      </c>
      <c r="G10989" s="2" t="str">
        <f>"Outros / Controle de Contribuinte Voluntário / Agendamentos / Agendamento (M_AGE_SCCV)"</f>
        <v>Outros / Controle de Contribuinte Voluntário / Agendamentos / Agendamento (M_AGE_SCCV)</v>
      </c>
    </row>
    <row r="10990" spans="1:7" x14ac:dyDescent="0.3">
      <c r="A10990" s="1" t="s">
        <v>4</v>
      </c>
      <c r="B10990" s="2" t="str">
        <f t="shared" si="962"/>
        <v>CONTROLE DE CONTRIBUIÇÃO VOLUNTÁRIA</v>
      </c>
      <c r="C10990" s="2" t="str">
        <f>""</f>
        <v/>
      </c>
      <c r="D10990" s="2" t="str">
        <f t="shared" si="963"/>
        <v>SCCV</v>
      </c>
      <c r="E10990" s="2" t="str">
        <f>"SCCV"</f>
        <v>SCCV</v>
      </c>
      <c r="F10990" s="2" t="str">
        <f>"SCCV"</f>
        <v>SCCV</v>
      </c>
      <c r="G10990" s="2" t="str">
        <f>" ()"</f>
        <v xml:space="preserve"> ()</v>
      </c>
    </row>
    <row r="10991" spans="1:7" x14ac:dyDescent="0.3">
      <c r="A10991" s="1" t="s">
        <v>4</v>
      </c>
      <c r="B10991" s="2" t="str">
        <f t="shared" si="962"/>
        <v>CONTROLE DE CONTRIBUIÇÃO VOLUNTÁRIA</v>
      </c>
      <c r="C10991" s="2" t="str">
        <f>""</f>
        <v/>
      </c>
      <c r="D10991" s="2" t="str">
        <f t="shared" si="963"/>
        <v>SCCV</v>
      </c>
      <c r="E10991" s="2" t="str">
        <f>"TURNO DE ATENDIMENTO"</f>
        <v>TURNO DE ATENDIMENTO</v>
      </c>
      <c r="F10991" s="2" t="str">
        <f>"M_TURNO_SC"</f>
        <v>M_TURNO_SC</v>
      </c>
      <c r="G10991" s="2" t="str">
        <f>"Outros / Controle de Contribuinte Voluntário / Tabelas / Turno (M_TURNO_SC)"</f>
        <v>Outros / Controle de Contribuinte Voluntário / Tabelas / Turno (M_TURNO_SC)</v>
      </c>
    </row>
    <row r="10992" spans="1:7" x14ac:dyDescent="0.3">
      <c r="A10992" s="1" t="s">
        <v>4</v>
      </c>
      <c r="B10992" s="2" t="str">
        <f t="shared" si="962"/>
        <v>CONTROLE DE CONTRIBUIÇÃO VOLUNTÁRIA</v>
      </c>
      <c r="C10992" s="2" t="str">
        <f>""</f>
        <v/>
      </c>
      <c r="D10992" s="2" t="str">
        <f t="shared" si="963"/>
        <v>SCCV</v>
      </c>
      <c r="E10992" s="2" t="str">
        <f>"CADASTRO DE PROCEDIMENTOS-CONTRIB. VOL."</f>
        <v>CADASTRO DE PROCEDIMENTOS-CONTRIB. VOL.</v>
      </c>
      <c r="F10992" s="2" t="str">
        <f>"M_PROCED_CV"</f>
        <v>M_PROCED_CV</v>
      </c>
      <c r="G10992" s="2" t="str">
        <f>"Outros / Controle de Contribuinte Voluntário / Tabelas / Procedimentos (M_PROCED_CV)"</f>
        <v>Outros / Controle de Contribuinte Voluntário / Tabelas / Procedimentos (M_PROCED_CV)</v>
      </c>
    </row>
    <row r="10993" spans="1:7" x14ac:dyDescent="0.3">
      <c r="A10993" s="1" t="s">
        <v>4</v>
      </c>
      <c r="B10993" s="2" t="str">
        <f t="shared" si="962"/>
        <v>CONTROLE DE CONTRIBUIÇÃO VOLUNTÁRIA</v>
      </c>
      <c r="C10993" s="2" t="str">
        <f>""</f>
        <v/>
      </c>
      <c r="D10993" s="2" t="str">
        <f t="shared" si="963"/>
        <v>SCCV</v>
      </c>
      <c r="E10993" s="2" t="str">
        <f>"REPASSE POR HOSPITAL"</f>
        <v>REPASSE POR HOSPITAL</v>
      </c>
      <c r="F10993" s="2" t="str">
        <f>"R_REPASSE_HOSPITAL"</f>
        <v>R_REPASSE_HOSPITAL</v>
      </c>
      <c r="G10993" s="2" t="str">
        <f>"Outros / Controle de Contribuinte Voluntário / Relatórios / Operacionais / Repasse do Hospital (R_REPASSE_HOSPITAL)"</f>
        <v>Outros / Controle de Contribuinte Voluntário / Relatórios / Operacionais / Repasse do Hospital (R_REPASSE_HOSPITAL)</v>
      </c>
    </row>
    <row r="10994" spans="1:7" x14ac:dyDescent="0.3">
      <c r="A10994" s="1" t="s">
        <v>4</v>
      </c>
      <c r="B10994" s="2" t="str">
        <f t="shared" si="962"/>
        <v>CONTROLE DE CONTRIBUIÇÃO VOLUNTÁRIA</v>
      </c>
      <c r="C10994" s="2" t="str">
        <f>""</f>
        <v/>
      </c>
      <c r="D10994" s="2" t="str">
        <f t="shared" si="963"/>
        <v>SCCV</v>
      </c>
      <c r="E10994" s="2" t="str">
        <f>"ATENDIMENTO POR MÉDICO"</f>
        <v>ATENDIMENTO POR MÉDICO</v>
      </c>
      <c r="F10994" s="2" t="str">
        <f>"R_ATENDIM_MEDICO"</f>
        <v>R_ATENDIM_MEDICO</v>
      </c>
      <c r="G10994" s="2" t="str">
        <f>"Outros / Controle de Contribuinte Voluntário / Relatórios / Operacionais / Atendimentos por Médicos (R_ATENDIM_MEDICO)"</f>
        <v>Outros / Controle de Contribuinte Voluntário / Relatórios / Operacionais / Atendimentos por Médicos (R_ATENDIM_MEDICO)</v>
      </c>
    </row>
    <row r="10995" spans="1:7" x14ac:dyDescent="0.3">
      <c r="A10995" s="1" t="s">
        <v>4</v>
      </c>
      <c r="B10995" s="2" t="str">
        <f t="shared" si="962"/>
        <v>CONTROLE DE CONTRIBUIÇÃO VOLUNTÁRIA</v>
      </c>
      <c r="C10995" s="2" t="str">
        <f>""</f>
        <v/>
      </c>
      <c r="D10995" s="2" t="str">
        <f t="shared" si="963"/>
        <v>SCCV</v>
      </c>
      <c r="E10995" s="2" t="str">
        <f>"ATENDIMENTO POR HOSPITAL"</f>
        <v>ATENDIMENTO POR HOSPITAL</v>
      </c>
      <c r="F10995" s="2" t="str">
        <f>"R_ATENDIM_HOSPITAL"</f>
        <v>R_ATENDIM_HOSPITAL</v>
      </c>
      <c r="G10995" s="2" t="str">
        <f>"Outros / Controle de Contribuinte Voluntário / Relatórios / Operacionais / Atendimentos por Procedimentos (R_ATENDIM_HOSPITAL)"</f>
        <v>Outros / Controle de Contribuinte Voluntário / Relatórios / Operacionais / Atendimentos por Procedimentos (R_ATENDIM_HOSPITAL)</v>
      </c>
    </row>
    <row r="10996" spans="1:7" x14ac:dyDescent="0.3">
      <c r="A10996" s="1" t="s">
        <v>4</v>
      </c>
      <c r="B10996" s="2" t="str">
        <f t="shared" si="962"/>
        <v>CONTROLE DE CONTRIBUIÇÃO VOLUNTÁRIA</v>
      </c>
      <c r="C10996" s="2" t="str">
        <f>""</f>
        <v/>
      </c>
      <c r="D10996" s="2" t="str">
        <f t="shared" si="963"/>
        <v>SCCV</v>
      </c>
      <c r="E10996" s="2" t="str">
        <f>"RELATÓRIO DE ATENDIMENTOS POR USUÁRIOS"</f>
        <v>RELATÓRIO DE ATENDIMENTOS POR USUÁRIOS</v>
      </c>
      <c r="F10996" s="2" t="str">
        <f>"R_PAC_ATENDI_MED"</f>
        <v>R_PAC_ATENDI_MED</v>
      </c>
      <c r="G10996" s="2" t="str">
        <f>"Outros / Controle de Contribuinte Voluntário / Relatórios / Operacionais / Pacientes Atendidos por Prestador (R_PAC_ATENDI_MED)"</f>
        <v>Outros / Controle de Contribuinte Voluntário / Relatórios / Operacionais / Pacientes Atendidos por Prestador (R_PAC_ATENDI_MED)</v>
      </c>
    </row>
    <row r="10997" spans="1:7" x14ac:dyDescent="0.3">
      <c r="A10997" s="1" t="s">
        <v>4</v>
      </c>
      <c r="B10997" s="2" t="str">
        <f t="shared" si="962"/>
        <v>CONTROLE DE CONTRIBUIÇÃO VOLUNTÁRIA</v>
      </c>
      <c r="C10997" s="2" t="str">
        <f>""</f>
        <v/>
      </c>
      <c r="D10997" s="2" t="str">
        <f t="shared" si="963"/>
        <v>SCCV</v>
      </c>
      <c r="E10997" s="2" t="str">
        <f>"RELATÓRIO DE ATENDIMENTOS POR USUARIOS"</f>
        <v>RELATÓRIO DE ATENDIMENTOS POR USUARIOS</v>
      </c>
      <c r="F10997" s="2" t="str">
        <f>"R_ATENDI_USUARIOS"</f>
        <v>R_ATENDI_USUARIOS</v>
      </c>
      <c r="G10997" s="2" t="str">
        <f>"Outros / Controle de Contribuinte Voluntário / Relatórios / Operacionais / Atendimentos por Usuários (R_ATENDI_USUARIOS)"</f>
        <v>Outros / Controle de Contribuinte Voluntário / Relatórios / Operacionais / Atendimentos por Usuários (R_ATENDI_USUARIOS)</v>
      </c>
    </row>
    <row r="10998" spans="1:7" x14ac:dyDescent="0.3">
      <c r="A10998" s="1" t="s">
        <v>4</v>
      </c>
      <c r="B10998" s="2" t="str">
        <f t="shared" si="962"/>
        <v>CONTROLE DE CONTRIBUIÇÃO VOLUNTÁRIA</v>
      </c>
      <c r="C10998" s="2" t="str">
        <f>""</f>
        <v/>
      </c>
      <c r="D10998" s="2" t="str">
        <f t="shared" si="963"/>
        <v>SCCV</v>
      </c>
      <c r="E10998" s="2" t="str">
        <f>"RECIBO DE PAGAMENTO"</f>
        <v>RECIBO DE PAGAMENTO</v>
      </c>
      <c r="F10998" s="2" t="str">
        <f>"R_RECIBO_PAGAMENTO_SCCV"</f>
        <v>R_RECIBO_PAGAMENTO_SCCV</v>
      </c>
      <c r="G10998" s="2" t="str">
        <f>" ()"</f>
        <v xml:space="preserve"> ()</v>
      </c>
    </row>
    <row r="10999" spans="1:7" x14ac:dyDescent="0.3">
      <c r="A10999" s="1" t="s">
        <v>4</v>
      </c>
      <c r="B10999" s="2" t="str">
        <f t="shared" ref="B10999:B11062" si="964">"SISTEMA DE CENTRAL DE MARCAÇÕES"</f>
        <v>SISTEMA DE CENTRAL DE MARCAÇÕES</v>
      </c>
      <c r="C10999" s="2" t="str">
        <f t="shared" ref="C10999:C11062" si="965">"ATEND"</f>
        <v>ATEND</v>
      </c>
      <c r="D10999" s="2" t="str">
        <f t="shared" ref="D10999:D11062" si="966">"SCMA"</f>
        <v>SCMA</v>
      </c>
      <c r="E10999" s="2" t="str">
        <f>"PACIENTES AGENDADOS POR DATA SINTÉTICO"</f>
        <v>PACIENTES AGENDADOS POR DATA SINTÉTICO</v>
      </c>
      <c r="F10999" s="2" t="str">
        <f>"R_PAC_AGENDADOS_DATA_SINT"</f>
        <v>R_PAC_AGENDADOS_DATA_SINT</v>
      </c>
      <c r="G10999" s="2" t="str">
        <f>" ()"</f>
        <v xml:space="preserve"> ()</v>
      </c>
    </row>
    <row r="11000" spans="1:7" x14ac:dyDescent="0.3">
      <c r="A11000" s="1" t="s">
        <v>4</v>
      </c>
      <c r="B11000" s="2" t="str">
        <f t="shared" si="964"/>
        <v>SISTEMA DE CENTRAL DE MARCAÇÕES</v>
      </c>
      <c r="C11000" s="2" t="str">
        <f t="shared" si="965"/>
        <v>ATEND</v>
      </c>
      <c r="D11000" s="2" t="str">
        <f t="shared" si="966"/>
        <v>SCMA</v>
      </c>
      <c r="E11000" s="2" t="str">
        <f>"Prioridades de Pacientes"</f>
        <v>Prioridades de Pacientes</v>
      </c>
      <c r="F11000" s="2" t="str">
        <f>"M_PRIORID_PACIENTE"</f>
        <v>M_PRIORID_PACIENTE</v>
      </c>
      <c r="G11000" s="2" t="str">
        <f>" ()"</f>
        <v xml:space="preserve"> ()</v>
      </c>
    </row>
    <row r="11001" spans="1:7" x14ac:dyDescent="0.3">
      <c r="A11001" s="1" t="s">
        <v>4</v>
      </c>
      <c r="B11001" s="2" t="str">
        <f t="shared" si="964"/>
        <v>SISTEMA DE CENTRAL DE MARCAÇÕES</v>
      </c>
      <c r="C11001" s="2" t="str">
        <f t="shared" si="965"/>
        <v>ATEND</v>
      </c>
      <c r="D11001" s="2" t="str">
        <f t="shared" si="966"/>
        <v>SCMA</v>
      </c>
      <c r="E11001" s="2" t="str">
        <f>"Descrio de Horrios"</f>
        <v>Descrio de Horrios</v>
      </c>
      <c r="F11001" s="2" t="str">
        <f>"M_DESCRICAO_HOR"</f>
        <v>M_DESCRICAO_HOR</v>
      </c>
      <c r="G11001" s="2" t="str">
        <f>" ()"</f>
        <v xml:space="preserve"> ()</v>
      </c>
    </row>
    <row r="11002" spans="1:7" x14ac:dyDescent="0.3">
      <c r="A11002" s="1" t="s">
        <v>4</v>
      </c>
      <c r="B11002" s="2" t="str">
        <f t="shared" si="964"/>
        <v>SISTEMA DE CENTRAL DE MARCAÇÕES</v>
      </c>
      <c r="C11002" s="2" t="str">
        <f t="shared" si="965"/>
        <v>ATEND</v>
      </c>
      <c r="D11002" s="2" t="str">
        <f t="shared" si="966"/>
        <v>SCMA</v>
      </c>
      <c r="E11002" s="2" t="str">
        <f>"R_FALTA_AGENDAMENTO"</f>
        <v>R_FALTA_AGENDAMENTO</v>
      </c>
      <c r="F11002" s="2" t="str">
        <f>"R_FALTA_AGENDAMENTO"</f>
        <v>R_FALTA_AGENDAMENTO</v>
      </c>
      <c r="G11002" s="2" t="str">
        <f>"Atendimento / Central de Agendamento / Relatórios / Agendamentos / Acompanhamento de Faltas (R_FALTA_AGENDAMENTO)"</f>
        <v>Atendimento / Central de Agendamento / Relatórios / Agendamentos / Acompanhamento de Faltas (R_FALTA_AGENDAMENTO)</v>
      </c>
    </row>
    <row r="11003" spans="1:7" x14ac:dyDescent="0.3">
      <c r="A11003" s="1" t="s">
        <v>4</v>
      </c>
      <c r="B11003" s="2" t="str">
        <f t="shared" si="964"/>
        <v>SISTEMA DE CENTRAL DE MARCAÇÕES</v>
      </c>
      <c r="C11003" s="2" t="str">
        <f t="shared" si="965"/>
        <v>ATEND</v>
      </c>
      <c r="D11003" s="2" t="str">
        <f t="shared" si="966"/>
        <v>SCMA</v>
      </c>
      <c r="E11003" s="2" t="str">
        <f>"R_SENHA_AUTORIZACAO"</f>
        <v>R_SENHA_AUTORIZACAO</v>
      </c>
      <c r="F11003" s="2" t="str">
        <f>"R_SENHA_AUTORIZACAO"</f>
        <v>R_SENHA_AUTORIZACAO</v>
      </c>
      <c r="G11003" s="2" t="str">
        <f>"Senhas de Autorizao cadastradas (R_SENHA_AUTORIZACAO)"</f>
        <v>Senhas de Autorizao cadastradas (R_SENHA_AUTORIZACAO)</v>
      </c>
    </row>
    <row r="11004" spans="1:7" x14ac:dyDescent="0.3">
      <c r="A11004" s="1" t="s">
        <v>4</v>
      </c>
      <c r="B11004" s="2" t="str">
        <f t="shared" si="964"/>
        <v>SISTEMA DE CENTRAL DE MARCAÇÕES</v>
      </c>
      <c r="C11004" s="2" t="str">
        <f t="shared" si="965"/>
        <v>ATEND</v>
      </c>
      <c r="D11004" s="2" t="str">
        <f t="shared" si="966"/>
        <v>SCMA</v>
      </c>
      <c r="E11004" s="2" t="str">
        <f>"M_SENHA_AUT_PACIENTE"</f>
        <v>M_SENHA_AUT_PACIENTE</v>
      </c>
      <c r="F11004" s="2" t="str">
        <f>"M_SENHA_AUT_PACIENTE"</f>
        <v>M_SENHA_AUT_PACIENTE</v>
      </c>
      <c r="G11004" s="2" t="str">
        <f>" ()"</f>
        <v xml:space="preserve"> ()</v>
      </c>
    </row>
    <row r="11005" spans="1:7" x14ac:dyDescent="0.3">
      <c r="A11005" s="1" t="s">
        <v>4</v>
      </c>
      <c r="B11005" s="2" t="str">
        <f t="shared" si="964"/>
        <v>SISTEMA DE CENTRAL DE MARCAÇÕES</v>
      </c>
      <c r="C11005" s="2" t="str">
        <f t="shared" si="965"/>
        <v>ATEND</v>
      </c>
      <c r="D11005" s="2" t="str">
        <f t="shared" si="966"/>
        <v>SCMA</v>
      </c>
      <c r="E11005" s="2" t="str">
        <f>"M_SENHA_AUTORIZACAO"</f>
        <v>M_SENHA_AUTORIZACAO</v>
      </c>
      <c r="F11005" s="2" t="str">
        <f>"M_SENHA_AUTORIZACAO"</f>
        <v>M_SENHA_AUTORIZACAO</v>
      </c>
      <c r="G11005" s="2" t="str">
        <f>" ()"</f>
        <v xml:space="preserve"> ()</v>
      </c>
    </row>
    <row r="11006" spans="1:7" x14ac:dyDescent="0.3">
      <c r="A11006" s="1" t="s">
        <v>4</v>
      </c>
      <c r="B11006" s="2" t="str">
        <f t="shared" si="964"/>
        <v>SISTEMA DE CENTRAL DE MARCAÇÕES</v>
      </c>
      <c r="C11006" s="2" t="str">
        <f t="shared" si="965"/>
        <v>ATEND</v>
      </c>
      <c r="D11006" s="2" t="str">
        <f t="shared" si="966"/>
        <v>SCMA</v>
      </c>
      <c r="E11006" s="2" t="str">
        <f>"M_ORIGEM_SENHA_AUTORIZACAO"</f>
        <v>M_ORIGEM_SENHA_AUTORIZACAO</v>
      </c>
      <c r="F11006" s="2" t="str">
        <f>"M_ORIGEM_SENHA_AUTORIZACAO"</f>
        <v>M_ORIGEM_SENHA_AUTORIZACAO</v>
      </c>
      <c r="G11006" s="2" t="str">
        <f>" ()"</f>
        <v xml:space="preserve"> ()</v>
      </c>
    </row>
    <row r="11007" spans="1:7" x14ac:dyDescent="0.3">
      <c r="A11007" s="1" t="s">
        <v>4</v>
      </c>
      <c r="B11007" s="2" t="str">
        <f t="shared" si="964"/>
        <v>SISTEMA DE CENTRAL DE MARCAÇÕES</v>
      </c>
      <c r="C11007" s="2" t="str">
        <f t="shared" si="965"/>
        <v>ATEND</v>
      </c>
      <c r="D11007" s="2" t="str">
        <f t="shared" si="966"/>
        <v>SCMA</v>
      </c>
      <c r="E11007" s="2" t="str">
        <f>"M_CONTROLE_SENHA_AUTORIZACAO"</f>
        <v>M_CONTROLE_SENHA_AUTORIZACAO</v>
      </c>
      <c r="F11007" s="2" t="str">
        <f>"M_CONTROLE_SENHA_AUTORIZACAO"</f>
        <v>M_CONTROLE_SENHA_AUTORIZACAO</v>
      </c>
      <c r="G11007" s="2" t="str">
        <f>" ()"</f>
        <v xml:space="preserve"> ()</v>
      </c>
    </row>
    <row r="11008" spans="1:7" x14ac:dyDescent="0.3">
      <c r="A11008" s="1" t="s">
        <v>4</v>
      </c>
      <c r="B11008" s="2" t="str">
        <f t="shared" si="964"/>
        <v>SISTEMA DE CENTRAL DE MARCAÇÕES</v>
      </c>
      <c r="C11008" s="2" t="str">
        <f t="shared" si="965"/>
        <v>ATEND</v>
      </c>
      <c r="D11008" s="2" t="str">
        <f t="shared" si="966"/>
        <v>SCMA</v>
      </c>
      <c r="E11008" s="2" t="str">
        <f>"AGENDAMENTO AMBULATORIAL SIMPLIFICADO"</f>
        <v>AGENDAMENTO AMBULATORIAL SIMPLIFICADO</v>
      </c>
      <c r="F11008" s="2" t="str">
        <f>"M_AGENDAMENTO_SIMPLIFICADO"</f>
        <v>M_AGENDAMENTO_SIMPLIFICADO</v>
      </c>
      <c r="G11008" s="2" t="str">
        <f>"Atendimento / Central de Agendamento / Agendamentos / Agendamento Ambulatorial Simplificado (M_AGENDAMENTO_SIMPLIFICADO)"</f>
        <v>Atendimento / Central de Agendamento / Agendamentos / Agendamento Ambulatorial Simplificado (M_AGENDAMENTO_SIMPLIFICADO)</v>
      </c>
    </row>
    <row r="11009" spans="1:7" x14ac:dyDescent="0.3">
      <c r="A11009" s="1" t="s">
        <v>4</v>
      </c>
      <c r="B11009" s="2" t="str">
        <f t="shared" si="964"/>
        <v>SISTEMA DE CENTRAL DE MARCAÇÕES</v>
      </c>
      <c r="C11009" s="2" t="str">
        <f t="shared" si="965"/>
        <v>ATEND</v>
      </c>
      <c r="D11009" s="2" t="str">
        <f t="shared" si="966"/>
        <v>SCMA</v>
      </c>
      <c r="E11009" s="2" t="str">
        <f>"Configuração de Fila de Espera"</f>
        <v>Configuração de Fila de Espera</v>
      </c>
      <c r="F11009" s="2" t="str">
        <f>"M_CONFIG_FILA_ESPERA"</f>
        <v>M_CONFIG_FILA_ESPERA</v>
      </c>
      <c r="G11009" s="2" t="str">
        <f>" ()"</f>
        <v xml:space="preserve"> ()</v>
      </c>
    </row>
    <row r="11010" spans="1:7" x14ac:dyDescent="0.3">
      <c r="A11010" s="1" t="s">
        <v>4</v>
      </c>
      <c r="B11010" s="2" t="str">
        <f t="shared" si="964"/>
        <v>SISTEMA DE CENTRAL DE MARCAÇÕES</v>
      </c>
      <c r="C11010" s="2" t="str">
        <f t="shared" si="965"/>
        <v>ATEND</v>
      </c>
      <c r="D11010" s="2" t="str">
        <f t="shared" si="966"/>
        <v>SCMA</v>
      </c>
      <c r="E11010" s="2" t="str">
        <f>"Tela de restrição de agendamento"</f>
        <v>Tela de restrição de agendamento</v>
      </c>
      <c r="F11010" s="2" t="str">
        <f>"M_RESTRICAO_AGENDAMENTO"</f>
        <v>M_RESTRICAO_AGENDAMENTO</v>
      </c>
      <c r="G11010" s="2" t="str">
        <f>"Restrição de Agendamento Mensal (M_RESTRICAO_AGENDAMENTO)"</f>
        <v>Restrição de Agendamento Mensal (M_RESTRICAO_AGENDAMENTO)</v>
      </c>
    </row>
    <row r="11011" spans="1:7" x14ac:dyDescent="0.3">
      <c r="A11011" s="1" t="s">
        <v>4</v>
      </c>
      <c r="B11011" s="2" t="str">
        <f t="shared" si="964"/>
        <v>SISTEMA DE CENTRAL DE MARCAÇÕES</v>
      </c>
      <c r="C11011" s="2" t="str">
        <f t="shared" si="965"/>
        <v>ATEND</v>
      </c>
      <c r="D11011" s="2" t="str">
        <f t="shared" si="966"/>
        <v>SCMA</v>
      </c>
      <c r="E11011" s="2" t="str">
        <f>"Agendamento Oncológico"</f>
        <v>Agendamento Oncológico</v>
      </c>
      <c r="F11011" s="2" t="str">
        <f>"M_AGENDAMENTO_ONCOLOGICO"</f>
        <v>M_AGENDAMENTO_ONCOLOGICO</v>
      </c>
      <c r="G11011" s="2" t="str">
        <f>"Atendimento / Central de Agendamento / Agendamentos / Oncologia / Agendamento de Sessões Avulsas (M_AGENDAMENTO_ONCOLOGICO)"</f>
        <v>Atendimento / Central de Agendamento / Agendamentos / Oncologia / Agendamento de Sessões Avulsas (M_AGENDAMENTO_ONCOLOGICO)</v>
      </c>
    </row>
    <row r="11012" spans="1:7" x14ac:dyDescent="0.3">
      <c r="A11012" s="1" t="s">
        <v>4</v>
      </c>
      <c r="B11012" s="2" t="str">
        <f t="shared" si="964"/>
        <v>SISTEMA DE CENTRAL DE MARCAÇÕES</v>
      </c>
      <c r="C11012" s="2" t="str">
        <f t="shared" si="965"/>
        <v>ATEND</v>
      </c>
      <c r="D11012" s="2" t="str">
        <f t="shared" si="966"/>
        <v>SCMA</v>
      </c>
      <c r="E11012" s="2" t="str">
        <f>"Interdição de Agenda Oncológica"</f>
        <v>Interdição de Agenda Oncológica</v>
      </c>
      <c r="F11012" s="2" t="str">
        <f>"M_INTERDICAO_AGENDA_ONCOLOGIA"</f>
        <v>M_INTERDICAO_AGENDA_ONCOLOGIA</v>
      </c>
      <c r="G11012" s="2" t="str">
        <f>"Atendimento / Central de Agendamento / Agendamentos / Oncologia / Interdição de Agenda Oncológica (M_INTERDICAO_AGENDA_ONCOLOGIA)"</f>
        <v>Atendimento / Central de Agendamento / Agendamentos / Oncologia / Interdição de Agenda Oncológica (M_INTERDICAO_AGENDA_ONCOLOGIA)</v>
      </c>
    </row>
    <row r="11013" spans="1:7" x14ac:dyDescent="0.3">
      <c r="A11013" s="1" t="s">
        <v>4</v>
      </c>
      <c r="B11013" s="2" t="str">
        <f t="shared" si="964"/>
        <v>SISTEMA DE CENTRAL DE MARCAÇÕES</v>
      </c>
      <c r="C11013" s="2" t="str">
        <f t="shared" si="965"/>
        <v>ATEND</v>
      </c>
      <c r="D11013" s="2" t="str">
        <f t="shared" si="966"/>
        <v>SCMA</v>
      </c>
      <c r="E11013" s="2" t="str">
        <f>"Recepção Oncológica"</f>
        <v>Recepção Oncológica</v>
      </c>
      <c r="F11013" s="2" t="str">
        <f>"M_RECEPCAO_ONCOLOGIA"</f>
        <v>M_RECEPCAO_ONCOLOGIA</v>
      </c>
      <c r="G11013" s="2" t="str">
        <f>"Atendimento / Central de Agendamento / Agendamentos / Oncologia / Recepção oncológica (M_RECEPCAO_ONCOLOGIA)"</f>
        <v>Atendimento / Central de Agendamento / Agendamentos / Oncologia / Recepção oncológica (M_RECEPCAO_ONCOLOGIA)</v>
      </c>
    </row>
    <row r="11014" spans="1:7" x14ac:dyDescent="0.3">
      <c r="A11014" s="1" t="s">
        <v>4</v>
      </c>
      <c r="B11014" s="2" t="str">
        <f t="shared" si="964"/>
        <v>SISTEMA DE CENTRAL DE MARCAÇÕES</v>
      </c>
      <c r="C11014" s="2" t="str">
        <f t="shared" si="965"/>
        <v>ATEND</v>
      </c>
      <c r="D11014" s="2" t="str">
        <f t="shared" si="966"/>
        <v>SCMA</v>
      </c>
      <c r="E11014" s="2" t="str">
        <f>"Geração Agenda Oncologica"</f>
        <v>Geração Agenda Oncologica</v>
      </c>
      <c r="F11014" s="2" t="str">
        <f>"M_GERA_AGENDA_ONCOLOGIA"</f>
        <v>M_GERA_AGENDA_ONCOLOGIA</v>
      </c>
      <c r="G11014" s="2" t="str">
        <f>"Atendimento / Central de Agendamento / Agendamentos / Oncologia / Geração Agenda Oncologica (M_GERA_AGENDA_ONCOLOGIA)"</f>
        <v>Atendimento / Central de Agendamento / Agendamentos / Oncologia / Geração Agenda Oncologica (M_GERA_AGENDA_ONCOLOGIA)</v>
      </c>
    </row>
    <row r="11015" spans="1:7" x14ac:dyDescent="0.3">
      <c r="A11015" s="1" t="s">
        <v>4</v>
      </c>
      <c r="B11015" s="2" t="str">
        <f t="shared" si="964"/>
        <v>SISTEMA DE CENTRAL DE MARCAÇÕES</v>
      </c>
      <c r="C11015" s="2" t="str">
        <f t="shared" si="965"/>
        <v>ATEND</v>
      </c>
      <c r="D11015" s="2" t="str">
        <f t="shared" si="966"/>
        <v>SCMA</v>
      </c>
      <c r="E11015" s="2" t="str">
        <f>"Recurso Oncológico"</f>
        <v>Recurso Oncológico</v>
      </c>
      <c r="F11015" s="2" t="str">
        <f>"M_RECURSO_ONCOLOGIA"</f>
        <v>M_RECURSO_ONCOLOGIA</v>
      </c>
      <c r="G11015" s="2" t="str">
        <f>"Atendimento / Central de Agendamento / Agendamentos / Oncologia / Recurso Oncológico (M_RECURSO_ONCOLOGIA)"</f>
        <v>Atendimento / Central de Agendamento / Agendamentos / Oncologia / Recurso Oncológico (M_RECURSO_ONCOLOGIA)</v>
      </c>
    </row>
    <row r="11016" spans="1:7" x14ac:dyDescent="0.3">
      <c r="A11016" s="1" t="s">
        <v>4</v>
      </c>
      <c r="B11016" s="2" t="str">
        <f t="shared" si="964"/>
        <v>SISTEMA DE CENTRAL DE MARCAÇÕES</v>
      </c>
      <c r="C11016" s="2" t="str">
        <f t="shared" si="965"/>
        <v>ATEND</v>
      </c>
      <c r="D11016" s="2" t="str">
        <f t="shared" si="966"/>
        <v>SCMA</v>
      </c>
      <c r="E11016" s="2" t="str">
        <f>"Itens de Agendamento X Serviço"</f>
        <v>Itens de Agendamento X Serviço</v>
      </c>
      <c r="F11016" s="2" t="str">
        <f>"M_ITEM_SER_TIP"</f>
        <v>M_ITEM_SER_TIP</v>
      </c>
      <c r="G11016" s="2" t="str">
        <f>"Atendimento / Central de Agendamento / Tabelas / Itens de Agendamento x Serviço (M_ITEM_SER_TIP)"</f>
        <v>Atendimento / Central de Agendamento / Tabelas / Itens de Agendamento x Serviço (M_ITEM_SER_TIP)</v>
      </c>
    </row>
    <row r="11017" spans="1:7" x14ac:dyDescent="0.3">
      <c r="A11017" s="1" t="s">
        <v>4</v>
      </c>
      <c r="B11017" s="2" t="str">
        <f t="shared" si="964"/>
        <v>SISTEMA DE CENTRAL DE MARCAÇÕES</v>
      </c>
      <c r="C11017" s="2" t="str">
        <f t="shared" si="965"/>
        <v>ATEND</v>
      </c>
      <c r="D11017" s="2" t="str">
        <f t="shared" si="966"/>
        <v>SCMA</v>
      </c>
      <c r="E11017" s="2" t="str">
        <f>"Justificativa de Agendamento Posterior"</f>
        <v>Justificativa de Agendamento Posterior</v>
      </c>
      <c r="F11017" s="2" t="str">
        <f>"M_JUSTIFICATIVA_AGENDAMENTO"</f>
        <v>M_JUSTIFICATIVA_AGENDAMENTO</v>
      </c>
      <c r="G11017" s="2" t="str">
        <f>"Atendimento / Central de Agendamento / Tabelas / Justificativa de Agendamento Posterior (M_JUSTIFICATIVA_AGENDAMENTO)"</f>
        <v>Atendimento / Central de Agendamento / Tabelas / Justificativa de Agendamento Posterior (M_JUSTIFICATIVA_AGENDAMENTO)</v>
      </c>
    </row>
    <row r="11018" spans="1:7" x14ac:dyDescent="0.3">
      <c r="A11018" s="1" t="s">
        <v>4</v>
      </c>
      <c r="B11018" s="2" t="str">
        <f t="shared" si="964"/>
        <v>SISTEMA DE CENTRAL DE MARCAÇÕES</v>
      </c>
      <c r="C11018" s="2" t="str">
        <f t="shared" si="965"/>
        <v>ATEND</v>
      </c>
      <c r="D11018" s="2" t="str">
        <f t="shared" si="966"/>
        <v>SCMA</v>
      </c>
      <c r="E11018" s="2" t="str">
        <f>"Tipo de Procedencia"</f>
        <v>Tipo de Procedencia</v>
      </c>
      <c r="F11018" s="2" t="str">
        <f>"M_TIPO_PROCEDENCIA_RP"</f>
        <v>M_TIPO_PROCEDENCIA_RP</v>
      </c>
      <c r="G11018" s="2" t="str">
        <f>"Tipo de Procedencia  (M_TIPO_PROCEDENCIA_RP)"</f>
        <v>Tipo de Procedencia  (M_TIPO_PROCEDENCIA_RP)</v>
      </c>
    </row>
    <row r="11019" spans="1:7" x14ac:dyDescent="0.3">
      <c r="A11019" s="1" t="s">
        <v>4</v>
      </c>
      <c r="B11019" s="2" t="str">
        <f t="shared" si="964"/>
        <v>SISTEMA DE CENTRAL DE MARCAÇÕES</v>
      </c>
      <c r="C11019" s="2" t="str">
        <f t="shared" si="965"/>
        <v>ATEND</v>
      </c>
      <c r="D11019" s="2" t="str">
        <f t="shared" si="966"/>
        <v>SCMA</v>
      </c>
      <c r="E11019" s="2" t="str">
        <f>"Cadastro de Autorização RP"</f>
        <v>Cadastro de Autorização RP</v>
      </c>
      <c r="F11019" s="2" t="str">
        <f>"M_CAD_RP"</f>
        <v>M_CAD_RP</v>
      </c>
      <c r="G11019" s="2" t="str">
        <f>"Cadastro de Autorização RP (M_CAD_RP)"</f>
        <v>Cadastro de Autorização RP (M_CAD_RP)</v>
      </c>
    </row>
    <row r="11020" spans="1:7" x14ac:dyDescent="0.3">
      <c r="A11020" s="1" t="s">
        <v>4</v>
      </c>
      <c r="B11020" s="2" t="str">
        <f t="shared" si="964"/>
        <v>SISTEMA DE CENTRAL DE MARCAÇÕES</v>
      </c>
      <c r="C11020" s="2" t="str">
        <f t="shared" si="965"/>
        <v>ATEND</v>
      </c>
      <c r="D11020" s="2" t="str">
        <f t="shared" si="966"/>
        <v>SCMA</v>
      </c>
      <c r="E11020" s="2" t="str">
        <f>"Histórico de Transferências"</f>
        <v>Histórico de Transferências</v>
      </c>
      <c r="F11020" s="2" t="str">
        <f>"R_HISTORICO_TRANSF_SCMA"</f>
        <v>R_HISTORICO_TRANSF_SCMA</v>
      </c>
      <c r="G11020" s="2" t="str">
        <f>"Atendimento / Central de Agendamento / Relatórios / Agendamentos / Histórico de Transferências (R_HISTORICO_TRANSF_SCMA)"</f>
        <v>Atendimento / Central de Agendamento / Relatórios / Agendamentos / Histórico de Transferências (R_HISTORICO_TRANSF_SCMA)</v>
      </c>
    </row>
    <row r="11021" spans="1:7" x14ac:dyDescent="0.3">
      <c r="A11021" s="1" t="s">
        <v>4</v>
      </c>
      <c r="B11021" s="2" t="str">
        <f t="shared" si="964"/>
        <v>SISTEMA DE CENTRAL DE MARCAÇÕES</v>
      </c>
      <c r="C11021" s="2" t="str">
        <f t="shared" si="965"/>
        <v>ATEND</v>
      </c>
      <c r="D11021" s="2" t="str">
        <f t="shared" si="966"/>
        <v>SCMA</v>
      </c>
      <c r="E11021" s="2" t="str">
        <f>"Central de marcações não transacional"</f>
        <v>Central de marcações não transacional</v>
      </c>
      <c r="F11021" s="2" t="str">
        <f>"M_CENTRAL_MARCACOES_NT"</f>
        <v>M_CENTRAL_MARCACOES_NT</v>
      </c>
      <c r="G11021" s="2" t="str">
        <f>" ()"</f>
        <v xml:space="preserve"> ()</v>
      </c>
    </row>
    <row r="11022" spans="1:7" x14ac:dyDescent="0.3">
      <c r="A11022" s="1" t="s">
        <v>4</v>
      </c>
      <c r="B11022" s="2" t="str">
        <f t="shared" si="964"/>
        <v>SISTEMA DE CENTRAL DE MARCAÇÕES</v>
      </c>
      <c r="C11022" s="2" t="str">
        <f t="shared" si="965"/>
        <v>ATEND</v>
      </c>
      <c r="D11022" s="2" t="str">
        <f t="shared" si="966"/>
        <v>SCMA</v>
      </c>
      <c r="E11022" s="2" t="str">
        <f>"AGENDAMENTO POR ORDEM DE CHEGADA"</f>
        <v>AGENDAMENTO POR ORDEM DE CHEGADA</v>
      </c>
      <c r="F11022" s="2" t="str">
        <f>"M_AGENDAMENTO_RECEPCAO_CHEGADA"</f>
        <v>M_AGENDAMENTO_RECEPCAO_CHEGADA</v>
      </c>
      <c r="G11022" s="2" t="str">
        <f>"Atendimento / Central de Agendamento / Agendamentos / Agendamento por ordem de chegada (M_AGENDAMENTO_RECEPCAO_CHEGADA)"</f>
        <v>Atendimento / Central de Agendamento / Agendamentos / Agendamento por ordem de chegada (M_AGENDAMENTO_RECEPCAO_CHEGADA)</v>
      </c>
    </row>
    <row r="11023" spans="1:7" x14ac:dyDescent="0.3">
      <c r="A11023" s="1" t="s">
        <v>4</v>
      </c>
      <c r="B11023" s="2" t="str">
        <f t="shared" si="964"/>
        <v>SISTEMA DE CENTRAL DE MARCAÇÕES</v>
      </c>
      <c r="C11023" s="2" t="str">
        <f t="shared" si="965"/>
        <v>ATEND</v>
      </c>
      <c r="D11023" s="2" t="str">
        <f t="shared" si="966"/>
        <v>SCMA</v>
      </c>
      <c r="E11023" s="2" t="str">
        <f>"Histórico de Transferências"</f>
        <v>Histórico de Transferências</v>
      </c>
      <c r="F11023" s="2" t="str">
        <f>"R_HISTORICO_TRASNF_SCMA"</f>
        <v>R_HISTORICO_TRASNF_SCMA</v>
      </c>
      <c r="G11023" s="2" t="str">
        <f>" ()"</f>
        <v xml:space="preserve"> ()</v>
      </c>
    </row>
    <row r="11024" spans="1:7" x14ac:dyDescent="0.3">
      <c r="A11024" s="1" t="s">
        <v>4</v>
      </c>
      <c r="B11024" s="2" t="str">
        <f t="shared" si="964"/>
        <v>SISTEMA DE CENTRAL DE MARCAÇÕES</v>
      </c>
      <c r="C11024" s="2" t="str">
        <f t="shared" si="965"/>
        <v>ATEND</v>
      </c>
      <c r="D11024" s="2" t="str">
        <f t="shared" si="966"/>
        <v>SCMA</v>
      </c>
      <c r="E11024" s="2" t="str">
        <f>"AGENDAMENTO"</f>
        <v>AGENDAMENTO</v>
      </c>
      <c r="F11024" s="2" t="str">
        <f>"M_AGENDA_SCMA"</f>
        <v>M_AGENDA_SCMA</v>
      </c>
      <c r="G11024" s="2" t="str">
        <f>"Atendimento / Central de Agendamento / Agendamentos / Agendamento (M_AGENDA_SCMA)"</f>
        <v>Atendimento / Central de Agendamento / Agendamentos / Agendamento (M_AGENDA_SCMA)</v>
      </c>
    </row>
    <row r="11025" spans="1:7" x14ac:dyDescent="0.3">
      <c r="A11025" s="1" t="s">
        <v>4</v>
      </c>
      <c r="B11025" s="2" t="str">
        <f t="shared" si="964"/>
        <v>SISTEMA DE CENTRAL DE MARCAÇÕES</v>
      </c>
      <c r="C11025" s="2" t="str">
        <f t="shared" si="965"/>
        <v>ATEND</v>
      </c>
      <c r="D11025" s="2" t="str">
        <f t="shared" si="966"/>
        <v>SCMA</v>
      </c>
      <c r="E11025" s="2" t="str">
        <f>"Tipos de Bloqueio de Horários"</f>
        <v>Tipos de Bloqueio de Horários</v>
      </c>
      <c r="F11025" s="2" t="str">
        <f>"M_TIPO_BLOQUEIO_HORARIO"</f>
        <v>M_TIPO_BLOQUEIO_HORARIO</v>
      </c>
      <c r="G11025" s="2" t="str">
        <f>"Atendimento / Central de Agendamento / Tabelas / Tipos de Bloqueio de Horários (M_TIPO_BLOQUEIO_HORARIO)"</f>
        <v>Atendimento / Central de Agendamento / Tabelas / Tipos de Bloqueio de Horários (M_TIPO_BLOQUEIO_HORARIO)</v>
      </c>
    </row>
    <row r="11026" spans="1:7" x14ac:dyDescent="0.3">
      <c r="A11026" s="1" t="s">
        <v>4</v>
      </c>
      <c r="B11026" s="2" t="str">
        <f t="shared" si="964"/>
        <v>SISTEMA DE CENTRAL DE MARCAÇÕES</v>
      </c>
      <c r="C11026" s="2" t="str">
        <f t="shared" si="965"/>
        <v>ATEND</v>
      </c>
      <c r="D11026" s="2" t="str">
        <f t="shared" si="966"/>
        <v>SCMA</v>
      </c>
      <c r="E11026" s="2" t="str">
        <f>"PERSONALIZADOS DO SCMA"</f>
        <v>PERSONALIZADOS DO SCMA</v>
      </c>
      <c r="F11026" s="2" t="str">
        <f>"R_PERSON_SCMA"</f>
        <v>R_PERSON_SCMA</v>
      </c>
      <c r="G11026" s="2" t="str">
        <f>"Atendimento / Central de Agendamento / Relatórios / Personalizados (R_PERSON_SCMA)"</f>
        <v>Atendimento / Central de Agendamento / Relatórios / Personalizados (R_PERSON_SCMA)</v>
      </c>
    </row>
    <row r="11027" spans="1:7" x14ac:dyDescent="0.3">
      <c r="A11027" s="1" t="s">
        <v>4</v>
      </c>
      <c r="B11027" s="2" t="str">
        <f t="shared" si="964"/>
        <v>SISTEMA DE CENTRAL DE MARCAÇÕES</v>
      </c>
      <c r="C11027" s="2" t="str">
        <f t="shared" si="965"/>
        <v>ATEND</v>
      </c>
      <c r="D11027" s="2" t="str">
        <f t="shared" si="966"/>
        <v>SCMA</v>
      </c>
      <c r="E11027" s="2" t="str">
        <f>"ALTERAÇÃO DE AGENDAMENTOS"</f>
        <v>ALTERAÇÃO DE AGENDAMENTOS</v>
      </c>
      <c r="F11027" s="2" t="str">
        <f>"M_ALTRACAO_AGENDA_SCMA"</f>
        <v>M_ALTRACAO_AGENDA_SCMA</v>
      </c>
      <c r="G11027" s="2" t="str">
        <f>" ()"</f>
        <v xml:space="preserve"> ()</v>
      </c>
    </row>
    <row r="11028" spans="1:7" x14ac:dyDescent="0.3">
      <c r="A11028" s="1" t="s">
        <v>4</v>
      </c>
      <c r="B11028" s="2" t="str">
        <f t="shared" si="964"/>
        <v>SISTEMA DE CENTRAL DE MARCAÇÕES</v>
      </c>
      <c r="C11028" s="2" t="str">
        <f t="shared" si="965"/>
        <v>ATEND</v>
      </c>
      <c r="D11028" s="2" t="str">
        <f t="shared" si="966"/>
        <v>SCMA</v>
      </c>
      <c r="E11028" s="2" t="str">
        <f>"Posição de fila de espera"</f>
        <v>Posição de fila de espera</v>
      </c>
      <c r="F11028" s="2" t="str">
        <f>"R_POSICAO_FILA_ESPERA"</f>
        <v>R_POSICAO_FILA_ESPERA</v>
      </c>
      <c r="G11028" s="2" t="str">
        <f>"Atendimento / Central de Agendamento / Relatórios / Operacionais / Posição de fila de espera (R_POSICAO_FILA_ESPERA)"</f>
        <v>Atendimento / Central de Agendamento / Relatórios / Operacionais / Posição de fila de espera (R_POSICAO_FILA_ESPERA)</v>
      </c>
    </row>
    <row r="11029" spans="1:7" x14ac:dyDescent="0.3">
      <c r="A11029" s="1" t="s">
        <v>4</v>
      </c>
      <c r="B11029" s="2" t="str">
        <f t="shared" si="964"/>
        <v>SISTEMA DE CENTRAL DE MARCAÇÕES</v>
      </c>
      <c r="C11029" s="2" t="str">
        <f t="shared" si="965"/>
        <v>ATEND</v>
      </c>
      <c r="D11029" s="2" t="str">
        <f t="shared" si="966"/>
        <v>SCMA</v>
      </c>
      <c r="E11029" s="2" t="str">
        <f>"Prioridade de agendamento"</f>
        <v>Prioridade de agendamento</v>
      </c>
      <c r="F11029" s="2" t="str">
        <f>"M_PRIORIDADE_AGENDAMENTO"</f>
        <v>M_PRIORIDADE_AGENDAMENTO</v>
      </c>
      <c r="G11029" s="2" t="str">
        <f>"Atendimento / Central de Agendamento / Tabelas / Prioridade de agendamento (M_PRIORIDADE_AGENDAMENTO)"</f>
        <v>Atendimento / Central de Agendamento / Tabelas / Prioridade de agendamento (M_PRIORIDADE_AGENDAMENTO)</v>
      </c>
    </row>
    <row r="11030" spans="1:7" x14ac:dyDescent="0.3">
      <c r="A11030" s="1" t="s">
        <v>4</v>
      </c>
      <c r="B11030" s="2" t="str">
        <f t="shared" si="964"/>
        <v>SISTEMA DE CENTRAL DE MARCAÇÕES</v>
      </c>
      <c r="C11030" s="2" t="str">
        <f t="shared" si="965"/>
        <v>ATEND</v>
      </c>
      <c r="D11030" s="2" t="str">
        <f t="shared" si="966"/>
        <v>SCMA</v>
      </c>
      <c r="E11030" s="2" t="str">
        <f>"Transferência de Pacientes entre Agendas"</f>
        <v>Transferência de Pacientes entre Agendas</v>
      </c>
      <c r="F11030" s="2" t="str">
        <f>"M_TRANSFERE_PACIENTE_AGENDA"</f>
        <v>M_TRANSFERE_PACIENTE_AGENDA</v>
      </c>
      <c r="G11030" s="2" t="str">
        <f>"Atendimento / Central de Agendamento / Agendamentos / Transferência de Pacientes entre Agendas (M_TRANSFERE_PACIENTE_AGENDA)"</f>
        <v>Atendimento / Central de Agendamento / Agendamentos / Transferência de Pacientes entre Agendas (M_TRANSFERE_PACIENTE_AGENDA)</v>
      </c>
    </row>
    <row r="11031" spans="1:7" x14ac:dyDescent="0.3">
      <c r="A11031" s="1" t="s">
        <v>4</v>
      </c>
      <c r="B11031" s="2" t="str">
        <f t="shared" si="964"/>
        <v>SISTEMA DE CENTRAL DE MARCAÇÕES</v>
      </c>
      <c r="C11031" s="2" t="str">
        <f t="shared" si="965"/>
        <v>ATEND</v>
      </c>
      <c r="D11031" s="2" t="str">
        <f t="shared" si="966"/>
        <v>SCMA</v>
      </c>
      <c r="E11031" s="2" t="str">
        <f>"SCMA"</f>
        <v>SCMA</v>
      </c>
      <c r="F11031" s="2" t="str">
        <f>"SCMA"</f>
        <v>SCMA</v>
      </c>
      <c r="G11031" s="2" t="str">
        <f>" ()"</f>
        <v xml:space="preserve"> ()</v>
      </c>
    </row>
    <row r="11032" spans="1:7" x14ac:dyDescent="0.3">
      <c r="A11032" s="1" t="s">
        <v>4</v>
      </c>
      <c r="B11032" s="2" t="str">
        <f t="shared" si="964"/>
        <v>SISTEMA DE CENTRAL DE MARCAÇÕES</v>
      </c>
      <c r="C11032" s="2" t="str">
        <f t="shared" si="965"/>
        <v>ATEND</v>
      </c>
      <c r="D11032" s="2" t="str">
        <f t="shared" si="966"/>
        <v>SCMA</v>
      </c>
      <c r="E11032" s="2" t="str">
        <f>"M_UNIDADE_RECURSO"</f>
        <v>M_UNIDADE_RECURSO</v>
      </c>
      <c r="F11032" s="2" t="str">
        <f>"M_UNIDADE_RECURSO"</f>
        <v>M_UNIDADE_RECURSO</v>
      </c>
      <c r="G11032" s="2" t="str">
        <f>"Atendimento / Central de Agendamento / Tabelas / Cadastro de Recursos por Unidade de Atendimento (M_UNIDADE_RECURSO)"</f>
        <v>Atendimento / Central de Agendamento / Tabelas / Cadastro de Recursos por Unidade de Atendimento (M_UNIDADE_RECURSO)</v>
      </c>
    </row>
    <row r="11033" spans="1:7" x14ac:dyDescent="0.3">
      <c r="A11033" s="1" t="s">
        <v>4</v>
      </c>
      <c r="B11033" s="2" t="str">
        <f t="shared" si="964"/>
        <v>SISTEMA DE CENTRAL DE MARCAÇÕES</v>
      </c>
      <c r="C11033" s="2" t="str">
        <f t="shared" si="965"/>
        <v>ATEND</v>
      </c>
      <c r="D11033" s="2" t="str">
        <f t="shared" si="966"/>
        <v>SCMA</v>
      </c>
      <c r="E11033" s="2" t="str">
        <f>"M_RESERVA_HORARIOS_SCMA"</f>
        <v>M_RESERVA_HORARIOS_SCMA</v>
      </c>
      <c r="F11033" s="2" t="str">
        <f>"M_RESERVA_HORARIOS_SCMA"</f>
        <v>M_RESERVA_HORARIOS_SCMA</v>
      </c>
      <c r="G11033" s="2" t="str">
        <f>"Atendimento / Central de Agendamento / Agendamentos / Manutenção de Escalas/Agendas / Reserva de Horários (M_RESERVA_HORARIOS_SCMA)"</f>
        <v>Atendimento / Central de Agendamento / Agendamentos / Manutenção de Escalas/Agendas / Reserva de Horários (M_RESERVA_HORARIOS_SCMA)</v>
      </c>
    </row>
    <row r="11034" spans="1:7" x14ac:dyDescent="0.3">
      <c r="A11034" s="1" t="s">
        <v>4</v>
      </c>
      <c r="B11034" s="2" t="str">
        <f t="shared" si="964"/>
        <v>SISTEMA DE CENTRAL DE MARCAÇÕES</v>
      </c>
      <c r="C11034" s="2" t="str">
        <f t="shared" si="965"/>
        <v>ATEND</v>
      </c>
      <c r="D11034" s="2" t="str">
        <f t="shared" si="966"/>
        <v>SCMA</v>
      </c>
      <c r="E11034" s="2" t="str">
        <f>"RELATÓRIO PERCENTUAL DE ATENDIMENTOS"</f>
        <v>RELATÓRIO PERCENTUAL DE ATENDIMENTOS</v>
      </c>
      <c r="F11034" s="2" t="str">
        <f>"R_PERCENTUAL_ATENDIMENTOS"</f>
        <v>R_PERCENTUAL_ATENDIMENTOS</v>
      </c>
      <c r="G11034" s="2" t="str">
        <f>"Atendimento / Central de Agendamento / Relatórios / Operacionais / Percentual de Atendimentos Ambulatoriais (R_PERCENTUAL_ATENDIMENTOS)"</f>
        <v>Atendimento / Central de Agendamento / Relatórios / Operacionais / Percentual de Atendimentos Ambulatoriais (R_PERCENTUAL_ATENDIMENTOS)</v>
      </c>
    </row>
    <row r="11035" spans="1:7" x14ac:dyDescent="0.3">
      <c r="A11035" s="1" t="s">
        <v>4</v>
      </c>
      <c r="B11035" s="2" t="str">
        <f t="shared" si="964"/>
        <v>SISTEMA DE CENTRAL DE MARCAÇÕES</v>
      </c>
      <c r="C11035" s="2" t="str">
        <f t="shared" si="965"/>
        <v>ATEND</v>
      </c>
      <c r="D11035" s="2" t="str">
        <f t="shared" si="966"/>
        <v>SCMA</v>
      </c>
      <c r="E11035" s="2" t="str">
        <f>"HISTÓRICO DE AGENDAMENTOS"</f>
        <v>HISTÓRICO DE AGENDAMENTOS</v>
      </c>
      <c r="F11035" s="2" t="str">
        <f>"M_HISTORICO_AGENDAMENTO"</f>
        <v>M_HISTORICO_AGENDAMENTO</v>
      </c>
      <c r="G11035" s="2" t="str">
        <f>"Atendimento / Central de Agendamento / Consultas / Histórico de Agendamentos (M_HISTORICO_AGENDAMENTO)"</f>
        <v>Atendimento / Central de Agendamento / Consultas / Histórico de Agendamentos (M_HISTORICO_AGENDAMENTO)</v>
      </c>
    </row>
    <row r="11036" spans="1:7" x14ac:dyDescent="0.3">
      <c r="A11036" s="1" t="s">
        <v>4</v>
      </c>
      <c r="B11036" s="2" t="str">
        <f t="shared" si="964"/>
        <v>SISTEMA DE CENTRAL DE MARCAÇÕES</v>
      </c>
      <c r="C11036" s="2" t="str">
        <f t="shared" si="965"/>
        <v>ATEND</v>
      </c>
      <c r="D11036" s="2" t="str">
        <f t="shared" si="966"/>
        <v>SCMA</v>
      </c>
      <c r="E11036" s="2" t="str">
        <f>"RELATÓRIO DE AGENDAMENTOS EXCLUÍDOS"</f>
        <v>RELATÓRIO DE AGENDAMENTOS EXCLUÍDOS</v>
      </c>
      <c r="F11036" s="2" t="str">
        <f>"R_EXCLUSAO_AGENDAMENTO_SCMA"</f>
        <v>R_EXCLUSAO_AGENDAMENTO_SCMA</v>
      </c>
      <c r="G11036" s="2" t="str">
        <f>"Atendimento / Central de Agendamento / Relatórios / Agendamentos / Agendamentos Excluídos (R_EXCLUSAO_AGENDAMENTO_SCMA)"</f>
        <v>Atendimento / Central de Agendamento / Relatórios / Agendamentos / Agendamentos Excluídos (R_EXCLUSAO_AGENDAMENTO_SCMA)</v>
      </c>
    </row>
    <row r="11037" spans="1:7" x14ac:dyDescent="0.3">
      <c r="A11037" s="1" t="s">
        <v>4</v>
      </c>
      <c r="B11037" s="2" t="str">
        <f t="shared" si="964"/>
        <v>SISTEMA DE CENTRAL DE MARCAÇÕES</v>
      </c>
      <c r="C11037" s="2" t="str">
        <f t="shared" si="965"/>
        <v>ATEND</v>
      </c>
      <c r="D11037" s="2" t="str">
        <f t="shared" si="966"/>
        <v>SCMA</v>
      </c>
      <c r="E11037" s="2" t="str">
        <f>"WIN_PRINCIPAL - HOSPITAL MV SISTEMAS"</f>
        <v>WIN_PRINCIPAL - HOSPITAL MV SISTEMAS</v>
      </c>
      <c r="F11037" s="2" t="str">
        <f>"C_REIMPRIME_COMPROVANTE"</f>
        <v>C_REIMPRIME_COMPROVANTE</v>
      </c>
      <c r="G11037" s="2" t="str">
        <f>"Atendimento / Central de Agendamento / Agendamentos / Reimpressão de Comprovantes (C_REIMPRIME_COMPROVANTE)"</f>
        <v>Atendimento / Central de Agendamento / Agendamentos / Reimpressão de Comprovantes (C_REIMPRIME_COMPROVANTE)</v>
      </c>
    </row>
    <row r="11038" spans="1:7" x14ac:dyDescent="0.3">
      <c r="A11038" s="1" t="s">
        <v>4</v>
      </c>
      <c r="B11038" s="2" t="str">
        <f t="shared" si="964"/>
        <v>SISTEMA DE CENTRAL DE MARCAÇÕES</v>
      </c>
      <c r="C11038" s="2" t="str">
        <f t="shared" si="965"/>
        <v>ATEND</v>
      </c>
      <c r="D11038" s="2" t="str">
        <f t="shared" si="966"/>
        <v>SCMA</v>
      </c>
      <c r="E11038" s="2" t="str">
        <f>"CADASTRO PACIENTE - CENTRAL AGENDAMENTO"</f>
        <v>CADASTRO PACIENTE - CENTRAL AGENDAMENTO</v>
      </c>
      <c r="F11038" s="2" t="str">
        <f>"CAD_PAC_SCMA"</f>
        <v>CAD_PAC_SCMA</v>
      </c>
      <c r="G11038" s="2" t="str">
        <f>"Atendimento / Central de Agendamento / Atendimentos / Cadastro de Pacientes (CAD_PAC_SCMA)"</f>
        <v>Atendimento / Central de Agendamento / Atendimentos / Cadastro de Pacientes (CAD_PAC_SCMA)</v>
      </c>
    </row>
    <row r="11039" spans="1:7" x14ac:dyDescent="0.3">
      <c r="A11039" s="1" t="s">
        <v>4</v>
      </c>
      <c r="B11039" s="2" t="str">
        <f t="shared" si="964"/>
        <v>SISTEMA DE CENTRAL DE MARCAÇÕES</v>
      </c>
      <c r="C11039" s="2" t="str">
        <f t="shared" si="965"/>
        <v>ATEND</v>
      </c>
      <c r="D11039" s="2" t="str">
        <f t="shared" si="966"/>
        <v>SCMA</v>
      </c>
      <c r="E11039" s="2" t="str">
        <f>"CONSULTÓRIO - SCMA"</f>
        <v>CONSULTÓRIO - SCMA</v>
      </c>
      <c r="F11039" s="2" t="str">
        <f>"M_CONSULTORIO_SCMA"</f>
        <v>M_CONSULTORIO_SCMA</v>
      </c>
      <c r="G11039" s="2" t="str">
        <f>"Atendimento / Central de Agendamento / Atendimentos / Consultório (M_CONSULTORIO_SCMA)"</f>
        <v>Atendimento / Central de Agendamento / Atendimentos / Consultório (M_CONSULTORIO_SCMA)</v>
      </c>
    </row>
    <row r="11040" spans="1:7" x14ac:dyDescent="0.3">
      <c r="A11040" s="1" t="s">
        <v>4</v>
      </c>
      <c r="B11040" s="2" t="str">
        <f t="shared" si="964"/>
        <v>SISTEMA DE CENTRAL DE MARCAÇÕES</v>
      </c>
      <c r="C11040" s="2" t="str">
        <f t="shared" si="965"/>
        <v>ATEND</v>
      </c>
      <c r="D11040" s="2" t="str">
        <f t="shared" si="966"/>
        <v>SCMA</v>
      </c>
      <c r="E11040" s="2" t="str">
        <f>"CONSULTÓRIO - SCMA"</f>
        <v>CONSULTÓRIO - SCMA</v>
      </c>
      <c r="F11040" s="2" t="str">
        <f>"M_CONSULTORIO_SCMA"</f>
        <v>M_CONSULTORIO_SCMA</v>
      </c>
      <c r="G11040" s="2" t="str">
        <f>"Atendimento / Ambulatório / Atendimentos / Consultório - Central Marcações (M_CONSULTORIO_SCMA)"</f>
        <v>Atendimento / Ambulatório / Atendimentos / Consultório - Central Marcações (M_CONSULTORIO_SCMA)</v>
      </c>
    </row>
    <row r="11041" spans="1:7" x14ac:dyDescent="0.3">
      <c r="A11041" s="1" t="s">
        <v>4</v>
      </c>
      <c r="B11041" s="2" t="str">
        <f t="shared" si="964"/>
        <v>SISTEMA DE CENTRAL DE MARCAÇÕES</v>
      </c>
      <c r="C11041" s="2" t="str">
        <f t="shared" si="965"/>
        <v>ATEND</v>
      </c>
      <c r="D11041" s="2" t="str">
        <f t="shared" si="966"/>
        <v>SCMA</v>
      </c>
      <c r="E11041" s="2" t="str">
        <f>"M_ACRESCIMO_TEMPO"</f>
        <v>M_ACRESCIMO_TEMPO</v>
      </c>
      <c r="F11041" s="2" t="str">
        <f>"M_ACRESCIMO_TEMPO"</f>
        <v>M_ACRESCIMO_TEMPO</v>
      </c>
      <c r="G11041" s="2" t="str">
        <f>"Atendimento / Central de Agendamento / Tabelas / Acréscimo de Tempo (M_ACRESCIMO_TEMPO)"</f>
        <v>Atendimento / Central de Agendamento / Tabelas / Acréscimo de Tempo (M_ACRESCIMO_TEMPO)</v>
      </c>
    </row>
    <row r="11042" spans="1:7" x14ac:dyDescent="0.3">
      <c r="A11042" s="1" t="s">
        <v>4</v>
      </c>
      <c r="B11042" s="2" t="str">
        <f t="shared" si="964"/>
        <v>SISTEMA DE CENTRAL DE MARCAÇÕES</v>
      </c>
      <c r="C11042" s="2" t="str">
        <f t="shared" si="965"/>
        <v>ATEND</v>
      </c>
      <c r="D11042" s="2" t="str">
        <f t="shared" si="966"/>
        <v>SCMA</v>
      </c>
      <c r="E11042" s="2" t="str">
        <f>"CADASTRO: CENTROS DE CUSTOS"</f>
        <v>CADASTRO: CENTROS DE CUSTOS</v>
      </c>
      <c r="F11042" s="2" t="str">
        <f>"M_SETOR_AGENDAMENTO"</f>
        <v>M_SETOR_AGENDAMENTO</v>
      </c>
      <c r="G11042" s="2" t="str">
        <f>"Atendimento / Central de Agendamento / Tabelas / Informações do Setor para o Agendamento (M_SETOR_AGENDAMENTO)"</f>
        <v>Atendimento / Central de Agendamento / Tabelas / Informações do Setor para o Agendamento (M_SETOR_AGENDAMENTO)</v>
      </c>
    </row>
    <row r="11043" spans="1:7" x14ac:dyDescent="0.3">
      <c r="A11043" s="1" t="s">
        <v>4</v>
      </c>
      <c r="B11043" s="2" t="str">
        <f t="shared" si="964"/>
        <v>SISTEMA DE CENTRAL DE MARCAÇÕES</v>
      </c>
      <c r="C11043" s="2" t="str">
        <f t="shared" si="965"/>
        <v>ATEND</v>
      </c>
      <c r="D11043" s="2" t="str">
        <f t="shared" si="966"/>
        <v>SCMA</v>
      </c>
      <c r="E11043" s="2" t="str">
        <f>"REGISTRO DE ÍTEMS DE RESERVA POR RECURSO"</f>
        <v>REGISTRO DE ÍTEMS DE RESERVA POR RECURSO</v>
      </c>
      <c r="F11043" s="2" t="str">
        <f>"M_ORIENTACAO_CONVENIO_ITEM"</f>
        <v>M_ORIENTACAO_CONVENIO_ITEM</v>
      </c>
      <c r="G11043" s="2" t="str">
        <f>"Atendimento / Central de Agendamento / Tabelas / Orientações dos Convênios para o Agendamento (M_ORIENTACAO_CONVENIO_ITEM)"</f>
        <v>Atendimento / Central de Agendamento / Tabelas / Orientações dos Convênios para o Agendamento (M_ORIENTACAO_CONVENIO_ITEM)</v>
      </c>
    </row>
    <row r="11044" spans="1:7" x14ac:dyDescent="0.3">
      <c r="A11044" s="1" t="s">
        <v>4</v>
      </c>
      <c r="B11044" s="2" t="str">
        <f t="shared" si="964"/>
        <v>SISTEMA DE CENTRAL DE MARCAÇÕES</v>
      </c>
      <c r="C11044" s="2" t="str">
        <f t="shared" si="965"/>
        <v>ATEND</v>
      </c>
      <c r="D11044" s="2" t="str">
        <f t="shared" si="966"/>
        <v>SCMA</v>
      </c>
      <c r="E11044" s="2" t="str">
        <f>"WIN_PRINCIPAL"</f>
        <v>WIN_PRINCIPAL</v>
      </c>
      <c r="F11044" s="2" t="str">
        <f>"C_SESSAO"</f>
        <v>C_SESSAO</v>
      </c>
      <c r="G11044" s="2" t="str">
        <f>" ()"</f>
        <v xml:space="preserve"> ()</v>
      </c>
    </row>
    <row r="11045" spans="1:7" x14ac:dyDescent="0.3">
      <c r="A11045" s="1" t="s">
        <v>4</v>
      </c>
      <c r="B11045" s="2" t="str">
        <f t="shared" si="964"/>
        <v>SISTEMA DE CENTRAL DE MARCAÇÕES</v>
      </c>
      <c r="C11045" s="2" t="str">
        <f t="shared" si="965"/>
        <v>ATEND</v>
      </c>
      <c r="D11045" s="2" t="str">
        <f t="shared" si="966"/>
        <v>SCMA</v>
      </c>
      <c r="E11045" s="2" t="str">
        <f>"REL. DE SOLICITAÇÕES DE AGENDAMENTO"</f>
        <v>REL. DE SOLICITAÇÕES DE AGENDAMENTO</v>
      </c>
      <c r="F11045" s="2" t="str">
        <f>"R_SOLIC_AGENDAMENTO"</f>
        <v>R_SOLIC_AGENDAMENTO</v>
      </c>
      <c r="G11045" s="2" t="str">
        <f>"Atendimento / Central de Agendamento / Relatórios / Operacionais / Solicitações de Agendamento (R_SOLIC_AGENDAMENTO)"</f>
        <v>Atendimento / Central de Agendamento / Relatórios / Operacionais / Solicitações de Agendamento (R_SOLIC_AGENDAMENTO)</v>
      </c>
    </row>
    <row r="11046" spans="1:7" x14ac:dyDescent="0.3">
      <c r="A11046" s="1" t="s">
        <v>4</v>
      </c>
      <c r="B11046" s="2" t="str">
        <f t="shared" si="964"/>
        <v>SISTEMA DE CENTRAL DE MARCAÇÕES</v>
      </c>
      <c r="C11046" s="2" t="str">
        <f t="shared" si="965"/>
        <v>ATEND</v>
      </c>
      <c r="D11046" s="2" t="str">
        <f t="shared" si="966"/>
        <v>SCMA</v>
      </c>
      <c r="E11046" s="2" t="str">
        <f>"WIN_PRINCIPAL"</f>
        <v>WIN_PRINCIPAL</v>
      </c>
      <c r="F11046" s="2" t="str">
        <f>"C_ESCALAS"</f>
        <v>C_ESCALAS</v>
      </c>
      <c r="G11046" s="2" t="str">
        <f>"Atendimento / Central de Agendamento / Consultas / Consulta de Escalas (C_ESCALAS)"</f>
        <v>Atendimento / Central de Agendamento / Consultas / Consulta de Escalas (C_ESCALAS)</v>
      </c>
    </row>
    <row r="11047" spans="1:7" x14ac:dyDescent="0.3">
      <c r="A11047" s="1" t="s">
        <v>4</v>
      </c>
      <c r="B11047" s="2" t="str">
        <f t="shared" si="964"/>
        <v>SISTEMA DE CENTRAL DE MARCAÇÕES</v>
      </c>
      <c r="C11047" s="2" t="str">
        <f t="shared" si="965"/>
        <v>ATEND</v>
      </c>
      <c r="D11047" s="2" t="str">
        <f t="shared" si="966"/>
        <v>SCMA</v>
      </c>
      <c r="E11047" s="2" t="str">
        <f>"CADASTRO DE USUÁRIOS POR SETOR"</f>
        <v>CADASTRO DE USUÁRIOS POR SETOR</v>
      </c>
      <c r="F11047" s="2" t="str">
        <f>"M_USUARIO_SETOR_UNIDADE"</f>
        <v>M_USUARIO_SETOR_UNIDADE</v>
      </c>
      <c r="G11047" s="2" t="str">
        <f>"Apoio a TI / Gestão de Usuários / Configurações de Acesso / Acessos Central Agendamento / Usuários por Setor Solicitante por Unidade Atendimento (M_USUARIO_SETOR_UNIDADE)"</f>
        <v>Apoio a TI / Gestão de Usuários / Configurações de Acesso / Acessos Central Agendamento / Usuários por Setor Solicitante por Unidade Atendimento (M_USUARIO_SETOR_UNIDADE)</v>
      </c>
    </row>
    <row r="11048" spans="1:7" x14ac:dyDescent="0.3">
      <c r="A11048" s="1" t="s">
        <v>4</v>
      </c>
      <c r="B11048" s="2" t="str">
        <f t="shared" si="964"/>
        <v>SISTEMA DE CENTRAL DE MARCAÇÕES</v>
      </c>
      <c r="C11048" s="2" t="str">
        <f t="shared" si="965"/>
        <v>ATEND</v>
      </c>
      <c r="D11048" s="2" t="str">
        <f t="shared" si="966"/>
        <v>SCMA</v>
      </c>
      <c r="E11048" s="2" t="str">
        <f>"Manutenção de Agendas das Turmas"</f>
        <v>Manutenção de Agendas das Turmas</v>
      </c>
      <c r="F11048" s="2" t="str">
        <f>"M_MANUTENCAO_AGENDA_TURMA"</f>
        <v>M_MANUTENCAO_AGENDA_TURMA</v>
      </c>
      <c r="G11048" s="2" t="str">
        <f>"Atendimento / Central de Agendamento / Agendamentos / Turmas / Manutenção (M_MANUTENCAO_AGENDA_TURMA)"</f>
        <v>Atendimento / Central de Agendamento / Agendamentos / Turmas / Manutenção (M_MANUTENCAO_AGENDA_TURMA)</v>
      </c>
    </row>
    <row r="11049" spans="1:7" x14ac:dyDescent="0.3">
      <c r="A11049" s="1" t="s">
        <v>4</v>
      </c>
      <c r="B11049" s="2" t="str">
        <f t="shared" si="964"/>
        <v>SISTEMA DE CENTRAL DE MARCAÇÕES</v>
      </c>
      <c r="C11049" s="2" t="str">
        <f t="shared" si="965"/>
        <v>ATEND</v>
      </c>
      <c r="D11049" s="2" t="str">
        <f t="shared" si="966"/>
        <v>SCMA</v>
      </c>
      <c r="E11049" s="2" t="str">
        <f>"Manutenção de Agendas das Turmas"</f>
        <v>Manutenção de Agendas das Turmas</v>
      </c>
      <c r="F11049" s="2" t="str">
        <f>"M_MANUTENCAO_AGENDA_TURMA"</f>
        <v>M_MANUTENCAO_AGENDA_TURMA</v>
      </c>
      <c r="G11049" s="2" t="str">
        <f>"Atendimento / Central de Agendamento / Agendamentos / Manutenção de Escalas/Agendas / Turmas (M_MANUTENCAO_AGENDA_TURMA)"</f>
        <v>Atendimento / Central de Agendamento / Agendamentos / Manutenção de Escalas/Agendas / Turmas (M_MANUTENCAO_AGENDA_TURMA)</v>
      </c>
    </row>
    <row r="11050" spans="1:7" x14ac:dyDescent="0.3">
      <c r="A11050" s="1" t="s">
        <v>4</v>
      </c>
      <c r="B11050" s="2" t="str">
        <f t="shared" si="964"/>
        <v>SISTEMA DE CENTRAL DE MARCAÇÕES</v>
      </c>
      <c r="C11050" s="2" t="str">
        <f t="shared" si="965"/>
        <v>ATEND</v>
      </c>
      <c r="D11050" s="2" t="str">
        <f t="shared" si="966"/>
        <v>SCMA</v>
      </c>
      <c r="E11050" s="2" t="str">
        <f>"Cópia de Agendas"</f>
        <v>Cópia de Agendas</v>
      </c>
      <c r="F11050" s="2" t="str">
        <f>"M_COPIA_AGENDA"</f>
        <v>M_COPIA_AGENDA</v>
      </c>
      <c r="G11050" s="2" t="str">
        <f>"Atendimento / Central de Agendamento / Agendamentos / Manutenção de Escalas/Agendas / Cópia de Agendas (M_COPIA_AGENDA)"</f>
        <v>Atendimento / Central de Agendamento / Agendamentos / Manutenção de Escalas/Agendas / Cópia de Agendas (M_COPIA_AGENDA)</v>
      </c>
    </row>
    <row r="11051" spans="1:7" x14ac:dyDescent="0.3">
      <c r="A11051" s="1" t="s">
        <v>4</v>
      </c>
      <c r="B11051" s="2" t="str">
        <f t="shared" si="964"/>
        <v>SISTEMA DE CENTRAL DE MARCAÇÕES</v>
      </c>
      <c r="C11051" s="2" t="str">
        <f t="shared" si="965"/>
        <v>ATEND</v>
      </c>
      <c r="D11051" s="2" t="str">
        <f t="shared" si="966"/>
        <v>SCMA</v>
      </c>
      <c r="E11051" s="2" t="str">
        <f>"WIN_PRINCIPAL"</f>
        <v>WIN_PRINCIPAL</v>
      </c>
      <c r="F11051" s="2" t="str">
        <f>"M_TIPO_RESERVA_HORARIOS_SCMA"</f>
        <v>M_TIPO_RESERVA_HORARIOS_SCMA</v>
      </c>
      <c r="G11051" s="2" t="str">
        <f>"Atendimento / Central de Agendamento / Tabelas / Tipo de Reserva (M_TIPO_RESERVA_HORARIOS_SCMA)"</f>
        <v>Atendimento / Central de Agendamento / Tabelas / Tipo de Reserva (M_TIPO_RESERVA_HORARIOS_SCMA)</v>
      </c>
    </row>
    <row r="11052" spans="1:7" x14ac:dyDescent="0.3">
      <c r="A11052" s="1" t="s">
        <v>4</v>
      </c>
      <c r="B11052" s="2" t="str">
        <f t="shared" si="964"/>
        <v>SISTEMA DE CENTRAL DE MARCAÇÕES</v>
      </c>
      <c r="C11052" s="2" t="str">
        <f t="shared" si="965"/>
        <v>ATEND</v>
      </c>
      <c r="D11052" s="2" t="str">
        <f t="shared" si="966"/>
        <v>SCMA</v>
      </c>
      <c r="E11052" s="2" t="str">
        <f>"CONSULTA DE EXAMES"</f>
        <v>CONSULTA DE EXAMES</v>
      </c>
      <c r="F11052" s="2" t="str">
        <f>"C_EXAMES_SCMA"</f>
        <v>C_EXAMES_SCMA</v>
      </c>
      <c r="G11052" s="2" t="str">
        <f>"Atendimento / Central de Agendamento / Consultas / Exames (C_EXAMES_SCMA)"</f>
        <v>Atendimento / Central de Agendamento / Consultas / Exames (C_EXAMES_SCMA)</v>
      </c>
    </row>
    <row r="11053" spans="1:7" x14ac:dyDescent="0.3">
      <c r="A11053" s="1" t="s">
        <v>4</v>
      </c>
      <c r="B11053" s="2" t="str">
        <f t="shared" si="964"/>
        <v>SISTEMA DE CENTRAL DE MARCAÇÕES</v>
      </c>
      <c r="C11053" s="2" t="str">
        <f t="shared" si="965"/>
        <v>ATEND</v>
      </c>
      <c r="D11053" s="2" t="str">
        <f t="shared" si="966"/>
        <v>SCMA</v>
      </c>
      <c r="E11053" s="2" t="str">
        <f>"MANUTENÇÃO DE AGENDAMENTO"</f>
        <v>MANUTENÇÃO DE AGENDAMENTO</v>
      </c>
      <c r="F11053" s="2" t="str">
        <f>"M_RECEPCAO_MANUT_AGENDA"</f>
        <v>M_RECEPCAO_MANUT_AGENDA</v>
      </c>
      <c r="G11053" s="2" t="str">
        <f>"Atendimento / Central de Agendamento / Agendamentos / Manutenção de Agendamentos (M_RECEPCAO_MANUT_AGENDA)"</f>
        <v>Atendimento / Central de Agendamento / Agendamentos / Manutenção de Agendamentos (M_RECEPCAO_MANUT_AGENDA)</v>
      </c>
    </row>
    <row r="11054" spans="1:7" x14ac:dyDescent="0.3">
      <c r="A11054" s="1" t="s">
        <v>4</v>
      </c>
      <c r="B11054" s="2" t="str">
        <f t="shared" si="964"/>
        <v>SISTEMA DE CENTRAL DE MARCAÇÕES</v>
      </c>
      <c r="C11054" s="2" t="str">
        <f t="shared" si="965"/>
        <v>ATEND</v>
      </c>
      <c r="D11054" s="2" t="str">
        <f t="shared" si="966"/>
        <v>SCMA</v>
      </c>
      <c r="E11054" s="2" t="str">
        <f>"ALTERAÇÃO DE DADOS DO AGENDAMENTO"</f>
        <v>ALTERAÇÃO DE DADOS DO AGENDAMENTO</v>
      </c>
      <c r="F11054" s="2" t="str">
        <f>"M_ALTERACAO_AGENDA_SCMA"</f>
        <v>M_ALTERACAO_AGENDA_SCMA</v>
      </c>
      <c r="G11054" s="2" t="str">
        <f>"Atendimento / Central de Agendamento / Agendamentos / Alteração de Agendamentos (M_ALTERACAO_AGENDA_SCMA)"</f>
        <v>Atendimento / Central de Agendamento / Agendamentos / Alteração de Agendamentos (M_ALTERACAO_AGENDA_SCMA)</v>
      </c>
    </row>
    <row r="11055" spans="1:7" x14ac:dyDescent="0.3">
      <c r="A11055" s="1" t="s">
        <v>4</v>
      </c>
      <c r="B11055" s="2" t="str">
        <f t="shared" si="964"/>
        <v>SISTEMA DE CENTRAL DE MARCAÇÕES</v>
      </c>
      <c r="C11055" s="2" t="str">
        <f t="shared" si="965"/>
        <v>ATEND</v>
      </c>
      <c r="D11055" s="2" t="str">
        <f t="shared" si="966"/>
        <v>SCMA</v>
      </c>
      <c r="E11055" s="2" t="str">
        <f>"RELATÓRIO DE PRODUÇÃO POR PRESTADOR"</f>
        <v>RELATÓRIO DE PRODUÇÃO POR PRESTADOR</v>
      </c>
      <c r="F11055" s="2" t="str">
        <f>"R_PRODUCAO_PRESTADOR"</f>
        <v>R_PRODUCAO_PRESTADOR</v>
      </c>
      <c r="G11055" s="2" t="str">
        <f>"Atendimento / Central de Agendamento / Relatórios / Agendamentos / Produção por Prestador/Recurso (R_PRODUCAO_PRESTADOR)"</f>
        <v>Atendimento / Central de Agendamento / Relatórios / Agendamentos / Produção por Prestador/Recurso (R_PRODUCAO_PRESTADOR)</v>
      </c>
    </row>
    <row r="11056" spans="1:7" x14ac:dyDescent="0.3">
      <c r="A11056" s="1" t="s">
        <v>4</v>
      </c>
      <c r="B11056" s="2" t="str">
        <f t="shared" si="964"/>
        <v>SISTEMA DE CENTRAL DE MARCAÇÕES</v>
      </c>
      <c r="C11056" s="2" t="str">
        <f t="shared" si="965"/>
        <v>ATEND</v>
      </c>
      <c r="D11056" s="2" t="str">
        <f t="shared" si="966"/>
        <v>SCMA</v>
      </c>
      <c r="E11056" s="2" t="str">
        <f>"R_AGENDA_CANC_RECURSO"</f>
        <v>R_AGENDA_CANC_RECURSO</v>
      </c>
      <c r="F11056" s="2" t="str">
        <f>"R_AGENDA_CANC_RECURSO"</f>
        <v>R_AGENDA_CANC_RECURSO</v>
      </c>
      <c r="G11056" s="2" t="str">
        <f>" ()"</f>
        <v xml:space="preserve"> ()</v>
      </c>
    </row>
    <row r="11057" spans="1:7" x14ac:dyDescent="0.3">
      <c r="A11057" s="1" t="s">
        <v>4</v>
      </c>
      <c r="B11057" s="2" t="str">
        <f t="shared" si="964"/>
        <v>SISTEMA DE CENTRAL DE MARCAÇÕES</v>
      </c>
      <c r="C11057" s="2" t="str">
        <f t="shared" si="965"/>
        <v>ATEND</v>
      </c>
      <c r="D11057" s="2" t="str">
        <f t="shared" si="966"/>
        <v>SCMA</v>
      </c>
      <c r="E11057" s="2" t="str">
        <f>"RELATÓRIO DE AGENDAMENTOS CANCELADOS"</f>
        <v>RELATÓRIO DE AGENDAMENTOS CANCELADOS</v>
      </c>
      <c r="F11057" s="2" t="str">
        <f>"R_AGENDA_CANC_PRESTADOR"</f>
        <v>R_AGENDA_CANC_PRESTADOR</v>
      </c>
      <c r="G11057" s="2" t="str">
        <f>"Atendimento / Central de Agendamento / Relatórios / Agendamentos / Agendamentos Cancelados (R_AGENDA_CANC_PRESTADOR)"</f>
        <v>Atendimento / Central de Agendamento / Relatórios / Agendamentos / Agendamentos Cancelados (R_AGENDA_CANC_PRESTADOR)</v>
      </c>
    </row>
    <row r="11058" spans="1:7" x14ac:dyDescent="0.3">
      <c r="A11058" s="1" t="s">
        <v>4</v>
      </c>
      <c r="B11058" s="2" t="str">
        <f t="shared" si="964"/>
        <v>SISTEMA DE CENTRAL DE MARCAÇÕES</v>
      </c>
      <c r="C11058" s="2" t="str">
        <f t="shared" si="965"/>
        <v>ATEND</v>
      </c>
      <c r="D11058" s="2" t="str">
        <f t="shared" si="966"/>
        <v>SCMA</v>
      </c>
      <c r="E11058" s="2" t="str">
        <f>"RELATÓRIO DE ITENS DE AGENDAMENTO"</f>
        <v>RELATÓRIO DE ITENS DE AGENDAMENTO</v>
      </c>
      <c r="F11058" s="2" t="str">
        <f>"R_ITEM_AGENDAMENTO"</f>
        <v>R_ITEM_AGENDAMENTO</v>
      </c>
      <c r="G11058" s="2" t="str">
        <f>"Atendimento / Central de Agendamento / Relatórios / Tabelas / Itens de Agendamento (R_ITEM_AGENDAMENTO)"</f>
        <v>Atendimento / Central de Agendamento / Relatórios / Tabelas / Itens de Agendamento (R_ITEM_AGENDAMENTO)</v>
      </c>
    </row>
    <row r="11059" spans="1:7" x14ac:dyDescent="0.3">
      <c r="A11059" s="1" t="s">
        <v>4</v>
      </c>
      <c r="B11059" s="2" t="str">
        <f t="shared" si="964"/>
        <v>SISTEMA DE CENTRAL DE MARCAÇÕES</v>
      </c>
      <c r="C11059" s="2" t="str">
        <f t="shared" si="965"/>
        <v>ATEND</v>
      </c>
      <c r="D11059" s="2" t="str">
        <f t="shared" si="966"/>
        <v>SCMA</v>
      </c>
      <c r="E11059" s="2" t="str">
        <f>"REL. DE RECURSO X ITENS DE AGENDAMENTO"</f>
        <v>REL. DE RECURSO X ITENS DE AGENDAMENTO</v>
      </c>
      <c r="F11059" s="2" t="str">
        <f>"R_RECURSO_ITEM"</f>
        <v>R_RECURSO_ITEM</v>
      </c>
      <c r="G11059" s="2" t="str">
        <f>"Atendimento / Central de Agendamento / Relatórios / Tabelas / Recurso x Itens de Agendamento (R_RECURSO_ITEM)"</f>
        <v>Atendimento / Central de Agendamento / Relatórios / Tabelas / Recurso x Itens de Agendamento (R_RECURSO_ITEM)</v>
      </c>
    </row>
    <row r="11060" spans="1:7" x14ac:dyDescent="0.3">
      <c r="A11060" s="1" t="s">
        <v>4</v>
      </c>
      <c r="B11060" s="2" t="str">
        <f t="shared" si="964"/>
        <v>SISTEMA DE CENTRAL DE MARCAÇÕES</v>
      </c>
      <c r="C11060" s="2" t="str">
        <f t="shared" si="965"/>
        <v>ATEND</v>
      </c>
      <c r="D11060" s="2" t="str">
        <f t="shared" si="966"/>
        <v>SCMA</v>
      </c>
      <c r="E11060" s="2" t="str">
        <f>"REL. DE  ITENS DE AGENDAMENTO X RECURSO"</f>
        <v>REL. DE  ITENS DE AGENDAMENTO X RECURSO</v>
      </c>
      <c r="F11060" s="2" t="str">
        <f>"R_ITEM_RECURSO"</f>
        <v>R_ITEM_RECURSO</v>
      </c>
      <c r="G11060" s="2" t="str">
        <f>"Atendimento / Central de Agendamento / Relatórios / Tabelas / Itens de Agendamento x Recurso (R_ITEM_RECURSO)"</f>
        <v>Atendimento / Central de Agendamento / Relatórios / Tabelas / Itens de Agendamento x Recurso (R_ITEM_RECURSO)</v>
      </c>
    </row>
    <row r="11061" spans="1:7" x14ac:dyDescent="0.3">
      <c r="A11061" s="1" t="s">
        <v>4</v>
      </c>
      <c r="B11061" s="2" t="str">
        <f t="shared" si="964"/>
        <v>SISTEMA DE CENTRAL DE MARCAÇÕES</v>
      </c>
      <c r="C11061" s="2" t="str">
        <f t="shared" si="965"/>
        <v>ATEND</v>
      </c>
      <c r="D11061" s="2" t="str">
        <f t="shared" si="966"/>
        <v>SCMA</v>
      </c>
      <c r="E11061" s="2" t="str">
        <f>"CADASTRO DE ESCALAS"</f>
        <v>CADASTRO DE ESCALAS</v>
      </c>
      <c r="F11061" s="2" t="str">
        <f>"M_ALTERA_ESCALA"</f>
        <v>M_ALTERA_ESCALA</v>
      </c>
      <c r="G11061" s="2" t="str">
        <f>"Atendimento / Central de Agendamento / Agendamentos / Manutenção de Escalas/Agendas / Manutenção (M_ALTERA_ESCALA)"</f>
        <v>Atendimento / Central de Agendamento / Agendamentos / Manutenção de Escalas/Agendas / Manutenção (M_ALTERA_ESCALA)</v>
      </c>
    </row>
    <row r="11062" spans="1:7" x14ac:dyDescent="0.3">
      <c r="A11062" s="1" t="s">
        <v>4</v>
      </c>
      <c r="B11062" s="2" t="str">
        <f t="shared" si="964"/>
        <v>SISTEMA DE CENTRAL DE MARCAÇÕES</v>
      </c>
      <c r="C11062" s="2" t="str">
        <f t="shared" si="965"/>
        <v>ATEND</v>
      </c>
      <c r="D11062" s="2" t="str">
        <f t="shared" si="966"/>
        <v>SCMA</v>
      </c>
      <c r="E11062" s="2" t="str">
        <f>"RELATÓRIO DE AGENDA DE PRESTADOR"</f>
        <v>RELATÓRIO DE AGENDA DE PRESTADOR</v>
      </c>
      <c r="F11062" s="2" t="str">
        <f>"R_AGENDA_PRESTADOR_SCMA"</f>
        <v>R_AGENDA_PRESTADOR_SCMA</v>
      </c>
      <c r="G11062" s="2" t="str">
        <f>"Atendimento / Central de Agendamento / Relatórios / Agendamentos / Agenda de Prestadores (R_AGENDA_PRESTADOR_SCMA)"</f>
        <v>Atendimento / Central de Agendamento / Relatórios / Agendamentos / Agenda de Prestadores (R_AGENDA_PRESTADOR_SCMA)</v>
      </c>
    </row>
    <row r="11063" spans="1:7" x14ac:dyDescent="0.3">
      <c r="A11063" s="1" t="s">
        <v>4</v>
      </c>
      <c r="B11063" s="2" t="str">
        <f t="shared" ref="B11063:B11116" si="967">"SISTEMA DE CENTRAL DE MARCAÇÕES"</f>
        <v>SISTEMA DE CENTRAL DE MARCAÇÕES</v>
      </c>
      <c r="C11063" s="2" t="str">
        <f t="shared" ref="C11063:C11116" si="968">"ATEND"</f>
        <v>ATEND</v>
      </c>
      <c r="D11063" s="2" t="str">
        <f t="shared" ref="D11063:D11116" si="969">"SCMA"</f>
        <v>SCMA</v>
      </c>
      <c r="E11063" s="2" t="str">
        <f>"RELATÓRIO DE AGENDAS CANCELADAS"</f>
        <v>RELATÓRIO DE AGENDAS CANCELADAS</v>
      </c>
      <c r="F11063" s="2" t="str">
        <f>"R_AGENDA_CANC"</f>
        <v>R_AGENDA_CANC</v>
      </c>
      <c r="G11063" s="2" t="str">
        <f>" ()"</f>
        <v xml:space="preserve"> ()</v>
      </c>
    </row>
    <row r="11064" spans="1:7" x14ac:dyDescent="0.3">
      <c r="A11064" s="1" t="s">
        <v>4</v>
      </c>
      <c r="B11064" s="2" t="str">
        <f t="shared" si="967"/>
        <v>SISTEMA DE CENTRAL DE MARCAÇÕES</v>
      </c>
      <c r="C11064" s="2" t="str">
        <f t="shared" si="968"/>
        <v>ATEND</v>
      </c>
      <c r="D11064" s="2" t="str">
        <f t="shared" si="969"/>
        <v>SCMA</v>
      </c>
      <c r="E11064" s="2" t="str">
        <f>"RELATÓRIO DE PACIENTES AGENDADOS"</f>
        <v>RELATÓRIO DE PACIENTES AGENDADOS</v>
      </c>
      <c r="F11064" s="2" t="str">
        <f>"R_PAC_AGENDADOS_CONVENIO"</f>
        <v>R_PAC_AGENDADOS_CONVENIO</v>
      </c>
      <c r="G11064" s="2" t="str">
        <f>"Atendimento / Central de Agendamento / Relatórios / Agendamentos / Pacientes Agendados / Por Convênio (R_PAC_AGENDADOS_CONVENIO)"</f>
        <v>Atendimento / Central de Agendamento / Relatórios / Agendamentos / Pacientes Agendados / Por Convênio (R_PAC_AGENDADOS_CONVENIO)</v>
      </c>
    </row>
    <row r="11065" spans="1:7" x14ac:dyDescent="0.3">
      <c r="A11065" s="1" t="s">
        <v>4</v>
      </c>
      <c r="B11065" s="2" t="str">
        <f t="shared" si="967"/>
        <v>SISTEMA DE CENTRAL DE MARCAÇÕES</v>
      </c>
      <c r="C11065" s="2" t="str">
        <f t="shared" si="968"/>
        <v>ATEND</v>
      </c>
      <c r="D11065" s="2" t="str">
        <f t="shared" si="969"/>
        <v>SCMA</v>
      </c>
      <c r="E11065" s="2" t="str">
        <f>"RELATÓRIO DE PACIENTES AGENDADOS"</f>
        <v>RELATÓRIO DE PACIENTES AGENDADOS</v>
      </c>
      <c r="F11065" s="2" t="str">
        <f>"R_PAC_AGENDADOS_DATA"</f>
        <v>R_PAC_AGENDADOS_DATA</v>
      </c>
      <c r="G11065" s="2" t="str">
        <f>"Atendimento / Central de Agendamento / Relatórios / Agendamentos / Pacientes Agendados / Por Data (R_PAC_AGENDADOS_DATA)"</f>
        <v>Atendimento / Central de Agendamento / Relatórios / Agendamentos / Pacientes Agendados / Por Data (R_PAC_AGENDADOS_DATA)</v>
      </c>
    </row>
    <row r="11066" spans="1:7" x14ac:dyDescent="0.3">
      <c r="A11066" s="1" t="s">
        <v>4</v>
      </c>
      <c r="B11066" s="2" t="str">
        <f t="shared" si="967"/>
        <v>SISTEMA DE CENTRAL DE MARCAÇÕES</v>
      </c>
      <c r="C11066" s="2" t="str">
        <f t="shared" si="968"/>
        <v>ATEND</v>
      </c>
      <c r="D11066" s="2" t="str">
        <f t="shared" si="969"/>
        <v>SCMA</v>
      </c>
      <c r="E11066" s="2" t="str">
        <f>"CONSULTA DE AGENDAMENTOS"</f>
        <v>CONSULTA DE AGENDAMENTOS</v>
      </c>
      <c r="F11066" s="2" t="str">
        <f>"C_AGENDAMENTOS"</f>
        <v>C_AGENDAMENTOS</v>
      </c>
      <c r="G11066" s="2" t="str">
        <f>"Atendimento / Central de Agendamento / Consultas / Agendamentos (C_AGENDAMENTOS)"</f>
        <v>Atendimento / Central de Agendamento / Consultas / Agendamentos (C_AGENDAMENTOS)</v>
      </c>
    </row>
    <row r="11067" spans="1:7" x14ac:dyDescent="0.3">
      <c r="A11067" s="1" t="s">
        <v>4</v>
      </c>
      <c r="B11067" s="2" t="str">
        <f t="shared" si="967"/>
        <v>SISTEMA DE CENTRAL DE MARCAÇÕES</v>
      </c>
      <c r="C11067" s="2" t="str">
        <f t="shared" si="968"/>
        <v>ATEND</v>
      </c>
      <c r="D11067" s="2" t="str">
        <f t="shared" si="969"/>
        <v>SCMA</v>
      </c>
      <c r="E11067" s="2" t="str">
        <f>"CADASTRO DE TURMAS"</f>
        <v>CADASTRO DE TURMAS</v>
      </c>
      <c r="F11067" s="2" t="str">
        <f>"M_TURMA"</f>
        <v>M_TURMA</v>
      </c>
      <c r="G11067" s="2" t="str">
        <f>"Atendimento / Central de Agendamento / Tabelas / Turmas / Turma (M_TURMA)"</f>
        <v>Atendimento / Central de Agendamento / Tabelas / Turmas / Turma (M_TURMA)</v>
      </c>
    </row>
    <row r="11068" spans="1:7" x14ac:dyDescent="0.3">
      <c r="A11068" s="1" t="s">
        <v>4</v>
      </c>
      <c r="B11068" s="2" t="str">
        <f t="shared" si="967"/>
        <v>SISTEMA DE CENTRAL DE MARCAÇÕES</v>
      </c>
      <c r="C11068" s="2" t="str">
        <f t="shared" si="968"/>
        <v>ATEND</v>
      </c>
      <c r="D11068" s="2" t="str">
        <f t="shared" si="969"/>
        <v>SCMA</v>
      </c>
      <c r="E11068" s="2" t="str">
        <f>"M_CONFIG_SCMA"</f>
        <v>M_CONFIG_SCMA</v>
      </c>
      <c r="F11068" s="2" t="str">
        <f>"M_CONFIG_SCMA"</f>
        <v>M_CONFIG_SCMA</v>
      </c>
      <c r="G11068" s="2" t="str">
        <f>"Atendimento / Central de Agendamento / Configurações / Parâmetros (M_CONFIG_SCMA)"</f>
        <v>Atendimento / Central de Agendamento / Configurações / Parâmetros (M_CONFIG_SCMA)</v>
      </c>
    </row>
    <row r="11069" spans="1:7" x14ac:dyDescent="0.3">
      <c r="A11069" s="1" t="s">
        <v>4</v>
      </c>
      <c r="B11069" s="2" t="str">
        <f t="shared" si="967"/>
        <v>SISTEMA DE CENTRAL DE MARCAÇÕES</v>
      </c>
      <c r="C11069" s="2" t="str">
        <f t="shared" si="968"/>
        <v>ATEND</v>
      </c>
      <c r="D11069" s="2" t="str">
        <f t="shared" si="969"/>
        <v>SCMA</v>
      </c>
      <c r="E11069" s="2" t="str">
        <f>"RECEPÇÃO - CENTRAL DE MARCAÇÕES"</f>
        <v>RECEPÇÃO - CENTRAL DE MARCAÇÕES</v>
      </c>
      <c r="F11069" s="2" t="str">
        <f>"M_RECEPCAO_AGENDA"</f>
        <v>M_RECEPCAO_AGENDA</v>
      </c>
      <c r="G11069" s="2" t="str">
        <f>"Atendimento / Ambulatório / Atendimentos / Recepção Central de Marcação (M_RECEPCAO_AGENDA)"</f>
        <v>Atendimento / Ambulatório / Atendimentos / Recepção Central de Marcação (M_RECEPCAO_AGENDA)</v>
      </c>
    </row>
    <row r="11070" spans="1:7" x14ac:dyDescent="0.3">
      <c r="A11070" s="1" t="s">
        <v>4</v>
      </c>
      <c r="B11070" s="2" t="str">
        <f t="shared" si="967"/>
        <v>SISTEMA DE CENTRAL DE MARCAÇÕES</v>
      </c>
      <c r="C11070" s="2" t="str">
        <f t="shared" si="968"/>
        <v>ATEND</v>
      </c>
      <c r="D11070" s="2" t="str">
        <f t="shared" si="969"/>
        <v>SCMA</v>
      </c>
      <c r="E11070" s="2" t="str">
        <f>"WINDOW2 - HOSPITAL MV SISTEMAS"</f>
        <v>WINDOW2 - HOSPITAL MV SISTEMAS</v>
      </c>
      <c r="F11070" s="2" t="str">
        <f>"M_CENTRAL_FILA_ESPERA"</f>
        <v>M_CENTRAL_FILA_ESPERA</v>
      </c>
      <c r="G11070" s="2" t="str">
        <f>"Atendimento / Central de Agendamento / Agendamentos / Fila de Espera (M_CENTRAL_FILA_ESPERA)"</f>
        <v>Atendimento / Central de Agendamento / Agendamentos / Fila de Espera (M_CENTRAL_FILA_ESPERA)</v>
      </c>
    </row>
    <row r="11071" spans="1:7" x14ac:dyDescent="0.3">
      <c r="A11071" s="1" t="s">
        <v>4</v>
      </c>
      <c r="B11071" s="2" t="str">
        <f t="shared" si="967"/>
        <v>SISTEMA DE CENTRAL DE MARCAÇÕES</v>
      </c>
      <c r="C11071" s="2" t="str">
        <f t="shared" si="968"/>
        <v>ATEND</v>
      </c>
      <c r="D11071" s="2" t="str">
        <f t="shared" si="969"/>
        <v>SCMA</v>
      </c>
      <c r="E11071" s="2" t="str">
        <f>"CADASTRO DE USUÁRIO AGENDA CENTRAL"</f>
        <v>CADASTRO DE USUÁRIO AGENDA CENTRAL</v>
      </c>
      <c r="F11071" s="2" t="str">
        <f>"M_USUARIO_AGENDA_CENTRAL"</f>
        <v>M_USUARIO_AGENDA_CENTRAL</v>
      </c>
      <c r="G11071" s="2" t="str">
        <f>"Apoio a TI / Gestão de Usuários / Configurações de Acesso / Acessos Central Agendamento / Usuários por Agenda Central (M_USUARIO_AGENDA_CENTRAL)"</f>
        <v>Apoio a TI / Gestão de Usuários / Configurações de Acesso / Acessos Central Agendamento / Usuários por Agenda Central (M_USUARIO_AGENDA_CENTRAL)</v>
      </c>
    </row>
    <row r="11072" spans="1:7" x14ac:dyDescent="0.3">
      <c r="A11072" s="1" t="s">
        <v>4</v>
      </c>
      <c r="B11072" s="2" t="str">
        <f t="shared" si="967"/>
        <v>SISTEMA DE CENTRAL DE MARCAÇÕES</v>
      </c>
      <c r="C11072" s="2" t="str">
        <f t="shared" si="968"/>
        <v>ATEND</v>
      </c>
      <c r="D11072" s="2" t="str">
        <f t="shared" si="969"/>
        <v>SCMA</v>
      </c>
      <c r="E11072" s="2" t="str">
        <f>"M_IMPORTA_EXAMES_ITEM"</f>
        <v>M_IMPORTA_EXAMES_ITEM</v>
      </c>
      <c r="F11072" s="2" t="str">
        <f>"M_IMPORTA_EXAMES_ITEM"</f>
        <v>M_IMPORTA_EXAMES_ITEM</v>
      </c>
      <c r="G11072" s="2" t="str">
        <f>"Atendimento / Central de Agendamento / Tabelas / Importação de Exames para Itens  (M_IMPORTA_EXAMES_ITEM)"</f>
        <v>Atendimento / Central de Agendamento / Tabelas / Importação de Exames para Itens  (M_IMPORTA_EXAMES_ITEM)</v>
      </c>
    </row>
    <row r="11073" spans="1:7" x14ac:dyDescent="0.3">
      <c r="A11073" s="1" t="s">
        <v>4</v>
      </c>
      <c r="B11073" s="2" t="str">
        <f t="shared" si="967"/>
        <v>SISTEMA DE CENTRAL DE MARCAÇÕES</v>
      </c>
      <c r="C11073" s="2" t="str">
        <f t="shared" si="968"/>
        <v>ATEND</v>
      </c>
      <c r="D11073" s="2" t="str">
        <f t="shared" si="969"/>
        <v>SCMA</v>
      </c>
      <c r="E11073" s="2" t="str">
        <f>"SOLICITAÇÃO DE AGENDAMENTO"</f>
        <v>SOLICITAÇÃO DE AGENDAMENTO</v>
      </c>
      <c r="F11073" s="2" t="str">
        <f>"M_SOLIC_AGENDAMENTO"</f>
        <v>M_SOLIC_AGENDAMENTO</v>
      </c>
      <c r="G11073" s="2" t="str">
        <f>"Atendimento / Central de Agendamento / Agendamentos / Solicitação de Agendamento (M_SOLIC_AGENDAMENTO)"</f>
        <v>Atendimento / Central de Agendamento / Agendamentos / Solicitação de Agendamento (M_SOLIC_AGENDAMENTO)</v>
      </c>
    </row>
    <row r="11074" spans="1:7" x14ac:dyDescent="0.3">
      <c r="A11074" s="1" t="s">
        <v>4</v>
      </c>
      <c r="B11074" s="2" t="str">
        <f t="shared" si="967"/>
        <v>SISTEMA DE CENTRAL DE MARCAÇÕES</v>
      </c>
      <c r="C11074" s="2" t="str">
        <f t="shared" si="968"/>
        <v>ATEND</v>
      </c>
      <c r="D11074" s="2" t="str">
        <f t="shared" si="969"/>
        <v>SCMA</v>
      </c>
      <c r="E11074" s="2" t="str">
        <f>"EXCLUSÃO DE AGENDAS"</f>
        <v>EXCLUSÃO DE AGENDAS</v>
      </c>
      <c r="F11074" s="2" t="str">
        <f>"M_EXCLUI_AGD_CENTRAL"</f>
        <v>M_EXCLUI_AGD_CENTRAL</v>
      </c>
      <c r="G11074" s="2" t="str">
        <f>"Atendimento / Central de Agendamento / Agendamentos / Manutenção de Escalas/Agendas / Exclusão de Agendas (M_EXCLUI_AGD_CENTRAL)"</f>
        <v>Atendimento / Central de Agendamento / Agendamentos / Manutenção de Escalas/Agendas / Exclusão de Agendas (M_EXCLUI_AGD_CENTRAL)</v>
      </c>
    </row>
    <row r="11075" spans="1:7" x14ac:dyDescent="0.3">
      <c r="A11075" s="1" t="s">
        <v>4</v>
      </c>
      <c r="B11075" s="2" t="str">
        <f t="shared" si="967"/>
        <v>SISTEMA DE CENTRAL DE MARCAÇÕES</v>
      </c>
      <c r="C11075" s="2" t="str">
        <f t="shared" si="968"/>
        <v>ATEND</v>
      </c>
      <c r="D11075" s="2" t="str">
        <f t="shared" si="969"/>
        <v>SCMA</v>
      </c>
      <c r="E11075" s="2" t="str">
        <f>"M_EQUIPTO_ITEM"</f>
        <v>M_EQUIPTO_ITEM</v>
      </c>
      <c r="F11075" s="2" t="str">
        <f>"M_EQUIPTO_ITEM"</f>
        <v>M_EQUIPTO_ITEM</v>
      </c>
      <c r="G11075" s="2" t="str">
        <f>"Atendimento / Central de Agendamento / Tabelas / Itens de Agendamento X Equipamentos (M_EQUIPTO_ITEM)"</f>
        <v>Atendimento / Central de Agendamento / Tabelas / Itens de Agendamento X Equipamentos (M_EQUIPTO_ITEM)</v>
      </c>
    </row>
    <row r="11076" spans="1:7" x14ac:dyDescent="0.3">
      <c r="A11076" s="1" t="s">
        <v>4</v>
      </c>
      <c r="B11076" s="2" t="str">
        <f t="shared" si="967"/>
        <v>SISTEMA DE CENTRAL DE MARCAÇÕES</v>
      </c>
      <c r="C11076" s="2" t="str">
        <f t="shared" si="968"/>
        <v>ATEND</v>
      </c>
      <c r="D11076" s="2" t="str">
        <f t="shared" si="969"/>
        <v>SCMA</v>
      </c>
      <c r="E11076" s="2" t="str">
        <f>"CENTRAL DE MARCAÇÃO"</f>
        <v>CENTRAL DE MARCAÇÃO</v>
      </c>
      <c r="F11076" s="2" t="str">
        <f>"M_CENTRAL_MARCACOES"</f>
        <v>M_CENTRAL_MARCACOES</v>
      </c>
      <c r="G11076" s="2" t="str">
        <f>"Diagnóstico e Terapia / Laboratório de Análises Clínicas / Agendamento / Central de Marcações (M_CENTRAL_MARCACOES)"</f>
        <v>Diagnóstico e Terapia / Laboratório de Análises Clínicas / Agendamento / Central de Marcações (M_CENTRAL_MARCACOES)</v>
      </c>
    </row>
    <row r="11077" spans="1:7" x14ac:dyDescent="0.3">
      <c r="A11077" s="1" t="s">
        <v>4</v>
      </c>
      <c r="B11077" s="2" t="str">
        <f t="shared" si="967"/>
        <v>SISTEMA DE CENTRAL DE MARCAÇÕES</v>
      </c>
      <c r="C11077" s="2" t="str">
        <f t="shared" si="968"/>
        <v>ATEND</v>
      </c>
      <c r="D11077" s="2" t="str">
        <f t="shared" si="969"/>
        <v>SCMA</v>
      </c>
      <c r="E11077" s="2" t="str">
        <f>"CENTRAL DE MARCAÇÃO"</f>
        <v>CENTRAL DE MARCAÇÃO</v>
      </c>
      <c r="F11077" s="2" t="str">
        <f>"M_CENTRAL_MARCACOES"</f>
        <v>M_CENTRAL_MARCACOES</v>
      </c>
      <c r="G11077" s="2" t="str">
        <f>"Atendimento / Central de Agendamento / Agendamentos / Central de Marcações (M_CENTRAL_MARCACOES)"</f>
        <v>Atendimento / Central de Agendamento / Agendamentos / Central de Marcações (M_CENTRAL_MARCACOES)</v>
      </c>
    </row>
    <row r="11078" spans="1:7" x14ac:dyDescent="0.3">
      <c r="A11078" s="1" t="s">
        <v>4</v>
      </c>
      <c r="B11078" s="2" t="str">
        <f t="shared" si="967"/>
        <v>SISTEMA DE CENTRAL DE MARCAÇÕES</v>
      </c>
      <c r="C11078" s="2" t="str">
        <f t="shared" si="968"/>
        <v>ATEND</v>
      </c>
      <c r="D11078" s="2" t="str">
        <f t="shared" si="969"/>
        <v>SCMA</v>
      </c>
      <c r="E11078" s="2" t="str">
        <f>"BLOQUEIO E DESBLOQUEIO DE HORÁRIOS"</f>
        <v>BLOQUEIO E DESBLOQUEIO DE HORÁRIOS</v>
      </c>
      <c r="F11078" s="2" t="str">
        <f>"M_BLOQ_DESBLOQ_HR_AGD"</f>
        <v>M_BLOQ_DESBLOQ_HR_AGD</v>
      </c>
      <c r="G11078" s="2" t="str">
        <f>"Atendimento / Central de Agendamento / Agendamentos / Manutenção de Escalas/Agendas / Bloqueio/Desbloqueio de Horários (M_BLOQ_DESBLOQ_HR_AGD)"</f>
        <v>Atendimento / Central de Agendamento / Agendamentos / Manutenção de Escalas/Agendas / Bloqueio/Desbloqueio de Horários (M_BLOQ_DESBLOQ_HR_AGD)</v>
      </c>
    </row>
    <row r="11079" spans="1:7" x14ac:dyDescent="0.3">
      <c r="A11079" s="1" t="s">
        <v>4</v>
      </c>
      <c r="B11079" s="2" t="str">
        <f t="shared" si="967"/>
        <v>SISTEMA DE CENTRAL DE MARCAÇÕES</v>
      </c>
      <c r="C11079" s="2" t="str">
        <f t="shared" si="968"/>
        <v>ATEND</v>
      </c>
      <c r="D11079" s="2" t="str">
        <f t="shared" si="969"/>
        <v>SCMA</v>
      </c>
      <c r="E11079" s="2" t="str">
        <f>"CADASTRO DE GRUPOS DE PACIENTES"</f>
        <v>CADASTRO DE GRUPOS DE PACIENTES</v>
      </c>
      <c r="F11079" s="2" t="str">
        <f>"M_GRUPO_AGENDA"</f>
        <v>M_GRUPO_AGENDA</v>
      </c>
      <c r="G11079" s="2" t="str">
        <f>"Atendimento / Central de Agendamento / Tabelas / Cadastro de Grupos (M_GRUPO_AGENDA)"</f>
        <v>Atendimento / Central de Agendamento / Tabelas / Cadastro de Grupos (M_GRUPO_AGENDA)</v>
      </c>
    </row>
    <row r="11080" spans="1:7" x14ac:dyDescent="0.3">
      <c r="A11080" s="1" t="s">
        <v>4</v>
      </c>
      <c r="B11080" s="2" t="str">
        <f t="shared" si="967"/>
        <v>SISTEMA DE CENTRAL DE MARCAÇÕES</v>
      </c>
      <c r="C11080" s="2" t="str">
        <f t="shared" si="968"/>
        <v>ATEND</v>
      </c>
      <c r="D11080" s="2" t="str">
        <f t="shared" si="969"/>
        <v>SCMA</v>
      </c>
      <c r="E11080" s="2" t="str">
        <f>"CADASTRO DE AGENDAS"</f>
        <v>CADASTRO DE AGENDAS</v>
      </c>
      <c r="F11080" s="2" t="str">
        <f>"M_CAD_AGENDA_CENTRAL"</f>
        <v>M_CAD_AGENDA_CENTRAL</v>
      </c>
      <c r="G11080" s="2" t="str">
        <f>"Atendimento / Central de Agendamento / Tabelas / Cadastro de Agendas (M_CAD_AGENDA_CENTRAL)"</f>
        <v>Atendimento / Central de Agendamento / Tabelas / Cadastro de Agendas (M_CAD_AGENDA_CENTRAL)</v>
      </c>
    </row>
    <row r="11081" spans="1:7" x14ac:dyDescent="0.3">
      <c r="A11081" s="1" t="s">
        <v>4</v>
      </c>
      <c r="B11081" s="2" t="str">
        <f t="shared" si="967"/>
        <v>SISTEMA DE CENTRAL DE MARCAÇÕES</v>
      </c>
      <c r="C11081" s="2" t="str">
        <f t="shared" si="968"/>
        <v>ATEND</v>
      </c>
      <c r="D11081" s="2" t="str">
        <f t="shared" si="969"/>
        <v>SCMA</v>
      </c>
      <c r="E11081" s="2" t="str">
        <f>"GERAÇÃO E LIBERAÇÃO DE AGENDA"</f>
        <v>GERAÇÃO E LIBERAÇÃO DE AGENDA</v>
      </c>
      <c r="F11081" s="2" t="str">
        <f>"M_GERA_AGENDA"</f>
        <v>M_GERA_AGENDA</v>
      </c>
      <c r="G11081" s="2" t="str">
        <f>"Atendimento / Central de Agendamento / Agendamentos / Geração e Liberação de Agendas (M_GERA_AGENDA)"</f>
        <v>Atendimento / Central de Agendamento / Agendamentos / Geração e Liberação de Agendas (M_GERA_AGENDA)</v>
      </c>
    </row>
    <row r="11082" spans="1:7" x14ac:dyDescent="0.3">
      <c r="A11082" s="1" t="s">
        <v>4</v>
      </c>
      <c r="B11082" s="2" t="str">
        <f t="shared" si="967"/>
        <v>SISTEMA DE CENTRAL DE MARCAÇÕES</v>
      </c>
      <c r="C11082" s="2" t="str">
        <f t="shared" si="968"/>
        <v>ATEND</v>
      </c>
      <c r="D11082" s="2" t="str">
        <f t="shared" si="969"/>
        <v>SCMA</v>
      </c>
      <c r="E11082" s="2" t="str">
        <f>"CADASTRO DE ESCALAS"</f>
        <v>CADASTRO DE ESCALAS</v>
      </c>
      <c r="F11082" s="2" t="str">
        <f>"M_ESCALA_CENTRAL"</f>
        <v>M_ESCALA_CENTRAL</v>
      </c>
      <c r="G11082" s="2" t="str">
        <f>"Atendimento / Central de Agendamento / Tabelas / Cadastro de Escalas (M_ESCALA_CENTRAL)"</f>
        <v>Atendimento / Central de Agendamento / Tabelas / Cadastro de Escalas (M_ESCALA_CENTRAL)</v>
      </c>
    </row>
    <row r="11083" spans="1:7" x14ac:dyDescent="0.3">
      <c r="A11083" s="1" t="s">
        <v>4</v>
      </c>
      <c r="B11083" s="2" t="str">
        <f t="shared" si="967"/>
        <v>SISTEMA DE CENTRAL DE MARCAÇÕES</v>
      </c>
      <c r="C11083" s="2" t="str">
        <f t="shared" si="968"/>
        <v>ATEND</v>
      </c>
      <c r="D11083" s="2" t="str">
        <f t="shared" si="969"/>
        <v>SCMA</v>
      </c>
      <c r="E11083" s="2" t="str">
        <f>"M_RECURSO_ITEM"</f>
        <v>M_RECURSO_ITEM</v>
      </c>
      <c r="F11083" s="2" t="str">
        <f>"M_RECURSO_ITEM"</f>
        <v>M_RECURSO_ITEM</v>
      </c>
      <c r="G11083" s="2" t="str">
        <f>"Atendimento / Central de Agendamento / Tabelas / Itens de Agendamento X Recurso (M_RECURSO_ITEM)"</f>
        <v>Atendimento / Central de Agendamento / Tabelas / Itens de Agendamento X Recurso (M_RECURSO_ITEM)</v>
      </c>
    </row>
    <row r="11084" spans="1:7" x14ac:dyDescent="0.3">
      <c r="A11084" s="1" t="s">
        <v>4</v>
      </c>
      <c r="B11084" s="2" t="str">
        <f t="shared" si="967"/>
        <v>SISTEMA DE CENTRAL DE MARCAÇÕES</v>
      </c>
      <c r="C11084" s="2" t="str">
        <f t="shared" si="968"/>
        <v>ATEND</v>
      </c>
      <c r="D11084" s="2" t="str">
        <f t="shared" si="969"/>
        <v>SCMA</v>
      </c>
      <c r="E11084" s="2" t="str">
        <f>"CADASTRO DE ITENS DE AGENDAMENTO"</f>
        <v>CADASTRO DE ITENS DE AGENDAMENTO</v>
      </c>
      <c r="F11084" s="2" t="str">
        <f>"M_ITENS_AGENDAMENTO"</f>
        <v>M_ITENS_AGENDAMENTO</v>
      </c>
      <c r="G11084" s="2" t="str">
        <f>"Atendimento / Central de Agendamento / Tabelas / Itens de Agendamento (M_ITENS_AGENDAMENTO)"</f>
        <v>Atendimento / Central de Agendamento / Tabelas / Itens de Agendamento (M_ITENS_AGENDAMENTO)</v>
      </c>
    </row>
    <row r="11085" spans="1:7" x14ac:dyDescent="0.3">
      <c r="A11085" s="1" t="s">
        <v>4</v>
      </c>
      <c r="B11085" s="2" t="str">
        <f t="shared" si="967"/>
        <v>SISTEMA DE CENTRAL DE MARCAÇÕES</v>
      </c>
      <c r="C11085" s="2" t="str">
        <f t="shared" si="968"/>
        <v>ATEND</v>
      </c>
      <c r="D11085" s="2" t="str">
        <f t="shared" si="969"/>
        <v>SCMA</v>
      </c>
      <c r="E11085" s="2" t="str">
        <f>"M_PRESTADOR_ITEM"</f>
        <v>M_PRESTADOR_ITEM</v>
      </c>
      <c r="F11085" s="2" t="str">
        <f>"M_PRESTADOR_ITEM"</f>
        <v>M_PRESTADOR_ITEM</v>
      </c>
      <c r="G11085" s="2" t="str">
        <f>"Atendimento / Central de Agendamento / Tabelas / Itens de Agendamento X Prestador (M_PRESTADOR_ITEM)"</f>
        <v>Atendimento / Central de Agendamento / Tabelas / Itens de Agendamento X Prestador (M_PRESTADOR_ITEM)</v>
      </c>
    </row>
    <row r="11086" spans="1:7" x14ac:dyDescent="0.3">
      <c r="A11086" s="1" t="s">
        <v>4</v>
      </c>
      <c r="B11086" s="2" t="str">
        <f t="shared" si="967"/>
        <v>SISTEMA DE CENTRAL DE MARCAÇÕES</v>
      </c>
      <c r="C11086" s="2" t="str">
        <f t="shared" si="968"/>
        <v>ATEND</v>
      </c>
      <c r="D11086" s="2" t="str">
        <f t="shared" si="969"/>
        <v>SCMA</v>
      </c>
      <c r="E11086" s="2" t="str">
        <f>"CADASTRO DE UNIDADES DE ATENDIMENTO"</f>
        <v>CADASTRO DE UNIDADES DE ATENDIMENTO</v>
      </c>
      <c r="F11086" s="2" t="str">
        <f>"M_UNIDADE_ATENDIMENTO"</f>
        <v>M_UNIDADE_ATENDIMENTO</v>
      </c>
      <c r="G11086" s="2" t="str">
        <f>"Atendimento / Central de Agendamento / Tabelas / Unidade de Atendimento (M_UNIDADE_ATENDIMENTO)"</f>
        <v>Atendimento / Central de Agendamento / Tabelas / Unidade de Atendimento (M_UNIDADE_ATENDIMENTO)</v>
      </c>
    </row>
    <row r="11087" spans="1:7" x14ac:dyDescent="0.3">
      <c r="A11087" s="1" t="s">
        <v>4</v>
      </c>
      <c r="B11087" s="2" t="str">
        <f t="shared" si="967"/>
        <v>SISTEMA DE CENTRAL DE MARCAÇÕES</v>
      </c>
      <c r="C11087" s="2" t="str">
        <f t="shared" si="968"/>
        <v>ATEND</v>
      </c>
      <c r="D11087" s="2" t="str">
        <f t="shared" si="969"/>
        <v>SCMA</v>
      </c>
      <c r="E11087" s="2" t="str">
        <f>"WIN_PRINCIPAL - HOSPITAL MV SISTEMAS"</f>
        <v>WIN_PRINCIPAL - HOSPITAL MV SISTEMAS</v>
      </c>
      <c r="F11087" s="2" t="str">
        <f>"M_RECURSO_CENTRAL"</f>
        <v>M_RECURSO_CENTRAL</v>
      </c>
      <c r="G11087" s="2" t="str">
        <f>"Atendimento / Central de Agendamento / Tabelas / Recurso (M_RECURSO_CENTRAL)"</f>
        <v>Atendimento / Central de Agendamento / Tabelas / Recurso (M_RECURSO_CENTRAL)</v>
      </c>
    </row>
    <row r="11088" spans="1:7" x14ac:dyDescent="0.3">
      <c r="A11088" s="1" t="s">
        <v>4</v>
      </c>
      <c r="B11088" s="2" t="str">
        <f t="shared" si="967"/>
        <v>SISTEMA DE CENTRAL DE MARCAÇÕES</v>
      </c>
      <c r="C11088" s="2" t="str">
        <f t="shared" si="968"/>
        <v>ATEND</v>
      </c>
      <c r="D11088" s="2" t="str">
        <f t="shared" si="969"/>
        <v>SCMA</v>
      </c>
      <c r="E11088" s="2" t="str">
        <f>"AGENDAS DE TURMA"</f>
        <v>AGENDAS DE TURMA</v>
      </c>
      <c r="F11088" s="2" t="str">
        <f>"C_AGENDA_TURMA"</f>
        <v>C_AGENDA_TURMA</v>
      </c>
      <c r="G11088" s="2" t="str">
        <f>"Atendimento / Central de Agendamento / Consultas / Turmas (C_AGENDA_TURMA)"</f>
        <v>Atendimento / Central de Agendamento / Consultas / Turmas (C_AGENDA_TURMA)</v>
      </c>
    </row>
    <row r="11089" spans="1:7" x14ac:dyDescent="0.3">
      <c r="A11089" s="1" t="s">
        <v>4</v>
      </c>
      <c r="B11089" s="2" t="str">
        <f t="shared" si="967"/>
        <v>SISTEMA DE CENTRAL DE MARCAÇÕES</v>
      </c>
      <c r="C11089" s="2" t="str">
        <f t="shared" si="968"/>
        <v>ATEND</v>
      </c>
      <c r="D11089" s="2" t="str">
        <f t="shared" si="969"/>
        <v>SCMA</v>
      </c>
      <c r="E11089" s="2" t="str">
        <f>"COMPROVANTE DE AGENDAMENTO SCMA"</f>
        <v>COMPROVANTE DE AGENDAMENTO SCMA</v>
      </c>
      <c r="F11089" s="2" t="str">
        <f>"R_COMPROVANTE_AGENDA"</f>
        <v>R_COMPROVANTE_AGENDA</v>
      </c>
      <c r="G11089" s="2" t="str">
        <f t="shared" ref="G11089:G11101" si="970">" ()"</f>
        <v xml:space="preserve"> ()</v>
      </c>
    </row>
    <row r="11090" spans="1:7" x14ac:dyDescent="0.3">
      <c r="A11090" s="1" t="s">
        <v>4</v>
      </c>
      <c r="B11090" s="2" t="str">
        <f t="shared" si="967"/>
        <v>SISTEMA DE CENTRAL DE MARCAÇÕES</v>
      </c>
      <c r="C11090" s="2" t="str">
        <f t="shared" si="968"/>
        <v>ATEND</v>
      </c>
      <c r="D11090" s="2" t="str">
        <f t="shared" si="969"/>
        <v>SCMA</v>
      </c>
      <c r="E11090" s="2" t="str">
        <f>"REL. DE SOLICITAÇÕES DE AGENDAMENTO"</f>
        <v>REL. DE SOLICITAÇÕES DE AGENDAMENTO</v>
      </c>
      <c r="F11090" s="2" t="str">
        <f>"R_SOLIC_AGENDAMENTO.RDF"</f>
        <v>R_SOLIC_AGENDAMENTO.RDF</v>
      </c>
      <c r="G11090" s="2" t="str">
        <f t="shared" si="970"/>
        <v xml:space="preserve"> ()</v>
      </c>
    </row>
    <row r="11091" spans="1:7" x14ac:dyDescent="0.3">
      <c r="A11091" s="1" t="s">
        <v>4</v>
      </c>
      <c r="B11091" s="2" t="str">
        <f t="shared" si="967"/>
        <v>SISTEMA DE CENTRAL DE MARCAÇÕES</v>
      </c>
      <c r="C11091" s="2" t="str">
        <f t="shared" si="968"/>
        <v>ATEND</v>
      </c>
      <c r="D11091" s="2" t="str">
        <f t="shared" si="969"/>
        <v>SCMA</v>
      </c>
      <c r="E11091" s="2" t="str">
        <f>"REL. DE PRODUÇÃO POR PRESTADOR"</f>
        <v>REL. DE PRODUÇÃO POR PRESTADOR</v>
      </c>
      <c r="F11091" s="2" t="str">
        <f>"R_PRODUCAO_PRESTADOR.RDF"</f>
        <v>R_PRODUCAO_PRESTADOR.RDF</v>
      </c>
      <c r="G11091" s="2" t="str">
        <f t="shared" si="970"/>
        <v xml:space="preserve"> ()</v>
      </c>
    </row>
    <row r="11092" spans="1:7" x14ac:dyDescent="0.3">
      <c r="A11092" s="1" t="s">
        <v>4</v>
      </c>
      <c r="B11092" s="2" t="str">
        <f t="shared" si="967"/>
        <v>SISTEMA DE CENTRAL DE MARCAÇÕES</v>
      </c>
      <c r="C11092" s="2" t="str">
        <f t="shared" si="968"/>
        <v>ATEND</v>
      </c>
      <c r="D11092" s="2" t="str">
        <f t="shared" si="969"/>
        <v>SCMA</v>
      </c>
      <c r="E11092" s="2" t="str">
        <f>"RELATÓRIO DE AGENDA DE PRESTADOR"</f>
        <v>RELATÓRIO DE AGENDA DE PRESTADOR</v>
      </c>
      <c r="F11092" s="2" t="str">
        <f>"R_AGENDA_PRESTADOR_SCMA.RDF"</f>
        <v>R_AGENDA_PRESTADOR_SCMA.RDF</v>
      </c>
      <c r="G11092" s="2" t="str">
        <f t="shared" si="970"/>
        <v xml:space="preserve"> ()</v>
      </c>
    </row>
    <row r="11093" spans="1:7" x14ac:dyDescent="0.3">
      <c r="A11093" s="1" t="s">
        <v>4</v>
      </c>
      <c r="B11093" s="2" t="str">
        <f t="shared" si="967"/>
        <v>SISTEMA DE CENTRAL DE MARCAÇÕES</v>
      </c>
      <c r="C11093" s="2" t="str">
        <f t="shared" si="968"/>
        <v>ATEND</v>
      </c>
      <c r="D11093" s="2" t="str">
        <f t="shared" si="969"/>
        <v>SCMA</v>
      </c>
      <c r="E11093" s="2" t="str">
        <f>"RELATÓRIO DE AGENDAMENTOS EXCLUÍDOS"</f>
        <v>RELATÓRIO DE AGENDAMENTOS EXCLUÍDOS</v>
      </c>
      <c r="F11093" s="2" t="str">
        <f>"R_EXCLUSAO_AGENDAMENTO_SCMA.RDF"</f>
        <v>R_EXCLUSAO_AGENDAMENTO_SCMA.RDF</v>
      </c>
      <c r="G11093" s="2" t="str">
        <f t="shared" si="970"/>
        <v xml:space="preserve"> ()</v>
      </c>
    </row>
    <row r="11094" spans="1:7" x14ac:dyDescent="0.3">
      <c r="A11094" s="1" t="s">
        <v>4</v>
      </c>
      <c r="B11094" s="2" t="str">
        <f t="shared" si="967"/>
        <v>SISTEMA DE CENTRAL DE MARCAÇÕES</v>
      </c>
      <c r="C11094" s="2" t="str">
        <f t="shared" si="968"/>
        <v>ATEND</v>
      </c>
      <c r="D11094" s="2" t="str">
        <f t="shared" si="969"/>
        <v>SCMA</v>
      </c>
      <c r="E11094" s="2" t="str">
        <f>"RELATÓRIO DE AGENDAMENTOS CANCELADOS"</f>
        <v>RELATÓRIO DE AGENDAMENTOS CANCELADOS</v>
      </c>
      <c r="F11094" s="2" t="str">
        <f>"R_AGENDA_CANC_PRESTADOR.RDF"</f>
        <v>R_AGENDA_CANC_PRESTADOR.RDF</v>
      </c>
      <c r="G11094" s="2" t="str">
        <f t="shared" si="970"/>
        <v xml:space="preserve"> ()</v>
      </c>
    </row>
    <row r="11095" spans="1:7" x14ac:dyDescent="0.3">
      <c r="A11095" s="1" t="s">
        <v>4</v>
      </c>
      <c r="B11095" s="2" t="str">
        <f t="shared" si="967"/>
        <v>SISTEMA DE CENTRAL DE MARCAÇÕES</v>
      </c>
      <c r="C11095" s="2" t="str">
        <f t="shared" si="968"/>
        <v>ATEND</v>
      </c>
      <c r="D11095" s="2" t="str">
        <f t="shared" si="969"/>
        <v>SCMA</v>
      </c>
      <c r="E11095" s="2" t="str">
        <f>"REL. PACIENTES AGENDADOS POR CONVÊNIO"</f>
        <v>REL. PACIENTES AGENDADOS POR CONVÊNIO</v>
      </c>
      <c r="F11095" s="2" t="str">
        <f>"R_PAC_AGENDADOS_CONVENIO.RDF"</f>
        <v>R_PAC_AGENDADOS_CONVENIO.RDF</v>
      </c>
      <c r="G11095" s="2" t="str">
        <f t="shared" si="970"/>
        <v xml:space="preserve"> ()</v>
      </c>
    </row>
    <row r="11096" spans="1:7" x14ac:dyDescent="0.3">
      <c r="A11096" s="1" t="s">
        <v>4</v>
      </c>
      <c r="B11096" s="2" t="str">
        <f t="shared" si="967"/>
        <v>SISTEMA DE CENTRAL DE MARCAÇÕES</v>
      </c>
      <c r="C11096" s="2" t="str">
        <f t="shared" si="968"/>
        <v>ATEND</v>
      </c>
      <c r="D11096" s="2" t="str">
        <f t="shared" si="969"/>
        <v>SCMA</v>
      </c>
      <c r="E11096" s="2" t="str">
        <f>"REL. DE PACIENTES AGENDADOS"</f>
        <v>REL. DE PACIENTES AGENDADOS</v>
      </c>
      <c r="F11096" s="2" t="str">
        <f>"R_PAC_AGENDADOS_DATA.RDF"</f>
        <v>R_PAC_AGENDADOS_DATA.RDF</v>
      </c>
      <c r="G11096" s="2" t="str">
        <f t="shared" si="970"/>
        <v xml:space="preserve"> ()</v>
      </c>
    </row>
    <row r="11097" spans="1:7" x14ac:dyDescent="0.3">
      <c r="A11097" s="1" t="s">
        <v>4</v>
      </c>
      <c r="B11097" s="2" t="str">
        <f t="shared" si="967"/>
        <v>SISTEMA DE CENTRAL DE MARCAÇÕES</v>
      </c>
      <c r="C11097" s="2" t="str">
        <f t="shared" si="968"/>
        <v>ATEND</v>
      </c>
      <c r="D11097" s="2" t="str">
        <f t="shared" si="969"/>
        <v>SCMA</v>
      </c>
      <c r="E11097" s="2" t="str">
        <f>"REL. DE RECURSO X ITENS DE AGENDAMENTO"</f>
        <v>REL. DE RECURSO X ITENS DE AGENDAMENTO</v>
      </c>
      <c r="F11097" s="2" t="str">
        <f>"R_RECURSO_ITEM.RDF"</f>
        <v>R_RECURSO_ITEM.RDF</v>
      </c>
      <c r="G11097" s="2" t="str">
        <f t="shared" si="970"/>
        <v xml:space="preserve"> ()</v>
      </c>
    </row>
    <row r="11098" spans="1:7" x14ac:dyDescent="0.3">
      <c r="A11098" s="1" t="s">
        <v>4</v>
      </c>
      <c r="B11098" s="2" t="str">
        <f t="shared" si="967"/>
        <v>SISTEMA DE CENTRAL DE MARCAÇÕES</v>
      </c>
      <c r="C11098" s="2" t="str">
        <f t="shared" si="968"/>
        <v>ATEND</v>
      </c>
      <c r="D11098" s="2" t="str">
        <f t="shared" si="969"/>
        <v>SCMA</v>
      </c>
      <c r="E11098" s="2" t="str">
        <f>"REL. DE ITENS DE AGENDAMENTO X RECURSO"</f>
        <v>REL. DE ITENS DE AGENDAMENTO X RECURSO</v>
      </c>
      <c r="F11098" s="2" t="str">
        <f>"R_ITEM_RECURSO.RDF"</f>
        <v>R_ITEM_RECURSO.RDF</v>
      </c>
      <c r="G11098" s="2" t="str">
        <f t="shared" si="970"/>
        <v xml:space="preserve"> ()</v>
      </c>
    </row>
    <row r="11099" spans="1:7" x14ac:dyDescent="0.3">
      <c r="A11099" s="1" t="s">
        <v>4</v>
      </c>
      <c r="B11099" s="2" t="str">
        <f t="shared" si="967"/>
        <v>SISTEMA DE CENTRAL DE MARCAÇÕES</v>
      </c>
      <c r="C11099" s="2" t="str">
        <f t="shared" si="968"/>
        <v>ATEND</v>
      </c>
      <c r="D11099" s="2" t="str">
        <f t="shared" si="969"/>
        <v>SCMA</v>
      </c>
      <c r="E11099" s="2" t="str">
        <f>"REL. DE ITENS DE AGENDAMENTO"</f>
        <v>REL. DE ITENS DE AGENDAMENTO</v>
      </c>
      <c r="F11099" s="2" t="str">
        <f>"R_ITEM_AGENDAMENTO.RDF"</f>
        <v>R_ITEM_AGENDAMENTO.RDF</v>
      </c>
      <c r="G11099" s="2" t="str">
        <f t="shared" si="970"/>
        <v xml:space="preserve"> ()</v>
      </c>
    </row>
    <row r="11100" spans="1:7" x14ac:dyDescent="0.3">
      <c r="A11100" s="1" t="s">
        <v>4</v>
      </c>
      <c r="B11100" s="2" t="str">
        <f t="shared" si="967"/>
        <v>SISTEMA DE CENTRAL DE MARCAÇÕES</v>
      </c>
      <c r="C11100" s="2" t="str">
        <f t="shared" si="968"/>
        <v>ATEND</v>
      </c>
      <c r="D11100" s="2" t="str">
        <f t="shared" si="969"/>
        <v>SCMA</v>
      </c>
      <c r="E11100" s="2" t="str">
        <f>"RELATÓRIO DE FILA DE ESPERA"</f>
        <v>RELATÓRIO DE FILA DE ESPERA</v>
      </c>
      <c r="F11100" s="2" t="str">
        <f>"R_PAC_FILA_ESPERA.RDF"</f>
        <v>R_PAC_FILA_ESPERA.RDF</v>
      </c>
      <c r="G11100" s="2" t="str">
        <f t="shared" si="970"/>
        <v xml:space="preserve"> ()</v>
      </c>
    </row>
    <row r="11101" spans="1:7" x14ac:dyDescent="0.3">
      <c r="A11101" s="1" t="s">
        <v>4</v>
      </c>
      <c r="B11101" s="2" t="str">
        <f t="shared" si="967"/>
        <v>SISTEMA DE CENTRAL DE MARCAÇÕES</v>
      </c>
      <c r="C11101" s="2" t="str">
        <f t="shared" si="968"/>
        <v>ATEND</v>
      </c>
      <c r="D11101" s="2" t="str">
        <f t="shared" si="969"/>
        <v>SCMA</v>
      </c>
      <c r="E11101" s="2" t="str">
        <f>"RELATÓRIO PERCENTUAL DE ATENDIMENTOS"</f>
        <v>RELATÓRIO PERCENTUAL DE ATENDIMENTOS</v>
      </c>
      <c r="F11101" s="2" t="str">
        <f>"R_PERCENTUAL_ATENDIMENTOS.RDF"</f>
        <v>R_PERCENTUAL_ATENDIMENTOS.RDF</v>
      </c>
      <c r="G11101" s="2" t="str">
        <f t="shared" si="970"/>
        <v xml:space="preserve"> ()</v>
      </c>
    </row>
    <row r="11102" spans="1:7" x14ac:dyDescent="0.3">
      <c r="A11102" s="1" t="s">
        <v>4</v>
      </c>
      <c r="B11102" s="2" t="str">
        <f t="shared" si="967"/>
        <v>SISTEMA DE CENTRAL DE MARCAÇÕES</v>
      </c>
      <c r="C11102" s="2" t="str">
        <f t="shared" si="968"/>
        <v>ATEND</v>
      </c>
      <c r="D11102" s="2" t="str">
        <f t="shared" si="969"/>
        <v>SCMA</v>
      </c>
      <c r="E11102" s="2" t="str">
        <f>"INFORMAÇÕES PRESTADOR - AGENDAMENTO"</f>
        <v>INFORMAÇÕES PRESTADOR - AGENDAMENTO</v>
      </c>
      <c r="F11102" s="2" t="str">
        <f>"M_PRESTADOR_AGENDAMENTO"</f>
        <v>M_PRESTADOR_AGENDAMENTO</v>
      </c>
      <c r="G11102" s="2" t="str">
        <f>"Atendimento / Central de Agendamento / Tabelas / Informações do Prestador para o Agendamento (M_PRESTADOR_AGENDAMENTO)"</f>
        <v>Atendimento / Central de Agendamento / Tabelas / Informações do Prestador para o Agendamento (M_PRESTADOR_AGENDAMENTO)</v>
      </c>
    </row>
    <row r="11103" spans="1:7" x14ac:dyDescent="0.3">
      <c r="A11103" s="1" t="s">
        <v>4</v>
      </c>
      <c r="B11103" s="2" t="str">
        <f t="shared" si="967"/>
        <v>SISTEMA DE CENTRAL DE MARCAÇÕES</v>
      </c>
      <c r="C11103" s="2" t="str">
        <f t="shared" si="968"/>
        <v>ATEND</v>
      </c>
      <c r="D11103" s="2" t="str">
        <f t="shared" si="969"/>
        <v>SCMA</v>
      </c>
      <c r="E11103" s="2" t="str">
        <f>"R_PAC_FILA_ESPERA"</f>
        <v>R_PAC_FILA_ESPERA</v>
      </c>
      <c r="F11103" s="2" t="str">
        <f>"R_PAC_FILA_ESPERA"</f>
        <v>R_PAC_FILA_ESPERA</v>
      </c>
      <c r="G11103" s="2" t="str">
        <f>"Atendimento / Central de Agendamento / Relatórios / Operacionais / Fila de Espera (R_PAC_FILA_ESPERA)"</f>
        <v>Atendimento / Central de Agendamento / Relatórios / Operacionais / Fila de Espera (R_PAC_FILA_ESPERA)</v>
      </c>
    </row>
    <row r="11104" spans="1:7" x14ac:dyDescent="0.3">
      <c r="A11104" s="1" t="s">
        <v>4</v>
      </c>
      <c r="B11104" s="2" t="str">
        <f t="shared" si="967"/>
        <v>SISTEMA DE CENTRAL DE MARCAÇÕES</v>
      </c>
      <c r="C11104" s="2" t="str">
        <f t="shared" si="968"/>
        <v>ATEND</v>
      </c>
      <c r="D11104" s="2" t="str">
        <f t="shared" si="969"/>
        <v>SCMA</v>
      </c>
      <c r="E11104" s="2" t="str">
        <f>"T"</f>
        <v>T</v>
      </c>
      <c r="F11104" s="2" t="str">
        <f>"T"</f>
        <v>T</v>
      </c>
      <c r="G11104" s="2" t="str">
        <f>" ()"</f>
        <v xml:space="preserve"> ()</v>
      </c>
    </row>
    <row r="11105" spans="1:7" x14ac:dyDescent="0.3">
      <c r="A11105" s="1" t="s">
        <v>4</v>
      </c>
      <c r="B11105" s="2" t="str">
        <f t="shared" si="967"/>
        <v>SISTEMA DE CENTRAL DE MARCAÇÕES</v>
      </c>
      <c r="C11105" s="2" t="str">
        <f t="shared" si="968"/>
        <v>ATEND</v>
      </c>
      <c r="D11105" s="2" t="str">
        <f t="shared" si="969"/>
        <v>SCMA</v>
      </c>
      <c r="E11105" s="2" t="str">
        <f>"RELATÓRIO DE SITUAÇÃO DE AGENDAMENTO"</f>
        <v>RELATÓRIO DE SITUAÇÃO DE AGENDAMENTO</v>
      </c>
      <c r="F11105" s="2" t="str">
        <f>"R_SITUACAO_AGENDAMENTOS"</f>
        <v>R_SITUACAO_AGENDAMENTOS</v>
      </c>
      <c r="G11105" s="2" t="str">
        <f>"Atendimento / Central de Agendamento / Relatórios / Operacionais / Situação de Agendamentos por Período (Turmas) (R_SITUACAO_AGENDAMENTOS)"</f>
        <v>Atendimento / Central de Agendamento / Relatórios / Operacionais / Situação de Agendamentos por Período (Turmas) (R_SITUACAO_AGENDAMENTOS)</v>
      </c>
    </row>
    <row r="11106" spans="1:7" x14ac:dyDescent="0.3">
      <c r="A11106" s="1" t="s">
        <v>4</v>
      </c>
      <c r="B11106" s="2" t="str">
        <f t="shared" si="967"/>
        <v>SISTEMA DE CENTRAL DE MARCAÇÕES</v>
      </c>
      <c r="C11106" s="2" t="str">
        <f t="shared" si="968"/>
        <v>ATEND</v>
      </c>
      <c r="D11106" s="2" t="str">
        <f t="shared" si="969"/>
        <v>SCMA</v>
      </c>
      <c r="E11106" s="2" t="str">
        <f>"RELATÓRIO DE SITUAÇÃO DE AGENDAMENTOS"</f>
        <v>RELATÓRIO DE SITUAÇÃO DE AGENDAMENTOS</v>
      </c>
      <c r="F11106" s="2" t="str">
        <f>"R_SITUACAO_AGENDAMENTOS.RDF"</f>
        <v>R_SITUACAO_AGENDAMENTOS.RDF</v>
      </c>
      <c r="G11106" s="2" t="str">
        <f>" ()"</f>
        <v xml:space="preserve"> ()</v>
      </c>
    </row>
    <row r="11107" spans="1:7" x14ac:dyDescent="0.3">
      <c r="A11107" s="1" t="s">
        <v>4</v>
      </c>
      <c r="B11107" s="2" t="str">
        <f t="shared" si="967"/>
        <v>SISTEMA DE CENTRAL DE MARCAÇÕES</v>
      </c>
      <c r="C11107" s="2" t="str">
        <f t="shared" si="968"/>
        <v>ATEND</v>
      </c>
      <c r="D11107" s="2" t="str">
        <f t="shared" si="969"/>
        <v>SCMA</v>
      </c>
      <c r="E11107" s="2" t="str">
        <f>"CONTROLE DE TRATAMENTO"</f>
        <v>CONTROLE DE TRATAMENTO</v>
      </c>
      <c r="F11107" s="2" t="str">
        <f>"M_CONTROLE_TRATAMENTO"</f>
        <v>M_CONTROLE_TRATAMENTO</v>
      </c>
      <c r="G11107" s="2" t="str">
        <f>"Atendimento / Central de Agendamento / Agendamentos / Turmas / Controle de Tratamento (M_CONTROLE_TRATAMENTO)"</f>
        <v>Atendimento / Central de Agendamento / Agendamentos / Turmas / Controle de Tratamento (M_CONTROLE_TRATAMENTO)</v>
      </c>
    </row>
    <row r="11108" spans="1:7" x14ac:dyDescent="0.3">
      <c r="A11108" s="1" t="s">
        <v>4</v>
      </c>
      <c r="B11108" s="2" t="str">
        <f t="shared" si="967"/>
        <v>SISTEMA DE CENTRAL DE MARCAÇÕES</v>
      </c>
      <c r="C11108" s="2" t="str">
        <f t="shared" si="968"/>
        <v>ATEND</v>
      </c>
      <c r="D11108" s="2" t="str">
        <f t="shared" si="969"/>
        <v>SCMA</v>
      </c>
      <c r="E11108" s="2" t="str">
        <f>"RECEPÇÃO DE TURMAS"</f>
        <v>RECEPÇÃO DE TURMAS</v>
      </c>
      <c r="F11108" s="2" t="str">
        <f>"M_RECEPCAO_TURMA"</f>
        <v>M_RECEPCAO_TURMA</v>
      </c>
      <c r="G11108" s="2" t="str">
        <f>"Atendimento / Ambulatório / Atendimentos / Recepção de Turmas (M_RECEPCAO_TURMA)"</f>
        <v>Atendimento / Ambulatório / Atendimentos / Recepção de Turmas (M_RECEPCAO_TURMA)</v>
      </c>
    </row>
    <row r="11109" spans="1:7" x14ac:dyDescent="0.3">
      <c r="A11109" s="1" t="s">
        <v>4</v>
      </c>
      <c r="B11109" s="2" t="str">
        <f t="shared" si="967"/>
        <v>SISTEMA DE CENTRAL DE MARCAÇÕES</v>
      </c>
      <c r="C11109" s="2" t="str">
        <f t="shared" si="968"/>
        <v>ATEND</v>
      </c>
      <c r="D11109" s="2" t="str">
        <f t="shared" si="969"/>
        <v>SCMA</v>
      </c>
      <c r="E11109" s="2" t="str">
        <f>"AGENDAMENTO DE TURMAS"</f>
        <v>AGENDAMENTO DE TURMAS</v>
      </c>
      <c r="F11109" s="2" t="str">
        <f>"M_AGENDA_TURMA"</f>
        <v>M_AGENDA_TURMA</v>
      </c>
      <c r="G11109" s="2" t="str">
        <f>"Atendimento / Central de Agendamento / Agendamentos / Turmas / Agendar (M_AGENDA_TURMA)"</f>
        <v>Atendimento / Central de Agendamento / Agendamentos / Turmas / Agendar (M_AGENDA_TURMA)</v>
      </c>
    </row>
    <row r="11110" spans="1:7" x14ac:dyDescent="0.3">
      <c r="A11110" s="1" t="s">
        <v>4</v>
      </c>
      <c r="B11110" s="2" t="str">
        <f t="shared" si="967"/>
        <v>SISTEMA DE CENTRAL DE MARCAÇÕES</v>
      </c>
      <c r="C11110" s="2" t="str">
        <f t="shared" si="968"/>
        <v>ATEND</v>
      </c>
      <c r="D11110" s="2" t="str">
        <f t="shared" si="969"/>
        <v>SCMA</v>
      </c>
      <c r="E11110" s="2" t="str">
        <f>"COPIA DE AGENDAS DE TURMAS"</f>
        <v>COPIA DE AGENDAS DE TURMAS</v>
      </c>
      <c r="F11110" s="2" t="str">
        <f>"M_COPIA_AGENDA_TURMA"</f>
        <v>M_COPIA_AGENDA_TURMA</v>
      </c>
      <c r="G11110" s="2" t="str">
        <f>"Atendimento / Central de Agendamento / Agendamentos / Turmas / Cópia de Agendas (M_COPIA_AGENDA_TURMA)"</f>
        <v>Atendimento / Central de Agendamento / Agendamentos / Turmas / Cópia de Agendas (M_COPIA_AGENDA_TURMA)</v>
      </c>
    </row>
    <row r="11111" spans="1:7" x14ac:dyDescent="0.3">
      <c r="A11111" s="1" t="s">
        <v>4</v>
      </c>
      <c r="B11111" s="2" t="str">
        <f t="shared" si="967"/>
        <v>SISTEMA DE CENTRAL DE MARCAÇÕES</v>
      </c>
      <c r="C11111" s="2" t="str">
        <f t="shared" si="968"/>
        <v>ATEND</v>
      </c>
      <c r="D11111" s="2" t="str">
        <f t="shared" si="969"/>
        <v>SCMA</v>
      </c>
      <c r="E11111" s="2" t="str">
        <f>"LIBERAÇÃO DE TURMAS"</f>
        <v>LIBERAÇÃO DE TURMAS</v>
      </c>
      <c r="F11111" s="2" t="str">
        <f>"M_LIBERA_TURMA"</f>
        <v>M_LIBERA_TURMA</v>
      </c>
      <c r="G11111" s="2" t="str">
        <f>"Atendimento / Central de Agendamento / Agendamentos / Turmas / Liberação das Turmas (M_LIBERA_TURMA)"</f>
        <v>Atendimento / Central de Agendamento / Agendamentos / Turmas / Liberação das Turmas (M_LIBERA_TURMA)</v>
      </c>
    </row>
    <row r="11112" spans="1:7" x14ac:dyDescent="0.3">
      <c r="A11112" s="1" t="s">
        <v>4</v>
      </c>
      <c r="B11112" s="2" t="str">
        <f t="shared" si="967"/>
        <v>SISTEMA DE CENTRAL DE MARCAÇÕES</v>
      </c>
      <c r="C11112" s="2" t="str">
        <f t="shared" si="968"/>
        <v>ATEND</v>
      </c>
      <c r="D11112" s="2" t="str">
        <f t="shared" si="969"/>
        <v>SCMA</v>
      </c>
      <c r="E11112" s="2" t="str">
        <f>"EXCLUSÃO DE TURMAS"</f>
        <v>EXCLUSÃO DE TURMAS</v>
      </c>
      <c r="F11112" s="2" t="str">
        <f>"M_EXCLUI_AGENDA_TURMA"</f>
        <v>M_EXCLUI_AGENDA_TURMA</v>
      </c>
      <c r="G11112" s="2" t="str">
        <f>"Atendimento / Central de Agendamento / Agendamentos / Turmas / Exclusão de Agendas (M_EXCLUI_AGENDA_TURMA)"</f>
        <v>Atendimento / Central de Agendamento / Agendamentos / Turmas / Exclusão de Agendas (M_EXCLUI_AGENDA_TURMA)</v>
      </c>
    </row>
    <row r="11113" spans="1:7" x14ac:dyDescent="0.3">
      <c r="A11113" s="1" t="s">
        <v>4</v>
      </c>
      <c r="B11113" s="2" t="str">
        <f t="shared" si="967"/>
        <v>SISTEMA DE CENTRAL DE MARCAÇÕES</v>
      </c>
      <c r="C11113" s="2" t="str">
        <f t="shared" si="968"/>
        <v>ATEND</v>
      </c>
      <c r="D11113" s="2" t="str">
        <f t="shared" si="969"/>
        <v>SCMA</v>
      </c>
      <c r="E11113" s="2" t="str">
        <f>"CADASTRO DE ESCALAS DE TURMAS"</f>
        <v>CADASTRO DE ESCALAS DE TURMAS</v>
      </c>
      <c r="F11113" s="2" t="str">
        <f>"M_ESCALA_TURMA"</f>
        <v>M_ESCALA_TURMA</v>
      </c>
      <c r="G11113" s="2" t="str">
        <f>"Atendimento / Central de Agendamento / Tabelas / Turmas / Escalas das Turmas (M_ESCALA_TURMA)"</f>
        <v>Atendimento / Central de Agendamento / Tabelas / Turmas / Escalas das Turmas (M_ESCALA_TURMA)</v>
      </c>
    </row>
    <row r="11114" spans="1:7" x14ac:dyDescent="0.3">
      <c r="A11114" s="1" t="s">
        <v>4</v>
      </c>
      <c r="B11114" s="2" t="str">
        <f t="shared" si="967"/>
        <v>SISTEMA DE CENTRAL DE MARCAÇÕES</v>
      </c>
      <c r="C11114" s="2" t="str">
        <f t="shared" si="968"/>
        <v>ATEND</v>
      </c>
      <c r="D11114" s="2" t="str">
        <f t="shared" si="969"/>
        <v>SCMA</v>
      </c>
      <c r="E11114" s="2" t="str">
        <f>"CONSULTA INFORMAÇÕES PRESTADOR - AGENDAM"</f>
        <v>CONSULTA INFORMAÇÕES PRESTADOR - AGENDAM</v>
      </c>
      <c r="F11114" s="2" t="str">
        <f>"C_PRESTADOR_AGENDAMENTO"</f>
        <v>C_PRESTADOR_AGENDAMENTO</v>
      </c>
      <c r="G11114" s="2" t="str">
        <f>"Atendimento / Central de Agendamento / Consultas / Informações do Prestador para o Agendamento (C_PRESTADOR_AGENDAMENTO)"</f>
        <v>Atendimento / Central de Agendamento / Consultas / Informações do Prestador para o Agendamento (C_PRESTADOR_AGENDAMENTO)</v>
      </c>
    </row>
    <row r="11115" spans="1:7" x14ac:dyDescent="0.3">
      <c r="A11115" s="1" t="s">
        <v>4</v>
      </c>
      <c r="B11115" s="2" t="str">
        <f t="shared" si="967"/>
        <v>SISTEMA DE CENTRAL DE MARCAÇÕES</v>
      </c>
      <c r="C11115" s="2" t="str">
        <f t="shared" si="968"/>
        <v>ATEND</v>
      </c>
      <c r="D11115" s="2" t="str">
        <f t="shared" si="969"/>
        <v>SCMA</v>
      </c>
      <c r="E11115" s="2" t="str">
        <f>"HISTÓRICO DE AGENDAMENTOS"</f>
        <v>HISTÓRICO DE AGENDAMENTOS</v>
      </c>
      <c r="F11115" s="2" t="str">
        <f>"M_HISTORICO_AGENDAMENTOS"</f>
        <v>M_HISTORICO_AGENDAMENTOS</v>
      </c>
      <c r="G11115" s="2" t="str">
        <f>" ()"</f>
        <v xml:space="preserve"> ()</v>
      </c>
    </row>
    <row r="11116" spans="1:7" x14ac:dyDescent="0.3">
      <c r="A11116" s="1" t="s">
        <v>4</v>
      </c>
      <c r="B11116" s="2" t="str">
        <f t="shared" si="967"/>
        <v>SISTEMA DE CENTRAL DE MARCAÇÕES</v>
      </c>
      <c r="C11116" s="2" t="str">
        <f t="shared" si="968"/>
        <v>ATEND</v>
      </c>
      <c r="D11116" s="2" t="str">
        <f t="shared" si="969"/>
        <v>SCMA</v>
      </c>
      <c r="E11116" s="2" t="str">
        <f>"C_LOG_ESCALA"</f>
        <v>C_LOG_ESCALA</v>
      </c>
      <c r="F11116" s="2" t="str">
        <f>"C_LOG_ESCALA"</f>
        <v>C_LOG_ESCALA</v>
      </c>
      <c r="G11116" s="2" t="str">
        <f>"Atendimento / Central de Agendamento / Consultas / Alterações em Escalas (C_LOG_ESCALA)"</f>
        <v>Atendimento / Central de Agendamento / Consultas / Alterações em Escalas (C_LOG_ESCALA)</v>
      </c>
    </row>
    <row r="11117" spans="1:7" x14ac:dyDescent="0.3">
      <c r="A11117" s="1" t="s">
        <v>4</v>
      </c>
      <c r="B11117" s="2" t="str">
        <f t="shared" ref="B11117:B11180" si="971">"SISTEMA DE GERENCIAMENTO PLANO DE SAÚDE"</f>
        <v>SISTEMA DE GERENCIAMENTO PLANO DE SAÚDE</v>
      </c>
      <c r="C11117" s="2" t="str">
        <f>""</f>
        <v/>
      </c>
      <c r="D11117" s="2" t="str">
        <f t="shared" ref="D11117:D11180" si="972">"SGPS"</f>
        <v>SGPS</v>
      </c>
      <c r="E11117" s="2" t="str">
        <f>"IMPORTAÇÃO DE PREÇOS DO BRASINDICE"</f>
        <v>IMPORTAÇÃO DE PREÇOS DO BRASINDICE</v>
      </c>
      <c r="F11117" s="2" t="str">
        <f>"O_IMPFORN"</f>
        <v>O_IMPFORN</v>
      </c>
      <c r="G11117" s="2" t="str">
        <f>" ()"</f>
        <v xml:space="preserve"> ()</v>
      </c>
    </row>
    <row r="11118" spans="1:7" x14ac:dyDescent="0.3">
      <c r="A11118" s="1" t="s">
        <v>4</v>
      </c>
      <c r="B11118" s="2" t="str">
        <f t="shared" si="971"/>
        <v>SISTEMA DE GERENCIAMENTO PLANO DE SAÚDE</v>
      </c>
      <c r="C11118" s="2" t="str">
        <f>""</f>
        <v/>
      </c>
      <c r="D11118" s="2" t="str">
        <f t="shared" si="972"/>
        <v>SGPS</v>
      </c>
      <c r="E11118" s="2" t="str">
        <f>"EMPRESAS"</f>
        <v>EMPRESAS</v>
      </c>
      <c r="F11118" s="2" t="str">
        <f>"R_EMPRESA"</f>
        <v>R_EMPRESA</v>
      </c>
      <c r="G11118" s="2" t="str">
        <f>"Serviços de Apoio / Laprod / Relatórios / Tabelas / Empresas (R_EMPRESA)"</f>
        <v>Serviços de Apoio / Laprod / Relatórios / Tabelas / Empresas (R_EMPRESA)</v>
      </c>
    </row>
    <row r="11119" spans="1:7" x14ac:dyDescent="0.3">
      <c r="A11119" s="1" t="s">
        <v>4</v>
      </c>
      <c r="B11119" s="2" t="str">
        <f t="shared" si="971"/>
        <v>SISTEMA DE GERENCIAMENTO PLANO DE SAÚDE</v>
      </c>
      <c r="C11119" s="2" t="str">
        <f>""</f>
        <v/>
      </c>
      <c r="D11119" s="2" t="str">
        <f t="shared" si="972"/>
        <v>SGPS</v>
      </c>
      <c r="E11119" s="2" t="str">
        <f>"EMPRESAS"</f>
        <v>EMPRESAS</v>
      </c>
      <c r="F11119" s="2" t="str">
        <f>"R_EMPRESA"</f>
        <v>R_EMPRESA</v>
      </c>
      <c r="G11119" s="2" t="str">
        <f>"MVSaude / Relatórios / Tabelas / Empresa / Empresas (R_EMPRESA)"</f>
        <v>MVSaude / Relatórios / Tabelas / Empresa / Empresas (R_EMPRESA)</v>
      </c>
    </row>
    <row r="11120" spans="1:7" x14ac:dyDescent="0.3">
      <c r="A11120" s="1" t="s">
        <v>4</v>
      </c>
      <c r="B11120" s="2" t="str">
        <f t="shared" si="971"/>
        <v>SISTEMA DE GERENCIAMENTO PLANO DE SAÚDE</v>
      </c>
      <c r="C11120" s="2" t="str">
        <f>""</f>
        <v/>
      </c>
      <c r="D11120" s="2" t="str">
        <f t="shared" si="972"/>
        <v>SGPS</v>
      </c>
      <c r="E11120" s="2" t="str">
        <f>"RELATÓRIO DE MENSALIDADE DO CONTRATO"</f>
        <v>RELATÓRIO DE MENSALIDADE DO CONTRATO</v>
      </c>
      <c r="F11120" s="2" t="str">
        <f>"R_MENCON"</f>
        <v>R_MENCON</v>
      </c>
      <c r="G11120" s="2" t="str">
        <f>"MVSaude / Relatórios / Faturamento / Situação das Mensalidades (R_MENCON)"</f>
        <v>MVSaude / Relatórios / Faturamento / Situação das Mensalidades (R_MENCON)</v>
      </c>
    </row>
    <row r="11121" spans="1:7" x14ac:dyDescent="0.3">
      <c r="A11121" s="1" t="s">
        <v>4</v>
      </c>
      <c r="B11121" s="2" t="str">
        <f t="shared" si="971"/>
        <v>SISTEMA DE GERENCIAMENTO PLANO DE SAÚDE</v>
      </c>
      <c r="C11121" s="2" t="str">
        <f>""</f>
        <v/>
      </c>
      <c r="D11121" s="2" t="str">
        <f t="shared" si="972"/>
        <v>SGPS</v>
      </c>
      <c r="E11121" s="2" t="str">
        <f>"GUIA DE EXAME DA VIVER"</f>
        <v>GUIA DE EXAME DA VIVER</v>
      </c>
      <c r="F11121" s="2" t="str">
        <f>"R_GUIA_EXAME_VIVER"</f>
        <v>R_GUIA_EXAME_VIVER</v>
      </c>
      <c r="G11121" s="2" t="str">
        <f>" ()"</f>
        <v xml:space="preserve"> ()</v>
      </c>
    </row>
    <row r="11122" spans="1:7" x14ac:dyDescent="0.3">
      <c r="A11122" s="1" t="s">
        <v>4</v>
      </c>
      <c r="B11122" s="2" t="str">
        <f t="shared" si="971"/>
        <v>SISTEMA DE GERENCIAMENTO PLANO DE SAÚDE</v>
      </c>
      <c r="C11122" s="2" t="str">
        <f>""</f>
        <v/>
      </c>
      <c r="D11122" s="2" t="str">
        <f t="shared" si="972"/>
        <v>SGPS</v>
      </c>
      <c r="E11122" s="2" t="str">
        <f>"ETIQUETAS COM NOME E ENDEREÇO DO USUÁRIO"</f>
        <v>ETIQUETAS COM NOME E ENDEREÇO DO USUÁRIO</v>
      </c>
      <c r="F11122" s="2" t="str">
        <f>"R_ETIQUSU_CONMEDH"</f>
        <v>R_ETIQUSU_CONMEDH</v>
      </c>
      <c r="G11122" s="2" t="str">
        <f>" ()"</f>
        <v xml:space="preserve"> ()</v>
      </c>
    </row>
    <row r="11123" spans="1:7" x14ac:dyDescent="0.3">
      <c r="A11123" s="1" t="s">
        <v>4</v>
      </c>
      <c r="B11123" s="2" t="str">
        <f t="shared" si="971"/>
        <v>SISTEMA DE GERENCIAMENTO PLANO DE SAÚDE</v>
      </c>
      <c r="C11123" s="2" t="str">
        <f>""</f>
        <v/>
      </c>
      <c r="D11123" s="2" t="str">
        <f t="shared" si="972"/>
        <v>SGPS</v>
      </c>
      <c r="E11123" s="2" t="str">
        <f>"R_GRUSER_REMESSA_XY"</f>
        <v>R_GRUSER_REMESSA_XY</v>
      </c>
      <c r="F11123" s="2" t="str">
        <f>"R_GRUSER_REMESSA_XY"</f>
        <v>R_GRUSER_REMESSA_XY</v>
      </c>
      <c r="G11123" s="2" t="str">
        <f>" ()"</f>
        <v xml:space="preserve"> ()</v>
      </c>
    </row>
    <row r="11124" spans="1:7" x14ac:dyDescent="0.3">
      <c r="A11124" s="1" t="s">
        <v>4</v>
      </c>
      <c r="B11124" s="2" t="str">
        <f t="shared" si="971"/>
        <v>SISTEMA DE GERENCIAMENTO PLANO DE SAÚDE</v>
      </c>
      <c r="C11124" s="2" t="str">
        <f>""</f>
        <v/>
      </c>
      <c r="D11124" s="2" t="str">
        <f t="shared" si="972"/>
        <v>SGPS</v>
      </c>
      <c r="E11124" s="2" t="str">
        <f>"CONSULTA REPASSE DOS PREST. DETALHADO"</f>
        <v>CONSULTA REPASSE DOS PREST. DETALHADO</v>
      </c>
      <c r="F11124" s="2" t="str">
        <f>"C_CONSREPPREST"</f>
        <v>C_CONSREPPREST</v>
      </c>
      <c r="G11124" s="2" t="str">
        <f>" ()"</f>
        <v xml:space="preserve"> ()</v>
      </c>
    </row>
    <row r="11125" spans="1:7" x14ac:dyDescent="0.3">
      <c r="A11125" s="1" t="s">
        <v>4</v>
      </c>
      <c r="B11125" s="2" t="str">
        <f t="shared" si="971"/>
        <v>SISTEMA DE GERENCIAMENTO PLANO DE SAÚDE</v>
      </c>
      <c r="C11125" s="2" t="str">
        <f>""</f>
        <v/>
      </c>
      <c r="D11125" s="2" t="str">
        <f t="shared" si="972"/>
        <v>SGPS</v>
      </c>
      <c r="E11125" s="2" t="str">
        <f>"LOTE DE COMISSAO"</f>
        <v>LOTE DE COMISSAO</v>
      </c>
      <c r="F11125" s="2" t="str">
        <f>"M_LOTE_COMISSAO"</f>
        <v>M_LOTE_COMISSAO</v>
      </c>
      <c r="G11125" s="2" t="str">
        <f>"MVSaude / Vendas / Repasse das Comissões (M_LOTE_COMISSAO)"</f>
        <v>MVSaude / Vendas / Repasse das Comissões (M_LOTE_COMISSAO)</v>
      </c>
    </row>
    <row r="11126" spans="1:7" x14ac:dyDescent="0.3">
      <c r="A11126" s="1" t="s">
        <v>4</v>
      </c>
      <c r="B11126" s="2" t="str">
        <f t="shared" si="971"/>
        <v>SISTEMA DE GERENCIAMENTO PLANO DE SAÚDE</v>
      </c>
      <c r="C11126" s="2" t="str">
        <f>""</f>
        <v/>
      </c>
      <c r="D11126" s="2" t="str">
        <f t="shared" si="972"/>
        <v>SGPS</v>
      </c>
      <c r="E11126" s="2" t="str">
        <f>"MOTIVOS DE GLOSA"</f>
        <v>MOTIVOS DE GLOSA</v>
      </c>
      <c r="F11126" s="2" t="str">
        <f>"M_MOTGLO"</f>
        <v>M_MOTGLO</v>
      </c>
      <c r="G11126" s="2" t="str">
        <f>"MVSaude / ANS / TISS / Tabelas de Domínio / Motivos de Glosa (M_MOTGLO)"</f>
        <v>MVSaude / ANS / TISS / Tabelas de Domínio / Motivos de Glosa (M_MOTGLO)</v>
      </c>
    </row>
    <row r="11127" spans="1:7" x14ac:dyDescent="0.3">
      <c r="A11127" s="1" t="s">
        <v>4</v>
      </c>
      <c r="B11127" s="2" t="str">
        <f t="shared" si="971"/>
        <v>SISTEMA DE GERENCIAMENTO PLANO DE SAÚDE</v>
      </c>
      <c r="C11127" s="2" t="str">
        <f>""</f>
        <v/>
      </c>
      <c r="D11127" s="2" t="str">
        <f t="shared" si="972"/>
        <v>SGPS</v>
      </c>
      <c r="E11127" s="2" t="str">
        <f>"MOTIVOS DE GLOSA"</f>
        <v>MOTIVOS DE GLOSA</v>
      </c>
      <c r="F11127" s="2" t="str">
        <f>"M_MOTGLO"</f>
        <v>M_MOTGLO</v>
      </c>
      <c r="G11127" s="2" t="str">
        <f>"MVSaude / Contas Médicas / Tabelas / Motivos de Glosa (M_MOTGLO)"</f>
        <v>MVSaude / Contas Médicas / Tabelas / Motivos de Glosa (M_MOTGLO)</v>
      </c>
    </row>
    <row r="11128" spans="1:7" x14ac:dyDescent="0.3">
      <c r="A11128" s="1" t="s">
        <v>4</v>
      </c>
      <c r="B11128" s="2" t="str">
        <f t="shared" si="971"/>
        <v>SISTEMA DE GERENCIAMENTO PLANO DE SAÚDE</v>
      </c>
      <c r="C11128" s="2" t="str">
        <f>""</f>
        <v/>
      </c>
      <c r="D11128" s="2" t="str">
        <f t="shared" si="972"/>
        <v>SGPS</v>
      </c>
      <c r="E11128" s="2" t="str">
        <f>"CADASTRO: DESLIGAMENTOS DE USUÁRIOS"</f>
        <v>CADASTRO: DESLIGAMENTOS DE USUÁRIOS</v>
      </c>
      <c r="F11128" s="2" t="str">
        <f>"M_DESLIGAMENTO_ARI"</f>
        <v>M_DESLIGAMENTO_ARI</v>
      </c>
      <c r="G11128" s="2" t="str">
        <f>" ()"</f>
        <v xml:space="preserve"> ()</v>
      </c>
    </row>
    <row r="11129" spans="1:7" x14ac:dyDescent="0.3">
      <c r="A11129" s="1" t="s">
        <v>4</v>
      </c>
      <c r="B11129" s="2" t="str">
        <f t="shared" si="971"/>
        <v>SISTEMA DE GERENCIAMENTO PLANO DE SAÚDE</v>
      </c>
      <c r="C11129" s="2" t="str">
        <f>""</f>
        <v/>
      </c>
      <c r="D11129" s="2" t="str">
        <f t="shared" si="972"/>
        <v>SGPS</v>
      </c>
      <c r="E11129" s="2" t="str">
        <f>"REEMBOLSO"</f>
        <v>REEMBOLSO</v>
      </c>
      <c r="F11129" s="2" t="str">
        <f>"M_REEMBOLSO"</f>
        <v>M_REEMBOLSO</v>
      </c>
      <c r="G11129" s="2" t="str">
        <f>"MVSaude / Contas Médicas / Reembolso (M_REEMBOLSO)"</f>
        <v>MVSaude / Contas Médicas / Reembolso (M_REEMBOLSO)</v>
      </c>
    </row>
    <row r="11130" spans="1:7" x14ac:dyDescent="0.3">
      <c r="A11130" s="1" t="s">
        <v>4</v>
      </c>
      <c r="B11130" s="2" t="str">
        <f t="shared" si="971"/>
        <v>SISTEMA DE GERENCIAMENTO PLANO DE SAÚDE</v>
      </c>
      <c r="C11130" s="2" t="str">
        <f>""</f>
        <v/>
      </c>
      <c r="D11130" s="2" t="str">
        <f t="shared" si="972"/>
        <v>SGPS</v>
      </c>
      <c r="E11130" s="2" t="str">
        <f>"M_REGVEND"</f>
        <v>M_REGVEND</v>
      </c>
      <c r="F11130" s="2" t="str">
        <f>"M_REGVEND"</f>
        <v>M_REGVEND</v>
      </c>
      <c r="G11130" s="2" t="str">
        <f>" ()"</f>
        <v xml:space="preserve"> ()</v>
      </c>
    </row>
    <row r="11131" spans="1:7" x14ac:dyDescent="0.3">
      <c r="A11131" s="1" t="s">
        <v>4</v>
      </c>
      <c r="B11131" s="2" t="str">
        <f t="shared" si="971"/>
        <v>SISTEMA DE GERENCIAMENTO PLANO DE SAÚDE</v>
      </c>
      <c r="C11131" s="2" t="str">
        <f>""</f>
        <v/>
      </c>
      <c r="D11131" s="2" t="str">
        <f t="shared" si="972"/>
        <v>SGPS</v>
      </c>
      <c r="E11131" s="2" t="str">
        <f>"RELATORIOS PERSONALIZADOS DO SGPS"</f>
        <v>RELATORIOS PERSONALIZADOS DO SGPS</v>
      </c>
      <c r="F11131" s="2" t="str">
        <f>"R_PERSON_SGPS"</f>
        <v>R_PERSON_SGPS</v>
      </c>
      <c r="G11131" s="2" t="str">
        <f>" ()"</f>
        <v xml:space="preserve"> ()</v>
      </c>
    </row>
    <row r="11132" spans="1:7" x14ac:dyDescent="0.3">
      <c r="A11132" s="1" t="s">
        <v>4</v>
      </c>
      <c r="B11132" s="2" t="str">
        <f t="shared" si="971"/>
        <v>SISTEMA DE GERENCIAMENTO PLANO DE SAÚDE</v>
      </c>
      <c r="C11132" s="2" t="str">
        <f>""</f>
        <v/>
      </c>
      <c r="D11132" s="2" t="str">
        <f t="shared" si="972"/>
        <v>SGPS</v>
      </c>
      <c r="E11132" s="2" t="str">
        <f>"USUÁRIOS DE EMPRESAS (CAMPO GRANDE)"</f>
        <v>USUÁRIOS DE EMPRESAS (CAMPO GRANDE)</v>
      </c>
      <c r="F11132" s="2" t="str">
        <f>"R_USUEMP_CG"</f>
        <v>R_USUEMP_CG</v>
      </c>
      <c r="G11132" s="2" t="str">
        <f>" ()"</f>
        <v xml:space="preserve"> ()</v>
      </c>
    </row>
    <row r="11133" spans="1:7" x14ac:dyDescent="0.3">
      <c r="A11133" s="1" t="s">
        <v>4</v>
      </c>
      <c r="B11133" s="2" t="str">
        <f t="shared" si="971"/>
        <v>SISTEMA DE GERENCIAMENTO PLANO DE SAÚDE</v>
      </c>
      <c r="C11133" s="2" t="str">
        <f>""</f>
        <v/>
      </c>
      <c r="D11133" s="2" t="str">
        <f t="shared" si="972"/>
        <v>SGPS</v>
      </c>
      <c r="E11133" s="2" t="str">
        <f>"RELATÓRIO DAS EMPRESAS VENDEDORAS"</f>
        <v>RELATÓRIO DAS EMPRESAS VENDEDORAS</v>
      </c>
      <c r="F11133" s="2" t="str">
        <f>"R_TIP_VEND"</f>
        <v>R_TIP_VEND</v>
      </c>
      <c r="G11133" s="2" t="str">
        <f>"MVSaude / Relatórios / Vendas / Empresas Vendedoras (R_TIP_VEND)"</f>
        <v>MVSaude / Relatórios / Vendas / Empresas Vendedoras (R_TIP_VEND)</v>
      </c>
    </row>
    <row r="11134" spans="1:7" x14ac:dyDescent="0.3">
      <c r="A11134" s="1" t="s">
        <v>4</v>
      </c>
      <c r="B11134" s="2" t="str">
        <f t="shared" si="971"/>
        <v>SISTEMA DE GERENCIAMENTO PLANO DE SAÚDE</v>
      </c>
      <c r="C11134" s="2" t="str">
        <f>""</f>
        <v/>
      </c>
      <c r="D11134" s="2" t="str">
        <f t="shared" si="972"/>
        <v>SGPS</v>
      </c>
      <c r="E11134" s="2" t="str">
        <f>"TABELAS DE PRECO"</f>
        <v>TABELAS DE PRECO</v>
      </c>
      <c r="F11134" s="2" t="str">
        <f>"R_TAB_PRECO"</f>
        <v>R_TAB_PRECO</v>
      </c>
      <c r="G11134" s="2" t="str">
        <f>"MVSaude / Relatórios / Administrativos / Mensalidades / Pre - Pagamento / Tabela de Precos (R_TAB_PRECO)"</f>
        <v>MVSaude / Relatórios / Administrativos / Mensalidades / Pre - Pagamento / Tabela de Precos (R_TAB_PRECO)</v>
      </c>
    </row>
    <row r="11135" spans="1:7" x14ac:dyDescent="0.3">
      <c r="A11135" s="1" t="s">
        <v>4</v>
      </c>
      <c r="B11135" s="2" t="str">
        <f t="shared" si="971"/>
        <v>SISTEMA DE GERENCIAMENTO PLANO DE SAÚDE</v>
      </c>
      <c r="C11135" s="2" t="str">
        <f>""</f>
        <v/>
      </c>
      <c r="D11135" s="2" t="str">
        <f t="shared" si="972"/>
        <v>SGPS</v>
      </c>
      <c r="E11135" s="2" t="str">
        <f>"RECIBO DE INCLUSAO (CONMEDH)"</f>
        <v>RECIBO DE INCLUSAO (CONMEDH)</v>
      </c>
      <c r="F11135" s="2" t="str">
        <f>"R_RECIBO_INCLUSAO"</f>
        <v>R_RECIBO_INCLUSAO</v>
      </c>
      <c r="G11135" s="2" t="str">
        <f>" ()"</f>
        <v xml:space="preserve"> ()</v>
      </c>
    </row>
    <row r="11136" spans="1:7" x14ac:dyDescent="0.3">
      <c r="A11136" s="1" t="s">
        <v>4</v>
      </c>
      <c r="B11136" s="2" t="str">
        <f t="shared" si="971"/>
        <v>SISTEMA DE GERENCIAMENTO PLANO DE SAÚDE</v>
      </c>
      <c r="C11136" s="2" t="str">
        <f>""</f>
        <v/>
      </c>
      <c r="D11136" s="2" t="str">
        <f t="shared" si="972"/>
        <v>SGPS</v>
      </c>
      <c r="E11136" s="2" t="str">
        <f>"REL DE MED NAO CADASTRADOS E NAO CONFIG"</f>
        <v>REL DE MED NAO CADASTRADOS E NAO CONFIG</v>
      </c>
      <c r="F11136" s="2" t="str">
        <f>"R_MEDBRAS"</f>
        <v>R_MEDBRAS</v>
      </c>
      <c r="G11136" s="2" t="str">
        <f>"MVSaude / Relatórios / Tabelas / Brasíndice / Medicamentos nao Configurados (R_MEDBRAS)"</f>
        <v>MVSaude / Relatórios / Tabelas / Brasíndice / Medicamentos nao Configurados (R_MEDBRAS)</v>
      </c>
    </row>
    <row r="11137" spans="1:7" x14ac:dyDescent="0.3">
      <c r="A11137" s="1" t="s">
        <v>4</v>
      </c>
      <c r="B11137" s="2" t="str">
        <f t="shared" si="971"/>
        <v>SISTEMA DE GERENCIAMENTO PLANO DE SAÚDE</v>
      </c>
      <c r="C11137" s="2" t="str">
        <f>""</f>
        <v/>
      </c>
      <c r="D11137" s="2" t="str">
        <f t="shared" si="972"/>
        <v>SGPS</v>
      </c>
      <c r="E11137" s="2" t="str">
        <f>"MENSALIDADE POR USO"</f>
        <v>MENSALIDADE POR USO</v>
      </c>
      <c r="F11137" s="2" t="str">
        <f>"M_MENUSO"</f>
        <v>M_MENUSO</v>
      </c>
      <c r="G11137" s="2" t="str">
        <f>" ()"</f>
        <v xml:space="preserve"> ()</v>
      </c>
    </row>
    <row r="11138" spans="1:7" x14ac:dyDescent="0.3">
      <c r="A11138" s="1" t="s">
        <v>4</v>
      </c>
      <c r="B11138" s="2" t="str">
        <f t="shared" si="971"/>
        <v>SISTEMA DE GERENCIAMENTO PLANO DE SAÚDE</v>
      </c>
      <c r="C11138" s="2" t="str">
        <f>""</f>
        <v/>
      </c>
      <c r="D11138" s="2" t="str">
        <f t="shared" si="972"/>
        <v>SGPS</v>
      </c>
      <c r="E11138" s="2" t="str">
        <f>"CLASSES SOCIAIS"</f>
        <v>CLASSES SOCIAIS</v>
      </c>
      <c r="F11138" s="2" t="str">
        <f>"M_CLAS_SOC"</f>
        <v>M_CLAS_SOC</v>
      </c>
      <c r="G11138" s="2" t="str">
        <f>"MVSaude / Cadastros / Classes Sociais (M_CLAS_SOC)"</f>
        <v>MVSaude / Cadastros / Classes Sociais (M_CLAS_SOC)</v>
      </c>
    </row>
    <row r="11139" spans="1:7" x14ac:dyDescent="0.3">
      <c r="A11139" s="1" t="s">
        <v>4</v>
      </c>
      <c r="B11139" s="2" t="str">
        <f t="shared" si="971"/>
        <v>SISTEMA DE GERENCIAMENTO PLANO DE SAÚDE</v>
      </c>
      <c r="C11139" s="2" t="str">
        <f>""</f>
        <v/>
      </c>
      <c r="D11139" s="2" t="str">
        <f t="shared" si="972"/>
        <v>SGPS</v>
      </c>
      <c r="E11139" s="2" t="str">
        <f>"CHAMADA REPORT RELATORIO FATURAMENTO"</f>
        <v>CHAMADA REPORT RELATORIO FATURAMENTO</v>
      </c>
      <c r="F11139" s="2" t="str">
        <f>"R_EMP_FAT_VIVER"</f>
        <v>R_EMP_FAT_VIVER</v>
      </c>
      <c r="G11139" s="2" t="str">
        <f>" ()"</f>
        <v xml:space="preserve"> ()</v>
      </c>
    </row>
    <row r="11140" spans="1:7" x14ac:dyDescent="0.3">
      <c r="A11140" s="1" t="s">
        <v>4</v>
      </c>
      <c r="B11140" s="2" t="str">
        <f t="shared" si="971"/>
        <v>SISTEMA DE GERENCIAMENTO PLANO DE SAÚDE</v>
      </c>
      <c r="C11140" s="2" t="str">
        <f>""</f>
        <v/>
      </c>
      <c r="D11140" s="2" t="str">
        <f t="shared" si="972"/>
        <v>SGPS</v>
      </c>
      <c r="E11140" s="2" t="str">
        <f>"GERAÇÃO DAS MENSALIDADES POR USO"</f>
        <v>GERAÇÃO DAS MENSALIDADES POR USO</v>
      </c>
      <c r="F11140" s="2" t="str">
        <f>"GERA_MENUSO"</f>
        <v>GERA_MENUSO</v>
      </c>
      <c r="G11140" s="2" t="str">
        <f>" ()"</f>
        <v xml:space="preserve"> ()</v>
      </c>
    </row>
    <row r="11141" spans="1:7" x14ac:dyDescent="0.3">
      <c r="A11141" s="1" t="s">
        <v>4</v>
      </c>
      <c r="B11141" s="2" t="str">
        <f t="shared" si="971"/>
        <v>SISTEMA DE GERENCIAMENTO PLANO DE SAÚDE</v>
      </c>
      <c r="C11141" s="2" t="str">
        <f>""</f>
        <v/>
      </c>
      <c r="D11141" s="2" t="str">
        <f t="shared" si="972"/>
        <v>SGPS</v>
      </c>
      <c r="E11141" s="2" t="str">
        <f>"MENSALIDADE POR UTILIZAÇÃO"</f>
        <v>MENSALIDADE POR UTILIZAÇÃO</v>
      </c>
      <c r="F11141" s="2" t="str">
        <f>"R_MENSAL_POR_USO"</f>
        <v>R_MENSAL_POR_USO</v>
      </c>
      <c r="G11141" s="2" t="str">
        <f>" ()"</f>
        <v xml:space="preserve"> ()</v>
      </c>
    </row>
    <row r="11142" spans="1:7" x14ac:dyDescent="0.3">
      <c r="A11142" s="1" t="s">
        <v>4</v>
      </c>
      <c r="B11142" s="2" t="str">
        <f t="shared" si="971"/>
        <v>SISTEMA DE GERENCIAMENTO PLANO DE SAÚDE</v>
      </c>
      <c r="C11142" s="2" t="str">
        <f>""</f>
        <v/>
      </c>
      <c r="D11142" s="2" t="str">
        <f t="shared" si="972"/>
        <v>SGPS</v>
      </c>
      <c r="E11142" s="2" t="str">
        <f>"AUTORIZADORES"</f>
        <v>AUTORIZADORES</v>
      </c>
      <c r="F11142" s="2" t="str">
        <f>"M_AUTORI"</f>
        <v>M_AUTORI</v>
      </c>
      <c r="G11142" s="2" t="str">
        <f>"MVSaude / Contas Médicas / Tabelas / Autorizadores (M_AUTORI)"</f>
        <v>MVSaude / Contas Médicas / Tabelas / Autorizadores (M_AUTORI)</v>
      </c>
    </row>
    <row r="11143" spans="1:7" x14ac:dyDescent="0.3">
      <c r="A11143" s="1" t="s">
        <v>4</v>
      </c>
      <c r="B11143" s="2" t="str">
        <f t="shared" si="971"/>
        <v>SISTEMA DE GERENCIAMENTO PLANO DE SAÚDE</v>
      </c>
      <c r="C11143" s="2" t="str">
        <f>""</f>
        <v/>
      </c>
      <c r="D11143" s="2" t="str">
        <f t="shared" si="972"/>
        <v>SGPS</v>
      </c>
      <c r="E11143" s="2" t="str">
        <f>"RELATORIO DOS AUTORIZADORES"</f>
        <v>RELATORIO DOS AUTORIZADORES</v>
      </c>
      <c r="F11143" s="2" t="str">
        <f>"R_AUTORI"</f>
        <v>R_AUTORI</v>
      </c>
      <c r="G11143" s="2" t="str">
        <f>"MVSaude / Relatórios / Tabelas / Faturamento / Autorizadores (R_AUTORI)"</f>
        <v>MVSaude / Relatórios / Tabelas / Faturamento / Autorizadores (R_AUTORI)</v>
      </c>
    </row>
    <row r="11144" spans="1:7" x14ac:dyDescent="0.3">
      <c r="A11144" s="1" t="s">
        <v>4</v>
      </c>
      <c r="B11144" s="2" t="str">
        <f t="shared" si="971"/>
        <v>SISTEMA DE GERENCIAMENTO PLANO DE SAÚDE</v>
      </c>
      <c r="C11144" s="2" t="str">
        <f>""</f>
        <v/>
      </c>
      <c r="D11144" s="2" t="str">
        <f t="shared" si="972"/>
        <v>SGPS</v>
      </c>
      <c r="E11144" s="2" t="str">
        <f>"RELATORIO DE ESCOLARIDADES"</f>
        <v>RELATORIO DE ESCOLARIDADES</v>
      </c>
      <c r="F11144" s="2" t="str">
        <f>"R_ESCOLAR"</f>
        <v>R_ESCOLAR</v>
      </c>
      <c r="G11144" s="2" t="str">
        <f>"MVSaude / Relatórios / Tabelas / Comercial / Escolaridades (R_ESCOLAR)"</f>
        <v>MVSaude / Relatórios / Tabelas / Comercial / Escolaridades (R_ESCOLAR)</v>
      </c>
    </row>
    <row r="11145" spans="1:7" x14ac:dyDescent="0.3">
      <c r="A11145" s="1" t="s">
        <v>4</v>
      </c>
      <c r="B11145" s="2" t="str">
        <f t="shared" si="971"/>
        <v>SISTEMA DE GERENCIAMENTO PLANO DE SAÚDE</v>
      </c>
      <c r="C11145" s="2" t="str">
        <f>""</f>
        <v/>
      </c>
      <c r="D11145" s="2" t="str">
        <f t="shared" si="972"/>
        <v>SGPS</v>
      </c>
      <c r="E11145" s="2" t="str">
        <f>"RELATÓRIO DE CLASSES SOCIAIS"</f>
        <v>RELATÓRIO DE CLASSES SOCIAIS</v>
      </c>
      <c r="F11145" s="2" t="str">
        <f>"R_CLAS_SOC"</f>
        <v>R_CLAS_SOC</v>
      </c>
      <c r="G11145" s="2" t="str">
        <f>"MVSaude / Relatórios / Tabelas / Comercial / Classes Sociais (R_CLAS_SOC)"</f>
        <v>MVSaude / Relatórios / Tabelas / Comercial / Classes Sociais (R_CLAS_SOC)</v>
      </c>
    </row>
    <row r="11146" spans="1:7" x14ac:dyDescent="0.3">
      <c r="A11146" s="1" t="s">
        <v>4</v>
      </c>
      <c r="B11146" s="2" t="str">
        <f t="shared" si="971"/>
        <v>SISTEMA DE GERENCIAMENTO PLANO DE SAÚDE</v>
      </c>
      <c r="C11146" s="2" t="str">
        <f>""</f>
        <v/>
      </c>
      <c r="D11146" s="2" t="str">
        <f t="shared" si="972"/>
        <v>SGPS</v>
      </c>
      <c r="E11146" s="2" t="str">
        <f>"RELATÓRIO COMERCIAL PLANOS"</f>
        <v>RELATÓRIO COMERCIAL PLANOS</v>
      </c>
      <c r="F11146" s="2" t="str">
        <f>"R_PLANO"</f>
        <v>R_PLANO</v>
      </c>
      <c r="G11146" s="2" t="str">
        <f>"MVSaude / Relatórios / Tabelas / Comercial / Plano / Tabela do Plano (R_PLANO)"</f>
        <v>MVSaude / Relatórios / Tabelas / Comercial / Plano / Tabela do Plano (R_PLANO)</v>
      </c>
    </row>
    <row r="11147" spans="1:7" x14ac:dyDescent="0.3">
      <c r="A11147" s="1" t="s">
        <v>4</v>
      </c>
      <c r="B11147" s="2" t="str">
        <f t="shared" si="971"/>
        <v>SISTEMA DE GERENCIAMENTO PLANO DE SAÚDE</v>
      </c>
      <c r="C11147" s="2" t="str">
        <f>""</f>
        <v/>
      </c>
      <c r="D11147" s="2" t="str">
        <f t="shared" si="972"/>
        <v>SGPS</v>
      </c>
      <c r="E11147" s="2" t="str">
        <f>"RELATÓRIO CONFIGURAÇÃO DO BRASÍNDICE"</f>
        <v>RELATÓRIO CONFIGURAÇÃO DO BRASÍNDICE</v>
      </c>
      <c r="F11147" s="2" t="str">
        <f>"R_PROCED_BRAS"</f>
        <v>R_PROCED_BRAS</v>
      </c>
      <c r="G11147" s="2" t="str">
        <f>"MVSaude / Relatórios / Tabelas / Brasíndice / Configuracao do Brasindice (R_PROCED_BRAS)"</f>
        <v>MVSaude / Relatórios / Tabelas / Brasíndice / Configuracao do Brasindice (R_PROCED_BRAS)</v>
      </c>
    </row>
    <row r="11148" spans="1:7" x14ac:dyDescent="0.3">
      <c r="A11148" s="1" t="s">
        <v>4</v>
      </c>
      <c r="B11148" s="2" t="str">
        <f t="shared" si="971"/>
        <v>SISTEMA DE GERENCIAMENTO PLANO DE SAÚDE</v>
      </c>
      <c r="C11148" s="2" t="str">
        <f>""</f>
        <v/>
      </c>
      <c r="D11148" s="2" t="str">
        <f t="shared" si="972"/>
        <v>SGPS</v>
      </c>
      <c r="E11148" s="2" t="str">
        <f>"IMPORTAÇÃO: FINANCEIRO"</f>
        <v>IMPORTAÇÃO: FINANCEIRO</v>
      </c>
      <c r="F11148" s="2" t="str">
        <f>"O_CRIA_TRIGGER_MARCELO"</f>
        <v>O_CRIA_TRIGGER_MARCELO</v>
      </c>
      <c r="G11148" s="2" t="str">
        <f>" ()"</f>
        <v xml:space="preserve"> ()</v>
      </c>
    </row>
    <row r="11149" spans="1:7" x14ac:dyDescent="0.3">
      <c r="A11149" s="1" t="s">
        <v>4</v>
      </c>
      <c r="B11149" s="2" t="str">
        <f t="shared" si="971"/>
        <v>SISTEMA DE GERENCIAMENTO PLANO DE SAÚDE</v>
      </c>
      <c r="C11149" s="2" t="str">
        <f>""</f>
        <v/>
      </c>
      <c r="D11149" s="2" t="str">
        <f t="shared" si="972"/>
        <v>SGPS</v>
      </c>
      <c r="E11149" s="2" t="str">
        <f>"COBRANÇA BANCÁRIA - GERAÇÃO"</f>
        <v>COBRANÇA BANCÁRIA - GERAÇÃO</v>
      </c>
      <c r="F11149" s="2" t="str">
        <f>"C_GERA_PROCESS_CB"</f>
        <v>C_GERA_PROCESS_CB</v>
      </c>
      <c r="G11149" s="2" t="str">
        <f>" ()"</f>
        <v xml:space="preserve"> ()</v>
      </c>
    </row>
    <row r="11150" spans="1:7" x14ac:dyDescent="0.3">
      <c r="A11150" s="1" t="s">
        <v>4</v>
      </c>
      <c r="B11150" s="2" t="str">
        <f t="shared" si="971"/>
        <v>SISTEMA DE GERENCIAMENTO PLANO DE SAÚDE</v>
      </c>
      <c r="C11150" s="2" t="str">
        <f>""</f>
        <v/>
      </c>
      <c r="D11150" s="2" t="str">
        <f t="shared" si="972"/>
        <v>SGPS</v>
      </c>
      <c r="E11150" s="2" t="str">
        <f>"IMPORTAÇÃO DE COBRANÇAS DO BANCO"</f>
        <v>IMPORTAÇÃO DE COBRANÇAS DO BANCO</v>
      </c>
      <c r="F11150" s="2" t="str">
        <f>"M_DESLIGA_USUARIO"</f>
        <v>M_DESLIGA_USUARIO</v>
      </c>
      <c r="G11150" s="2" t="str">
        <f>" ()"</f>
        <v xml:space="preserve"> ()</v>
      </c>
    </row>
    <row r="11151" spans="1:7" x14ac:dyDescent="0.3">
      <c r="A11151" s="1" t="s">
        <v>4</v>
      </c>
      <c r="B11151" s="2" t="str">
        <f t="shared" si="971"/>
        <v>SISTEMA DE GERENCIAMENTO PLANO DE SAÚDE</v>
      </c>
      <c r="C11151" s="2" t="str">
        <f>""</f>
        <v/>
      </c>
      <c r="D11151" s="2" t="str">
        <f t="shared" si="972"/>
        <v>SGPS</v>
      </c>
      <c r="E11151" s="2" t="str">
        <f>"CADASTRO: REMESSA DE PRESTADORES"</f>
        <v>CADASTRO: REMESSA DE PRESTADORES</v>
      </c>
      <c r="F11151" s="2" t="str">
        <f>"M_REMESSA_PRESTADOR_EXAMES"</f>
        <v>M_REMESSA_PRESTADOR_EXAMES</v>
      </c>
      <c r="G11151" s="2" t="str">
        <f>" ()"</f>
        <v xml:space="preserve"> ()</v>
      </c>
    </row>
    <row r="11152" spans="1:7" x14ac:dyDescent="0.3">
      <c r="A11152" s="1" t="s">
        <v>4</v>
      </c>
      <c r="B11152" s="2" t="str">
        <f t="shared" si="971"/>
        <v>SISTEMA DE GERENCIAMENTO PLANO DE SAÚDE</v>
      </c>
      <c r="C11152" s="2" t="str">
        <f>""</f>
        <v/>
      </c>
      <c r="D11152" s="2" t="str">
        <f t="shared" si="972"/>
        <v>SGPS</v>
      </c>
      <c r="E11152" s="2" t="str">
        <f>"IMPORTAÇÃO: FINANCEIRO"</f>
        <v>IMPORTAÇÃO: FINANCEIRO</v>
      </c>
      <c r="F11152" s="2" t="str">
        <f>"O_CARGA"</f>
        <v>O_CARGA</v>
      </c>
      <c r="G11152" s="2" t="str">
        <f>" ()"</f>
        <v xml:space="preserve"> ()</v>
      </c>
    </row>
    <row r="11153" spans="1:7" x14ac:dyDescent="0.3">
      <c r="A11153" s="1" t="s">
        <v>4</v>
      </c>
      <c r="B11153" s="2" t="str">
        <f t="shared" si="971"/>
        <v>SISTEMA DE GERENCIAMENTO PLANO DE SAÚDE</v>
      </c>
      <c r="C11153" s="2" t="str">
        <f>""</f>
        <v/>
      </c>
      <c r="D11153" s="2" t="str">
        <f t="shared" si="972"/>
        <v>SGPS</v>
      </c>
      <c r="E11153" s="2" t="str">
        <f>"ENVIO DE CONTRATOS"</f>
        <v>ENVIO DE CONTRATOS</v>
      </c>
      <c r="F11153" s="2" t="str">
        <f>"R_CONTRATO_ENVIO"</f>
        <v>R_CONTRATO_ENVIO</v>
      </c>
      <c r="G11153" s="2" t="str">
        <f>"MVSaude / Relatórios / Administrativos / Contratos / Envio de Contratos (R_CONTRATO_ENVIO)"</f>
        <v>MVSaude / Relatórios / Administrativos / Contratos / Envio de Contratos (R_CONTRATO_ENVIO)</v>
      </c>
    </row>
    <row r="11154" spans="1:7" x14ac:dyDescent="0.3">
      <c r="A11154" s="1" t="s">
        <v>4</v>
      </c>
      <c r="B11154" s="2" t="str">
        <f t="shared" si="971"/>
        <v>SISTEMA DE GERENCIAMENTO PLANO DE SAÚDE</v>
      </c>
      <c r="C11154" s="2" t="str">
        <f>""</f>
        <v/>
      </c>
      <c r="D11154" s="2" t="str">
        <f t="shared" si="972"/>
        <v>SGPS</v>
      </c>
      <c r="E11154" s="2" t="str">
        <f>"REEMBOLSO"</f>
        <v>REEMBOLSO</v>
      </c>
      <c r="F11154" s="2" t="str">
        <f>"M_REPACTUACAO"</f>
        <v>M_REPACTUACAO</v>
      </c>
      <c r="G11154" s="2" t="str">
        <f>"MVSaude / Faturamento / Repactuação das Mensalidades (M_REPACTUACAO)"</f>
        <v>MVSaude / Faturamento / Repactuação das Mensalidades (M_REPACTUACAO)</v>
      </c>
    </row>
    <row r="11155" spans="1:7" x14ac:dyDescent="0.3">
      <c r="A11155" s="1" t="s">
        <v>4</v>
      </c>
      <c r="B11155" s="2" t="str">
        <f t="shared" si="971"/>
        <v>SISTEMA DE GERENCIAMENTO PLANO DE SAÚDE</v>
      </c>
      <c r="C11155" s="2" t="str">
        <f>""</f>
        <v/>
      </c>
      <c r="D11155" s="2" t="str">
        <f t="shared" si="972"/>
        <v>SGPS</v>
      </c>
      <c r="E11155" s="2" t="str">
        <f>"GERAÇÃO DOS ARQUIVOS EM MEIO MAGNÉTICO"</f>
        <v>GERAÇÃO DOS ARQUIVOS EM MEIO MAGNÉTICO</v>
      </c>
      <c r="F11155" s="2" t="str">
        <f>"O_GERA_ARQMAG_VIRTUAL"</f>
        <v>O_GERA_ARQMAG_VIRTUAL</v>
      </c>
      <c r="G11155" s="2" t="str">
        <f>" ()"</f>
        <v xml:space="preserve"> ()</v>
      </c>
    </row>
    <row r="11156" spans="1:7" x14ac:dyDescent="0.3">
      <c r="A11156" s="1" t="s">
        <v>4</v>
      </c>
      <c r="B11156" s="2" t="str">
        <f t="shared" si="971"/>
        <v>SISTEMA DE GERENCIAMENTO PLANO DE SAÚDE</v>
      </c>
      <c r="C11156" s="2" t="str">
        <f>""</f>
        <v/>
      </c>
      <c r="D11156" s="2" t="str">
        <f t="shared" si="972"/>
        <v>SGPS</v>
      </c>
      <c r="E11156" s="2" t="str">
        <f>"RELATORIO DOS PROCEDIMENTOS ANESTÉSICOS"</f>
        <v>RELATORIO DOS PROCEDIMENTOS ANESTÉSICOS</v>
      </c>
      <c r="F11156" s="2" t="str">
        <f>"R_PORANE"</f>
        <v>R_PORANE</v>
      </c>
      <c r="G11156" s="2" t="str">
        <f>"MVSaude / Relatórios / Tabelas / Faturamento / Portes Anestesicos (R_PORANE)"</f>
        <v>MVSaude / Relatórios / Tabelas / Faturamento / Portes Anestesicos (R_PORANE)</v>
      </c>
    </row>
    <row r="11157" spans="1:7" x14ac:dyDescent="0.3">
      <c r="A11157" s="1" t="s">
        <v>4</v>
      </c>
      <c r="B11157" s="2" t="str">
        <f t="shared" si="971"/>
        <v>SISTEMA DE GERENCIAMENTO PLANO DE SAÚDE</v>
      </c>
      <c r="C11157" s="2" t="str">
        <f>""</f>
        <v/>
      </c>
      <c r="D11157" s="2" t="str">
        <f t="shared" si="972"/>
        <v>SGPS</v>
      </c>
      <c r="E11157" s="2" t="str">
        <f>"RELATORIOS DOS MOTIVOS DE DESLIGAMENTO"</f>
        <v>RELATORIOS DOS MOTIVOS DE DESLIGAMENTO</v>
      </c>
      <c r="F11157" s="2" t="str">
        <f>"R_MOTDES"</f>
        <v>R_MOTDES</v>
      </c>
      <c r="G11157" s="2" t="str">
        <f>"MVSaude / Relatórios / Tabelas / Comercial / Motivos de Desligamento (R_MOTDES)"</f>
        <v>MVSaude / Relatórios / Tabelas / Comercial / Motivos de Desligamento (R_MOTDES)</v>
      </c>
    </row>
    <row r="11158" spans="1:7" x14ac:dyDescent="0.3">
      <c r="A11158" s="1" t="s">
        <v>4</v>
      </c>
      <c r="B11158" s="2" t="str">
        <f t="shared" si="971"/>
        <v>SISTEMA DE GERENCIAMENTO PLANO DE SAÚDE</v>
      </c>
      <c r="C11158" s="2" t="str">
        <f>""</f>
        <v/>
      </c>
      <c r="D11158" s="2" t="str">
        <f t="shared" si="972"/>
        <v>SGPS</v>
      </c>
      <c r="E11158" s="2" t="str">
        <f>"RELÁTORIO DE USUÁRIOS CADAST. POR DATA"</f>
        <v>RELÁTORIO DE USUÁRIOS CADAST. POR DATA</v>
      </c>
      <c r="F11158" s="2" t="str">
        <f>"R_USUDAT"</f>
        <v>R_USUDAT</v>
      </c>
      <c r="G11158" s="2" t="str">
        <f>"MVSaude / Relatórios / Tabelas / Usuario / Cadastrados por Data (R_USUDAT)"</f>
        <v>MVSaude / Relatórios / Tabelas / Usuario / Cadastrados por Data (R_USUDAT)</v>
      </c>
    </row>
    <row r="11159" spans="1:7" x14ac:dyDescent="0.3">
      <c r="A11159" s="1" t="s">
        <v>4</v>
      </c>
      <c r="B11159" s="2" t="str">
        <f t="shared" si="971"/>
        <v>SISTEMA DE GERENCIAMENTO PLANO DE SAÚDE</v>
      </c>
      <c r="C11159" s="2" t="str">
        <f>""</f>
        <v/>
      </c>
      <c r="D11159" s="2" t="str">
        <f t="shared" si="972"/>
        <v>SGPS</v>
      </c>
      <c r="E11159" s="2" t="str">
        <f>"REL. DE EXTRATO DE IR DE USUÁRIOS"</f>
        <v>REL. DE EXTRATO DE IR DE USUÁRIOS</v>
      </c>
      <c r="F11159" s="2" t="str">
        <f>"R_EXTRATO_IR_USUARIO"</f>
        <v>R_EXTRATO_IR_USUARIO</v>
      </c>
      <c r="G11159" s="2" t="str">
        <f>"MVSaude / Relatórios / Operacionais / Imposto de Renda do Usuário (R_EXTRATO_IR_USUARIO)"</f>
        <v>MVSaude / Relatórios / Operacionais / Imposto de Renda do Usuário (R_EXTRATO_IR_USUARIO)</v>
      </c>
    </row>
    <row r="11160" spans="1:7" x14ac:dyDescent="0.3">
      <c r="A11160" s="1" t="s">
        <v>4</v>
      </c>
      <c r="B11160" s="2" t="str">
        <f t="shared" si="971"/>
        <v>SISTEMA DE GERENCIAMENTO PLANO DE SAÚDE</v>
      </c>
      <c r="C11160" s="2" t="str">
        <f>""</f>
        <v/>
      </c>
      <c r="D11160" s="2" t="str">
        <f t="shared" si="972"/>
        <v>SGPS</v>
      </c>
      <c r="E11160" s="2" t="s">
        <v>52</v>
      </c>
      <c r="F11160" s="2" t="s">
        <v>53</v>
      </c>
      <c r="G11160" s="2" t="str">
        <f>"R_USUARIO_ATIVO"</f>
        <v>R_USUARIO_ATIVO</v>
      </c>
    </row>
    <row r="11161" spans="1:7" x14ac:dyDescent="0.3">
      <c r="A11161" s="1" t="s">
        <v>4</v>
      </c>
      <c r="B11161" s="2" t="str">
        <f t="shared" si="971"/>
        <v>SISTEMA DE GERENCIAMENTO PLANO DE SAÚDE</v>
      </c>
      <c r="C11161" s="2" t="str">
        <f>""</f>
        <v/>
      </c>
      <c r="D11161" s="2" t="str">
        <f t="shared" si="972"/>
        <v>SGPS</v>
      </c>
      <c r="E11161" s="2" t="str">
        <f>"MENS. DO CONTR. P/ SIT. PAGAMENTO"</f>
        <v>MENS. DO CONTR. P/ SIT. PAGAMENTO</v>
      </c>
      <c r="F11161" s="2" t="str">
        <f>"R_MENCON_SERPARADO"</f>
        <v>R_MENCON_SERPARADO</v>
      </c>
      <c r="G11161" s="2" t="str">
        <f>" ()"</f>
        <v xml:space="preserve"> ()</v>
      </c>
    </row>
    <row r="11162" spans="1:7" x14ac:dyDescent="0.3">
      <c r="A11162" s="1" t="s">
        <v>4</v>
      </c>
      <c r="B11162" s="2" t="str">
        <f t="shared" si="971"/>
        <v>SISTEMA DE GERENCIAMENTO PLANO DE SAÚDE</v>
      </c>
      <c r="C11162" s="2" t="str">
        <f>""</f>
        <v/>
      </c>
      <c r="D11162" s="2" t="str">
        <f t="shared" si="972"/>
        <v>SGPS</v>
      </c>
      <c r="E11162" s="2" t="str">
        <f>"RELAÇÃO DAS TABELAS DE PREÇO POR PLANO"</f>
        <v>RELAÇÃO DAS TABELAS DE PREÇO POR PLANO</v>
      </c>
      <c r="F11162" s="2" t="str">
        <f>"R_PLSTABSPR"</f>
        <v>R_PLSTABSPR</v>
      </c>
      <c r="G11162" s="2" t="str">
        <f>" ()"</f>
        <v xml:space="preserve"> ()</v>
      </c>
    </row>
    <row r="11163" spans="1:7" x14ac:dyDescent="0.3">
      <c r="A11163" s="1" t="s">
        <v>4</v>
      </c>
      <c r="B11163" s="2" t="str">
        <f t="shared" si="971"/>
        <v>SISTEMA DE GERENCIAMENTO PLANO DE SAÚDE</v>
      </c>
      <c r="C11163" s="2" t="str">
        <f>""</f>
        <v/>
      </c>
      <c r="D11163" s="2" t="str">
        <f t="shared" si="972"/>
        <v>SGPS</v>
      </c>
      <c r="E11163" s="2" t="str">
        <f>"RELATÓRIO DE MÉDIA DE PERMANÊNCIA"</f>
        <v>RELATÓRIO DE MÉDIA DE PERMANÊNCIA</v>
      </c>
      <c r="F11163" s="2" t="str">
        <f>"R_MEDIA_PERMAN"</f>
        <v>R_MEDIA_PERMAN</v>
      </c>
      <c r="G11163" s="2" t="str">
        <f>"MVSaude / Relatórios / Administrativos / Permanencia Acima da Média (R_MEDIA_PERMAN)"</f>
        <v>MVSaude / Relatórios / Administrativos / Permanencia Acima da Média (R_MEDIA_PERMAN)</v>
      </c>
    </row>
    <row r="11164" spans="1:7" x14ac:dyDescent="0.3">
      <c r="A11164" s="1" t="s">
        <v>4</v>
      </c>
      <c r="B11164" s="2" t="str">
        <f t="shared" si="971"/>
        <v>SISTEMA DE GERENCIAMENTO PLANO DE SAÚDE</v>
      </c>
      <c r="C11164" s="2" t="str">
        <f>""</f>
        <v/>
      </c>
      <c r="D11164" s="2" t="str">
        <f t="shared" si="972"/>
        <v>SGPS</v>
      </c>
      <c r="E11164" s="2" t="str">
        <f>"RELATORIO DE MÉDIA DE PERMANÊNCIA"</f>
        <v>RELATORIO DE MÉDIA DE PERMANÊNCIA</v>
      </c>
      <c r="F11164" s="2" t="str">
        <f>"R_MEDIA_PERNAM"</f>
        <v>R_MEDIA_PERNAM</v>
      </c>
      <c r="G11164" s="2" t="str">
        <f>" ()"</f>
        <v xml:space="preserve"> ()</v>
      </c>
    </row>
    <row r="11165" spans="1:7" x14ac:dyDescent="0.3">
      <c r="A11165" s="1" t="s">
        <v>4</v>
      </c>
      <c r="B11165" s="2" t="str">
        <f t="shared" si="971"/>
        <v>SISTEMA DE GERENCIAMENTO PLANO DE SAÚDE</v>
      </c>
      <c r="C11165" s="2" t="str">
        <f>""</f>
        <v/>
      </c>
      <c r="D11165" s="2" t="str">
        <f t="shared" si="972"/>
        <v>SGPS</v>
      </c>
      <c r="E11165" s="2" t="str">
        <f>"RELATÓRIO DESL. POR MOTIVO X COMPETÊNCIA"</f>
        <v>RELATÓRIO DESL. POR MOTIVO X COMPETÊNCIA</v>
      </c>
      <c r="F11165" s="2" t="str">
        <f>"R_MOVDES_XY"</f>
        <v>R_MOVDES_XY</v>
      </c>
      <c r="G11165" s="2" t="str">
        <f>"MVSaude / Relatórios / Administrativos / Desligamento por Motivo x Competência (R_MOVDES_XY)"</f>
        <v>MVSaude / Relatórios / Administrativos / Desligamento por Motivo x Competência (R_MOVDES_XY)</v>
      </c>
    </row>
    <row r="11166" spans="1:7" x14ac:dyDescent="0.3">
      <c r="A11166" s="1" t="s">
        <v>4</v>
      </c>
      <c r="B11166" s="2" t="str">
        <f t="shared" si="971"/>
        <v>SISTEMA DE GERENCIAMENTO PLANO DE SAÚDE</v>
      </c>
      <c r="C11166" s="2" t="str">
        <f>""</f>
        <v/>
      </c>
      <c r="D11166" s="2" t="str">
        <f t="shared" si="972"/>
        <v>SGPS</v>
      </c>
      <c r="E11166" s="2" t="str">
        <f>"RELATÓRIO DE CONTR. P/ MÉTODO DE VENDA"</f>
        <v>RELATÓRIO DE CONTR. P/ MÉTODO DE VENDA</v>
      </c>
      <c r="F11166" s="2" t="str">
        <f>"R_CON_MET_VEN"</f>
        <v>R_CON_MET_VEN</v>
      </c>
      <c r="G11166" s="2" t="str">
        <f>"MVSaude / Relatórios / Administrativos / Contratos / Contratos por Metodo de Venda (R_CON_MET_VEN)"</f>
        <v>MVSaude / Relatórios / Administrativos / Contratos / Contratos por Metodo de Venda (R_CON_MET_VEN)</v>
      </c>
    </row>
    <row r="11167" spans="1:7" x14ac:dyDescent="0.3">
      <c r="A11167" s="1" t="s">
        <v>4</v>
      </c>
      <c r="B11167" s="2" t="str">
        <f t="shared" si="971"/>
        <v>SISTEMA DE GERENCIAMENTO PLANO DE SAÚDE</v>
      </c>
      <c r="C11167" s="2" t="str">
        <f>""</f>
        <v/>
      </c>
      <c r="D11167" s="2" t="str">
        <f t="shared" si="972"/>
        <v>SGPS</v>
      </c>
      <c r="E11167" s="2" t="str">
        <f>"CARTEIRA EXLCUSICA DA VIVER SAÚDE"</f>
        <v>CARTEIRA EXLCUSICA DA VIVER SAÚDE</v>
      </c>
      <c r="F11167" s="2" t="str">
        <f>"R_EMICAR_VIVER"</f>
        <v>R_EMICAR_VIVER</v>
      </c>
      <c r="G11167" s="2" t="str">
        <f>" ()"</f>
        <v xml:space="preserve"> ()</v>
      </c>
    </row>
    <row r="11168" spans="1:7" x14ac:dyDescent="0.3">
      <c r="A11168" s="1" t="s">
        <v>4</v>
      </c>
      <c r="B11168" s="2" t="str">
        <f t="shared" si="971"/>
        <v>SISTEMA DE GERENCIAMENTO PLANO DE SAÚDE</v>
      </c>
      <c r="C11168" s="2" t="str">
        <f>""</f>
        <v/>
      </c>
      <c r="D11168" s="2" t="str">
        <f t="shared" si="972"/>
        <v>SGPS</v>
      </c>
      <c r="E11168" s="2" t="str">
        <f>"RELATÓRIO DE RECEITAS X DESPESAS"</f>
        <v>RELATÓRIO DE RECEITAS X DESPESAS</v>
      </c>
      <c r="F11168" s="2" t="str">
        <f>"R_RECEITA_DESPESAS"</f>
        <v>R_RECEITA_DESPESAS</v>
      </c>
      <c r="G11168" s="2" t="str">
        <f>"MVSaude / Relatórios / Gerenciais / Sinistralidade / Por Competência (R_RECEITA_DESPESAS)"</f>
        <v>MVSaude / Relatórios / Gerenciais / Sinistralidade / Por Competência (R_RECEITA_DESPESAS)</v>
      </c>
    </row>
    <row r="11169" spans="1:7" x14ac:dyDescent="0.3">
      <c r="A11169" s="1" t="s">
        <v>4</v>
      </c>
      <c r="B11169" s="2" t="str">
        <f t="shared" si="971"/>
        <v>SISTEMA DE GERENCIAMENTO PLANO DE SAÚDE</v>
      </c>
      <c r="C11169" s="2" t="str">
        <f>""</f>
        <v/>
      </c>
      <c r="D11169" s="2" t="str">
        <f t="shared" si="972"/>
        <v>SGPS</v>
      </c>
      <c r="E11169" s="2" t="str">
        <f>"CONTAS HOSPITALARES EM MEIO MAGNÉTICO"</f>
        <v>CONTAS HOSPITALARES EM MEIO MAGNÉTICO</v>
      </c>
      <c r="F11169" s="2" t="str">
        <f>"M_CONTA_MAG_HEAD_CON"</f>
        <v>M_CONTA_MAG_HEAD_CON</v>
      </c>
      <c r="G11169" s="2" t="str">
        <f t="shared" ref="G11169:G11174" si="973">" ()"</f>
        <v xml:space="preserve"> ()</v>
      </c>
    </row>
    <row r="11170" spans="1:7" x14ac:dyDescent="0.3">
      <c r="A11170" s="1" t="s">
        <v>4</v>
      </c>
      <c r="B11170" s="2" t="str">
        <f t="shared" si="971"/>
        <v>SISTEMA DE GERENCIAMENTO PLANO DE SAÚDE</v>
      </c>
      <c r="C11170" s="2" t="str">
        <f>""</f>
        <v/>
      </c>
      <c r="D11170" s="2" t="str">
        <f t="shared" si="972"/>
        <v>SGPS</v>
      </c>
      <c r="E11170" s="2" t="str">
        <f>"R_USUEXCLUIDO_VIVER"</f>
        <v>R_USUEXCLUIDO_VIVER</v>
      </c>
      <c r="F11170" s="2" t="str">
        <f>"R_USUEXCLUIDO_VIVER"</f>
        <v>R_USUEXCLUIDO_VIVER</v>
      </c>
      <c r="G11170" s="2" t="str">
        <f t="shared" si="973"/>
        <v xml:space="preserve"> ()</v>
      </c>
    </row>
    <row r="11171" spans="1:7" x14ac:dyDescent="0.3">
      <c r="A11171" s="1" t="s">
        <v>4</v>
      </c>
      <c r="B11171" s="2" t="str">
        <f t="shared" si="971"/>
        <v>SISTEMA DE GERENCIAMENTO PLANO DE SAÚDE</v>
      </c>
      <c r="C11171" s="2" t="str">
        <f>""</f>
        <v/>
      </c>
      <c r="D11171" s="2" t="str">
        <f t="shared" si="972"/>
        <v>SGPS</v>
      </c>
      <c r="E11171" s="2" t="str">
        <f>"R_USUINCLUIDO_VIVER"</f>
        <v>R_USUINCLUIDO_VIVER</v>
      </c>
      <c r="F11171" s="2" t="str">
        <f>"R_USUINCLUIDO_VIVER"</f>
        <v>R_USUINCLUIDO_VIVER</v>
      </c>
      <c r="G11171" s="2" t="str">
        <f t="shared" si="973"/>
        <v xml:space="preserve"> ()</v>
      </c>
    </row>
    <row r="11172" spans="1:7" x14ac:dyDescent="0.3">
      <c r="A11172" s="1" t="s">
        <v>4</v>
      </c>
      <c r="B11172" s="2" t="str">
        <f t="shared" si="971"/>
        <v>SISTEMA DE GERENCIAMENTO PLANO DE SAÚDE</v>
      </c>
      <c r="C11172" s="2" t="str">
        <f>""</f>
        <v/>
      </c>
      <c r="D11172" s="2" t="str">
        <f t="shared" si="972"/>
        <v>SGPS</v>
      </c>
      <c r="E11172" s="2" t="str">
        <f>"EXTRATO REDE CREDENCIADA PREST. (VIVER)"</f>
        <v>EXTRATO REDE CREDENCIADA PREST. (VIVER)</v>
      </c>
      <c r="F11172" s="2" t="str">
        <f>"R_EXTRATO_REDE_PREST_VIVER"</f>
        <v>R_EXTRATO_REDE_PREST_VIVER</v>
      </c>
      <c r="G11172" s="2" t="str">
        <f t="shared" si="973"/>
        <v xml:space="preserve"> ()</v>
      </c>
    </row>
    <row r="11173" spans="1:7" x14ac:dyDescent="0.3">
      <c r="A11173" s="1" t="s">
        <v>4</v>
      </c>
      <c r="B11173" s="2" t="str">
        <f t="shared" si="971"/>
        <v>SISTEMA DE GERENCIAMENTO PLANO DE SAÚDE</v>
      </c>
      <c r="C11173" s="2" t="str">
        <f>""</f>
        <v/>
      </c>
      <c r="D11173" s="2" t="str">
        <f t="shared" si="972"/>
        <v>SGPS</v>
      </c>
      <c r="E11173" s="2" t="str">
        <f>"GUIA DE INTERNACAO VIVER"</f>
        <v>GUIA DE INTERNACAO VIVER</v>
      </c>
      <c r="F11173" s="2" t="str">
        <f>"R_GUIA_INTERNACAO_VIVER"</f>
        <v>R_GUIA_INTERNACAO_VIVER</v>
      </c>
      <c r="G11173" s="2" t="str">
        <f t="shared" si="973"/>
        <v xml:space="preserve"> ()</v>
      </c>
    </row>
    <row r="11174" spans="1:7" x14ac:dyDescent="0.3">
      <c r="A11174" s="1" t="s">
        <v>4</v>
      </c>
      <c r="B11174" s="2" t="str">
        <f t="shared" si="971"/>
        <v>SISTEMA DE GERENCIAMENTO PLANO DE SAÚDE</v>
      </c>
      <c r="C11174" s="2" t="str">
        <f>""</f>
        <v/>
      </c>
      <c r="D11174" s="2" t="str">
        <f t="shared" si="972"/>
        <v>SGPS</v>
      </c>
      <c r="E11174" s="2" t="str">
        <f>"CONFERENCIA DE CARTEIRAS DA VIVER"</f>
        <v>CONFERENCIA DE CARTEIRAS DA VIVER</v>
      </c>
      <c r="F11174" s="2" t="str">
        <f>"R_CONFERECART_VIVER"</f>
        <v>R_CONFERECART_VIVER</v>
      </c>
      <c r="G11174" s="2" t="str">
        <f t="shared" si="973"/>
        <v xml:space="preserve"> ()</v>
      </c>
    </row>
    <row r="11175" spans="1:7" x14ac:dyDescent="0.3">
      <c r="A11175" s="1" t="s">
        <v>4</v>
      </c>
      <c r="B11175" s="2" t="str">
        <f t="shared" si="971"/>
        <v>SISTEMA DE GERENCIAMENTO PLANO DE SAÚDE</v>
      </c>
      <c r="C11175" s="2" t="str">
        <f>""</f>
        <v/>
      </c>
      <c r="D11175" s="2" t="str">
        <f t="shared" si="972"/>
        <v>SGPS</v>
      </c>
      <c r="E11175" s="2" t="s">
        <v>54</v>
      </c>
      <c r="F11175" s="2" t="s">
        <v>55</v>
      </c>
      <c r="G11175" s="2" t="str">
        <f>"R_USUATIVO_VIVER"</f>
        <v>R_USUATIVO_VIVER</v>
      </c>
    </row>
    <row r="11176" spans="1:7" x14ac:dyDescent="0.3">
      <c r="A11176" s="1" t="s">
        <v>4</v>
      </c>
      <c r="B11176" s="2" t="str">
        <f t="shared" si="971"/>
        <v>SISTEMA DE GERENCIAMENTO PLANO DE SAÚDE</v>
      </c>
      <c r="C11176" s="2" t="str">
        <f>""</f>
        <v/>
      </c>
      <c r="D11176" s="2" t="str">
        <f t="shared" si="972"/>
        <v>SGPS</v>
      </c>
      <c r="E11176" s="2" t="str">
        <f>"R_ESPECIALIDADE_XY"</f>
        <v>R_ESPECIALIDADE_XY</v>
      </c>
      <c r="F11176" s="2" t="str">
        <f>"R_ESPECIALIDADE_XY"</f>
        <v>R_ESPECIALIDADE_XY</v>
      </c>
      <c r="G11176" s="2" t="str">
        <f t="shared" ref="G11176:G11183" si="974">" ()"</f>
        <v xml:space="preserve"> ()</v>
      </c>
    </row>
    <row r="11177" spans="1:7" x14ac:dyDescent="0.3">
      <c r="A11177" s="1" t="s">
        <v>4</v>
      </c>
      <c r="B11177" s="2" t="str">
        <f t="shared" si="971"/>
        <v>SISTEMA DE GERENCIAMENTO PLANO DE SAÚDE</v>
      </c>
      <c r="C11177" s="2" t="str">
        <f>""</f>
        <v/>
      </c>
      <c r="D11177" s="2" t="str">
        <f t="shared" si="972"/>
        <v>SGPS</v>
      </c>
      <c r="E11177" s="2" t="str">
        <f>"CADASTRO: MOTIVOS DE GLOSA"</f>
        <v>CADASTRO: MOTIVOS DE GLOSA</v>
      </c>
      <c r="F11177" s="2" t="str">
        <f>"M_TPATEND"</f>
        <v>M_TPATEND</v>
      </c>
      <c r="G11177" s="2" t="str">
        <f t="shared" si="974"/>
        <v xml:space="preserve"> ()</v>
      </c>
    </row>
    <row r="11178" spans="1:7" x14ac:dyDescent="0.3">
      <c r="A11178" s="1" t="s">
        <v>4</v>
      </c>
      <c r="B11178" s="2" t="str">
        <f t="shared" si="971"/>
        <v>SISTEMA DE GERENCIAMENTO PLANO DE SAÚDE</v>
      </c>
      <c r="C11178" s="2" t="str">
        <f>""</f>
        <v/>
      </c>
      <c r="D11178" s="2" t="str">
        <f t="shared" si="972"/>
        <v>SGPS</v>
      </c>
      <c r="E11178" s="2" t="str">
        <f>"VALORES TABELAS DE CONTRATO INDIVIDUAL"</f>
        <v>VALORES TABELAS DE CONTRATO INDIVIDUAL</v>
      </c>
      <c r="F11178" s="2" t="str">
        <f>"M_VALORES_TABELA_CONT"</f>
        <v>M_VALORES_TABELA_CONT</v>
      </c>
      <c r="G11178" s="2" t="str">
        <f t="shared" si="974"/>
        <v xml:space="preserve"> ()</v>
      </c>
    </row>
    <row r="11179" spans="1:7" x14ac:dyDescent="0.3">
      <c r="A11179" s="1" t="s">
        <v>4</v>
      </c>
      <c r="B11179" s="2" t="str">
        <f t="shared" si="971"/>
        <v>SISTEMA DE GERENCIAMENTO PLANO DE SAÚDE</v>
      </c>
      <c r="C11179" s="2" t="str">
        <f>""</f>
        <v/>
      </c>
      <c r="D11179" s="2" t="str">
        <f t="shared" si="972"/>
        <v>SGPS</v>
      </c>
      <c r="E11179" s="2" t="str">
        <f>"PROCEDIMENTOS DO ATENDIMENTO"</f>
        <v>PROCEDIMENTOS DO ATENDIMENTO</v>
      </c>
      <c r="F11179" s="2" t="str">
        <f>"CONFIG_CON_PLA_KIT"</f>
        <v>CONFIG_CON_PLA_KIT</v>
      </c>
      <c r="G11179" s="2" t="str">
        <f t="shared" si="974"/>
        <v xml:space="preserve"> ()</v>
      </c>
    </row>
    <row r="11180" spans="1:7" x14ac:dyDescent="0.3">
      <c r="A11180" s="1" t="s">
        <v>4</v>
      </c>
      <c r="B11180" s="2" t="str">
        <f t="shared" si="971"/>
        <v>SISTEMA DE GERENCIAMENTO PLANO DE SAÚDE</v>
      </c>
      <c r="C11180" s="2" t="str">
        <f>""</f>
        <v/>
      </c>
      <c r="D11180" s="2" t="str">
        <f t="shared" si="972"/>
        <v>SGPS</v>
      </c>
      <c r="E11180" s="2" t="str">
        <f>"CONSULTA LIMITE DE UTILIZAÇÃO DO USUARIO"</f>
        <v>CONSULTA LIMITE DE UTILIZAÇÃO DO USUARIO</v>
      </c>
      <c r="F11180" s="2" t="str">
        <f>"C_LIMITE_USU"</f>
        <v>C_LIMITE_USU</v>
      </c>
      <c r="G11180" s="2" t="str">
        <f t="shared" si="974"/>
        <v xml:space="preserve"> ()</v>
      </c>
    </row>
    <row r="11181" spans="1:7" x14ac:dyDescent="0.3">
      <c r="A11181" s="1" t="s">
        <v>4</v>
      </c>
      <c r="B11181" s="2" t="str">
        <f t="shared" ref="B11181:B11244" si="975">"SISTEMA DE GERENCIAMENTO PLANO DE SAÚDE"</f>
        <v>SISTEMA DE GERENCIAMENTO PLANO DE SAÚDE</v>
      </c>
      <c r="C11181" s="2" t="str">
        <f>""</f>
        <v/>
      </c>
      <c r="D11181" s="2" t="str">
        <f t="shared" ref="D11181:D11244" si="976">"SGPS"</f>
        <v>SGPS</v>
      </c>
      <c r="E11181" s="2" t="str">
        <f>"MENSALIADADES NÃO GERADAS"</f>
        <v>MENSALIADADES NÃO GERADAS</v>
      </c>
      <c r="F11181" s="2" t="str">
        <f>"R_MEN_NAO_GERADAS"</f>
        <v>R_MEN_NAO_GERADAS</v>
      </c>
      <c r="G11181" s="2" t="str">
        <f t="shared" si="974"/>
        <v xml:space="preserve"> ()</v>
      </c>
    </row>
    <row r="11182" spans="1:7" x14ac:dyDescent="0.3">
      <c r="A11182" s="1" t="s">
        <v>4</v>
      </c>
      <c r="B11182" s="2" t="str">
        <f t="shared" si="975"/>
        <v>SISTEMA DE GERENCIAMENTO PLANO DE SAÚDE</v>
      </c>
      <c r="C11182" s="2" t="str">
        <f>""</f>
        <v/>
      </c>
      <c r="D11182" s="2" t="str">
        <f t="shared" si="976"/>
        <v>SGPS</v>
      </c>
      <c r="E11182" s="2" t="str">
        <f>"FORMS PRINCIPAL DO SGPS"</f>
        <v>FORMS PRINCIPAL DO SGPS</v>
      </c>
      <c r="F11182" s="2" t="str">
        <f>"SGPS"</f>
        <v>SGPS</v>
      </c>
      <c r="G11182" s="2" t="str">
        <f t="shared" si="974"/>
        <v xml:space="preserve"> ()</v>
      </c>
    </row>
    <row r="11183" spans="1:7" x14ac:dyDescent="0.3">
      <c r="A11183" s="1" t="s">
        <v>4</v>
      </c>
      <c r="B11183" s="2" t="str">
        <f t="shared" si="975"/>
        <v>SISTEMA DE GERENCIAMENTO PLANO DE SAÚDE</v>
      </c>
      <c r="C11183" s="2" t="str">
        <f>""</f>
        <v/>
      </c>
      <c r="D11183" s="2" t="str">
        <f t="shared" si="976"/>
        <v>SGPS</v>
      </c>
      <c r="E11183" s="2" t="str">
        <f>"REL. DE MENS.  POR USO PARA PRESTADORES"</f>
        <v>REL. DE MENS.  POR USO PARA PRESTADORES</v>
      </c>
      <c r="F11183" s="2" t="str">
        <f>"R_PRE_FAT_V"</f>
        <v>R_PRE_FAT_V</v>
      </c>
      <c r="G11183" s="2" t="str">
        <f t="shared" si="974"/>
        <v xml:space="preserve"> ()</v>
      </c>
    </row>
    <row r="11184" spans="1:7" x14ac:dyDescent="0.3">
      <c r="A11184" s="1" t="s">
        <v>4</v>
      </c>
      <c r="B11184" s="2" t="str">
        <f t="shared" si="975"/>
        <v>SISTEMA DE GERENCIAMENTO PLANO DE SAÚDE</v>
      </c>
      <c r="C11184" s="2" t="str">
        <f>""</f>
        <v/>
      </c>
      <c r="D11184" s="2" t="str">
        <f t="shared" si="976"/>
        <v>SGPS</v>
      </c>
      <c r="E11184" s="2" t="str">
        <f>"DESLIGAMENTO DE PRESTADOR"</f>
        <v>DESLIGAMENTO DE PRESTADOR</v>
      </c>
      <c r="F11184" s="2" t="str">
        <f>"M_DESPRESTADOR"</f>
        <v>M_DESPRESTADOR</v>
      </c>
      <c r="G11184" s="2" t="str">
        <f>"MVSaude / Contas Médicas / Prestadores / Desligamento / Reativacao (M_DESPRESTADOR)"</f>
        <v>MVSaude / Contas Médicas / Prestadores / Desligamento / Reativacao (M_DESPRESTADOR)</v>
      </c>
    </row>
    <row r="11185" spans="1:7" x14ac:dyDescent="0.3">
      <c r="A11185" s="1" t="s">
        <v>4</v>
      </c>
      <c r="B11185" s="2" t="str">
        <f t="shared" si="975"/>
        <v>SISTEMA DE GERENCIAMENTO PLANO DE SAÚDE</v>
      </c>
      <c r="C11185" s="2" t="str">
        <f>""</f>
        <v/>
      </c>
      <c r="D11185" s="2" t="str">
        <f t="shared" si="976"/>
        <v>SGPS</v>
      </c>
      <c r="E11185" s="2" t="str">
        <f>"REMESSAS EM MEIO MAGNÉTICO"</f>
        <v>REMESSAS EM MEIO MAGNÉTICO</v>
      </c>
      <c r="F11185" s="2" t="str">
        <f>"M_CONTA_MAG_HEAD_REM"</f>
        <v>M_CONTA_MAG_HEAD_REM</v>
      </c>
      <c r="G11185" s="2" t="str">
        <f>" ()"</f>
        <v xml:space="preserve"> ()</v>
      </c>
    </row>
    <row r="11186" spans="1:7" x14ac:dyDescent="0.3">
      <c r="A11186" s="1" t="s">
        <v>4</v>
      </c>
      <c r="B11186" s="2" t="str">
        <f t="shared" si="975"/>
        <v>SISTEMA DE GERENCIAMENTO PLANO DE SAÚDE</v>
      </c>
      <c r="C11186" s="2" t="str">
        <f>""</f>
        <v/>
      </c>
      <c r="D11186" s="2" t="str">
        <f t="shared" si="976"/>
        <v>SGPS</v>
      </c>
      <c r="E11186" s="2" t="str">
        <f>"RELATORIO EMPRESA X CENTRO CUSTO X PLANO"</f>
        <v>RELATORIO EMPRESA X CENTRO CUSTO X PLANO</v>
      </c>
      <c r="F11186" s="2" t="str">
        <f>"R_EMPR_CENTRO_CUSTO"</f>
        <v>R_EMPR_CENTRO_CUSTO</v>
      </c>
      <c r="G11186" s="2" t="str">
        <f>"MVSaude / Relatórios / Tabelas / Empresa / Empresa x Centro de Custo x Plano (R_EMPR_CENTRO_CUSTO)"</f>
        <v>MVSaude / Relatórios / Tabelas / Empresa / Empresa x Centro de Custo x Plano (R_EMPR_CENTRO_CUSTO)</v>
      </c>
    </row>
    <row r="11187" spans="1:7" x14ac:dyDescent="0.3">
      <c r="A11187" s="1" t="s">
        <v>4</v>
      </c>
      <c r="B11187" s="2" t="str">
        <f t="shared" si="975"/>
        <v>SISTEMA DE GERENCIAMENTO PLANO DE SAÚDE</v>
      </c>
      <c r="C11187" s="2" t="str">
        <f>""</f>
        <v/>
      </c>
      <c r="D11187" s="2" t="str">
        <f t="shared" si="976"/>
        <v>SGPS</v>
      </c>
      <c r="E11187" s="2" t="str">
        <f>"RELATÓRIO DE CONTRATOS P/ EMP. VENDEDORA"</f>
        <v>RELATÓRIO DE CONTRATOS P/ EMP. VENDEDORA</v>
      </c>
      <c r="F11187" s="2" t="str">
        <f>"R_CONVEND"</f>
        <v>R_CONVEND</v>
      </c>
      <c r="G11187" s="2" t="str">
        <f>"MVSaude / Relatórios / Administrativos / Contratos / Contratos por Empresa / Unidade Vendedora (R_CONVEND)"</f>
        <v>MVSaude / Relatórios / Administrativos / Contratos / Contratos por Empresa / Unidade Vendedora (R_CONVEND)</v>
      </c>
    </row>
    <row r="11188" spans="1:7" x14ac:dyDescent="0.3">
      <c r="A11188" s="1" t="s">
        <v>4</v>
      </c>
      <c r="B11188" s="2" t="str">
        <f t="shared" si="975"/>
        <v>SISTEMA DE GERENCIAMENTO PLANO DE SAÚDE</v>
      </c>
      <c r="C11188" s="2" t="str">
        <f>""</f>
        <v/>
      </c>
      <c r="D11188" s="2" t="str">
        <f t="shared" si="976"/>
        <v>SGPS</v>
      </c>
      <c r="E11188" s="2" t="str">
        <f>"RELATÓRIO DE CONTRATOS VENCIDOS"</f>
        <v>RELATÓRIO DE CONTRATOS VENCIDOS</v>
      </c>
      <c r="F11188" s="2" t="str">
        <f>"R_CONVEN"</f>
        <v>R_CONVEN</v>
      </c>
      <c r="G11188" s="2" t="str">
        <f>"MVSaude / Relatórios / Administrativos / Contratos / Contratos Vencidos (R_CONVEN)"</f>
        <v>MVSaude / Relatórios / Administrativos / Contratos / Contratos Vencidos (R_CONVEN)</v>
      </c>
    </row>
    <row r="11189" spans="1:7" x14ac:dyDescent="0.3">
      <c r="A11189" s="1" t="s">
        <v>4</v>
      </c>
      <c r="B11189" s="2" t="str">
        <f t="shared" si="975"/>
        <v>SISTEMA DE GERENCIAMENTO PLANO DE SAÚDE</v>
      </c>
      <c r="C11189" s="2" t="str">
        <f>""</f>
        <v/>
      </c>
      <c r="D11189" s="2" t="str">
        <f t="shared" si="976"/>
        <v>SGPS</v>
      </c>
      <c r="E11189" s="2" t="str">
        <f>"OPERACAO CONTA CORRENTE USUARIO"</f>
        <v>OPERACAO CONTA CORRENTE USUARIO</v>
      </c>
      <c r="F11189" s="2" t="str">
        <f>"M_OPERA_CONTA"</f>
        <v>M_OPERA_CONTA</v>
      </c>
      <c r="G11189" s="2" t="str">
        <f t="shared" ref="G11189:G11200" si="977">" ()"</f>
        <v xml:space="preserve"> ()</v>
      </c>
    </row>
    <row r="11190" spans="1:7" x14ac:dyDescent="0.3">
      <c r="A11190" s="1" t="s">
        <v>4</v>
      </c>
      <c r="B11190" s="2" t="str">
        <f t="shared" si="975"/>
        <v>SISTEMA DE GERENCIAMENTO PLANO DE SAÚDE</v>
      </c>
      <c r="C11190" s="2" t="str">
        <f>""</f>
        <v/>
      </c>
      <c r="D11190" s="2" t="str">
        <f t="shared" si="976"/>
        <v>SGPS</v>
      </c>
      <c r="E11190" s="2" t="str">
        <f>"CONTROLE DE INTERNAÇÕES POR PERÍODO"</f>
        <v>CONTROLE DE INTERNAÇÕES POR PERÍODO</v>
      </c>
      <c r="F11190" s="2" t="str">
        <f>"R_INTERNA_PERIODO_VIVER"</f>
        <v>R_INTERNA_PERIODO_VIVER</v>
      </c>
      <c r="G11190" s="2" t="str">
        <f t="shared" si="977"/>
        <v xml:space="preserve"> ()</v>
      </c>
    </row>
    <row r="11191" spans="1:7" x14ac:dyDescent="0.3">
      <c r="A11191" s="1" t="s">
        <v>4</v>
      </c>
      <c r="B11191" s="2" t="str">
        <f t="shared" si="975"/>
        <v>SISTEMA DE GERENCIAMENTO PLANO DE SAÚDE</v>
      </c>
      <c r="C11191" s="2" t="str">
        <f>""</f>
        <v/>
      </c>
      <c r="D11191" s="2" t="str">
        <f t="shared" si="976"/>
        <v>SGPS</v>
      </c>
      <c r="E11191" s="2" t="str">
        <f>"BAIXAS DE DÉBITOS POR OPERAÇÃO"</f>
        <v>BAIXAS DE DÉBITOS POR OPERAÇÃO</v>
      </c>
      <c r="F11191" s="2" t="str">
        <f>"M_BAIXA_DEB_OPERACAO"</f>
        <v>M_BAIXA_DEB_OPERACAO</v>
      </c>
      <c r="G11191" s="2" t="str">
        <f t="shared" si="977"/>
        <v xml:space="preserve"> ()</v>
      </c>
    </row>
    <row r="11192" spans="1:7" x14ac:dyDescent="0.3">
      <c r="A11192" s="1" t="s">
        <v>4</v>
      </c>
      <c r="B11192" s="2" t="str">
        <f t="shared" si="975"/>
        <v>SISTEMA DE GERENCIAMENTO PLANO DE SAÚDE</v>
      </c>
      <c r="C11192" s="2" t="str">
        <f>""</f>
        <v/>
      </c>
      <c r="D11192" s="2" t="str">
        <f t="shared" si="976"/>
        <v>SGPS</v>
      </c>
      <c r="E11192" s="2" t="str">
        <f>"CONTAS EM MEIO MAGNÉTICO (ABRAMGE)"</f>
        <v>CONTAS EM MEIO MAGNÉTICO (ABRAMGE)</v>
      </c>
      <c r="F11192" s="2" t="str">
        <f>"O_IMP_ARQ_ABRAMGE"</f>
        <v>O_IMP_ARQ_ABRAMGE</v>
      </c>
      <c r="G11192" s="2" t="str">
        <f t="shared" si="977"/>
        <v xml:space="preserve"> ()</v>
      </c>
    </row>
    <row r="11193" spans="1:7" x14ac:dyDescent="0.3">
      <c r="A11193" s="1" t="s">
        <v>4</v>
      </c>
      <c r="B11193" s="2" t="str">
        <f t="shared" si="975"/>
        <v>SISTEMA DE GERENCIAMENTO PLANO DE SAÚDE</v>
      </c>
      <c r="C11193" s="2" t="str">
        <f>""</f>
        <v/>
      </c>
      <c r="D11193" s="2" t="str">
        <f t="shared" si="976"/>
        <v>SGPS</v>
      </c>
      <c r="E11193" s="2" t="str">
        <f>"REL. CONTRATOS VENDIDOS"</f>
        <v>REL. CONTRATOS VENDIDOS</v>
      </c>
      <c r="F11193" s="2" t="str">
        <f>"R_CONT_VENDIDOS"</f>
        <v>R_CONT_VENDIDOS</v>
      </c>
      <c r="G11193" s="2" t="str">
        <f t="shared" si="977"/>
        <v xml:space="preserve"> ()</v>
      </c>
    </row>
    <row r="11194" spans="1:7" x14ac:dyDescent="0.3">
      <c r="A11194" s="1" t="s">
        <v>4</v>
      </c>
      <c r="B11194" s="2" t="str">
        <f t="shared" si="975"/>
        <v>SISTEMA DE GERENCIAMENTO PLANO DE SAÚDE</v>
      </c>
      <c r="C11194" s="2" t="str">
        <f>""</f>
        <v/>
      </c>
      <c r="D11194" s="2" t="str">
        <f t="shared" si="976"/>
        <v>SGPS</v>
      </c>
      <c r="E11194" s="2" t="str">
        <f>"NUMERO DE VIDAS DO PLANO"</f>
        <v>NUMERO DE VIDAS DO PLANO</v>
      </c>
      <c r="F11194" s="2" t="str">
        <f>"R_VIDAS_PLANO"</f>
        <v>R_VIDAS_PLANO</v>
      </c>
      <c r="G11194" s="2" t="str">
        <f t="shared" si="977"/>
        <v xml:space="preserve"> ()</v>
      </c>
    </row>
    <row r="11195" spans="1:7" x14ac:dyDescent="0.3">
      <c r="A11195" s="1" t="s">
        <v>4</v>
      </c>
      <c r="B11195" s="2" t="str">
        <f t="shared" si="975"/>
        <v>SISTEMA DE GERENCIAMENTO PLANO DE SAÚDE</v>
      </c>
      <c r="C11195" s="2" t="str">
        <f>""</f>
        <v/>
      </c>
      <c r="D11195" s="2" t="str">
        <f t="shared" si="976"/>
        <v>SGPS</v>
      </c>
      <c r="E11195" s="2" t="str">
        <f>"RESTRIÇÃO DE CONTRATOS POR GRUPO DE PROC"</f>
        <v>RESTRIÇÃO DE CONTRATOS POR GRUPO DE PROC</v>
      </c>
      <c r="F11195" s="2" t="str">
        <f>"R_REST_CONTRATO_PROCED.FMB"</f>
        <v>R_REST_CONTRATO_PROCED.FMB</v>
      </c>
      <c r="G11195" s="2" t="str">
        <f t="shared" si="977"/>
        <v xml:space="preserve"> ()</v>
      </c>
    </row>
    <row r="11196" spans="1:7" x14ac:dyDescent="0.3">
      <c r="A11196" s="1" t="s">
        <v>4</v>
      </c>
      <c r="B11196" s="2" t="str">
        <f t="shared" si="975"/>
        <v>SISTEMA DE GERENCIAMENTO PLANO DE SAÚDE</v>
      </c>
      <c r="C11196" s="2" t="str">
        <f>""</f>
        <v/>
      </c>
      <c r="D11196" s="2" t="str">
        <f t="shared" si="976"/>
        <v>SGPS</v>
      </c>
      <c r="E11196" s="2" t="str">
        <f>"RESTRICAO DE GRUPOS DE PROCED DO PLANO"</f>
        <v>RESTRICAO DE GRUPOS DE PROCED DO PLANO</v>
      </c>
      <c r="F11196" s="2" t="str">
        <f>"R_REST_PLANO_PROCED.FMB"</f>
        <v>R_REST_PLANO_PROCED.FMB</v>
      </c>
      <c r="G11196" s="2" t="str">
        <f t="shared" si="977"/>
        <v xml:space="preserve"> ()</v>
      </c>
    </row>
    <row r="11197" spans="1:7" x14ac:dyDescent="0.3">
      <c r="A11197" s="1" t="s">
        <v>4</v>
      </c>
      <c r="B11197" s="2" t="str">
        <f t="shared" si="975"/>
        <v>SISTEMA DE GERENCIAMENTO PLANO DE SAÚDE</v>
      </c>
      <c r="C11197" s="2" t="str">
        <f>""</f>
        <v/>
      </c>
      <c r="D11197" s="2" t="str">
        <f t="shared" si="976"/>
        <v>SGPS</v>
      </c>
      <c r="E11197" s="2" t="str">
        <f>"RESTRIÇÃO DE PRESTADORES"</f>
        <v>RESTRIÇÃO DE PRESTADORES</v>
      </c>
      <c r="F11197" s="2" t="str">
        <f>"R_REST_PRESTADOR.FMB"</f>
        <v>R_REST_PRESTADOR.FMB</v>
      </c>
      <c r="G11197" s="2" t="str">
        <f t="shared" si="977"/>
        <v xml:space="preserve"> ()</v>
      </c>
    </row>
    <row r="11198" spans="1:7" x14ac:dyDescent="0.3">
      <c r="A11198" s="1" t="s">
        <v>4</v>
      </c>
      <c r="B11198" s="2" t="str">
        <f t="shared" si="975"/>
        <v>SISTEMA DE GERENCIAMENTO PLANO DE SAÚDE</v>
      </c>
      <c r="C11198" s="2" t="str">
        <f>""</f>
        <v/>
      </c>
      <c r="D11198" s="2" t="str">
        <f t="shared" si="976"/>
        <v>SGPS</v>
      </c>
      <c r="E11198" s="2" t="str">
        <f>"GUIA DE INTERNAÇÃO DA CONMEDH"</f>
        <v>GUIA DE INTERNAÇÃO DA CONMEDH</v>
      </c>
      <c r="F11198" s="2" t="str">
        <f>"R_GUIA_INTERNACAO_CONMEDH"</f>
        <v>R_GUIA_INTERNACAO_CONMEDH</v>
      </c>
      <c r="G11198" s="2" t="str">
        <f t="shared" si="977"/>
        <v xml:space="preserve"> ()</v>
      </c>
    </row>
    <row r="11199" spans="1:7" x14ac:dyDescent="0.3">
      <c r="A11199" s="1" t="s">
        <v>4</v>
      </c>
      <c r="B11199" s="2" t="str">
        <f t="shared" si="975"/>
        <v>SISTEMA DE GERENCIAMENTO PLANO DE SAÚDE</v>
      </c>
      <c r="C11199" s="2" t="str">
        <f>""</f>
        <v/>
      </c>
      <c r="D11199" s="2" t="str">
        <f t="shared" si="976"/>
        <v>SGPS</v>
      </c>
      <c r="E11199" s="2" t="str">
        <f>"ETIQUETA DE USUARIOS COM NOME E ENDEREÇO"</f>
        <v>ETIQUETA DE USUARIOS COM NOME E ENDEREÇO</v>
      </c>
      <c r="F11199" s="2" t="str">
        <f>"R_ETIQUSU"</f>
        <v>R_ETIQUSU</v>
      </c>
      <c r="G11199" s="2" t="str">
        <f t="shared" si="977"/>
        <v xml:space="preserve"> ()</v>
      </c>
    </row>
    <row r="11200" spans="1:7" x14ac:dyDescent="0.3">
      <c r="A11200" s="1" t="s">
        <v>4</v>
      </c>
      <c r="B11200" s="2" t="str">
        <f t="shared" si="975"/>
        <v>SISTEMA DE GERENCIAMENTO PLANO DE SAÚDE</v>
      </c>
      <c r="C11200" s="2" t="str">
        <f>""</f>
        <v/>
      </c>
      <c r="D11200" s="2" t="str">
        <f t="shared" si="976"/>
        <v>SGPS</v>
      </c>
      <c r="E11200" s="2" t="str">
        <f>"UTILIZACAO POR USO (EMPRESA) - VIVER"</f>
        <v>UTILIZACAO POR USO (EMPRESA) - VIVER</v>
      </c>
      <c r="F11200" s="2" t="str">
        <f>"R_EMP_FAT_V"</f>
        <v>R_EMP_FAT_V</v>
      </c>
      <c r="G11200" s="2" t="str">
        <f t="shared" si="977"/>
        <v xml:space="preserve"> ()</v>
      </c>
    </row>
    <row r="11201" spans="1:7" x14ac:dyDescent="0.3">
      <c r="A11201" s="1" t="s">
        <v>4</v>
      </c>
      <c r="B11201" s="2" t="str">
        <f t="shared" si="975"/>
        <v>SISTEMA DE GERENCIAMENTO PLANO DE SAÚDE</v>
      </c>
      <c r="C11201" s="2" t="str">
        <f>""</f>
        <v/>
      </c>
      <c r="D11201" s="2" t="str">
        <f t="shared" si="976"/>
        <v>SGPS</v>
      </c>
      <c r="E11201" s="2" t="str">
        <f>"TABELAS DE FATURAMENTO"</f>
        <v>TABELAS DE FATURAMENTO</v>
      </c>
      <c r="F11201" s="2" t="str">
        <f>"M_TABELA"</f>
        <v>M_TABELA</v>
      </c>
      <c r="G11201" s="2" t="str">
        <f>"MVSaude / ANS / TISS / Tabelas de Domínio / Tabelas de Faturamento (M_TABELA)"</f>
        <v>MVSaude / ANS / TISS / Tabelas de Domínio / Tabelas de Faturamento (M_TABELA)</v>
      </c>
    </row>
    <row r="11202" spans="1:7" x14ac:dyDescent="0.3">
      <c r="A11202" s="1" t="s">
        <v>4</v>
      </c>
      <c r="B11202" s="2" t="str">
        <f t="shared" si="975"/>
        <v>SISTEMA DE GERENCIAMENTO PLANO DE SAÚDE</v>
      </c>
      <c r="C11202" s="2" t="str">
        <f>""</f>
        <v/>
      </c>
      <c r="D11202" s="2" t="str">
        <f t="shared" si="976"/>
        <v>SGPS</v>
      </c>
      <c r="E11202" s="2" t="str">
        <f>"TABELAS DE FATURAMENTO"</f>
        <v>TABELAS DE FATURAMENTO</v>
      </c>
      <c r="F11202" s="2" t="str">
        <f>"M_TABELA"</f>
        <v>M_TABELA</v>
      </c>
      <c r="G11202" s="2" t="str">
        <f>"MVSaude / Contas Médicas / Tabelas / Tabelas de Faturamento (M_TABELA)"</f>
        <v>MVSaude / Contas Médicas / Tabelas / Tabelas de Faturamento (M_TABELA)</v>
      </c>
    </row>
    <row r="11203" spans="1:7" x14ac:dyDescent="0.3">
      <c r="A11203" s="1" t="s">
        <v>4</v>
      </c>
      <c r="B11203" s="2" t="str">
        <f t="shared" si="975"/>
        <v>SISTEMA DE GERENCIAMENTO PLANO DE SAÚDE</v>
      </c>
      <c r="C11203" s="2" t="str">
        <f>""</f>
        <v/>
      </c>
      <c r="D11203" s="2" t="str">
        <f t="shared" si="976"/>
        <v>SGPS</v>
      </c>
      <c r="E11203" s="2" t="str">
        <f>"GRUPOS DE SERVIÇOS"</f>
        <v>GRUPOS DE SERVIÇOS</v>
      </c>
      <c r="F11203" s="2" t="str">
        <f>"M_GRU_SER"</f>
        <v>M_GRU_SER</v>
      </c>
      <c r="G11203" s="2" t="str">
        <f>" ()"</f>
        <v xml:space="preserve"> ()</v>
      </c>
    </row>
    <row r="11204" spans="1:7" x14ac:dyDescent="0.3">
      <c r="A11204" s="1" t="s">
        <v>4</v>
      </c>
      <c r="B11204" s="2" t="str">
        <f t="shared" si="975"/>
        <v>SISTEMA DE GERENCIAMENTO PLANO DE SAÚDE</v>
      </c>
      <c r="C11204" s="2" t="str">
        <f>""</f>
        <v/>
      </c>
      <c r="D11204" s="2" t="str">
        <f t="shared" si="976"/>
        <v>SGPS</v>
      </c>
      <c r="E11204" s="2" t="str">
        <f>"PORTES ANESTÉSICOS"</f>
        <v>PORTES ANESTÉSICOS</v>
      </c>
      <c r="F11204" s="2" t="str">
        <f>"M_PORANE"</f>
        <v>M_PORANE</v>
      </c>
      <c r="G11204" s="2" t="str">
        <f>"MVSaude / Contas Médicas / Tabelas / Portes Anestésicos / Médicos (M_PORANE)"</f>
        <v>MVSaude / Contas Médicas / Tabelas / Portes Anestésicos / Médicos (M_PORANE)</v>
      </c>
    </row>
    <row r="11205" spans="1:7" x14ac:dyDescent="0.3">
      <c r="A11205" s="1" t="s">
        <v>4</v>
      </c>
      <c r="B11205" s="2" t="str">
        <f t="shared" si="975"/>
        <v>SISTEMA DE GERENCIAMENTO PLANO DE SAÚDE</v>
      </c>
      <c r="C11205" s="2" t="str">
        <f>""</f>
        <v/>
      </c>
      <c r="D11205" s="2" t="str">
        <f t="shared" si="976"/>
        <v>SGPS</v>
      </c>
      <c r="E11205" s="2" t="str">
        <f>"CATEGORIAS"</f>
        <v>CATEGORIAS</v>
      </c>
      <c r="F11205" s="2" t="str">
        <f>"M_CATEGOR"</f>
        <v>M_CATEGOR</v>
      </c>
      <c r="G11205" s="2" t="str">
        <f>"MVSaude / Cadastros / Categorias (M_CATEGOR)"</f>
        <v>MVSaude / Cadastros / Categorias (M_CATEGOR)</v>
      </c>
    </row>
    <row r="11206" spans="1:7" x14ac:dyDescent="0.3">
      <c r="A11206" s="1" t="s">
        <v>4</v>
      </c>
      <c r="B11206" s="2" t="str">
        <f t="shared" si="975"/>
        <v>SISTEMA DE GERENCIAMENTO PLANO DE SAÚDE</v>
      </c>
      <c r="C11206" s="2" t="str">
        <f>""</f>
        <v/>
      </c>
      <c r="D11206" s="2" t="str">
        <f t="shared" si="976"/>
        <v>SGPS</v>
      </c>
      <c r="E11206" s="2" t="str">
        <f>"MOTIVOS DE CORTESIA"</f>
        <v>MOTIVOS DE CORTESIA</v>
      </c>
      <c r="F11206" s="2" t="str">
        <f>"M_CORTESIA"</f>
        <v>M_CORTESIA</v>
      </c>
      <c r="G11206" s="2" t="str">
        <f>"MVSaude / Atendimento / Motivos de Cortesia (M_CORTESIA)"</f>
        <v>MVSaude / Atendimento / Motivos de Cortesia (M_CORTESIA)</v>
      </c>
    </row>
    <row r="11207" spans="1:7" x14ac:dyDescent="0.3">
      <c r="A11207" s="1" t="s">
        <v>4</v>
      </c>
      <c r="B11207" s="2" t="str">
        <f t="shared" si="975"/>
        <v>SISTEMA DE GERENCIAMENTO PLANO DE SAÚDE</v>
      </c>
      <c r="C11207" s="2" t="str">
        <f>""</f>
        <v/>
      </c>
      <c r="D11207" s="2" t="str">
        <f t="shared" si="976"/>
        <v>SGPS</v>
      </c>
      <c r="E11207" s="2" t="str">
        <f>"TIPOS DE ACOMODAÇÃO"</f>
        <v>TIPOS DE ACOMODAÇÃO</v>
      </c>
      <c r="F11207" s="2" t="str">
        <f>"M_TIPACO"</f>
        <v>M_TIPACO</v>
      </c>
      <c r="G11207" s="2" t="str">
        <f>"MVSaude / ANS / TISS / Tabelas de Domínio / Tipos de Acomodacao (M_TIPACO)"</f>
        <v>MVSaude / ANS / TISS / Tabelas de Domínio / Tipos de Acomodacao (M_TIPACO)</v>
      </c>
    </row>
    <row r="11208" spans="1:7" x14ac:dyDescent="0.3">
      <c r="A11208" s="1" t="s">
        <v>4</v>
      </c>
      <c r="B11208" s="2" t="str">
        <f t="shared" si="975"/>
        <v>SISTEMA DE GERENCIAMENTO PLANO DE SAÚDE</v>
      </c>
      <c r="C11208" s="2" t="str">
        <f>""</f>
        <v/>
      </c>
      <c r="D11208" s="2" t="str">
        <f t="shared" si="976"/>
        <v>SGPS</v>
      </c>
      <c r="E11208" s="2" t="str">
        <f>"TIPOS DE ACOMODAÇÃO"</f>
        <v>TIPOS DE ACOMODAÇÃO</v>
      </c>
      <c r="F11208" s="2" t="str">
        <f>"M_TIPACO"</f>
        <v>M_TIPACO</v>
      </c>
      <c r="G11208" s="2" t="str">
        <f>"MVSaude / Cadastros / Tipos de Acomodação (M_TIPACO)"</f>
        <v>MVSaude / Cadastros / Tipos de Acomodação (M_TIPACO)</v>
      </c>
    </row>
    <row r="11209" spans="1:7" x14ac:dyDescent="0.3">
      <c r="A11209" s="1" t="s">
        <v>4</v>
      </c>
      <c r="B11209" s="2" t="str">
        <f t="shared" si="975"/>
        <v>SISTEMA DE GERENCIAMENTO PLANO DE SAÚDE</v>
      </c>
      <c r="C11209" s="2" t="str">
        <f>""</f>
        <v/>
      </c>
      <c r="D11209" s="2" t="str">
        <f t="shared" si="976"/>
        <v>SGPS</v>
      </c>
      <c r="E11209" s="2" t="str">
        <f>"GERAR MENSAL. INDIVIDUAL POR CONTRATO"</f>
        <v>GERAR MENSAL. INDIVIDUAL POR CONTRATO</v>
      </c>
      <c r="F11209" s="2" t="str">
        <f>"O_GERMENIND"</f>
        <v>O_GERMENIND</v>
      </c>
      <c r="G11209" s="2" t="str">
        <f>" ()"</f>
        <v xml:space="preserve"> ()</v>
      </c>
    </row>
    <row r="11210" spans="1:7" x14ac:dyDescent="0.3">
      <c r="A11210" s="1" t="s">
        <v>4</v>
      </c>
      <c r="B11210" s="2" t="str">
        <f t="shared" si="975"/>
        <v>SISTEMA DE GERENCIAMENTO PLANO DE SAÚDE</v>
      </c>
      <c r="C11210" s="2" t="str">
        <f>""</f>
        <v/>
      </c>
      <c r="D11210" s="2" t="str">
        <f t="shared" si="976"/>
        <v>SGPS</v>
      </c>
      <c r="E11210" s="2" t="str">
        <f>"ADMINISTRADORAS DE CARTÃO DE CRÉDITO"</f>
        <v>ADMINISTRADORAS DE CARTÃO DE CRÉDITO</v>
      </c>
      <c r="F11210" s="2" t="str">
        <f>"M_ADM_CARTAO"</f>
        <v>M_ADM_CARTAO</v>
      </c>
      <c r="G11210" s="2" t="str">
        <f>" ()"</f>
        <v xml:space="preserve"> ()</v>
      </c>
    </row>
    <row r="11211" spans="1:7" x14ac:dyDescent="0.3">
      <c r="A11211" s="1" t="s">
        <v>4</v>
      </c>
      <c r="B11211" s="2" t="str">
        <f t="shared" si="975"/>
        <v>SISTEMA DE GERENCIAMENTO PLANO DE SAÚDE</v>
      </c>
      <c r="C11211" s="2" t="str">
        <f>""</f>
        <v/>
      </c>
      <c r="D11211" s="2" t="str">
        <f t="shared" si="976"/>
        <v>SGPS</v>
      </c>
      <c r="E11211" s="2" t="str">
        <f>"FORMAS DE PAGAMENTOS X PARCELAS"</f>
        <v>FORMAS DE PAGAMENTOS X PARCELAS</v>
      </c>
      <c r="F11211" s="2" t="str">
        <f>"R_FORMPAGPARC"</f>
        <v>R_FORMPAGPARC</v>
      </c>
      <c r="G11211" s="2" t="str">
        <f>"MVSaude / Relatórios / Administrativos / Mensalidades / Custo Operacional / Tipos de Pagamento (R_FORMPAGPARC)"</f>
        <v>MVSaude / Relatórios / Administrativos / Mensalidades / Custo Operacional / Tipos de Pagamento (R_FORMPAGPARC)</v>
      </c>
    </row>
    <row r="11212" spans="1:7" x14ac:dyDescent="0.3">
      <c r="A11212" s="1" t="s">
        <v>4</v>
      </c>
      <c r="B11212" s="2" t="str">
        <f t="shared" si="975"/>
        <v>SISTEMA DE GERENCIAMENTO PLANO DE SAÚDE</v>
      </c>
      <c r="C11212" s="2" t="str">
        <f>""</f>
        <v/>
      </c>
      <c r="D11212" s="2" t="str">
        <f t="shared" si="976"/>
        <v>SGPS</v>
      </c>
      <c r="E11212" s="2" t="str">
        <f>"FORMAS DE PAGAMENTOS X PARCELAS"</f>
        <v>FORMAS DE PAGAMENTOS X PARCELAS</v>
      </c>
      <c r="F11212" s="2" t="str">
        <f>"M_FORMPAGPARC"</f>
        <v>M_FORMPAGPARC</v>
      </c>
      <c r="G11212" s="2" t="str">
        <f>" ()"</f>
        <v xml:space="preserve"> ()</v>
      </c>
    </row>
    <row r="11213" spans="1:7" x14ac:dyDescent="0.3">
      <c r="A11213" s="1" t="s">
        <v>4</v>
      </c>
      <c r="B11213" s="2" t="str">
        <f t="shared" si="975"/>
        <v>SISTEMA DE GERENCIAMENTO PLANO DE SAÚDE</v>
      </c>
      <c r="C11213" s="2" t="str">
        <f>""</f>
        <v/>
      </c>
      <c r="D11213" s="2" t="str">
        <f t="shared" si="976"/>
        <v>SGPS</v>
      </c>
      <c r="E11213" s="2" t="str">
        <f>"PARCELAS DE PAGAMENTO"</f>
        <v>PARCELAS DE PAGAMENTO</v>
      </c>
      <c r="F11213" s="2" t="str">
        <f>"M_PARCELAS"</f>
        <v>M_PARCELAS</v>
      </c>
      <c r="G11213" s="2" t="str">
        <f>" ()"</f>
        <v xml:space="preserve"> ()</v>
      </c>
    </row>
    <row r="11214" spans="1:7" x14ac:dyDescent="0.3">
      <c r="A11214" s="1" t="s">
        <v>4</v>
      </c>
      <c r="B11214" s="2" t="str">
        <f t="shared" si="975"/>
        <v>SISTEMA DE GERENCIAMENTO PLANO DE SAÚDE</v>
      </c>
      <c r="C11214" s="2" t="str">
        <f>""</f>
        <v/>
      </c>
      <c r="D11214" s="2" t="str">
        <f t="shared" si="976"/>
        <v>SGPS</v>
      </c>
      <c r="E11214" s="2" t="str">
        <f>"FORMAS DE PAGAMENTO"</f>
        <v>FORMAS DE PAGAMENTO</v>
      </c>
      <c r="F11214" s="2" t="str">
        <f>"M_FORMA_PAGAMENTO"</f>
        <v>M_FORMA_PAGAMENTO</v>
      </c>
      <c r="G11214" s="2" t="str">
        <f>" ()"</f>
        <v xml:space="preserve"> ()</v>
      </c>
    </row>
    <row r="11215" spans="1:7" x14ac:dyDescent="0.3">
      <c r="A11215" s="1" t="s">
        <v>4</v>
      </c>
      <c r="B11215" s="2" t="str">
        <f t="shared" si="975"/>
        <v>SISTEMA DE GERENCIAMENTO PLANO DE SAÚDE</v>
      </c>
      <c r="C11215" s="2" t="str">
        <f>""</f>
        <v/>
      </c>
      <c r="D11215" s="2" t="str">
        <f t="shared" si="976"/>
        <v>SGPS</v>
      </c>
      <c r="E11215" s="2" t="str">
        <f>"TIPOS DE PAGAMENTOS"</f>
        <v>TIPOS DE PAGAMENTOS</v>
      </c>
      <c r="F11215" s="2" t="str">
        <f>"M_TIPO_PAGAMENTO"</f>
        <v>M_TIPO_PAGAMENTO</v>
      </c>
      <c r="G11215" s="2" t="str">
        <f>" ()"</f>
        <v xml:space="preserve"> ()</v>
      </c>
    </row>
    <row r="11216" spans="1:7" x14ac:dyDescent="0.3">
      <c r="A11216" s="1" t="s">
        <v>4</v>
      </c>
      <c r="B11216" s="2" t="str">
        <f t="shared" si="975"/>
        <v>SISTEMA DE GERENCIAMENTO PLANO DE SAÚDE</v>
      </c>
      <c r="C11216" s="2" t="str">
        <f>""</f>
        <v/>
      </c>
      <c r="D11216" s="2" t="str">
        <f t="shared" si="976"/>
        <v>SGPS</v>
      </c>
      <c r="E11216" s="2" t="str">
        <f>"REL. CONTRATOS VENDIDOS POR VENDEDOR"</f>
        <v>REL. CONTRATOS VENDIDOS POR VENDEDOR</v>
      </c>
      <c r="F11216" s="2" t="str">
        <f>"R_CONT_VENDIDOS_VEND"</f>
        <v>R_CONT_VENDIDOS_VEND</v>
      </c>
      <c r="G11216" s="2" t="str">
        <f>"MVSaude / Relatórios / Vendas / Contratos Vendidos (R_CONT_VENDIDOS_VEND)"</f>
        <v>MVSaude / Relatórios / Vendas / Contratos Vendidos (R_CONT_VENDIDOS_VEND)</v>
      </c>
    </row>
    <row r="11217" spans="1:7" x14ac:dyDescent="0.3">
      <c r="A11217" s="1" t="s">
        <v>4</v>
      </c>
      <c r="B11217" s="2" t="str">
        <f t="shared" si="975"/>
        <v>SISTEMA DE GERENCIAMENTO PLANO DE SAÚDE</v>
      </c>
      <c r="C11217" s="2" t="str">
        <f>""</f>
        <v/>
      </c>
      <c r="D11217" s="2" t="str">
        <f t="shared" si="976"/>
        <v>SGPS</v>
      </c>
      <c r="E11217" s="2" t="str">
        <f>"RELATÓRIO DOS MÉTODOS DE VENDA"</f>
        <v>RELATÓRIO DOS MÉTODOS DE VENDA</v>
      </c>
      <c r="F11217" s="2" t="str">
        <f>"R_METVEN"</f>
        <v>R_METVEN</v>
      </c>
      <c r="G11217" s="2" t="str">
        <f>"MVSaude / Relatórios / Vendas / Metodos de Venda (R_METVEN)"</f>
        <v>MVSaude / Relatórios / Vendas / Metodos de Venda (R_METVEN)</v>
      </c>
    </row>
    <row r="11218" spans="1:7" x14ac:dyDescent="0.3">
      <c r="A11218" s="1" t="s">
        <v>4</v>
      </c>
      <c r="B11218" s="2" t="str">
        <f t="shared" si="975"/>
        <v>SISTEMA DE GERENCIAMENTO PLANO DE SAÚDE</v>
      </c>
      <c r="C11218" s="2" t="str">
        <f>""</f>
        <v/>
      </c>
      <c r="D11218" s="2" t="str">
        <f t="shared" si="976"/>
        <v>SGPS</v>
      </c>
      <c r="E11218" s="2" t="str">
        <f>"RELATÓRIO DE VENDEDORES"</f>
        <v>RELATÓRIO DE VENDEDORES</v>
      </c>
      <c r="F11218" s="2" t="str">
        <f>"R_VENDED"</f>
        <v>R_VENDED</v>
      </c>
      <c r="G11218" s="2" t="str">
        <f>"MVSaude / Relatórios / Vendas / Vendedor (R_VENDED)"</f>
        <v>MVSaude / Relatórios / Vendas / Vendedor (R_VENDED)</v>
      </c>
    </row>
    <row r="11219" spans="1:7" x14ac:dyDescent="0.3">
      <c r="A11219" s="1" t="s">
        <v>4</v>
      </c>
      <c r="B11219" s="2" t="str">
        <f t="shared" si="975"/>
        <v>SISTEMA DE GERENCIAMENTO PLANO DE SAÚDE</v>
      </c>
      <c r="C11219" s="2" t="str">
        <f>""</f>
        <v/>
      </c>
      <c r="D11219" s="2" t="str">
        <f t="shared" si="976"/>
        <v>SGPS</v>
      </c>
      <c r="E11219" s="2" t="str">
        <f>"RELATÓRIO DOS GASTOS COM CORTESIA"</f>
        <v>RELATÓRIO DOS GASTOS COM CORTESIA</v>
      </c>
      <c r="F11219" s="2" t="str">
        <f>"R_GASTO_CORTESIA"</f>
        <v>R_GASTO_CORTESIA</v>
      </c>
      <c r="G11219" s="2" t="str">
        <f>" ()"</f>
        <v xml:space="preserve"> ()</v>
      </c>
    </row>
    <row r="11220" spans="1:7" x14ac:dyDescent="0.3">
      <c r="A11220" s="1" t="s">
        <v>4</v>
      </c>
      <c r="B11220" s="2" t="str">
        <f t="shared" si="975"/>
        <v>SISTEMA DE GERENCIAMENTO PLANO DE SAÚDE</v>
      </c>
      <c r="C11220" s="2" t="str">
        <f>""</f>
        <v/>
      </c>
      <c r="D11220" s="2" t="str">
        <f t="shared" si="976"/>
        <v>SGPS</v>
      </c>
      <c r="E11220" s="2" t="str">
        <f>"R_GRUPO_PROCEDIMENTO_XY"</f>
        <v>R_GRUPO_PROCEDIMENTO_XY</v>
      </c>
      <c r="F11220" s="2" t="str">
        <f>"R_GRUPO_PROCEDIMENTO_XY"</f>
        <v>R_GRUPO_PROCEDIMENTO_XY</v>
      </c>
      <c r="G11220" s="2" t="str">
        <f>" ()"</f>
        <v xml:space="preserve"> ()</v>
      </c>
    </row>
    <row r="11221" spans="1:7" x14ac:dyDescent="0.3">
      <c r="A11221" s="1" t="s">
        <v>4</v>
      </c>
      <c r="B11221" s="2" t="str">
        <f t="shared" si="975"/>
        <v>SISTEMA DE GERENCIAMENTO PLANO DE SAÚDE</v>
      </c>
      <c r="C11221" s="2" t="str">
        <f>""</f>
        <v/>
      </c>
      <c r="D11221" s="2" t="str">
        <f t="shared" si="976"/>
        <v>SGPS</v>
      </c>
      <c r="E11221" s="2" t="str">
        <f>"R_EXAME_XY"</f>
        <v>R_EXAME_XY</v>
      </c>
      <c r="F11221" s="2" t="str">
        <f>"R_EXAME_XY"</f>
        <v>R_EXAME_XY</v>
      </c>
      <c r="G11221" s="2" t="str">
        <f>" ()"</f>
        <v xml:space="preserve"> ()</v>
      </c>
    </row>
    <row r="11222" spans="1:7" x14ac:dyDescent="0.3">
      <c r="A11222" s="1" t="s">
        <v>4</v>
      </c>
      <c r="B11222" s="2" t="str">
        <f t="shared" si="975"/>
        <v>SISTEMA DE GERENCIAMENTO PLANO DE SAÚDE</v>
      </c>
      <c r="C11222" s="2" t="str">
        <f>""</f>
        <v/>
      </c>
      <c r="D11222" s="2" t="str">
        <f t="shared" si="976"/>
        <v>SGPS</v>
      </c>
      <c r="E11222" s="2" t="str">
        <f>"R_GRUSER_CONTAH_XY"</f>
        <v>R_GRUSER_CONTAH_XY</v>
      </c>
      <c r="F11222" s="2" t="str">
        <f>"R_GRUSER_CONTAH_XY"</f>
        <v>R_GRUSER_CONTAH_XY</v>
      </c>
      <c r="G11222" s="2" t="str">
        <f>" ()"</f>
        <v xml:space="preserve"> ()</v>
      </c>
    </row>
    <row r="11223" spans="1:7" x14ac:dyDescent="0.3">
      <c r="A11223" s="1" t="s">
        <v>4</v>
      </c>
      <c r="B11223" s="2" t="str">
        <f t="shared" si="975"/>
        <v>SISTEMA DE GERENCIAMENTO PLANO DE SAÚDE</v>
      </c>
      <c r="C11223" s="2" t="str">
        <f>""</f>
        <v/>
      </c>
      <c r="D11223" s="2" t="str">
        <f t="shared" si="976"/>
        <v>SGPS</v>
      </c>
      <c r="E11223" s="2" t="str">
        <f>"R_ESPEC_INTERNA_XY"</f>
        <v>R_ESPEC_INTERNA_XY</v>
      </c>
      <c r="F11223" s="2" t="str">
        <f>"R_ESPEC_INTERNA_XY"</f>
        <v>R_ESPEC_INTERNA_XY</v>
      </c>
      <c r="G11223" s="2" t="str">
        <f>" ()"</f>
        <v xml:space="preserve"> ()</v>
      </c>
    </row>
    <row r="11224" spans="1:7" x14ac:dyDescent="0.3">
      <c r="A11224" s="1" t="s">
        <v>4</v>
      </c>
      <c r="B11224" s="2" t="str">
        <f t="shared" si="975"/>
        <v>SISTEMA DE GERENCIAMENTO PLANO DE SAÚDE</v>
      </c>
      <c r="C11224" s="2" t="str">
        <f>""</f>
        <v/>
      </c>
      <c r="D11224" s="2" t="str">
        <f t="shared" si="976"/>
        <v>SGPS</v>
      </c>
      <c r="E11224" s="2" t="s">
        <v>56</v>
      </c>
      <c r="F11224" s="2" t="s">
        <v>57</v>
      </c>
      <c r="G11224" s="2" t="str">
        <f>"R_USUARIO_INC_ATI_EXC"</f>
        <v>R_USUARIO_INC_ATI_EXC</v>
      </c>
    </row>
    <row r="11225" spans="1:7" x14ac:dyDescent="0.3">
      <c r="A11225" s="1" t="s">
        <v>4</v>
      </c>
      <c r="B11225" s="2" t="str">
        <f t="shared" si="975"/>
        <v>SISTEMA DE GERENCIAMENTO PLANO DE SAÚDE</v>
      </c>
      <c r="C11225" s="2" t="str">
        <f>""</f>
        <v/>
      </c>
      <c r="D11225" s="2" t="str">
        <f t="shared" si="976"/>
        <v>SGPS</v>
      </c>
      <c r="E11225" s="2" t="str">
        <f>"RETORNA O PLANO DO USUÁRIO NO PERÍODO"</f>
        <v>RETORNA O PLANO DO USUÁRIO NO PERÍODO</v>
      </c>
      <c r="F11225" s="2" t="str">
        <f>"RETORNA_PLANO"</f>
        <v>RETORNA_PLANO</v>
      </c>
      <c r="G11225" s="2" t="str">
        <f t="shared" ref="G11225:G11231" si="978">" ()"</f>
        <v xml:space="preserve"> ()</v>
      </c>
    </row>
    <row r="11226" spans="1:7" x14ac:dyDescent="0.3">
      <c r="A11226" s="1" t="s">
        <v>4</v>
      </c>
      <c r="B11226" s="2" t="str">
        <f t="shared" si="975"/>
        <v>SISTEMA DE GERENCIAMENTO PLANO DE SAÚDE</v>
      </c>
      <c r="C11226" s="2" t="str">
        <f>""</f>
        <v/>
      </c>
      <c r="D11226" s="2" t="str">
        <f t="shared" si="976"/>
        <v>SGPS</v>
      </c>
      <c r="E11226" s="2" t="str">
        <f>"RETORNA A EMPRESA DO USUARIO NO PERIODO"</f>
        <v>RETORNA A EMPRESA DO USUARIO NO PERIODO</v>
      </c>
      <c r="F11226" s="2" t="str">
        <f>"RETORNA_EMPRESA"</f>
        <v>RETORNA_EMPRESA</v>
      </c>
      <c r="G11226" s="2" t="str">
        <f t="shared" si="978"/>
        <v xml:space="preserve"> ()</v>
      </c>
    </row>
    <row r="11227" spans="1:7" x14ac:dyDescent="0.3">
      <c r="A11227" s="1" t="s">
        <v>4</v>
      </c>
      <c r="B11227" s="2" t="str">
        <f t="shared" si="975"/>
        <v>SISTEMA DE GERENCIAMENTO PLANO DE SAÚDE</v>
      </c>
      <c r="C11227" s="2" t="str">
        <f>""</f>
        <v/>
      </c>
      <c r="D11227" s="2" t="str">
        <f t="shared" si="976"/>
        <v>SGPS</v>
      </c>
      <c r="E11227" s="2" t="str">
        <f>"FUNCÃO P/ RET. STATUS DO USUÁRIO  PERÍOD"</f>
        <v>FUNCÃO P/ RET. STATUS DO USUÁRIO  PERÍOD</v>
      </c>
      <c r="F11227" s="2" t="str">
        <f>"RETORNA_SN_ATIVO"</f>
        <v>RETORNA_SN_ATIVO</v>
      </c>
      <c r="G11227" s="2" t="str">
        <f t="shared" si="978"/>
        <v xml:space="preserve"> ()</v>
      </c>
    </row>
    <row r="11228" spans="1:7" x14ac:dyDescent="0.3">
      <c r="A11228" s="1" t="s">
        <v>4</v>
      </c>
      <c r="B11228" s="2" t="str">
        <f t="shared" si="975"/>
        <v>SISTEMA DE GERENCIAMENTO PLANO DE SAÚDE</v>
      </c>
      <c r="C11228" s="2" t="str">
        <f>""</f>
        <v/>
      </c>
      <c r="D11228" s="2" t="str">
        <f t="shared" si="976"/>
        <v>SGPS</v>
      </c>
      <c r="E11228" s="2" t="str">
        <f>"RELATÓRIO DE USUÁRIOS E SUAS CARÊNCIAS"</f>
        <v>RELATÓRIO DE USUÁRIOS E SUAS CARÊNCIAS</v>
      </c>
      <c r="F11228" s="2" t="str">
        <f>"R_USU_UNIMED"</f>
        <v>R_USU_UNIMED</v>
      </c>
      <c r="G11228" s="2" t="str">
        <f t="shared" si="978"/>
        <v xml:space="preserve"> ()</v>
      </c>
    </row>
    <row r="11229" spans="1:7" x14ac:dyDescent="0.3">
      <c r="A11229" s="1" t="s">
        <v>4</v>
      </c>
      <c r="B11229" s="2" t="str">
        <f t="shared" si="975"/>
        <v>SISTEMA DE GERENCIAMENTO PLANO DE SAÚDE</v>
      </c>
      <c r="C11229" s="2" t="str">
        <f>""</f>
        <v/>
      </c>
      <c r="D11229" s="2" t="str">
        <f t="shared" si="976"/>
        <v>SGPS</v>
      </c>
      <c r="E11229" s="2" t="str">
        <f>"CARTEIRA EXCLUSIVA DA VIVER PLUS"</f>
        <v>CARTEIRA EXCLUSIVA DA VIVER PLUS</v>
      </c>
      <c r="F11229" s="2" t="str">
        <f>"R_EMICAR_PLUS"</f>
        <v>R_EMICAR_PLUS</v>
      </c>
      <c r="G11229" s="2" t="str">
        <f t="shared" si="978"/>
        <v xml:space="preserve"> ()</v>
      </c>
    </row>
    <row r="11230" spans="1:7" x14ac:dyDescent="0.3">
      <c r="A11230" s="1" t="s">
        <v>4</v>
      </c>
      <c r="B11230" s="2" t="str">
        <f t="shared" si="975"/>
        <v>SISTEMA DE GERENCIAMENTO PLANO DE SAÚDE</v>
      </c>
      <c r="C11230" s="2" t="str">
        <f>""</f>
        <v/>
      </c>
      <c r="D11230" s="2" t="str">
        <f t="shared" si="976"/>
        <v>SGPS</v>
      </c>
      <c r="E11230" s="2" t="str">
        <f>"CARTEIRA EXCLUSIVA DA CONMEDH"</f>
        <v>CARTEIRA EXCLUSIVA DA CONMEDH</v>
      </c>
      <c r="F11230" s="2" t="str">
        <f>"R_EMICAR_CONMEDH"</f>
        <v>R_EMICAR_CONMEDH</v>
      </c>
      <c r="G11230" s="2" t="str">
        <f t="shared" si="978"/>
        <v xml:space="preserve"> ()</v>
      </c>
    </row>
    <row r="11231" spans="1:7" x14ac:dyDescent="0.3">
      <c r="A11231" s="1" t="s">
        <v>4</v>
      </c>
      <c r="B11231" s="2" t="str">
        <f t="shared" si="975"/>
        <v>SISTEMA DE GERENCIAMENTO PLANO DE SAÚDE</v>
      </c>
      <c r="C11231" s="2" t="str">
        <f>""</f>
        <v/>
      </c>
      <c r="D11231" s="2" t="str">
        <f t="shared" si="976"/>
        <v>SGPS</v>
      </c>
      <c r="E11231" s="2" t="str">
        <f>"CONSULTA REMESSAS PRESTADORES AUDITADAS"</f>
        <v>CONSULTA REMESSAS PRESTADORES AUDITADAS</v>
      </c>
      <c r="F11231" s="2" t="str">
        <f>"C_REMESSA_PRESTADOR"</f>
        <v>C_REMESSA_PRESTADOR</v>
      </c>
      <c r="G11231" s="2" t="str">
        <f t="shared" si="978"/>
        <v xml:space="preserve"> ()</v>
      </c>
    </row>
    <row r="11232" spans="1:7" x14ac:dyDescent="0.3">
      <c r="A11232" s="1" t="s">
        <v>4</v>
      </c>
      <c r="B11232" s="2" t="str">
        <f t="shared" si="975"/>
        <v>SISTEMA DE GERENCIAMENTO PLANO DE SAÚDE</v>
      </c>
      <c r="C11232" s="2" t="str">
        <f>""</f>
        <v/>
      </c>
      <c r="D11232" s="2" t="str">
        <f t="shared" si="976"/>
        <v>SGPS</v>
      </c>
      <c r="E11232" s="2" t="str">
        <f>"CONSULTA  CONTAS HOSPITALARES AUDITADAS"</f>
        <v>CONSULTA  CONTAS HOSPITALARES AUDITADAS</v>
      </c>
      <c r="F11232" s="2" t="str">
        <f>"C_CONTA_HOSPITALAR"</f>
        <v>C_CONTA_HOSPITALAR</v>
      </c>
      <c r="G11232" s="2" t="str">
        <f>"MVSaude / Consultas / Contas de Internação Auditadas (C_CONTA_HOSPITALAR)"</f>
        <v>MVSaude / Consultas / Contas de Internação Auditadas (C_CONTA_HOSPITALAR)</v>
      </c>
    </row>
    <row r="11233" spans="1:7" x14ac:dyDescent="0.3">
      <c r="A11233" s="1" t="s">
        <v>4</v>
      </c>
      <c r="B11233" s="2" t="str">
        <f t="shared" si="975"/>
        <v>SISTEMA DE GERENCIAMENTO PLANO DE SAÚDE</v>
      </c>
      <c r="C11233" s="2" t="str">
        <f>""</f>
        <v/>
      </c>
      <c r="D11233" s="2" t="str">
        <f t="shared" si="976"/>
        <v>SGPS</v>
      </c>
      <c r="E11233" s="2" t="str">
        <f>"RESTRIÇÃO DE CONTRATOS POR GRUPO DE PROC"</f>
        <v>RESTRIÇÃO DE CONTRATOS POR GRUPO DE PROC</v>
      </c>
      <c r="F11233" s="2" t="str">
        <f>"R_REST_CONTRATO_PROCED"</f>
        <v>R_REST_CONTRATO_PROCED</v>
      </c>
      <c r="G11233" s="2" t="str">
        <f>"MVSaude / Relatórios / Tabelas / Contrato / Restrições por Procedimentos (R_REST_CONTRATO_PROCED)"</f>
        <v>MVSaude / Relatórios / Tabelas / Contrato / Restrições por Procedimentos (R_REST_CONTRATO_PROCED)</v>
      </c>
    </row>
    <row r="11234" spans="1:7" x14ac:dyDescent="0.3">
      <c r="A11234" s="1" t="s">
        <v>4</v>
      </c>
      <c r="B11234" s="2" t="str">
        <f t="shared" si="975"/>
        <v>SISTEMA DE GERENCIAMENTO PLANO DE SAÚDE</v>
      </c>
      <c r="C11234" s="2" t="str">
        <f>""</f>
        <v/>
      </c>
      <c r="D11234" s="2" t="str">
        <f t="shared" si="976"/>
        <v>SGPS</v>
      </c>
      <c r="E11234" s="2" t="str">
        <f>"RESTRICAO DE GRUPOS DE PROCED DO PLANO"</f>
        <v>RESTRICAO DE GRUPOS DE PROCED DO PLANO</v>
      </c>
      <c r="F11234" s="2" t="str">
        <f>"R_REST_PLANO_PROCED"</f>
        <v>R_REST_PLANO_PROCED</v>
      </c>
      <c r="G11234" s="2" t="str">
        <f>"MVSaude / Relatórios / Tabelas / Comercial / Plano / Restricao por Procedimento (R_REST_PLANO_PROCED)"</f>
        <v>MVSaude / Relatórios / Tabelas / Comercial / Plano / Restricao por Procedimento (R_REST_PLANO_PROCED)</v>
      </c>
    </row>
    <row r="11235" spans="1:7" x14ac:dyDescent="0.3">
      <c r="A11235" s="1" t="s">
        <v>4</v>
      </c>
      <c r="B11235" s="2" t="str">
        <f t="shared" si="975"/>
        <v>SISTEMA DE GERENCIAMENTO PLANO DE SAÚDE</v>
      </c>
      <c r="C11235" s="2" t="str">
        <f>""</f>
        <v/>
      </c>
      <c r="D11235" s="2" t="str">
        <f t="shared" si="976"/>
        <v>SGPS</v>
      </c>
      <c r="E11235" s="2" t="str">
        <f>"RESTRIÇÃO DE PRESTADORES"</f>
        <v>RESTRIÇÃO DE PRESTADORES</v>
      </c>
      <c r="F11235" s="2" t="str">
        <f>"R_REST_PRESTADOR"</f>
        <v>R_REST_PRESTADOR</v>
      </c>
      <c r="G11235" s="2" t="str">
        <f>"MVSaude / Relatórios / Tabelas / Prestadores / Restrição por Procedimento (R_REST_PRESTADOR)"</f>
        <v>MVSaude / Relatórios / Tabelas / Prestadores / Restrição por Procedimento (R_REST_PRESTADOR)</v>
      </c>
    </row>
    <row r="11236" spans="1:7" x14ac:dyDescent="0.3">
      <c r="A11236" s="1" t="s">
        <v>4</v>
      </c>
      <c r="B11236" s="2" t="str">
        <f t="shared" si="975"/>
        <v>SISTEMA DE GERENCIAMENTO PLANO DE SAÚDE</v>
      </c>
      <c r="C11236" s="2" t="str">
        <f>""</f>
        <v/>
      </c>
      <c r="D11236" s="2" t="str">
        <f t="shared" si="976"/>
        <v>SGPS</v>
      </c>
      <c r="E11236" s="2" t="str">
        <f>"RENOVAÇÕES DE CONTRATOS"</f>
        <v>RENOVAÇÕES DE CONTRATOS</v>
      </c>
      <c r="F11236" s="2" t="str">
        <f>"R_RENOVA_CONTRATO"</f>
        <v>R_RENOVA_CONTRATO</v>
      </c>
      <c r="G11236" s="2" t="str">
        <f>"MVSaude / Relatórios / Administrativos / Contratos / Renovações por Contrato (R_RENOVA_CONTRATO)"</f>
        <v>MVSaude / Relatórios / Administrativos / Contratos / Renovações por Contrato (R_RENOVA_CONTRATO)</v>
      </c>
    </row>
    <row r="11237" spans="1:7" x14ac:dyDescent="0.3">
      <c r="A11237" s="1" t="s">
        <v>4</v>
      </c>
      <c r="B11237" s="2" t="str">
        <f t="shared" si="975"/>
        <v>SISTEMA DE GERENCIAMENTO PLANO DE SAÚDE</v>
      </c>
      <c r="C11237" s="2" t="str">
        <f>""</f>
        <v/>
      </c>
      <c r="D11237" s="2" t="str">
        <f t="shared" si="976"/>
        <v>SGPS</v>
      </c>
      <c r="E11237" s="2" t="str">
        <f>"MÉTODOS DE VENDA"</f>
        <v>MÉTODOS DE VENDA</v>
      </c>
      <c r="F11237" s="2" t="str">
        <f>"M_METVEN"</f>
        <v>M_METVEN</v>
      </c>
      <c r="G11237" s="2" t="str">
        <f>"MVSaude / Vendas / Métodos de Venda (M_METVEN)"</f>
        <v>MVSaude / Vendas / Métodos de Venda (M_METVEN)</v>
      </c>
    </row>
    <row r="11238" spans="1:7" x14ac:dyDescent="0.3">
      <c r="A11238" s="1" t="s">
        <v>4</v>
      </c>
      <c r="B11238" s="2" t="str">
        <f t="shared" si="975"/>
        <v>SISTEMA DE GERENCIAMENTO PLANO DE SAÚDE</v>
      </c>
      <c r="C11238" s="2" t="str">
        <f>""</f>
        <v/>
      </c>
      <c r="D11238" s="2" t="str">
        <f t="shared" si="976"/>
        <v>SGPS</v>
      </c>
      <c r="E11238" s="2" t="str">
        <f>"VENDEDORES DO PLANO"</f>
        <v>VENDEDORES DO PLANO</v>
      </c>
      <c r="F11238" s="2" t="str">
        <f>"M_VENDED"</f>
        <v>M_VENDED</v>
      </c>
      <c r="G11238" s="2" t="str">
        <f>"MVSaude / Vendas / Vendedores (M_VENDED)"</f>
        <v>MVSaude / Vendas / Vendedores (M_VENDED)</v>
      </c>
    </row>
    <row r="11239" spans="1:7" x14ac:dyDescent="0.3">
      <c r="A11239" s="1" t="s">
        <v>4</v>
      </c>
      <c r="B11239" s="2" t="str">
        <f t="shared" si="975"/>
        <v>SISTEMA DE GERENCIAMENTO PLANO DE SAÚDE</v>
      </c>
      <c r="C11239" s="2" t="str">
        <f>""</f>
        <v/>
      </c>
      <c r="D11239" s="2" t="str">
        <f t="shared" si="976"/>
        <v>SGPS</v>
      </c>
      <c r="E11239" s="2" t="str">
        <f>"ALTERAÇÃO DE EMPRESA"</f>
        <v>ALTERAÇÃO DE EMPRESA</v>
      </c>
      <c r="F11239" s="2" t="str">
        <f>"O_ALTEMPRESA"</f>
        <v>O_ALTEMPRESA</v>
      </c>
      <c r="G11239" s="2" t="str">
        <f>"MVSaude / Cadastros / Alteração de Empresa (O_ALTEMPRESA)"</f>
        <v>MVSaude / Cadastros / Alteração de Empresa (O_ALTEMPRESA)</v>
      </c>
    </row>
    <row r="11240" spans="1:7" x14ac:dyDescent="0.3">
      <c r="A11240" s="1" t="s">
        <v>4</v>
      </c>
      <c r="B11240" s="2" t="str">
        <f t="shared" si="975"/>
        <v>SISTEMA DE GERENCIAMENTO PLANO DE SAÚDE</v>
      </c>
      <c r="C11240" s="2" t="str">
        <f>""</f>
        <v/>
      </c>
      <c r="D11240" s="2" t="str">
        <f t="shared" si="976"/>
        <v>SGPS</v>
      </c>
      <c r="E11240" s="2" t="str">
        <f>"EXTRATO DA VIDA PREGRESSA DO USUARIO"</f>
        <v>EXTRATO DA VIDA PREGRESSA DO USUARIO</v>
      </c>
      <c r="F11240" s="2" t="str">
        <f>"R_EXTRATO_VIDA_PREGRESSA"</f>
        <v>R_EXTRATO_VIDA_PREGRESSA</v>
      </c>
      <c r="G11240" s="2" t="str">
        <f>"MVSaude / Relatórios / Cadastros / Extrato da Vida Pregressa do Usuario (R_EXTRATO_VIDA_PREGRESSA)"</f>
        <v>MVSaude / Relatórios / Cadastros / Extrato da Vida Pregressa do Usuario (R_EXTRATO_VIDA_PREGRESSA)</v>
      </c>
    </row>
    <row r="11241" spans="1:7" x14ac:dyDescent="0.3">
      <c r="A11241" s="1" t="s">
        <v>4</v>
      </c>
      <c r="B11241" s="2" t="str">
        <f t="shared" si="975"/>
        <v>SISTEMA DE GERENCIAMENTO PLANO DE SAÚDE</v>
      </c>
      <c r="C11241" s="2" t="str">
        <f>""</f>
        <v/>
      </c>
      <c r="D11241" s="2" t="str">
        <f t="shared" si="976"/>
        <v>SGPS</v>
      </c>
      <c r="E11241" s="2" t="str">
        <f>"RELATÓRIO DOS CONTRATOS PARA REAJUSTE"</f>
        <v>RELATÓRIO DOS CONTRATOS PARA REAJUSTE</v>
      </c>
      <c r="F11241" s="2" t="str">
        <f>"R_CONREJ"</f>
        <v>R_CONREJ</v>
      </c>
      <c r="G11241" s="2" t="str">
        <f>"MVSaude / Relatórios / Administrativos / Contratos / Contratos para Reajuste (R_CONREJ)"</f>
        <v>MVSaude / Relatórios / Administrativos / Contratos / Contratos para Reajuste (R_CONREJ)</v>
      </c>
    </row>
    <row r="11242" spans="1:7" x14ac:dyDescent="0.3">
      <c r="A11242" s="1" t="s">
        <v>4</v>
      </c>
      <c r="B11242" s="2" t="str">
        <f t="shared" si="975"/>
        <v>SISTEMA DE GERENCIAMENTO PLANO DE SAÚDE</v>
      </c>
      <c r="C11242" s="2" t="str">
        <f>""</f>
        <v/>
      </c>
      <c r="D11242" s="2" t="str">
        <f t="shared" si="976"/>
        <v>SGPS</v>
      </c>
      <c r="E11242" s="2" t="str">
        <f>"RELATÓRIO DOS VALORES RECEBIDOS"</f>
        <v>RELATÓRIO DOS VALORES RECEBIDOS</v>
      </c>
      <c r="F11242" s="2" t="str">
        <f>"R_MENS_SEM_JUROS"</f>
        <v>R_MENS_SEM_JUROS</v>
      </c>
      <c r="G11242" s="2" t="str">
        <f>" ()"</f>
        <v xml:space="preserve"> ()</v>
      </c>
    </row>
    <row r="11243" spans="1:7" x14ac:dyDescent="0.3">
      <c r="A11243" s="1" t="s">
        <v>4</v>
      </c>
      <c r="B11243" s="2" t="str">
        <f t="shared" si="975"/>
        <v>SISTEMA DE GERENCIAMENTO PLANO DE SAÚDE</v>
      </c>
      <c r="C11243" s="2" t="str">
        <f>""</f>
        <v/>
      </c>
      <c r="D11243" s="2" t="str">
        <f t="shared" si="976"/>
        <v>SGPS</v>
      </c>
      <c r="E11243" s="2" t="str">
        <f>"GERACAO DE BOLETOS BANCARIOS (REMESSA)"</f>
        <v>GERACAO DE BOLETOS BANCARIOS (REMESSA)</v>
      </c>
      <c r="F11243" s="2" t="str">
        <f>"O_IMPBOLETO"</f>
        <v>O_IMPBOLETO</v>
      </c>
      <c r="G11243" s="2" t="str">
        <f>"MVSaude / Faturamento / Remessa / Impressão da Cobrança (O_IMPBOLETO)"</f>
        <v>MVSaude / Faturamento / Remessa / Impressão da Cobrança (O_IMPBOLETO)</v>
      </c>
    </row>
    <row r="11244" spans="1:7" x14ac:dyDescent="0.3">
      <c r="A11244" s="1" t="s">
        <v>4</v>
      </c>
      <c r="B11244" s="2" t="str">
        <f t="shared" si="975"/>
        <v>SISTEMA DE GERENCIAMENTO PLANO DE SAÚDE</v>
      </c>
      <c r="C11244" s="2" t="str">
        <f>""</f>
        <v/>
      </c>
      <c r="D11244" s="2" t="str">
        <f t="shared" si="976"/>
        <v>SGPS</v>
      </c>
      <c r="E11244" s="2" t="str">
        <f>"COMPOSICAO DA MENSALIDADE"</f>
        <v>COMPOSICAO DA MENSALIDADE</v>
      </c>
      <c r="F11244" s="2" t="str">
        <f>"M_MENCON"</f>
        <v>M_MENCON</v>
      </c>
      <c r="G11244" s="2" t="str">
        <f>"MVSaude / Faturamento / Composição (M_MENCON)"</f>
        <v>MVSaude / Faturamento / Composição (M_MENCON)</v>
      </c>
    </row>
    <row r="11245" spans="1:7" x14ac:dyDescent="0.3">
      <c r="A11245" s="1" t="s">
        <v>4</v>
      </c>
      <c r="B11245" s="2" t="str">
        <f t="shared" ref="B11245:B11308" si="979">"SISTEMA DE GERENCIAMENTO PLANO DE SAÚDE"</f>
        <v>SISTEMA DE GERENCIAMENTO PLANO DE SAÚDE</v>
      </c>
      <c r="C11245" s="2" t="str">
        <f>""</f>
        <v/>
      </c>
      <c r="D11245" s="2" t="str">
        <f t="shared" ref="D11245:D11308" si="980">"SGPS"</f>
        <v>SGPS</v>
      </c>
      <c r="E11245" s="2" t="str">
        <f>"ENTREGA DAS CARTEIRAS"</f>
        <v>ENTREGA DAS CARTEIRAS</v>
      </c>
      <c r="F11245" s="2" t="str">
        <f>"R_ENTCARTEIRA"</f>
        <v>R_ENTCARTEIRA</v>
      </c>
      <c r="G11245" s="2" t="str">
        <f>"MVSaude / Relatórios / Cadastros / Protocolo de Entrega de Carteiras (R_ENTCARTEIRA)"</f>
        <v>MVSaude / Relatórios / Cadastros / Protocolo de Entrega de Carteiras (R_ENTCARTEIRA)</v>
      </c>
    </row>
    <row r="11246" spans="1:7" x14ac:dyDescent="0.3">
      <c r="A11246" s="1" t="s">
        <v>4</v>
      </c>
      <c r="B11246" s="2" t="str">
        <f t="shared" si="979"/>
        <v>SISTEMA DE GERENCIAMENTO PLANO DE SAÚDE</v>
      </c>
      <c r="C11246" s="2" t="str">
        <f>""</f>
        <v/>
      </c>
      <c r="D11246" s="2" t="str">
        <f t="shared" si="980"/>
        <v>SGPS</v>
      </c>
      <c r="E11246" s="2" t="str">
        <f>"TIPOS DE GUIA"</f>
        <v>TIPOS DE GUIA</v>
      </c>
      <c r="F11246" s="2" t="str">
        <f>"M_TIPGUIA"</f>
        <v>M_TIPGUIA</v>
      </c>
      <c r="G11246" s="2" t="str">
        <f>"MVSaude / Contas Médicas / Tabelas / Tipos de Guia (M_TIPGUIA)"</f>
        <v>MVSaude / Contas Médicas / Tabelas / Tipos de Guia (M_TIPGUIA)</v>
      </c>
    </row>
    <row r="11247" spans="1:7" x14ac:dyDescent="0.3">
      <c r="A11247" s="1" t="s">
        <v>4</v>
      </c>
      <c r="B11247" s="2" t="str">
        <f t="shared" si="979"/>
        <v>SISTEMA DE GERENCIAMENTO PLANO DE SAÚDE</v>
      </c>
      <c r="C11247" s="2" t="str">
        <f>""</f>
        <v/>
      </c>
      <c r="D11247" s="2" t="str">
        <f t="shared" si="980"/>
        <v>SGPS</v>
      </c>
      <c r="E11247" s="2" t="str">
        <f>"TABELA DE PROCEDIMENTOS DOS PRESTADORES"</f>
        <v>TABELA DE PROCEDIMENTOS DOS PRESTADORES</v>
      </c>
      <c r="F11247" s="2" t="str">
        <f>"M_TAB_PROC_PREST"</f>
        <v>M_TAB_PROC_PREST</v>
      </c>
      <c r="G11247" s="2" t="str">
        <f>"MVSaude / Contas Médicas / Prestadores / Associação de Procedimentos (M_TAB_PROC_PREST)"</f>
        <v>MVSaude / Contas Médicas / Prestadores / Associação de Procedimentos (M_TAB_PROC_PREST)</v>
      </c>
    </row>
    <row r="11248" spans="1:7" x14ac:dyDescent="0.3">
      <c r="A11248" s="1" t="s">
        <v>4</v>
      </c>
      <c r="B11248" s="2" t="str">
        <f t="shared" si="979"/>
        <v>SISTEMA DE GERENCIAMENTO PLANO DE SAÚDE</v>
      </c>
      <c r="C11248" s="2" t="str">
        <f>""</f>
        <v/>
      </c>
      <c r="D11248" s="2" t="str">
        <f t="shared" si="980"/>
        <v>SGPS</v>
      </c>
      <c r="E11248" s="2" t="str">
        <f>"EXCECAO P/ VALORES DE PROCEDIMENTO"</f>
        <v>EXCECAO P/ VALORES DE PROCEDIMENTO</v>
      </c>
      <c r="F11248" s="2" t="str">
        <f>"M_VAL_EXCECAO"</f>
        <v>M_VAL_EXCECAO</v>
      </c>
      <c r="G11248" s="2" t="str">
        <f>"MVSaude / Contas Médicas / Prestadores / Regra Exceção para Prestadores (M_VAL_EXCECAO)"</f>
        <v>MVSaude / Contas Médicas / Prestadores / Regra Exceção para Prestadores (M_VAL_EXCECAO)</v>
      </c>
    </row>
    <row r="11249" spans="1:7" x14ac:dyDescent="0.3">
      <c r="A11249" s="1" t="s">
        <v>4</v>
      </c>
      <c r="B11249" s="2" t="str">
        <f t="shared" si="979"/>
        <v>SISTEMA DE GERENCIAMENTO PLANO DE SAÚDE</v>
      </c>
      <c r="C11249" s="2" t="str">
        <f>""</f>
        <v/>
      </c>
      <c r="D11249" s="2" t="str">
        <f t="shared" si="980"/>
        <v>SGPS</v>
      </c>
      <c r="E11249" s="2" t="str">
        <f>"PROPOSTA DE ADMISSAO DA CONMEDH"</f>
        <v>PROPOSTA DE ADMISSAO DA CONMEDH</v>
      </c>
      <c r="F11249" s="2" t="str">
        <f>"R_PROPADM"</f>
        <v>R_PROPADM</v>
      </c>
      <c r="G11249" s="2" t="str">
        <f>" ()"</f>
        <v xml:space="preserve"> ()</v>
      </c>
    </row>
    <row r="11250" spans="1:7" x14ac:dyDescent="0.3">
      <c r="A11250" s="1" t="s">
        <v>4</v>
      </c>
      <c r="B11250" s="2" t="str">
        <f t="shared" si="979"/>
        <v>SISTEMA DE GERENCIAMENTO PLANO DE SAÚDE</v>
      </c>
      <c r="C11250" s="2" t="str">
        <f>""</f>
        <v/>
      </c>
      <c r="D11250" s="2" t="str">
        <f t="shared" si="980"/>
        <v>SGPS</v>
      </c>
      <c r="E11250" s="2" t="str">
        <f>"GUIA DE EXAME DA MM"</f>
        <v>GUIA DE EXAME DA MM</v>
      </c>
      <c r="F11250" s="2" t="str">
        <f>"R_GUIA_EXAME_MM"</f>
        <v>R_GUIA_EXAME_MM</v>
      </c>
      <c r="G11250" s="2" t="str">
        <f>" ()"</f>
        <v xml:space="preserve"> ()</v>
      </c>
    </row>
    <row r="11251" spans="1:7" x14ac:dyDescent="0.3">
      <c r="A11251" s="1" t="s">
        <v>4</v>
      </c>
      <c r="B11251" s="2" t="str">
        <f t="shared" si="979"/>
        <v>SISTEMA DE GERENCIAMENTO PLANO DE SAÚDE</v>
      </c>
      <c r="C11251" s="2" t="str">
        <f>""</f>
        <v/>
      </c>
      <c r="D11251" s="2" t="str">
        <f t="shared" si="980"/>
        <v>SGPS</v>
      </c>
      <c r="E11251" s="2" t="str">
        <f>"GUIA DE CONSULTA DA MM"</f>
        <v>GUIA DE CONSULTA DA MM</v>
      </c>
      <c r="F11251" s="2" t="str">
        <f>"R_GUIA_CONSULTA_MM"</f>
        <v>R_GUIA_CONSULTA_MM</v>
      </c>
      <c r="G11251" s="2" t="str">
        <f>" ()"</f>
        <v xml:space="preserve"> ()</v>
      </c>
    </row>
    <row r="11252" spans="1:7" x14ac:dyDescent="0.3">
      <c r="A11252" s="1" t="s">
        <v>4</v>
      </c>
      <c r="B11252" s="2" t="str">
        <f t="shared" si="979"/>
        <v>SISTEMA DE GERENCIAMENTO PLANO DE SAÚDE</v>
      </c>
      <c r="C11252" s="2" t="str">
        <f>""</f>
        <v/>
      </c>
      <c r="D11252" s="2" t="str">
        <f t="shared" si="980"/>
        <v>SGPS</v>
      </c>
      <c r="E11252" s="2" t="str">
        <f>"RELATORIO DE USUARIOS POR EMPRESA"</f>
        <v>RELATORIO DE USUARIOS POR EMPRESA</v>
      </c>
      <c r="F11252" s="2" t="str">
        <f>"R_USUEMP"</f>
        <v>R_USUEMP</v>
      </c>
      <c r="G11252" s="2" t="str">
        <f>"MVSaude / Relatórios / Tabelas / Usuario / Por Empresa (R_USUEMP)"</f>
        <v>MVSaude / Relatórios / Tabelas / Usuario / Por Empresa (R_USUEMP)</v>
      </c>
    </row>
    <row r="11253" spans="1:7" x14ac:dyDescent="0.3">
      <c r="A11253" s="1" t="s">
        <v>4</v>
      </c>
      <c r="B11253" s="2" t="str">
        <f t="shared" si="979"/>
        <v>SISTEMA DE GERENCIAMENTO PLANO DE SAÚDE</v>
      </c>
      <c r="C11253" s="2" t="str">
        <f>""</f>
        <v/>
      </c>
      <c r="D11253" s="2" t="str">
        <f t="shared" si="980"/>
        <v>SGPS</v>
      </c>
      <c r="E11253" s="2" t="str">
        <f>"ESTUDO DE PLANO"</f>
        <v>ESTUDO DE PLANO</v>
      </c>
      <c r="F11253" s="2" t="str">
        <f>"R_USUCAT"</f>
        <v>R_USUCAT</v>
      </c>
      <c r="G11253" s="2" t="str">
        <f>" ()"</f>
        <v xml:space="preserve"> ()</v>
      </c>
    </row>
    <row r="11254" spans="1:7" x14ac:dyDescent="0.3">
      <c r="A11254" s="1" t="s">
        <v>4</v>
      </c>
      <c r="B11254" s="2" t="str">
        <f t="shared" si="979"/>
        <v>SISTEMA DE GERENCIAMENTO PLANO DE SAÚDE</v>
      </c>
      <c r="C11254" s="2" t="str">
        <f>""</f>
        <v/>
      </c>
      <c r="D11254" s="2" t="str">
        <f t="shared" si="980"/>
        <v>SGPS</v>
      </c>
      <c r="E11254" s="2" t="str">
        <f>"RELATÓRIO DE EMISSÃO DE BOLETOS"</f>
        <v>RELATÓRIO DE EMISSÃO DE BOLETOS</v>
      </c>
      <c r="F11254" s="2" t="str">
        <f>"R_IMPBOL"</f>
        <v>R_IMPBOL</v>
      </c>
      <c r="G11254" s="2" t="str">
        <f>" ()"</f>
        <v xml:space="preserve"> ()</v>
      </c>
    </row>
    <row r="11255" spans="1:7" x14ac:dyDescent="0.3">
      <c r="A11255" s="1" t="s">
        <v>4</v>
      </c>
      <c r="B11255" s="2" t="str">
        <f t="shared" si="979"/>
        <v>SISTEMA DE GERENCIAMENTO PLANO DE SAÚDE</v>
      </c>
      <c r="C11255" s="2" t="str">
        <f>""</f>
        <v/>
      </c>
      <c r="D11255" s="2" t="str">
        <f t="shared" si="980"/>
        <v>SGPS</v>
      </c>
      <c r="E11255" s="2" t="str">
        <f>"GUIA DE EXAME DA CONMEDH"</f>
        <v>GUIA DE EXAME DA CONMEDH</v>
      </c>
      <c r="F11255" s="2" t="str">
        <f>"R_GUIA_EXAME_CONMEDH"</f>
        <v>R_GUIA_EXAME_CONMEDH</v>
      </c>
      <c r="G11255" s="2" t="str">
        <f>" ()"</f>
        <v xml:space="preserve"> ()</v>
      </c>
    </row>
    <row r="11256" spans="1:7" x14ac:dyDescent="0.3">
      <c r="A11256" s="1" t="s">
        <v>4</v>
      </c>
      <c r="B11256" s="2" t="str">
        <f t="shared" si="979"/>
        <v>SISTEMA DE GERENCIAMENTO PLANO DE SAÚDE</v>
      </c>
      <c r="C11256" s="2" t="str">
        <f>""</f>
        <v/>
      </c>
      <c r="D11256" s="2" t="str">
        <f t="shared" si="980"/>
        <v>SGPS</v>
      </c>
      <c r="E11256" s="2" t="str">
        <f>"GUIA DE CONSULTA DA CONMEDH"</f>
        <v>GUIA DE CONSULTA DA CONMEDH</v>
      </c>
      <c r="F11256" s="2" t="str">
        <f>"R_GUIA_CONSULTA_CONMEDH"</f>
        <v>R_GUIA_CONSULTA_CONMEDH</v>
      </c>
      <c r="G11256" s="2" t="str">
        <f>" ()"</f>
        <v xml:space="preserve"> ()</v>
      </c>
    </row>
    <row r="11257" spans="1:7" x14ac:dyDescent="0.3">
      <c r="A11257" s="1" t="s">
        <v>4</v>
      </c>
      <c r="B11257" s="2" t="str">
        <f t="shared" si="979"/>
        <v>SISTEMA DE GERENCIAMENTO PLANO DE SAÚDE</v>
      </c>
      <c r="C11257" s="2" t="str">
        <f>""</f>
        <v/>
      </c>
      <c r="D11257" s="2" t="str">
        <f t="shared" si="980"/>
        <v>SGPS</v>
      </c>
      <c r="E11257" s="2" t="str">
        <f>"MÉTODOS DE VENDA"</f>
        <v>MÉTODOS DE VENDA</v>
      </c>
      <c r="F11257" s="2" t="str">
        <f>"M_TIPVEN"</f>
        <v>M_TIPVEN</v>
      </c>
      <c r="G11257" s="2" t="str">
        <f>" ()"</f>
        <v xml:space="preserve"> ()</v>
      </c>
    </row>
    <row r="11258" spans="1:7" x14ac:dyDescent="0.3">
      <c r="A11258" s="1" t="s">
        <v>4</v>
      </c>
      <c r="B11258" s="2" t="str">
        <f t="shared" si="979"/>
        <v>SISTEMA DE GERENCIAMENTO PLANO DE SAÚDE</v>
      </c>
      <c r="C11258" s="2" t="str">
        <f>""</f>
        <v/>
      </c>
      <c r="D11258" s="2" t="str">
        <f t="shared" si="980"/>
        <v>SGPS</v>
      </c>
      <c r="E11258" s="2" t="str">
        <f>"EMPRESAS VENDEDORES"</f>
        <v>EMPRESAS VENDEDORES</v>
      </c>
      <c r="F11258" s="2" t="str">
        <f>"M_TIP_VEND"</f>
        <v>M_TIP_VEND</v>
      </c>
      <c r="G11258" s="2" t="str">
        <f>"MVSaude / Vendas / Empresas Unidades Vendedoras (M_TIP_VEND)"</f>
        <v>MVSaude / Vendas / Empresas Unidades Vendedoras (M_TIP_VEND)</v>
      </c>
    </row>
    <row r="11259" spans="1:7" x14ac:dyDescent="0.3">
      <c r="A11259" s="1" t="s">
        <v>4</v>
      </c>
      <c r="B11259" s="2" t="str">
        <f t="shared" si="979"/>
        <v>SISTEMA DE GERENCIAMENTO PLANO DE SAÚDE</v>
      </c>
      <c r="C11259" s="2" t="str">
        <f>""</f>
        <v/>
      </c>
      <c r="D11259" s="2" t="str">
        <f t="shared" si="980"/>
        <v>SGPS</v>
      </c>
      <c r="E11259" s="2" t="str">
        <f>"CUSTO POR PLANO (VIVER)"</f>
        <v>CUSTO POR PLANO (VIVER)</v>
      </c>
      <c r="F11259" s="2" t="str">
        <f>"R_CUSTO_PLANO_VIVER"</f>
        <v>R_CUSTO_PLANO_VIVER</v>
      </c>
      <c r="G11259" s="2" t="str">
        <f>" ()"</f>
        <v xml:space="preserve"> ()</v>
      </c>
    </row>
    <row r="11260" spans="1:7" x14ac:dyDescent="0.3">
      <c r="A11260" s="1" t="s">
        <v>4</v>
      </c>
      <c r="B11260" s="2" t="str">
        <f t="shared" si="979"/>
        <v>SISTEMA DE GERENCIAMENTO PLANO DE SAÚDE</v>
      </c>
      <c r="C11260" s="2" t="str">
        <f>""</f>
        <v/>
      </c>
      <c r="D11260" s="2" t="str">
        <f t="shared" si="980"/>
        <v>SGPS</v>
      </c>
      <c r="E11260" s="2" t="str">
        <f>"UTILIZAÇÃO REDE CREDENCIADA -ANAL. SINT."</f>
        <v>UTILIZAÇÃO REDE CREDENCIADA -ANAL. SINT.</v>
      </c>
      <c r="F11260" s="2" t="str">
        <f>"R_UTILIZA_REDE_USU"</f>
        <v>R_UTILIZA_REDE_USU</v>
      </c>
      <c r="G11260" s="2" t="str">
        <f>" ()"</f>
        <v xml:space="preserve"> ()</v>
      </c>
    </row>
    <row r="11261" spans="1:7" x14ac:dyDescent="0.3">
      <c r="A11261" s="1" t="s">
        <v>4</v>
      </c>
      <c r="B11261" s="2" t="str">
        <f t="shared" si="979"/>
        <v>SISTEMA DE GERENCIAMENTO PLANO DE SAÚDE</v>
      </c>
      <c r="C11261" s="2" t="str">
        <f>""</f>
        <v/>
      </c>
      <c r="D11261" s="2" t="str">
        <f t="shared" si="980"/>
        <v>SGPS</v>
      </c>
      <c r="E11261" s="2" t="str">
        <f>"ESCALAS PADRAO"</f>
        <v>ESCALAS PADRAO</v>
      </c>
      <c r="F11261" s="2" t="str">
        <f>"M_ESCALA_SGPS"</f>
        <v>M_ESCALA_SGPS</v>
      </c>
      <c r="G11261" s="2" t="str">
        <f>" ()"</f>
        <v xml:space="preserve"> ()</v>
      </c>
    </row>
    <row r="11262" spans="1:7" x14ac:dyDescent="0.3">
      <c r="A11262" s="1" t="s">
        <v>4</v>
      </c>
      <c r="B11262" s="2" t="str">
        <f t="shared" si="979"/>
        <v>SISTEMA DE GERENCIAMENTO PLANO DE SAÚDE</v>
      </c>
      <c r="C11262" s="2" t="str">
        <f>""</f>
        <v/>
      </c>
      <c r="D11262" s="2" t="str">
        <f t="shared" si="980"/>
        <v>SGPS</v>
      </c>
      <c r="E11262" s="2" t="str">
        <f>"IMPORTACAO DO RETORNO BANCÁRIO"</f>
        <v>IMPORTACAO DO RETORNO BANCÁRIO</v>
      </c>
      <c r="F11262" s="2" t="str">
        <f>"O_IMPBANCO"</f>
        <v>O_IMPBANCO</v>
      </c>
      <c r="G11262" s="2" t="str">
        <f>"MVSaude / Faturamento / Retorno da Cobrança (O_IMPBANCO)"</f>
        <v>MVSaude / Faturamento / Retorno da Cobrança (O_IMPBANCO)</v>
      </c>
    </row>
    <row r="11263" spans="1:7" x14ac:dyDescent="0.3">
      <c r="A11263" s="1" t="s">
        <v>4</v>
      </c>
      <c r="B11263" s="2" t="str">
        <f t="shared" si="979"/>
        <v>SISTEMA DE GERENCIAMENTO PLANO DE SAÚDE</v>
      </c>
      <c r="C11263" s="2" t="str">
        <f>""</f>
        <v/>
      </c>
      <c r="D11263" s="2" t="str">
        <f t="shared" si="980"/>
        <v>SGPS</v>
      </c>
      <c r="E11263" s="2" t="str">
        <f>"RELATORIOS PERSONALIZADOS"</f>
        <v>RELATORIOS PERSONALIZADOS</v>
      </c>
      <c r="F11263" s="2" t="str">
        <f>"M_CATREP_SGPS"</f>
        <v>M_CATREP_SGPS</v>
      </c>
      <c r="G11263" s="2" t="str">
        <f>" ()"</f>
        <v xml:space="preserve"> ()</v>
      </c>
    </row>
    <row r="11264" spans="1:7" x14ac:dyDescent="0.3">
      <c r="A11264" s="1" t="s">
        <v>4</v>
      </c>
      <c r="B11264" s="2" t="str">
        <f t="shared" si="979"/>
        <v>SISTEMA DE GERENCIAMENTO PLANO DE SAÚDE</v>
      </c>
      <c r="C11264" s="2" t="str">
        <f>""</f>
        <v/>
      </c>
      <c r="D11264" s="2" t="str">
        <f t="shared" si="980"/>
        <v>SGPS</v>
      </c>
      <c r="E11264" s="2" t="str">
        <f>"CUSTO POR CATEGORIA E FAIXA ETARIA"</f>
        <v>CUSTO POR CATEGORIA E FAIXA ETARIA</v>
      </c>
      <c r="F11264" s="2" t="str">
        <f>"R_CUSTO_CATEGORIA_FX_ETARIA"</f>
        <v>R_CUSTO_CATEGORIA_FX_ETARIA</v>
      </c>
      <c r="G11264" s="2" t="str">
        <f>" ()"</f>
        <v xml:space="preserve"> ()</v>
      </c>
    </row>
    <row r="11265" spans="1:7" x14ac:dyDescent="0.3">
      <c r="A11265" s="1" t="s">
        <v>4</v>
      </c>
      <c r="B11265" s="2" t="str">
        <f t="shared" si="979"/>
        <v>SISTEMA DE GERENCIAMENTO PLANO DE SAÚDE</v>
      </c>
      <c r="C11265" s="2" t="str">
        <f>""</f>
        <v/>
      </c>
      <c r="D11265" s="2" t="str">
        <f t="shared" si="980"/>
        <v>SGPS</v>
      </c>
      <c r="E11265" s="2" t="str">
        <f>"IMPORTAÇÃO BRASÍNDICE"</f>
        <v>IMPORTAÇÃO BRASÍNDICE</v>
      </c>
      <c r="F11265" s="2" t="str">
        <f>"O_IMPBRASINDI_SGPS"</f>
        <v>O_IMPBRASINDI_SGPS</v>
      </c>
      <c r="G11265" s="2" t="str">
        <f>" ()"</f>
        <v xml:space="preserve"> ()</v>
      </c>
    </row>
    <row r="11266" spans="1:7" x14ac:dyDescent="0.3">
      <c r="A11266" s="1" t="s">
        <v>4</v>
      </c>
      <c r="B11266" s="2" t="str">
        <f t="shared" si="979"/>
        <v>SISTEMA DE GERENCIAMENTO PLANO DE SAÚDE</v>
      </c>
      <c r="C11266" s="2" t="str">
        <f>""</f>
        <v/>
      </c>
      <c r="D11266" s="2" t="str">
        <f t="shared" si="980"/>
        <v>SGPS</v>
      </c>
      <c r="E11266" s="2" t="str">
        <f>"SERVIÇOS"</f>
        <v>SERVIÇOS</v>
      </c>
      <c r="F11266" s="2" t="str">
        <f>"M_SERV_SGPS"</f>
        <v>M_SERV_SGPS</v>
      </c>
      <c r="G11266" s="2" t="str">
        <f>" ()"</f>
        <v xml:space="preserve"> ()</v>
      </c>
    </row>
    <row r="11267" spans="1:7" x14ac:dyDescent="0.3">
      <c r="A11267" s="1" t="s">
        <v>4</v>
      </c>
      <c r="B11267" s="2" t="str">
        <f t="shared" si="979"/>
        <v>SISTEMA DE GERENCIAMENTO PLANO DE SAÚDE</v>
      </c>
      <c r="C11267" s="2" t="str">
        <f>""</f>
        <v/>
      </c>
      <c r="D11267" s="2" t="str">
        <f t="shared" si="980"/>
        <v>SGPS</v>
      </c>
      <c r="E11267" s="2" t="str">
        <f>"TIPOS DE EMPRESA"</f>
        <v>TIPOS DE EMPRESA</v>
      </c>
      <c r="F11267" s="2" t="str">
        <f>"M_TIPEMP_SGPS"</f>
        <v>M_TIPEMP_SGPS</v>
      </c>
      <c r="G11267" s="2" t="str">
        <f>"MVSaude / Cadastros / Tipos de Empresa (M_TIPEMP_SGPS)"</f>
        <v>MVSaude / Cadastros / Tipos de Empresa (M_TIPEMP_SGPS)</v>
      </c>
    </row>
    <row r="11268" spans="1:7" x14ac:dyDescent="0.3">
      <c r="A11268" s="1" t="s">
        <v>4</v>
      </c>
      <c r="B11268" s="2" t="str">
        <f t="shared" si="979"/>
        <v>SISTEMA DE GERENCIAMENTO PLANO DE SAÚDE</v>
      </c>
      <c r="C11268" s="2" t="str">
        <f>""</f>
        <v/>
      </c>
      <c r="D11268" s="2" t="str">
        <f t="shared" si="980"/>
        <v>SGPS</v>
      </c>
      <c r="E11268" s="2" t="str">
        <f>"CONSULTA REPASSE DOS PREST. SIMPLIFICADO"</f>
        <v>CONSULTA REPASSE DOS PREST. SIMPLIFICADO</v>
      </c>
      <c r="F11268" s="2" t="str">
        <f>"C_CONSREPPRESTSIMP"</f>
        <v>C_CONSREPPRESTSIMP</v>
      </c>
      <c r="G11268" s="2" t="str">
        <f>" ()"</f>
        <v xml:space="preserve"> ()</v>
      </c>
    </row>
    <row r="11269" spans="1:7" x14ac:dyDescent="0.3">
      <c r="A11269" s="1" t="s">
        <v>4</v>
      </c>
      <c r="B11269" s="2" t="str">
        <f t="shared" si="979"/>
        <v>SISTEMA DE GERENCIAMENTO PLANO DE SAÚDE</v>
      </c>
      <c r="C11269" s="2" t="str">
        <f>""</f>
        <v/>
      </c>
      <c r="D11269" s="2" t="str">
        <f t="shared" si="980"/>
        <v>SGPS</v>
      </c>
      <c r="E11269" s="2" t="str">
        <f>"CARÊNCIA DOS USUÁRIOS"</f>
        <v>CARÊNCIA DOS USUÁRIOS</v>
      </c>
      <c r="F11269" s="2" t="str">
        <f>"C_CARUSU"</f>
        <v>C_CARUSU</v>
      </c>
      <c r="G11269" s="2" t="str">
        <f>" ()"</f>
        <v xml:space="preserve"> ()</v>
      </c>
    </row>
    <row r="11270" spans="1:7" x14ac:dyDescent="0.3">
      <c r="A11270" s="1" t="s">
        <v>4</v>
      </c>
      <c r="B11270" s="2" t="str">
        <f t="shared" si="979"/>
        <v>SISTEMA DE GERENCIAMENTO PLANO DE SAÚDE</v>
      </c>
      <c r="C11270" s="2" t="str">
        <f>""</f>
        <v/>
      </c>
      <c r="D11270" s="2" t="str">
        <f t="shared" si="980"/>
        <v>SGPS</v>
      </c>
      <c r="E11270" s="2" t="str">
        <f>"AUDITORIA"</f>
        <v>AUDITORIA</v>
      </c>
      <c r="F11270" s="2" t="str">
        <f>"C_AUDITORIA"</f>
        <v>C_AUDITORIA</v>
      </c>
      <c r="G11270" s="2" t="str">
        <f>" ()"</f>
        <v xml:space="preserve"> ()</v>
      </c>
    </row>
    <row r="11271" spans="1:7" x14ac:dyDescent="0.3">
      <c r="A11271" s="1" t="s">
        <v>4</v>
      </c>
      <c r="B11271" s="2" t="str">
        <f t="shared" si="979"/>
        <v>SISTEMA DE GERENCIAMENTO PLANO DE SAÚDE</v>
      </c>
      <c r="C11271" s="2" t="str">
        <f>""</f>
        <v/>
      </c>
      <c r="D11271" s="2" t="str">
        <f t="shared" si="980"/>
        <v>SGPS</v>
      </c>
      <c r="E11271" s="2" t="str">
        <f>"CONFIGURAÇÃO BRASÍNDICE"</f>
        <v>CONFIGURAÇÃO BRASÍNDICE</v>
      </c>
      <c r="F11271" s="2" t="str">
        <f>"M_PROCED_BRAS"</f>
        <v>M_PROCED_BRAS</v>
      </c>
      <c r="G11271" s="2" t="str">
        <f>" ()"</f>
        <v xml:space="preserve"> ()</v>
      </c>
    </row>
    <row r="11272" spans="1:7" x14ac:dyDescent="0.3">
      <c r="A11272" s="1" t="s">
        <v>4</v>
      </c>
      <c r="B11272" s="2" t="str">
        <f t="shared" si="979"/>
        <v>SISTEMA DE GERENCIAMENTO PLANO DE SAÚDE</v>
      </c>
      <c r="C11272" s="2" t="str">
        <f>""</f>
        <v/>
      </c>
      <c r="D11272" s="2" t="str">
        <f t="shared" si="980"/>
        <v>SGPS</v>
      </c>
      <c r="E11272" s="2" t="str">
        <f>"GRUPOS PARA IMPRESSÃO"</f>
        <v>GRUPOS PARA IMPRESSÃO</v>
      </c>
      <c r="F11272" s="2" t="str">
        <f>"M_IMPGRUCAR"</f>
        <v>M_IMPGRUCAR</v>
      </c>
      <c r="G11272" s="2" t="str">
        <f>"MVSaude / Configurações / Grupos para Impressão (M_IMPGRUCAR)"</f>
        <v>MVSaude / Configurações / Grupos para Impressão (M_IMPGRUCAR)</v>
      </c>
    </row>
    <row r="11273" spans="1:7" x14ac:dyDescent="0.3">
      <c r="A11273" s="1" t="s">
        <v>4</v>
      </c>
      <c r="B11273" s="2" t="str">
        <f t="shared" si="979"/>
        <v>SISTEMA DE GERENCIAMENTO PLANO DE SAÚDE</v>
      </c>
      <c r="C11273" s="2" t="str">
        <f>""</f>
        <v/>
      </c>
      <c r="D11273" s="2" t="str">
        <f t="shared" si="980"/>
        <v>SGPS</v>
      </c>
      <c r="E11273" s="2" t="str">
        <f>"GERAÇÃO DOS REPASSES DOS PRESTADORES"</f>
        <v>GERAÇÃO DOS REPASSES DOS PRESTADORES</v>
      </c>
      <c r="F11273" s="2" t="str">
        <f>"O_REPASSE_PRESTADOR"</f>
        <v>O_REPASSE_PRESTADOR</v>
      </c>
      <c r="G11273" s="2" t="str">
        <f>"MVSaude / Contas Médicas / Processar Repasse dos Prestadores (O_REPASSE_PRESTADOR)"</f>
        <v>MVSaude / Contas Médicas / Processar Repasse dos Prestadores (O_REPASSE_PRESTADOR)</v>
      </c>
    </row>
    <row r="11274" spans="1:7" x14ac:dyDescent="0.3">
      <c r="A11274" s="1" t="s">
        <v>4</v>
      </c>
      <c r="B11274" s="2" t="str">
        <f t="shared" si="979"/>
        <v>SISTEMA DE GERENCIAMENTO PLANO DE SAÚDE</v>
      </c>
      <c r="C11274" s="2" t="str">
        <f>""</f>
        <v/>
      </c>
      <c r="D11274" s="2" t="str">
        <f t="shared" si="980"/>
        <v>SGPS</v>
      </c>
      <c r="E11274" s="2" t="str">
        <f>"AGENDAMENTO - DIAGNÓSTICOS"</f>
        <v>AGENDAMENTO - DIAGNÓSTICOS</v>
      </c>
      <c r="F11274" s="2" t="str">
        <f>"M_DIAGON"</f>
        <v>M_DIAGON</v>
      </c>
      <c r="G11274" s="2" t="str">
        <f>" ()"</f>
        <v xml:space="preserve"> ()</v>
      </c>
    </row>
    <row r="11275" spans="1:7" x14ac:dyDescent="0.3">
      <c r="A11275" s="1" t="s">
        <v>4</v>
      </c>
      <c r="B11275" s="2" t="str">
        <f t="shared" si="979"/>
        <v>SISTEMA DE GERENCIAMENTO PLANO DE SAÚDE</v>
      </c>
      <c r="C11275" s="2" t="str">
        <f>""</f>
        <v/>
      </c>
      <c r="D11275" s="2" t="str">
        <f t="shared" si="980"/>
        <v>SGPS</v>
      </c>
      <c r="E11275" s="2" t="str">
        <f>"PROCEDIMENTO DOS PRESTADORES"</f>
        <v>PROCEDIMENTO DOS PRESTADORES</v>
      </c>
      <c r="F11275" s="2" t="str">
        <f>"R_PROCED_PRESTADOR"</f>
        <v>R_PROCED_PRESTADOR</v>
      </c>
      <c r="G11275" s="2" t="str">
        <f>"MVSaude / Relatórios / Tabelas / Prestadores / Associação Prestador/Procedimento (R_PROCED_PRESTADOR)"</f>
        <v>MVSaude / Relatórios / Tabelas / Prestadores / Associação Prestador/Procedimento (R_PROCED_PRESTADOR)</v>
      </c>
    </row>
    <row r="11276" spans="1:7" x14ac:dyDescent="0.3">
      <c r="A11276" s="1" t="s">
        <v>4</v>
      </c>
      <c r="B11276" s="2" t="str">
        <f t="shared" si="979"/>
        <v>SISTEMA DE GERENCIAMENTO PLANO DE SAÚDE</v>
      </c>
      <c r="C11276" s="2" t="str">
        <f>""</f>
        <v/>
      </c>
      <c r="D11276" s="2" t="str">
        <f t="shared" si="980"/>
        <v>SGPS</v>
      </c>
      <c r="E11276" s="2" t="str">
        <f>"ALTERAÇÃO DE PLANOS"</f>
        <v>ALTERAÇÃO DE PLANOS</v>
      </c>
      <c r="F11276" s="2" t="str">
        <f>"O_ALTPLANO"</f>
        <v>O_ALTPLANO</v>
      </c>
      <c r="G11276" s="2" t="str">
        <f>"MVSaude / Cadastros / Alteração de Plano (O_ALTPLANO)"</f>
        <v>MVSaude / Cadastros / Alteração de Plano (O_ALTPLANO)</v>
      </c>
    </row>
    <row r="11277" spans="1:7" x14ac:dyDescent="0.3">
      <c r="A11277" s="1" t="s">
        <v>4</v>
      </c>
      <c r="B11277" s="2" t="str">
        <f t="shared" si="979"/>
        <v>SISTEMA DE GERENCIAMENTO PLANO DE SAÚDE</v>
      </c>
      <c r="C11277" s="2" t="str">
        <f>""</f>
        <v/>
      </c>
      <c r="D11277" s="2" t="str">
        <f t="shared" si="980"/>
        <v>SGPS</v>
      </c>
      <c r="E11277" s="2" t="str">
        <f>"RELATÓRIO DOS AUDITORES"</f>
        <v>RELATÓRIO DOS AUDITORES</v>
      </c>
      <c r="F11277" s="2" t="str">
        <f>"R_AUDITOR"</f>
        <v>R_AUDITOR</v>
      </c>
      <c r="G11277" s="2" t="str">
        <f>"MVSaude / Relatórios / Tabelas / Faturamento / Auditores (R_AUDITOR)"</f>
        <v>MVSaude / Relatórios / Tabelas / Faturamento / Auditores (R_AUDITOR)</v>
      </c>
    </row>
    <row r="11278" spans="1:7" x14ac:dyDescent="0.3">
      <c r="A11278" s="1" t="s">
        <v>4</v>
      </c>
      <c r="B11278" s="2" t="str">
        <f t="shared" si="979"/>
        <v>SISTEMA DE GERENCIAMENTO PLANO DE SAÚDE</v>
      </c>
      <c r="C11278" s="2" t="str">
        <f>""</f>
        <v/>
      </c>
      <c r="D11278" s="2" t="str">
        <f t="shared" si="980"/>
        <v>SGPS</v>
      </c>
      <c r="E11278" s="2" t="str">
        <f>"RELATÓRIO DAS ESPECIALIDADES"</f>
        <v>RELATÓRIO DAS ESPECIALIDADES</v>
      </c>
      <c r="F11278" s="2" t="str">
        <f>"R_ESPECI"</f>
        <v>R_ESPECI</v>
      </c>
      <c r="G11278" s="2" t="str">
        <f>"MVSaude / Relatórios / Tabelas / Faturamento / Especialidades (R_ESPECI)"</f>
        <v>MVSaude / Relatórios / Tabelas / Faturamento / Especialidades (R_ESPECI)</v>
      </c>
    </row>
    <row r="11279" spans="1:7" x14ac:dyDescent="0.3">
      <c r="A11279" s="1" t="s">
        <v>4</v>
      </c>
      <c r="B11279" s="2" t="str">
        <f t="shared" si="979"/>
        <v>SISTEMA DE GERENCIAMENTO PLANO DE SAÚDE</v>
      </c>
      <c r="C11279" s="2" t="str">
        <f>""</f>
        <v/>
      </c>
      <c r="D11279" s="2" t="str">
        <f t="shared" si="980"/>
        <v>SGPS</v>
      </c>
      <c r="E11279" s="2" t="str">
        <f>"RELATORIO DAS ATIVIDADES MÉDICAS"</f>
        <v>RELATORIO DAS ATIVIDADES MÉDICAS</v>
      </c>
      <c r="F11279" s="2" t="str">
        <f>"R_ATIMED"</f>
        <v>R_ATIMED</v>
      </c>
      <c r="G11279" s="2" t="str">
        <f>"MVSaude / Relatórios / Tabelas / Faturamento / Atividades Medicas (R_ATIMED)"</f>
        <v>MVSaude / Relatórios / Tabelas / Faturamento / Atividades Medicas (R_ATIMED)</v>
      </c>
    </row>
    <row r="11280" spans="1:7" x14ac:dyDescent="0.3">
      <c r="A11280" s="1" t="s">
        <v>4</v>
      </c>
      <c r="B11280" s="2" t="str">
        <f t="shared" si="979"/>
        <v>SISTEMA DE GERENCIAMENTO PLANO DE SAÚDE</v>
      </c>
      <c r="C11280" s="2" t="str">
        <f>""</f>
        <v/>
      </c>
      <c r="D11280" s="2" t="str">
        <f t="shared" si="980"/>
        <v>SGPS</v>
      </c>
      <c r="E11280" s="2" t="str">
        <f>"RELATORIO DE TABELA DE FATURAMENTO"</f>
        <v>RELATORIO DE TABELA DE FATURAMENTO</v>
      </c>
      <c r="F11280" s="2" t="str">
        <f>"R_TABELA"</f>
        <v>R_TABELA</v>
      </c>
      <c r="G11280" s="2" t="str">
        <f>"MVSaude / Relatórios / Tabelas / Faturamento / Tabela de Faturamento (R_TABELA)"</f>
        <v>MVSaude / Relatórios / Tabelas / Faturamento / Tabela de Faturamento (R_TABELA)</v>
      </c>
    </row>
    <row r="11281" spans="1:7" x14ac:dyDescent="0.3">
      <c r="A11281" s="1" t="s">
        <v>4</v>
      </c>
      <c r="B11281" s="2" t="str">
        <f t="shared" si="979"/>
        <v>SISTEMA DE GERENCIAMENTO PLANO DE SAÚDE</v>
      </c>
      <c r="C11281" s="2" t="str">
        <f>""</f>
        <v/>
      </c>
      <c r="D11281" s="2" t="str">
        <f t="shared" si="980"/>
        <v>SGPS</v>
      </c>
      <c r="E11281" s="2" t="str">
        <f>"RELATORIO DE GRUPOS DE CARÊNCIA"</f>
        <v>RELATORIO DE GRUPOS DE CARÊNCIA</v>
      </c>
      <c r="F11281" s="2" t="str">
        <f>"R_GRUCAR"</f>
        <v>R_GRUCAR</v>
      </c>
      <c r="G11281" s="2" t="str">
        <f>"MVSaude / Relatórios / Tabelas / Faturamento / Grupos de Carencia (R_GRUCAR)"</f>
        <v>MVSaude / Relatórios / Tabelas / Faturamento / Grupos de Carencia (R_GRUCAR)</v>
      </c>
    </row>
    <row r="11282" spans="1:7" x14ac:dyDescent="0.3">
      <c r="A11282" s="1" t="s">
        <v>4</v>
      </c>
      <c r="B11282" s="2" t="str">
        <f t="shared" si="979"/>
        <v>SISTEMA DE GERENCIAMENTO PLANO DE SAÚDE</v>
      </c>
      <c r="C11282" s="2" t="str">
        <f>""</f>
        <v/>
      </c>
      <c r="D11282" s="2" t="str">
        <f t="shared" si="980"/>
        <v>SGPS</v>
      </c>
      <c r="E11282" s="2" t="str">
        <f>"RELATORIO DE GRUPOS DE DIREITOS"</f>
        <v>RELATORIO DE GRUPOS DE DIREITOS</v>
      </c>
      <c r="F11282" s="2" t="str">
        <f>"R_GRUDIR"</f>
        <v>R_GRUDIR</v>
      </c>
      <c r="G11282" s="2" t="str">
        <f>"MVSaude / Relatórios / Tabelas / Faturamento / Grupos de Direito (R_GRUDIR)"</f>
        <v>MVSaude / Relatórios / Tabelas / Faturamento / Grupos de Direito (R_GRUDIR)</v>
      </c>
    </row>
    <row r="11283" spans="1:7" x14ac:dyDescent="0.3">
      <c r="A11283" s="1" t="s">
        <v>4</v>
      </c>
      <c r="B11283" s="2" t="str">
        <f t="shared" si="979"/>
        <v>SISTEMA DE GERENCIAMENTO PLANO DE SAÚDE</v>
      </c>
      <c r="C11283" s="2" t="str">
        <f>""</f>
        <v/>
      </c>
      <c r="D11283" s="2" t="str">
        <f t="shared" si="980"/>
        <v>SGPS</v>
      </c>
      <c r="E11283" s="2" t="str">
        <f>"RELATORIO\ DE GRUPOS DE SERVIÇOS"</f>
        <v>RELATORIO\ DE GRUPOS DE SERVIÇOS</v>
      </c>
      <c r="F11283" s="2" t="str">
        <f>"R_GRU_SER"</f>
        <v>R_GRU_SER</v>
      </c>
      <c r="G11283" s="2" t="str">
        <f>" ()"</f>
        <v xml:space="preserve"> ()</v>
      </c>
    </row>
    <row r="11284" spans="1:7" x14ac:dyDescent="0.3">
      <c r="A11284" s="1" t="s">
        <v>4</v>
      </c>
      <c r="B11284" s="2" t="str">
        <f t="shared" si="979"/>
        <v>SISTEMA DE GERENCIAMENTO PLANO DE SAÚDE</v>
      </c>
      <c r="C11284" s="2" t="str">
        <f>""</f>
        <v/>
      </c>
      <c r="D11284" s="2" t="str">
        <f t="shared" si="980"/>
        <v>SGPS</v>
      </c>
      <c r="E11284" s="2" t="str">
        <f>"GRAUS DE PARENTESCO"</f>
        <v>GRAUS DE PARENTESCO</v>
      </c>
      <c r="F11284" s="2" t="str">
        <f>"M_GRAPAR"</f>
        <v>M_GRAPAR</v>
      </c>
      <c r="G11284" s="2" t="str">
        <f>"MVSaude / Cadastros / Graus de Parentesco (M_GRAPAR)"</f>
        <v>MVSaude / Cadastros / Graus de Parentesco (M_GRAPAR)</v>
      </c>
    </row>
    <row r="11285" spans="1:7" x14ac:dyDescent="0.3">
      <c r="A11285" s="1" t="s">
        <v>4</v>
      </c>
      <c r="B11285" s="2" t="str">
        <f t="shared" si="979"/>
        <v>SISTEMA DE GERENCIAMENTO PLANO DE SAÚDE</v>
      </c>
      <c r="C11285" s="2" t="str">
        <f>""</f>
        <v/>
      </c>
      <c r="D11285" s="2" t="str">
        <f t="shared" si="980"/>
        <v>SGPS</v>
      </c>
      <c r="E11285" s="2" t="str">
        <f>"ESCOLARIDADES"</f>
        <v>ESCOLARIDADES</v>
      </c>
      <c r="F11285" s="2" t="str">
        <f>"M_ESCOLAR"</f>
        <v>M_ESCOLAR</v>
      </c>
      <c r="G11285" s="2" t="str">
        <f>"MVSaude / Cadastros / Escolaridade (M_ESCOLAR)"</f>
        <v>MVSaude / Cadastros / Escolaridade (M_ESCOLAR)</v>
      </c>
    </row>
    <row r="11286" spans="1:7" x14ac:dyDescent="0.3">
      <c r="A11286" s="1" t="s">
        <v>4</v>
      </c>
      <c r="B11286" s="2" t="str">
        <f t="shared" si="979"/>
        <v>SISTEMA DE GERENCIAMENTO PLANO DE SAÚDE</v>
      </c>
      <c r="C11286" s="2" t="str">
        <f>""</f>
        <v/>
      </c>
      <c r="D11286" s="2" t="str">
        <f t="shared" si="980"/>
        <v>SGPS</v>
      </c>
      <c r="E11286" s="2" t="str">
        <f>"RELATORIO DE USUARIO"</f>
        <v>RELATORIO DE USUARIO</v>
      </c>
      <c r="F11286" s="2" t="str">
        <f>"REL_USUARIO"</f>
        <v>REL_USUARIO</v>
      </c>
      <c r="G11286" s="2" t="str">
        <f>" ()"</f>
        <v xml:space="preserve"> ()</v>
      </c>
    </row>
    <row r="11287" spans="1:7" x14ac:dyDescent="0.3">
      <c r="A11287" s="1" t="s">
        <v>4</v>
      </c>
      <c r="B11287" s="2" t="str">
        <f t="shared" si="979"/>
        <v>SISTEMA DE GERENCIAMENTO PLANO DE SAÚDE</v>
      </c>
      <c r="C11287" s="2" t="str">
        <f>""</f>
        <v/>
      </c>
      <c r="D11287" s="2" t="str">
        <f t="shared" si="980"/>
        <v>SGPS</v>
      </c>
      <c r="E11287" s="2" t="str">
        <f>"CADASTRO: USUARIOS E SEUS DEPENDENTES"</f>
        <v>CADASTRO: USUARIOS E SEUS DEPENDENTES</v>
      </c>
      <c r="F11287" s="2" t="str">
        <f>"C_USUARIO"</f>
        <v>C_USUARIO</v>
      </c>
      <c r="G11287" s="2" t="str">
        <f>" ()"</f>
        <v xml:space="preserve"> ()</v>
      </c>
    </row>
    <row r="11288" spans="1:7" x14ac:dyDescent="0.3">
      <c r="A11288" s="1" t="s">
        <v>4</v>
      </c>
      <c r="B11288" s="2" t="str">
        <f t="shared" si="979"/>
        <v>SISTEMA DE GERENCIAMENTO PLANO DE SAÚDE</v>
      </c>
      <c r="C11288" s="2" t="str">
        <f>""</f>
        <v/>
      </c>
      <c r="D11288" s="2" t="str">
        <f t="shared" si="980"/>
        <v>SGPS</v>
      </c>
      <c r="E11288" s="2" t="str">
        <f>"CANCELAMENTO DE REMESSAS AUDITADAS"</f>
        <v>CANCELAMENTO DE REMESSAS AUDITADAS</v>
      </c>
      <c r="F11288" s="2" t="str">
        <f>"C_CANCELAR_CONTAH_AUDITADA"</f>
        <v>C_CANCELAR_CONTAH_AUDITADA</v>
      </c>
      <c r="G11288" s="2" t="str">
        <f>" ()"</f>
        <v xml:space="preserve"> ()</v>
      </c>
    </row>
    <row r="11289" spans="1:7" x14ac:dyDescent="0.3">
      <c r="A11289" s="1" t="s">
        <v>4</v>
      </c>
      <c r="B11289" s="2" t="str">
        <f t="shared" si="979"/>
        <v>SISTEMA DE GERENCIAMENTO PLANO DE SAÚDE</v>
      </c>
      <c r="C11289" s="2" t="str">
        <f>""</f>
        <v/>
      </c>
      <c r="D11289" s="2" t="str">
        <f t="shared" si="980"/>
        <v>SGPS</v>
      </c>
      <c r="E11289" s="2" t="str">
        <f>"PROVISIONAMENTO DE CONTAS"</f>
        <v>PROVISIONAMENTO DE CONTAS</v>
      </c>
      <c r="F11289" s="2" t="str">
        <f>"M_PROVISIONAMENTO_CONTAS"</f>
        <v>M_PROVISIONAMENTO_CONTAS</v>
      </c>
      <c r="G11289" s="2" t="str">
        <f>"MVSaude / Contas Médicas / Provisionamento de Contas (M_PROVISIONAMENTO_CONTAS)"</f>
        <v>MVSaude / Contas Médicas / Provisionamento de Contas (M_PROVISIONAMENTO_CONTAS)</v>
      </c>
    </row>
    <row r="11290" spans="1:7" x14ac:dyDescent="0.3">
      <c r="A11290" s="1" t="s">
        <v>4</v>
      </c>
      <c r="B11290" s="2" t="str">
        <f t="shared" si="979"/>
        <v>SISTEMA DE GERENCIAMENTO PLANO DE SAÚDE</v>
      </c>
      <c r="C11290" s="2" t="str">
        <f>""</f>
        <v/>
      </c>
      <c r="D11290" s="2" t="str">
        <f t="shared" si="980"/>
        <v>SGPS</v>
      </c>
      <c r="E11290" s="2" t="str">
        <f>"M_REP_REM_CTA"</f>
        <v>M_REP_REM_CTA</v>
      </c>
      <c r="F11290" s="2" t="str">
        <f>"M_REP_REM_CTA"</f>
        <v>M_REP_REM_CTA</v>
      </c>
      <c r="G11290" s="2" t="str">
        <f>" ()"</f>
        <v xml:space="preserve"> ()</v>
      </c>
    </row>
    <row r="11291" spans="1:7" x14ac:dyDescent="0.3">
      <c r="A11291" s="1" t="s">
        <v>4</v>
      </c>
      <c r="B11291" s="2" t="str">
        <f t="shared" si="979"/>
        <v>SISTEMA DE GERENCIAMENTO PLANO DE SAÚDE</v>
      </c>
      <c r="C11291" s="2" t="str">
        <f>""</f>
        <v/>
      </c>
      <c r="D11291" s="2" t="str">
        <f t="shared" si="980"/>
        <v>SGPS</v>
      </c>
      <c r="E11291" s="2" t="str">
        <f>"GERAÇÃO DOS ARQUIVOS EM MEIO MANÉTICO"</f>
        <v>GERAÇÃO DOS ARQUIVOS EM MEIO MANÉTICO</v>
      </c>
      <c r="F11291" s="2" t="str">
        <f>"O_GERA_ARQMAG_GERAL"</f>
        <v>O_GERA_ARQMAG_GERAL</v>
      </c>
      <c r="G11291" s="2" t="str">
        <f>" ()"</f>
        <v xml:space="preserve"> ()</v>
      </c>
    </row>
    <row r="11292" spans="1:7" x14ac:dyDescent="0.3">
      <c r="A11292" s="1" t="s">
        <v>4</v>
      </c>
      <c r="B11292" s="2" t="str">
        <f t="shared" si="979"/>
        <v>SISTEMA DE GERENCIAMENTO PLANO DE SAÚDE</v>
      </c>
      <c r="C11292" s="2" t="str">
        <f>""</f>
        <v/>
      </c>
      <c r="D11292" s="2" t="str">
        <f t="shared" si="980"/>
        <v>SGPS</v>
      </c>
      <c r="E11292" s="2" t="str">
        <f>"GERAÇÃO DOS ARQUIVOS EM MEIO MAGNÉTICO"</f>
        <v>GERAÇÃO DOS ARQUIVOS EM MEIO MAGNÉTICO</v>
      </c>
      <c r="F11292" s="2" t="str">
        <f>"O_GERA_ARQMAG_ABRAMGE"</f>
        <v>O_GERA_ARQMAG_ABRAMGE</v>
      </c>
      <c r="G11292" s="2" t="str">
        <f>" ()"</f>
        <v xml:space="preserve"> ()</v>
      </c>
    </row>
    <row r="11293" spans="1:7" x14ac:dyDescent="0.3">
      <c r="A11293" s="1" t="s">
        <v>4</v>
      </c>
      <c r="B11293" s="2" t="str">
        <f t="shared" si="979"/>
        <v>SISTEMA DE GERENCIAMENTO PLANO DE SAÚDE</v>
      </c>
      <c r="C11293" s="2" t="str">
        <f>""</f>
        <v/>
      </c>
      <c r="D11293" s="2" t="str">
        <f t="shared" si="980"/>
        <v>SGPS</v>
      </c>
      <c r="E11293" s="2" t="str">
        <f>"COBRANÇA BANCÁRIA - GERAÇÃO"</f>
        <v>COBRANÇA BANCÁRIA - GERAÇÃO</v>
      </c>
      <c r="F11293" s="2" t="str">
        <f>"M_EMICAR_ARQ"</f>
        <v>M_EMICAR_ARQ</v>
      </c>
      <c r="G11293" s="2" t="str">
        <f>" ()"</f>
        <v xml:space="preserve"> ()</v>
      </c>
    </row>
    <row r="11294" spans="1:7" x14ac:dyDescent="0.3">
      <c r="A11294" s="1" t="s">
        <v>4</v>
      </c>
      <c r="B11294" s="2" t="str">
        <f t="shared" si="979"/>
        <v>SISTEMA DE GERENCIAMENTO PLANO DE SAÚDE</v>
      </c>
      <c r="C11294" s="2" t="str">
        <f>""</f>
        <v/>
      </c>
      <c r="D11294" s="2" t="str">
        <f t="shared" si="980"/>
        <v>SGPS</v>
      </c>
      <c r="E11294" s="2" t="str">
        <f>"CALENDÁRIO"</f>
        <v>CALENDÁRIO</v>
      </c>
      <c r="F11294" s="2" t="str">
        <f>"MV2000_MAIS_CAL"</f>
        <v>MV2000_MAIS_CAL</v>
      </c>
      <c r="G11294" s="2" t="str">
        <f>" ()"</f>
        <v xml:space="preserve"> ()</v>
      </c>
    </row>
    <row r="11295" spans="1:7" x14ac:dyDescent="0.3">
      <c r="A11295" s="1" t="s">
        <v>4</v>
      </c>
      <c r="B11295" s="2" t="str">
        <f t="shared" si="979"/>
        <v>SISTEMA DE GERENCIAMENTO PLANO DE SAÚDE</v>
      </c>
      <c r="C11295" s="2" t="str">
        <f>""</f>
        <v/>
      </c>
      <c r="D11295" s="2" t="str">
        <f t="shared" si="980"/>
        <v>SGPS</v>
      </c>
      <c r="E11295" s="2" t="str">
        <f>"IMPORTAÇÃO DE PREÇOS DO BRASINDICE"</f>
        <v>IMPORTAÇÃO DE PREÇOS DO BRASINDICE</v>
      </c>
      <c r="F11295" s="2" t="str">
        <f>"O_GERA_PROCESS_CB"</f>
        <v>O_GERA_PROCESS_CB</v>
      </c>
      <c r="G11295" s="2" t="str">
        <f>"MVSaude / Faturamento / Processar Lote de Cobrança (O_GERA_PROCESS_CB)"</f>
        <v>MVSaude / Faturamento / Processar Lote de Cobrança (O_GERA_PROCESS_CB)</v>
      </c>
    </row>
    <row r="11296" spans="1:7" x14ac:dyDescent="0.3">
      <c r="A11296" s="1" t="s">
        <v>4</v>
      </c>
      <c r="B11296" s="2" t="str">
        <f t="shared" si="979"/>
        <v>SISTEMA DE GERENCIAMENTO PLANO DE SAÚDE</v>
      </c>
      <c r="C11296" s="2" t="str">
        <f>""</f>
        <v/>
      </c>
      <c r="D11296" s="2" t="str">
        <f t="shared" si="980"/>
        <v>SGPS</v>
      </c>
      <c r="E11296" s="2" t="str">
        <f>"PROCESSAMENTO DE COBRANÇA BANCÁRIA"</f>
        <v>PROCESSAMENTO DE COBRANÇA BANCÁRIA</v>
      </c>
      <c r="F11296" s="2" t="str">
        <f>"M_PROCESS_CB"</f>
        <v>M_PROCESS_CB</v>
      </c>
      <c r="G11296" s="2" t="str">
        <f>"MVSaude / Faturamento / Lotes de Cobrança / Nota Fiscal (M_PROCESS_CB)"</f>
        <v>MVSaude / Faturamento / Lotes de Cobrança / Nota Fiscal (M_PROCESS_CB)</v>
      </c>
    </row>
    <row r="11297" spans="1:7" x14ac:dyDescent="0.3">
      <c r="A11297" s="1" t="s">
        <v>4</v>
      </c>
      <c r="B11297" s="2" t="str">
        <f t="shared" si="979"/>
        <v>SISTEMA DE GERENCIAMENTO PLANO DE SAÚDE</v>
      </c>
      <c r="C11297" s="2" t="str">
        <f>""</f>
        <v/>
      </c>
      <c r="D11297" s="2" t="str">
        <f t="shared" si="980"/>
        <v>SGPS</v>
      </c>
      <c r="E11297" s="2" t="str">
        <f>"CADASTRAR GRUPOS DE INDICADORES"</f>
        <v>CADASTRAR GRUPOS DE INDICADORES</v>
      </c>
      <c r="F11297" s="2" t="str">
        <f>"CAD_GRUPOS_INDIC"</f>
        <v>CAD_GRUPOS_INDIC</v>
      </c>
      <c r="G11297" s="2" t="str">
        <f>" ()"</f>
        <v xml:space="preserve"> ()</v>
      </c>
    </row>
    <row r="11298" spans="1:7" x14ac:dyDescent="0.3">
      <c r="A11298" s="1" t="s">
        <v>4</v>
      </c>
      <c r="B11298" s="2" t="str">
        <f t="shared" si="979"/>
        <v>SISTEMA DE GERENCIAMENTO PLANO DE SAÚDE</v>
      </c>
      <c r="C11298" s="2" t="str">
        <f>""</f>
        <v/>
      </c>
      <c r="D11298" s="2" t="str">
        <f t="shared" si="980"/>
        <v>SGPS</v>
      </c>
      <c r="E11298" s="2" t="str">
        <f>"CADASTRAR GRUPOS DE INDICADORES"</f>
        <v>CADASTRAR GRUPOS DE INDICADORES</v>
      </c>
      <c r="F11298" s="2" t="str">
        <f>"C_GRUPO_IND"</f>
        <v>C_GRUPO_IND</v>
      </c>
      <c r="G11298" s="2" t="str">
        <f>" ()"</f>
        <v xml:space="preserve"> ()</v>
      </c>
    </row>
    <row r="11299" spans="1:7" x14ac:dyDescent="0.3">
      <c r="A11299" s="1" t="s">
        <v>4</v>
      </c>
      <c r="B11299" s="2" t="str">
        <f t="shared" si="979"/>
        <v>SISTEMA DE GERENCIAMENTO PLANO DE SAÚDE</v>
      </c>
      <c r="C11299" s="2" t="str">
        <f>""</f>
        <v/>
      </c>
      <c r="D11299" s="2" t="str">
        <f t="shared" si="980"/>
        <v>SGPS</v>
      </c>
      <c r="E11299" s="2" t="str">
        <f>"CADASTRO DE VENDEDORE X EMPRESA"</f>
        <v>CADASTRO DE VENDEDORE X EMPRESA</v>
      </c>
      <c r="F11299" s="2" t="str">
        <f>"M_EMP_UNI_VEND"</f>
        <v>M_EMP_UNI_VEND</v>
      </c>
      <c r="G11299" s="2" t="str">
        <f>"MVSaude / Vendas / Empresas por Unidades por Vendedores (M_EMP_UNI_VEND)"</f>
        <v>MVSaude / Vendas / Empresas por Unidades por Vendedores (M_EMP_UNI_VEND)</v>
      </c>
    </row>
    <row r="11300" spans="1:7" x14ac:dyDescent="0.3">
      <c r="A11300" s="1" t="s">
        <v>4</v>
      </c>
      <c r="B11300" s="2" t="str">
        <f t="shared" si="979"/>
        <v>SISTEMA DE GERENCIAMENTO PLANO DE SAÚDE</v>
      </c>
      <c r="C11300" s="2" t="str">
        <f>""</f>
        <v/>
      </c>
      <c r="D11300" s="2" t="str">
        <f t="shared" si="980"/>
        <v>SGPS</v>
      </c>
      <c r="E11300" s="2" t="str">
        <f>"MENSAGEM NOVA"</f>
        <v>MENSAGEM NOVA</v>
      </c>
      <c r="F11300" s="2" t="str">
        <f>"NOVA_MENSAGEM"</f>
        <v>NOVA_MENSAGEM</v>
      </c>
      <c r="G11300" s="2" t="str">
        <f>" ()"</f>
        <v xml:space="preserve"> ()</v>
      </c>
    </row>
    <row r="11301" spans="1:7" x14ac:dyDescent="0.3">
      <c r="A11301" s="1" t="s">
        <v>4</v>
      </c>
      <c r="B11301" s="2" t="str">
        <f t="shared" si="979"/>
        <v>SISTEMA DE GERENCIAMENTO PLANO DE SAÚDE</v>
      </c>
      <c r="C11301" s="2" t="str">
        <f>""</f>
        <v/>
      </c>
      <c r="D11301" s="2" t="str">
        <f t="shared" si="980"/>
        <v>SGPS</v>
      </c>
      <c r="E11301" s="2" t="str">
        <f>"RELATÓRIO DE VALORES A RECEBER"</f>
        <v>RELATÓRIO DE VALORES A RECEBER</v>
      </c>
      <c r="F11301" s="2" t="str">
        <f>"R_VALAREC"</f>
        <v>R_VALAREC</v>
      </c>
      <c r="G11301" s="2" t="str">
        <f>"MVSaude / Relatórios / Gerenciais / Faturamento / Receitas por Competencia (R_VALAREC)"</f>
        <v>MVSaude / Relatórios / Gerenciais / Faturamento / Receitas por Competencia (R_VALAREC)</v>
      </c>
    </row>
    <row r="11302" spans="1:7" x14ac:dyDescent="0.3">
      <c r="A11302" s="1" t="s">
        <v>4</v>
      </c>
      <c r="B11302" s="2" t="str">
        <f t="shared" si="979"/>
        <v>SISTEMA DE GERENCIAMENTO PLANO DE SAÚDE</v>
      </c>
      <c r="C11302" s="2" t="str">
        <f>""</f>
        <v/>
      </c>
      <c r="D11302" s="2" t="str">
        <f t="shared" si="980"/>
        <v>SGPS</v>
      </c>
      <c r="E11302" s="2" t="str">
        <f>"R_CATSET"</f>
        <v>R_CATSET</v>
      </c>
      <c r="F11302" s="2" t="str">
        <f>"R_CATSET"</f>
        <v>R_CATSET</v>
      </c>
      <c r="G11302" s="2" t="str">
        <f>" ()"</f>
        <v xml:space="preserve"> ()</v>
      </c>
    </row>
    <row r="11303" spans="1:7" x14ac:dyDescent="0.3">
      <c r="A11303" s="1" t="s">
        <v>4</v>
      </c>
      <c r="B11303" s="2" t="str">
        <f t="shared" si="979"/>
        <v>SISTEMA DE GERENCIAMENTO PLANO DE SAÚDE</v>
      </c>
      <c r="C11303" s="2" t="str">
        <f>""</f>
        <v/>
      </c>
      <c r="D11303" s="2" t="str">
        <f t="shared" si="980"/>
        <v>SGPS</v>
      </c>
      <c r="E11303" s="2" t="str">
        <f>"R_INTERNA_PLANO_VIVER"</f>
        <v>R_INTERNA_PLANO_VIVER</v>
      </c>
      <c r="F11303" s="2" t="str">
        <f>"R_INTERNA_PLANO_VIVER"</f>
        <v>R_INTERNA_PLANO_VIVER</v>
      </c>
      <c r="G11303" s="2" t="str">
        <f>" ()"</f>
        <v xml:space="preserve"> ()</v>
      </c>
    </row>
    <row r="11304" spans="1:7" x14ac:dyDescent="0.3">
      <c r="A11304" s="1" t="s">
        <v>4</v>
      </c>
      <c r="B11304" s="2" t="str">
        <f t="shared" si="979"/>
        <v>SISTEMA DE GERENCIAMENTO PLANO DE SAÚDE</v>
      </c>
      <c r="C11304" s="2" t="str">
        <f>""</f>
        <v/>
      </c>
      <c r="D11304" s="2" t="str">
        <f t="shared" si="980"/>
        <v>SGPS</v>
      </c>
      <c r="E11304" s="2" t="str">
        <f>"R_EXTRATO_EMPRESA"</f>
        <v>R_EXTRATO_EMPRESA</v>
      </c>
      <c r="F11304" s="2" t="str">
        <f>"R_EXTRATO_EMPRESA"</f>
        <v>R_EXTRATO_EMPRESA</v>
      </c>
      <c r="G11304" s="2" t="str">
        <f>" ()"</f>
        <v xml:space="preserve"> ()</v>
      </c>
    </row>
    <row r="11305" spans="1:7" x14ac:dyDescent="0.3">
      <c r="A11305" s="1" t="s">
        <v>4</v>
      </c>
      <c r="B11305" s="2" t="str">
        <f t="shared" si="979"/>
        <v>SISTEMA DE GERENCIAMENTO PLANO DE SAÚDE</v>
      </c>
      <c r="C11305" s="2" t="str">
        <f>""</f>
        <v/>
      </c>
      <c r="D11305" s="2" t="str">
        <f t="shared" si="980"/>
        <v>SGPS</v>
      </c>
      <c r="E11305" s="2" t="str">
        <f>"CONTROLE DE INTERNAÇÕES POR USUARIO"</f>
        <v>CONTROLE DE INTERNAÇÕES POR USUARIO</v>
      </c>
      <c r="F11305" s="2" t="str">
        <f>"R_INTERNA_USUARIO_VIVER"</f>
        <v>R_INTERNA_USUARIO_VIVER</v>
      </c>
      <c r="G11305" s="2" t="str">
        <f>" ()"</f>
        <v xml:space="preserve"> ()</v>
      </c>
    </row>
    <row r="11306" spans="1:7" x14ac:dyDescent="0.3">
      <c r="A11306" s="1" t="s">
        <v>4</v>
      </c>
      <c r="B11306" s="2" t="str">
        <f t="shared" si="979"/>
        <v>SISTEMA DE GERENCIAMENTO PLANO DE SAÚDE</v>
      </c>
      <c r="C11306" s="2" t="str">
        <f>""</f>
        <v/>
      </c>
      <c r="D11306" s="2" t="str">
        <f t="shared" si="980"/>
        <v>SGPS</v>
      </c>
      <c r="E11306" s="2" t="str">
        <f>"CADASTRO DE GRUPOS DE EMPRESA"</f>
        <v>CADASTRO DE GRUPOS DE EMPRESA</v>
      </c>
      <c r="F11306" s="2" t="str">
        <f>"M_GRUPO_EMPRESA"</f>
        <v>M_GRUPO_EMPRESA</v>
      </c>
      <c r="G11306" s="2" t="str">
        <f>"MVSaude / Cadastros / Grupo de Empresas (M_GRUPO_EMPRESA)"</f>
        <v>MVSaude / Cadastros / Grupo de Empresas (M_GRUPO_EMPRESA)</v>
      </c>
    </row>
    <row r="11307" spans="1:7" x14ac:dyDescent="0.3">
      <c r="A11307" s="1" t="s">
        <v>4</v>
      </c>
      <c r="B11307" s="2" t="str">
        <f t="shared" si="979"/>
        <v>SISTEMA DE GERENCIAMENTO PLANO DE SAÚDE</v>
      </c>
      <c r="C11307" s="2" t="str">
        <f>""</f>
        <v/>
      </c>
      <c r="D11307" s="2" t="str">
        <f t="shared" si="980"/>
        <v>SGPS</v>
      </c>
      <c r="E11307" s="2" t="str">
        <f>"R_PRODUCAO_PRESTADOR_ESP"</f>
        <v>R_PRODUCAO_PRESTADOR_ESP</v>
      </c>
      <c r="F11307" s="2" t="str">
        <f>"R_PRODUCAO_PRESTADOR_ESP"</f>
        <v>R_PRODUCAO_PRESTADOR_ESP</v>
      </c>
      <c r="G11307" s="2" t="str">
        <f>" ()"</f>
        <v xml:space="preserve"> ()</v>
      </c>
    </row>
    <row r="11308" spans="1:7" x14ac:dyDescent="0.3">
      <c r="A11308" s="1" t="s">
        <v>4</v>
      </c>
      <c r="B11308" s="2" t="str">
        <f t="shared" si="979"/>
        <v>SISTEMA DE GERENCIAMENTO PLANO DE SAÚDE</v>
      </c>
      <c r="C11308" s="2" t="str">
        <f>""</f>
        <v/>
      </c>
      <c r="D11308" s="2" t="str">
        <f t="shared" si="980"/>
        <v>SGPS</v>
      </c>
      <c r="E11308" s="2" t="str">
        <f>"RELATORIO DOS MOTIVOS DAS GLOSAS"</f>
        <v>RELATORIO DOS MOTIVOS DAS GLOSAS</v>
      </c>
      <c r="F11308" s="2" t="str">
        <f>"R_MOTGLO"</f>
        <v>R_MOTGLO</v>
      </c>
      <c r="G11308" s="2" t="str">
        <f>"MVSaude / Relatórios / Tabelas / Faturamento / Motivos de Glosa (R_MOTGLO)"</f>
        <v>MVSaude / Relatórios / Tabelas / Faturamento / Motivos de Glosa (R_MOTGLO)</v>
      </c>
    </row>
    <row r="11309" spans="1:7" x14ac:dyDescent="0.3">
      <c r="A11309" s="1" t="s">
        <v>4</v>
      </c>
      <c r="B11309" s="2" t="str">
        <f t="shared" ref="B11309:B11372" si="981">"SISTEMA DE GERENCIAMENTO PLANO DE SAÚDE"</f>
        <v>SISTEMA DE GERENCIAMENTO PLANO DE SAÚDE</v>
      </c>
      <c r="C11309" s="2" t="str">
        <f>""</f>
        <v/>
      </c>
      <c r="D11309" s="2" t="str">
        <f t="shared" ref="D11309:D11372" si="982">"SGPS"</f>
        <v>SGPS</v>
      </c>
      <c r="E11309" s="2" t="str">
        <f>"TURNO DE ATENDIMENTO"</f>
        <v>TURNO DE ATENDIMENTO</v>
      </c>
      <c r="F11309" s="2" t="str">
        <f>"M_TURNO"</f>
        <v>M_TURNO</v>
      </c>
      <c r="G11309" s="2" t="str">
        <f>" ()"</f>
        <v xml:space="preserve"> ()</v>
      </c>
    </row>
    <row r="11310" spans="1:7" x14ac:dyDescent="0.3">
      <c r="A11310" s="1" t="s">
        <v>4</v>
      </c>
      <c r="B11310" s="2" t="str">
        <f t="shared" si="981"/>
        <v>SISTEMA DE GERENCIAMENTO PLANO DE SAÚDE</v>
      </c>
      <c r="C11310" s="2" t="str">
        <f>""</f>
        <v/>
      </c>
      <c r="D11310" s="2" t="str">
        <f t="shared" si="982"/>
        <v>SGPS</v>
      </c>
      <c r="E11310" s="2" t="str">
        <f>"M PRESTADOR LIMITE: WINDOW 0"</f>
        <v>M PRESTADOR LIMITE: WINDOW 0</v>
      </c>
      <c r="F11310" s="2" t="str">
        <f>"M_PRESTADOR_LIMITE"</f>
        <v>M_PRESTADOR_LIMITE</v>
      </c>
      <c r="G11310" s="2" t="str">
        <f>" ()"</f>
        <v xml:space="preserve"> ()</v>
      </c>
    </row>
    <row r="11311" spans="1:7" x14ac:dyDescent="0.3">
      <c r="A11311" s="1" t="s">
        <v>4</v>
      </c>
      <c r="B11311" s="2" t="str">
        <f t="shared" si="981"/>
        <v>SISTEMA DE GERENCIAMENTO PLANO DE SAÚDE</v>
      </c>
      <c r="C11311" s="2" t="str">
        <f>""</f>
        <v/>
      </c>
      <c r="D11311" s="2" t="str">
        <f t="shared" si="982"/>
        <v>SGPS</v>
      </c>
      <c r="E11311" s="2" t="str">
        <f>"CADASTRO DE PROCEDIMENTOS"</f>
        <v>CADASTRO DE PROCEDIMENTOS</v>
      </c>
      <c r="F11311" s="2" t="str">
        <f>"M_PROCED_SCCV"</f>
        <v>M_PROCED_SCCV</v>
      </c>
      <c r="G11311" s="2" t="str">
        <f>" ()"</f>
        <v xml:space="preserve"> ()</v>
      </c>
    </row>
    <row r="11312" spans="1:7" x14ac:dyDescent="0.3">
      <c r="A11312" s="1" t="s">
        <v>4</v>
      </c>
      <c r="B11312" s="2" t="str">
        <f t="shared" si="981"/>
        <v>SISTEMA DE GERENCIAMENTO PLANO DE SAÚDE</v>
      </c>
      <c r="C11312" s="2" t="str">
        <f>""</f>
        <v/>
      </c>
      <c r="D11312" s="2" t="str">
        <f t="shared" si="982"/>
        <v>SGPS</v>
      </c>
      <c r="E11312" s="2" t="str">
        <f>"M_PROMOCAO_PLANO_FAIXA"</f>
        <v>M_PROMOCAO_PLANO_FAIXA</v>
      </c>
      <c r="F11312" s="2" t="str">
        <f>"M_PROMOCAO_PLANO_FAIXA"</f>
        <v>M_PROMOCAO_PLANO_FAIXA</v>
      </c>
      <c r="G11312" s="2" t="str">
        <f>" ()"</f>
        <v xml:space="preserve"> ()</v>
      </c>
    </row>
    <row r="11313" spans="1:7" x14ac:dyDescent="0.3">
      <c r="A11313" s="1" t="s">
        <v>4</v>
      </c>
      <c r="B11313" s="2" t="str">
        <f t="shared" si="981"/>
        <v>SISTEMA DE GERENCIAMENTO PLANO DE SAÚDE</v>
      </c>
      <c r="C11313" s="2" t="str">
        <f>""</f>
        <v/>
      </c>
      <c r="D11313" s="2" t="str">
        <f t="shared" si="982"/>
        <v>SGPS</v>
      </c>
      <c r="E11313" s="2" t="str">
        <f>"WIN_PRINCIPAL - 01-HOSPITAL MV SISTEMAS"</f>
        <v>WIN_PRINCIPAL - 01-HOSPITAL MV SISTEMAS</v>
      </c>
      <c r="F11313" s="2" t="str">
        <f>"M_VALORES_TABELA_USU"</f>
        <v>M_VALORES_TABELA_USU</v>
      </c>
      <c r="G11313" s="2" t="str">
        <f>" ()"</f>
        <v xml:space="preserve"> ()</v>
      </c>
    </row>
    <row r="11314" spans="1:7" x14ac:dyDescent="0.3">
      <c r="A11314" s="1" t="s">
        <v>4</v>
      </c>
      <c r="B11314" s="2" t="str">
        <f t="shared" si="981"/>
        <v>SISTEMA DE GERENCIAMENTO PLANO DE SAÚDE</v>
      </c>
      <c r="C11314" s="2" t="str">
        <f>""</f>
        <v/>
      </c>
      <c r="D11314" s="2" t="str">
        <f t="shared" si="982"/>
        <v>SGPS</v>
      </c>
      <c r="E11314" s="2" t="str">
        <f>"CONTRATOS"</f>
        <v>CONTRATOS</v>
      </c>
      <c r="F11314" s="2" t="str">
        <f>"M_CONTRATO"</f>
        <v>M_CONTRATO</v>
      </c>
      <c r="G11314" s="2" t="str">
        <f>"MVSaude / Cadastros / Contratos (M_CONTRATO)"</f>
        <v>MVSaude / Cadastros / Contratos (M_CONTRATO)</v>
      </c>
    </row>
    <row r="11315" spans="1:7" x14ac:dyDescent="0.3">
      <c r="A11315" s="1" t="s">
        <v>4</v>
      </c>
      <c r="B11315" s="2" t="str">
        <f t="shared" si="981"/>
        <v>SISTEMA DE GERENCIAMENTO PLANO DE SAÚDE</v>
      </c>
      <c r="C11315" s="2" t="str">
        <f>""</f>
        <v/>
      </c>
      <c r="D11315" s="2" t="str">
        <f t="shared" si="982"/>
        <v>SGPS</v>
      </c>
      <c r="E11315" s="2" t="str">
        <f>"GERAÇÃO DE COTAS"</f>
        <v>GERAÇÃO DE COTAS</v>
      </c>
      <c r="F11315" s="2" t="str">
        <f>"M_GERA_COTA"</f>
        <v>M_GERA_COTA</v>
      </c>
      <c r="G11315" s="2" t="str">
        <f>" ()"</f>
        <v xml:space="preserve"> ()</v>
      </c>
    </row>
    <row r="11316" spans="1:7" x14ac:dyDescent="0.3">
      <c r="A11316" s="1" t="s">
        <v>4</v>
      </c>
      <c r="B11316" s="2" t="str">
        <f t="shared" si="981"/>
        <v>SISTEMA DE GERENCIAMENTO PLANO DE SAÚDE</v>
      </c>
      <c r="C11316" s="2" t="str">
        <f>""</f>
        <v/>
      </c>
      <c r="D11316" s="2" t="str">
        <f t="shared" si="982"/>
        <v>SGPS</v>
      </c>
      <c r="E11316" s="2" t="str">
        <f>"VALORES DE CH POR PRESTADORES"</f>
        <v>VALORES DE CH POR PRESTADORES</v>
      </c>
      <c r="F11316" s="2" t="str">
        <f>"M_PREST_VL_CH"</f>
        <v>M_PREST_VL_CH</v>
      </c>
      <c r="G11316" s="2" t="str">
        <f>"MVSaude / Contas Médicas / Valoração dos Procedimentos / Índices por Prestador (M_PREST_VL_CH)"</f>
        <v>MVSaude / Contas Médicas / Valoração dos Procedimentos / Índices por Prestador (M_PREST_VL_CH)</v>
      </c>
    </row>
    <row r="11317" spans="1:7" x14ac:dyDescent="0.3">
      <c r="A11317" s="1" t="s">
        <v>4</v>
      </c>
      <c r="B11317" s="2" t="str">
        <f t="shared" si="981"/>
        <v>SISTEMA DE GERENCIAMENTO PLANO DE SAÚDE</v>
      </c>
      <c r="C11317" s="2" t="str">
        <f>""</f>
        <v/>
      </c>
      <c r="D11317" s="2" t="str">
        <f t="shared" si="982"/>
        <v>SGPS</v>
      </c>
      <c r="E11317" s="2" t="str">
        <f>"CADASTRAR INDICADORES"</f>
        <v>CADASTRAR INDICADORES</v>
      </c>
      <c r="F11317" s="2" t="str">
        <f>"M_IVM_DES2000"</f>
        <v>M_IVM_DES2000</v>
      </c>
      <c r="G11317" s="2" t="str">
        <f t="shared" ref="G11317:G11322" si="983">" ()"</f>
        <v xml:space="preserve"> ()</v>
      </c>
    </row>
    <row r="11318" spans="1:7" x14ac:dyDescent="0.3">
      <c r="A11318" s="1" t="s">
        <v>4</v>
      </c>
      <c r="B11318" s="2" t="str">
        <f t="shared" si="981"/>
        <v>SISTEMA DE GERENCIAMENTO PLANO DE SAÚDE</v>
      </c>
      <c r="C11318" s="2" t="str">
        <f>""</f>
        <v/>
      </c>
      <c r="D11318" s="2" t="str">
        <f t="shared" si="982"/>
        <v>SGPS</v>
      </c>
      <c r="E11318" s="2" t="str">
        <f>"ALTERACAO DE VENCIMENTO"</f>
        <v>ALTERACAO DE VENCIMENTO</v>
      </c>
      <c r="F11318" s="2" t="str">
        <f>"M_ALT_DIA_VECTO"</f>
        <v>M_ALT_DIA_VECTO</v>
      </c>
      <c r="G11318" s="2" t="str">
        <f t="shared" si="983"/>
        <v xml:space="preserve"> ()</v>
      </c>
    </row>
    <row r="11319" spans="1:7" x14ac:dyDescent="0.3">
      <c r="A11319" s="1" t="s">
        <v>4</v>
      </c>
      <c r="B11319" s="2" t="str">
        <f t="shared" si="981"/>
        <v>SISTEMA DE GERENCIAMENTO PLANO DE SAÚDE</v>
      </c>
      <c r="C11319" s="2" t="str">
        <f>""</f>
        <v/>
      </c>
      <c r="D11319" s="2" t="str">
        <f t="shared" si="982"/>
        <v>SGPS</v>
      </c>
      <c r="E11319" s="2" t="str">
        <f>"CONTA HOSPITALAR APRESENTADA SEPARADA"</f>
        <v>CONTA HOSPITALAR APRESENTADA SEPARADA</v>
      </c>
      <c r="F11319" s="2" t="str">
        <f>"M_CONHOS_APRESENTADA_SEPARADO"</f>
        <v>M_CONHOS_APRESENTADA_SEPARADO</v>
      </c>
      <c r="G11319" s="2" t="str">
        <f t="shared" si="983"/>
        <v xml:space="preserve"> ()</v>
      </c>
    </row>
    <row r="11320" spans="1:7" x14ac:dyDescent="0.3">
      <c r="A11320" s="1" t="s">
        <v>4</v>
      </c>
      <c r="B11320" s="2" t="str">
        <f t="shared" si="981"/>
        <v>SISTEMA DE GERENCIAMENTO PLANO DE SAÚDE</v>
      </c>
      <c r="C11320" s="2" t="str">
        <f>""</f>
        <v/>
      </c>
      <c r="D11320" s="2" t="str">
        <f t="shared" si="982"/>
        <v>SGPS</v>
      </c>
      <c r="E11320" s="2" t="str">
        <f>"MENSALIDADES POR USO"</f>
        <v>MENSALIDADES POR USO</v>
      </c>
      <c r="F11320" s="2" t="str">
        <f>"R_MENSALIDADE_USU"</f>
        <v>R_MENSALIDADE_USU</v>
      </c>
      <c r="G11320" s="2" t="str">
        <f t="shared" si="983"/>
        <v xml:space="preserve"> ()</v>
      </c>
    </row>
    <row r="11321" spans="1:7" x14ac:dyDescent="0.3">
      <c r="A11321" s="1" t="s">
        <v>4</v>
      </c>
      <c r="B11321" s="2" t="str">
        <f t="shared" si="981"/>
        <v>SISTEMA DE GERENCIAMENTO PLANO DE SAÚDE</v>
      </c>
      <c r="C11321" s="2" t="str">
        <f>""</f>
        <v/>
      </c>
      <c r="D11321" s="2" t="str">
        <f t="shared" si="982"/>
        <v>SGPS</v>
      </c>
      <c r="E11321" s="2" t="str">
        <f>"CADASTRO: TIPOS DE SOLCITAÇÃO"</f>
        <v>CADASTRO: TIPOS DE SOLCITAÇÃO</v>
      </c>
      <c r="F11321" s="2" t="str">
        <f>"M_MOTIVO_OCORR"</f>
        <v>M_MOTIVO_OCORR</v>
      </c>
      <c r="G11321" s="2" t="str">
        <f t="shared" si="983"/>
        <v xml:space="preserve"> ()</v>
      </c>
    </row>
    <row r="11322" spans="1:7" x14ac:dyDescent="0.3">
      <c r="A11322" s="1" t="s">
        <v>4</v>
      </c>
      <c r="B11322" s="2" t="str">
        <f t="shared" si="981"/>
        <v>SISTEMA DE GERENCIAMENTO PLANO DE SAÚDE</v>
      </c>
      <c r="C11322" s="2" t="str">
        <f>""</f>
        <v/>
      </c>
      <c r="D11322" s="2" t="str">
        <f t="shared" si="982"/>
        <v>SGPS</v>
      </c>
      <c r="E11322" s="2" t="str">
        <f>"ESTIMATIVA DE FATURAMENTO"</f>
        <v>ESTIMATIVA DE FATURAMENTO</v>
      </c>
      <c r="F11322" s="2" t="str">
        <f>"C_ESTIMATIVA_CONTRATO_752"</f>
        <v>C_ESTIMATIVA_CONTRATO_752</v>
      </c>
      <c r="G11322" s="2" t="str">
        <f t="shared" si="983"/>
        <v xml:space="preserve"> ()</v>
      </c>
    </row>
    <row r="11323" spans="1:7" x14ac:dyDescent="0.3">
      <c r="A11323" s="1" t="s">
        <v>4</v>
      </c>
      <c r="B11323" s="2" t="str">
        <f t="shared" si="981"/>
        <v>SISTEMA DE GERENCIAMENTO PLANO DE SAÚDE</v>
      </c>
      <c r="C11323" s="2" t="str">
        <f>""</f>
        <v/>
      </c>
      <c r="D11323" s="2" t="str">
        <f t="shared" si="982"/>
        <v>SGPS</v>
      </c>
      <c r="E11323" s="2" t="str">
        <f>"CADASTRO: TIPOS DE PLANO"</f>
        <v>CADASTRO: TIPOS DE PLANO</v>
      </c>
      <c r="F11323" s="2" t="str">
        <f>"M_TIP_PLA"</f>
        <v>M_TIP_PLA</v>
      </c>
      <c r="G11323" s="2" t="str">
        <f>"MVSaude / Cadastros / Tipos de Plano (M_TIP_PLA)"</f>
        <v>MVSaude / Cadastros / Tipos de Plano (M_TIP_PLA)</v>
      </c>
    </row>
    <row r="11324" spans="1:7" x14ac:dyDescent="0.3">
      <c r="A11324" s="1" t="s">
        <v>4</v>
      </c>
      <c r="B11324" s="2" t="str">
        <f t="shared" si="981"/>
        <v>SISTEMA DE GERENCIAMENTO PLANO DE SAÚDE</v>
      </c>
      <c r="C11324" s="2" t="str">
        <f>""</f>
        <v/>
      </c>
      <c r="D11324" s="2" t="str">
        <f t="shared" si="982"/>
        <v>SGPS</v>
      </c>
      <c r="E11324" s="2" t="str">
        <f>"REAJUSTE AUTOMÁTICO"</f>
        <v>REAJUSTE AUTOMÁTICO</v>
      </c>
      <c r="F11324" s="2" t="str">
        <f>"M_REAJ_AUTOM"</f>
        <v>M_REAJ_AUTOM</v>
      </c>
      <c r="G11324" s="2" t="str">
        <f>"MVSaude / Faturamento / Reajuste Automático (M_REAJ_AUTOM)"</f>
        <v>MVSaude / Faturamento / Reajuste Automático (M_REAJ_AUTOM)</v>
      </c>
    </row>
    <row r="11325" spans="1:7" x14ac:dyDescent="0.3">
      <c r="A11325" s="1" t="s">
        <v>4</v>
      </c>
      <c r="B11325" s="2" t="str">
        <f t="shared" si="981"/>
        <v>SISTEMA DE GERENCIAMENTO PLANO DE SAÚDE</v>
      </c>
      <c r="C11325" s="2" t="str">
        <f>""</f>
        <v/>
      </c>
      <c r="D11325" s="2" t="str">
        <f t="shared" si="982"/>
        <v>SGPS</v>
      </c>
      <c r="E11325" s="2" t="str">
        <f>"C_ESTIMATIVA_CONTRATO"</f>
        <v>C_ESTIMATIVA_CONTRATO</v>
      </c>
      <c r="F11325" s="2" t="str">
        <f>"C_ESTIMATIVA_CONTRATO"</f>
        <v>C_ESTIMATIVA_CONTRATO</v>
      </c>
      <c r="G11325" s="2" t="str">
        <f t="shared" ref="G11325:G11331" si="984">" ()"</f>
        <v xml:space="preserve"> ()</v>
      </c>
    </row>
    <row r="11326" spans="1:7" x14ac:dyDescent="0.3">
      <c r="A11326" s="1" t="s">
        <v>4</v>
      </c>
      <c r="B11326" s="2" t="str">
        <f t="shared" si="981"/>
        <v>SISTEMA DE GERENCIAMENTO PLANO DE SAÚDE</v>
      </c>
      <c r="C11326" s="2" t="str">
        <f>""</f>
        <v/>
      </c>
      <c r="D11326" s="2" t="str">
        <f t="shared" si="982"/>
        <v>SGPS</v>
      </c>
      <c r="E11326" s="2" t="str">
        <f>"ESTATÍSTICA DIÁRIA ( CONTRATOS / VIDAS )"</f>
        <v>ESTATÍSTICA DIÁRIA ( CONTRATOS / VIDAS )</v>
      </c>
      <c r="F11326" s="2" t="str">
        <f>"C_ESTAT_IDADE_GERAL_752"</f>
        <v>C_ESTAT_IDADE_GERAL_752</v>
      </c>
      <c r="G11326" s="2" t="str">
        <f t="shared" si="984"/>
        <v xml:space="preserve"> ()</v>
      </c>
    </row>
    <row r="11327" spans="1:7" x14ac:dyDescent="0.3">
      <c r="A11327" s="1" t="s">
        <v>4</v>
      </c>
      <c r="B11327" s="2" t="str">
        <f t="shared" si="981"/>
        <v>SISTEMA DE GERENCIAMENTO PLANO DE SAÚDE</v>
      </c>
      <c r="C11327" s="2" t="str">
        <f>""</f>
        <v/>
      </c>
      <c r="D11327" s="2" t="str">
        <f t="shared" si="982"/>
        <v>SGPS</v>
      </c>
      <c r="E11327" s="2" t="str">
        <f>"PESQUISA - CONTRATO FAMILIAR"</f>
        <v>PESQUISA - CONTRATO FAMILIAR</v>
      </c>
      <c r="F11327" s="2" t="str">
        <f>"C_CONT_FAMILIAR"</f>
        <v>C_CONT_FAMILIAR</v>
      </c>
      <c r="G11327" s="2" t="str">
        <f t="shared" si="984"/>
        <v xml:space="preserve"> ()</v>
      </c>
    </row>
    <row r="11328" spans="1:7" x14ac:dyDescent="0.3">
      <c r="A11328" s="1" t="s">
        <v>4</v>
      </c>
      <c r="B11328" s="2" t="str">
        <f t="shared" si="981"/>
        <v>SISTEMA DE GERENCIAMENTO PLANO DE SAÚDE</v>
      </c>
      <c r="C11328" s="2" t="str">
        <f>""</f>
        <v/>
      </c>
      <c r="D11328" s="2" t="str">
        <f t="shared" si="982"/>
        <v>SGPS</v>
      </c>
      <c r="E11328" s="2" t="str">
        <f>"PESQUISA - ASSOCIADO FAMILIAR"</f>
        <v>PESQUISA - ASSOCIADO FAMILIAR</v>
      </c>
      <c r="F11328" s="2" t="str">
        <f>"M_CONS_USUARIO_SOROCABA"</f>
        <v>M_CONS_USUARIO_SOROCABA</v>
      </c>
      <c r="G11328" s="2" t="str">
        <f t="shared" si="984"/>
        <v xml:space="preserve"> ()</v>
      </c>
    </row>
    <row r="11329" spans="1:7" x14ac:dyDescent="0.3">
      <c r="A11329" s="1" t="s">
        <v>4</v>
      </c>
      <c r="B11329" s="2" t="str">
        <f t="shared" si="981"/>
        <v>SISTEMA DE GERENCIAMENTO PLANO DE SAÚDE</v>
      </c>
      <c r="C11329" s="2" t="str">
        <f>""</f>
        <v/>
      </c>
      <c r="D11329" s="2" t="str">
        <f t="shared" si="982"/>
        <v>SGPS</v>
      </c>
      <c r="E11329" s="2" t="str">
        <f>"CADASTRO: MOTIVOS DE GLOSA"</f>
        <v>CADASTRO: MOTIVOS DE GLOSA</v>
      </c>
      <c r="F11329" s="2" t="str">
        <f>"M_UNIDAD"</f>
        <v>M_UNIDAD</v>
      </c>
      <c r="G11329" s="2" t="str">
        <f t="shared" si="984"/>
        <v xml:space="preserve"> ()</v>
      </c>
    </row>
    <row r="11330" spans="1:7" x14ac:dyDescent="0.3">
      <c r="A11330" s="1" t="s">
        <v>4</v>
      </c>
      <c r="B11330" s="2" t="str">
        <f t="shared" si="981"/>
        <v>SISTEMA DE GERENCIAMENTO PLANO DE SAÚDE</v>
      </c>
      <c r="C11330" s="2" t="str">
        <f>""</f>
        <v/>
      </c>
      <c r="D11330" s="2" t="str">
        <f t="shared" si="982"/>
        <v>SGPS</v>
      </c>
      <c r="E11330" s="2" t="str">
        <f>"C_SALDO_SETOR_OLD"</f>
        <v>C_SALDO_SETOR_OLD</v>
      </c>
      <c r="F11330" s="2" t="str">
        <f>"C_SALDO_SETOR_OLD"</f>
        <v>C_SALDO_SETOR_OLD</v>
      </c>
      <c r="G11330" s="2" t="str">
        <f t="shared" si="984"/>
        <v xml:space="preserve"> ()</v>
      </c>
    </row>
    <row r="11331" spans="1:7" x14ac:dyDescent="0.3">
      <c r="A11331" s="1" t="s">
        <v>4</v>
      </c>
      <c r="B11331" s="2" t="str">
        <f t="shared" si="981"/>
        <v>SISTEMA DE GERENCIAMENTO PLANO DE SAÚDE</v>
      </c>
      <c r="C11331" s="2" t="str">
        <f>""</f>
        <v/>
      </c>
      <c r="D11331" s="2" t="str">
        <f t="shared" si="982"/>
        <v>SGPS</v>
      </c>
      <c r="E11331" s="2" t="str">
        <f>"O_CONFEREARQDEVMS"</f>
        <v>O_CONFEREARQDEVMS</v>
      </c>
      <c r="F11331" s="2" t="str">
        <f>"O_CONFEREARQDEVMS"</f>
        <v>O_CONFEREARQDEVMS</v>
      </c>
      <c r="G11331" s="2" t="str">
        <f t="shared" si="984"/>
        <v xml:space="preserve"> ()</v>
      </c>
    </row>
    <row r="11332" spans="1:7" x14ac:dyDescent="0.3">
      <c r="A11332" s="1" t="s">
        <v>4</v>
      </c>
      <c r="B11332" s="2" t="str">
        <f t="shared" si="981"/>
        <v>SISTEMA DE GERENCIAMENTO PLANO DE SAÚDE</v>
      </c>
      <c r="C11332" s="2" t="str">
        <f>""</f>
        <v/>
      </c>
      <c r="D11332" s="2" t="str">
        <f t="shared" si="982"/>
        <v>SGPS</v>
      </c>
      <c r="E11332" s="2" t="str">
        <f>"CADASTRO DE CARTAS PARA MALA DIRETA"</f>
        <v>CADASTRO DE CARTAS PARA MALA DIRETA</v>
      </c>
      <c r="F11332" s="2" t="str">
        <f>"M_CARTA"</f>
        <v>M_CARTA</v>
      </c>
      <c r="G11332" s="2" t="str">
        <f>"MVSaude / Cadastros / Desligamento / Reativação / Mala Direta (M_CARTA)"</f>
        <v>MVSaude / Cadastros / Desligamento / Reativação / Mala Direta (M_CARTA)</v>
      </c>
    </row>
    <row r="11333" spans="1:7" x14ac:dyDescent="0.3">
      <c r="A11333" s="1" t="s">
        <v>4</v>
      </c>
      <c r="B11333" s="2" t="str">
        <f t="shared" si="981"/>
        <v>SISTEMA DE GERENCIAMENTO PLANO DE SAÚDE</v>
      </c>
      <c r="C11333" s="2" t="str">
        <f>""</f>
        <v/>
      </c>
      <c r="D11333" s="2" t="str">
        <f t="shared" si="982"/>
        <v>SGPS</v>
      </c>
      <c r="E11333" s="2" t="str">
        <f>"CADASTRO: MOTIVOS DE DESLIGAMENTOS"</f>
        <v>CADASTRO: MOTIVOS DE DESLIGAMENTOS</v>
      </c>
      <c r="F11333" s="2" t="str">
        <f>"M_MOTDES"</f>
        <v>M_MOTDES</v>
      </c>
      <c r="G11333" s="2" t="str">
        <f>"MVSaude / Cadastros / Desligamento / Reativação / Motivos de Desligamento (M_MOTDES)"</f>
        <v>MVSaude / Cadastros / Desligamento / Reativação / Motivos de Desligamento (M_MOTDES)</v>
      </c>
    </row>
    <row r="11334" spans="1:7" x14ac:dyDescent="0.3">
      <c r="A11334" s="1" t="s">
        <v>4</v>
      </c>
      <c r="B11334" s="2" t="str">
        <f t="shared" si="981"/>
        <v>SISTEMA DE GERENCIAMENTO PLANO DE SAÚDE</v>
      </c>
      <c r="C11334" s="2" t="str">
        <f>""</f>
        <v/>
      </c>
      <c r="D11334" s="2" t="str">
        <f t="shared" si="982"/>
        <v>SGPS</v>
      </c>
      <c r="E11334" s="2" t="str">
        <f>"M_LIB_MANUAL_ATENDIMENTO"</f>
        <v>M_LIB_MANUAL_ATENDIMENTO</v>
      </c>
      <c r="F11334" s="2" t="str">
        <f>"M_LIB_MANUAL_ATENDIMENTO"</f>
        <v>M_LIB_MANUAL_ATENDIMENTO</v>
      </c>
      <c r="G11334" s="2" t="str">
        <f t="shared" ref="G11334:G11341" si="985">" ()"</f>
        <v xml:space="preserve"> ()</v>
      </c>
    </row>
    <row r="11335" spans="1:7" x14ac:dyDescent="0.3">
      <c r="A11335" s="1" t="s">
        <v>4</v>
      </c>
      <c r="B11335" s="2" t="str">
        <f t="shared" si="981"/>
        <v>SISTEMA DE GERENCIAMENTO PLANO DE SAÚDE</v>
      </c>
      <c r="C11335" s="2" t="str">
        <f>""</f>
        <v/>
      </c>
      <c r="D11335" s="2" t="str">
        <f t="shared" si="982"/>
        <v>SGPS</v>
      </c>
      <c r="E11335" s="2" t="str">
        <f>"SINISTROS : ANÁLISE DE ERROS DA CONTA"</f>
        <v>SINISTROS : ANÁLISE DE ERROS DA CONTA</v>
      </c>
      <c r="F11335" s="2" t="str">
        <f>"M_SIN_ANALISE_ERRO_CONTA"</f>
        <v>M_SIN_ANALISE_ERRO_CONTA</v>
      </c>
      <c r="G11335" s="2" t="str">
        <f t="shared" si="985"/>
        <v xml:space="preserve"> ()</v>
      </c>
    </row>
    <row r="11336" spans="1:7" x14ac:dyDescent="0.3">
      <c r="A11336" s="1" t="s">
        <v>4</v>
      </c>
      <c r="B11336" s="2" t="str">
        <f t="shared" si="981"/>
        <v>SISTEMA DE GERENCIAMENTO PLANO DE SAÚDE</v>
      </c>
      <c r="C11336" s="2" t="str">
        <f>""</f>
        <v/>
      </c>
      <c r="D11336" s="2" t="str">
        <f t="shared" si="982"/>
        <v>SGPS</v>
      </c>
      <c r="E11336" s="2" t="str">
        <f>"RESUMO DA CONTA"</f>
        <v>RESUMO DA CONTA</v>
      </c>
      <c r="F11336" s="2" t="str">
        <f>"M_RESUMO_CONTA"</f>
        <v>M_RESUMO_CONTA</v>
      </c>
      <c r="G11336" s="2" t="str">
        <f t="shared" si="985"/>
        <v xml:space="preserve"> ()</v>
      </c>
    </row>
    <row r="11337" spans="1:7" x14ac:dyDescent="0.3">
      <c r="A11337" s="1" t="s">
        <v>4</v>
      </c>
      <c r="B11337" s="2" t="str">
        <f t="shared" si="981"/>
        <v>SISTEMA DE GERENCIAMENTO PLANO DE SAÚDE</v>
      </c>
      <c r="C11337" s="2" t="str">
        <f>""</f>
        <v/>
      </c>
      <c r="D11337" s="2" t="str">
        <f t="shared" si="982"/>
        <v>SGPS</v>
      </c>
      <c r="E11337" s="2" t="str">
        <f>"RESUMO DA CONTA PARA DIGITAÇÃO"</f>
        <v>RESUMO DA CONTA PARA DIGITAÇÃO</v>
      </c>
      <c r="F11337" s="2" t="str">
        <f>"DIGITA_CONTA_MEDICA"</f>
        <v>DIGITA_CONTA_MEDICA</v>
      </c>
      <c r="G11337" s="2" t="str">
        <f t="shared" si="985"/>
        <v xml:space="preserve"> ()</v>
      </c>
    </row>
    <row r="11338" spans="1:7" x14ac:dyDescent="0.3">
      <c r="A11338" s="1" t="s">
        <v>4</v>
      </c>
      <c r="B11338" s="2" t="str">
        <f t="shared" si="981"/>
        <v>SISTEMA DE GERENCIAMENTO PLANO DE SAÚDE</v>
      </c>
      <c r="C11338" s="2" t="str">
        <f>""</f>
        <v/>
      </c>
      <c r="D11338" s="2" t="str">
        <f t="shared" si="982"/>
        <v>SGPS</v>
      </c>
      <c r="E11338" s="2" t="str">
        <f>"SINISTROS: PROTOCOLO DE CONTAS MÉDICAS"</f>
        <v>SINISTROS: PROTOCOLO DE CONTAS MÉDICAS</v>
      </c>
      <c r="F11338" s="2" t="str">
        <f>"M_PROTOCOLO_CONTA_MEDICA"</f>
        <v>M_PROTOCOLO_CONTA_MEDICA</v>
      </c>
      <c r="G11338" s="2" t="str">
        <f t="shared" si="985"/>
        <v xml:space="preserve"> ()</v>
      </c>
    </row>
    <row r="11339" spans="1:7" x14ac:dyDescent="0.3">
      <c r="A11339" s="1" t="s">
        <v>4</v>
      </c>
      <c r="B11339" s="2" t="str">
        <f t="shared" si="981"/>
        <v>SISTEMA DE GERENCIAMENTO PLANO DE SAÚDE</v>
      </c>
      <c r="C11339" s="2" t="str">
        <f>""</f>
        <v/>
      </c>
      <c r="D11339" s="2" t="str">
        <f t="shared" si="982"/>
        <v>SGPS</v>
      </c>
      <c r="E11339" s="2" t="str">
        <f>"M_ATIVA_INATIVA"</f>
        <v>M_ATIVA_INATIVA</v>
      </c>
      <c r="F11339" s="2" t="str">
        <f>"M_ATIVA_INATIVA"</f>
        <v>M_ATIVA_INATIVA</v>
      </c>
      <c r="G11339" s="2" t="str">
        <f t="shared" si="985"/>
        <v xml:space="preserve"> ()</v>
      </c>
    </row>
    <row r="11340" spans="1:7" x14ac:dyDescent="0.3">
      <c r="A11340" s="1" t="s">
        <v>4</v>
      </c>
      <c r="B11340" s="2" t="str">
        <f t="shared" si="981"/>
        <v>SISTEMA DE GERENCIAMENTO PLANO DE SAÚDE</v>
      </c>
      <c r="C11340" s="2" t="str">
        <f>""</f>
        <v/>
      </c>
      <c r="D11340" s="2" t="str">
        <f t="shared" si="982"/>
        <v>SGPS</v>
      </c>
      <c r="E11340" s="2" t="str">
        <f>"LER MANSAGEM"</f>
        <v>LER MANSAGEM</v>
      </c>
      <c r="F11340" s="2" t="str">
        <f>"LER_MENSAGEM"</f>
        <v>LER_MENSAGEM</v>
      </c>
      <c r="G11340" s="2" t="str">
        <f t="shared" si="985"/>
        <v xml:space="preserve"> ()</v>
      </c>
    </row>
    <row r="11341" spans="1:7" x14ac:dyDescent="0.3">
      <c r="A11341" s="1" t="s">
        <v>4</v>
      </c>
      <c r="B11341" s="2" t="str">
        <f t="shared" si="981"/>
        <v>SISTEMA DE GERENCIAMENTO PLANO DE SAÚDE</v>
      </c>
      <c r="C11341" s="2" t="str">
        <f>""</f>
        <v/>
      </c>
      <c r="D11341" s="2" t="str">
        <f t="shared" si="982"/>
        <v>SGPS</v>
      </c>
      <c r="E11341" s="2" t="str">
        <f>"NOVA MENSAGEM"</f>
        <v>NOVA MENSAGEM</v>
      </c>
      <c r="F11341" s="2" t="str">
        <f>"NOVA_MENSAGEM3"</f>
        <v>NOVA_MENSAGEM3</v>
      </c>
      <c r="G11341" s="2" t="str">
        <f t="shared" si="985"/>
        <v xml:space="preserve"> ()</v>
      </c>
    </row>
    <row r="11342" spans="1:7" x14ac:dyDescent="0.3">
      <c r="A11342" s="1" t="s">
        <v>4</v>
      </c>
      <c r="B11342" s="2" t="str">
        <f t="shared" si="981"/>
        <v>SISTEMA DE GERENCIAMENTO PLANO DE SAÚDE</v>
      </c>
      <c r="C11342" s="2" t="str">
        <f>""</f>
        <v/>
      </c>
      <c r="D11342" s="2" t="str">
        <f t="shared" si="982"/>
        <v>SGPS</v>
      </c>
      <c r="E11342" s="2" t="str">
        <f>"REGRA DE DISTRIBUICAO DE COMISSAO"</f>
        <v>REGRA DE DISTRIBUICAO DE COMISSAO</v>
      </c>
      <c r="F11342" s="2" t="str">
        <f>"M_REGRA_DISTRIBUICAO_COMISSAO"</f>
        <v>M_REGRA_DISTRIBUICAO_COMISSAO</v>
      </c>
      <c r="G11342" s="2" t="str">
        <f>"MVSaude / Vendas / Regra de Distribuição da Comissão (M_REGRA_DISTRIBUICAO_COMISSAO)"</f>
        <v>MVSaude / Vendas / Regra de Distribuição da Comissão (M_REGRA_DISTRIBUICAO_COMISSAO)</v>
      </c>
    </row>
    <row r="11343" spans="1:7" x14ac:dyDescent="0.3">
      <c r="A11343" s="1" t="s">
        <v>4</v>
      </c>
      <c r="B11343" s="2" t="str">
        <f t="shared" si="981"/>
        <v>SISTEMA DE GERENCIAMENTO PLANO DE SAÚDE</v>
      </c>
      <c r="C11343" s="2" t="str">
        <f>""</f>
        <v/>
      </c>
      <c r="D11343" s="2" t="str">
        <f t="shared" si="982"/>
        <v>SGPS</v>
      </c>
      <c r="E11343" s="2" t="str">
        <f>"REGRA DE COMISSAO"</f>
        <v>REGRA DE COMISSAO</v>
      </c>
      <c r="F11343" s="2" t="str">
        <f>"M_COMISSAO_VENDA"</f>
        <v>M_COMISSAO_VENDA</v>
      </c>
      <c r="G11343" s="2" t="str">
        <f>"MVSaude / Vendas / Regras de Comissão (M_COMISSAO_VENDA)"</f>
        <v>MVSaude / Vendas / Regras de Comissão (M_COMISSAO_VENDA)</v>
      </c>
    </row>
    <row r="11344" spans="1:7" x14ac:dyDescent="0.3">
      <c r="A11344" s="1" t="s">
        <v>4</v>
      </c>
      <c r="B11344" s="2" t="str">
        <f t="shared" si="981"/>
        <v>SISTEMA DE GERENCIAMENTO PLANO DE SAÚDE</v>
      </c>
      <c r="C11344" s="2" t="str">
        <f>""</f>
        <v/>
      </c>
      <c r="D11344" s="2" t="str">
        <f t="shared" si="982"/>
        <v>SGPS</v>
      </c>
      <c r="E11344" s="2" t="str">
        <f>"REPASSE DE COMISSAO"</f>
        <v>REPASSE DE COMISSAO</v>
      </c>
      <c r="F11344" s="2" t="str">
        <f>"O_REPASSE_COMISSAO_VENDA"</f>
        <v>O_REPASSE_COMISSAO_VENDA</v>
      </c>
      <c r="G11344" s="2" t="str">
        <f>" ()"</f>
        <v xml:space="preserve"> ()</v>
      </c>
    </row>
    <row r="11345" spans="1:7" x14ac:dyDescent="0.3">
      <c r="A11345" s="1" t="s">
        <v>4</v>
      </c>
      <c r="B11345" s="2" t="str">
        <f t="shared" si="981"/>
        <v>SISTEMA DE GERENCIAMENTO PLANO DE SAÚDE</v>
      </c>
      <c r="C11345" s="2" t="str">
        <f>""</f>
        <v/>
      </c>
      <c r="D11345" s="2" t="str">
        <f t="shared" si="982"/>
        <v>SGPS</v>
      </c>
      <c r="E11345" s="2" t="str">
        <f>"RELATÓRIO ESTATÍSTICO POR PLANO"</f>
        <v>RELATÓRIO ESTATÍSTICO POR PLANO</v>
      </c>
      <c r="F11345" s="2" t="str">
        <f>"R_ESTATISTICO_PLANOS"</f>
        <v>R_ESTATISTICO_PLANOS</v>
      </c>
      <c r="G11345" s="2" t="str">
        <f>"MVSaude / Relatórios / Gerenciais / Estatisticos / Por Planos (R_ESTATISTICO_PLANOS)"</f>
        <v>MVSaude / Relatórios / Gerenciais / Estatisticos / Por Planos (R_ESTATISTICO_PLANOS)</v>
      </c>
    </row>
    <row r="11346" spans="1:7" x14ac:dyDescent="0.3">
      <c r="A11346" s="1" t="s">
        <v>4</v>
      </c>
      <c r="B11346" s="2" t="str">
        <f t="shared" si="981"/>
        <v>SISTEMA DE GERENCIAMENTO PLANO DE SAÚDE</v>
      </c>
      <c r="C11346" s="2" t="str">
        <f>""</f>
        <v/>
      </c>
      <c r="D11346" s="2" t="str">
        <f t="shared" si="982"/>
        <v>SGPS</v>
      </c>
      <c r="E11346" s="2" t="str">
        <f>"ADMREP - CADASTRO : SITES"</f>
        <v>ADMREP - CADASTRO : SITES</v>
      </c>
      <c r="F11346" s="2" t="str">
        <f>"M_AR_SITES"</f>
        <v>M_AR_SITES</v>
      </c>
      <c r="G11346" s="2" t="str">
        <f t="shared" ref="G11346:G11359" si="986">" ()"</f>
        <v xml:space="preserve"> ()</v>
      </c>
    </row>
    <row r="11347" spans="1:7" x14ac:dyDescent="0.3">
      <c r="A11347" s="1" t="s">
        <v>4</v>
      </c>
      <c r="B11347" s="2" t="str">
        <f t="shared" si="981"/>
        <v>SISTEMA DE GERENCIAMENTO PLANO DE SAÚDE</v>
      </c>
      <c r="C11347" s="2" t="str">
        <f>""</f>
        <v/>
      </c>
      <c r="D11347" s="2" t="str">
        <f t="shared" si="982"/>
        <v>SGPS</v>
      </c>
      <c r="E11347" s="2" t="str">
        <f>"DUMMY"</f>
        <v>DUMMY</v>
      </c>
      <c r="F11347" s="2" t="str">
        <f>"M_AR_SEQUENCIAS"</f>
        <v>M_AR_SEQUENCIAS</v>
      </c>
      <c r="G11347" s="2" t="str">
        <f t="shared" si="986"/>
        <v xml:space="preserve"> ()</v>
      </c>
    </row>
    <row r="11348" spans="1:7" x14ac:dyDescent="0.3">
      <c r="A11348" s="1" t="s">
        <v>4</v>
      </c>
      <c r="B11348" s="2" t="str">
        <f t="shared" si="981"/>
        <v>SISTEMA DE GERENCIAMENTO PLANO DE SAÚDE</v>
      </c>
      <c r="C11348" s="2" t="str">
        <f>""</f>
        <v/>
      </c>
      <c r="D11348" s="2" t="str">
        <f t="shared" si="982"/>
        <v>SGPS</v>
      </c>
      <c r="E11348" s="2" t="str">
        <f>"TRANSFERÊNCIA ENTRE COTAS/COMPETÊNCIA"</f>
        <v>TRANSFERÊNCIA ENTRE COTAS/COMPETÊNCIA</v>
      </c>
      <c r="F11348" s="2" t="str">
        <f>"O_TRACOMPET"</f>
        <v>O_TRACOMPET</v>
      </c>
      <c r="G11348" s="2" t="str">
        <f t="shared" si="986"/>
        <v xml:space="preserve"> ()</v>
      </c>
    </row>
    <row r="11349" spans="1:7" x14ac:dyDescent="0.3">
      <c r="A11349" s="1" t="s">
        <v>4</v>
      </c>
      <c r="B11349" s="2" t="str">
        <f t="shared" si="981"/>
        <v>SISTEMA DE GERENCIAMENTO PLANO DE SAÚDE</v>
      </c>
      <c r="C11349" s="2" t="str">
        <f>""</f>
        <v/>
      </c>
      <c r="D11349" s="2" t="str">
        <f t="shared" si="982"/>
        <v>SGPS</v>
      </c>
      <c r="E11349" s="2" t="str">
        <f>"CONSULTA DE USUÁRIOS"</f>
        <v>CONSULTA DE USUÁRIOS</v>
      </c>
      <c r="F11349" s="2" t="str">
        <f>"C_CONSULTA_USU"</f>
        <v>C_CONSULTA_USU</v>
      </c>
      <c r="G11349" s="2" t="str">
        <f t="shared" si="986"/>
        <v xml:space="preserve"> ()</v>
      </c>
    </row>
    <row r="11350" spans="1:7" x14ac:dyDescent="0.3">
      <c r="A11350" s="1" t="s">
        <v>4</v>
      </c>
      <c r="B11350" s="2" t="str">
        <f t="shared" si="981"/>
        <v>SISTEMA DE GERENCIAMENTO PLANO DE SAÚDE</v>
      </c>
      <c r="C11350" s="2" t="str">
        <f>""</f>
        <v/>
      </c>
      <c r="D11350" s="2" t="str">
        <f t="shared" si="982"/>
        <v>SGPS</v>
      </c>
      <c r="E11350" s="2" t="str">
        <f>"IMPORTAÇÃO DE REMESSAS"</f>
        <v>IMPORTAÇÃO DE REMESSAS</v>
      </c>
      <c r="F11350" s="2" t="str">
        <f>"O_IMPREMESSA"</f>
        <v>O_IMPREMESSA</v>
      </c>
      <c r="G11350" s="2" t="str">
        <f t="shared" si="986"/>
        <v xml:space="preserve"> ()</v>
      </c>
    </row>
    <row r="11351" spans="1:7" x14ac:dyDescent="0.3">
      <c r="A11351" s="1" t="s">
        <v>4</v>
      </c>
      <c r="B11351" s="2" t="str">
        <f t="shared" si="981"/>
        <v>SISTEMA DE GERENCIAMENTO PLANO DE SAÚDE</v>
      </c>
      <c r="C11351" s="2" t="str">
        <f>""</f>
        <v/>
      </c>
      <c r="D11351" s="2" t="str">
        <f t="shared" si="982"/>
        <v>SGPS</v>
      </c>
      <c r="E11351" s="2" t="str">
        <f>"TRA"</f>
        <v>TRA</v>
      </c>
      <c r="F11351" s="2" t="str">
        <f>"O_TRANSF_CC_RPA_NEW"</f>
        <v>O_TRANSF_CC_RPA_NEW</v>
      </c>
      <c r="G11351" s="2" t="str">
        <f t="shared" si="986"/>
        <v xml:space="preserve"> ()</v>
      </c>
    </row>
    <row r="11352" spans="1:7" x14ac:dyDescent="0.3">
      <c r="A11352" s="1" t="s">
        <v>4</v>
      </c>
      <c r="B11352" s="2" t="str">
        <f t="shared" si="981"/>
        <v>SISTEMA DE GERENCIAMENTO PLANO DE SAÚDE</v>
      </c>
      <c r="C11352" s="2" t="str">
        <f>""</f>
        <v/>
      </c>
      <c r="D11352" s="2" t="str">
        <f t="shared" si="982"/>
        <v>SGPS</v>
      </c>
      <c r="E11352" s="2" t="str">
        <f>"TRANSFERÊNCIA DE PACIENTE"</f>
        <v>TRANSFERÊNCIA DE PACIENTE</v>
      </c>
      <c r="F11352" s="2" t="str">
        <f>"O_TRANSF_CC"</f>
        <v>O_TRANSF_CC</v>
      </c>
      <c r="G11352" s="2" t="str">
        <f t="shared" si="986"/>
        <v xml:space="preserve"> ()</v>
      </c>
    </row>
    <row r="11353" spans="1:7" x14ac:dyDescent="0.3">
      <c r="A11353" s="1" t="s">
        <v>4</v>
      </c>
      <c r="B11353" s="2" t="str">
        <f t="shared" si="981"/>
        <v>SISTEMA DE GERENCIAMENTO PLANO DE SAÚDE</v>
      </c>
      <c r="C11353" s="2" t="str">
        <f>""</f>
        <v/>
      </c>
      <c r="D11353" s="2" t="str">
        <f t="shared" si="982"/>
        <v>SGPS</v>
      </c>
      <c r="E11353" s="2" t="str">
        <f>"HISTÓRICO DE ATENDIMENTO"</f>
        <v>HISTÓRICO DE ATENDIMENTO</v>
      </c>
      <c r="F11353" s="2" t="str">
        <f>"R_HIST_ATENDIMENTO_SOROCABA"</f>
        <v>R_HIST_ATENDIMENTO_SOROCABA</v>
      </c>
      <c r="G11353" s="2" t="str">
        <f t="shared" si="986"/>
        <v xml:space="preserve"> ()</v>
      </c>
    </row>
    <row r="11354" spans="1:7" x14ac:dyDescent="0.3">
      <c r="A11354" s="1" t="s">
        <v>4</v>
      </c>
      <c r="B11354" s="2" t="str">
        <f t="shared" si="981"/>
        <v>SISTEMA DE GERENCIAMENTO PLANO DE SAÚDE</v>
      </c>
      <c r="C11354" s="2" t="str">
        <f>""</f>
        <v/>
      </c>
      <c r="D11354" s="2" t="str">
        <f t="shared" si="982"/>
        <v>SGPS</v>
      </c>
      <c r="E11354" s="2" t="str">
        <f>"CONSULTA: REMESSA DE PRESTADORES"</f>
        <v>CONSULTA: REMESSA DE PRESTADORES</v>
      </c>
      <c r="F11354" s="2" t="str">
        <f>"C_EXPORTAR_LOTE_AUDITADO"</f>
        <v>C_EXPORTAR_LOTE_AUDITADO</v>
      </c>
      <c r="G11354" s="2" t="str">
        <f t="shared" si="986"/>
        <v xml:space="preserve"> ()</v>
      </c>
    </row>
    <row r="11355" spans="1:7" x14ac:dyDescent="0.3">
      <c r="A11355" s="1" t="s">
        <v>4</v>
      </c>
      <c r="B11355" s="2" t="str">
        <f t="shared" si="981"/>
        <v>SISTEMA DE GERENCIAMENTO PLANO DE SAÚDE</v>
      </c>
      <c r="C11355" s="2" t="str">
        <f>""</f>
        <v/>
      </c>
      <c r="D11355" s="2" t="str">
        <f t="shared" si="982"/>
        <v>SGPS</v>
      </c>
      <c r="E11355" s="2" t="str">
        <f>"CONSULTA: GFJHASGJ"</f>
        <v>CONSULTA: GFJHASGJ</v>
      </c>
      <c r="F11355" s="2" t="str">
        <f>"C_CONTA_AIH"</f>
        <v>C_CONTA_AIH</v>
      </c>
      <c r="G11355" s="2" t="str">
        <f t="shared" si="986"/>
        <v xml:space="preserve"> ()</v>
      </c>
    </row>
    <row r="11356" spans="1:7" x14ac:dyDescent="0.3">
      <c r="A11356" s="1" t="s">
        <v>4</v>
      </c>
      <c r="B11356" s="2" t="str">
        <f t="shared" si="981"/>
        <v>SISTEMA DE GERENCIAMENTO PLANO DE SAÚDE</v>
      </c>
      <c r="C11356" s="2" t="str">
        <f>""</f>
        <v/>
      </c>
      <c r="D11356" s="2" t="str">
        <f t="shared" si="982"/>
        <v>SGPS</v>
      </c>
      <c r="E11356" s="2" t="str">
        <f>"CADASTRO: LOCALIDADES"</f>
        <v>CADASTRO: LOCALIDADES</v>
      </c>
      <c r="F11356" s="2" t="str">
        <f>"M_PAINEL6I"</f>
        <v>M_PAINEL6I</v>
      </c>
      <c r="G11356" s="2" t="str">
        <f t="shared" si="986"/>
        <v xml:space="preserve"> ()</v>
      </c>
    </row>
    <row r="11357" spans="1:7" x14ac:dyDescent="0.3">
      <c r="A11357" s="1" t="s">
        <v>4</v>
      </c>
      <c r="B11357" s="2" t="str">
        <f t="shared" si="981"/>
        <v>SISTEMA DE GERENCIAMENTO PLANO DE SAÚDE</v>
      </c>
      <c r="C11357" s="2" t="str">
        <f>""</f>
        <v/>
      </c>
      <c r="D11357" s="2" t="str">
        <f t="shared" si="982"/>
        <v>SGPS</v>
      </c>
      <c r="E11357" s="2" t="str">
        <f>"C_ADAPTACAO_CONTRATO"</f>
        <v>C_ADAPTACAO_CONTRATO</v>
      </c>
      <c r="F11357" s="2" t="str">
        <f>"C_ADAPTACAO_CONTRATO"</f>
        <v>C_ADAPTACAO_CONTRATO</v>
      </c>
      <c r="G11357" s="2" t="str">
        <f t="shared" si="986"/>
        <v xml:space="preserve"> ()</v>
      </c>
    </row>
    <row r="11358" spans="1:7" x14ac:dyDescent="0.3">
      <c r="A11358" s="1" t="s">
        <v>4</v>
      </c>
      <c r="B11358" s="2" t="str">
        <f t="shared" si="981"/>
        <v>SISTEMA DE GERENCIAMENTO PLANO DE SAÚDE</v>
      </c>
      <c r="C11358" s="2" t="str">
        <f>""</f>
        <v/>
      </c>
      <c r="D11358" s="2" t="str">
        <f t="shared" si="982"/>
        <v>SGPS</v>
      </c>
      <c r="E11358" s="2" t="str">
        <f>"CONSULTA: REMESSA DE PRESTADORES"</f>
        <v>CONSULTA: REMESSA DE PRESTADORES</v>
      </c>
      <c r="F11358" s="2" t="str">
        <f>"M_REP_REM_PRES"</f>
        <v>M_REP_REM_PRES</v>
      </c>
      <c r="G11358" s="2" t="str">
        <f t="shared" si="986"/>
        <v xml:space="preserve"> ()</v>
      </c>
    </row>
    <row r="11359" spans="1:7" x14ac:dyDescent="0.3">
      <c r="A11359" s="1" t="s">
        <v>4</v>
      </c>
      <c r="B11359" s="2" t="str">
        <f t="shared" si="981"/>
        <v>SISTEMA DE GERENCIAMENTO PLANO DE SAÚDE</v>
      </c>
      <c r="C11359" s="2" t="str">
        <f>""</f>
        <v/>
      </c>
      <c r="D11359" s="2" t="str">
        <f t="shared" si="982"/>
        <v>SGPS</v>
      </c>
      <c r="E11359" s="2" t="str">
        <f>"CONSULTA: CONTAS HOSPITALARES"</f>
        <v>CONSULTA: CONTAS HOSPITALARES</v>
      </c>
      <c r="F11359" s="2" t="str">
        <f>"M_REP_CTAHOSP"</f>
        <v>M_REP_CTAHOSP</v>
      </c>
      <c r="G11359" s="2" t="str">
        <f t="shared" si="986"/>
        <v xml:space="preserve"> ()</v>
      </c>
    </row>
    <row r="11360" spans="1:7" x14ac:dyDescent="0.3">
      <c r="A11360" s="1" t="s">
        <v>4</v>
      </c>
      <c r="B11360" s="2" t="str">
        <f t="shared" si="981"/>
        <v>SISTEMA DE GERENCIAMENTO PLANO DE SAÚDE</v>
      </c>
      <c r="C11360" s="2" t="str">
        <f>""</f>
        <v/>
      </c>
      <c r="D11360" s="2" t="str">
        <f t="shared" si="982"/>
        <v>SGPS</v>
      </c>
      <c r="E11360" s="2" t="str">
        <f>"MOTIVOS DE ATENIMENTO SAC"</f>
        <v>MOTIVOS DE ATENIMENTO SAC</v>
      </c>
      <c r="F11360" s="2" t="str">
        <f>"M_MOT_ATEND_CALL_CENTER"</f>
        <v>M_MOT_ATEND_CALL_CENTER</v>
      </c>
      <c r="G11360" s="2" t="str">
        <f>"MVSaude / Atendimento / Call Center / Motivos de Atendimentos (M_MOT_ATEND_CALL_CENTER)"</f>
        <v>MVSaude / Atendimento / Call Center / Motivos de Atendimentos (M_MOT_ATEND_CALL_CENTER)</v>
      </c>
    </row>
    <row r="11361" spans="1:7" x14ac:dyDescent="0.3">
      <c r="A11361" s="1" t="s">
        <v>4</v>
      </c>
      <c r="B11361" s="2" t="str">
        <f t="shared" si="981"/>
        <v>SISTEMA DE GERENCIAMENTO PLANO DE SAÚDE</v>
      </c>
      <c r="C11361" s="2" t="str">
        <f>""</f>
        <v/>
      </c>
      <c r="D11361" s="2" t="str">
        <f t="shared" si="982"/>
        <v>SGPS</v>
      </c>
      <c r="E11361" s="2" t="str">
        <f>"TIPO DE ATEDIMENTOS SAC"</f>
        <v>TIPO DE ATEDIMENTOS SAC</v>
      </c>
      <c r="F11361" s="2" t="str">
        <f>"M_TIP_ATEND_CALL_CENTER"</f>
        <v>M_TIP_ATEND_CALL_CENTER</v>
      </c>
      <c r="G11361" s="2" t="str">
        <f>"MVSaude / Atendimento / Call Center / Tipos de Atendimentos (M_TIP_ATEND_CALL_CENTER)"</f>
        <v>MVSaude / Atendimento / Call Center / Tipos de Atendimentos (M_TIP_ATEND_CALL_CENTER)</v>
      </c>
    </row>
    <row r="11362" spans="1:7" x14ac:dyDescent="0.3">
      <c r="A11362" s="1" t="s">
        <v>4</v>
      </c>
      <c r="B11362" s="2" t="str">
        <f t="shared" si="981"/>
        <v>SISTEMA DE GERENCIAMENTO PLANO DE SAÚDE</v>
      </c>
      <c r="C11362" s="2" t="str">
        <f>""</f>
        <v/>
      </c>
      <c r="D11362" s="2" t="str">
        <f t="shared" si="982"/>
        <v>SGPS</v>
      </c>
      <c r="E11362" s="2" t="str">
        <f>"DEPARTAMENTO DE OPERADORA"</f>
        <v>DEPARTAMENTO DE OPERADORA</v>
      </c>
      <c r="F11362" s="2" t="str">
        <f>"M_DEPTO_OPERADORA"</f>
        <v>M_DEPTO_OPERADORA</v>
      </c>
      <c r="G11362" s="2" t="str">
        <f>"MVSaude / Atendimento / Call Center / Departamentos (M_DEPTO_OPERADORA)"</f>
        <v>MVSaude / Atendimento / Call Center / Departamentos (M_DEPTO_OPERADORA)</v>
      </c>
    </row>
    <row r="11363" spans="1:7" x14ac:dyDescent="0.3">
      <c r="A11363" s="1" t="s">
        <v>4</v>
      </c>
      <c r="B11363" s="2" t="str">
        <f t="shared" si="981"/>
        <v>SISTEMA DE GERENCIAMENTO PLANO DE SAÚDE</v>
      </c>
      <c r="C11363" s="2" t="str">
        <f>""</f>
        <v/>
      </c>
      <c r="D11363" s="2" t="str">
        <f t="shared" si="982"/>
        <v>SGPS</v>
      </c>
      <c r="E11363" s="2" t="str">
        <f>"SERVICOS DE CALL CENTER"</f>
        <v>SERVICOS DE CALL CENTER</v>
      </c>
      <c r="F11363" s="2" t="str">
        <f>"M_SERVICO_CALL_CENTER"</f>
        <v>M_SERVICO_CALL_CENTER</v>
      </c>
      <c r="G11363" s="2" t="str">
        <f>"MVSaude / Atendimento / Call Center / Serviços (M_SERVICO_CALL_CENTER)"</f>
        <v>MVSaude / Atendimento / Call Center / Serviços (M_SERVICO_CALL_CENTER)</v>
      </c>
    </row>
    <row r="11364" spans="1:7" x14ac:dyDescent="0.3">
      <c r="A11364" s="1" t="s">
        <v>4</v>
      </c>
      <c r="B11364" s="2" t="str">
        <f t="shared" si="981"/>
        <v>SISTEMA DE GERENCIAMENTO PLANO DE SAÚDE</v>
      </c>
      <c r="C11364" s="2" t="str">
        <f>""</f>
        <v/>
      </c>
      <c r="D11364" s="2" t="str">
        <f t="shared" si="982"/>
        <v>SGPS</v>
      </c>
      <c r="E11364" s="2" t="str">
        <f>"SOLICITACAO DE ATENDIMENTO"</f>
        <v>SOLICITACAO DE ATENDIMENTO</v>
      </c>
      <c r="F11364" s="2" t="str">
        <f>"M_ENTRADA_CALL_CENTER"</f>
        <v>M_ENTRADA_CALL_CENTER</v>
      </c>
      <c r="G11364" s="2" t="str">
        <f>"MVSaude / Atendimento / Call Center / Call Center (M_ENTRADA_CALL_CENTER)"</f>
        <v>MVSaude / Atendimento / Call Center / Call Center (M_ENTRADA_CALL_CENTER)</v>
      </c>
    </row>
    <row r="11365" spans="1:7" x14ac:dyDescent="0.3">
      <c r="A11365" s="1" t="s">
        <v>4</v>
      </c>
      <c r="B11365" s="2" t="str">
        <f t="shared" si="981"/>
        <v>SISTEMA DE GERENCIAMENTO PLANO DE SAÚDE</v>
      </c>
      <c r="C11365" s="2" t="str">
        <f>""</f>
        <v/>
      </c>
      <c r="D11365" s="2" t="str">
        <f t="shared" si="982"/>
        <v>SGPS</v>
      </c>
      <c r="E11365" s="2" t="str">
        <f>"GRUPO DE IMPRESSAO DE COBRANCA"</f>
        <v>GRUPO DE IMPRESSAO DE COBRANCA</v>
      </c>
      <c r="F11365" s="2" t="str">
        <f>"M_GRUPO_IMPRESSAO_COBRANCA"</f>
        <v>M_GRUPO_IMPRESSAO_COBRANCA</v>
      </c>
      <c r="G11365" s="2" t="str">
        <f>"MVSaude / Faturamento / Grupos de Impressão de Boletos (M_GRUPO_IMPRESSAO_COBRANCA)"</f>
        <v>MVSaude / Faturamento / Grupos de Impressão de Boletos (M_GRUPO_IMPRESSAO_COBRANCA)</v>
      </c>
    </row>
    <row r="11366" spans="1:7" x14ac:dyDescent="0.3">
      <c r="A11366" s="1" t="s">
        <v>4</v>
      </c>
      <c r="B11366" s="2" t="str">
        <f t="shared" si="981"/>
        <v>SISTEMA DE GERENCIAMENTO PLANO DE SAÚDE</v>
      </c>
      <c r="C11366" s="2" t="str">
        <f>""</f>
        <v/>
      </c>
      <c r="D11366" s="2" t="str">
        <f t="shared" si="982"/>
        <v>SGPS</v>
      </c>
      <c r="E11366" s="2" t="str">
        <f>"FAIXA DE REAJUSTE"</f>
        <v>FAIXA DE REAJUSTE</v>
      </c>
      <c r="F11366" s="2" t="str">
        <f>"M_FAIXA_REAJUSTE"</f>
        <v>M_FAIXA_REAJUSTE</v>
      </c>
      <c r="G11366" s="2" t="str">
        <f>"MVSaude / Faturamento / Faixas de Reajuste (M_FAIXA_REAJUSTE)"</f>
        <v>MVSaude / Faturamento / Faixas de Reajuste (M_FAIXA_REAJUSTE)</v>
      </c>
    </row>
    <row r="11367" spans="1:7" x14ac:dyDescent="0.3">
      <c r="A11367" s="1" t="s">
        <v>4</v>
      </c>
      <c r="B11367" s="2" t="str">
        <f t="shared" si="981"/>
        <v>SISTEMA DE GERENCIAMENTO PLANO DE SAÚDE</v>
      </c>
      <c r="C11367" s="2" t="str">
        <f>""</f>
        <v/>
      </c>
      <c r="D11367" s="2" t="str">
        <f t="shared" si="982"/>
        <v>SGPS</v>
      </c>
      <c r="E11367" s="2" t="str">
        <f>"CARTEIRAS DO CONTRATOS"</f>
        <v>CARTEIRAS DO CONTRATOS</v>
      </c>
      <c r="F11367" s="2" t="str">
        <f>"M_CARTEIRAS_CONTRATOS"</f>
        <v>M_CARTEIRAS_CONTRATOS</v>
      </c>
      <c r="G11367" s="2" t="str">
        <f>"MVSaude / Cadastros / Carteiras de Contratos (M_CARTEIRAS_CONTRATOS)"</f>
        <v>MVSaude / Cadastros / Carteiras de Contratos (M_CARTEIRAS_CONTRATOS)</v>
      </c>
    </row>
    <row r="11368" spans="1:7" x14ac:dyDescent="0.3">
      <c r="A11368" s="1" t="s">
        <v>4</v>
      </c>
      <c r="B11368" s="2" t="str">
        <f t="shared" si="981"/>
        <v>SISTEMA DE GERENCIAMENTO PLANO DE SAÚDE</v>
      </c>
      <c r="C11368" s="2" t="str">
        <f>""</f>
        <v/>
      </c>
      <c r="D11368" s="2" t="str">
        <f t="shared" si="982"/>
        <v>SGPS</v>
      </c>
      <c r="E11368" s="2" t="str">
        <f>"GRUPO DE PRESTADORES"</f>
        <v>GRUPO DE PRESTADORES</v>
      </c>
      <c r="F11368" s="2" t="str">
        <f>"M_GRUPO_PRESTADOR"</f>
        <v>M_GRUPO_PRESTADOR</v>
      </c>
      <c r="G11368" s="2" t="str">
        <f>"MVSaude / Contas Médicas / Prestadores / Grupos de Prestadores (M_GRUPO_PRESTADOR)"</f>
        <v>MVSaude / Contas Médicas / Prestadores / Grupos de Prestadores (M_GRUPO_PRESTADOR)</v>
      </c>
    </row>
    <row r="11369" spans="1:7" x14ac:dyDescent="0.3">
      <c r="A11369" s="1" t="s">
        <v>4</v>
      </c>
      <c r="B11369" s="2" t="str">
        <f t="shared" si="981"/>
        <v>SISTEMA DE GERENCIAMENTO PLANO DE SAÚDE</v>
      </c>
      <c r="C11369" s="2" t="str">
        <f>""</f>
        <v/>
      </c>
      <c r="D11369" s="2" t="str">
        <f t="shared" si="982"/>
        <v>SGPS</v>
      </c>
      <c r="E11369" s="2" t="str">
        <f>"TETO ORÇAMENTAL"</f>
        <v>TETO ORÇAMENTAL</v>
      </c>
      <c r="F11369" s="2" t="str">
        <f>"M_TETO_ORCAM"</f>
        <v>M_TETO_ORCAM</v>
      </c>
      <c r="G11369" s="2" t="str">
        <f>"MVSaude / Atendimento / Tetos Orçamentários (M_TETO_ORCAM)"</f>
        <v>MVSaude / Atendimento / Tetos Orçamentários (M_TETO_ORCAM)</v>
      </c>
    </row>
    <row r="11370" spans="1:7" x14ac:dyDescent="0.3">
      <c r="A11370" s="1" t="s">
        <v>4</v>
      </c>
      <c r="B11370" s="2" t="str">
        <f t="shared" si="981"/>
        <v>SISTEMA DE GERENCIAMENTO PLANO DE SAÚDE</v>
      </c>
      <c r="C11370" s="2" t="str">
        <f>""</f>
        <v/>
      </c>
      <c r="D11370" s="2" t="str">
        <f t="shared" si="982"/>
        <v>SGPS</v>
      </c>
      <c r="E11370" s="2" t="str">
        <f>"AGRUPA PROCEDIMENTOS"</f>
        <v>AGRUPA PROCEDIMENTOS</v>
      </c>
      <c r="F11370" s="2" t="str">
        <f>"MAGRUPAPROCED"</f>
        <v>MAGRUPAPROCED</v>
      </c>
      <c r="G11370" s="2" t="str">
        <f>"MVSaude / Contas Médicas / Tabelas / Agrupamento de Procedimentos (MAGRUPAPROCED)"</f>
        <v>MVSaude / Contas Médicas / Tabelas / Agrupamento de Procedimentos (MAGRUPAPROCED)</v>
      </c>
    </row>
    <row r="11371" spans="1:7" x14ac:dyDescent="0.3">
      <c r="A11371" s="1" t="s">
        <v>4</v>
      </c>
      <c r="B11371" s="2" t="str">
        <f t="shared" si="981"/>
        <v>SISTEMA DE GERENCIAMENTO PLANO DE SAÚDE</v>
      </c>
      <c r="C11371" s="2" t="str">
        <f>""</f>
        <v/>
      </c>
      <c r="D11371" s="2" t="str">
        <f t="shared" si="982"/>
        <v>SGPS</v>
      </c>
      <c r="E11371" s="2" t="str">
        <f>"SINISTRALIDADE DO BENEFICIARIO"</f>
        <v>SINISTRALIDADE DO BENEFICIARIO</v>
      </c>
      <c r="F11371" s="2" t="str">
        <f>"O_SINISTRA_BENEF"</f>
        <v>O_SINISTRA_BENEF</v>
      </c>
      <c r="G11371" s="2" t="str">
        <f>"MVSaude / Faturamento / Consolidação da Sinistralidade (O_SINISTRA_BENEF)"</f>
        <v>MVSaude / Faturamento / Consolidação da Sinistralidade (O_SINISTRA_BENEF)</v>
      </c>
    </row>
    <row r="11372" spans="1:7" x14ac:dyDescent="0.3">
      <c r="A11372" s="1" t="s">
        <v>4</v>
      </c>
      <c r="B11372" s="2" t="str">
        <f t="shared" si="981"/>
        <v>SISTEMA DE GERENCIAMENTO PLANO DE SAÚDE</v>
      </c>
      <c r="C11372" s="2" t="str">
        <f>""</f>
        <v/>
      </c>
      <c r="D11372" s="2" t="str">
        <f t="shared" si="982"/>
        <v>SGPS</v>
      </c>
      <c r="E11372" s="2" t="str">
        <f>"FAIXA DE SINISTRALIDADE"</f>
        <v>FAIXA DE SINISTRALIDADE</v>
      </c>
      <c r="F11372" s="2" t="str">
        <f>"M_FAIXA_SINISTRA"</f>
        <v>M_FAIXA_SINISTRA</v>
      </c>
      <c r="G11372" s="2" t="str">
        <f>"MVSaude / Configurações / Faixas de Sinistralidade (M_FAIXA_SINISTRA)"</f>
        <v>MVSaude / Configurações / Faixas de Sinistralidade (M_FAIXA_SINISTRA)</v>
      </c>
    </row>
    <row r="11373" spans="1:7" x14ac:dyDescent="0.3">
      <c r="A11373" s="1" t="s">
        <v>4</v>
      </c>
      <c r="B11373" s="2" t="str">
        <f t="shared" ref="B11373:B11436" si="987">"SISTEMA DE GERENCIAMENTO PLANO DE SAÚDE"</f>
        <v>SISTEMA DE GERENCIAMENTO PLANO DE SAÚDE</v>
      </c>
      <c r="C11373" s="2" t="str">
        <f>""</f>
        <v/>
      </c>
      <c r="D11373" s="2" t="str">
        <f t="shared" ref="D11373:D11436" si="988">"SGPS"</f>
        <v>SGPS</v>
      </c>
      <c r="E11373" s="2" t="str">
        <f>"TIPO DE ENDEREÇO"</f>
        <v>TIPO DE ENDEREÇO</v>
      </c>
      <c r="F11373" s="2" t="str">
        <f>"M_TIPO_ENDERECO"</f>
        <v>M_TIPO_ENDERECO</v>
      </c>
      <c r="G11373" s="2" t="str">
        <f>"MVSaude / Configurações / Tipos de Endereços (M_TIPO_ENDERECO)"</f>
        <v>MVSaude / Configurações / Tipos de Endereços (M_TIPO_ENDERECO)</v>
      </c>
    </row>
    <row r="11374" spans="1:7" x14ac:dyDescent="0.3">
      <c r="A11374" s="1" t="s">
        <v>4</v>
      </c>
      <c r="B11374" s="2" t="str">
        <f t="shared" si="987"/>
        <v>SISTEMA DE GERENCIAMENTO PLANO DE SAÚDE</v>
      </c>
      <c r="C11374" s="2" t="str">
        <f>""</f>
        <v/>
      </c>
      <c r="D11374" s="2" t="str">
        <f t="shared" si="988"/>
        <v>SGPS</v>
      </c>
      <c r="E11374" s="2" t="str">
        <f>"CADASTRO: GUIAS"</f>
        <v>CADASTRO: GUIAS</v>
      </c>
      <c r="F11374" s="2" t="str">
        <f>"GUIA"</f>
        <v>GUIA</v>
      </c>
      <c r="G11374" s="2" t="str">
        <f t="shared" ref="G11374:G11380" si="989">" ()"</f>
        <v xml:space="preserve"> ()</v>
      </c>
    </row>
    <row r="11375" spans="1:7" x14ac:dyDescent="0.3">
      <c r="A11375" s="1" t="s">
        <v>4</v>
      </c>
      <c r="B11375" s="2" t="str">
        <f t="shared" si="987"/>
        <v>SISTEMA DE GERENCIAMENTO PLANO DE SAÚDE</v>
      </c>
      <c r="C11375" s="2" t="str">
        <f>""</f>
        <v/>
      </c>
      <c r="D11375" s="2" t="str">
        <f t="shared" si="988"/>
        <v>SGPS</v>
      </c>
      <c r="E11375" s="2" t="str">
        <f>"CONTRATO EMPRESARIAL"</f>
        <v>CONTRATO EMPRESARIAL</v>
      </c>
      <c r="F11375" s="2" t="str">
        <f>"M_CONT_EMPRESA"</f>
        <v>M_CONT_EMPRESA</v>
      </c>
      <c r="G11375" s="2" t="str">
        <f t="shared" si="989"/>
        <v xml:space="preserve"> ()</v>
      </c>
    </row>
    <row r="11376" spans="1:7" x14ac:dyDescent="0.3">
      <c r="A11376" s="1" t="s">
        <v>4</v>
      </c>
      <c r="B11376" s="2" t="str">
        <f t="shared" si="987"/>
        <v>SISTEMA DE GERENCIAMENTO PLANO DE SAÚDE</v>
      </c>
      <c r="C11376" s="2" t="str">
        <f>""</f>
        <v/>
      </c>
      <c r="D11376" s="2" t="str">
        <f t="shared" si="988"/>
        <v>SGPS</v>
      </c>
      <c r="E11376" s="2" t="str">
        <f>"SOLICITACAO DE IMPRESSAO DA CARTEIRA"</f>
        <v>SOLICITACAO DE IMPRESSAO DA CARTEIRA</v>
      </c>
      <c r="F11376" s="2" t="str">
        <f>"R_EMICAR.FMB"</f>
        <v>R_EMICAR.FMB</v>
      </c>
      <c r="G11376" s="2" t="str">
        <f t="shared" si="989"/>
        <v xml:space="preserve"> ()</v>
      </c>
    </row>
    <row r="11377" spans="1:7" x14ac:dyDescent="0.3">
      <c r="A11377" s="1" t="s">
        <v>4</v>
      </c>
      <c r="B11377" s="2" t="str">
        <f t="shared" si="987"/>
        <v>SISTEMA DE GERENCIAMENTO PLANO DE SAÚDE</v>
      </c>
      <c r="C11377" s="2" t="str">
        <f>""</f>
        <v/>
      </c>
      <c r="D11377" s="2" t="str">
        <f t="shared" si="988"/>
        <v>SGPS</v>
      </c>
      <c r="E11377" s="2" t="str">
        <f>"IMPRIME O RESUMO DE UM PROCESSAMENTO"</f>
        <v>IMPRIME O RESUMO DE UM PROCESSAMENTO</v>
      </c>
      <c r="F11377" s="2" t="str">
        <f>"R_DESCPROC"</f>
        <v>R_DESCPROC</v>
      </c>
      <c r="G11377" s="2" t="str">
        <f t="shared" si="989"/>
        <v xml:space="preserve"> ()</v>
      </c>
    </row>
    <row r="11378" spans="1:7" x14ac:dyDescent="0.3">
      <c r="A11378" s="1" t="s">
        <v>4</v>
      </c>
      <c r="B11378" s="2" t="str">
        <f t="shared" si="987"/>
        <v>SISTEMA DE GERENCIAMENTO PLANO DE SAÚDE</v>
      </c>
      <c r="C11378" s="2" t="str">
        <f>""</f>
        <v/>
      </c>
      <c r="D11378" s="2" t="str">
        <f t="shared" si="988"/>
        <v>SGPS</v>
      </c>
      <c r="E11378" s="2" t="str">
        <f>"AGENDAMENTO DO SGPS"</f>
        <v>AGENDAMENTO DO SGPS</v>
      </c>
      <c r="F11378" s="2" t="str">
        <f>"M_AGENDA"</f>
        <v>M_AGENDA</v>
      </c>
      <c r="G11378" s="2" t="str">
        <f t="shared" si="989"/>
        <v xml:space="preserve"> ()</v>
      </c>
    </row>
    <row r="11379" spans="1:7" x14ac:dyDescent="0.3">
      <c r="A11379" s="1" t="s">
        <v>4</v>
      </c>
      <c r="B11379" s="2" t="str">
        <f t="shared" si="987"/>
        <v>SISTEMA DE GERENCIAMENTO PLANO DE SAÚDE</v>
      </c>
      <c r="C11379" s="2" t="str">
        <f>""</f>
        <v/>
      </c>
      <c r="D11379" s="2" t="str">
        <f t="shared" si="988"/>
        <v>SGPS</v>
      </c>
      <c r="E11379" s="2" t="str">
        <f>"CARENCIA DOS USUÁRIOS"</f>
        <v>CARENCIA DOS USUÁRIOS</v>
      </c>
      <c r="F11379" s="2" t="str">
        <f>"M_CARENCIA_USUARIO"</f>
        <v>M_CARENCIA_USUARIO</v>
      </c>
      <c r="G11379" s="2" t="str">
        <f t="shared" si="989"/>
        <v xml:space="preserve"> ()</v>
      </c>
    </row>
    <row r="11380" spans="1:7" x14ac:dyDescent="0.3">
      <c r="A11380" s="1" t="s">
        <v>4</v>
      </c>
      <c r="B11380" s="2" t="str">
        <f t="shared" si="987"/>
        <v>SISTEMA DE GERENCIAMENTO PLANO DE SAÚDE</v>
      </c>
      <c r="C11380" s="2" t="str">
        <f>""</f>
        <v/>
      </c>
      <c r="D11380" s="2" t="str">
        <f t="shared" si="988"/>
        <v>SGPS</v>
      </c>
      <c r="E11380" s="2" t="str">
        <f>"RELATÓRIO DE INSS DOS PRESTADORES"</f>
        <v>RELATÓRIO DE INSS DOS PRESTADORES</v>
      </c>
      <c r="F11380" s="2" t="str">
        <f>"R_INSS"</f>
        <v>R_INSS</v>
      </c>
      <c r="G11380" s="2" t="str">
        <f t="shared" si="989"/>
        <v xml:space="preserve"> ()</v>
      </c>
    </row>
    <row r="11381" spans="1:7" x14ac:dyDescent="0.3">
      <c r="A11381" s="1" t="s">
        <v>4</v>
      </c>
      <c r="B11381" s="2" t="str">
        <f t="shared" si="987"/>
        <v>SISTEMA DE GERENCIAMENTO PLANO DE SAÚDE</v>
      </c>
      <c r="C11381" s="2" t="str">
        <f>""</f>
        <v/>
      </c>
      <c r="D11381" s="2" t="str">
        <f t="shared" si="988"/>
        <v>SGPS</v>
      </c>
      <c r="E11381" s="2" t="str">
        <f>"SENHA DE PARA GUIA DE CORTESIA"</f>
        <v>SENHA DE PARA GUIA DE CORTESIA</v>
      </c>
      <c r="F11381" s="2" t="str">
        <f>"O_SENHA_CORTESIA"</f>
        <v>O_SENHA_CORTESIA</v>
      </c>
      <c r="G11381" s="2" t="str">
        <f>"MVSaude / Configurações / Senha de Cortesia (O_SENHA_CORTESIA)"</f>
        <v>MVSaude / Configurações / Senha de Cortesia (O_SENHA_CORTESIA)</v>
      </c>
    </row>
    <row r="11382" spans="1:7" x14ac:dyDescent="0.3">
      <c r="A11382" s="1" t="s">
        <v>4</v>
      </c>
      <c r="B11382" s="2" t="str">
        <f t="shared" si="987"/>
        <v>SISTEMA DE GERENCIAMENTO PLANO DE SAÚDE</v>
      </c>
      <c r="C11382" s="2" t="str">
        <f>""</f>
        <v/>
      </c>
      <c r="D11382" s="2" t="str">
        <f t="shared" si="988"/>
        <v>SGPS</v>
      </c>
      <c r="E11382" s="2" t="str">
        <f>"TABELA DE PREÇO X PLANOS"</f>
        <v>TABELA DE PREÇO X PLANOS</v>
      </c>
      <c r="F11382" s="2" t="str">
        <f>"R_TABPRXPLS"</f>
        <v>R_TABPRXPLS</v>
      </c>
      <c r="G11382" s="2" t="str">
        <f>"MVSaude / Relatórios / Administrativos / Mensalidades / Pre - Pagamento / Planos por Tabela de Preco (R_TABPRXPLS)"</f>
        <v>MVSaude / Relatórios / Administrativos / Mensalidades / Pre - Pagamento / Planos por Tabela de Preco (R_TABPRXPLS)</v>
      </c>
    </row>
    <row r="11383" spans="1:7" x14ac:dyDescent="0.3">
      <c r="A11383" s="1" t="s">
        <v>4</v>
      </c>
      <c r="B11383" s="2" t="str">
        <f t="shared" si="987"/>
        <v>SISTEMA DE GERENCIAMENTO PLANO DE SAÚDE</v>
      </c>
      <c r="C11383" s="2" t="str">
        <f>""</f>
        <v/>
      </c>
      <c r="D11383" s="2" t="str">
        <f t="shared" si="988"/>
        <v>SGPS</v>
      </c>
      <c r="E11383" s="2" t="str">
        <f>"CONSULTA DE ADIANTAMENTOS POR EMPRESA"</f>
        <v>CONSULTA DE ADIANTAMENTOS POR EMPRESA</v>
      </c>
      <c r="F11383" s="2" t="str">
        <f>"C_CONSADI"</f>
        <v>C_CONSADI</v>
      </c>
      <c r="G11383" s="2" t="str">
        <f>" ()"</f>
        <v xml:space="preserve"> ()</v>
      </c>
    </row>
    <row r="11384" spans="1:7" x14ac:dyDescent="0.3">
      <c r="A11384" s="1" t="s">
        <v>4</v>
      </c>
      <c r="B11384" s="2" t="str">
        <f t="shared" si="987"/>
        <v>SISTEMA DE GERENCIAMENTO PLANO DE SAÚDE</v>
      </c>
      <c r="C11384" s="2" t="str">
        <f>""</f>
        <v/>
      </c>
      <c r="D11384" s="2" t="str">
        <f t="shared" si="988"/>
        <v>SGPS</v>
      </c>
      <c r="E11384" s="2" t="str">
        <f>"RELATORIOS DAS CATEGORIAIS"</f>
        <v>RELATORIOS DAS CATEGORIAIS</v>
      </c>
      <c r="F11384" s="2" t="str">
        <f>"R_CATEGOR"</f>
        <v>R_CATEGOR</v>
      </c>
      <c r="G11384" s="2" t="str">
        <f>"MVSaude / Relatórios / Tabelas / Comercial / Categorias (R_CATEGOR)"</f>
        <v>MVSaude / Relatórios / Tabelas / Comercial / Categorias (R_CATEGOR)</v>
      </c>
    </row>
    <row r="11385" spans="1:7" x14ac:dyDescent="0.3">
      <c r="A11385" s="1" t="s">
        <v>4</v>
      </c>
      <c r="B11385" s="2" t="str">
        <f t="shared" si="987"/>
        <v>SISTEMA DE GERENCIAMENTO PLANO DE SAÚDE</v>
      </c>
      <c r="C11385" s="2" t="str">
        <f>""</f>
        <v/>
      </c>
      <c r="D11385" s="2" t="str">
        <f t="shared" si="988"/>
        <v>SGPS</v>
      </c>
      <c r="E11385" s="2" t="str">
        <f>"RELATÓRIOS DE TIPOS DE PLANOS"</f>
        <v>RELATÓRIOS DE TIPOS DE PLANOS</v>
      </c>
      <c r="F11385" s="2" t="str">
        <f>"R_TIP_PLA"</f>
        <v>R_TIP_PLA</v>
      </c>
      <c r="G11385" s="2" t="str">
        <f>"MVSaude / Relatórios / Tabelas / Comercial / Tipos de Plano (R_TIP_PLA)"</f>
        <v>MVSaude / Relatórios / Tabelas / Comercial / Tipos de Plano (R_TIP_PLA)</v>
      </c>
    </row>
    <row r="11386" spans="1:7" x14ac:dyDescent="0.3">
      <c r="A11386" s="1" t="s">
        <v>4</v>
      </c>
      <c r="B11386" s="2" t="str">
        <f t="shared" si="987"/>
        <v>SISTEMA DE GERENCIAMENTO PLANO DE SAÚDE</v>
      </c>
      <c r="C11386" s="2" t="str">
        <f>""</f>
        <v/>
      </c>
      <c r="D11386" s="2" t="str">
        <f t="shared" si="988"/>
        <v>SGPS</v>
      </c>
      <c r="E11386" s="2" t="str">
        <f>"RELATORIOS DOS TIPOS DE ACOMODAÇÃO"</f>
        <v>RELATORIOS DOS TIPOS DE ACOMODAÇÃO</v>
      </c>
      <c r="F11386" s="2" t="str">
        <f>"R_TIPACO_SGPS"</f>
        <v>R_TIPACO_SGPS</v>
      </c>
      <c r="G11386" s="2" t="str">
        <f>"MVSaude / Relatórios / Tabelas / Comercial / Tipos de Acomodação (R_TIPACO_SGPS)"</f>
        <v>MVSaude / Relatórios / Tabelas / Comercial / Tipos de Acomodação (R_TIPACO_SGPS)</v>
      </c>
    </row>
    <row r="11387" spans="1:7" x14ac:dyDescent="0.3">
      <c r="A11387" s="1" t="s">
        <v>4</v>
      </c>
      <c r="B11387" s="2" t="str">
        <f t="shared" si="987"/>
        <v>SISTEMA DE GERENCIAMENTO PLANO DE SAÚDE</v>
      </c>
      <c r="C11387" s="2" t="str">
        <f>""</f>
        <v/>
      </c>
      <c r="D11387" s="2" t="str">
        <f t="shared" si="988"/>
        <v>SGPS</v>
      </c>
      <c r="E11387" s="2" t="str">
        <f>"RELATORIO DOS GRAUS DE PARENTESCO"</f>
        <v>RELATORIO DOS GRAUS DE PARENTESCO</v>
      </c>
      <c r="F11387" s="2" t="str">
        <f>"R_GRAPAR"</f>
        <v>R_GRAPAR</v>
      </c>
      <c r="G11387" s="2" t="str">
        <f>"MVSaude / Relatórios / Tabelas / Comercial / Graus de Parentesco (R_GRAPAR)"</f>
        <v>MVSaude / Relatórios / Tabelas / Comercial / Graus de Parentesco (R_GRAPAR)</v>
      </c>
    </row>
    <row r="11388" spans="1:7" x14ac:dyDescent="0.3">
      <c r="A11388" s="1" t="s">
        <v>4</v>
      </c>
      <c r="B11388" s="2" t="str">
        <f t="shared" si="987"/>
        <v>SISTEMA DE GERENCIAMENTO PLANO DE SAÚDE</v>
      </c>
      <c r="C11388" s="2" t="str">
        <f>""</f>
        <v/>
      </c>
      <c r="D11388" s="2" t="str">
        <f t="shared" si="988"/>
        <v>SGPS</v>
      </c>
      <c r="E11388" s="2" t="str">
        <f>"REL. DE REGRAS DE PGTO. DE PRESTADORES"</f>
        <v>REL. DE REGRAS DE PGTO. DE PRESTADORES</v>
      </c>
      <c r="F11388" s="2" t="str">
        <f>"R_REGRA_SGPS"</f>
        <v>R_REGRA_SGPS</v>
      </c>
      <c r="G11388" s="2" t="str">
        <f>"MVSaude / Relatórios / Tabelas / Prestadores / Cadastro de Regras (R_REGRA_SGPS)"</f>
        <v>MVSaude / Relatórios / Tabelas / Prestadores / Cadastro de Regras (R_REGRA_SGPS)</v>
      </c>
    </row>
    <row r="11389" spans="1:7" x14ac:dyDescent="0.3">
      <c r="A11389" s="1" t="s">
        <v>4</v>
      </c>
      <c r="B11389" s="2" t="str">
        <f t="shared" si="987"/>
        <v>SISTEMA DE GERENCIAMENTO PLANO DE SAÚDE</v>
      </c>
      <c r="C11389" s="2" t="str">
        <f>""</f>
        <v/>
      </c>
      <c r="D11389" s="2" t="str">
        <f t="shared" si="988"/>
        <v>SGPS</v>
      </c>
      <c r="E11389" s="2" t="str">
        <f>"ITENS LANCAMENTO DE MENSALIDADE"</f>
        <v>ITENS LANCAMENTO DE MENSALIDADE</v>
      </c>
      <c r="F11389" s="2" t="str">
        <f>"M_LANMEN"</f>
        <v>M_LANMEN</v>
      </c>
      <c r="G11389" s="2" t="str">
        <f>"MVSaude / Faturamento / Receitas (M_LANMEN)"</f>
        <v>MVSaude / Faturamento / Receitas (M_LANMEN)</v>
      </c>
    </row>
    <row r="11390" spans="1:7" x14ac:dyDescent="0.3">
      <c r="A11390" s="1" t="s">
        <v>4</v>
      </c>
      <c r="B11390" s="2" t="str">
        <f t="shared" si="987"/>
        <v>SISTEMA DE GERENCIAMENTO PLANO DE SAÚDE</v>
      </c>
      <c r="C11390" s="2" t="str">
        <f>""</f>
        <v/>
      </c>
      <c r="D11390" s="2" t="str">
        <f t="shared" si="988"/>
        <v>SGPS</v>
      </c>
      <c r="E11390" s="2" t="str">
        <f>"PLANO X TABELAS DE PREÇO"</f>
        <v>PLANO X TABELAS DE PREÇO</v>
      </c>
      <c r="F11390" s="2" t="str">
        <f>"R_PLXTABSPR"</f>
        <v>R_PLXTABSPR</v>
      </c>
      <c r="G11390" s="2" t="str">
        <f>"MVSaude / Relatórios / Administrativos / Mensalidades / Pre - Pagamento / Tabela de Preco por Plano (R_PLXTABSPR)"</f>
        <v>MVSaude / Relatórios / Administrativos / Mensalidades / Pre - Pagamento / Tabela de Preco por Plano (R_PLXTABSPR)</v>
      </c>
    </row>
    <row r="11391" spans="1:7" x14ac:dyDescent="0.3">
      <c r="A11391" s="1" t="s">
        <v>4</v>
      </c>
      <c r="B11391" s="2" t="str">
        <f t="shared" si="987"/>
        <v>SISTEMA DE GERENCIAMENTO PLANO DE SAÚDE</v>
      </c>
      <c r="C11391" s="2" t="str">
        <f>""</f>
        <v/>
      </c>
      <c r="D11391" s="2" t="str">
        <f t="shared" si="988"/>
        <v>SGPS</v>
      </c>
      <c r="E11391" s="2" t="str">
        <f>"SENHA DE AUTORIZACAO ADMINISTRATIVA"</f>
        <v>SENHA DE AUTORIZACAO ADMINISTRATIVA</v>
      </c>
      <c r="F11391" s="2" t="str">
        <f>"O_SENHA_AUTORIZACAO"</f>
        <v>O_SENHA_AUTORIZACAO</v>
      </c>
      <c r="G11391" s="2" t="str">
        <f>"MVSaude / Configurações / Senha de Autorização (O_SENHA_AUTORIZACAO)"</f>
        <v>MVSaude / Configurações / Senha de Autorização (O_SENHA_AUTORIZACAO)</v>
      </c>
    </row>
    <row r="11392" spans="1:7" x14ac:dyDescent="0.3">
      <c r="A11392" s="1" t="s">
        <v>4</v>
      </c>
      <c r="B11392" s="2" t="str">
        <f t="shared" si="987"/>
        <v>SISTEMA DE GERENCIAMENTO PLANO DE SAÚDE</v>
      </c>
      <c r="C11392" s="2" t="str">
        <f>""</f>
        <v/>
      </c>
      <c r="D11392" s="2" t="str">
        <f t="shared" si="988"/>
        <v>SGPS</v>
      </c>
      <c r="E11392" s="2" t="str">
        <f>"GERACAO DE CARENCIAS (GLOBAL)"</f>
        <v>GERACAO DE CARENCIAS (GLOBAL)</v>
      </c>
      <c r="F11392" s="2" t="str">
        <f>"O_GERCARENCIA"</f>
        <v>O_GERCARENCIA</v>
      </c>
      <c r="G11392" s="2" t="str">
        <f>"MVSaude / Cadastros / Geração de Carências (O_GERCARENCIA)"</f>
        <v>MVSaude / Cadastros / Geração de Carências (O_GERCARENCIA)</v>
      </c>
    </row>
    <row r="11393" spans="1:7" x14ac:dyDescent="0.3">
      <c r="A11393" s="1" t="s">
        <v>4</v>
      </c>
      <c r="B11393" s="2" t="str">
        <f t="shared" si="987"/>
        <v>SISTEMA DE GERENCIAMENTO PLANO DE SAÚDE</v>
      </c>
      <c r="C11393" s="2" t="str">
        <f>""</f>
        <v/>
      </c>
      <c r="D11393" s="2" t="str">
        <f t="shared" si="988"/>
        <v>SGPS</v>
      </c>
      <c r="E11393" s="2" t="str">
        <f>"CADASTRO DE AUDITORES"</f>
        <v>CADASTRO DE AUDITORES</v>
      </c>
      <c r="F11393" s="2" t="str">
        <f>"M_AUDITOR"</f>
        <v>M_AUDITOR</v>
      </c>
      <c r="G11393" s="2" t="str">
        <f>"MVSaude / Contas Médicas / Tabelas / Auditores (M_AUDITOR)"</f>
        <v>MVSaude / Contas Médicas / Tabelas / Auditores (M_AUDITOR)</v>
      </c>
    </row>
    <row r="11394" spans="1:7" x14ac:dyDescent="0.3">
      <c r="A11394" s="1" t="s">
        <v>4</v>
      </c>
      <c r="B11394" s="2" t="str">
        <f t="shared" si="987"/>
        <v>SISTEMA DE GERENCIAMENTO PLANO DE SAÚDE</v>
      </c>
      <c r="C11394" s="2" t="str">
        <f>""</f>
        <v/>
      </c>
      <c r="D11394" s="2" t="str">
        <f t="shared" si="988"/>
        <v>SGPS</v>
      </c>
      <c r="E11394" s="2" t="str">
        <f>"KITS PADRÃO POR PRESTADOR"</f>
        <v>KITS PADRÃO POR PRESTADOR</v>
      </c>
      <c r="F11394" s="2" t="str">
        <f>"M_KIT_PRES"</f>
        <v>M_KIT_PRES</v>
      </c>
      <c r="G11394" s="2" t="str">
        <f>"MVSaude / Contas Médicas / Tabelas / Kit Padrão por Prestador (M_KIT_PRES)"</f>
        <v>MVSaude / Contas Médicas / Tabelas / Kit Padrão por Prestador (M_KIT_PRES)</v>
      </c>
    </row>
    <row r="11395" spans="1:7" x14ac:dyDescent="0.3">
      <c r="A11395" s="1" t="s">
        <v>4</v>
      </c>
      <c r="B11395" s="2" t="str">
        <f t="shared" si="987"/>
        <v>SISTEMA DE GERENCIAMENTO PLANO DE SAÚDE</v>
      </c>
      <c r="C11395" s="2" t="str">
        <f>""</f>
        <v/>
      </c>
      <c r="D11395" s="2" t="str">
        <f t="shared" si="988"/>
        <v>SGPS</v>
      </c>
      <c r="E11395" s="2" t="str">
        <f>"ATIVIDADES MÉDICAS"</f>
        <v>ATIVIDADES MÉDICAS</v>
      </c>
      <c r="F11395" s="2" t="str">
        <f>"M_ATIMED"</f>
        <v>M_ATIMED</v>
      </c>
      <c r="G11395" s="2" t="str">
        <f>"MVSaude / ANS / TISS / Tabelas de Domínio / Atividades Medicas (M_ATIMED)"</f>
        <v>MVSaude / ANS / TISS / Tabelas de Domínio / Atividades Medicas (M_ATIMED)</v>
      </c>
    </row>
    <row r="11396" spans="1:7" x14ac:dyDescent="0.3">
      <c r="A11396" s="1" t="s">
        <v>4</v>
      </c>
      <c r="B11396" s="2" t="str">
        <f t="shared" si="987"/>
        <v>SISTEMA DE GERENCIAMENTO PLANO DE SAÚDE</v>
      </c>
      <c r="C11396" s="2" t="str">
        <f>""</f>
        <v/>
      </c>
      <c r="D11396" s="2" t="str">
        <f t="shared" si="988"/>
        <v>SGPS</v>
      </c>
      <c r="E11396" s="2" t="str">
        <f>"ATIVIDADES MÉDICAS"</f>
        <v>ATIVIDADES MÉDICAS</v>
      </c>
      <c r="F11396" s="2" t="str">
        <f>"M_ATIMED"</f>
        <v>M_ATIMED</v>
      </c>
      <c r="G11396" s="2" t="str">
        <f>"MVSaude / Contas Médicas / Tabelas / Atividades Médicas (M_ATIMED)"</f>
        <v>MVSaude / Contas Médicas / Tabelas / Atividades Médicas (M_ATIMED)</v>
      </c>
    </row>
    <row r="11397" spans="1:7" x14ac:dyDescent="0.3">
      <c r="A11397" s="1" t="s">
        <v>4</v>
      </c>
      <c r="B11397" s="2" t="str">
        <f t="shared" si="987"/>
        <v>SISTEMA DE GERENCIAMENTO PLANO DE SAÚDE</v>
      </c>
      <c r="C11397" s="2" t="str">
        <f>""</f>
        <v/>
      </c>
      <c r="D11397" s="2" t="str">
        <f t="shared" si="988"/>
        <v>SGPS</v>
      </c>
      <c r="E11397" s="2" t="str">
        <f>"PROCESSO DE GERACAO DO ARQUIVO PARA MS"</f>
        <v>PROCESSO DE GERACAO DO ARQUIVO PARA MS</v>
      </c>
      <c r="F11397" s="2" t="str">
        <f>"O_GERARQMS"</f>
        <v>O_GERARQMS</v>
      </c>
      <c r="G11397" s="2" t="str">
        <f>"MVSaude / ANS / SIB (O_GERARQMS)"</f>
        <v>MVSaude / ANS / SIB (O_GERARQMS)</v>
      </c>
    </row>
    <row r="11398" spans="1:7" x14ac:dyDescent="0.3">
      <c r="A11398" s="1" t="s">
        <v>4</v>
      </c>
      <c r="B11398" s="2" t="str">
        <f t="shared" si="987"/>
        <v>SISTEMA DE GERENCIAMENTO PLANO DE SAÚDE</v>
      </c>
      <c r="C11398" s="2" t="str">
        <f>""</f>
        <v/>
      </c>
      <c r="D11398" s="2" t="str">
        <f t="shared" si="988"/>
        <v>SGPS</v>
      </c>
      <c r="E11398" s="2" t="str">
        <f>"TELA DE CONFIGURACOES GERAIS DO SGPS"</f>
        <v>TELA DE CONFIGURACOES GERAIS DO SGPS</v>
      </c>
      <c r="F11398" s="2" t="str">
        <f>"M_CONFIGURA_SGPS"</f>
        <v>M_CONFIGURA_SGPS</v>
      </c>
      <c r="G11398" s="2" t="str">
        <f>"MVSaude / Configurações / Configurações (M_CONFIGURA_SGPS)"</f>
        <v>MVSaude / Configurações / Configurações (M_CONFIGURA_SGPS)</v>
      </c>
    </row>
    <row r="11399" spans="1:7" x14ac:dyDescent="0.3">
      <c r="A11399" s="1" t="s">
        <v>4</v>
      </c>
      <c r="B11399" s="2" t="str">
        <f t="shared" si="987"/>
        <v>SISTEMA DE GERENCIAMENTO PLANO DE SAÚDE</v>
      </c>
      <c r="C11399" s="2" t="str">
        <f>""</f>
        <v/>
      </c>
      <c r="D11399" s="2" t="str">
        <f t="shared" si="988"/>
        <v>SGPS</v>
      </c>
      <c r="E11399" s="2" t="str">
        <f>"CADASTRO DE CID DO SGPS"</f>
        <v>CADASTRO DE CID DO SGPS</v>
      </c>
      <c r="F11399" s="2" t="str">
        <f>"M_CID_SGPS"</f>
        <v>M_CID_SGPS</v>
      </c>
      <c r="G11399" s="2" t="str">
        <f>"MVSaude / Contas Médicas / Tabelas / CIDs (M_CID_SGPS)"</f>
        <v>MVSaude / Contas Médicas / Tabelas / CIDs (M_CID_SGPS)</v>
      </c>
    </row>
    <row r="11400" spans="1:7" x14ac:dyDescent="0.3">
      <c r="A11400" s="1" t="s">
        <v>4</v>
      </c>
      <c r="B11400" s="2" t="str">
        <f t="shared" si="987"/>
        <v>SISTEMA DE GERENCIAMENTO PLANO DE SAÚDE</v>
      </c>
      <c r="C11400" s="2" t="str">
        <f>""</f>
        <v/>
      </c>
      <c r="D11400" s="2" t="str">
        <f t="shared" si="988"/>
        <v>SGPS</v>
      </c>
      <c r="E11400" s="2" t="str">
        <f>"FORMATAÇÃO DO CONTRATO DO PRESTADOR"</f>
        <v>FORMATAÇÃO DO CONTRATO DO PRESTADOR</v>
      </c>
      <c r="F11400" s="2" t="str">
        <f>"M_CONTRATO_PRESTADOR"</f>
        <v>M_CONTRATO_PRESTADOR</v>
      </c>
      <c r="G11400" s="2" t="str">
        <f>"MVSaude / Contas Médicas / Prestadores / Formatação do Contrato (M_CONTRATO_PRESTADOR)"</f>
        <v>MVSaude / Contas Médicas / Prestadores / Formatação do Contrato (M_CONTRATO_PRESTADOR)</v>
      </c>
    </row>
    <row r="11401" spans="1:7" x14ac:dyDescent="0.3">
      <c r="A11401" s="1" t="s">
        <v>4</v>
      </c>
      <c r="B11401" s="2" t="str">
        <f t="shared" si="987"/>
        <v>SISTEMA DE GERENCIAMENTO PLANO DE SAÚDE</v>
      </c>
      <c r="C11401" s="2" t="str">
        <f>""</f>
        <v/>
      </c>
      <c r="D11401" s="2" t="str">
        <f t="shared" si="988"/>
        <v>SGPS</v>
      </c>
      <c r="E11401" s="2" t="str">
        <f>"ETIQUETAS DE PRESTADORES (END. ADM )"</f>
        <v>ETIQUETAS DE PRESTADORES (END. ADM )</v>
      </c>
      <c r="F11401" s="2" t="str">
        <f>"R_ETQ_PRESTAD"</f>
        <v>R_ETQ_PRESTAD</v>
      </c>
      <c r="G11401" s="2" t="str">
        <f t="shared" ref="G11401:G11407" si="990">" ()"</f>
        <v xml:space="preserve"> ()</v>
      </c>
    </row>
    <row r="11402" spans="1:7" x14ac:dyDescent="0.3">
      <c r="A11402" s="1" t="s">
        <v>4</v>
      </c>
      <c r="B11402" s="2" t="str">
        <f t="shared" si="987"/>
        <v>SISTEMA DE GERENCIAMENTO PLANO DE SAÚDE</v>
      </c>
      <c r="C11402" s="2" t="str">
        <f>""</f>
        <v/>
      </c>
      <c r="D11402" s="2" t="str">
        <f t="shared" si="988"/>
        <v>SGPS</v>
      </c>
      <c r="E11402" s="2" t="str">
        <f>"CARTEIRA ESPECÍFICA DA MM"</f>
        <v>CARTEIRA ESPECÍFICA DA MM</v>
      </c>
      <c r="F11402" s="2" t="str">
        <f>"R_EMICAR_MM"</f>
        <v>R_EMICAR_MM</v>
      </c>
      <c r="G11402" s="2" t="str">
        <f t="shared" si="990"/>
        <v xml:space="preserve"> ()</v>
      </c>
    </row>
    <row r="11403" spans="1:7" x14ac:dyDescent="0.3">
      <c r="A11403" s="1" t="s">
        <v>4</v>
      </c>
      <c r="B11403" s="2" t="str">
        <f t="shared" si="987"/>
        <v>SISTEMA DE GERENCIAMENTO PLANO DE SAÚDE</v>
      </c>
      <c r="C11403" s="2" t="str">
        <f>""</f>
        <v/>
      </c>
      <c r="D11403" s="2" t="str">
        <f t="shared" si="988"/>
        <v>SGPS</v>
      </c>
      <c r="E11403" s="2" t="str">
        <f>"GERAÇÃO DE MENSALIDADES POR USO DO SERVI"</f>
        <v>GERAÇÃO DE MENSALIDADES POR USO DO SERVI</v>
      </c>
      <c r="F11403" s="2" t="str">
        <f>"O_GERMENUSO"</f>
        <v>O_GERMENUSO</v>
      </c>
      <c r="G11403" s="2" t="str">
        <f t="shared" si="990"/>
        <v xml:space="preserve"> ()</v>
      </c>
    </row>
    <row r="11404" spans="1:7" x14ac:dyDescent="0.3">
      <c r="A11404" s="1" t="s">
        <v>4</v>
      </c>
      <c r="B11404" s="2" t="str">
        <f t="shared" si="987"/>
        <v>SISTEMA DE GERENCIAMENTO PLANO DE SAÚDE</v>
      </c>
      <c r="C11404" s="2" t="str">
        <f>""</f>
        <v/>
      </c>
      <c r="D11404" s="2" t="str">
        <f t="shared" si="988"/>
        <v>SGPS</v>
      </c>
      <c r="E11404" s="2" t="str">
        <f>"RELATORIO DE EMPRESA POR FATURA"</f>
        <v>RELATORIO DE EMPRESA POR FATURA</v>
      </c>
      <c r="F11404" s="2" t="str">
        <f>"R_EMPRESA_FAT"</f>
        <v>R_EMPRESA_FAT</v>
      </c>
      <c r="G11404" s="2" t="str">
        <f t="shared" si="990"/>
        <v xml:space="preserve"> ()</v>
      </c>
    </row>
    <row r="11405" spans="1:7" x14ac:dyDescent="0.3">
      <c r="A11405" s="1" t="s">
        <v>4</v>
      </c>
      <c r="B11405" s="2" t="str">
        <f t="shared" si="987"/>
        <v>SISTEMA DE GERENCIAMENTO PLANO DE SAÚDE</v>
      </c>
      <c r="C11405" s="2" t="str">
        <f>""</f>
        <v/>
      </c>
      <c r="D11405" s="2" t="str">
        <f t="shared" si="988"/>
        <v>SGPS</v>
      </c>
      <c r="E11405" s="2" t="str">
        <f>"RELATÓRIO DE PRESTADOR POR FATURA"</f>
        <v>RELATÓRIO DE PRESTADOR POR FATURA</v>
      </c>
      <c r="F11405" s="2" t="str">
        <f>"R_PRESTADOR_FAT"</f>
        <v>R_PRESTADOR_FAT</v>
      </c>
      <c r="G11405" s="2" t="str">
        <f t="shared" si="990"/>
        <v xml:space="preserve"> ()</v>
      </c>
    </row>
    <row r="11406" spans="1:7" x14ac:dyDescent="0.3">
      <c r="A11406" s="1" t="s">
        <v>4</v>
      </c>
      <c r="B11406" s="2" t="str">
        <f t="shared" si="987"/>
        <v>SISTEMA DE GERENCIAMENTO PLANO DE SAÚDE</v>
      </c>
      <c r="C11406" s="2" t="str">
        <f>""</f>
        <v/>
      </c>
      <c r="D11406" s="2" t="str">
        <f t="shared" si="988"/>
        <v>SGPS</v>
      </c>
      <c r="E11406" s="2" t="str">
        <f>"PROTOCOLO DE AGENDAMENTO"</f>
        <v>PROTOCOLO DE AGENDAMENTO</v>
      </c>
      <c r="F11406" s="2" t="str">
        <f>"PROTOCOLO"</f>
        <v>PROTOCOLO</v>
      </c>
      <c r="G11406" s="2" t="str">
        <f t="shared" si="990"/>
        <v xml:space="preserve"> ()</v>
      </c>
    </row>
    <row r="11407" spans="1:7" x14ac:dyDescent="0.3">
      <c r="A11407" s="1" t="s">
        <v>4</v>
      </c>
      <c r="B11407" s="2" t="str">
        <f t="shared" si="987"/>
        <v>SISTEMA DE GERENCIAMENTO PLANO DE SAÚDE</v>
      </c>
      <c r="C11407" s="2" t="str">
        <f>""</f>
        <v/>
      </c>
      <c r="D11407" s="2" t="str">
        <f t="shared" si="988"/>
        <v>SGPS</v>
      </c>
      <c r="E11407" s="2" t="str">
        <f>"REL. SERV. X CAT. X FAIXA ET. X TIP. PLA"</f>
        <v>REL. SERV. X CAT. X FAIXA ET. X TIP. PLA</v>
      </c>
      <c r="F11407" s="2" t="str">
        <f>"R_SETCAT"</f>
        <v>R_SETCAT</v>
      </c>
      <c r="G11407" s="2" t="str">
        <f t="shared" si="990"/>
        <v xml:space="preserve"> ()</v>
      </c>
    </row>
    <row r="11408" spans="1:7" x14ac:dyDescent="0.3">
      <c r="A11408" s="1" t="s">
        <v>4</v>
      </c>
      <c r="B11408" s="2" t="str">
        <f t="shared" si="987"/>
        <v>SISTEMA DE GERENCIAMENTO PLANO DE SAÚDE</v>
      </c>
      <c r="C11408" s="2" t="str">
        <f>""</f>
        <v/>
      </c>
      <c r="D11408" s="2" t="str">
        <f t="shared" si="988"/>
        <v>SGPS</v>
      </c>
      <c r="E11408" s="2" t="str">
        <f>"RELATÓRIO DE FAIXAS ETÁRIAS"</f>
        <v>RELATÓRIO DE FAIXAS ETÁRIAS</v>
      </c>
      <c r="F11408" s="2" t="str">
        <f>"R_FXETARIA"</f>
        <v>R_FXETARIA</v>
      </c>
      <c r="G11408" s="2" t="str">
        <f>"MVSaude / Relatórios / Tabelas / Comercial / Faixas Etarias (R_FXETARIA)"</f>
        <v>MVSaude / Relatórios / Tabelas / Comercial / Faixas Etarias (R_FXETARIA)</v>
      </c>
    </row>
    <row r="11409" spans="1:7" x14ac:dyDescent="0.3">
      <c r="A11409" s="1" t="s">
        <v>4</v>
      </c>
      <c r="B11409" s="2" t="str">
        <f t="shared" si="987"/>
        <v>SISTEMA DE GERENCIAMENTO PLANO DE SAÚDE</v>
      </c>
      <c r="C11409" s="2" t="str">
        <f>""</f>
        <v/>
      </c>
      <c r="D11409" s="2" t="str">
        <f t="shared" si="988"/>
        <v>SGPS</v>
      </c>
      <c r="E11409" s="2" t="str">
        <f>"GRUPO DE FAIXA-ETARIA"</f>
        <v>GRUPO DE FAIXA-ETARIA</v>
      </c>
      <c r="F11409" s="2" t="str">
        <f>"M_FXETARIA"</f>
        <v>M_FXETARIA</v>
      </c>
      <c r="G11409" s="2" t="str">
        <f>"MVSaude / Cadastros / Faixas Etárias (M_FXETARIA)"</f>
        <v>MVSaude / Cadastros / Faixas Etárias (M_FXETARIA)</v>
      </c>
    </row>
    <row r="11410" spans="1:7" x14ac:dyDescent="0.3">
      <c r="A11410" s="1" t="s">
        <v>4</v>
      </c>
      <c r="B11410" s="2" t="str">
        <f t="shared" si="987"/>
        <v>SISTEMA DE GERENCIAMENTO PLANO DE SAÚDE</v>
      </c>
      <c r="C11410" s="2" t="str">
        <f>""</f>
        <v/>
      </c>
      <c r="D11410" s="2" t="str">
        <f t="shared" si="988"/>
        <v>SGPS</v>
      </c>
      <c r="E11410" s="2" t="str">
        <f>"CADASTRO DE PRESTADOR"</f>
        <v>CADASTRO DE PRESTADOR</v>
      </c>
      <c r="F11410" s="2" t="str">
        <f>"M_PRESTADOR"</f>
        <v>M_PRESTADOR</v>
      </c>
      <c r="G11410" s="2" t="str">
        <f>"MVSaude / Contas Médicas / Prestadores / Cadastro dos Prestadores (M_PRESTADOR)"</f>
        <v>MVSaude / Contas Médicas / Prestadores / Cadastro dos Prestadores (M_PRESTADOR)</v>
      </c>
    </row>
    <row r="11411" spans="1:7" x14ac:dyDescent="0.3">
      <c r="A11411" s="1" t="s">
        <v>4</v>
      </c>
      <c r="B11411" s="2" t="str">
        <f t="shared" si="987"/>
        <v>SISTEMA DE GERENCIAMENTO PLANO DE SAÚDE</v>
      </c>
      <c r="C11411" s="2" t="str">
        <f>""</f>
        <v/>
      </c>
      <c r="D11411" s="2" t="str">
        <f t="shared" si="988"/>
        <v>SGPS</v>
      </c>
      <c r="E11411" s="2" t="str">
        <f>"MOTIVOS DE BAIXA DE BENS"</f>
        <v>MOTIVOS DE BAIXA DE BENS</v>
      </c>
      <c r="F11411" s="2" t="str">
        <f>"M_MOT_BAI"</f>
        <v>M_MOT_BAI</v>
      </c>
      <c r="G11411" s="2" t="str">
        <f>" ()"</f>
        <v xml:space="preserve"> ()</v>
      </c>
    </row>
    <row r="11412" spans="1:7" x14ac:dyDescent="0.3">
      <c r="A11412" s="1" t="s">
        <v>4</v>
      </c>
      <c r="B11412" s="2" t="str">
        <f t="shared" si="987"/>
        <v>SISTEMA DE GERENCIAMENTO PLANO DE SAÚDE</v>
      </c>
      <c r="C11412" s="2" t="str">
        <f>""</f>
        <v/>
      </c>
      <c r="D11412" s="2" t="str">
        <f t="shared" si="988"/>
        <v>SGPS</v>
      </c>
      <c r="E11412" s="2" t="str">
        <f>"IMPORTAÇÃO DE COBRANÇAS DO BANCO"</f>
        <v>IMPORTAÇÃO DE COBRANÇAS DO BANCO</v>
      </c>
      <c r="F11412" s="2" t="str">
        <f>"O_REVISAO_GLOSA"</f>
        <v>O_REVISAO_GLOSA</v>
      </c>
      <c r="G11412" s="2" t="str">
        <f>" ()"</f>
        <v xml:space="preserve"> ()</v>
      </c>
    </row>
    <row r="11413" spans="1:7" x14ac:dyDescent="0.3">
      <c r="A11413" s="1" t="s">
        <v>4</v>
      </c>
      <c r="B11413" s="2" t="str">
        <f t="shared" si="987"/>
        <v>SISTEMA DE GERENCIAMENTO PLANO DE SAÚDE</v>
      </c>
      <c r="C11413" s="2" t="str">
        <f>""</f>
        <v/>
      </c>
      <c r="D11413" s="2" t="str">
        <f t="shared" si="988"/>
        <v>SGPS</v>
      </c>
      <c r="E11413" s="2" t="str">
        <f>"M_MOTIVOS_CANCELAMENTO"</f>
        <v>M_MOTIVOS_CANCELAMENTO</v>
      </c>
      <c r="F11413" s="2" t="str">
        <f>"M_MOTIVOS_CANCELAMENTO"</f>
        <v>M_MOTIVOS_CANCELAMENTO</v>
      </c>
      <c r="G11413" s="2" t="str">
        <f>"MVSaude / Faturamento / Motivos de Cancelamento (M_MOTIVOS_CANCELAMENTO)"</f>
        <v>MVSaude / Faturamento / Motivos de Cancelamento (M_MOTIVOS_CANCELAMENTO)</v>
      </c>
    </row>
    <row r="11414" spans="1:7" x14ac:dyDescent="0.3">
      <c r="A11414" s="1" t="s">
        <v>4</v>
      </c>
      <c r="B11414" s="2" t="str">
        <f t="shared" si="987"/>
        <v>SISTEMA DE GERENCIAMENTO PLANO DE SAÚDE</v>
      </c>
      <c r="C11414" s="2" t="str">
        <f>""</f>
        <v/>
      </c>
      <c r="D11414" s="2" t="str">
        <f t="shared" si="988"/>
        <v>SGPS</v>
      </c>
      <c r="E11414" s="2" t="str">
        <f>"CADASTRO: GRUPOS DE DIREITO"</f>
        <v>CADASTRO: GRUPOS DE DIREITO</v>
      </c>
      <c r="F11414" s="2" t="str">
        <f>"M_GRUDIR"</f>
        <v>M_GRUDIR</v>
      </c>
      <c r="G11414" s="2" t="str">
        <f>"MVSaude / Contas Médicas / Tabelas / Grupos de Direito (M_GRUDIR)"</f>
        <v>MVSaude / Contas Médicas / Tabelas / Grupos de Direito (M_GRUDIR)</v>
      </c>
    </row>
    <row r="11415" spans="1:7" x14ac:dyDescent="0.3">
      <c r="A11415" s="1" t="s">
        <v>4</v>
      </c>
      <c r="B11415" s="2" t="str">
        <f t="shared" si="987"/>
        <v>SISTEMA DE GERENCIAMENTO PLANO DE SAÚDE</v>
      </c>
      <c r="C11415" s="2" t="str">
        <f>""</f>
        <v/>
      </c>
      <c r="D11415" s="2" t="str">
        <f t="shared" si="988"/>
        <v>SGPS</v>
      </c>
      <c r="E11415" s="2" t="str">
        <f>"M_MOTIVOS_CANCELA_MENS"</f>
        <v>M_MOTIVOS_CANCELA_MENS</v>
      </c>
      <c r="F11415" s="2" t="str">
        <f>"M_MOTIVOS_CANCELA_MENS"</f>
        <v>M_MOTIVOS_CANCELA_MENS</v>
      </c>
      <c r="G11415" s="2" t="str">
        <f>" ()"</f>
        <v xml:space="preserve"> ()</v>
      </c>
    </row>
    <row r="11416" spans="1:7" x14ac:dyDescent="0.3">
      <c r="A11416" s="1" t="s">
        <v>4</v>
      </c>
      <c r="B11416" s="2" t="str">
        <f t="shared" si="987"/>
        <v>SISTEMA DE GERENCIAMENTO PLANO DE SAÚDE</v>
      </c>
      <c r="C11416" s="2" t="str">
        <f>""</f>
        <v/>
      </c>
      <c r="D11416" s="2" t="str">
        <f t="shared" si="988"/>
        <v>SGPS</v>
      </c>
      <c r="E11416" s="2" t="str">
        <f>"CANCELAMENTO: BORDERÔ"</f>
        <v>CANCELAMENTO: BORDERÔ</v>
      </c>
      <c r="F11416" s="2" t="str">
        <f>"O_ARQ_RETORNO"</f>
        <v>O_ARQ_RETORNO</v>
      </c>
      <c r="G11416" s="2" t="str">
        <f>" ()"</f>
        <v xml:space="preserve"> ()</v>
      </c>
    </row>
    <row r="11417" spans="1:7" x14ac:dyDescent="0.3">
      <c r="A11417" s="1" t="s">
        <v>4</v>
      </c>
      <c r="B11417" s="2" t="str">
        <f t="shared" si="987"/>
        <v>SISTEMA DE GERENCIAMENTO PLANO DE SAÚDE</v>
      </c>
      <c r="C11417" s="2" t="str">
        <f>""</f>
        <v/>
      </c>
      <c r="D11417" s="2" t="str">
        <f t="shared" si="988"/>
        <v>SGPS</v>
      </c>
      <c r="E11417" s="2" t="str">
        <f>"GERAÇÃO DOS ARQUIVOS EM MEIO MANÉTICO"</f>
        <v>GERAÇÃO DOS ARQUIVOS EM MEIO MANÉTICO</v>
      </c>
      <c r="F11417" s="2" t="str">
        <f>"O_GERA_ARQMAG_FCESP"</f>
        <v>O_GERA_ARQMAG_FCESP</v>
      </c>
      <c r="G11417" s="2" t="str">
        <f>" ()"</f>
        <v xml:space="preserve"> ()</v>
      </c>
    </row>
    <row r="11418" spans="1:7" x14ac:dyDescent="0.3">
      <c r="A11418" s="1" t="s">
        <v>4</v>
      </c>
      <c r="B11418" s="2" t="str">
        <f t="shared" si="987"/>
        <v>SISTEMA DE GERENCIAMENTO PLANO DE SAÚDE</v>
      </c>
      <c r="C11418" s="2" t="str">
        <f>""</f>
        <v/>
      </c>
      <c r="D11418" s="2" t="str">
        <f t="shared" si="988"/>
        <v>SGPS</v>
      </c>
      <c r="E11418" s="2" t="str">
        <f>"ADMREP - CADASTRO : SITES"</f>
        <v>ADMREP - CADASTRO : SITES</v>
      </c>
      <c r="F11418" s="2" t="str">
        <f>"C_STAT_JOB"</f>
        <v>C_STAT_JOB</v>
      </c>
      <c r="G11418" s="2" t="str">
        <f>" ()"</f>
        <v xml:space="preserve"> ()</v>
      </c>
    </row>
    <row r="11419" spans="1:7" x14ac:dyDescent="0.3">
      <c r="A11419" s="1" t="s">
        <v>4</v>
      </c>
      <c r="B11419" s="2" t="str">
        <f t="shared" si="987"/>
        <v>SISTEMA DE GERENCIAMENTO PLANO DE SAÚDE</v>
      </c>
      <c r="C11419" s="2" t="str">
        <f>""</f>
        <v/>
      </c>
      <c r="D11419" s="2" t="str">
        <f t="shared" si="988"/>
        <v>SGPS</v>
      </c>
      <c r="E11419" s="2" t="str">
        <f>"GERAÇÃO DOS ARQUIVOS EM MEIO MANÉTICO"</f>
        <v>GERAÇÃO DOS ARQUIVOS EM MEIO MANÉTICO</v>
      </c>
      <c r="F11419" s="2" t="str">
        <f>"O_GERA_ARQMAG_IPE"</f>
        <v>O_GERA_ARQMAG_IPE</v>
      </c>
      <c r="G11419" s="2" t="str">
        <f>"Faturamento / Faturamento de Convênios e Particulares / Lançamentos / Arquivo Magnético / Envio / IPERGS (O_GERA_ARQMAG_IPE)"</f>
        <v>Faturamento / Faturamento de Convênios e Particulares / Lançamentos / Arquivo Magnético / Envio / IPERGS (O_GERA_ARQMAG_IPE)</v>
      </c>
    </row>
    <row r="11420" spans="1:7" x14ac:dyDescent="0.3">
      <c r="A11420" s="1" t="s">
        <v>4</v>
      </c>
      <c r="B11420" s="2" t="str">
        <f t="shared" si="987"/>
        <v>SISTEMA DE GERENCIAMENTO PLANO DE SAÚDE</v>
      </c>
      <c r="C11420" s="2" t="str">
        <f>""</f>
        <v/>
      </c>
      <c r="D11420" s="2" t="str">
        <f t="shared" si="988"/>
        <v>SGPS</v>
      </c>
      <c r="E11420" s="2" t="str">
        <f>"PROCESSAMENTO DE COBRANÇA BANCÁRIA"</f>
        <v>PROCESSAMENTO DE COBRANÇA BANCÁRIA</v>
      </c>
      <c r="F11420" s="2" t="str">
        <f>"C_PROCESS_CB"</f>
        <v>C_PROCESS_CB</v>
      </c>
      <c r="G11420" s="2" t="str">
        <f t="shared" ref="G11420:G11425" si="991">" ()"</f>
        <v xml:space="preserve"> ()</v>
      </c>
    </row>
    <row r="11421" spans="1:7" x14ac:dyDescent="0.3">
      <c r="A11421" s="1" t="s">
        <v>4</v>
      </c>
      <c r="B11421" s="2" t="str">
        <f t="shared" si="987"/>
        <v>SISTEMA DE GERENCIAMENTO PLANO DE SAÚDE</v>
      </c>
      <c r="C11421" s="2" t="str">
        <f>""</f>
        <v/>
      </c>
      <c r="D11421" s="2" t="str">
        <f t="shared" si="988"/>
        <v>SGPS</v>
      </c>
      <c r="E11421" s="2" t="str">
        <f>"O_GERARQMS_301"</f>
        <v>O_GERARQMS_301</v>
      </c>
      <c r="F11421" s="2" t="str">
        <f>"O_GERARQMS_301"</f>
        <v>O_GERARQMS_301</v>
      </c>
      <c r="G11421" s="2" t="str">
        <f t="shared" si="991"/>
        <v xml:space="preserve"> ()</v>
      </c>
    </row>
    <row r="11422" spans="1:7" x14ac:dyDescent="0.3">
      <c r="A11422" s="1" t="s">
        <v>4</v>
      </c>
      <c r="B11422" s="2" t="str">
        <f t="shared" si="987"/>
        <v>SISTEMA DE GERENCIAMENTO PLANO DE SAÚDE</v>
      </c>
      <c r="C11422" s="2" t="str">
        <f>""</f>
        <v/>
      </c>
      <c r="D11422" s="2" t="str">
        <f t="shared" si="988"/>
        <v>SGPS</v>
      </c>
      <c r="E11422" s="2" t="str">
        <f>"IMPORTAÇÃO DE COBRANÇAS DO BANCO"</f>
        <v>IMPORTAÇÃO DE COBRANÇAS DO BANCO</v>
      </c>
      <c r="F11422" s="2" t="str">
        <f>"M_GRAU_PARENTESCO"</f>
        <v>M_GRAU_PARENTESCO</v>
      </c>
      <c r="G11422" s="2" t="str">
        <f t="shared" si="991"/>
        <v xml:space="preserve"> ()</v>
      </c>
    </row>
    <row r="11423" spans="1:7" x14ac:dyDescent="0.3">
      <c r="A11423" s="1" t="s">
        <v>4</v>
      </c>
      <c r="B11423" s="2" t="str">
        <f t="shared" si="987"/>
        <v>SISTEMA DE GERENCIAMENTO PLANO DE SAÚDE</v>
      </c>
      <c r="C11423" s="2" t="str">
        <f>""</f>
        <v/>
      </c>
      <c r="D11423" s="2" t="str">
        <f t="shared" si="988"/>
        <v>SGPS</v>
      </c>
      <c r="E11423" s="2" t="str">
        <f>"ESTIMATIVA DE FATURAMENTO"</f>
        <v>ESTIMATIVA DE FATURAMENTO</v>
      </c>
      <c r="F11423" s="2" t="str">
        <f>"C_RECEITA_DESPESA_COMPETENCIA"</f>
        <v>C_RECEITA_DESPESA_COMPETENCIA</v>
      </c>
      <c r="G11423" s="2" t="str">
        <f t="shared" si="991"/>
        <v xml:space="preserve"> ()</v>
      </c>
    </row>
    <row r="11424" spans="1:7" x14ac:dyDescent="0.3">
      <c r="A11424" s="1" t="s">
        <v>4</v>
      </c>
      <c r="B11424" s="2" t="str">
        <f t="shared" si="987"/>
        <v>SISTEMA DE GERENCIAMENTO PLANO DE SAÚDE</v>
      </c>
      <c r="C11424" s="2" t="str">
        <f>""</f>
        <v/>
      </c>
      <c r="D11424" s="2" t="str">
        <f t="shared" si="988"/>
        <v>SGPS</v>
      </c>
      <c r="E11424" s="2" t="str">
        <f>"CADASTRO: MÉDICOS"</f>
        <v>CADASTRO: MÉDICOS</v>
      </c>
      <c r="F11424" s="2" t="str">
        <f>"M_LISTAGENDADOS"</f>
        <v>M_LISTAGENDADOS</v>
      </c>
      <c r="G11424" s="2" t="str">
        <f t="shared" si="991"/>
        <v xml:space="preserve"> ()</v>
      </c>
    </row>
    <row r="11425" spans="1:7" x14ac:dyDescent="0.3">
      <c r="A11425" s="1" t="s">
        <v>4</v>
      </c>
      <c r="B11425" s="2" t="str">
        <f t="shared" si="987"/>
        <v>SISTEMA DE GERENCIAMENTO PLANO DE SAÚDE</v>
      </c>
      <c r="C11425" s="2" t="str">
        <f>""</f>
        <v/>
      </c>
      <c r="D11425" s="2" t="str">
        <f t="shared" si="988"/>
        <v>SGPS</v>
      </c>
      <c r="E11425" s="2" t="str">
        <f>"M_REGRA_DEP_AGR"</f>
        <v>M_REGRA_DEP_AGR</v>
      </c>
      <c r="F11425" s="2" t="str">
        <f>"M_REGRA_DEP_AGR"</f>
        <v>M_REGRA_DEP_AGR</v>
      </c>
      <c r="G11425" s="2" t="str">
        <f t="shared" si="991"/>
        <v xml:space="preserve"> ()</v>
      </c>
    </row>
    <row r="11426" spans="1:7" x14ac:dyDescent="0.3">
      <c r="A11426" s="1" t="s">
        <v>4</v>
      </c>
      <c r="B11426" s="2" t="str">
        <f t="shared" si="987"/>
        <v>SISTEMA DE GERENCIAMENTO PLANO DE SAÚDE</v>
      </c>
      <c r="C11426" s="2" t="str">
        <f>""</f>
        <v/>
      </c>
      <c r="D11426" s="2" t="str">
        <f t="shared" si="988"/>
        <v>SGPS</v>
      </c>
      <c r="E11426" s="2" t="str">
        <f>"LIBERAR / TROCAR PROCESSAMENTO"</f>
        <v>LIBERAR / TROCAR PROCESSAMENTO</v>
      </c>
      <c r="F11426" s="2" t="str">
        <f>"O_LIB_TROCA_PROCESS"</f>
        <v>O_LIB_TROCA_PROCESS</v>
      </c>
      <c r="G11426" s="2" t="str">
        <f>"MVSaude / Faturamento / Liberar / Trocar Lote de Cobrança (O_LIB_TROCA_PROCESS)"</f>
        <v>MVSaude / Faturamento / Liberar / Trocar Lote de Cobrança (O_LIB_TROCA_PROCESS)</v>
      </c>
    </row>
    <row r="11427" spans="1:7" x14ac:dyDescent="0.3">
      <c r="A11427" s="1" t="s">
        <v>4</v>
      </c>
      <c r="B11427" s="2" t="str">
        <f t="shared" si="987"/>
        <v>SISTEMA DE GERENCIAMENTO PLANO DE SAÚDE</v>
      </c>
      <c r="C11427" s="2" t="str">
        <f>""</f>
        <v/>
      </c>
      <c r="D11427" s="2" t="str">
        <f t="shared" si="988"/>
        <v>SGPS</v>
      </c>
      <c r="E11427" s="2" t="str">
        <f>"FAIXA DE 65 À 70"</f>
        <v>FAIXA DE 65 À 70</v>
      </c>
      <c r="F11427" s="2" t="str">
        <f>"C_FAIXA_65_A_70_752"</f>
        <v>C_FAIXA_65_A_70_752</v>
      </c>
      <c r="G11427" s="2" t="str">
        <f>" ()"</f>
        <v xml:space="preserve"> ()</v>
      </c>
    </row>
    <row r="11428" spans="1:7" x14ac:dyDescent="0.3">
      <c r="A11428" s="1" t="s">
        <v>4</v>
      </c>
      <c r="B11428" s="2" t="str">
        <f t="shared" si="987"/>
        <v>SISTEMA DE GERENCIAMENTO PLANO DE SAÚDE</v>
      </c>
      <c r="C11428" s="2" t="str">
        <f>""</f>
        <v/>
      </c>
      <c r="D11428" s="2" t="str">
        <f t="shared" si="988"/>
        <v>SGPS</v>
      </c>
      <c r="E11428" s="2" t="str">
        <f>"ESTATÍSTICA DIÁRIA ( CONTRATOS / VIDAS )"</f>
        <v>ESTATÍSTICA DIÁRIA ( CONTRATOS / VIDAS )</v>
      </c>
      <c r="F11428" s="2" t="str">
        <f>"C_ESTAT_MOV_EMPRESA_752"</f>
        <v>C_ESTAT_MOV_EMPRESA_752</v>
      </c>
      <c r="G11428" s="2" t="str">
        <f>" ()"</f>
        <v xml:space="preserve"> ()</v>
      </c>
    </row>
    <row r="11429" spans="1:7" x14ac:dyDescent="0.3">
      <c r="A11429" s="1" t="s">
        <v>4</v>
      </c>
      <c r="B11429" s="2" t="str">
        <f t="shared" si="987"/>
        <v>SISTEMA DE GERENCIAMENTO PLANO DE SAÚDE</v>
      </c>
      <c r="C11429" s="2" t="str">
        <f>""</f>
        <v/>
      </c>
      <c r="D11429" s="2" t="str">
        <f t="shared" si="988"/>
        <v>SGPS</v>
      </c>
      <c r="E11429" s="2" t="str">
        <f>"CRÉDITO/DÉBITO LINEAR"</f>
        <v>CRÉDITO/DÉBITO LINEAR</v>
      </c>
      <c r="F11429" s="2" t="str">
        <f>"M_PRESTADOR_CREDITO_DEBITO"</f>
        <v>M_PRESTADOR_CREDITO_DEBITO</v>
      </c>
      <c r="G11429" s="2" t="str">
        <f>"MVSaude / Contas Médicas / Glosa / Recurso Linear (M_PRESTADOR_CREDITO_DEBITO)"</f>
        <v>MVSaude / Contas Médicas / Glosa / Recurso Linear (M_PRESTADOR_CREDITO_DEBITO)</v>
      </c>
    </row>
    <row r="11430" spans="1:7" x14ac:dyDescent="0.3">
      <c r="A11430" s="1" t="s">
        <v>4</v>
      </c>
      <c r="B11430" s="2" t="str">
        <f t="shared" si="987"/>
        <v>SISTEMA DE GERENCIAMENTO PLANO DE SAÚDE</v>
      </c>
      <c r="C11430" s="2" t="str">
        <f>""</f>
        <v/>
      </c>
      <c r="D11430" s="2" t="str">
        <f t="shared" si="988"/>
        <v>SGPS</v>
      </c>
      <c r="E11430" s="2" t="str">
        <f>"COTAS DE CONSULTAS"</f>
        <v>COTAS DE CONSULTAS</v>
      </c>
      <c r="F11430" s="2" t="str">
        <f>"ALT_M_COTA_CONSULTA"</f>
        <v>ALT_M_COTA_CONSULTA</v>
      </c>
      <c r="G11430" s="2" t="str">
        <f t="shared" ref="G11430:G11445" si="992">" ()"</f>
        <v xml:space="preserve"> ()</v>
      </c>
    </row>
    <row r="11431" spans="1:7" x14ac:dyDescent="0.3">
      <c r="A11431" s="1" t="s">
        <v>4</v>
      </c>
      <c r="B11431" s="2" t="str">
        <f t="shared" si="987"/>
        <v>SISTEMA DE GERENCIAMENTO PLANO DE SAÚDE</v>
      </c>
      <c r="C11431" s="2" t="str">
        <f>""</f>
        <v/>
      </c>
      <c r="D11431" s="2" t="str">
        <f t="shared" si="988"/>
        <v>SGPS</v>
      </c>
      <c r="E11431" s="2" t="str">
        <f>"C_SALDO_SETOROLD"</f>
        <v>C_SALDO_SETOROLD</v>
      </c>
      <c r="F11431" s="2" t="str">
        <f>"C_SALDO_SETOROLD"</f>
        <v>C_SALDO_SETOROLD</v>
      </c>
      <c r="G11431" s="2" t="str">
        <f t="shared" si="992"/>
        <v xml:space="preserve"> ()</v>
      </c>
    </row>
    <row r="11432" spans="1:7" x14ac:dyDescent="0.3">
      <c r="A11432" s="1" t="s">
        <v>4</v>
      </c>
      <c r="B11432" s="2" t="str">
        <f t="shared" si="987"/>
        <v>SISTEMA DE GERENCIAMENTO PLANO DE SAÚDE</v>
      </c>
      <c r="C11432" s="2" t="str">
        <f>""</f>
        <v/>
      </c>
      <c r="D11432" s="2" t="str">
        <f t="shared" si="988"/>
        <v>SGPS</v>
      </c>
      <c r="E11432" s="2" t="str">
        <f>"IMPORTAÇÃO DE PREÇOS DO BRASINDICE"</f>
        <v>IMPORTAÇÃO DE PREÇOS DO BRASINDICE</v>
      </c>
      <c r="F11432" s="2" t="str">
        <f>"O_GERACITO"</f>
        <v>O_GERACITO</v>
      </c>
      <c r="G11432" s="2" t="str">
        <f t="shared" si="992"/>
        <v xml:space="preserve"> ()</v>
      </c>
    </row>
    <row r="11433" spans="1:7" x14ac:dyDescent="0.3">
      <c r="A11433" s="1" t="s">
        <v>4</v>
      </c>
      <c r="B11433" s="2" t="str">
        <f t="shared" si="987"/>
        <v>SISTEMA DE GERENCIAMENTO PLANO DE SAÚDE</v>
      </c>
      <c r="C11433" s="2" t="str">
        <f>""</f>
        <v/>
      </c>
      <c r="D11433" s="2" t="str">
        <f t="shared" si="988"/>
        <v>SGPS</v>
      </c>
      <c r="E11433" s="2" t="str">
        <f>"RELATÓRIO DA RDC 85 - ANEXO II"</f>
        <v>RELATÓRIO DA RDC 85 - ANEXO II</v>
      </c>
      <c r="F11433" s="2" t="str">
        <f>"R_RDC85_ANEXO_II"</f>
        <v>R_RDC85_ANEXO_II</v>
      </c>
      <c r="G11433" s="2" t="str">
        <f t="shared" si="992"/>
        <v xml:space="preserve"> ()</v>
      </c>
    </row>
    <row r="11434" spans="1:7" x14ac:dyDescent="0.3">
      <c r="A11434" s="1" t="s">
        <v>4</v>
      </c>
      <c r="B11434" s="2" t="str">
        <f t="shared" si="987"/>
        <v>SISTEMA DE GERENCIAMENTO PLANO DE SAÚDE</v>
      </c>
      <c r="C11434" s="2" t="str">
        <f>""</f>
        <v/>
      </c>
      <c r="D11434" s="2" t="str">
        <f t="shared" si="988"/>
        <v>SGPS</v>
      </c>
      <c r="E11434" s="2" t="str">
        <f>"TRANSFERÊNCIA DE COTAS"</f>
        <v>TRANSFERÊNCIA DE COTAS</v>
      </c>
      <c r="F11434" s="2" t="str">
        <f>"O_TRACOTA"</f>
        <v>O_TRACOTA</v>
      </c>
      <c r="G11434" s="2" t="str">
        <f t="shared" si="992"/>
        <v xml:space="preserve"> ()</v>
      </c>
    </row>
    <row r="11435" spans="1:7" x14ac:dyDescent="0.3">
      <c r="A11435" s="1" t="s">
        <v>4</v>
      </c>
      <c r="B11435" s="2" t="str">
        <f t="shared" si="987"/>
        <v>SISTEMA DE GERENCIAMENTO PLANO DE SAÚDE</v>
      </c>
      <c r="C11435" s="2" t="str">
        <f>""</f>
        <v/>
      </c>
      <c r="D11435" s="2" t="str">
        <f t="shared" si="988"/>
        <v>SGPS</v>
      </c>
      <c r="E11435" s="2" t="str">
        <f>"GERAÇÃO DOS ARQUIVOS EM MEIO MANÉTICO"</f>
        <v>GERAÇÃO DOS ARQUIVOS EM MEIO MANÉTICO</v>
      </c>
      <c r="F11435" s="2" t="str">
        <f>"O_GERA_ARQMAG_PLAMTEL"</f>
        <v>O_GERA_ARQMAG_PLAMTEL</v>
      </c>
      <c r="G11435" s="2" t="str">
        <f t="shared" si="992"/>
        <v xml:space="preserve"> ()</v>
      </c>
    </row>
    <row r="11436" spans="1:7" x14ac:dyDescent="0.3">
      <c r="A11436" s="1" t="s">
        <v>4</v>
      </c>
      <c r="B11436" s="2" t="str">
        <f t="shared" si="987"/>
        <v>SISTEMA DE GERENCIAMENTO PLANO DE SAÚDE</v>
      </c>
      <c r="C11436" s="2" t="str">
        <f>""</f>
        <v/>
      </c>
      <c r="D11436" s="2" t="str">
        <f t="shared" si="988"/>
        <v>SGPS</v>
      </c>
      <c r="E11436" s="2" t="str">
        <f>"M_UNIVEND"</f>
        <v>M_UNIVEND</v>
      </c>
      <c r="F11436" s="2" t="str">
        <f>"M_UNIVEND"</f>
        <v>M_UNIVEND</v>
      </c>
      <c r="G11436" s="2" t="str">
        <f t="shared" si="992"/>
        <v xml:space="preserve"> ()</v>
      </c>
    </row>
    <row r="11437" spans="1:7" x14ac:dyDescent="0.3">
      <c r="A11437" s="1" t="s">
        <v>4</v>
      </c>
      <c r="B11437" s="2" t="str">
        <f t="shared" ref="B11437:B11444" si="993">"SISTEMA DE GERENCIAMENTO PLANO DE SAÚDE"</f>
        <v>SISTEMA DE GERENCIAMENTO PLANO DE SAÚDE</v>
      </c>
      <c r="C11437" s="2" t="str">
        <f>""</f>
        <v/>
      </c>
      <c r="D11437" s="2" t="str">
        <f t="shared" ref="D11437:D11444" si="994">"SGPS"</f>
        <v>SGPS</v>
      </c>
      <c r="E11437" s="2" t="str">
        <f>"CADASTRO DE ORÇAMENTOS"</f>
        <v>CADASTRO DE ORÇAMENTOS</v>
      </c>
      <c r="F11437" s="2" t="str">
        <f>"M_CAD_ORC"</f>
        <v>M_CAD_ORC</v>
      </c>
      <c r="G11437" s="2" t="str">
        <f t="shared" si="992"/>
        <v xml:space="preserve"> ()</v>
      </c>
    </row>
    <row r="11438" spans="1:7" x14ac:dyDescent="0.3">
      <c r="A11438" s="1" t="s">
        <v>4</v>
      </c>
      <c r="B11438" s="2" t="str">
        <f t="shared" si="993"/>
        <v>SISTEMA DE GERENCIAMENTO PLANO DE SAÚDE</v>
      </c>
      <c r="C11438" s="2" t="str">
        <f>""</f>
        <v/>
      </c>
      <c r="D11438" s="2" t="str">
        <f t="shared" si="994"/>
        <v>SGPS</v>
      </c>
      <c r="E11438" s="2" t="str">
        <f>"M_AR_GRUPOS"</f>
        <v>M_AR_GRUPOS</v>
      </c>
      <c r="F11438" s="2" t="str">
        <f>"M_AR_GRUPOS"</f>
        <v>M_AR_GRUPOS</v>
      </c>
      <c r="G11438" s="2" t="str">
        <f t="shared" si="992"/>
        <v xml:space="preserve"> ()</v>
      </c>
    </row>
    <row r="11439" spans="1:7" x14ac:dyDescent="0.3">
      <c r="A11439" s="1" t="s">
        <v>4</v>
      </c>
      <c r="B11439" s="2" t="str">
        <f t="shared" si="993"/>
        <v>SISTEMA DE GERENCIAMENTO PLANO DE SAÚDE</v>
      </c>
      <c r="C11439" s="2" t="str">
        <f>""</f>
        <v/>
      </c>
      <c r="D11439" s="2" t="str">
        <f t="shared" si="994"/>
        <v>SGPS</v>
      </c>
      <c r="E11439" s="2" t="str">
        <f>"M_AR_ATU_REGRAS"</f>
        <v>M_AR_ATU_REGRAS</v>
      </c>
      <c r="F11439" s="2" t="str">
        <f>"M_AR_ATU_REGRAS"</f>
        <v>M_AR_ATU_REGRAS</v>
      </c>
      <c r="G11439" s="2" t="str">
        <f t="shared" si="992"/>
        <v xml:space="preserve"> ()</v>
      </c>
    </row>
    <row r="11440" spans="1:7" x14ac:dyDescent="0.3">
      <c r="A11440" s="1" t="s">
        <v>4</v>
      </c>
      <c r="B11440" s="2" t="str">
        <f t="shared" si="993"/>
        <v>SISTEMA DE GERENCIAMENTO PLANO DE SAÚDE</v>
      </c>
      <c r="C11440" s="2" t="str">
        <f>""</f>
        <v/>
      </c>
      <c r="D11440" s="2" t="str">
        <f t="shared" si="994"/>
        <v>SGPS</v>
      </c>
      <c r="E11440" s="2" t="str">
        <f>"ADAPTAÇÃO DE CONTRATOS"</f>
        <v>ADAPTAÇÃO DE CONTRATOS</v>
      </c>
      <c r="F11440" s="2" t="str">
        <f>"C_ADAPTACAO_CONTRATO_752"</f>
        <v>C_ADAPTACAO_CONTRATO_752</v>
      </c>
      <c r="G11440" s="2" t="str">
        <f t="shared" si="992"/>
        <v xml:space="preserve"> ()</v>
      </c>
    </row>
    <row r="11441" spans="1:7" x14ac:dyDescent="0.3">
      <c r="A11441" s="1" t="s">
        <v>4</v>
      </c>
      <c r="B11441" s="2" t="str">
        <f t="shared" si="993"/>
        <v>SISTEMA DE GERENCIAMENTO PLANO DE SAÚDE</v>
      </c>
      <c r="C11441" s="2" t="str">
        <f>""</f>
        <v/>
      </c>
      <c r="D11441" s="2" t="str">
        <f t="shared" si="994"/>
        <v>SGPS</v>
      </c>
      <c r="E11441" s="2" t="str">
        <f>"COBRANÇA BANCÁRIA - GERAÇÃO"</f>
        <v>COBRANÇA BANCÁRIA - GERAÇÃO</v>
      </c>
      <c r="F11441" s="2" t="str">
        <f>"M_EMICAR_VIPVIDA"</f>
        <v>M_EMICAR_VIPVIDA</v>
      </c>
      <c r="G11441" s="2" t="str">
        <f t="shared" si="992"/>
        <v xml:space="preserve"> ()</v>
      </c>
    </row>
    <row r="11442" spans="1:7" x14ac:dyDescent="0.3">
      <c r="A11442" s="1" t="s">
        <v>4</v>
      </c>
      <c r="B11442" s="2" t="str">
        <f t="shared" si="993"/>
        <v>SISTEMA DE GERENCIAMENTO PLANO DE SAÚDE</v>
      </c>
      <c r="C11442" s="2" t="str">
        <f>""</f>
        <v/>
      </c>
      <c r="D11442" s="2" t="str">
        <f t="shared" si="994"/>
        <v>SGPS</v>
      </c>
      <c r="E11442" s="2" t="str">
        <f>"M_CONSULTA_USU"</f>
        <v>M_CONSULTA_USU</v>
      </c>
      <c r="F11442" s="2" t="str">
        <f>"M_CONSULTA_USU"</f>
        <v>M_CONSULTA_USU</v>
      </c>
      <c r="G11442" s="2" t="str">
        <f t="shared" si="992"/>
        <v xml:space="preserve"> ()</v>
      </c>
    </row>
    <row r="11443" spans="1:7" x14ac:dyDescent="0.3">
      <c r="A11443" s="1" t="s">
        <v>4</v>
      </c>
      <c r="B11443" s="2" t="str">
        <f t="shared" si="993"/>
        <v>SISTEMA DE GERENCIAMENTO PLANO DE SAÚDE</v>
      </c>
      <c r="C11443" s="2" t="str">
        <f>""</f>
        <v/>
      </c>
      <c r="D11443" s="2" t="str">
        <f t="shared" si="994"/>
        <v>SGPS</v>
      </c>
      <c r="E11443" s="2" t="str">
        <f>"CADASTRO: MENSALIDADES PARA PLANOS"</f>
        <v>CADASTRO: MENSALIDADES PARA PLANOS</v>
      </c>
      <c r="F11443" s="2" t="str">
        <f>"M_VALMEN"</f>
        <v>M_VALMEN</v>
      </c>
      <c r="G11443" s="2" t="str">
        <f t="shared" si="992"/>
        <v xml:space="preserve"> ()</v>
      </c>
    </row>
    <row r="11444" spans="1:7" x14ac:dyDescent="0.3">
      <c r="A11444" s="1" t="s">
        <v>4</v>
      </c>
      <c r="B11444" s="2" t="str">
        <f t="shared" si="993"/>
        <v>SISTEMA DE GERENCIAMENTO PLANO DE SAÚDE</v>
      </c>
      <c r="C11444" s="2" t="str">
        <f>""</f>
        <v/>
      </c>
      <c r="D11444" s="2" t="str">
        <f t="shared" si="994"/>
        <v>SGPS</v>
      </c>
      <c r="E11444" s="2" t="str">
        <f>"ESTATÍSTICA DIÁRIA ( CONTRATOS / VIDAS )"</f>
        <v>ESTATÍSTICA DIÁRIA ( CONTRATOS / VIDAS )</v>
      </c>
      <c r="F11444" s="2" t="str">
        <f>"C_ESTAT_VIDA_CONT_GERAL_752"</f>
        <v>C_ESTAT_VIDA_CONT_GERAL_752</v>
      </c>
      <c r="G11444" s="2" t="str">
        <f t="shared" si="992"/>
        <v xml:space="preserve"> ()</v>
      </c>
    </row>
    <row r="11445" spans="1:7" x14ac:dyDescent="0.3">
      <c r="A11445" s="1" t="s">
        <v>4</v>
      </c>
      <c r="B11445" s="2" t="str">
        <f t="shared" ref="B11445:B11508" si="995">"SISTEMA DE GERENCIAMENTO DE USUÁRIOS"</f>
        <v>SISTEMA DE GERENCIAMENTO DE USUÁRIOS</v>
      </c>
      <c r="C11445" s="2" t="str">
        <f t="shared" ref="C11445:C11508" si="996">"GLOBAL"</f>
        <v>GLOBAL</v>
      </c>
      <c r="D11445" s="2" t="str">
        <f t="shared" ref="D11445:D11508" si="997">"SGU"</f>
        <v>SGU</v>
      </c>
      <c r="E11445" s="2" t="str">
        <f>"RELATÓRIO DE USUÁRIOS POR OPÇÃO"</f>
        <v>RELATÓRIO DE USUÁRIOS POR OPÇÃO</v>
      </c>
      <c r="F11445" s="2" t="str">
        <f>"R_USU_OPC.RDF"</f>
        <v>R_USU_OPC.RDF</v>
      </c>
      <c r="G11445" s="2" t="str">
        <f t="shared" si="992"/>
        <v xml:space="preserve"> ()</v>
      </c>
    </row>
    <row r="11446" spans="1:7" x14ac:dyDescent="0.3">
      <c r="A11446" s="1" t="s">
        <v>4</v>
      </c>
      <c r="B11446" s="2" t="str">
        <f t="shared" si="995"/>
        <v>SISTEMA DE GERENCIAMENTO DE USUÁRIOS</v>
      </c>
      <c r="C11446" s="2" t="str">
        <f t="shared" si="996"/>
        <v>GLOBAL</v>
      </c>
      <c r="D11446" s="2" t="str">
        <f t="shared" si="997"/>
        <v>SGU</v>
      </c>
      <c r="E11446" s="2" t="str">
        <f>"CONFIGURAÇÃO DO SISTEMA"</f>
        <v>CONFIGURAÇÃO DO SISTEMA</v>
      </c>
      <c r="F11446" s="2" t="str">
        <f>"M_CONFIGURA_SGU"</f>
        <v>M_CONFIGURA_SGU</v>
      </c>
      <c r="G11446" s="2" t="str">
        <f>"Apoio a TI / Gestão de Usuários / Tabelas / Configuração (M_CONFIGURA_SGU)"</f>
        <v>Apoio a TI / Gestão de Usuários / Tabelas / Configuração (M_CONFIGURA_SGU)</v>
      </c>
    </row>
    <row r="11447" spans="1:7" x14ac:dyDescent="0.3">
      <c r="A11447" s="1" t="s">
        <v>4</v>
      </c>
      <c r="B11447" s="2" t="str">
        <f t="shared" si="995"/>
        <v>SISTEMA DE GERENCIAMENTO DE USUÁRIOS</v>
      </c>
      <c r="C11447" s="2" t="str">
        <f t="shared" si="996"/>
        <v>GLOBAL</v>
      </c>
      <c r="D11447" s="2" t="str">
        <f t="shared" si="997"/>
        <v>SGU</v>
      </c>
      <c r="E11447" s="2" t="str">
        <f>"Configuração de Menu por Atividade"</f>
        <v>Configuração de Menu por Atividade</v>
      </c>
      <c r="F11447" s="2" t="str">
        <f>"M_MENU_PROCESSO"</f>
        <v>M_MENU_PROCESSO</v>
      </c>
      <c r="G11447" s="2" t="str">
        <f>" ()"</f>
        <v xml:space="preserve"> ()</v>
      </c>
    </row>
    <row r="11448" spans="1:7" x14ac:dyDescent="0.3">
      <c r="A11448" s="1" t="s">
        <v>4</v>
      </c>
      <c r="B11448" s="2" t="str">
        <f t="shared" si="995"/>
        <v>SISTEMA DE GERENCIAMENTO DE USUÁRIOS</v>
      </c>
      <c r="C11448" s="2" t="str">
        <f t="shared" si="996"/>
        <v>GLOBAL</v>
      </c>
      <c r="D11448" s="2" t="str">
        <f t="shared" si="997"/>
        <v>SGU</v>
      </c>
      <c r="E11448" s="2" t="str">
        <f>"Configuração: Cadastro de Usuários"</f>
        <v>Configuração: Cadastro de Usuários</v>
      </c>
      <c r="F11448" s="2" t="str">
        <f>"M_CONFIGURACAO_USUARIO"</f>
        <v>M_CONFIGURACAO_USUARIO</v>
      </c>
      <c r="G11448" s="2" t="str">
        <f>"Apoio a TI / Gestão de Usuários / Tabelas / Configuração: Cadastro de Usuários (M_CONFIGURACAO_USUARIO)"</f>
        <v>Apoio a TI / Gestão de Usuários / Tabelas / Configuração: Cadastro de Usuários (M_CONFIGURACAO_USUARIO)</v>
      </c>
    </row>
    <row r="11449" spans="1:7" x14ac:dyDescent="0.3">
      <c r="A11449" s="1" t="s">
        <v>4</v>
      </c>
      <c r="B11449" s="2" t="str">
        <f t="shared" si="995"/>
        <v>SISTEMA DE GERENCIAMENTO DE USUÁRIOS</v>
      </c>
      <c r="C11449" s="2" t="str">
        <f t="shared" si="996"/>
        <v>GLOBAL</v>
      </c>
      <c r="D11449" s="2" t="str">
        <f t="shared" si="997"/>
        <v>SGU</v>
      </c>
      <c r="E11449" s="2" t="str">
        <f>"Associação de Impressora / Terminal"</f>
        <v>Associação de Impressora / Terminal</v>
      </c>
      <c r="F11449" s="2" t="str">
        <f>"M_IMPRESSORA_TERMINAL"</f>
        <v>M_IMPRESSORA_TERMINAL</v>
      </c>
      <c r="G11449" s="2" t="str">
        <f>" ()"</f>
        <v xml:space="preserve"> ()</v>
      </c>
    </row>
    <row r="11450" spans="1:7" x14ac:dyDescent="0.3">
      <c r="A11450" s="1" t="s">
        <v>4</v>
      </c>
      <c r="B11450" s="2" t="str">
        <f t="shared" si="995"/>
        <v>SISTEMA DE GERENCIAMENTO DE USUÁRIOS</v>
      </c>
      <c r="C11450" s="2" t="str">
        <f t="shared" si="996"/>
        <v>GLOBAL</v>
      </c>
      <c r="D11450" s="2" t="str">
        <f t="shared" si="997"/>
        <v>SGU</v>
      </c>
      <c r="E11450" s="2" t="str">
        <f>"Associação de Mpaquina por Usuário"</f>
        <v>Associação de Mpaquina por Usuário</v>
      </c>
      <c r="F11450" s="2" t="str">
        <f>"M_MAQUINA_USUARIO"</f>
        <v>M_MAQUINA_USUARIO</v>
      </c>
      <c r="G11450" s="2" t="str">
        <f>" ()"</f>
        <v xml:space="preserve"> ()</v>
      </c>
    </row>
    <row r="11451" spans="1:7" x14ac:dyDescent="0.3">
      <c r="A11451" s="1" t="s">
        <v>4</v>
      </c>
      <c r="B11451" s="2" t="str">
        <f t="shared" si="995"/>
        <v>SISTEMA DE GERENCIAMENTO DE USUÁRIOS</v>
      </c>
      <c r="C11451" s="2" t="str">
        <f t="shared" si="996"/>
        <v>GLOBAL</v>
      </c>
      <c r="D11451" s="2" t="str">
        <f t="shared" si="997"/>
        <v>SGU</v>
      </c>
      <c r="E11451" s="2" t="str">
        <f>"Gerenciador de Impressão Web"</f>
        <v>Gerenciador de Impressão Web</v>
      </c>
      <c r="F11451" s="2" t="str">
        <f>"M_GERENC_IMP_WEB"</f>
        <v>M_GERENC_IMP_WEB</v>
      </c>
      <c r="G11451" s="2" t="str">
        <f>"Apoio a TI / Gestão de Usuários / Administração do Sistema / Gerenciador de Impressão Web (M_GERENC_IMP_WEB)"</f>
        <v>Apoio a TI / Gestão de Usuários / Administração do Sistema / Gerenciador de Impressão Web (M_GERENC_IMP_WEB)</v>
      </c>
    </row>
    <row r="11452" spans="1:7" x14ac:dyDescent="0.3">
      <c r="A11452" s="1" t="s">
        <v>4</v>
      </c>
      <c r="B11452" s="2" t="str">
        <f t="shared" si="995"/>
        <v>SISTEMA DE GERENCIAMENTO DE USUÁRIOS</v>
      </c>
      <c r="C11452" s="2" t="str">
        <f t="shared" si="996"/>
        <v>GLOBAL</v>
      </c>
      <c r="D11452" s="2" t="str">
        <f t="shared" si="997"/>
        <v>SGU</v>
      </c>
      <c r="E11452" s="2" t="str">
        <f>"ENVIO DE EMAIL - TESTE"</f>
        <v>ENVIO DE EMAIL - TESTE</v>
      </c>
      <c r="F11452" s="2" t="str">
        <f>"M_ENVIO_EMAIL_TESTE"</f>
        <v>M_ENVIO_EMAIL_TESTE</v>
      </c>
      <c r="G11452" s="2" t="str">
        <f>"Apoio a TI / Gestão de Usuários / Mensagens / Envio de Email Externo - Teste (M_ENVIO_EMAIL_TESTE)"</f>
        <v>Apoio a TI / Gestão de Usuários / Mensagens / Envio de Email Externo - Teste (M_ENVIO_EMAIL_TESTE)</v>
      </c>
    </row>
    <row r="11453" spans="1:7" x14ac:dyDescent="0.3">
      <c r="A11453" s="1" t="s">
        <v>4</v>
      </c>
      <c r="B11453" s="2" t="str">
        <f t="shared" si="995"/>
        <v>SISTEMA DE GERENCIAMENTO DE USUÁRIOS</v>
      </c>
      <c r="C11453" s="2" t="str">
        <f t="shared" si="996"/>
        <v>GLOBAL</v>
      </c>
      <c r="D11453" s="2" t="str">
        <f t="shared" si="997"/>
        <v>SGU</v>
      </c>
      <c r="E11453" s="2" t="str">
        <f>"Cópia Simples de Usuários"</f>
        <v>Cópia Simples de Usuários</v>
      </c>
      <c r="F11453" s="2" t="str">
        <f>"M_COPIA_USUARIOS_SIMPLES"</f>
        <v>M_COPIA_USUARIOS_SIMPLES</v>
      </c>
      <c r="G11453" s="2" t="str">
        <f>"Apoio a TI / Gestão de Usuários / Autorização / Cópia Simples de Usuários (M_COPIA_USUARIOS_SIMPLES)"</f>
        <v>Apoio a TI / Gestão de Usuários / Autorização / Cópia Simples de Usuários (M_COPIA_USUARIOS_SIMPLES)</v>
      </c>
    </row>
    <row r="11454" spans="1:7" x14ac:dyDescent="0.3">
      <c r="A11454" s="1" t="s">
        <v>4</v>
      </c>
      <c r="B11454" s="2" t="str">
        <f t="shared" si="995"/>
        <v>SISTEMA DE GERENCIAMENTO DE USUÁRIOS</v>
      </c>
      <c r="C11454" s="2" t="str">
        <f t="shared" si="996"/>
        <v>GLOBAL</v>
      </c>
      <c r="D11454" s="2" t="str">
        <f t="shared" si="997"/>
        <v>SGU</v>
      </c>
      <c r="E11454" s="2" t="str">
        <f>"Cadastro Simples de Usuário (Pré-Cópia)"</f>
        <v>Cadastro Simples de Usuário (Pré-Cópia)</v>
      </c>
      <c r="F11454" s="2" t="str">
        <f>"M_CAD_USUARIOS_SIMPLES"</f>
        <v>M_CAD_USUARIOS_SIMPLES</v>
      </c>
      <c r="G11454" s="2" t="str">
        <f>"Apoio a TI / Gestão de Usuários / Autorização / Cadastro Simples de Usuário (Pré-Cópia) (M_CAD_USUARIOS_SIMPLES)"</f>
        <v>Apoio a TI / Gestão de Usuários / Autorização / Cadastro Simples de Usuário (Pré-Cópia) (M_CAD_USUARIOS_SIMPLES)</v>
      </c>
    </row>
    <row r="11455" spans="1:7" x14ac:dyDescent="0.3">
      <c r="A11455" s="1" t="s">
        <v>4</v>
      </c>
      <c r="B11455" s="2" t="str">
        <f t="shared" si="995"/>
        <v>SISTEMA DE GERENCIAMENTO DE USUÁRIOS</v>
      </c>
      <c r="C11455" s="2" t="str">
        <f t="shared" si="996"/>
        <v>GLOBAL</v>
      </c>
      <c r="D11455" s="2" t="str">
        <f t="shared" si="997"/>
        <v>SGU</v>
      </c>
      <c r="E11455" s="2" t="str">
        <f>"PRODUTOS SISTEMAS"</f>
        <v>PRODUTOS SISTEMAS</v>
      </c>
      <c r="F11455" s="2" t="str">
        <f>"M_PRODUTO_SISTEMA"</f>
        <v>M_PRODUTO_SISTEMA</v>
      </c>
      <c r="G11455" s="2" t="str">
        <f>"Apoio a TI / Gestão de Usuários / Tabelas / Produtos/Sistemas (M_PRODUTO_SISTEMA)"</f>
        <v>Apoio a TI / Gestão de Usuários / Tabelas / Produtos/Sistemas (M_PRODUTO_SISTEMA)</v>
      </c>
    </row>
    <row r="11456" spans="1:7" x14ac:dyDescent="0.3">
      <c r="A11456" s="1" t="s">
        <v>4</v>
      </c>
      <c r="B11456" s="2" t="str">
        <f t="shared" si="995"/>
        <v>SISTEMA DE GERENCIAMENTO DE USUÁRIOS</v>
      </c>
      <c r="C11456" s="2" t="str">
        <f t="shared" si="996"/>
        <v>GLOBAL</v>
      </c>
      <c r="D11456" s="2" t="str">
        <f t="shared" si="997"/>
        <v>SGU</v>
      </c>
      <c r="E11456" s="2" t="str">
        <f>"RELATORIO DAS VIEWS DO MVREPORT"</f>
        <v>RELATORIO DAS VIEWS DO MVREPORT</v>
      </c>
      <c r="F11456" s="2" t="str">
        <f>"R_VIEW_MVREPORT"</f>
        <v>R_VIEW_MVREPORT</v>
      </c>
      <c r="G11456" s="2" t="str">
        <f>"Apoio a TI / Gestão de Usuários / Relatórios / Views do MVReport (R_VIEW_MVREPORT)"</f>
        <v>Apoio a TI / Gestão de Usuários / Relatórios / Views do MVReport (R_VIEW_MVREPORT)</v>
      </c>
    </row>
    <row r="11457" spans="1:7" x14ac:dyDescent="0.3">
      <c r="A11457" s="1" t="s">
        <v>4</v>
      </c>
      <c r="B11457" s="2" t="str">
        <f t="shared" si="995"/>
        <v>SISTEMA DE GERENCIAMENTO DE USUÁRIOS</v>
      </c>
      <c r="C11457" s="2" t="str">
        <f t="shared" si="996"/>
        <v>GLOBAL</v>
      </c>
      <c r="D11457" s="2" t="str">
        <f t="shared" si="997"/>
        <v>SGU</v>
      </c>
      <c r="E11457" s="2" t="str">
        <f>"RELATÓRIO USUÁRIOS POR SISTEMA"</f>
        <v>RELATÓRIO USUÁRIOS POR SISTEMA</v>
      </c>
      <c r="F11457" s="2" t="str">
        <f>"R_USUARIOS_SISTEMA.RDF"</f>
        <v>R_USUARIOS_SISTEMA.RDF</v>
      </c>
      <c r="G11457" s="2" t="str">
        <f>" ()"</f>
        <v xml:space="preserve"> ()</v>
      </c>
    </row>
    <row r="11458" spans="1:7" x14ac:dyDescent="0.3">
      <c r="A11458" s="1" t="s">
        <v>4</v>
      </c>
      <c r="B11458" s="2" t="str">
        <f t="shared" si="995"/>
        <v>SISTEMA DE GERENCIAMENTO DE USUÁRIOS</v>
      </c>
      <c r="C11458" s="2" t="str">
        <f t="shared" si="996"/>
        <v>GLOBAL</v>
      </c>
      <c r="D11458" s="2" t="str">
        <f t="shared" si="997"/>
        <v>SGU</v>
      </c>
      <c r="E11458" s="2" t="str">
        <f>"SOLICITACAO POR SOLICITANTE"</f>
        <v>SOLICITACAO POR SOLICITANTE</v>
      </c>
      <c r="F11458" s="2" t="str">
        <f>"R_SOL_SOLICITANTE"</f>
        <v>R_SOL_SOLICITANTE</v>
      </c>
      <c r="G11458" s="2" t="str">
        <f>" ()"</f>
        <v xml:space="preserve"> ()</v>
      </c>
    </row>
    <row r="11459" spans="1:7" x14ac:dyDescent="0.3">
      <c r="A11459" s="1" t="s">
        <v>4</v>
      </c>
      <c r="B11459" s="2" t="str">
        <f t="shared" si="995"/>
        <v>SISTEMA DE GERENCIAMENTO DE USUÁRIOS</v>
      </c>
      <c r="C11459" s="2" t="str">
        <f t="shared" si="996"/>
        <v>GLOBAL</v>
      </c>
      <c r="D11459" s="2" t="str">
        <f t="shared" si="997"/>
        <v>SGU</v>
      </c>
      <c r="E11459" s="2" t="str">
        <f>"CASDASTRO DE PARAMETROS DO RELATÓRIO"</f>
        <v>CASDASTRO DE PARAMETROS DO RELATÓRIO</v>
      </c>
      <c r="F11459" s="2" t="str">
        <f>"M_PARAMETRO_MODULO"</f>
        <v>M_PARAMETRO_MODULO</v>
      </c>
      <c r="G11459" s="2" t="str">
        <f>"Apoio a TI / Gestão de Usuários / Tabelas / Cadastro de Parâmetros do Relatório (M_PARAMETRO_MODULO)"</f>
        <v>Apoio a TI / Gestão de Usuários / Tabelas / Cadastro de Parâmetros do Relatório (M_PARAMETRO_MODULO)</v>
      </c>
    </row>
    <row r="11460" spans="1:7" x14ac:dyDescent="0.3">
      <c r="A11460" s="1" t="s">
        <v>4</v>
      </c>
      <c r="B11460" s="2" t="str">
        <f t="shared" si="995"/>
        <v>SISTEMA DE GERENCIAMENTO DE USUÁRIOS</v>
      </c>
      <c r="C11460" s="2" t="str">
        <f t="shared" si="996"/>
        <v>GLOBAL</v>
      </c>
      <c r="D11460" s="2" t="str">
        <f t="shared" si="997"/>
        <v>SGU</v>
      </c>
      <c r="E11460" s="2" t="str">
        <f>"RELATORIO DE VERSÃO"</f>
        <v>RELATORIO DE VERSÃO</v>
      </c>
      <c r="F11460" s="2" t="str">
        <f>"R_VERSAO"</f>
        <v>R_VERSAO</v>
      </c>
      <c r="G11460" s="2" t="str">
        <f t="shared" ref="G11460:G11471" si="998">" ()"</f>
        <v xml:space="preserve"> ()</v>
      </c>
    </row>
    <row r="11461" spans="1:7" x14ac:dyDescent="0.3">
      <c r="A11461" s="1" t="s">
        <v>4</v>
      </c>
      <c r="B11461" s="2" t="str">
        <f t="shared" si="995"/>
        <v>SISTEMA DE GERENCIAMENTO DE USUÁRIOS</v>
      </c>
      <c r="C11461" s="2" t="str">
        <f t="shared" si="996"/>
        <v>GLOBAL</v>
      </c>
      <c r="D11461" s="2" t="str">
        <f t="shared" si="997"/>
        <v>SGU</v>
      </c>
      <c r="E11461" s="2" t="str">
        <f>"RETRABALHO POR CLIENTE"</f>
        <v>RETRABALHO POR CLIENTE</v>
      </c>
      <c r="F11461" s="2" t="str">
        <f>"R_RETRAB_CLIENTE"</f>
        <v>R_RETRAB_CLIENTE</v>
      </c>
      <c r="G11461" s="2" t="str">
        <f t="shared" si="998"/>
        <v xml:space="preserve"> ()</v>
      </c>
    </row>
    <row r="11462" spans="1:7" x14ac:dyDescent="0.3">
      <c r="A11462" s="1" t="s">
        <v>4</v>
      </c>
      <c r="B11462" s="2" t="str">
        <f t="shared" si="995"/>
        <v>SISTEMA DE GERENCIAMENTO DE USUÁRIOS</v>
      </c>
      <c r="C11462" s="2" t="str">
        <f t="shared" si="996"/>
        <v>GLOBAL</v>
      </c>
      <c r="D11462" s="2" t="str">
        <f t="shared" si="997"/>
        <v>SGU</v>
      </c>
      <c r="E11462" s="2" t="str">
        <f>"RETRABALHO POR SISTEMA"</f>
        <v>RETRABALHO POR SISTEMA</v>
      </c>
      <c r="F11462" s="2" t="str">
        <f>"R_RETRAB_SISTEMA"</f>
        <v>R_RETRAB_SISTEMA</v>
      </c>
      <c r="G11462" s="2" t="str">
        <f t="shared" si="998"/>
        <v xml:space="preserve"> ()</v>
      </c>
    </row>
    <row r="11463" spans="1:7" x14ac:dyDescent="0.3">
      <c r="A11463" s="1" t="s">
        <v>4</v>
      </c>
      <c r="B11463" s="2" t="str">
        <f t="shared" si="995"/>
        <v>SISTEMA DE GERENCIAMENTO DE USUÁRIOS</v>
      </c>
      <c r="C11463" s="2" t="str">
        <f t="shared" si="996"/>
        <v>GLOBAL</v>
      </c>
      <c r="D11463" s="2" t="str">
        <f t="shared" si="997"/>
        <v>SGU</v>
      </c>
      <c r="E11463" s="2" t="str">
        <f>"RETRABALHO POR EQUIPE"</f>
        <v>RETRABALHO POR EQUIPE</v>
      </c>
      <c r="F11463" s="2" t="str">
        <f>"R_RETRAB_EQUIPE"</f>
        <v>R_RETRAB_EQUIPE</v>
      </c>
      <c r="G11463" s="2" t="str">
        <f t="shared" si="998"/>
        <v xml:space="preserve"> ()</v>
      </c>
    </row>
    <row r="11464" spans="1:7" x14ac:dyDescent="0.3">
      <c r="A11464" s="1" t="s">
        <v>4</v>
      </c>
      <c r="B11464" s="2" t="str">
        <f t="shared" si="995"/>
        <v>SISTEMA DE GERENCIAMENTO DE USUÁRIOS</v>
      </c>
      <c r="C11464" s="2" t="str">
        <f t="shared" si="996"/>
        <v>GLOBAL</v>
      </c>
      <c r="D11464" s="2" t="str">
        <f t="shared" si="997"/>
        <v>SGU</v>
      </c>
      <c r="E11464" s="2" t="str">
        <f>"RETRABALHO POR PROGRAMADOR"</f>
        <v>RETRABALHO POR PROGRAMADOR</v>
      </c>
      <c r="F11464" s="2" t="str">
        <f>"R_RETRAB_PROG"</f>
        <v>R_RETRAB_PROG</v>
      </c>
      <c r="G11464" s="2" t="str">
        <f t="shared" si="998"/>
        <v xml:space="preserve"> ()</v>
      </c>
    </row>
    <row r="11465" spans="1:7" x14ac:dyDescent="0.3">
      <c r="A11465" s="1" t="s">
        <v>4</v>
      </c>
      <c r="B11465" s="2" t="str">
        <f t="shared" si="995"/>
        <v>SISTEMA DE GERENCIAMENTO DE USUÁRIOS</v>
      </c>
      <c r="C11465" s="2" t="str">
        <f t="shared" si="996"/>
        <v>GLOBAL</v>
      </c>
      <c r="D11465" s="2" t="str">
        <f t="shared" si="997"/>
        <v>SGU</v>
      </c>
      <c r="E11465" s="2" t="str">
        <f>"MOTIVOS DE FINALIZAÇOES DAS SOLICITACOES"</f>
        <v>MOTIVOS DE FINALIZAÇOES DAS SOLICITACOES</v>
      </c>
      <c r="F11465" s="2" t="str">
        <f>"M_MOT_FINALIZA"</f>
        <v>M_MOT_FINALIZA</v>
      </c>
      <c r="G11465" s="2" t="str">
        <f t="shared" si="998"/>
        <v xml:space="preserve"> ()</v>
      </c>
    </row>
    <row r="11466" spans="1:7" x14ac:dyDescent="0.3">
      <c r="A11466" s="1" t="s">
        <v>4</v>
      </c>
      <c r="B11466" s="2" t="str">
        <f t="shared" si="995"/>
        <v>SISTEMA DE GERENCIAMENTO DE USUÁRIOS</v>
      </c>
      <c r="C11466" s="2" t="str">
        <f t="shared" si="996"/>
        <v>GLOBAL</v>
      </c>
      <c r="D11466" s="2" t="str">
        <f t="shared" si="997"/>
        <v>SGU</v>
      </c>
      <c r="E11466" s="2" t="str">
        <f>"RELATÓRIO DE USUÁRIOS POR SISTEMA"</f>
        <v>RELATÓRIO DE USUÁRIOS POR SISTEMA</v>
      </c>
      <c r="F11466" s="2" t="str">
        <f>"R_USUARIO_SISTEMA"</f>
        <v>R_USUARIO_SISTEMA</v>
      </c>
      <c r="G11466" s="2" t="str">
        <f t="shared" si="998"/>
        <v xml:space="preserve"> ()</v>
      </c>
    </row>
    <row r="11467" spans="1:7" x14ac:dyDescent="0.3">
      <c r="A11467" s="1" t="s">
        <v>4</v>
      </c>
      <c r="B11467" s="2" t="str">
        <f t="shared" si="995"/>
        <v>SISTEMA DE GERENCIAMENTO DE USUÁRIOS</v>
      </c>
      <c r="C11467" s="2" t="str">
        <f t="shared" si="996"/>
        <v>GLOBAL</v>
      </c>
      <c r="D11467" s="2" t="str">
        <f t="shared" si="997"/>
        <v>SGU</v>
      </c>
      <c r="E11467" s="2" t="str">
        <f>"PENDENCIAS POR EQUIPE"</f>
        <v>PENDENCIAS POR EQUIPE</v>
      </c>
      <c r="F11467" s="2" t="str">
        <f>"PEN_EQUIPE"</f>
        <v>PEN_EQUIPE</v>
      </c>
      <c r="G11467" s="2" t="str">
        <f t="shared" si="998"/>
        <v xml:space="preserve"> ()</v>
      </c>
    </row>
    <row r="11468" spans="1:7" x14ac:dyDescent="0.3">
      <c r="A11468" s="1" t="s">
        <v>4</v>
      </c>
      <c r="B11468" s="2" t="str">
        <f t="shared" si="995"/>
        <v>SISTEMA DE GERENCIAMENTO DE USUÁRIOS</v>
      </c>
      <c r="C11468" s="2" t="str">
        <f t="shared" si="996"/>
        <v>GLOBAL</v>
      </c>
      <c r="D11468" s="2" t="str">
        <f t="shared" si="997"/>
        <v>SGU</v>
      </c>
      <c r="E11468" s="2" t="str">
        <f>"ESTATIST DE ATENDIMENTO AO CLIENTE (PER)"</f>
        <v>ESTATIST DE ATENDIMENTO AO CLIENTE (PER)</v>
      </c>
      <c r="F11468" s="2" t="str">
        <f>"R_CLI_ESTATISTICA_PER"</f>
        <v>R_CLI_ESTATISTICA_PER</v>
      </c>
      <c r="G11468" s="2" t="str">
        <f t="shared" si="998"/>
        <v xml:space="preserve"> ()</v>
      </c>
    </row>
    <row r="11469" spans="1:7" x14ac:dyDescent="0.3">
      <c r="A11469" s="1" t="s">
        <v>4</v>
      </c>
      <c r="B11469" s="2" t="str">
        <f t="shared" si="995"/>
        <v>SISTEMA DE GERENCIAMENTO DE USUÁRIOS</v>
      </c>
      <c r="C11469" s="2" t="str">
        <f t="shared" si="996"/>
        <v>GLOBAL</v>
      </c>
      <c r="D11469" s="2" t="str">
        <f t="shared" si="997"/>
        <v>SGU</v>
      </c>
      <c r="E11469" s="2" t="str">
        <f>"CADASTRO DE EQUIPE"</f>
        <v>CADASTRO DE EQUIPE</v>
      </c>
      <c r="F11469" s="2" t="str">
        <f>"M_EQUIPE_SIS"</f>
        <v>M_EQUIPE_SIS</v>
      </c>
      <c r="G11469" s="2" t="str">
        <f t="shared" si="998"/>
        <v xml:space="preserve"> ()</v>
      </c>
    </row>
    <row r="11470" spans="1:7" x14ac:dyDescent="0.3">
      <c r="A11470" s="1" t="s">
        <v>4</v>
      </c>
      <c r="B11470" s="2" t="str">
        <f t="shared" si="995"/>
        <v>SISTEMA DE GERENCIAMENTO DE USUÁRIOS</v>
      </c>
      <c r="C11470" s="2" t="str">
        <f t="shared" si="996"/>
        <v>GLOBAL</v>
      </c>
      <c r="D11470" s="2" t="str">
        <f t="shared" si="997"/>
        <v>SGU</v>
      </c>
      <c r="E11470" s="2" t="str">
        <f>"RELATORIO DE RETRABALHO"</f>
        <v>RELATORIO DE RETRABALHO</v>
      </c>
      <c r="F11470" s="2" t="str">
        <f>"R_RETRABALHO"</f>
        <v>R_RETRABALHO</v>
      </c>
      <c r="G11470" s="2" t="str">
        <f t="shared" si="998"/>
        <v xml:space="preserve"> ()</v>
      </c>
    </row>
    <row r="11471" spans="1:7" x14ac:dyDescent="0.3">
      <c r="A11471" s="1" t="s">
        <v>4</v>
      </c>
      <c r="B11471" s="2" t="str">
        <f t="shared" si="995"/>
        <v>SISTEMA DE GERENCIAMENTO DE USUÁRIOS</v>
      </c>
      <c r="C11471" s="2" t="str">
        <f t="shared" si="996"/>
        <v>GLOBAL</v>
      </c>
      <c r="D11471" s="2" t="str">
        <f t="shared" si="997"/>
        <v>SGU</v>
      </c>
      <c r="E11471" s="2" t="str">
        <f>"FASES DA SOLICITACAO"</f>
        <v>FASES DA SOLICITACAO</v>
      </c>
      <c r="F11471" s="2" t="str">
        <f>"M_FASES"</f>
        <v>M_FASES</v>
      </c>
      <c r="G11471" s="2" t="str">
        <f t="shared" si="998"/>
        <v xml:space="preserve"> ()</v>
      </c>
    </row>
    <row r="11472" spans="1:7" x14ac:dyDescent="0.3">
      <c r="A11472" s="1" t="s">
        <v>4</v>
      </c>
      <c r="B11472" s="2" t="str">
        <f t="shared" si="995"/>
        <v>SISTEMA DE GERENCIAMENTO DE USUÁRIOS</v>
      </c>
      <c r="C11472" s="2" t="str">
        <f t="shared" si="996"/>
        <v>GLOBAL</v>
      </c>
      <c r="D11472" s="2" t="str">
        <f t="shared" si="997"/>
        <v>SGU</v>
      </c>
      <c r="E11472" s="2" t="str">
        <f>"CENTRAL DE MENSAGENS - MV2000I"</f>
        <v>CENTRAL DE MENSAGENS - MV2000I</v>
      </c>
      <c r="F11472" s="2" t="str">
        <f>"M_CENTRAL_MENSAGEM"</f>
        <v>M_CENTRAL_MENSAGEM</v>
      </c>
      <c r="G11472" s="2" t="str">
        <f>"MVSaude / Vendas / Internação / Atendimento / Enviar/Receber Mensagens (M_CENTRAL_MENSAGEM)"</f>
        <v>MVSaude / Vendas / Internação / Atendimento / Enviar/Receber Mensagens (M_CENTRAL_MENSAGEM)</v>
      </c>
    </row>
    <row r="11473" spans="1:7" x14ac:dyDescent="0.3">
      <c r="A11473" s="1" t="s">
        <v>4</v>
      </c>
      <c r="B11473" s="2" t="str">
        <f t="shared" si="995"/>
        <v>SISTEMA DE GERENCIAMENTO DE USUÁRIOS</v>
      </c>
      <c r="C11473" s="2" t="str">
        <f t="shared" si="996"/>
        <v>GLOBAL</v>
      </c>
      <c r="D11473" s="2" t="str">
        <f t="shared" si="997"/>
        <v>SGU</v>
      </c>
      <c r="E11473" s="2" t="str">
        <f>"CENTRAL DE MENSAGENS - MV2000I"</f>
        <v>CENTRAL DE MENSAGENS - MV2000I</v>
      </c>
      <c r="F11473" s="2" t="str">
        <f>"M_CENTRAL_MENSAGEM"</f>
        <v>M_CENTRAL_MENSAGEM</v>
      </c>
      <c r="G11473" s="2" t="str">
        <f>"MVSaude / Atendimento / Autorizações de Guias / Internação / Atendimento / Enviar/Receber Mensagens (M_CENTRAL_MENSAGEM)"</f>
        <v>MVSaude / Atendimento / Autorizações de Guias / Internação / Atendimento / Enviar/Receber Mensagens (M_CENTRAL_MENSAGEM)</v>
      </c>
    </row>
    <row r="11474" spans="1:7" x14ac:dyDescent="0.3">
      <c r="A11474" s="1" t="s">
        <v>4</v>
      </c>
      <c r="B11474" s="2" t="str">
        <f t="shared" si="995"/>
        <v>SISTEMA DE GERENCIAMENTO DE USUÁRIOS</v>
      </c>
      <c r="C11474" s="2" t="str">
        <f t="shared" si="996"/>
        <v>GLOBAL</v>
      </c>
      <c r="D11474" s="2" t="str">
        <f t="shared" si="997"/>
        <v>SGU</v>
      </c>
      <c r="E11474" s="2" t="str">
        <f>"CENTRAL DE MENSAGENS - MV2000I"</f>
        <v>CENTRAL DE MENSAGENS - MV2000I</v>
      </c>
      <c r="F11474" s="2" t="str">
        <f>"M_CENTRAL_MENSAGEM"</f>
        <v>M_CENTRAL_MENSAGEM</v>
      </c>
      <c r="G11474" s="2" t="str">
        <f>"Apoio a TI / Gestão de Usuários / Mensagens / Enviar/Receber (M_CENTRAL_MENSAGEM)"</f>
        <v>Apoio a TI / Gestão de Usuários / Mensagens / Enviar/Receber (M_CENTRAL_MENSAGEM)</v>
      </c>
    </row>
    <row r="11475" spans="1:7" x14ac:dyDescent="0.3">
      <c r="A11475" s="1" t="s">
        <v>4</v>
      </c>
      <c r="B11475" s="2" t="str">
        <f t="shared" si="995"/>
        <v>SISTEMA DE GERENCIAMENTO DE USUÁRIOS</v>
      </c>
      <c r="C11475" s="2" t="str">
        <f t="shared" si="996"/>
        <v>GLOBAL</v>
      </c>
      <c r="D11475" s="2" t="str">
        <f t="shared" si="997"/>
        <v>SGU</v>
      </c>
      <c r="E11475" s="2" t="str">
        <f>"CADASTRO DE CARGOS"</f>
        <v>CADASTRO DE CARGOS</v>
      </c>
      <c r="F11475" s="2" t="str">
        <f>"M_CLI_OBJETO"</f>
        <v>M_CLI_OBJETO</v>
      </c>
      <c r="G11475" s="2" t="str">
        <f>" ()"</f>
        <v xml:space="preserve"> ()</v>
      </c>
    </row>
    <row r="11476" spans="1:7" x14ac:dyDescent="0.3">
      <c r="A11476" s="1" t="s">
        <v>4</v>
      </c>
      <c r="B11476" s="2" t="str">
        <f t="shared" si="995"/>
        <v>SISTEMA DE GERENCIAMENTO DE USUÁRIOS</v>
      </c>
      <c r="C11476" s="2" t="str">
        <f t="shared" si="996"/>
        <v>GLOBAL</v>
      </c>
      <c r="D11476" s="2" t="str">
        <f t="shared" si="997"/>
        <v>SGU</v>
      </c>
      <c r="E11476" s="2" t="str">
        <f>"CADASTRO DE SISTEMAS"</f>
        <v>CADASTRO DE SISTEMAS</v>
      </c>
      <c r="F11476" s="2" t="str">
        <f>"M_SISTEMAS"</f>
        <v>M_SISTEMAS</v>
      </c>
      <c r="G11476" s="2" t="str">
        <f>"Apoio a TI / Gestão de Usuários / Tabelas / Sistemas (M_SISTEMAS)"</f>
        <v>Apoio a TI / Gestão de Usuários / Tabelas / Sistemas (M_SISTEMAS)</v>
      </c>
    </row>
    <row r="11477" spans="1:7" x14ac:dyDescent="0.3">
      <c r="A11477" s="1" t="s">
        <v>4</v>
      </c>
      <c r="B11477" s="2" t="str">
        <f t="shared" si="995"/>
        <v>SISTEMA DE GERENCIAMENTO DE USUÁRIOS</v>
      </c>
      <c r="C11477" s="2" t="str">
        <f t="shared" si="996"/>
        <v>GLOBAL</v>
      </c>
      <c r="D11477" s="2" t="str">
        <f t="shared" si="997"/>
        <v>SGU</v>
      </c>
      <c r="E11477" s="2" t="str">
        <f>"SOLICITACAO RESUMIDA"</f>
        <v>SOLICITACAO RESUMIDA</v>
      </c>
      <c r="F11477" s="2" t="str">
        <f>"M_SOL_RES"</f>
        <v>M_SOL_RES</v>
      </c>
      <c r="G11477" s="2" t="str">
        <f>" ()"</f>
        <v xml:space="preserve"> ()</v>
      </c>
    </row>
    <row r="11478" spans="1:7" x14ac:dyDescent="0.3">
      <c r="A11478" s="1" t="s">
        <v>4</v>
      </c>
      <c r="B11478" s="2" t="str">
        <f t="shared" si="995"/>
        <v>SISTEMA DE GERENCIAMENTO DE USUÁRIOS</v>
      </c>
      <c r="C11478" s="2" t="str">
        <f t="shared" si="996"/>
        <v>GLOBAL</v>
      </c>
      <c r="D11478" s="2" t="str">
        <f t="shared" si="997"/>
        <v>SGU</v>
      </c>
      <c r="E11478" s="2" t="str">
        <f>"RELAÇÃO DE CONTATOS POR CLIENTE"</f>
        <v>RELAÇÃO DE CONTATOS POR CLIENTE</v>
      </c>
      <c r="F11478" s="2" t="str">
        <f>"R_CLIENTE_CONTATO"</f>
        <v>R_CLIENTE_CONTATO</v>
      </c>
      <c r="G11478" s="2" t="str">
        <f>" ()"</f>
        <v xml:space="preserve"> ()</v>
      </c>
    </row>
    <row r="11479" spans="1:7" x14ac:dyDescent="0.3">
      <c r="A11479" s="1" t="s">
        <v>4</v>
      </c>
      <c r="B11479" s="2" t="str">
        <f t="shared" si="995"/>
        <v>SISTEMA DE GERENCIAMENTO DE USUÁRIOS</v>
      </c>
      <c r="C11479" s="2" t="str">
        <f t="shared" si="996"/>
        <v>GLOBAL</v>
      </c>
      <c r="D11479" s="2" t="str">
        <f t="shared" si="997"/>
        <v>SGU</v>
      </c>
      <c r="E11479" s="2" t="str">
        <f>"PEDIDO DE ATENDIMENTO"</f>
        <v>PEDIDO DE ATENDIMENTO</v>
      </c>
      <c r="F11479" s="2" t="str">
        <f>"M_PDA"</f>
        <v>M_PDA</v>
      </c>
      <c r="G11479" s="2" t="str">
        <f>" ()"</f>
        <v xml:space="preserve"> ()</v>
      </c>
    </row>
    <row r="11480" spans="1:7" x14ac:dyDescent="0.3">
      <c r="A11480" s="1" t="s">
        <v>4</v>
      </c>
      <c r="B11480" s="2" t="str">
        <f t="shared" si="995"/>
        <v>SISTEMA DE GERENCIAMENTO DE USUÁRIOS</v>
      </c>
      <c r="C11480" s="2" t="str">
        <f t="shared" si="996"/>
        <v>GLOBAL</v>
      </c>
      <c r="D11480" s="2" t="str">
        <f t="shared" si="997"/>
        <v>SGU</v>
      </c>
      <c r="E11480" s="2" t="str">
        <f>"MV SISTEMAS"</f>
        <v>MV SISTEMAS</v>
      </c>
      <c r="F11480" s="2" t="str">
        <f>"M_CHAVE_PROTECAO"</f>
        <v>M_CHAVE_PROTECAO</v>
      </c>
      <c r="G11480" s="2" t="str">
        <f>"Apoio a TI / Gestão de Usuários / Autorização / Chave de Proteção (M_CHAVE_PROTECAO)"</f>
        <v>Apoio a TI / Gestão de Usuários / Autorização / Chave de Proteção (M_CHAVE_PROTECAO)</v>
      </c>
    </row>
    <row r="11481" spans="1:7" x14ac:dyDescent="0.3">
      <c r="A11481" s="1" t="s">
        <v>4</v>
      </c>
      <c r="B11481" s="2" t="str">
        <f t="shared" si="995"/>
        <v>SISTEMA DE GERENCIAMENTO DE USUÁRIOS</v>
      </c>
      <c r="C11481" s="2" t="str">
        <f t="shared" si="996"/>
        <v>GLOBAL</v>
      </c>
      <c r="D11481" s="2" t="str">
        <f t="shared" si="997"/>
        <v>SGU</v>
      </c>
      <c r="E11481" s="2" t="str">
        <f>"PONDERACOES DE PRIORIDADES"</f>
        <v>PONDERACOES DE PRIORIDADES</v>
      </c>
      <c r="F11481" s="2" t="str">
        <f>"M_PONDERA_PRI"</f>
        <v>M_PONDERA_PRI</v>
      </c>
      <c r="G11481" s="2" t="str">
        <f>" ()"</f>
        <v xml:space="preserve"> ()</v>
      </c>
    </row>
    <row r="11482" spans="1:7" x14ac:dyDescent="0.3">
      <c r="A11482" s="1" t="s">
        <v>4</v>
      </c>
      <c r="B11482" s="2" t="str">
        <f t="shared" si="995"/>
        <v>SISTEMA DE GERENCIAMENTO DE USUÁRIOS</v>
      </c>
      <c r="C11482" s="2" t="str">
        <f t="shared" si="996"/>
        <v>GLOBAL</v>
      </c>
      <c r="D11482" s="2" t="str">
        <f t="shared" si="997"/>
        <v>SGU</v>
      </c>
      <c r="E11482" s="2" t="str">
        <f>"IMPLANTACOES DE SISTEMAS POR CLIENTE"</f>
        <v>IMPLANTACOES DE SISTEMAS POR CLIENTE</v>
      </c>
      <c r="F11482" s="2" t="str">
        <f>"M_IMPLANTACAO"</f>
        <v>M_IMPLANTACAO</v>
      </c>
      <c r="G11482" s="2" t="str">
        <f>" ()"</f>
        <v xml:space="preserve"> ()</v>
      </c>
    </row>
    <row r="11483" spans="1:7" x14ac:dyDescent="0.3">
      <c r="A11483" s="1" t="s">
        <v>4</v>
      </c>
      <c r="B11483" s="2" t="str">
        <f t="shared" si="995"/>
        <v>SISTEMA DE GERENCIAMENTO DE USUÁRIOS</v>
      </c>
      <c r="C11483" s="2" t="str">
        <f t="shared" si="996"/>
        <v>GLOBAL</v>
      </c>
      <c r="D11483" s="2" t="str">
        <f t="shared" si="997"/>
        <v>SGU</v>
      </c>
      <c r="E11483" s="2" t="str">
        <f>"REL. DE PRIVILÉGIOS DOS USUÁRIOS NO BANC"</f>
        <v>REL. DE PRIVILÉGIOS DOS USUÁRIOS NO BANC</v>
      </c>
      <c r="F11483" s="2" t="str">
        <f>"R_PRIVUSU"</f>
        <v>R_PRIVUSU</v>
      </c>
      <c r="G11483" s="2" t="str">
        <f>"Apoio a TI / Gestão de Usuários / Relatórios / Usuários e seus Privilégios (R_PRIVUSU)"</f>
        <v>Apoio a TI / Gestão de Usuários / Relatórios / Usuários e seus Privilégios (R_PRIVUSU)</v>
      </c>
    </row>
    <row r="11484" spans="1:7" x14ac:dyDescent="0.3">
      <c r="A11484" s="1" t="s">
        <v>4</v>
      </c>
      <c r="B11484" s="2" t="str">
        <f t="shared" si="995"/>
        <v>SISTEMA DE GERENCIAMENTO DE USUÁRIOS</v>
      </c>
      <c r="C11484" s="2" t="str">
        <f t="shared" si="996"/>
        <v>GLOBAL</v>
      </c>
      <c r="D11484" s="2" t="str">
        <f t="shared" si="997"/>
        <v>SGU</v>
      </c>
      <c r="E11484" s="2" t="str">
        <f>"GERAR TABELAS DO DICIONARIO DE DADOS"</f>
        <v>GERAR TABELAS DO DICIONARIO DE DADOS</v>
      </c>
      <c r="F11484" s="2" t="str">
        <f>"O_GERAR_TABELAS"</f>
        <v>O_GERAR_TABELAS</v>
      </c>
      <c r="G11484" s="2" t="str">
        <f>"Apoio a TI / Gestão de Usuários / Administração do Sistema / Auditoria / Gerar Tabelas do Dicionário de Dados (O_GERAR_TABELAS)"</f>
        <v>Apoio a TI / Gestão de Usuários / Administração do Sistema / Auditoria / Gerar Tabelas do Dicionário de Dados (O_GERAR_TABELAS)</v>
      </c>
    </row>
    <row r="11485" spans="1:7" x14ac:dyDescent="0.3">
      <c r="A11485" s="1" t="s">
        <v>4</v>
      </c>
      <c r="B11485" s="2" t="str">
        <f t="shared" si="995"/>
        <v>SISTEMA DE GERENCIAMENTO DE USUÁRIOS</v>
      </c>
      <c r="C11485" s="2" t="str">
        <f t="shared" si="996"/>
        <v>GLOBAL</v>
      </c>
      <c r="D11485" s="2" t="str">
        <f t="shared" si="997"/>
        <v>SGU</v>
      </c>
      <c r="E11485" s="2" t="str">
        <f>"GERAÇÃO DE AUDITORIA GERAL"</f>
        <v>GERAÇÃO DE AUDITORIA GERAL</v>
      </c>
      <c r="F11485" s="2" t="str">
        <f>"O_GERAL_AUDIT"</f>
        <v>O_GERAL_AUDIT</v>
      </c>
      <c r="G11485" s="2" t="str">
        <f>"Apoio a TI / Gestão de Usuários / Administração do Sistema / Auditoria / Ligar / Desligar / Todas as Tabelas (O_GERAL_AUDIT)"</f>
        <v>Apoio a TI / Gestão de Usuários / Administração do Sistema / Auditoria / Ligar / Desligar / Todas as Tabelas (O_GERAL_AUDIT)</v>
      </c>
    </row>
    <row r="11486" spans="1:7" x14ac:dyDescent="0.3">
      <c r="A11486" s="1" t="s">
        <v>4</v>
      </c>
      <c r="B11486" s="2" t="str">
        <f t="shared" si="995"/>
        <v>SISTEMA DE GERENCIAMENTO DE USUÁRIOS</v>
      </c>
      <c r="C11486" s="2" t="str">
        <f t="shared" si="996"/>
        <v>GLOBAL</v>
      </c>
      <c r="D11486" s="2" t="str">
        <f t="shared" si="997"/>
        <v>SGU</v>
      </c>
      <c r="E11486" s="2" t="str">
        <f>"RELATORIO DE PRODUCAO DE FUNCIONARIOS"</f>
        <v>RELATORIO DE PRODUCAO DE FUNCIONARIOS</v>
      </c>
      <c r="F11486" s="2" t="str">
        <f>"R_PROD_FUNC"</f>
        <v>R_PROD_FUNC</v>
      </c>
      <c r="G11486" s="2" t="str">
        <f>" ()"</f>
        <v xml:space="preserve"> ()</v>
      </c>
    </row>
    <row r="11487" spans="1:7" x14ac:dyDescent="0.3">
      <c r="A11487" s="1" t="s">
        <v>4</v>
      </c>
      <c r="B11487" s="2" t="str">
        <f t="shared" si="995"/>
        <v>SISTEMA DE GERENCIAMENTO DE USUÁRIOS</v>
      </c>
      <c r="C11487" s="2" t="str">
        <f t="shared" si="996"/>
        <v>GLOBAL</v>
      </c>
      <c r="D11487" s="2" t="str">
        <f t="shared" si="997"/>
        <v>SGU</v>
      </c>
      <c r="E11487" s="2" t="str">
        <f>"REL. DA AGENDA DE TRABALHO"</f>
        <v>REL. DA AGENDA DE TRABALHO</v>
      </c>
      <c r="F11487" s="2" t="str">
        <f>"R_AGENDA_TRABALHO"</f>
        <v>R_AGENDA_TRABALHO</v>
      </c>
      <c r="G11487" s="2" t="str">
        <f>" ()"</f>
        <v xml:space="preserve"> ()</v>
      </c>
    </row>
    <row r="11488" spans="1:7" x14ac:dyDescent="0.3">
      <c r="A11488" s="1" t="s">
        <v>4</v>
      </c>
      <c r="B11488" s="2" t="str">
        <f t="shared" si="995"/>
        <v>SISTEMA DE GERENCIAMENTO DE USUÁRIOS</v>
      </c>
      <c r="C11488" s="2" t="str">
        <f t="shared" si="996"/>
        <v>GLOBAL</v>
      </c>
      <c r="D11488" s="2" t="str">
        <f t="shared" si="997"/>
        <v>SGU</v>
      </c>
      <c r="E11488" s="2" t="str">
        <f>"CADASTRO DE TABELAS"</f>
        <v>CADASTRO DE TABELAS</v>
      </c>
      <c r="F11488" s="2" t="str">
        <f>"M_TABELAS"</f>
        <v>M_TABELAS</v>
      </c>
      <c r="G11488" s="2" t="str">
        <f>"Apoio a TI / Gestão de Usuários / Tabelas / Tabelas (M_TABELAS)"</f>
        <v>Apoio a TI / Gestão de Usuários / Tabelas / Tabelas (M_TABELAS)</v>
      </c>
    </row>
    <row r="11489" spans="1:7" x14ac:dyDescent="0.3">
      <c r="A11489" s="1" t="s">
        <v>4</v>
      </c>
      <c r="B11489" s="2" t="str">
        <f t="shared" si="995"/>
        <v>SISTEMA DE GERENCIAMENTO DE USUÁRIOS</v>
      </c>
      <c r="C11489" s="2" t="str">
        <f t="shared" si="996"/>
        <v>GLOBAL</v>
      </c>
      <c r="D11489" s="2" t="str">
        <f t="shared" si="997"/>
        <v>SGU</v>
      </c>
      <c r="E11489" s="2" t="str">
        <f>"CONS. AUDITORIA PARA RASTREAMENTO"</f>
        <v>CONS. AUDITORIA PARA RASTREAMENTO</v>
      </c>
      <c r="F11489" s="2" t="str">
        <f>"C_AUDIT_RAST"</f>
        <v>C_AUDIT_RAST</v>
      </c>
      <c r="G11489" s="2" t="str">
        <f>"Apoio a TI / Gestão de Usuários / Administração do Sistema / Auditoria / Consultas / Auditoria com Rastreamento (C_AUDIT_RAST)"</f>
        <v>Apoio a TI / Gestão de Usuários / Administração do Sistema / Auditoria / Consultas / Auditoria com Rastreamento (C_AUDIT_RAST)</v>
      </c>
    </row>
    <row r="11490" spans="1:7" x14ac:dyDescent="0.3">
      <c r="A11490" s="1" t="s">
        <v>4</v>
      </c>
      <c r="B11490" s="2" t="str">
        <f t="shared" si="995"/>
        <v>SISTEMA DE GERENCIAMENTO DE USUÁRIOS</v>
      </c>
      <c r="C11490" s="2" t="str">
        <f t="shared" si="996"/>
        <v>GLOBAL</v>
      </c>
      <c r="D11490" s="2" t="str">
        <f t="shared" si="997"/>
        <v>SGU</v>
      </c>
      <c r="E11490" s="2" t="str">
        <f>"AUDITORIA TÉCNICA"</f>
        <v>AUDITORIA TÉCNICA</v>
      </c>
      <c r="F11490" s="2" t="str">
        <f>"C_AUDIT_AUDITORIA"</f>
        <v>C_AUDIT_AUDITORIA</v>
      </c>
      <c r="G11490" s="2" t="str">
        <f>"Apoio a TI / Gestão de Usuários / Administração do Sistema / Auditoria / Consultas / Auditoria Técnica (C_AUDIT_AUDITORIA)"</f>
        <v>Apoio a TI / Gestão de Usuários / Administração do Sistema / Auditoria / Consultas / Auditoria Técnica (C_AUDIT_AUDITORIA)</v>
      </c>
    </row>
    <row r="11491" spans="1:7" x14ac:dyDescent="0.3">
      <c r="A11491" s="1" t="s">
        <v>4</v>
      </c>
      <c r="B11491" s="2" t="str">
        <f t="shared" si="995"/>
        <v>SISTEMA DE GERENCIAMENTO DE USUÁRIOS</v>
      </c>
      <c r="C11491" s="2" t="str">
        <f t="shared" si="996"/>
        <v>GLOBAL</v>
      </c>
      <c r="D11491" s="2" t="str">
        <f t="shared" si="997"/>
        <v>SGU</v>
      </c>
      <c r="E11491" s="2" t="str">
        <f>"GERA AGENDA DE SOLICITAÇÕES"</f>
        <v>GERA AGENDA DE SOLICITAÇÕES</v>
      </c>
      <c r="F11491" s="2" t="str">
        <f>"O_GERA_AGENDA"</f>
        <v>O_GERA_AGENDA</v>
      </c>
      <c r="G11491" s="2" t="str">
        <f t="shared" ref="G11491:G11498" si="999">" ()"</f>
        <v xml:space="preserve"> ()</v>
      </c>
    </row>
    <row r="11492" spans="1:7" x14ac:dyDescent="0.3">
      <c r="A11492" s="1" t="s">
        <v>4</v>
      </c>
      <c r="B11492" s="2" t="str">
        <f t="shared" si="995"/>
        <v>SISTEMA DE GERENCIAMENTO DE USUÁRIOS</v>
      </c>
      <c r="C11492" s="2" t="str">
        <f t="shared" si="996"/>
        <v>GLOBAL</v>
      </c>
      <c r="D11492" s="2" t="str">
        <f t="shared" si="997"/>
        <v>SGU</v>
      </c>
      <c r="E11492" s="2" t="str">
        <f>"CONFIGURAÇÃO DO SGU"</f>
        <v>CONFIGURAÇÃO DO SGU</v>
      </c>
      <c r="F11492" s="2" t="str">
        <f>"M_CONFIG_SGU"</f>
        <v>M_CONFIG_SGU</v>
      </c>
      <c r="G11492" s="2" t="str">
        <f t="shared" si="999"/>
        <v xml:space="preserve"> ()</v>
      </c>
    </row>
    <row r="11493" spans="1:7" x14ac:dyDescent="0.3">
      <c r="A11493" s="1" t="s">
        <v>4</v>
      </c>
      <c r="B11493" s="2" t="str">
        <f t="shared" si="995"/>
        <v>SISTEMA DE GERENCIAMENTO DE USUÁRIOS</v>
      </c>
      <c r="C11493" s="2" t="str">
        <f t="shared" si="996"/>
        <v>GLOBAL</v>
      </c>
      <c r="D11493" s="2" t="str">
        <f t="shared" si="997"/>
        <v>SGU</v>
      </c>
      <c r="E11493" s="2" t="str">
        <f>"PREVISÃO DA AGENDA DE TRABALHO"</f>
        <v>PREVISÃO DA AGENDA DE TRABALHO</v>
      </c>
      <c r="F11493" s="2" t="str">
        <f>"M_PREV_AGENDA"</f>
        <v>M_PREV_AGENDA</v>
      </c>
      <c r="G11493" s="2" t="str">
        <f t="shared" si="999"/>
        <v xml:space="preserve"> ()</v>
      </c>
    </row>
    <row r="11494" spans="1:7" x14ac:dyDescent="0.3">
      <c r="A11494" s="1" t="s">
        <v>4</v>
      </c>
      <c r="B11494" s="2" t="str">
        <f t="shared" si="995"/>
        <v>SISTEMA DE GERENCIAMENTO DE USUÁRIOS</v>
      </c>
      <c r="C11494" s="2" t="str">
        <f t="shared" si="996"/>
        <v>GLOBAL</v>
      </c>
      <c r="D11494" s="2" t="str">
        <f t="shared" si="997"/>
        <v>SGU</v>
      </c>
      <c r="E11494" s="2" t="str">
        <f>"CONSULTA AGENDA DE TRABALHO"</f>
        <v>CONSULTA AGENDA DE TRABALHO</v>
      </c>
      <c r="F11494" s="2" t="str">
        <f>"C_AGENDA"</f>
        <v>C_AGENDA</v>
      </c>
      <c r="G11494" s="2" t="str">
        <f t="shared" si="999"/>
        <v xml:space="preserve"> ()</v>
      </c>
    </row>
    <row r="11495" spans="1:7" x14ac:dyDescent="0.3">
      <c r="A11495" s="1" t="s">
        <v>4</v>
      </c>
      <c r="B11495" s="2" t="str">
        <f t="shared" si="995"/>
        <v>SISTEMA DE GERENCIAMENTO DE USUÁRIOS</v>
      </c>
      <c r="C11495" s="2" t="str">
        <f t="shared" si="996"/>
        <v>GLOBAL</v>
      </c>
      <c r="D11495" s="2" t="str">
        <f t="shared" si="997"/>
        <v>SGU</v>
      </c>
      <c r="E11495" s="2" t="str">
        <f>"MANUT. DOS HORARIOS DE TRAB. DOS FUNC."</f>
        <v>MANUT. DOS HORARIOS DE TRAB. DOS FUNC.</v>
      </c>
      <c r="F11495" s="2" t="str">
        <f>"M_HORARIO_FUN"</f>
        <v>M_HORARIO_FUN</v>
      </c>
      <c r="G11495" s="2" t="str">
        <f t="shared" si="999"/>
        <v xml:space="preserve"> ()</v>
      </c>
    </row>
    <row r="11496" spans="1:7" x14ac:dyDescent="0.3">
      <c r="A11496" s="1" t="s">
        <v>4</v>
      </c>
      <c r="B11496" s="2" t="str">
        <f t="shared" si="995"/>
        <v>SISTEMA DE GERENCIAMENTO DE USUÁRIOS</v>
      </c>
      <c r="C11496" s="2" t="str">
        <f t="shared" si="996"/>
        <v>GLOBAL</v>
      </c>
      <c r="D11496" s="2" t="str">
        <f t="shared" si="997"/>
        <v>SGU</v>
      </c>
      <c r="E11496" s="2" t="str">
        <f>"RELATÓRIO DE CLIENTES POR VERSÃO"</f>
        <v>RELATÓRIO DE CLIENTES POR VERSÃO</v>
      </c>
      <c r="F11496" s="2" t="str">
        <f>"R_VERSAO_CLIENTE"</f>
        <v>R_VERSAO_CLIENTE</v>
      </c>
      <c r="G11496" s="2" t="str">
        <f t="shared" si="999"/>
        <v xml:space="preserve"> ()</v>
      </c>
    </row>
    <row r="11497" spans="1:7" x14ac:dyDescent="0.3">
      <c r="A11497" s="1" t="s">
        <v>4</v>
      </c>
      <c r="B11497" s="2" t="str">
        <f t="shared" si="995"/>
        <v>SISTEMA DE GERENCIAMENTO DE USUÁRIOS</v>
      </c>
      <c r="C11497" s="2" t="str">
        <f t="shared" si="996"/>
        <v>GLOBAL</v>
      </c>
      <c r="D11497" s="2" t="str">
        <f t="shared" si="997"/>
        <v>SGU</v>
      </c>
      <c r="E11497" s="2" t="str">
        <f>"TELA DE ABERTURA"</f>
        <v>TELA DE ABERTURA</v>
      </c>
      <c r="F11497" s="2" t="str">
        <f>"SGU"</f>
        <v>SGU</v>
      </c>
      <c r="G11497" s="2" t="str">
        <f t="shared" si="999"/>
        <v xml:space="preserve"> ()</v>
      </c>
    </row>
    <row r="11498" spans="1:7" x14ac:dyDescent="0.3">
      <c r="A11498" s="1" t="s">
        <v>4</v>
      </c>
      <c r="B11498" s="2" t="str">
        <f t="shared" si="995"/>
        <v>SISTEMA DE GERENCIAMENTO DE USUÁRIOS</v>
      </c>
      <c r="C11498" s="2" t="str">
        <f t="shared" si="996"/>
        <v>GLOBAL</v>
      </c>
      <c r="D11498" s="2" t="str">
        <f t="shared" si="997"/>
        <v>SGU</v>
      </c>
      <c r="E11498" s="2" t="str">
        <f>"REL. DE IMPRESSAO DE PDA"</f>
        <v>REL. DE IMPRESSAO DE PDA</v>
      </c>
      <c r="F11498" s="2" t="str">
        <f>"R_PDA"</f>
        <v>R_PDA</v>
      </c>
      <c r="G11498" s="2" t="str">
        <f t="shared" si="999"/>
        <v xml:space="preserve"> ()</v>
      </c>
    </row>
    <row r="11499" spans="1:7" x14ac:dyDescent="0.3">
      <c r="A11499" s="1" t="s">
        <v>4</v>
      </c>
      <c r="B11499" s="2" t="str">
        <f t="shared" si="995"/>
        <v>SISTEMA DE GERENCIAMENTO DE USUÁRIOS</v>
      </c>
      <c r="C11499" s="2" t="str">
        <f t="shared" si="996"/>
        <v>GLOBAL</v>
      </c>
      <c r="D11499" s="2" t="str">
        <f t="shared" si="997"/>
        <v>SGU</v>
      </c>
      <c r="E11499" s="2" t="str">
        <f>"LIMPEZA NA AUDITORIA"</f>
        <v>LIMPEZA NA AUDITORIA</v>
      </c>
      <c r="F11499" s="2" t="str">
        <f>"M_REMOVE_AUDIT"</f>
        <v>M_REMOVE_AUDIT</v>
      </c>
      <c r="G11499" s="2" t="str">
        <f>"Apoio a TI / Gestão de Usuários / Administração do Sistema / Auditoria / Manutenção / Limpeza da Auditoria (M_REMOVE_AUDIT)"</f>
        <v>Apoio a TI / Gestão de Usuários / Administração do Sistema / Auditoria / Manutenção / Limpeza da Auditoria (M_REMOVE_AUDIT)</v>
      </c>
    </row>
    <row r="11500" spans="1:7" x14ac:dyDescent="0.3">
      <c r="A11500" s="1" t="s">
        <v>4</v>
      </c>
      <c r="B11500" s="2" t="str">
        <f t="shared" si="995"/>
        <v>SISTEMA DE GERENCIAMENTO DE USUÁRIOS</v>
      </c>
      <c r="C11500" s="2" t="str">
        <f t="shared" si="996"/>
        <v>GLOBAL</v>
      </c>
      <c r="D11500" s="2" t="str">
        <f t="shared" si="997"/>
        <v>SGU</v>
      </c>
      <c r="E11500" s="2" t="str">
        <f>"ESTATÍSTICA DE ATENDIMENTO AO CLIENTE"</f>
        <v>ESTATÍSTICA DE ATENDIMENTO AO CLIENTE</v>
      </c>
      <c r="F11500" s="2" t="str">
        <f>"R_CLIENTE_ESTATISTICA"</f>
        <v>R_CLIENTE_ESTATISTICA</v>
      </c>
      <c r="G11500" s="2" t="str">
        <f>" ()"</f>
        <v xml:space="preserve"> ()</v>
      </c>
    </row>
    <row r="11501" spans="1:7" x14ac:dyDescent="0.3">
      <c r="A11501" s="1" t="s">
        <v>4</v>
      </c>
      <c r="B11501" s="2" t="str">
        <f t="shared" si="995"/>
        <v>SISTEMA DE GERENCIAMENTO DE USUÁRIOS</v>
      </c>
      <c r="C11501" s="2" t="str">
        <f t="shared" si="996"/>
        <v>GLOBAL</v>
      </c>
      <c r="D11501" s="2" t="str">
        <f t="shared" si="997"/>
        <v>SGU</v>
      </c>
      <c r="E11501" s="2" t="str">
        <f>"PERSONALIZADOS SGU"</f>
        <v>PERSONALIZADOS SGU</v>
      </c>
      <c r="F11501" s="2" t="str">
        <f>"R_PERSON_SGU"</f>
        <v>R_PERSON_SGU</v>
      </c>
      <c r="G11501" s="2" t="str">
        <f>"Apoio a TI / Gestão de Usuários / Relatórios / Personalizados (R_PERSON_SGU)"</f>
        <v>Apoio a TI / Gestão de Usuários / Relatórios / Personalizados (R_PERSON_SGU)</v>
      </c>
    </row>
    <row r="11502" spans="1:7" x14ac:dyDescent="0.3">
      <c r="A11502" s="1" t="s">
        <v>4</v>
      </c>
      <c r="B11502" s="2" t="str">
        <f t="shared" si="995"/>
        <v>SISTEMA DE GERENCIAMENTO DE USUÁRIOS</v>
      </c>
      <c r="C11502" s="2" t="str">
        <f t="shared" si="996"/>
        <v>GLOBAL</v>
      </c>
      <c r="D11502" s="2" t="str">
        <f t="shared" si="997"/>
        <v>SGU</v>
      </c>
      <c r="E11502" s="2" t="str">
        <f>"CONSULTA DE AUDITORIA DE TABELAS"</f>
        <v>CONSULTA DE AUDITORIA DE TABELAS</v>
      </c>
      <c r="F11502" s="2" t="str">
        <f>"C_CONSULTA_AUDITORIA"</f>
        <v>C_CONSULTA_AUDITORIA</v>
      </c>
      <c r="G11502" s="2" t="str">
        <f>"Apoio a TI / Auditoria de Tabelas / Consulta da Auditoria de Tabelas (C_CONSULTA_AUDITORIA)"</f>
        <v>Apoio a TI / Auditoria de Tabelas / Consulta da Auditoria de Tabelas (C_CONSULTA_AUDITORIA)</v>
      </c>
    </row>
    <row r="11503" spans="1:7" x14ac:dyDescent="0.3">
      <c r="A11503" s="1" t="s">
        <v>4</v>
      </c>
      <c r="B11503" s="2" t="str">
        <f t="shared" si="995"/>
        <v>SISTEMA DE GERENCIAMENTO DE USUÁRIOS</v>
      </c>
      <c r="C11503" s="2" t="str">
        <f t="shared" si="996"/>
        <v>GLOBAL</v>
      </c>
      <c r="D11503" s="2" t="str">
        <f t="shared" si="997"/>
        <v>SGU</v>
      </c>
      <c r="E11503" s="2" t="str">
        <f>"AUDITORIA DE TABELAS"</f>
        <v>AUDITORIA DE TABELAS</v>
      </c>
      <c r="F11503" s="2" t="str">
        <f>"M_LIGAR_AUDITORIA"</f>
        <v>M_LIGAR_AUDITORIA</v>
      </c>
      <c r="G11503" s="2" t="str">
        <f>"Apoio a TI / Auditoria de Tabelas / Auditoria de Tabelas (M_LIGAR_AUDITORIA)"</f>
        <v>Apoio a TI / Auditoria de Tabelas / Auditoria de Tabelas (M_LIGAR_AUDITORIA)</v>
      </c>
    </row>
    <row r="11504" spans="1:7" x14ac:dyDescent="0.3">
      <c r="A11504" s="1" t="s">
        <v>4</v>
      </c>
      <c r="B11504" s="2" t="str">
        <f t="shared" si="995"/>
        <v>SISTEMA DE GERENCIAMENTO DE USUÁRIOS</v>
      </c>
      <c r="C11504" s="2" t="str">
        <f t="shared" si="996"/>
        <v>GLOBAL</v>
      </c>
      <c r="D11504" s="2" t="str">
        <f t="shared" si="997"/>
        <v>SGU</v>
      </c>
      <c r="E11504" s="2" t="str">
        <f>"CADASTRO DE USUÁRIOS"</f>
        <v>CADASTRO DE USUÁRIOS</v>
      </c>
      <c r="F11504" s="2" t="str">
        <f>"M_USUARIOS"</f>
        <v>M_USUARIOS</v>
      </c>
      <c r="G11504" s="2" t="str">
        <f>"Apoio a TI / Gestão de Usuários / Autorização / Usuários (M_USUARIOS)"</f>
        <v>Apoio a TI / Gestão de Usuários / Autorização / Usuários (M_USUARIOS)</v>
      </c>
    </row>
    <row r="11505" spans="1:7" x14ac:dyDescent="0.3">
      <c r="A11505" s="1" t="s">
        <v>4</v>
      </c>
      <c r="B11505" s="2" t="str">
        <f t="shared" si="995"/>
        <v>SISTEMA DE GERENCIAMENTO DE USUÁRIOS</v>
      </c>
      <c r="C11505" s="2" t="str">
        <f t="shared" si="996"/>
        <v>GLOBAL</v>
      </c>
      <c r="D11505" s="2" t="str">
        <f t="shared" si="997"/>
        <v>SGU</v>
      </c>
      <c r="E11505" s="2" t="str">
        <f>"O_JOB_CUSTO_MEDIO"</f>
        <v>O_JOB_CUSTO_MEDIO</v>
      </c>
      <c r="F11505" s="2" t="str">
        <f>"O_JOB_CUSTO_MEDIO"</f>
        <v>O_JOB_CUSTO_MEDIO</v>
      </c>
      <c r="G11505" s="2" t="str">
        <f>"Apoio a TI / Gestão de Usuários / Administração do Sistema / Criar Job do Custo Medio (O_JOB_CUSTO_MEDIO)"</f>
        <v>Apoio a TI / Gestão de Usuários / Administração do Sistema / Criar Job do Custo Medio (O_JOB_CUSTO_MEDIO)</v>
      </c>
    </row>
    <row r="11506" spans="1:7" x14ac:dyDescent="0.3">
      <c r="A11506" s="1" t="s">
        <v>4</v>
      </c>
      <c r="B11506" s="2" t="str">
        <f t="shared" si="995"/>
        <v>SISTEMA DE GERENCIAMENTO DE USUÁRIOS</v>
      </c>
      <c r="C11506" s="2" t="str">
        <f t="shared" si="996"/>
        <v>GLOBAL</v>
      </c>
      <c r="D11506" s="2" t="str">
        <f t="shared" si="997"/>
        <v>SGU</v>
      </c>
      <c r="E11506" s="2" t="str">
        <f>"M_GERA_JOB_GENERICO"</f>
        <v>M_GERA_JOB_GENERICO</v>
      </c>
      <c r="F11506" s="2" t="str">
        <f>"M_GERA_JOB_GENERICO"</f>
        <v>M_GERA_JOB_GENERICO</v>
      </c>
      <c r="G11506" s="2" t="str">
        <f>" ()"</f>
        <v xml:space="preserve"> ()</v>
      </c>
    </row>
    <row r="11507" spans="1:7" x14ac:dyDescent="0.3">
      <c r="A11507" s="1" t="s">
        <v>4</v>
      </c>
      <c r="B11507" s="2" t="str">
        <f t="shared" si="995"/>
        <v>SISTEMA DE GERENCIAMENTO DE USUÁRIOS</v>
      </c>
      <c r="C11507" s="2" t="str">
        <f t="shared" si="996"/>
        <v>GLOBAL</v>
      </c>
      <c r="D11507" s="2" t="str">
        <f t="shared" si="997"/>
        <v>SGU</v>
      </c>
      <c r="E11507" s="2" t="str">
        <f>"CADASTRO DE PROCESSOS DE IMPLANTACAO"</f>
        <v>CADASTRO DE PROCESSOS DE IMPLANTACAO</v>
      </c>
      <c r="F11507" s="2" t="str">
        <f>"M_PROCESSOS_IMPLANTACAO"</f>
        <v>M_PROCESSOS_IMPLANTACAO</v>
      </c>
      <c r="G11507" s="2" t="str">
        <f>"Apoio a TI / Gestão de Usuários / Tabelas / Processos (M_PROCESSOS_IMPLANTACAO)"</f>
        <v>Apoio a TI / Gestão de Usuários / Tabelas / Processos (M_PROCESSOS_IMPLANTACAO)</v>
      </c>
    </row>
    <row r="11508" spans="1:7" x14ac:dyDescent="0.3">
      <c r="A11508" s="1" t="s">
        <v>4</v>
      </c>
      <c r="B11508" s="2" t="str">
        <f t="shared" si="995"/>
        <v>SISTEMA DE GERENCIAMENTO DE USUÁRIOS</v>
      </c>
      <c r="C11508" s="2" t="str">
        <f t="shared" si="996"/>
        <v>GLOBAL</v>
      </c>
      <c r="D11508" s="2" t="str">
        <f t="shared" si="997"/>
        <v>SGU</v>
      </c>
      <c r="E11508" s="2" t="str">
        <f>"AUDITORIA POR USUÁRIO"</f>
        <v>AUDITORIA POR USUÁRIO</v>
      </c>
      <c r="F11508" s="2" t="str">
        <f>"R_AUDIT_USUARIO.RDF"</f>
        <v>R_AUDIT_USUARIO.RDF</v>
      </c>
      <c r="G11508" s="2" t="str">
        <f>" ()"</f>
        <v xml:space="preserve"> ()</v>
      </c>
    </row>
    <row r="11509" spans="1:7" x14ac:dyDescent="0.3">
      <c r="A11509" s="1" t="s">
        <v>4</v>
      </c>
      <c r="B11509" s="2" t="str">
        <f t="shared" ref="B11509:B11562" si="1000">"SISTEMA DE GERENCIAMENTO DE USUÁRIOS"</f>
        <v>SISTEMA DE GERENCIAMENTO DE USUÁRIOS</v>
      </c>
      <c r="C11509" s="2" t="str">
        <f t="shared" ref="C11509:C11562" si="1001">"GLOBAL"</f>
        <v>GLOBAL</v>
      </c>
      <c r="D11509" s="2" t="str">
        <f t="shared" ref="D11509:D11562" si="1002">"SGU"</f>
        <v>SGU</v>
      </c>
      <c r="E11509" s="2" t="str">
        <f>"CADASTRO PESQUISA MENU"</f>
        <v>CADASTRO PESQUISA MENU</v>
      </c>
      <c r="F11509" s="2" t="str">
        <f>"PESQUISA_MENU"</f>
        <v>PESQUISA_MENU</v>
      </c>
      <c r="G11509" s="2" t="str">
        <f>" ()"</f>
        <v xml:space="preserve"> ()</v>
      </c>
    </row>
    <row r="11510" spans="1:7" x14ac:dyDescent="0.3">
      <c r="A11510" s="1" t="s">
        <v>4</v>
      </c>
      <c r="B11510" s="2" t="str">
        <f t="shared" si="1000"/>
        <v>SISTEMA DE GERENCIAMENTO DE USUÁRIOS</v>
      </c>
      <c r="C11510" s="2" t="str">
        <f t="shared" si="1001"/>
        <v>GLOBAL</v>
      </c>
      <c r="D11510" s="2" t="str">
        <f t="shared" si="1002"/>
        <v>SGU</v>
      </c>
      <c r="E11510" s="2" t="str">
        <f>"REL DE ESTATÍSTICA  DE CONEXOES DIARIO"</f>
        <v>REL DE ESTATÍSTICA  DE CONEXOES DIARIO</v>
      </c>
      <c r="F11510" s="2" t="str">
        <f>"R_ESTA_CON_SINT"</f>
        <v>R_ESTA_CON_SINT</v>
      </c>
      <c r="G11510" s="2" t="str">
        <f>" ()"</f>
        <v xml:space="preserve"> ()</v>
      </c>
    </row>
    <row r="11511" spans="1:7" x14ac:dyDescent="0.3">
      <c r="A11511" s="1" t="s">
        <v>4</v>
      </c>
      <c r="B11511" s="2" t="str">
        <f t="shared" si="1000"/>
        <v>SISTEMA DE GERENCIAMENTO DE USUÁRIOS</v>
      </c>
      <c r="C11511" s="2" t="str">
        <f t="shared" si="1001"/>
        <v>GLOBAL</v>
      </c>
      <c r="D11511" s="2" t="str">
        <f t="shared" si="1002"/>
        <v>SGU</v>
      </c>
      <c r="E11511" s="2" t="str">
        <f>"AUDITORIA TÉCNICA"</f>
        <v>AUDITORIA TÉCNICA</v>
      </c>
      <c r="F11511" s="2" t="str">
        <f>"M_OTIMIZA_AUDIT_TABELA"</f>
        <v>M_OTIMIZA_AUDIT_TABELA</v>
      </c>
      <c r="G11511" s="2" t="str">
        <f>"Apoio a TI / Gestão de Usuários / Administração do Sistema / Auditoria / Manutenção / Otimiza Auditoria de Tabelas (M_OTIMIZA_AUDIT_TABELA)"</f>
        <v>Apoio a TI / Gestão de Usuários / Administração do Sistema / Auditoria / Manutenção / Otimiza Auditoria de Tabelas (M_OTIMIZA_AUDIT_TABELA)</v>
      </c>
    </row>
    <row r="11512" spans="1:7" x14ac:dyDescent="0.3">
      <c r="A11512" s="1" t="s">
        <v>4</v>
      </c>
      <c r="B11512" s="2" t="str">
        <f t="shared" si="1000"/>
        <v>SISTEMA DE GERENCIAMENTO DE USUÁRIOS</v>
      </c>
      <c r="C11512" s="2" t="str">
        <f t="shared" si="1001"/>
        <v>GLOBAL</v>
      </c>
      <c r="D11512" s="2" t="str">
        <f t="shared" si="1002"/>
        <v>SGU</v>
      </c>
      <c r="E11512" s="2" t="str">
        <f>"RELATÓRIO DE RASTREAMENTO DA AUDITORIA"</f>
        <v>RELATÓRIO DE RASTREAMENTO DA AUDITORIA</v>
      </c>
      <c r="F11512" s="2" t="str">
        <f>"R_AUDIT_RAST"</f>
        <v>R_AUDIT_RAST</v>
      </c>
      <c r="G11512" s="2" t="str">
        <f>" ()"</f>
        <v xml:space="preserve"> ()</v>
      </c>
    </row>
    <row r="11513" spans="1:7" x14ac:dyDescent="0.3">
      <c r="A11513" s="1" t="s">
        <v>4</v>
      </c>
      <c r="B11513" s="2" t="str">
        <f t="shared" si="1000"/>
        <v>SISTEMA DE GERENCIAMENTO DE USUÁRIOS</v>
      </c>
      <c r="C11513" s="2" t="str">
        <f t="shared" si="1001"/>
        <v>GLOBAL</v>
      </c>
      <c r="D11513" s="2" t="str">
        <f t="shared" si="1002"/>
        <v>SGU</v>
      </c>
      <c r="E11513" s="2" t="str">
        <f>"FORM PARA RELATORIO DE TABELAS E COLUNAS"</f>
        <v>FORM PARA RELATORIO DE TABELAS E COLUNAS</v>
      </c>
      <c r="F11513" s="2" t="str">
        <f>"R_TABCOL"</f>
        <v>R_TABCOL</v>
      </c>
      <c r="G11513" s="2" t="str">
        <f>"Apoio a TI / Gestão de Usuários / Relatórios / Auditoria de Tabelas / Tabelas e Colunas (R_TABCOL)"</f>
        <v>Apoio a TI / Gestão de Usuários / Relatórios / Auditoria de Tabelas / Tabelas e Colunas (R_TABCOL)</v>
      </c>
    </row>
    <row r="11514" spans="1:7" x14ac:dyDescent="0.3">
      <c r="A11514" s="1" t="s">
        <v>4</v>
      </c>
      <c r="B11514" s="2" t="str">
        <f t="shared" si="1000"/>
        <v>SISTEMA DE GERENCIAMENTO DE USUÁRIOS</v>
      </c>
      <c r="C11514" s="2" t="str">
        <f t="shared" si="1001"/>
        <v>GLOBAL</v>
      </c>
      <c r="D11514" s="2" t="str">
        <f t="shared" si="1002"/>
        <v>SGU</v>
      </c>
      <c r="E11514" s="2" t="str">
        <f>"FORM DE PARAMETRO PARA REL. TABELAS"</f>
        <v>FORM DE PARAMETRO PARA REL. TABELAS</v>
      </c>
      <c r="F11514" s="2" t="str">
        <f>"R_TABELAS"</f>
        <v>R_TABELAS</v>
      </c>
      <c r="G11514" s="2" t="str">
        <f>"Apoio a TI / Gestão de Usuários / Relatórios / Auditoria de Tabelas / Tabelas (R_TABELAS)"</f>
        <v>Apoio a TI / Gestão de Usuários / Relatórios / Auditoria de Tabelas / Tabelas (R_TABELAS)</v>
      </c>
    </row>
    <row r="11515" spans="1:7" x14ac:dyDescent="0.3">
      <c r="A11515" s="1" t="s">
        <v>4</v>
      </c>
      <c r="B11515" s="2" t="str">
        <f t="shared" si="1000"/>
        <v>SISTEMA DE GERENCIAMENTO DE USUÁRIOS</v>
      </c>
      <c r="C11515" s="2" t="str">
        <f t="shared" si="1001"/>
        <v>GLOBAL</v>
      </c>
      <c r="D11515" s="2" t="str">
        <f t="shared" si="1002"/>
        <v>SGU</v>
      </c>
      <c r="E11515" s="2" t="str">
        <f>"ORACLE FORMS RUNTIME"</f>
        <v>ORACLE FORMS RUNTIME</v>
      </c>
      <c r="F11515" s="2" t="str">
        <f>"R_AGENDA_TRABALHO_NOVA"</f>
        <v>R_AGENDA_TRABALHO_NOVA</v>
      </c>
      <c r="G11515" s="2" t="str">
        <f>" ()"</f>
        <v xml:space="preserve"> ()</v>
      </c>
    </row>
    <row r="11516" spans="1:7" x14ac:dyDescent="0.3">
      <c r="A11516" s="1" t="s">
        <v>4</v>
      </c>
      <c r="B11516" s="2" t="str">
        <f t="shared" si="1000"/>
        <v>SISTEMA DE GERENCIAMENTO DE USUÁRIOS</v>
      </c>
      <c r="C11516" s="2" t="str">
        <f t="shared" si="1001"/>
        <v>GLOBAL</v>
      </c>
      <c r="D11516" s="2" t="str">
        <f t="shared" si="1002"/>
        <v>SGU</v>
      </c>
      <c r="E11516" s="2" t="str">
        <f>"RELATÓRIO SISTEMAS POR USUÁRIOS"</f>
        <v>RELATÓRIO SISTEMAS POR USUÁRIOS</v>
      </c>
      <c r="F11516" s="2" t="str">
        <f>"R_USUARIOS_SISTEMA"</f>
        <v>R_USUARIOS_SISTEMA</v>
      </c>
      <c r="G11516" s="2" t="str">
        <f>"Apoio a TI / Gestão de Usuários / Relatórios / Usuários por Sistema (R_USUARIOS_SISTEMA)"</f>
        <v>Apoio a TI / Gestão de Usuários / Relatórios / Usuários por Sistema (R_USUARIOS_SISTEMA)</v>
      </c>
    </row>
    <row r="11517" spans="1:7" x14ac:dyDescent="0.3">
      <c r="A11517" s="1" t="s">
        <v>4</v>
      </c>
      <c r="B11517" s="2" t="str">
        <f t="shared" si="1000"/>
        <v>SISTEMA DE GERENCIAMENTO DE USUÁRIOS</v>
      </c>
      <c r="C11517" s="2" t="str">
        <f t="shared" si="1001"/>
        <v>GLOBAL</v>
      </c>
      <c r="D11517" s="2" t="str">
        <f t="shared" si="1002"/>
        <v>SGU</v>
      </c>
      <c r="E11517" s="2" t="str">
        <f>"ESTATÍSTICA DE CONEXÕES"</f>
        <v>ESTATÍSTICA DE CONEXÕES</v>
      </c>
      <c r="F11517" s="2" t="str">
        <f>"R_ESTA_CON"</f>
        <v>R_ESTA_CON</v>
      </c>
      <c r="G11517" s="2" t="str">
        <f>"Apoio a TI / Gestão de Usuários / Relatórios / Estatística de Conexões (R_ESTA_CON)"</f>
        <v>Apoio a TI / Gestão de Usuários / Relatórios / Estatística de Conexões (R_ESTA_CON)</v>
      </c>
    </row>
    <row r="11518" spans="1:7" x14ac:dyDescent="0.3">
      <c r="A11518" s="1" t="s">
        <v>4</v>
      </c>
      <c r="B11518" s="2" t="str">
        <f t="shared" si="1000"/>
        <v>SISTEMA DE GERENCIAMENTO DE USUÁRIOS</v>
      </c>
      <c r="C11518" s="2" t="str">
        <f t="shared" si="1001"/>
        <v>GLOBAL</v>
      </c>
      <c r="D11518" s="2" t="str">
        <f t="shared" si="1002"/>
        <v>SGU</v>
      </c>
      <c r="E11518" s="2" t="str">
        <f>"EXPORTAÇÃO DE ESTATÍSTICAS DE CONEXÕES"</f>
        <v>EXPORTAÇÃO DE ESTATÍSTICAS DE CONEXÕES</v>
      </c>
      <c r="F11518" s="2" t="str">
        <f>"O_EXP_CONEXAO"</f>
        <v>O_EXP_CONEXAO</v>
      </c>
      <c r="G11518" s="2" t="str">
        <f>"Apoio a TI / Gestão de Usuários / Administração do Sistema / Exportação de Estatísticas de Conexão (O_EXP_CONEXAO)"</f>
        <v>Apoio a TI / Gestão de Usuários / Administração do Sistema / Exportação de Estatísticas de Conexão (O_EXP_CONEXAO)</v>
      </c>
    </row>
    <row r="11519" spans="1:7" x14ac:dyDescent="0.3">
      <c r="A11519" s="1" t="s">
        <v>4</v>
      </c>
      <c r="B11519" s="2" t="str">
        <f t="shared" si="1000"/>
        <v>SISTEMA DE GERENCIAMENTO DE USUÁRIOS</v>
      </c>
      <c r="C11519" s="2" t="str">
        <f t="shared" si="1001"/>
        <v>GLOBAL</v>
      </c>
      <c r="D11519" s="2" t="str">
        <f t="shared" si="1002"/>
        <v>SGU</v>
      </c>
      <c r="E11519" s="2" t="str">
        <f>"MV_ADM"</f>
        <v>MV_ADM</v>
      </c>
      <c r="F11519" s="2" t="str">
        <f>"MV_ADM"</f>
        <v>MV_ADM</v>
      </c>
      <c r="G11519" s="2" t="str">
        <f>" ()"</f>
        <v xml:space="preserve"> ()</v>
      </c>
    </row>
    <row r="11520" spans="1:7" x14ac:dyDescent="0.3">
      <c r="A11520" s="1" t="s">
        <v>4</v>
      </c>
      <c r="B11520" s="2" t="str">
        <f t="shared" si="1000"/>
        <v>SISTEMA DE GERENCIAMENTO DE USUÁRIOS</v>
      </c>
      <c r="C11520" s="2" t="str">
        <f t="shared" si="1001"/>
        <v>GLOBAL</v>
      </c>
      <c r="D11520" s="2" t="str">
        <f t="shared" si="1002"/>
        <v>SGU</v>
      </c>
      <c r="E11520" s="2" t="str">
        <f>"M_HORARIO_VERAO"</f>
        <v>M_HORARIO_VERAO</v>
      </c>
      <c r="F11520" s="2" t="str">
        <f>"M_HORARIO_VERAO"</f>
        <v>M_HORARIO_VERAO</v>
      </c>
      <c r="G11520" s="2" t="str">
        <f>"Apoio a TI / Gestão de Usuários / Tabelas / Horário de Verão (M_HORARIO_VERAO)"</f>
        <v>Apoio a TI / Gestão de Usuários / Tabelas / Horário de Verão (M_HORARIO_VERAO)</v>
      </c>
    </row>
    <row r="11521" spans="1:7" x14ac:dyDescent="0.3">
      <c r="A11521" s="1" t="s">
        <v>4</v>
      </c>
      <c r="B11521" s="2" t="str">
        <f t="shared" si="1000"/>
        <v>SISTEMA DE GERENCIAMENTO DE USUÁRIOS</v>
      </c>
      <c r="C11521" s="2" t="str">
        <f t="shared" si="1001"/>
        <v>GLOBAL</v>
      </c>
      <c r="D11521" s="2" t="str">
        <f t="shared" si="1002"/>
        <v>SGU</v>
      </c>
      <c r="E11521" s="2" t="str">
        <f>"ASSUMIR PERFIL DE MENU DE USUARIO"</f>
        <v>ASSUMIR PERFIL DE MENU DE USUARIO</v>
      </c>
      <c r="F11521" s="2" t="str">
        <f>"ASSUMIR_PERFIL_USUARIO"</f>
        <v>ASSUMIR_PERFIL_USUARIO</v>
      </c>
      <c r="G11521" s="2" t="str">
        <f>" ()"</f>
        <v xml:space="preserve"> ()</v>
      </c>
    </row>
    <row r="11522" spans="1:7" x14ac:dyDescent="0.3">
      <c r="A11522" s="1" t="s">
        <v>4</v>
      </c>
      <c r="B11522" s="2" t="str">
        <f t="shared" si="1000"/>
        <v>SISTEMA DE GERENCIAMENTO DE USUÁRIOS</v>
      </c>
      <c r="C11522" s="2" t="str">
        <f t="shared" si="1001"/>
        <v>GLOBAL</v>
      </c>
      <c r="D11522" s="2" t="str">
        <f t="shared" si="1002"/>
        <v>SGU</v>
      </c>
      <c r="E11522" s="2" t="str">
        <f>"WIN_PRINCIPAL"</f>
        <v>WIN_PRINCIPAL</v>
      </c>
      <c r="F11522" s="2" t="str">
        <f>"M_MENU"</f>
        <v>M_MENU</v>
      </c>
      <c r="G11522" s="2" t="str">
        <f>"Apoio a TI / Gestão de Usuários / Tabelas / Menu's (M_MENU)"</f>
        <v>Apoio a TI / Gestão de Usuários / Tabelas / Menu's (M_MENU)</v>
      </c>
    </row>
    <row r="11523" spans="1:7" x14ac:dyDescent="0.3">
      <c r="A11523" s="1" t="s">
        <v>4</v>
      </c>
      <c r="B11523" s="2" t="str">
        <f t="shared" si="1000"/>
        <v>SISTEMA DE GERENCIAMENTO DE USUÁRIOS</v>
      </c>
      <c r="C11523" s="2" t="str">
        <f t="shared" si="1001"/>
        <v>GLOBAL</v>
      </c>
      <c r="D11523" s="2" t="str">
        <f t="shared" si="1002"/>
        <v>SGU</v>
      </c>
      <c r="E11523" s="2" t="str">
        <f>"WIN_PRINCIPAL"</f>
        <v>WIN_PRINCIPAL</v>
      </c>
      <c r="F11523" s="2" t="str">
        <f>"M_PERMISSOES_USUARIO"</f>
        <v>M_PERMISSOES_USUARIO</v>
      </c>
      <c r="G11523" s="2" t="str">
        <f>" ()"</f>
        <v xml:space="preserve"> ()</v>
      </c>
    </row>
    <row r="11524" spans="1:7" x14ac:dyDescent="0.3">
      <c r="A11524" s="1" t="s">
        <v>4</v>
      </c>
      <c r="B11524" s="2" t="str">
        <f t="shared" si="1000"/>
        <v>SISTEMA DE GERENCIAMENTO DE USUÁRIOS</v>
      </c>
      <c r="C11524" s="2" t="str">
        <f t="shared" si="1001"/>
        <v>GLOBAL</v>
      </c>
      <c r="D11524" s="2" t="str">
        <f t="shared" si="1002"/>
        <v>SGU</v>
      </c>
      <c r="E11524" s="2" t="str">
        <f>"RELATORIO TESTE"</f>
        <v>RELATORIO TESTE</v>
      </c>
      <c r="F11524" s="2" t="str">
        <f>"R_ATENDIMENTOS_CONVENIO_TESTE"</f>
        <v>R_ATENDIMENTOS_CONVENIO_TESTE</v>
      </c>
      <c r="G11524" s="2" t="str">
        <f>" ()"</f>
        <v xml:space="preserve"> ()</v>
      </c>
    </row>
    <row r="11525" spans="1:7" x14ac:dyDescent="0.3">
      <c r="A11525" s="1" t="s">
        <v>4</v>
      </c>
      <c r="B11525" s="2" t="str">
        <f t="shared" si="1000"/>
        <v>SISTEMA DE GERENCIAMENTO DE USUÁRIOS</v>
      </c>
      <c r="C11525" s="2" t="str">
        <f t="shared" si="1001"/>
        <v>GLOBAL</v>
      </c>
      <c r="D11525" s="2" t="str">
        <f t="shared" si="1002"/>
        <v>SGU</v>
      </c>
      <c r="E11525" s="2" t="str">
        <f>"WIN_PRINCIPAL - HOSPITAL MV SISTEMAS"</f>
        <v>WIN_PRINCIPAL - HOSPITAL MV SISTEMAS</v>
      </c>
      <c r="F11525" s="2" t="str">
        <f>"M_CADASTRO_EMAIL"</f>
        <v>M_CADASTRO_EMAIL</v>
      </c>
      <c r="G11525" s="2" t="str">
        <f>"Serviços de Apoio / Manutenção / Configuração / Cadastro de Email (M_CADASTRO_EMAIL)"</f>
        <v>Serviços de Apoio / Manutenção / Configuração / Cadastro de Email (M_CADASTRO_EMAIL)</v>
      </c>
    </row>
    <row r="11526" spans="1:7" x14ac:dyDescent="0.3">
      <c r="A11526" s="1" t="s">
        <v>4</v>
      </c>
      <c r="B11526" s="2" t="str">
        <f t="shared" si="1000"/>
        <v>SISTEMA DE GERENCIAMENTO DE USUÁRIOS</v>
      </c>
      <c r="C11526" s="2" t="str">
        <f t="shared" si="1001"/>
        <v>GLOBAL</v>
      </c>
      <c r="D11526" s="2" t="str">
        <f t="shared" si="1002"/>
        <v>SGU</v>
      </c>
      <c r="E11526" s="2" t="str">
        <f>"WIN_PRINCIPAL - HOSPITAL MV SISTEMAS"</f>
        <v>WIN_PRINCIPAL - HOSPITAL MV SISTEMAS</v>
      </c>
      <c r="F11526" s="2" t="str">
        <f>"M_CADASTRO_EMAIL"</f>
        <v>M_CADASTRO_EMAIL</v>
      </c>
      <c r="G11526" s="2" t="str">
        <f>"Apoio a TI / Gestão de Usuários / Mensagens / Cadastro de Email (M_CADASTRO_EMAIL)"</f>
        <v>Apoio a TI / Gestão de Usuários / Mensagens / Cadastro de Email (M_CADASTRO_EMAIL)</v>
      </c>
    </row>
    <row r="11527" spans="1:7" x14ac:dyDescent="0.3">
      <c r="A11527" s="1" t="s">
        <v>4</v>
      </c>
      <c r="B11527" s="2" t="str">
        <f t="shared" si="1000"/>
        <v>SISTEMA DE GERENCIAMENTO DE USUÁRIOS</v>
      </c>
      <c r="C11527" s="2" t="str">
        <f t="shared" si="1001"/>
        <v>GLOBAL</v>
      </c>
      <c r="D11527" s="2" t="str">
        <f t="shared" si="1002"/>
        <v>SGU</v>
      </c>
      <c r="E11527" s="2" t="str">
        <f>"CADASTRO DE ENTIDADES"</f>
        <v>CADASTRO DE ENTIDADES</v>
      </c>
      <c r="F11527" s="2" t="str">
        <f>"M_TAB_ENTIDADE"</f>
        <v>M_TAB_ENTIDADE</v>
      </c>
      <c r="G11527" s="2" t="str">
        <f>" ()"</f>
        <v xml:space="preserve"> ()</v>
      </c>
    </row>
    <row r="11528" spans="1:7" x14ac:dyDescent="0.3">
      <c r="A11528" s="1" t="s">
        <v>4</v>
      </c>
      <c r="B11528" s="2" t="str">
        <f t="shared" si="1000"/>
        <v>SISTEMA DE GERENCIAMENTO DE USUÁRIOS</v>
      </c>
      <c r="C11528" s="2" t="str">
        <f t="shared" si="1001"/>
        <v>GLOBAL</v>
      </c>
      <c r="D11528" s="2" t="str">
        <f t="shared" si="1002"/>
        <v>SGU</v>
      </c>
      <c r="E11528" s="2" t="str">
        <f>"CADASTRO DE MODULOS"</f>
        <v>CADASTRO DE MODULOS</v>
      </c>
      <c r="F11528" s="2" t="str">
        <f>"M_MODULOS"</f>
        <v>M_MODULOS</v>
      </c>
      <c r="G11528" s="2" t="str">
        <f>"Apoio a TI / Gestão de Usuários / Tabelas / Módulos (M_MODULOS)"</f>
        <v>Apoio a TI / Gestão de Usuários / Tabelas / Módulos (M_MODULOS)</v>
      </c>
    </row>
    <row r="11529" spans="1:7" x14ac:dyDescent="0.3">
      <c r="A11529" s="1" t="s">
        <v>4</v>
      </c>
      <c r="B11529" s="2" t="str">
        <f t="shared" si="1000"/>
        <v>SISTEMA DE GERENCIAMENTO DE USUÁRIOS</v>
      </c>
      <c r="C11529" s="2" t="str">
        <f t="shared" si="1001"/>
        <v>GLOBAL</v>
      </c>
      <c r="D11529" s="2" t="str">
        <f t="shared" si="1002"/>
        <v>SGU</v>
      </c>
      <c r="E11529" s="2" t="str">
        <f>"RELAT. DE SOLIC EM ABERTO POR CLIENTE"</f>
        <v>RELAT. DE SOLIC EM ABERTO POR CLIENTE</v>
      </c>
      <c r="F11529" s="2" t="str">
        <f>"R_SOL_ABERTA"</f>
        <v>R_SOL_ABERTA</v>
      </c>
      <c r="G11529" s="2" t="str">
        <f>" ()"</f>
        <v xml:space="preserve"> ()</v>
      </c>
    </row>
    <row r="11530" spans="1:7" x14ac:dyDescent="0.3">
      <c r="A11530" s="1" t="s">
        <v>4</v>
      </c>
      <c r="B11530" s="2" t="str">
        <f t="shared" si="1000"/>
        <v>SISTEMA DE GERENCIAMENTO DE USUÁRIOS</v>
      </c>
      <c r="C11530" s="2" t="str">
        <f t="shared" si="1001"/>
        <v>GLOBAL</v>
      </c>
      <c r="D11530" s="2" t="str">
        <f t="shared" si="1002"/>
        <v>SGU</v>
      </c>
      <c r="E11530" s="2" t="str">
        <f>"CONSULTA AUDITORIA DAS TABELAS"</f>
        <v>CONSULTA AUDITORIA DAS TABELAS</v>
      </c>
      <c r="F11530" s="2" t="str">
        <f>"C_AUDITORIA_SGU"</f>
        <v>C_AUDITORIA_SGU</v>
      </c>
      <c r="G11530" s="2" t="str">
        <f>"Apoio a TI / Gestão de Usuários / Administração do Sistema / Auditoria / Consultas / Auditoria (C_AUDITORIA_SGU)"</f>
        <v>Apoio a TI / Gestão de Usuários / Administração do Sistema / Auditoria / Consultas / Auditoria (C_AUDITORIA_SGU)</v>
      </c>
    </row>
    <row r="11531" spans="1:7" x14ac:dyDescent="0.3">
      <c r="A11531" s="1" t="s">
        <v>4</v>
      </c>
      <c r="B11531" s="2" t="str">
        <f t="shared" si="1000"/>
        <v>SISTEMA DE GERENCIAMENTO DE USUÁRIOS</v>
      </c>
      <c r="C11531" s="2" t="str">
        <f t="shared" si="1001"/>
        <v>GLOBAL</v>
      </c>
      <c r="D11531" s="2" t="str">
        <f t="shared" si="1002"/>
        <v>SGU</v>
      </c>
      <c r="E11531" s="2" t="str">
        <f>"MANUT. DE HORARIOS DOS FUNCIONARIOS"</f>
        <v>MANUT. DE HORARIOS DOS FUNCIONARIOS</v>
      </c>
      <c r="F11531" s="2" t="str">
        <f>"M_HORARIO_FUNC"</f>
        <v>M_HORARIO_FUNC</v>
      </c>
      <c r="G11531" s="2" t="str">
        <f>" ()"</f>
        <v xml:space="preserve"> ()</v>
      </c>
    </row>
    <row r="11532" spans="1:7" x14ac:dyDescent="0.3">
      <c r="A11532" s="1" t="s">
        <v>4</v>
      </c>
      <c r="B11532" s="2" t="str">
        <f t="shared" si="1000"/>
        <v>SISTEMA DE GERENCIAMENTO DE USUÁRIOS</v>
      </c>
      <c r="C11532" s="2" t="str">
        <f t="shared" si="1001"/>
        <v>GLOBAL</v>
      </c>
      <c r="D11532" s="2" t="str">
        <f t="shared" si="1002"/>
        <v>SGU</v>
      </c>
      <c r="E11532" s="2" t="str">
        <f>"TABELAS X COLUNAS"</f>
        <v>TABELAS X COLUNAS</v>
      </c>
      <c r="F11532" s="2" t="str">
        <f>"M_TAB_COL"</f>
        <v>M_TAB_COL</v>
      </c>
      <c r="G11532" s="2" t="str">
        <f>"Apoio a TI / Gestão de Usuários / Administração do Sistema / Auditoria / Ligar / Desligar / Tabelas Alternadas (M_TAB_COL)"</f>
        <v>Apoio a TI / Gestão de Usuários / Administração do Sistema / Auditoria / Ligar / Desligar / Tabelas Alternadas (M_TAB_COL)</v>
      </c>
    </row>
    <row r="11533" spans="1:7" x14ac:dyDescent="0.3">
      <c r="A11533" s="1" t="s">
        <v>4</v>
      </c>
      <c r="B11533" s="2" t="str">
        <f t="shared" si="1000"/>
        <v>SISTEMA DE GERENCIAMENTO DE USUÁRIOS</v>
      </c>
      <c r="C11533" s="2" t="str">
        <f t="shared" si="1001"/>
        <v>GLOBAL</v>
      </c>
      <c r="D11533" s="2" t="str">
        <f t="shared" si="1002"/>
        <v>SGU</v>
      </c>
      <c r="E11533" s="2" t="str">
        <f>"REL. DE SOLICITAÇÕES DE HELP"</f>
        <v>REL. DE SOLICITAÇÕES DE HELP</v>
      </c>
      <c r="F11533" s="2" t="str">
        <f>"R_HELP"</f>
        <v>R_HELP</v>
      </c>
      <c r="G11533" s="2" t="str">
        <f>" ()"</f>
        <v xml:space="preserve"> ()</v>
      </c>
    </row>
    <row r="11534" spans="1:7" x14ac:dyDescent="0.3">
      <c r="A11534" s="1" t="s">
        <v>4</v>
      </c>
      <c r="B11534" s="2" t="str">
        <f t="shared" si="1000"/>
        <v>SISTEMA DE GERENCIAMENTO DE USUÁRIOS</v>
      </c>
      <c r="C11534" s="2" t="str">
        <f t="shared" si="1001"/>
        <v>GLOBAL</v>
      </c>
      <c r="D11534" s="2" t="str">
        <f t="shared" si="1002"/>
        <v>SGU</v>
      </c>
      <c r="E11534" s="2" t="str">
        <f>"CADASTRO DE CLIENTES"</f>
        <v>CADASTRO DE CLIENTES</v>
      </c>
      <c r="F11534" s="2" t="str">
        <f>"M_CLIENTE"</f>
        <v>M_CLIENTE</v>
      </c>
      <c r="G11534" s="2" t="str">
        <f>" ()"</f>
        <v xml:space="preserve"> ()</v>
      </c>
    </row>
    <row r="11535" spans="1:7" x14ac:dyDescent="0.3">
      <c r="A11535" s="1" t="s">
        <v>4</v>
      </c>
      <c r="B11535" s="2" t="str">
        <f t="shared" si="1000"/>
        <v>SISTEMA DE GERENCIAMENTO DE USUÁRIOS</v>
      </c>
      <c r="C11535" s="2" t="str">
        <f t="shared" si="1001"/>
        <v>GLOBAL</v>
      </c>
      <c r="D11535" s="2" t="str">
        <f t="shared" si="1002"/>
        <v>SGU</v>
      </c>
      <c r="E11535" s="2" t="str">
        <f>"PAPEIS DOS MODULOS/USUARIOS"</f>
        <v>PAPEIS DOS MODULOS/USUARIOS</v>
      </c>
      <c r="F11535" s="2" t="str">
        <f>"M_PAPEL"</f>
        <v>M_PAPEL</v>
      </c>
      <c r="G11535" s="2" t="str">
        <f>"Apoio a TI / Gestão de Usuários / Tabelas / Papel (M_PAPEL)"</f>
        <v>Apoio a TI / Gestão de Usuários / Tabelas / Papel (M_PAPEL)</v>
      </c>
    </row>
    <row r="11536" spans="1:7" x14ac:dyDescent="0.3">
      <c r="A11536" s="1" t="s">
        <v>4</v>
      </c>
      <c r="B11536" s="2" t="str">
        <f t="shared" si="1000"/>
        <v>SISTEMA DE GERENCIAMENTO DE USUÁRIOS</v>
      </c>
      <c r="C11536" s="2" t="str">
        <f t="shared" si="1001"/>
        <v>GLOBAL</v>
      </c>
      <c r="D11536" s="2" t="str">
        <f t="shared" si="1002"/>
        <v>SGU</v>
      </c>
      <c r="E11536" s="2" t="str">
        <f>"IMPLEMENTAÇÃO"</f>
        <v>IMPLEMENTAÇÃO</v>
      </c>
      <c r="F11536" s="2" t="str">
        <f>"M_IMPLEMENTACAO"</f>
        <v>M_IMPLEMENTACAO</v>
      </c>
      <c r="G11536" s="2" t="str">
        <f>" ()"</f>
        <v xml:space="preserve"> ()</v>
      </c>
    </row>
    <row r="11537" spans="1:7" x14ac:dyDescent="0.3">
      <c r="A11537" s="1" t="s">
        <v>4</v>
      </c>
      <c r="B11537" s="2" t="str">
        <f t="shared" si="1000"/>
        <v>SISTEMA DE GERENCIAMENTO DE USUÁRIOS</v>
      </c>
      <c r="C11537" s="2" t="str">
        <f t="shared" si="1001"/>
        <v>GLOBAL</v>
      </c>
      <c r="D11537" s="2" t="str">
        <f t="shared" si="1002"/>
        <v>SGU</v>
      </c>
      <c r="E11537" s="2" t="str">
        <f>"CADASTRO DE REFERÊNCIAS"</f>
        <v>CADASTRO DE REFERÊNCIAS</v>
      </c>
      <c r="F11537" s="2" t="str">
        <f>"M_REFERENCIA"</f>
        <v>M_REFERENCIA</v>
      </c>
      <c r="G11537" s="2" t="str">
        <f>" ()"</f>
        <v xml:space="preserve"> ()</v>
      </c>
    </row>
    <row r="11538" spans="1:7" x14ac:dyDescent="0.3">
      <c r="A11538" s="1" t="s">
        <v>4</v>
      </c>
      <c r="B11538" s="2" t="str">
        <f t="shared" si="1000"/>
        <v>SISTEMA DE GERENCIAMENTO DE USUÁRIOS</v>
      </c>
      <c r="C11538" s="2" t="str">
        <f t="shared" si="1001"/>
        <v>GLOBAL</v>
      </c>
      <c r="D11538" s="2" t="str">
        <f t="shared" si="1002"/>
        <v>SGU</v>
      </c>
      <c r="E11538" s="2" t="str">
        <f>"ACESSO DO USUÁRIO"</f>
        <v>ACESSO DO USUÁRIO</v>
      </c>
      <c r="F11538" s="2" t="str">
        <f>"R_ACESSO_USU"</f>
        <v>R_ACESSO_USU</v>
      </c>
      <c r="G11538" s="2" t="str">
        <f>"Apoio a TI / Gestão de Usuários / Relatórios / Acesso do Usuário (R_ACESSO_USU)"</f>
        <v>Apoio a TI / Gestão de Usuários / Relatórios / Acesso do Usuário (R_ACESSO_USU)</v>
      </c>
    </row>
    <row r="11539" spans="1:7" x14ac:dyDescent="0.3">
      <c r="A11539" s="1" t="s">
        <v>4</v>
      </c>
      <c r="B11539" s="2" t="str">
        <f t="shared" si="1000"/>
        <v>SISTEMA DE GERENCIAMENTO DE USUÁRIOS</v>
      </c>
      <c r="C11539" s="2" t="str">
        <f t="shared" si="1001"/>
        <v>GLOBAL</v>
      </c>
      <c r="D11539" s="2" t="str">
        <f t="shared" si="1002"/>
        <v>SGU</v>
      </c>
      <c r="E11539" s="2" t="str">
        <f>"USUÁRIO POR OPÇÃO"</f>
        <v>USUÁRIO POR OPÇÃO</v>
      </c>
      <c r="F11539" s="2" t="str">
        <f>"R_USU_OPC"</f>
        <v>R_USU_OPC</v>
      </c>
      <c r="G11539" s="2" t="str">
        <f>"Apoio a TI / Gestão de Usuários / Relatórios / Usuários por Opção (R_USU_OPC)"</f>
        <v>Apoio a TI / Gestão de Usuários / Relatórios / Usuários por Opção (R_USU_OPC)</v>
      </c>
    </row>
    <row r="11540" spans="1:7" x14ac:dyDescent="0.3">
      <c r="A11540" s="1" t="s">
        <v>4</v>
      </c>
      <c r="B11540" s="2" t="str">
        <f t="shared" si="1000"/>
        <v>SISTEMA DE GERENCIAMENTO DE USUÁRIOS</v>
      </c>
      <c r="C11540" s="2" t="str">
        <f t="shared" si="1001"/>
        <v>GLOBAL</v>
      </c>
      <c r="D11540" s="2" t="str">
        <f t="shared" si="1002"/>
        <v>SGU</v>
      </c>
      <c r="E11540" s="2" t="str">
        <f>"ALTERAÇÃO DE SENHA"</f>
        <v>ALTERAÇÃO DE SENHA</v>
      </c>
      <c r="F11540" s="2" t="str">
        <f>"ALT_SENHA"</f>
        <v>ALT_SENHA</v>
      </c>
      <c r="G11540" s="2" t="str">
        <f>"Apoio a TI / Gestão de Usuários / Autorização / Alteração de Senha (ALT_SENHA)"</f>
        <v>Apoio a TI / Gestão de Usuários / Autorização / Alteração de Senha (ALT_SENHA)</v>
      </c>
    </row>
    <row r="11541" spans="1:7" x14ac:dyDescent="0.3">
      <c r="A11541" s="1" t="s">
        <v>4</v>
      </c>
      <c r="B11541" s="2" t="str">
        <f t="shared" si="1000"/>
        <v>SISTEMA DE GERENCIAMENTO DE USUÁRIOS</v>
      </c>
      <c r="C11541" s="2" t="str">
        <f t="shared" si="1001"/>
        <v>GLOBAL</v>
      </c>
      <c r="D11541" s="2" t="str">
        <f t="shared" si="1002"/>
        <v>SGU</v>
      </c>
      <c r="E11541" s="2" t="str">
        <f t="shared" ref="E11541:E11549" si="1003">"MUDANCA DE SENHA"</f>
        <v>MUDANCA DE SENHA</v>
      </c>
      <c r="F11541" s="2" t="str">
        <f t="shared" ref="F11541:F11549" si="1004">"MUDAPASS"</f>
        <v>MUDAPASS</v>
      </c>
      <c r="G11541" s="2" t="str">
        <f>"MVSaude / Vendas / Internação / Configurações / Mudança de Senha (MUDAPASS)"</f>
        <v>MVSaude / Vendas / Internação / Configurações / Mudança de Senha (MUDAPASS)</v>
      </c>
    </row>
    <row r="11542" spans="1:7" x14ac:dyDescent="0.3">
      <c r="A11542" s="1" t="s">
        <v>4</v>
      </c>
      <c r="B11542" s="2" t="str">
        <f t="shared" si="1000"/>
        <v>SISTEMA DE GERENCIAMENTO DE USUÁRIOS</v>
      </c>
      <c r="C11542" s="2" t="str">
        <f t="shared" si="1001"/>
        <v>GLOBAL</v>
      </c>
      <c r="D11542" s="2" t="str">
        <f t="shared" si="1002"/>
        <v>SGU</v>
      </c>
      <c r="E11542" s="2" t="str">
        <f t="shared" si="1003"/>
        <v>MUDANCA DE SENHA</v>
      </c>
      <c r="F11542" s="2" t="str">
        <f t="shared" si="1004"/>
        <v>MUDAPASS</v>
      </c>
      <c r="G11542" s="2" t="str">
        <f>"Serviços de Apoio / Movimentação de Documentos / Configurações / Mudança de Senha (MUDAPASS)"</f>
        <v>Serviços de Apoio / Movimentação de Documentos / Configurações / Mudança de Senha (MUDAPASS)</v>
      </c>
    </row>
    <row r="11543" spans="1:7" x14ac:dyDescent="0.3">
      <c r="A11543" s="1" t="s">
        <v>4</v>
      </c>
      <c r="B11543" s="2" t="str">
        <f t="shared" si="1000"/>
        <v>SISTEMA DE GERENCIAMENTO DE USUÁRIOS</v>
      </c>
      <c r="C11543" s="2" t="str">
        <f t="shared" si="1001"/>
        <v>GLOBAL</v>
      </c>
      <c r="D11543" s="2" t="str">
        <f t="shared" si="1002"/>
        <v>SGU</v>
      </c>
      <c r="E11543" s="2" t="str">
        <f t="shared" si="1003"/>
        <v>MUDANCA DE SENHA</v>
      </c>
      <c r="F11543" s="2" t="str">
        <f t="shared" si="1004"/>
        <v>MUDAPASS</v>
      </c>
      <c r="G11543" s="2" t="str">
        <f>"MVSaude / Atendimento / Autorizações de Guias / Internação / Configurações / Mudança de Senha (MUDAPASS)"</f>
        <v>MVSaude / Atendimento / Autorizações de Guias / Internação / Configurações / Mudança de Senha (MUDAPASS)</v>
      </c>
    </row>
    <row r="11544" spans="1:7" x14ac:dyDescent="0.3">
      <c r="A11544" s="1" t="s">
        <v>4</v>
      </c>
      <c r="B11544" s="2" t="str">
        <f t="shared" si="1000"/>
        <v>SISTEMA DE GERENCIAMENTO DE USUÁRIOS</v>
      </c>
      <c r="C11544" s="2" t="str">
        <f t="shared" si="1001"/>
        <v>GLOBAL</v>
      </c>
      <c r="D11544" s="2" t="str">
        <f t="shared" si="1002"/>
        <v>SGU</v>
      </c>
      <c r="E11544" s="2" t="str">
        <f t="shared" si="1003"/>
        <v>MUDANCA DE SENHA</v>
      </c>
      <c r="F11544" s="2" t="str">
        <f t="shared" si="1004"/>
        <v>MUDAPASS</v>
      </c>
      <c r="G11544" s="2" t="str">
        <f>"Apoio a TI / Gestão de Usuários / Autorização / Mudança de Senha (MUDAPASS)"</f>
        <v>Apoio a TI / Gestão de Usuários / Autorização / Mudança de Senha (MUDAPASS)</v>
      </c>
    </row>
    <row r="11545" spans="1:7" x14ac:dyDescent="0.3">
      <c r="A11545" s="1" t="s">
        <v>4</v>
      </c>
      <c r="B11545" s="2" t="str">
        <f t="shared" si="1000"/>
        <v>SISTEMA DE GERENCIAMENTO DE USUÁRIOS</v>
      </c>
      <c r="C11545" s="2" t="str">
        <f t="shared" si="1001"/>
        <v>GLOBAL</v>
      </c>
      <c r="D11545" s="2" t="str">
        <f t="shared" si="1002"/>
        <v>SGU</v>
      </c>
      <c r="E11545" s="2" t="str">
        <f t="shared" si="1003"/>
        <v>MUDANCA DE SENHA</v>
      </c>
      <c r="F11545" s="2" t="str">
        <f t="shared" si="1004"/>
        <v>MUDAPASS</v>
      </c>
      <c r="G11545" s="2" t="str">
        <f>"Serviços de Apoio / Nutrição e Dietética / Configuração / Mudança de Senha (MUDAPASS)"</f>
        <v>Serviços de Apoio / Nutrição e Dietética / Configuração / Mudança de Senha (MUDAPASS)</v>
      </c>
    </row>
    <row r="11546" spans="1:7" x14ac:dyDescent="0.3">
      <c r="A11546" s="1" t="s">
        <v>4</v>
      </c>
      <c r="B11546" s="2" t="str">
        <f t="shared" si="1000"/>
        <v>SISTEMA DE GERENCIAMENTO DE USUÁRIOS</v>
      </c>
      <c r="C11546" s="2" t="str">
        <f t="shared" si="1001"/>
        <v>GLOBAL</v>
      </c>
      <c r="D11546" s="2" t="str">
        <f t="shared" si="1002"/>
        <v>SGU</v>
      </c>
      <c r="E11546" s="2" t="str">
        <f t="shared" si="1003"/>
        <v>MUDANCA DE SENHA</v>
      </c>
      <c r="F11546" s="2" t="str">
        <f t="shared" si="1004"/>
        <v>MUDAPASS</v>
      </c>
      <c r="G11546" s="2" t="str">
        <f>"Outros / Room Service / Configuração / Mudança de Senha (MUDAPASS)"</f>
        <v>Outros / Room Service / Configuração / Mudança de Senha (MUDAPASS)</v>
      </c>
    </row>
    <row r="11547" spans="1:7" x14ac:dyDescent="0.3">
      <c r="A11547" s="1" t="s">
        <v>4</v>
      </c>
      <c r="B11547" s="2" t="str">
        <f t="shared" si="1000"/>
        <v>SISTEMA DE GERENCIAMENTO DE USUÁRIOS</v>
      </c>
      <c r="C11547" s="2" t="str">
        <f t="shared" si="1001"/>
        <v>GLOBAL</v>
      </c>
      <c r="D11547" s="2" t="str">
        <f t="shared" si="1002"/>
        <v>SGU</v>
      </c>
      <c r="E11547" s="2" t="str">
        <f t="shared" si="1003"/>
        <v>MUDANCA DE SENHA</v>
      </c>
      <c r="F11547" s="2" t="str">
        <f t="shared" si="1004"/>
        <v>MUDAPASS</v>
      </c>
      <c r="G11547" s="2" t="str">
        <f>"Outros / Fusam / Configurações / Mudança de Senha (MUDAPASS)"</f>
        <v>Outros / Fusam / Configurações / Mudança de Senha (MUDAPASS)</v>
      </c>
    </row>
    <row r="11548" spans="1:7" x14ac:dyDescent="0.3">
      <c r="A11548" s="1" t="s">
        <v>4</v>
      </c>
      <c r="B11548" s="2" t="str">
        <f t="shared" si="1000"/>
        <v>SISTEMA DE GERENCIAMENTO DE USUÁRIOS</v>
      </c>
      <c r="C11548" s="2" t="str">
        <f t="shared" si="1001"/>
        <v>GLOBAL</v>
      </c>
      <c r="D11548" s="2" t="str">
        <f t="shared" si="1002"/>
        <v>SGU</v>
      </c>
      <c r="E11548" s="2" t="str">
        <f t="shared" si="1003"/>
        <v>MUDANCA DE SENHA</v>
      </c>
      <c r="F11548" s="2" t="str">
        <f t="shared" si="1004"/>
        <v>MUDAPASS</v>
      </c>
      <c r="G11548" s="2" t="str">
        <f>"Serviços de Apoio / Central de Materiais Esterilizados / Configurações / Mudança de Senha (MUDAPASS)"</f>
        <v>Serviços de Apoio / Central de Materiais Esterilizados / Configurações / Mudança de Senha (MUDAPASS)</v>
      </c>
    </row>
    <row r="11549" spans="1:7" x14ac:dyDescent="0.3">
      <c r="A11549" s="1" t="s">
        <v>4</v>
      </c>
      <c r="B11549" s="2" t="str">
        <f t="shared" si="1000"/>
        <v>SISTEMA DE GERENCIAMENTO DE USUÁRIOS</v>
      </c>
      <c r="C11549" s="2" t="str">
        <f t="shared" si="1001"/>
        <v>GLOBAL</v>
      </c>
      <c r="D11549" s="2" t="str">
        <f t="shared" si="1002"/>
        <v>SGU</v>
      </c>
      <c r="E11549" s="2" t="str">
        <f t="shared" si="1003"/>
        <v>MUDANCA DE SENHA</v>
      </c>
      <c r="F11549" s="2" t="str">
        <f t="shared" si="1004"/>
        <v>MUDAPASS</v>
      </c>
      <c r="G11549" s="2" t="str">
        <f>"Atendimento / Internação Domiciliar (Home Care) / Configurações / Mudança de Senha (MUDAPASS)"</f>
        <v>Atendimento / Internação Domiciliar (Home Care) / Configurações / Mudança de Senha (MUDAPASS)</v>
      </c>
    </row>
    <row r="11550" spans="1:7" x14ac:dyDescent="0.3">
      <c r="A11550" s="1" t="s">
        <v>4</v>
      </c>
      <c r="B11550" s="2" t="str">
        <f t="shared" si="1000"/>
        <v>SISTEMA DE GERENCIAMENTO DE USUÁRIOS</v>
      </c>
      <c r="C11550" s="2" t="str">
        <f t="shared" si="1001"/>
        <v>GLOBAL</v>
      </c>
      <c r="D11550" s="2" t="str">
        <f t="shared" si="1002"/>
        <v>SGU</v>
      </c>
      <c r="E11550" s="2" t="str">
        <f>"RELATÓRIO DE AUDITORIA POR USUÁRIO"</f>
        <v>RELATÓRIO DE AUDITORIA POR USUÁRIO</v>
      </c>
      <c r="F11550" s="2" t="str">
        <f>"R_AUDIT_USUARIO"</f>
        <v>R_AUDIT_USUARIO</v>
      </c>
      <c r="G11550" s="2" t="str">
        <f>"Apoio a TI / Gestão de Usuários / Administração do Sistema / Auditoria / Relatórios / Auditoria por Usuário (R_AUDIT_USUARIO)"</f>
        <v>Apoio a TI / Gestão de Usuários / Administração do Sistema / Auditoria / Relatórios / Auditoria por Usuário (R_AUDIT_USUARIO)</v>
      </c>
    </row>
    <row r="11551" spans="1:7" x14ac:dyDescent="0.3">
      <c r="A11551" s="1" t="s">
        <v>4</v>
      </c>
      <c r="B11551" s="2" t="str">
        <f t="shared" si="1000"/>
        <v>SISTEMA DE GERENCIAMENTO DE USUÁRIOS</v>
      </c>
      <c r="C11551" s="2" t="str">
        <f t="shared" si="1001"/>
        <v>GLOBAL</v>
      </c>
      <c r="D11551" s="2" t="str">
        <f t="shared" si="1002"/>
        <v>SGU</v>
      </c>
      <c r="E11551" s="2" t="str">
        <f>"CADASTRO DE GRUPO DE USUÁRIOS"</f>
        <v>CADASTRO DE GRUPO DE USUÁRIOS</v>
      </c>
      <c r="F11551" s="2" t="str">
        <f>"M_GRUPO_USUARIO"</f>
        <v>M_GRUPO_USUARIO</v>
      </c>
      <c r="G11551" s="2" t="str">
        <f>"Apoio a TI / Gestão de Usuários / Mensagens / Grupo de Usuário (M_GRUPO_USUARIO)"</f>
        <v>Apoio a TI / Gestão de Usuários / Mensagens / Grupo de Usuário (M_GRUPO_USUARIO)</v>
      </c>
    </row>
    <row r="11552" spans="1:7" x14ac:dyDescent="0.3">
      <c r="A11552" s="1" t="s">
        <v>4</v>
      </c>
      <c r="B11552" s="2" t="str">
        <f t="shared" si="1000"/>
        <v>SISTEMA DE GERENCIAMENTO DE USUÁRIOS</v>
      </c>
      <c r="C11552" s="2" t="str">
        <f t="shared" si="1001"/>
        <v>GLOBAL</v>
      </c>
      <c r="D11552" s="2" t="str">
        <f t="shared" si="1002"/>
        <v>SGU</v>
      </c>
      <c r="E11552" s="2" t="str">
        <f>"CADASTRO DE CARGOS"</f>
        <v>CADASTRO DE CARGOS</v>
      </c>
      <c r="F11552" s="2" t="str">
        <f>"M_OBJETO"</f>
        <v>M_OBJETO</v>
      </c>
      <c r="G11552" s="2" t="str">
        <f>" ()"</f>
        <v xml:space="preserve"> ()</v>
      </c>
    </row>
    <row r="11553" spans="1:7" x14ac:dyDescent="0.3">
      <c r="A11553" s="1" t="s">
        <v>4</v>
      </c>
      <c r="B11553" s="2" t="str">
        <f t="shared" si="1000"/>
        <v>SISTEMA DE GERENCIAMENTO DE USUÁRIOS</v>
      </c>
      <c r="C11553" s="2" t="str">
        <f t="shared" si="1001"/>
        <v>GLOBAL</v>
      </c>
      <c r="D11553" s="2" t="str">
        <f t="shared" si="1002"/>
        <v>SGU</v>
      </c>
      <c r="E11553" s="2" t="str">
        <f>"CADASTRO DE VERSÕES"</f>
        <v>CADASTRO DE VERSÕES</v>
      </c>
      <c r="F11553" s="2" t="str">
        <f>"M_VERSAO"</f>
        <v>M_VERSAO</v>
      </c>
      <c r="G11553" s="2" t="str">
        <f>" ()"</f>
        <v xml:space="preserve"> ()</v>
      </c>
    </row>
    <row r="11554" spans="1:7" x14ac:dyDescent="0.3">
      <c r="A11554" s="1" t="s">
        <v>4</v>
      </c>
      <c r="B11554" s="2" t="str">
        <f t="shared" si="1000"/>
        <v>SISTEMA DE GERENCIAMENTO DE USUÁRIOS</v>
      </c>
      <c r="C11554" s="2" t="str">
        <f t="shared" si="1001"/>
        <v>GLOBAL</v>
      </c>
      <c r="D11554" s="2" t="str">
        <f t="shared" si="1002"/>
        <v>SGU</v>
      </c>
      <c r="E11554" s="2" t="str">
        <f>"CHECAGEM DE IMPLANTACAO"</f>
        <v>CHECAGEM DE IMPLANTACAO</v>
      </c>
      <c r="F11554" s="2" t="str">
        <f>"R_CHEC_IMPLANTACAO"</f>
        <v>R_CHEC_IMPLANTACAO</v>
      </c>
      <c r="G11554" s="2" t="str">
        <f>" ()"</f>
        <v xml:space="preserve"> ()</v>
      </c>
    </row>
    <row r="11555" spans="1:7" x14ac:dyDescent="0.3">
      <c r="A11555" s="1" t="s">
        <v>4</v>
      </c>
      <c r="B11555" s="2" t="str">
        <f t="shared" si="1000"/>
        <v>SISTEMA DE GERENCIAMENTO DE USUÁRIOS</v>
      </c>
      <c r="C11555" s="2" t="str">
        <f t="shared" si="1001"/>
        <v>GLOBAL</v>
      </c>
      <c r="D11555" s="2" t="str">
        <f t="shared" si="1002"/>
        <v>SGU</v>
      </c>
      <c r="E11555" s="2" t="str">
        <f>"M_DIRETIVA_SEGURANCA"</f>
        <v>M_DIRETIVA_SEGURANCA</v>
      </c>
      <c r="F11555" s="2" t="str">
        <f>"M_DIRETIVA_SEGURANCA"</f>
        <v>M_DIRETIVA_SEGURANCA</v>
      </c>
      <c r="G11555" s="2" t="str">
        <f>"Apoio a TI / Gestão de Usuários / Tabelas / Diretivas (M_DIRETIVA_SEGURANCA)"</f>
        <v>Apoio a TI / Gestão de Usuários / Tabelas / Diretivas (M_DIRETIVA_SEGURANCA)</v>
      </c>
    </row>
    <row r="11556" spans="1:7" x14ac:dyDescent="0.3">
      <c r="A11556" s="1" t="s">
        <v>4</v>
      </c>
      <c r="B11556" s="2" t="str">
        <f t="shared" si="1000"/>
        <v>SISTEMA DE GERENCIAMENTO DE USUÁRIOS</v>
      </c>
      <c r="C11556" s="2" t="str">
        <f t="shared" si="1001"/>
        <v>GLOBAL</v>
      </c>
      <c r="D11556" s="2" t="str">
        <f t="shared" si="1002"/>
        <v>SGU</v>
      </c>
      <c r="E11556" s="2" t="str">
        <f>"MIGRACAO PARA VERSAO 5.0"</f>
        <v>MIGRACAO PARA VERSAO 5.0</v>
      </c>
      <c r="F11556" s="2" t="str">
        <f>"MIGRACAO_50"</f>
        <v>MIGRACAO_50</v>
      </c>
      <c r="G11556" s="2" t="str">
        <f>" ()"</f>
        <v xml:space="preserve"> ()</v>
      </c>
    </row>
    <row r="11557" spans="1:7" x14ac:dyDescent="0.3">
      <c r="A11557" s="1" t="s">
        <v>4</v>
      </c>
      <c r="B11557" s="2" t="str">
        <f t="shared" si="1000"/>
        <v>SISTEMA DE GERENCIAMENTO DE USUÁRIOS</v>
      </c>
      <c r="C11557" s="2" t="str">
        <f t="shared" si="1001"/>
        <v>GLOBAL</v>
      </c>
      <c r="D11557" s="2" t="str">
        <f t="shared" si="1002"/>
        <v>SGU</v>
      </c>
      <c r="E11557" s="2" t="str">
        <f>"IMPORTAÇÃO DA ESTATÍSTICA DO CLIENTE"</f>
        <v>IMPORTAÇÃO DA ESTATÍSTICA DO CLIENTE</v>
      </c>
      <c r="F11557" s="2" t="str">
        <f>"M_IMP_EST_CLIENTE"</f>
        <v>M_IMP_EST_CLIENTE</v>
      </c>
      <c r="G11557" s="2" t="str">
        <f>" ()"</f>
        <v xml:space="preserve"> ()</v>
      </c>
    </row>
    <row r="11558" spans="1:7" x14ac:dyDescent="0.3">
      <c r="A11558" s="1" t="s">
        <v>4</v>
      </c>
      <c r="B11558" s="2" t="str">
        <f t="shared" si="1000"/>
        <v>SISTEMA DE GERENCIAMENTO DE USUÁRIOS</v>
      </c>
      <c r="C11558" s="2" t="str">
        <f t="shared" si="1001"/>
        <v>GLOBAL</v>
      </c>
      <c r="D11558" s="2" t="str">
        <f t="shared" si="1002"/>
        <v>SGU</v>
      </c>
      <c r="E11558" s="2" t="str">
        <f>"CADASTRO: MOTIVOS DE PEDIDO"</f>
        <v>CADASTRO: MOTIVOS DE PEDIDO</v>
      </c>
      <c r="F11558" s="2" t="str">
        <f>"O_CHEC_IMPLANTACAO"</f>
        <v>O_CHEC_IMPLANTACAO</v>
      </c>
      <c r="G11558" s="2" t="str">
        <f>"Apoio a TI / Gestão de Usuários / Administração do Sistema / Checagem de Implantação (O_CHEC_IMPLANTACAO)"</f>
        <v>Apoio a TI / Gestão de Usuários / Administração do Sistema / Checagem de Implantação (O_CHEC_IMPLANTACAO)</v>
      </c>
    </row>
    <row r="11559" spans="1:7" x14ac:dyDescent="0.3">
      <c r="A11559" s="1" t="s">
        <v>4</v>
      </c>
      <c r="B11559" s="2" t="str">
        <f t="shared" si="1000"/>
        <v>SISTEMA DE GERENCIAMENTO DE USUÁRIOS</v>
      </c>
      <c r="C11559" s="2" t="str">
        <f t="shared" si="1001"/>
        <v>GLOBAL</v>
      </c>
      <c r="D11559" s="2" t="str">
        <f t="shared" si="1002"/>
        <v>SGU</v>
      </c>
      <c r="E11559" s="2" t="str">
        <f>"RELATÓRIO DE ESTATÍSTICA DE CONEXÕES"</f>
        <v>RELATÓRIO DE ESTATÍSTICA DE CONEXÕES</v>
      </c>
      <c r="F11559" s="2" t="str">
        <f>"R_ESTA_CON.RDF"</f>
        <v>R_ESTA_CON.RDF</v>
      </c>
      <c r="G11559" s="2" t="str">
        <f>" ()"</f>
        <v xml:space="preserve"> ()</v>
      </c>
    </row>
    <row r="11560" spans="1:7" x14ac:dyDescent="0.3">
      <c r="A11560" s="1" t="s">
        <v>4</v>
      </c>
      <c r="B11560" s="2" t="str">
        <f t="shared" si="1000"/>
        <v>SISTEMA DE GERENCIAMENTO DE USUÁRIOS</v>
      </c>
      <c r="C11560" s="2" t="str">
        <f t="shared" si="1001"/>
        <v>GLOBAL</v>
      </c>
      <c r="D11560" s="2" t="str">
        <f t="shared" si="1002"/>
        <v>SGU</v>
      </c>
      <c r="E11560" s="2" t="str">
        <f>"RELATÓRIO DE USUÁRIOS E SEUS PRIVILÉGIOS"</f>
        <v>RELATÓRIO DE USUÁRIOS E SEUS PRIVILÉGIOS</v>
      </c>
      <c r="F11560" s="2" t="str">
        <f>"R_PRIVUSU.RDF"</f>
        <v>R_PRIVUSU.RDF</v>
      </c>
      <c r="G11560" s="2" t="str">
        <f>" ()"</f>
        <v xml:space="preserve"> ()</v>
      </c>
    </row>
    <row r="11561" spans="1:7" x14ac:dyDescent="0.3">
      <c r="A11561" s="1" t="s">
        <v>4</v>
      </c>
      <c r="B11561" s="2" t="str">
        <f t="shared" si="1000"/>
        <v>SISTEMA DE GERENCIAMENTO DE USUÁRIOS</v>
      </c>
      <c r="C11561" s="2" t="str">
        <f t="shared" si="1001"/>
        <v>GLOBAL</v>
      </c>
      <c r="D11561" s="2" t="str">
        <f t="shared" si="1002"/>
        <v>SGU</v>
      </c>
      <c r="E11561" s="2" t="str">
        <f>"RELATÓRIO DE TABELAS"</f>
        <v>RELATÓRIO DE TABELAS</v>
      </c>
      <c r="F11561" s="2" t="str">
        <f>"R_TABELAS.RDF"</f>
        <v>R_TABELAS.RDF</v>
      </c>
      <c r="G11561" s="2" t="str">
        <f>" ()"</f>
        <v xml:space="preserve"> ()</v>
      </c>
    </row>
    <row r="11562" spans="1:7" x14ac:dyDescent="0.3">
      <c r="A11562" s="1" t="s">
        <v>4</v>
      </c>
      <c r="B11562" s="2" t="str">
        <f t="shared" si="1000"/>
        <v>SISTEMA DE GERENCIAMENTO DE USUÁRIOS</v>
      </c>
      <c r="C11562" s="2" t="str">
        <f t="shared" si="1001"/>
        <v>GLOBAL</v>
      </c>
      <c r="D11562" s="2" t="str">
        <f t="shared" si="1002"/>
        <v>SGU</v>
      </c>
      <c r="E11562" s="2" t="str">
        <f>"RELATÓRIO DE TABELAS E COLUNAS"</f>
        <v>RELATÓRIO DE TABELAS E COLUNAS</v>
      </c>
      <c r="F11562" s="2" t="str">
        <f>"R_TABCOL.RDF"</f>
        <v>R_TABCOL.RDF</v>
      </c>
      <c r="G11562" s="2" t="str">
        <f>" ()"</f>
        <v xml:space="preserve"> ()</v>
      </c>
    </row>
    <row r="11563" spans="1:7" x14ac:dyDescent="0.3">
      <c r="A11563" s="1" t="s">
        <v>4</v>
      </c>
      <c r="B11563" s="2" t="str">
        <f>"SISTEMA DE INFORMAÇÕES GERENCIAIS"</f>
        <v>SISTEMA DE INFORMAÇÕES GERENCIAIS</v>
      </c>
      <c r="C11563" s="2" t="str">
        <f>""</f>
        <v/>
      </c>
      <c r="D11563" s="2" t="str">
        <f>"SIGE"</f>
        <v>SIGE</v>
      </c>
      <c r="E11563" s="2" t="str">
        <f>"CONSULTA DE ATENDIMENTOS POR HORA"</f>
        <v>CONSULTA DE ATENDIMENTOS POR HORA</v>
      </c>
      <c r="F11563" s="2" t="str">
        <f>"C_ATEND_POR_HORA_SIGE"</f>
        <v>C_ATEND_POR_HORA_SIGE</v>
      </c>
      <c r="G11563" s="2" t="str">
        <f>"Outros / Fusam / Consultas / Nº de Atendimentos X Hora (C_ATEND_POR_HORA_SIGE)"</f>
        <v>Outros / Fusam / Consultas / Nº de Atendimentos X Hora (C_ATEND_POR_HORA_SIGE)</v>
      </c>
    </row>
    <row r="11564" spans="1:7" x14ac:dyDescent="0.3">
      <c r="A11564" s="1" t="s">
        <v>4</v>
      </c>
      <c r="B11564" s="2" t="str">
        <f>"SISTEMA DE INFORMAÇÕES GERENCIAIS"</f>
        <v>SISTEMA DE INFORMAÇÕES GERENCIAIS</v>
      </c>
      <c r="C11564" s="2" t="str">
        <f>""</f>
        <v/>
      </c>
      <c r="D11564" s="2" t="str">
        <f>"SIGE"</f>
        <v>SIGE</v>
      </c>
      <c r="E11564" s="2" t="str">
        <f>"MENU DO SISTEMA SIGE"</f>
        <v>MENU DO SISTEMA SIGE</v>
      </c>
      <c r="F11564" s="2" t="str">
        <f>"M_SIGE"</f>
        <v>M_SIGE</v>
      </c>
      <c r="G11564" s="2" t="str">
        <f>" ()"</f>
        <v xml:space="preserve"> ()</v>
      </c>
    </row>
    <row r="11565" spans="1:7" x14ac:dyDescent="0.3">
      <c r="A11565" s="1" t="s">
        <v>4</v>
      </c>
      <c r="B11565" s="2" t="str">
        <f>"SISTEMA DE INFORMAÇÕES GERENCIAIS"</f>
        <v>SISTEMA DE INFORMAÇÕES GERENCIAIS</v>
      </c>
      <c r="C11565" s="2" t="str">
        <f>""</f>
        <v/>
      </c>
      <c r="D11565" s="2" t="str">
        <f>"SIGE"</f>
        <v>SIGE</v>
      </c>
      <c r="E11565" s="2" t="str">
        <f>"TELA PAI DO SIST DE INFO GERENCIAIS"</f>
        <v>TELA PAI DO SIST DE INFO GERENCIAIS</v>
      </c>
      <c r="F11565" s="2" t="str">
        <f>"SIGE"</f>
        <v>SIGE</v>
      </c>
      <c r="G11565" s="2" t="str">
        <f>" ()"</f>
        <v xml:space="preserve"> ()</v>
      </c>
    </row>
    <row r="11566" spans="1:7" x14ac:dyDescent="0.3">
      <c r="A11566" s="1" t="s">
        <v>4</v>
      </c>
      <c r="B11566" s="2" t="str">
        <f>"SISTEMA DE INFORMAÇÕES GERENCIAIS"</f>
        <v>SISTEMA DE INFORMAÇÕES GERENCIAIS</v>
      </c>
      <c r="C11566" s="2" t="str">
        <f>""</f>
        <v/>
      </c>
      <c r="D11566" s="2" t="str">
        <f>"SIGE"</f>
        <v>SIGE</v>
      </c>
      <c r="E11566" s="2" t="str">
        <f>"CONSULTA DE ATENDIMENTOS POR HORA"</f>
        <v>CONSULTA DE ATENDIMENTOS POR HORA</v>
      </c>
      <c r="F11566" s="2" t="str">
        <f>"C_ATEND_POR_HORA_SIGE"</f>
        <v>C_ATEND_POR_HORA_SIGE</v>
      </c>
      <c r="G11566" s="2" t="str">
        <f>"Atendimento / Ambulatório / Consultas / Nº de Atendimentos X Hora (C_ATEND_POR_HORA_SIGE)"</f>
        <v>Atendimento / Ambulatório / Consultas / Nº de Atendimentos X Hora (C_ATEND_POR_HORA_SIGE)</v>
      </c>
    </row>
    <row r="11567" spans="1:7" x14ac:dyDescent="0.3">
      <c r="A11567" s="1" t="s">
        <v>4</v>
      </c>
      <c r="B11567" s="2" t="str">
        <f>"SISTEMA DE INFORMAÇÕES GERENCIAIS"</f>
        <v>SISTEMA DE INFORMAÇÕES GERENCIAIS</v>
      </c>
      <c r="C11567" s="2" t="str">
        <f>""</f>
        <v/>
      </c>
      <c r="D11567" s="2" t="str">
        <f>"SIGE"</f>
        <v>SIGE</v>
      </c>
      <c r="E11567" s="2" t="str">
        <f>"CONSULTA DE ATENDIMENTOS POR HORA"</f>
        <v>CONSULTA DE ATENDIMENTOS POR HORA</v>
      </c>
      <c r="F11567" s="2" t="str">
        <f>"C_ATEND_POR_HORA_SIGE"</f>
        <v>C_ATEND_POR_HORA_SIGE</v>
      </c>
      <c r="G11567" s="2" t="str">
        <f>"Atendimento / Urgência e Emergência / Consultas / Nº de Atendimentos X Hora (C_ATEND_POR_HORA_SIGE)"</f>
        <v>Atendimento / Urgência e Emergência / Consultas / Nº de Atendimentos X Hora (C_ATEND_POR_HORA_SIGE)</v>
      </c>
    </row>
    <row r="11568" spans="1:7" x14ac:dyDescent="0.3">
      <c r="A11568" s="1" t="s">
        <v>4</v>
      </c>
      <c r="B11568" s="2" t="str">
        <f t="shared" ref="B11568:B11596" si="1005">"SISTEMA DE INF. CANCER DO COLO DO UTERO"</f>
        <v>SISTEMA DE INF. CANCER DO COLO DO UTERO</v>
      </c>
      <c r="C11568" s="2" t="str">
        <f t="shared" ref="C11568:C11596" si="1006">"FATUR-SUS"</f>
        <v>FATUR-SUS</v>
      </c>
      <c r="D11568" s="2" t="str">
        <f t="shared" ref="D11568:D11596" si="1007">"SISCO"</f>
        <v>SISCO</v>
      </c>
      <c r="E11568" s="2" t="str">
        <f>"PACIENTES"</f>
        <v>PACIENTES</v>
      </c>
      <c r="F11568" s="2" t="str">
        <f>"M_CAD_PAC_SISCO"</f>
        <v>M_CAD_PAC_SISCO</v>
      </c>
      <c r="G11568" s="2" t="str">
        <f>"Faturamento / Faturamento SUS - Siscolo / Tabelas / Pacientes (M_CAD_PAC_SISCO)"</f>
        <v>Faturamento / Faturamento SUS - Siscolo / Tabelas / Pacientes (M_CAD_PAC_SISCO)</v>
      </c>
    </row>
    <row r="11569" spans="1:7" x14ac:dyDescent="0.3">
      <c r="A11569" s="1" t="s">
        <v>4</v>
      </c>
      <c r="B11569" s="2" t="str">
        <f t="shared" si="1005"/>
        <v>SISTEMA DE INF. CANCER DO COLO DO UTERO</v>
      </c>
      <c r="C11569" s="2" t="str">
        <f t="shared" si="1006"/>
        <v>FATUR-SUS</v>
      </c>
      <c r="D11569" s="2" t="str">
        <f t="shared" si="1007"/>
        <v>SISCO</v>
      </c>
      <c r="E11569" s="2" t="str">
        <f>"RELAÇÃO DE EXAMES FECHADOS CITO E HISTO"</f>
        <v>RELAÇÃO DE EXAMES FECHADOS CITO E HISTO</v>
      </c>
      <c r="F11569" s="2" t="str">
        <f>"R_REL_EXAME_FECHADO"</f>
        <v>R_REL_EXAME_FECHADO</v>
      </c>
      <c r="G11569" s="2" t="str">
        <f>"Faturamento / Faturamento SUS - Siscolo / Relatórios / Operacionais / Relação de Exames Fechados (R_REL_EXAME_FECHADO)"</f>
        <v>Faturamento / Faturamento SUS - Siscolo / Relatórios / Operacionais / Relação de Exames Fechados (R_REL_EXAME_FECHADO)</v>
      </c>
    </row>
    <row r="11570" spans="1:7" x14ac:dyDescent="0.3">
      <c r="A11570" s="1" t="s">
        <v>4</v>
      </c>
      <c r="B11570" s="2" t="str">
        <f t="shared" si="1005"/>
        <v>SISTEMA DE INF. CANCER DO COLO DO UTERO</v>
      </c>
      <c r="C11570" s="2" t="str">
        <f t="shared" si="1006"/>
        <v>FATUR-SUS</v>
      </c>
      <c r="D11570" s="2" t="str">
        <f t="shared" si="1007"/>
        <v>SISCO</v>
      </c>
      <c r="E11570" s="2" t="str">
        <f>"CADASTRO DE EXAMES CITOPATOLOGICO"</f>
        <v>CADASTRO DE EXAMES CITOPATOLOGICO</v>
      </c>
      <c r="F11570" s="2" t="str">
        <f>"M_CITOPATOLOGICO"</f>
        <v>M_CITOPATOLOGICO</v>
      </c>
      <c r="G11570" s="2" t="str">
        <f>"Faturamento / Faturamento SUS - Siscolo / Lançamentos / Exame Citopatológico (M_CITOPATOLOGICO)"</f>
        <v>Faturamento / Faturamento SUS - Siscolo / Lançamentos / Exame Citopatológico (M_CITOPATOLOGICO)</v>
      </c>
    </row>
    <row r="11571" spans="1:7" x14ac:dyDescent="0.3">
      <c r="A11571" s="1" t="s">
        <v>4</v>
      </c>
      <c r="B11571" s="2" t="str">
        <f t="shared" si="1005"/>
        <v>SISTEMA DE INF. CANCER DO COLO DO UTERO</v>
      </c>
      <c r="C11571" s="2" t="str">
        <f t="shared" si="1006"/>
        <v>FATUR-SUS</v>
      </c>
      <c r="D11571" s="2" t="str">
        <f t="shared" si="1007"/>
        <v>SISCO</v>
      </c>
      <c r="E11571" s="2" t="str">
        <f>"RELACAO DE EXAMES MONITORAMENTO EXTERNO"</f>
        <v>RELACAO DE EXAMES MONITORAMENTO EXTERNO</v>
      </c>
      <c r="F11571" s="2" t="str">
        <f>"R_REL_EXAME_MONITORAMENTO"</f>
        <v>R_REL_EXAME_MONITORAMENTO</v>
      </c>
      <c r="G11571" s="2" t="str">
        <f>"Faturamento / Faturamento SUS - Siscolo / Relatórios / Operacionais / Monitoramento Externo (R_REL_EXAME_MONITORAMENTO)"</f>
        <v>Faturamento / Faturamento SUS - Siscolo / Relatórios / Operacionais / Monitoramento Externo (R_REL_EXAME_MONITORAMENTO)</v>
      </c>
    </row>
    <row r="11572" spans="1:7" x14ac:dyDescent="0.3">
      <c r="A11572" s="1" t="s">
        <v>4</v>
      </c>
      <c r="B11572" s="2" t="str">
        <f t="shared" si="1005"/>
        <v>SISTEMA DE INF. CANCER DO COLO DO UTERO</v>
      </c>
      <c r="C11572" s="2" t="str">
        <f t="shared" si="1006"/>
        <v>FATUR-SUS</v>
      </c>
      <c r="D11572" s="2" t="str">
        <f t="shared" si="1007"/>
        <v>SISCO</v>
      </c>
      <c r="E11572" s="2" t="str">
        <f>"RELACAO DE CONTAGEM REQUISIÇÃO DE EXAMES"</f>
        <v>RELACAO DE CONTAGEM REQUISIÇÃO DE EXAMES</v>
      </c>
      <c r="F11572" s="2" t="str">
        <f>"R_REL_EXAME_CONTAGEM"</f>
        <v>R_REL_EXAME_CONTAGEM</v>
      </c>
      <c r="G11572" s="2" t="str">
        <f>"Faturamento / Faturamento SUS - Siscolo / Relatórios / Operacionais / Contagem de Requisições (R_REL_EXAME_CONTAGEM)"</f>
        <v>Faturamento / Faturamento SUS - Siscolo / Relatórios / Operacionais / Contagem de Requisições (R_REL_EXAME_CONTAGEM)</v>
      </c>
    </row>
    <row r="11573" spans="1:7" x14ac:dyDescent="0.3">
      <c r="A11573" s="1" t="s">
        <v>4</v>
      </c>
      <c r="B11573" s="2" t="str">
        <f t="shared" si="1005"/>
        <v>SISTEMA DE INF. CANCER DO COLO DO UTERO</v>
      </c>
      <c r="C11573" s="2" t="str">
        <f t="shared" si="1006"/>
        <v>FATUR-SUS</v>
      </c>
      <c r="D11573" s="2" t="str">
        <f t="shared" si="1007"/>
        <v>SISCO</v>
      </c>
      <c r="E11573" s="2" t="str">
        <f>"R_CONTROLE_REMESSA"</f>
        <v>R_CONTROLE_REMESSA</v>
      </c>
      <c r="F11573" s="2" t="str">
        <f>"R_CONTROLE_REMESSA"</f>
        <v>R_CONTROLE_REMESSA</v>
      </c>
      <c r="G11573" s="2" t="str">
        <f>" ()"</f>
        <v xml:space="preserve"> ()</v>
      </c>
    </row>
    <row r="11574" spans="1:7" x14ac:dyDescent="0.3">
      <c r="A11574" s="1" t="s">
        <v>4</v>
      </c>
      <c r="B11574" s="2" t="str">
        <f t="shared" si="1005"/>
        <v>SISTEMA DE INF. CANCER DO COLO DO UTERO</v>
      </c>
      <c r="C11574" s="2" t="str">
        <f t="shared" si="1006"/>
        <v>FATUR-SUS</v>
      </c>
      <c r="D11574" s="2" t="str">
        <f t="shared" si="1007"/>
        <v>SISCO</v>
      </c>
      <c r="E11574" s="2" t="str">
        <f>"EXPORTAÇÃO DO ARQUIVO BPA"</f>
        <v>EXPORTAÇÃO DO ARQUIVO BPA</v>
      </c>
      <c r="F11574" s="2" t="str">
        <f>"O_GERA_BPA"</f>
        <v>O_GERA_BPA</v>
      </c>
      <c r="G11574" s="2" t="str">
        <f>"Faturamento / Faturamento SUS - Siscolo / Processos / Geração do BPA / Arquivo BPA para Exportação (O_GERA_BPA)"</f>
        <v>Faturamento / Faturamento SUS - Siscolo / Processos / Geração do BPA / Arquivo BPA para Exportação (O_GERA_BPA)</v>
      </c>
    </row>
    <row r="11575" spans="1:7" x14ac:dyDescent="0.3">
      <c r="A11575" s="1" t="s">
        <v>4</v>
      </c>
      <c r="B11575" s="2" t="str">
        <f t="shared" si="1005"/>
        <v>SISTEMA DE INF. CANCER DO COLO DO UTERO</v>
      </c>
      <c r="C11575" s="2" t="str">
        <f t="shared" si="1006"/>
        <v>FATUR-SUS</v>
      </c>
      <c r="D11575" s="2" t="str">
        <f t="shared" si="1007"/>
        <v>SISCO</v>
      </c>
      <c r="E11575" s="2" t="str">
        <f>"LAUDO DE HISTOPATOLOGIA"</f>
        <v>LAUDO DE HISTOPATOLOGIA</v>
      </c>
      <c r="F11575" s="2" t="str">
        <f>"R_LAUDO_HISTO"</f>
        <v>R_LAUDO_HISTO</v>
      </c>
      <c r="G11575" s="2" t="str">
        <f>"Faturamento / Faturamento SUS - Siscolo / Relatórios / Operacionais / Laudo Histopatológico (R_LAUDO_HISTO)"</f>
        <v>Faturamento / Faturamento SUS - Siscolo / Relatórios / Operacionais / Laudo Histopatológico (R_LAUDO_HISTO)</v>
      </c>
    </row>
    <row r="11576" spans="1:7" x14ac:dyDescent="0.3">
      <c r="A11576" s="1" t="s">
        <v>4</v>
      </c>
      <c r="B11576" s="2" t="str">
        <f t="shared" si="1005"/>
        <v>SISTEMA DE INF. CANCER DO COLO DO UTERO</v>
      </c>
      <c r="C11576" s="2" t="str">
        <f t="shared" si="1006"/>
        <v>FATUR-SUS</v>
      </c>
      <c r="D11576" s="2" t="str">
        <f t="shared" si="1007"/>
        <v>SISCO</v>
      </c>
      <c r="E11576" s="2" t="str">
        <f>"PERSONALIZADOS DO SISCO"</f>
        <v>PERSONALIZADOS DO SISCO</v>
      </c>
      <c r="F11576" s="2" t="str">
        <f>"R_PERSON_SISCO"</f>
        <v>R_PERSON_SISCO</v>
      </c>
      <c r="G11576" s="2" t="str">
        <f>"Faturamento / Faturamento SUS - Siscolo / Relatórios / Personalizados (R_PERSON_SISCO)"</f>
        <v>Faturamento / Faturamento SUS - Siscolo / Relatórios / Personalizados (R_PERSON_SISCO)</v>
      </c>
    </row>
    <row r="11577" spans="1:7" x14ac:dyDescent="0.3">
      <c r="A11577" s="1" t="s">
        <v>4</v>
      </c>
      <c r="B11577" s="2" t="str">
        <f t="shared" si="1005"/>
        <v>SISTEMA DE INF. CANCER DO COLO DO UTERO</v>
      </c>
      <c r="C11577" s="2" t="str">
        <f t="shared" si="1006"/>
        <v>FATUR-SUS</v>
      </c>
      <c r="D11577" s="2" t="str">
        <f t="shared" si="1007"/>
        <v>SISCO</v>
      </c>
      <c r="E11577" s="2" t="str">
        <f>"CONFIGURAÇÕES DO SISCOLO"</f>
        <v>CONFIGURAÇÕES DO SISCOLO</v>
      </c>
      <c r="F11577" s="2" t="str">
        <f>"M_CONFIG_SISCO"</f>
        <v>M_CONFIG_SISCO</v>
      </c>
      <c r="G11577" s="2" t="str">
        <f>"Faturamento / Faturamento SUS - Siscolo / Configuração / Configuração do Sistema (M_CONFIG_SISCO)"</f>
        <v>Faturamento / Faturamento SUS - Siscolo / Configuração / Configuração do Sistema (M_CONFIG_SISCO)</v>
      </c>
    </row>
    <row r="11578" spans="1:7" x14ac:dyDescent="0.3">
      <c r="A11578" s="1" t="s">
        <v>4</v>
      </c>
      <c r="B11578" s="2" t="str">
        <f t="shared" si="1005"/>
        <v>SISTEMA DE INF. CANCER DO COLO DO UTERO</v>
      </c>
      <c r="C11578" s="2" t="str">
        <f t="shared" si="1006"/>
        <v>FATUR-SUS</v>
      </c>
      <c r="D11578" s="2" t="str">
        <f t="shared" si="1007"/>
        <v>SISCO</v>
      </c>
      <c r="E11578" s="2" t="str">
        <f>"CADASTRO DE PRESTADORES"</f>
        <v>CADASTRO DE PRESTADORES</v>
      </c>
      <c r="F11578" s="2" t="str">
        <f>"CAD_PRE_SISCO"</f>
        <v>CAD_PRE_SISCO</v>
      </c>
      <c r="G11578" s="2" t="str">
        <f>" ()"</f>
        <v xml:space="preserve"> ()</v>
      </c>
    </row>
    <row r="11579" spans="1:7" x14ac:dyDescent="0.3">
      <c r="A11579" s="1" t="s">
        <v>4</v>
      </c>
      <c r="B11579" s="2" t="str">
        <f t="shared" si="1005"/>
        <v>SISTEMA DE INF. CANCER DO COLO DO UTERO</v>
      </c>
      <c r="C11579" s="2" t="str">
        <f t="shared" si="1006"/>
        <v>FATUR-SUS</v>
      </c>
      <c r="D11579" s="2" t="str">
        <f t="shared" si="1007"/>
        <v>SISCO</v>
      </c>
      <c r="E11579" s="2" t="str">
        <f>"CADASTRO DE EMPRESAS"</f>
        <v>CADASTRO DE EMPRESAS</v>
      </c>
      <c r="F11579" s="2" t="str">
        <f>"M_CAD_EMP_SISCO"</f>
        <v>M_CAD_EMP_SISCO</v>
      </c>
      <c r="G11579" s="2" t="str">
        <f>"Faturamento / Faturamento SUS - Siscolo / Tabelas / Empresa (M_CAD_EMP_SISCO)"</f>
        <v>Faturamento / Faturamento SUS - Siscolo / Tabelas / Empresa (M_CAD_EMP_SISCO)</v>
      </c>
    </row>
    <row r="11580" spans="1:7" x14ac:dyDescent="0.3">
      <c r="A11580" s="1" t="s">
        <v>4</v>
      </c>
      <c r="B11580" s="2" t="str">
        <f t="shared" si="1005"/>
        <v>SISTEMA DE INF. CANCER DO COLO DO UTERO</v>
      </c>
      <c r="C11580" s="2" t="str">
        <f t="shared" si="1006"/>
        <v>FATUR-SUS</v>
      </c>
      <c r="D11580" s="2" t="str">
        <f t="shared" si="1007"/>
        <v>SISCO</v>
      </c>
      <c r="E11580" s="2" t="str">
        <f>"RELAÇÃO DAS PRESTADORAS DE SERVIÇOS"</f>
        <v>RELAÇÃO DAS PRESTADORAS DE SERVIÇOS</v>
      </c>
      <c r="F11580" s="2" t="str">
        <f>"R_PREST_SERVICO"</f>
        <v>R_PREST_SERVICO</v>
      </c>
      <c r="G11580" s="2" t="str">
        <f>"Faturamento / Faturamento SUS - Siscolo / Relatórios / Tabelas / Cadastro de Empresas (R_PREST_SERVICO)"</f>
        <v>Faturamento / Faturamento SUS - Siscolo / Relatórios / Tabelas / Cadastro de Empresas (R_PREST_SERVICO)</v>
      </c>
    </row>
    <row r="11581" spans="1:7" x14ac:dyDescent="0.3">
      <c r="A11581" s="1" t="s">
        <v>4</v>
      </c>
      <c r="B11581" s="2" t="str">
        <f t="shared" si="1005"/>
        <v>SISTEMA DE INF. CANCER DO COLO DO UTERO</v>
      </c>
      <c r="C11581" s="2" t="str">
        <f t="shared" si="1006"/>
        <v>FATUR-SUS</v>
      </c>
      <c r="D11581" s="2" t="str">
        <f t="shared" si="1007"/>
        <v>SISCO</v>
      </c>
      <c r="E11581" s="2" t="str">
        <f>"RELAÇÃO DAS UNIDADES DE SAÚDE"</f>
        <v>RELAÇÃO DAS UNIDADES DE SAÚDE</v>
      </c>
      <c r="F11581" s="2" t="str">
        <f>"R_UNIDADE_SAUDE"</f>
        <v>R_UNIDADE_SAUDE</v>
      </c>
      <c r="G11581" s="2" t="str">
        <f>"Faturamento / Faturamento SUS - Siscolo / Relatórios / Tabelas / Unidades de Saúde (R_UNIDADE_SAUDE)"</f>
        <v>Faturamento / Faturamento SUS - Siscolo / Relatórios / Tabelas / Unidades de Saúde (R_UNIDADE_SAUDE)</v>
      </c>
    </row>
    <row r="11582" spans="1:7" x14ac:dyDescent="0.3">
      <c r="A11582" s="1" t="s">
        <v>4</v>
      </c>
      <c r="B11582" s="2" t="str">
        <f t="shared" si="1005"/>
        <v>SISTEMA DE INF. CANCER DO COLO DO UTERO</v>
      </c>
      <c r="C11582" s="2" t="str">
        <f t="shared" si="1006"/>
        <v>FATUR-SUS</v>
      </c>
      <c r="D11582" s="2" t="str">
        <f t="shared" si="1007"/>
        <v>SISCO</v>
      </c>
      <c r="E11582" s="2" t="str">
        <f>"CADASTRO: TABELA DE SIA SUS"</f>
        <v>CADASTRO: TABELA DE SIA SUS</v>
      </c>
      <c r="F11582" s="2" t="str">
        <f>"M_CONF_PROC"</f>
        <v>M_CONF_PROC</v>
      </c>
      <c r="G11582" s="2" t="str">
        <f>"Faturamento / Faturamento SUS - Siscolo / Tabelas / Cadastro Tabela SIA/SUS (M_CONF_PROC)"</f>
        <v>Faturamento / Faturamento SUS - Siscolo / Tabelas / Cadastro Tabela SIA/SUS (M_CONF_PROC)</v>
      </c>
    </row>
    <row r="11583" spans="1:7" x14ac:dyDescent="0.3">
      <c r="A11583" s="1" t="s">
        <v>4</v>
      </c>
      <c r="B11583" s="2" t="str">
        <f t="shared" si="1005"/>
        <v>SISTEMA DE INF. CANCER DO COLO DO UTERO</v>
      </c>
      <c r="C11583" s="2" t="str">
        <f t="shared" si="1006"/>
        <v>FATUR-SUS</v>
      </c>
      <c r="D11583" s="2" t="str">
        <f t="shared" si="1007"/>
        <v>SISCO</v>
      </c>
      <c r="E11583" s="2" t="str">
        <f>"M_CAD_UNI_SER"</f>
        <v>M_CAD_UNI_SER</v>
      </c>
      <c r="F11583" s="2" t="str">
        <f>"M_CAD_UNI_SER"</f>
        <v>M_CAD_UNI_SER</v>
      </c>
      <c r="G11583" s="2" t="str">
        <f>"Faturamento / Faturamento SUS - Siscolo / Tabelas / Unidades Prestadoras de Serviços / Cadastro de Unidades (M_CAD_UNI_SER)"</f>
        <v>Faturamento / Faturamento SUS - Siscolo / Tabelas / Unidades Prestadoras de Serviços / Cadastro de Unidades (M_CAD_UNI_SER)</v>
      </c>
    </row>
    <row r="11584" spans="1:7" x14ac:dyDescent="0.3">
      <c r="A11584" s="1" t="s">
        <v>4</v>
      </c>
      <c r="B11584" s="2" t="str">
        <f t="shared" si="1005"/>
        <v>SISTEMA DE INF. CANCER DO COLO DO UTERO</v>
      </c>
      <c r="C11584" s="2" t="str">
        <f t="shared" si="1006"/>
        <v>FATUR-SUS</v>
      </c>
      <c r="D11584" s="2" t="str">
        <f t="shared" si="1007"/>
        <v>SISCO</v>
      </c>
      <c r="E11584" s="2" t="str">
        <f>"CADASTRO: FATURAS DO SIA-SUS"</f>
        <v>CADASTRO: FATURAS DO SIA-SUS</v>
      </c>
      <c r="F11584" s="2" t="str">
        <f>"M_CAD_FAT_SISCO"</f>
        <v>M_CAD_FAT_SISCO</v>
      </c>
      <c r="G11584" s="2" t="str">
        <f>"Faturamento / Faturamento SUS - Siscolo / Tabelas / Faturas (M_CAD_FAT_SISCO)"</f>
        <v>Faturamento / Faturamento SUS - Siscolo / Tabelas / Faturas (M_CAD_FAT_SISCO)</v>
      </c>
    </row>
    <row r="11585" spans="1:7" x14ac:dyDescent="0.3">
      <c r="A11585" s="1" t="s">
        <v>4</v>
      </c>
      <c r="B11585" s="2" t="str">
        <f t="shared" si="1005"/>
        <v>SISTEMA DE INF. CANCER DO COLO DO UTERO</v>
      </c>
      <c r="C11585" s="2" t="str">
        <f t="shared" si="1006"/>
        <v>FATUR-SUS</v>
      </c>
      <c r="D11585" s="2" t="str">
        <f t="shared" si="1007"/>
        <v>SISCO</v>
      </c>
      <c r="E11585" s="2" t="str">
        <f>"CADASTRO DE PACIENTES - SISCOLO"</f>
        <v>CADASTRO DE PACIENTES - SISCOLO</v>
      </c>
      <c r="F11585" s="2" t="str">
        <f>"CAD_PAC_SISCO"</f>
        <v>CAD_PAC_SISCO</v>
      </c>
      <c r="G11585" s="2" t="str">
        <f>" ()"</f>
        <v xml:space="preserve"> ()</v>
      </c>
    </row>
    <row r="11586" spans="1:7" x14ac:dyDescent="0.3">
      <c r="A11586" s="1" t="s">
        <v>4</v>
      </c>
      <c r="B11586" s="2" t="str">
        <f t="shared" si="1005"/>
        <v>SISTEMA DE INF. CANCER DO COLO DO UTERO</v>
      </c>
      <c r="C11586" s="2" t="str">
        <f t="shared" si="1006"/>
        <v>FATUR-SUS</v>
      </c>
      <c r="D11586" s="2" t="str">
        <f t="shared" si="1007"/>
        <v>SISCO</v>
      </c>
      <c r="E11586" s="2" t="str">
        <f>"CADASTRO DE EXAMES HISTOPATOLOGICO"</f>
        <v>CADASTRO DE EXAMES HISTOPATOLOGICO</v>
      </c>
      <c r="F11586" s="2" t="str">
        <f>"M_HISTOPATOLOGICO"</f>
        <v>M_HISTOPATOLOGICO</v>
      </c>
      <c r="G11586" s="2" t="str">
        <f>"Faturamento / Faturamento SUS - Siscolo / Lançamentos / Exame Histopatológico (M_HISTOPATOLOGICO)"</f>
        <v>Faturamento / Faturamento SUS - Siscolo / Lançamentos / Exame Histopatológico (M_HISTOPATOLOGICO)</v>
      </c>
    </row>
    <row r="11587" spans="1:7" x14ac:dyDescent="0.3">
      <c r="A11587" s="1" t="s">
        <v>4</v>
      </c>
      <c r="B11587" s="2" t="str">
        <f t="shared" si="1005"/>
        <v>SISTEMA DE INF. CANCER DO COLO DO UTERO</v>
      </c>
      <c r="C11587" s="2" t="str">
        <f t="shared" si="1006"/>
        <v>FATUR-SUS</v>
      </c>
      <c r="D11587" s="2" t="str">
        <f t="shared" si="1007"/>
        <v>SISCO</v>
      </c>
      <c r="E11587" s="2" t="str">
        <f>"RELAÇÃO DE CASOS POSITIVOS CITO E HISTO"</f>
        <v>RELAÇÃO DE CASOS POSITIVOS CITO E HISTO</v>
      </c>
      <c r="F11587" s="2" t="str">
        <f>"R_CASO_POSITIVO_CITO"</f>
        <v>R_CASO_POSITIVO_CITO</v>
      </c>
      <c r="G11587" s="2" t="str">
        <f>"Faturamento / Faturamento SUS - Siscolo / Relatórios / Operacionais / Relação de Casos Positivo (R_CASO_POSITIVO_CITO)"</f>
        <v>Faturamento / Faturamento SUS - Siscolo / Relatórios / Operacionais / Relação de Casos Positivo (R_CASO_POSITIVO_CITO)</v>
      </c>
    </row>
    <row r="11588" spans="1:7" x14ac:dyDescent="0.3">
      <c r="A11588" s="1" t="s">
        <v>4</v>
      </c>
      <c r="B11588" s="2" t="str">
        <f t="shared" si="1005"/>
        <v>SISTEMA DE INF. CANCER DO COLO DO UTERO</v>
      </c>
      <c r="C11588" s="2" t="str">
        <f t="shared" si="1006"/>
        <v>FATUR-SUS</v>
      </c>
      <c r="D11588" s="2" t="str">
        <f t="shared" si="1007"/>
        <v>SISCO</v>
      </c>
      <c r="E11588" s="2" t="str">
        <f>"RELATÓRIO DE VERIFICAÇÃO DE FATURAMENTO"</f>
        <v>RELATÓRIO DE VERIFICAÇÃO DE FATURAMENTO</v>
      </c>
      <c r="F11588" s="2" t="str">
        <f>"R_VERIFICA_FATURA"</f>
        <v>R_VERIFICA_FATURA</v>
      </c>
      <c r="G11588" s="2" t="str">
        <f>"Faturamento / Faturamento SUS - Siscolo / Relatórios / Administrativos / Verificação de Faturamento (R_VERIFICA_FATURA)"</f>
        <v>Faturamento / Faturamento SUS - Siscolo / Relatórios / Administrativos / Verificação de Faturamento (R_VERIFICA_FATURA)</v>
      </c>
    </row>
    <row r="11589" spans="1:7" x14ac:dyDescent="0.3">
      <c r="A11589" s="1" t="s">
        <v>4</v>
      </c>
      <c r="B11589" s="2" t="str">
        <f t="shared" si="1005"/>
        <v>SISTEMA DE INF. CANCER DO COLO DO UTERO</v>
      </c>
      <c r="C11589" s="2" t="str">
        <f t="shared" si="1006"/>
        <v>FATUR-SUS</v>
      </c>
      <c r="D11589" s="2" t="str">
        <f t="shared" si="1007"/>
        <v>SISCO</v>
      </c>
      <c r="E11589" s="2" t="str">
        <f>"R_PAC_CITO_PREST"</f>
        <v>R_PAC_CITO_PREST</v>
      </c>
      <c r="F11589" s="2" t="str">
        <f>"R_PAC_CITO_PREST"</f>
        <v>R_PAC_CITO_PREST</v>
      </c>
      <c r="G11589" s="2" t="str">
        <f>" ()"</f>
        <v xml:space="preserve"> ()</v>
      </c>
    </row>
    <row r="11590" spans="1:7" x14ac:dyDescent="0.3">
      <c r="A11590" s="1" t="s">
        <v>4</v>
      </c>
      <c r="B11590" s="2" t="str">
        <f t="shared" si="1005"/>
        <v>SISTEMA DE INF. CANCER DO COLO DO UTERO</v>
      </c>
      <c r="C11590" s="2" t="str">
        <f t="shared" si="1006"/>
        <v>FATUR-SUS</v>
      </c>
      <c r="D11590" s="2" t="str">
        <f t="shared" si="1007"/>
        <v>SISCO</v>
      </c>
      <c r="E11590" s="2" t="str">
        <f>"RELATÓRIO DE CADASTRO DE PRESTADORES"</f>
        <v>RELATÓRIO DE CADASTRO DE PRESTADORES</v>
      </c>
      <c r="F11590" s="2" t="str">
        <f>"R_CAD_PRE_SISCO"</f>
        <v>R_CAD_PRE_SISCO</v>
      </c>
      <c r="G11590" s="2" t="str">
        <f>"Faturamento / Faturamento SUS - Siscolo / Relatórios / Tabelas / Cadastro de Prestadores (R_CAD_PRE_SISCO)"</f>
        <v>Faturamento / Faturamento SUS - Siscolo / Relatórios / Tabelas / Cadastro de Prestadores (R_CAD_PRE_SISCO)</v>
      </c>
    </row>
    <row r="11591" spans="1:7" x14ac:dyDescent="0.3">
      <c r="A11591" s="1" t="s">
        <v>4</v>
      </c>
      <c r="B11591" s="2" t="str">
        <f t="shared" si="1005"/>
        <v>SISTEMA DE INF. CANCER DO COLO DO UTERO</v>
      </c>
      <c r="C11591" s="2" t="str">
        <f t="shared" si="1006"/>
        <v>FATUR-SUS</v>
      </c>
      <c r="D11591" s="2" t="str">
        <f t="shared" si="1007"/>
        <v>SISCO</v>
      </c>
      <c r="E11591" s="2" t="str">
        <f>"CADASTRO DE PACIENTES"</f>
        <v>CADASTRO DE PACIENTES</v>
      </c>
      <c r="F11591" s="2" t="str">
        <f>"R_CAD_PAC_SISCO"</f>
        <v>R_CAD_PAC_SISCO</v>
      </c>
      <c r="G11591" s="2" t="str">
        <f>"Faturamento / Faturamento SUS - Siscolo / Relatórios / Tabelas / Cadastro de Pacientes (R_CAD_PAC_SISCO)"</f>
        <v>Faturamento / Faturamento SUS - Siscolo / Relatórios / Tabelas / Cadastro de Pacientes (R_CAD_PAC_SISCO)</v>
      </c>
    </row>
    <row r="11592" spans="1:7" x14ac:dyDescent="0.3">
      <c r="A11592" s="1" t="s">
        <v>4</v>
      </c>
      <c r="B11592" s="2" t="str">
        <f t="shared" si="1005"/>
        <v>SISTEMA DE INF. CANCER DO COLO DO UTERO</v>
      </c>
      <c r="C11592" s="2" t="str">
        <f t="shared" si="1006"/>
        <v>FATUR-SUS</v>
      </c>
      <c r="D11592" s="2" t="str">
        <f t="shared" si="1007"/>
        <v>SISCO</v>
      </c>
      <c r="E11592" s="2" t="str">
        <f>"LAUDO DE CITOPATOLOGIA"</f>
        <v>LAUDO DE CITOPATOLOGIA</v>
      </c>
      <c r="F11592" s="2" t="str">
        <f>"R_LAUDO_CITO"</f>
        <v>R_LAUDO_CITO</v>
      </c>
      <c r="G11592" s="2" t="str">
        <f>"Faturamento / Faturamento SUS - Siscolo / Relatórios / Operacionais / Laudo Citopatológico (R_LAUDO_CITO)"</f>
        <v>Faturamento / Faturamento SUS - Siscolo / Relatórios / Operacionais / Laudo Citopatológico (R_LAUDO_CITO)</v>
      </c>
    </row>
    <row r="11593" spans="1:7" x14ac:dyDescent="0.3">
      <c r="A11593" s="1" t="s">
        <v>4</v>
      </c>
      <c r="B11593" s="2" t="str">
        <f t="shared" si="1005"/>
        <v>SISTEMA DE INF. CANCER DO COLO DO UTERO</v>
      </c>
      <c r="C11593" s="2" t="str">
        <f t="shared" si="1006"/>
        <v>FATUR-SUS</v>
      </c>
      <c r="D11593" s="2" t="str">
        <f t="shared" si="1007"/>
        <v>SISCO</v>
      </c>
      <c r="E11593" s="2" t="str">
        <f>"TETO FÍSICO E ORÇAMENTÁRIO"</f>
        <v>TETO FÍSICO E ORÇAMENTÁRIO</v>
      </c>
      <c r="F11593" s="2" t="str">
        <f>"M_TETORC_UPS_PROC_SISCO"</f>
        <v>M_TETORC_UPS_PROC_SISCO</v>
      </c>
      <c r="G11593" s="2" t="str">
        <f>"Faturamento / Faturamento SUS - Siscolo / Tabelas / Unidades Prestadoras de Serviços / Teto Orçamentário UPS x Procedimento (M_TETORC_UPS_PROC_SISCO)"</f>
        <v>Faturamento / Faturamento SUS - Siscolo / Tabelas / Unidades Prestadoras de Serviços / Teto Orçamentário UPS x Procedimento (M_TETORC_UPS_PROC_SISCO)</v>
      </c>
    </row>
    <row r="11594" spans="1:7" x14ac:dyDescent="0.3">
      <c r="A11594" s="1" t="s">
        <v>4</v>
      </c>
      <c r="B11594" s="2" t="str">
        <f t="shared" si="1005"/>
        <v>SISTEMA DE INF. CANCER DO COLO DO UTERO</v>
      </c>
      <c r="C11594" s="2" t="str">
        <f t="shared" si="1006"/>
        <v>FATUR-SUS</v>
      </c>
      <c r="D11594" s="2" t="str">
        <f t="shared" si="1007"/>
        <v>SISCO</v>
      </c>
      <c r="E11594" s="2" t="str">
        <f>"PROCEDIMENTOS SISCOLO"</f>
        <v>PROCEDIMENTOS SISCOLO</v>
      </c>
      <c r="F11594" s="2" t="str">
        <f>"M_PROC_SUS_SISCOLO"</f>
        <v>M_PROC_SUS_SISCOLO</v>
      </c>
      <c r="G11594" s="2" t="str">
        <f>" ()"</f>
        <v xml:space="preserve"> ()</v>
      </c>
    </row>
    <row r="11595" spans="1:7" x14ac:dyDescent="0.3">
      <c r="A11595" s="1" t="s">
        <v>4</v>
      </c>
      <c r="B11595" s="2" t="str">
        <f t="shared" si="1005"/>
        <v>SISTEMA DE INF. CANCER DO COLO DO UTERO</v>
      </c>
      <c r="C11595" s="2" t="str">
        <f t="shared" si="1006"/>
        <v>FATUR-SUS</v>
      </c>
      <c r="D11595" s="2" t="str">
        <f t="shared" si="1007"/>
        <v>SISCO</v>
      </c>
      <c r="E11595" s="2" t="str">
        <f>"UNIDADES DE SAÚDE"</f>
        <v>UNIDADES DE SAÚDE</v>
      </c>
      <c r="F11595" s="2" t="str">
        <f>"R_PACIENTE_UNI_PREST"</f>
        <v>R_PACIENTE_UNI_PREST</v>
      </c>
      <c r="G11595" s="2" t="str">
        <f>"Faturamento / Faturamento SUS - Siscolo / Relatórios / Operacionais / Relatório de Exames do Hospital / Unidades de Saúde (R_PACIENTE_UNI_PREST)"</f>
        <v>Faturamento / Faturamento SUS - Siscolo / Relatórios / Operacionais / Relatório de Exames do Hospital / Unidades de Saúde (R_PACIENTE_UNI_PREST)</v>
      </c>
    </row>
    <row r="11596" spans="1:7" x14ac:dyDescent="0.3">
      <c r="A11596" s="1" t="s">
        <v>4</v>
      </c>
      <c r="B11596" s="2" t="str">
        <f t="shared" si="1005"/>
        <v>SISTEMA DE INF. CANCER DO COLO DO UTERO</v>
      </c>
      <c r="C11596" s="2" t="str">
        <f t="shared" si="1006"/>
        <v>FATUR-SUS</v>
      </c>
      <c r="D11596" s="2" t="str">
        <f t="shared" si="1007"/>
        <v>SISCO</v>
      </c>
      <c r="E11596" s="2" t="str">
        <f>"PRESTADORES"</f>
        <v>PRESTADORES</v>
      </c>
      <c r="F11596" s="2" t="str">
        <f>"M_CAD_PRE_SISCO"</f>
        <v>M_CAD_PRE_SISCO</v>
      </c>
      <c r="G11596" s="2" t="str">
        <f>"Faturamento / Faturamento SUS - Siscolo / Tabelas / Prestadores (M_CAD_PRE_SISCO)"</f>
        <v>Faturamento / Faturamento SUS - Siscolo / Tabelas / Prestadores (M_CAD_PRE_SISCO)</v>
      </c>
    </row>
    <row r="11597" spans="1:7" x14ac:dyDescent="0.3">
      <c r="A11597" s="1" t="s">
        <v>4</v>
      </c>
      <c r="B11597" s="2" t="str">
        <f>"SISTEMA DE SOLICITACAO DE PRODUTOS"</f>
        <v>SISTEMA DE SOLICITACAO DE PRODUTOS</v>
      </c>
      <c r="C11597" s="2" t="str">
        <f>""</f>
        <v/>
      </c>
      <c r="D11597" s="2" t="str">
        <f>"SOLIC"</f>
        <v>SOLIC</v>
      </c>
      <c r="E11597" s="2" t="str">
        <f>"MENU DA SOLICITACAO DE PRODUTOS AO ESTOQ"</f>
        <v>MENU DA SOLICITACAO DE PRODUTOS AO ESTOQ</v>
      </c>
      <c r="F11597" s="2" t="str">
        <f>"SOLICITACAO"</f>
        <v>SOLICITACAO</v>
      </c>
      <c r="G11597" s="2" t="str">
        <f>" ()"</f>
        <v xml:space="preserve"> ()</v>
      </c>
    </row>
    <row r="11598" spans="1:7" x14ac:dyDescent="0.3">
      <c r="A11598" s="1" t="s">
        <v>4</v>
      </c>
      <c r="B11598" s="2" t="str">
        <f t="shared" ref="B11598:B11661" si="1008">"TROCA DE INFORMAÇÃO SUPLEMENTAR DE SAÚDE"</f>
        <v>TROCA DE INFORMAÇÃO SUPLEMENTAR DE SAÚDE</v>
      </c>
      <c r="C11598" s="2" t="str">
        <f t="shared" ref="C11598:D11617" si="1009">"TISS"</f>
        <v>TISS</v>
      </c>
      <c r="D11598" s="2" t="str">
        <f t="shared" si="1009"/>
        <v>TISS</v>
      </c>
      <c r="E11598" s="2" t="str">
        <f>"Impressão das Guias TISS de Faturamento"</f>
        <v>Impressão das Guias TISS de Faturamento</v>
      </c>
      <c r="F11598" s="2" t="str">
        <f>"M_TISS_IMPRESSAO"</f>
        <v>M_TISS_IMPRESSAO</v>
      </c>
      <c r="G11598" s="2" t="str">
        <f>" ()"</f>
        <v xml:space="preserve"> ()</v>
      </c>
    </row>
    <row r="11599" spans="1:7" x14ac:dyDescent="0.3">
      <c r="A11599" s="1" t="s">
        <v>4</v>
      </c>
      <c r="B11599" s="2" t="str">
        <f t="shared" si="1008"/>
        <v>TROCA DE INFORMAÇÃO SUPLEMENTAR DE SAÚDE</v>
      </c>
      <c r="C11599" s="2" t="str">
        <f t="shared" si="1009"/>
        <v>TISS</v>
      </c>
      <c r="D11599" s="2" t="str">
        <f t="shared" si="1009"/>
        <v>TISS</v>
      </c>
      <c r="E11599" s="2" t="str">
        <f>"Rel TISS Solicitação SdSadt Versão 3"</f>
        <v>Rel TISS Solicitação SdSadt Versão 3</v>
      </c>
      <c r="F11599" s="2" t="str">
        <f>"R_TISS_SP_SADT_SOL_V3"</f>
        <v>R_TISS_SP_SADT_SOL_V3</v>
      </c>
      <c r="G11599" s="2" t="str">
        <f>" ()"</f>
        <v xml:space="preserve"> ()</v>
      </c>
    </row>
    <row r="11600" spans="1:7" x14ac:dyDescent="0.3">
      <c r="A11600" s="1" t="s">
        <v>4</v>
      </c>
      <c r="B11600" s="2" t="str">
        <f t="shared" si="1008"/>
        <v>TROCA DE INFORMAÇÃO SUPLEMENTAR DE SAÚDE</v>
      </c>
      <c r="C11600" s="2" t="str">
        <f t="shared" si="1009"/>
        <v>TISS</v>
      </c>
      <c r="D11600" s="2" t="str">
        <f t="shared" si="1009"/>
        <v>TISS</v>
      </c>
      <c r="E11600" s="2" t="str">
        <f>"Pendências Autorização"</f>
        <v>Pendências Autorização</v>
      </c>
      <c r="F11600" s="2" t="str">
        <f>"M_TISS_PENDENCIA_SOLICITACAO"</f>
        <v>M_TISS_PENDENCIA_SOLICITACAO</v>
      </c>
      <c r="G11600" s="2" t="str">
        <f>"Pendências Autorização (M_TISS_PENDENCIA_SOLICITACAO)"</f>
        <v>Pendências Autorização (M_TISS_PENDENCIA_SOLICITACAO)</v>
      </c>
    </row>
    <row r="11601" spans="1:7" x14ac:dyDescent="0.3">
      <c r="A11601" s="1" t="s">
        <v>4</v>
      </c>
      <c r="B11601" s="2" t="str">
        <f t="shared" si="1008"/>
        <v>TROCA DE INFORMAÇÃO SUPLEMENTAR DE SAÚDE</v>
      </c>
      <c r="C11601" s="2" t="str">
        <f t="shared" si="1009"/>
        <v>TISS</v>
      </c>
      <c r="D11601" s="2" t="str">
        <f t="shared" si="1009"/>
        <v>TISS</v>
      </c>
      <c r="E11601" s="2" t="str">
        <f>"Envio de documentos"</f>
        <v>Envio de documentos</v>
      </c>
      <c r="F11601" s="2" t="str">
        <f>"M_TISS_ENVIO_DOCUMENTOS"</f>
        <v>M_TISS_ENVIO_DOCUMENTOS</v>
      </c>
      <c r="G11601" s="2" t="str">
        <f>"Faturamento / Faturamento de Convênios e Particulares / Lançamentos / Serviços Tiss / Envio de Documentos (M_TISS_ENVIO_DOCUMENTOS)"</f>
        <v>Faturamento / Faturamento de Convênios e Particulares / Lançamentos / Serviços Tiss / Envio de Documentos (M_TISS_ENVIO_DOCUMENTOS)</v>
      </c>
    </row>
    <row r="11602" spans="1:7" x14ac:dyDescent="0.3">
      <c r="A11602" s="1" t="s">
        <v>4</v>
      </c>
      <c r="B11602" s="2" t="str">
        <f t="shared" si="1008"/>
        <v>TROCA DE INFORMAÇÃO SUPLEMENTAR DE SAÚDE</v>
      </c>
      <c r="C11602" s="2" t="str">
        <f t="shared" si="1009"/>
        <v>TISS</v>
      </c>
      <c r="D11602" s="2" t="str">
        <f t="shared" si="1009"/>
        <v>TISS</v>
      </c>
      <c r="E11602" s="2" t="str">
        <f>"Realização de elegibilidade do paciente"</f>
        <v>Realização de elegibilidade do paciente</v>
      </c>
      <c r="F11602" s="2" t="str">
        <f>"M_TISS_ELEGIBILIDADE"</f>
        <v>M_TISS_ELEGIBILIDADE</v>
      </c>
      <c r="G11602" s="2" t="str">
        <f>"Faturamento / Faturamento de Convênios e Particulares / Lançamentos / Serviços Tiss / Verificação da Elegibilidade (M_TISS_ELEGIBILIDADE)"</f>
        <v>Faturamento / Faturamento de Convênios e Particulares / Lançamentos / Serviços Tiss / Verificação da Elegibilidade (M_TISS_ELEGIBILIDADE)</v>
      </c>
    </row>
    <row r="11603" spans="1:7" x14ac:dyDescent="0.3">
      <c r="A11603" s="1" t="s">
        <v>4</v>
      </c>
      <c r="B11603" s="2" t="str">
        <f t="shared" si="1008"/>
        <v>TROCA DE INFORMAÇÃO SUPLEMENTAR DE SAÚDE</v>
      </c>
      <c r="C11603" s="2" t="str">
        <f t="shared" si="1009"/>
        <v>TISS</v>
      </c>
      <c r="D11603" s="2" t="str">
        <f t="shared" si="1009"/>
        <v>TISS</v>
      </c>
      <c r="E11603" s="2" t="str">
        <f>"Informações TISS no atendimento"</f>
        <v>Informações TISS no atendimento</v>
      </c>
      <c r="F11603" s="2" t="str">
        <f>"M_TISS_DADOS_ATEND"</f>
        <v>M_TISS_DADOS_ATEND</v>
      </c>
      <c r="G11603" s="2" t="str">
        <f>" ()"</f>
        <v xml:space="preserve"> ()</v>
      </c>
    </row>
    <row r="11604" spans="1:7" x14ac:dyDescent="0.3">
      <c r="A11604" s="1" t="s">
        <v>4</v>
      </c>
      <c r="B11604" s="2" t="str">
        <f t="shared" si="1008"/>
        <v>TROCA DE INFORMAÇÃO SUPLEMENTAR DE SAÚDE</v>
      </c>
      <c r="C11604" s="2" t="str">
        <f t="shared" si="1009"/>
        <v>TISS</v>
      </c>
      <c r="D11604" s="2" t="str">
        <f t="shared" si="1009"/>
        <v>TISS</v>
      </c>
      <c r="E11604" s="2" t="str">
        <f>"DE/PARA TISS no Atendimento"</f>
        <v>DE/PARA TISS no Atendimento</v>
      </c>
      <c r="F11604" s="2" t="str">
        <f>"M_TISS_CONFIG_ATEND"</f>
        <v>M_TISS_CONFIG_ATEND</v>
      </c>
      <c r="G11604" s="2" t="str">
        <f>"Faturamento / Faturamento de Convênios e Particulares / Lançamentos / Serviços Tiss / De/Para Atendimento TISS (M_TISS_CONFIG_ATEND)"</f>
        <v>Faturamento / Faturamento de Convênios e Particulares / Lançamentos / Serviços Tiss / De/Para Atendimento TISS (M_TISS_CONFIG_ATEND)</v>
      </c>
    </row>
    <row r="11605" spans="1:7" x14ac:dyDescent="0.3">
      <c r="A11605" s="1" t="s">
        <v>4</v>
      </c>
      <c r="B11605" s="2" t="str">
        <f t="shared" si="1008"/>
        <v>TROCA DE INFORMAÇÃO SUPLEMENTAR DE SAÚDE</v>
      </c>
      <c r="C11605" s="2" t="str">
        <f t="shared" si="1009"/>
        <v>TISS</v>
      </c>
      <c r="D11605" s="2" t="str">
        <f t="shared" si="1009"/>
        <v>TISS</v>
      </c>
      <c r="E11605" s="2" t="str">
        <f>"Rel TISS Solicitação SdSadt Versão 4"</f>
        <v>Rel TISS Solicitação SdSadt Versão 4</v>
      </c>
      <c r="F11605" s="2" t="str">
        <f>"R_TISS_SP_SADT_SOL_V4"</f>
        <v>R_TISS_SP_SADT_SOL_V4</v>
      </c>
      <c r="G11605" s="2" t="str">
        <f t="shared" ref="G11605:G11651" si="1010">" ()"</f>
        <v xml:space="preserve"> ()</v>
      </c>
    </row>
    <row r="11606" spans="1:7" x14ac:dyDescent="0.3">
      <c r="A11606" s="1" t="s">
        <v>4</v>
      </c>
      <c r="B11606" s="2" t="str">
        <f t="shared" si="1008"/>
        <v>TROCA DE INFORMAÇÃO SUPLEMENTAR DE SAÚDE</v>
      </c>
      <c r="C11606" s="2" t="str">
        <f t="shared" si="1009"/>
        <v>TISS</v>
      </c>
      <c r="D11606" s="2" t="str">
        <f t="shared" si="1009"/>
        <v>TISS</v>
      </c>
      <c r="E11606" s="2" t="str">
        <f>"Importação da Carga TUSS"</f>
        <v>Importação da Carga TUSS</v>
      </c>
      <c r="F11606" s="2" t="str">
        <f>"M_TISS_CARGA_TUSS"</f>
        <v>M_TISS_CARGA_TUSS</v>
      </c>
      <c r="G11606" s="2" t="str">
        <f t="shared" si="1010"/>
        <v xml:space="preserve"> ()</v>
      </c>
    </row>
    <row r="11607" spans="1:7" x14ac:dyDescent="0.3">
      <c r="A11607" s="1" t="s">
        <v>4</v>
      </c>
      <c r="B11607" s="2" t="str">
        <f t="shared" si="1008"/>
        <v>TROCA DE INFORMAÇÃO SUPLEMENTAR DE SAÚDE</v>
      </c>
      <c r="C11607" s="2" t="str">
        <f t="shared" si="1009"/>
        <v>TISS</v>
      </c>
      <c r="D11607" s="2" t="str">
        <f t="shared" si="1009"/>
        <v>TISS</v>
      </c>
      <c r="E11607" s="2" t="str">
        <f>"Relatório TISS SdSadt Versão 4"</f>
        <v>Relatório TISS SdSadt Versão 4</v>
      </c>
      <c r="F11607" s="2" t="str">
        <f>"R_TISS_SP_SADT_V4"</f>
        <v>R_TISS_SP_SADT_V4</v>
      </c>
      <c r="G11607" s="2" t="str">
        <f t="shared" si="1010"/>
        <v xml:space="preserve"> ()</v>
      </c>
    </row>
    <row r="11608" spans="1:7" x14ac:dyDescent="0.3">
      <c r="A11608" s="1" t="s">
        <v>4</v>
      </c>
      <c r="B11608" s="2" t="str">
        <f t="shared" si="1008"/>
        <v>TROCA DE INFORMAÇÃO SUPLEMENTAR DE SAÚDE</v>
      </c>
      <c r="C11608" s="2" t="str">
        <f t="shared" si="1009"/>
        <v>TISS</v>
      </c>
      <c r="D11608" s="2" t="str">
        <f t="shared" si="1009"/>
        <v>TISS</v>
      </c>
      <c r="E11608" s="2" t="str">
        <f>"Rel TISS Resumo Internação Versão 4"</f>
        <v>Rel TISS Resumo Internação Versão 4</v>
      </c>
      <c r="F11608" s="2" t="str">
        <f>"R_TISS_RES_INT_V4"</f>
        <v>R_TISS_RES_INT_V4</v>
      </c>
      <c r="G11608" s="2" t="str">
        <f t="shared" si="1010"/>
        <v xml:space="preserve"> ()</v>
      </c>
    </row>
    <row r="11609" spans="1:7" x14ac:dyDescent="0.3">
      <c r="A11609" s="1" t="s">
        <v>4</v>
      </c>
      <c r="B11609" s="2" t="str">
        <f t="shared" si="1008"/>
        <v>TROCA DE INFORMAÇÃO SUPLEMENTAR DE SAÚDE</v>
      </c>
      <c r="C11609" s="2" t="str">
        <f t="shared" si="1009"/>
        <v>TISS</v>
      </c>
      <c r="D11609" s="2" t="str">
        <f t="shared" si="1009"/>
        <v>TISS</v>
      </c>
      <c r="E11609" s="2" t="str">
        <f>"Relatório TISS Recurso Glosas Versão 4"</f>
        <v>Relatório TISS Recurso Glosas Versão 4</v>
      </c>
      <c r="F11609" s="2" t="str">
        <f>"R_TISS_REC_GLOSAS_V4"</f>
        <v>R_TISS_REC_GLOSAS_V4</v>
      </c>
      <c r="G11609" s="2" t="str">
        <f t="shared" si="1010"/>
        <v xml:space="preserve"> ()</v>
      </c>
    </row>
    <row r="11610" spans="1:7" x14ac:dyDescent="0.3">
      <c r="A11610" s="1" t="s">
        <v>4</v>
      </c>
      <c r="B11610" s="2" t="str">
        <f t="shared" si="1008"/>
        <v>TROCA DE INFORMAÇÃO SUPLEMENTAR DE SAÚDE</v>
      </c>
      <c r="C11610" s="2" t="str">
        <f t="shared" si="1009"/>
        <v>TISS</v>
      </c>
      <c r="D11610" s="2" t="str">
        <f t="shared" si="1009"/>
        <v>TISS</v>
      </c>
      <c r="E11610" s="2" t="str">
        <f>"Rel TISS Solicitação Rádio Versão 4"</f>
        <v>Rel TISS Solicitação Rádio Versão 4</v>
      </c>
      <c r="F11610" s="2" t="str">
        <f>"R_TISS_RADIO_SOL_V4"</f>
        <v>R_TISS_RADIO_SOL_V4</v>
      </c>
      <c r="G11610" s="2" t="str">
        <f t="shared" si="1010"/>
        <v xml:space="preserve"> ()</v>
      </c>
    </row>
    <row r="11611" spans="1:7" x14ac:dyDescent="0.3">
      <c r="A11611" s="1" t="s">
        <v>4</v>
      </c>
      <c r="B11611" s="2" t="str">
        <f t="shared" si="1008"/>
        <v>TROCA DE INFORMAÇÃO SUPLEMENTAR DE SAÚDE</v>
      </c>
      <c r="C11611" s="2" t="str">
        <f t="shared" si="1009"/>
        <v>TISS</v>
      </c>
      <c r="D11611" s="2" t="str">
        <f t="shared" si="1009"/>
        <v>TISS</v>
      </c>
      <c r="E11611" s="2" t="str">
        <f>"Rel TISS Solicitação Químio Versão 4"</f>
        <v>Rel TISS Solicitação Químio Versão 4</v>
      </c>
      <c r="F11611" s="2" t="str">
        <f>"R_TISS_QUIMIO_SOL_V4"</f>
        <v>R_TISS_QUIMIO_SOL_V4</v>
      </c>
      <c r="G11611" s="2" t="str">
        <f t="shared" si="1010"/>
        <v xml:space="preserve"> ()</v>
      </c>
    </row>
    <row r="11612" spans="1:7" x14ac:dyDescent="0.3">
      <c r="A11612" s="1" t="s">
        <v>4</v>
      </c>
      <c r="B11612" s="2" t="str">
        <f t="shared" si="1008"/>
        <v>TROCA DE INFORMAÇÃO SUPLEMENTAR DE SAÚDE</v>
      </c>
      <c r="C11612" s="2" t="str">
        <f t="shared" si="1009"/>
        <v>TISS</v>
      </c>
      <c r="D11612" s="2" t="str">
        <f t="shared" si="1009"/>
        <v>TISS</v>
      </c>
      <c r="E11612" s="2" t="str">
        <f>"Rel TISS Sol Prorrogação Int Versão 4"</f>
        <v>Rel TISS Sol Prorrogação Int Versão 4</v>
      </c>
      <c r="F11612" s="2" t="str">
        <f>"R_TISS_PRO_INT_SOL_V4"</f>
        <v>R_TISS_PRO_INT_SOL_V4</v>
      </c>
      <c r="G11612" s="2" t="str">
        <f t="shared" si="1010"/>
        <v xml:space="preserve"> ()</v>
      </c>
    </row>
    <row r="11613" spans="1:7" x14ac:dyDescent="0.3">
      <c r="A11613" s="1" t="s">
        <v>4</v>
      </c>
      <c r="B11613" s="2" t="str">
        <f t="shared" si="1008"/>
        <v>TROCA DE INFORMAÇÃO SUPLEMENTAR DE SAÚDE</v>
      </c>
      <c r="C11613" s="2" t="str">
        <f t="shared" si="1009"/>
        <v>TISS</v>
      </c>
      <c r="D11613" s="2" t="str">
        <f t="shared" si="1009"/>
        <v>TISS</v>
      </c>
      <c r="E11613" s="2" t="str">
        <f>"Relatório TISS Outras Despesas Versão 4"</f>
        <v>Relatório TISS Outras Despesas Versão 4</v>
      </c>
      <c r="F11613" s="2" t="str">
        <f>"R_TISS_OUT_DESP_V4"</f>
        <v>R_TISS_OUT_DESP_V4</v>
      </c>
      <c r="G11613" s="2" t="str">
        <f t="shared" si="1010"/>
        <v xml:space="preserve"> ()</v>
      </c>
    </row>
    <row r="11614" spans="1:7" x14ac:dyDescent="0.3">
      <c r="A11614" s="1" t="s">
        <v>4</v>
      </c>
      <c r="B11614" s="2" t="str">
        <f t="shared" si="1008"/>
        <v>TROCA DE INFORMAÇÃO SUPLEMENTAR DE SAÚDE</v>
      </c>
      <c r="C11614" s="2" t="str">
        <f t="shared" si="1009"/>
        <v>TISS</v>
      </c>
      <c r="D11614" s="2" t="str">
        <f t="shared" si="1009"/>
        <v>TISS</v>
      </c>
      <c r="E11614" s="2" t="str">
        <f>"Relatório TISS Solicitação OPME Versão 4"</f>
        <v>Relatório TISS Solicitação OPME Versão 4</v>
      </c>
      <c r="F11614" s="2" t="str">
        <f>"R_TISS_OPME_SOL_V4"</f>
        <v>R_TISS_OPME_SOL_V4</v>
      </c>
      <c r="G11614" s="2" t="str">
        <f t="shared" si="1010"/>
        <v xml:space="preserve"> ()</v>
      </c>
    </row>
    <row r="11615" spans="1:7" x14ac:dyDescent="0.3">
      <c r="A11615" s="1" t="s">
        <v>4</v>
      </c>
      <c r="B11615" s="2" t="str">
        <f t="shared" si="1008"/>
        <v>TROCA DE INFORMAÇÃO SUPLEMENTAR DE SAÚDE</v>
      </c>
      <c r="C11615" s="2" t="str">
        <f t="shared" si="1009"/>
        <v>TISS</v>
      </c>
      <c r="D11615" s="2" t="str">
        <f t="shared" si="1009"/>
        <v>TISS</v>
      </c>
      <c r="E11615" s="2" t="str">
        <f>"Rel TISS Solicitação Internação Versão 4"</f>
        <v>Rel TISS Solicitação Internação Versão 4</v>
      </c>
      <c r="F11615" s="2" t="str">
        <f>"R_TISS_INT_SOL_V4"</f>
        <v>R_TISS_INT_SOL_V4</v>
      </c>
      <c r="G11615" s="2" t="str">
        <f t="shared" si="1010"/>
        <v xml:space="preserve"> ()</v>
      </c>
    </row>
    <row r="11616" spans="1:7" x14ac:dyDescent="0.3">
      <c r="A11616" s="1" t="s">
        <v>4</v>
      </c>
      <c r="B11616" s="2" t="str">
        <f t="shared" si="1008"/>
        <v>TROCA DE INFORMAÇÃO SUPLEMENTAR DE SAÚDE</v>
      </c>
      <c r="C11616" s="2" t="str">
        <f t="shared" si="1009"/>
        <v>TISS</v>
      </c>
      <c r="D11616" s="2" t="str">
        <f t="shared" si="1009"/>
        <v>TISS</v>
      </c>
      <c r="E11616" s="2" t="str">
        <f>"Rel TISS Honorários Individual Versão 4"</f>
        <v>Rel TISS Honorários Individual Versão 4</v>
      </c>
      <c r="F11616" s="2" t="str">
        <f>"R_TISS_HON_IND_V4"</f>
        <v>R_TISS_HON_IND_V4</v>
      </c>
      <c r="G11616" s="2" t="str">
        <f t="shared" si="1010"/>
        <v xml:space="preserve"> ()</v>
      </c>
    </row>
    <row r="11617" spans="1:7" x14ac:dyDescent="0.3">
      <c r="A11617" s="1" t="s">
        <v>4</v>
      </c>
      <c r="B11617" s="2" t="str">
        <f t="shared" si="1008"/>
        <v>TROCA DE INFORMAÇÃO SUPLEMENTAR DE SAÚDE</v>
      </c>
      <c r="C11617" s="2" t="str">
        <f t="shared" si="1009"/>
        <v>TISS</v>
      </c>
      <c r="D11617" s="2" t="str">
        <f t="shared" si="1009"/>
        <v>TISS</v>
      </c>
      <c r="E11617" s="2" t="str">
        <f>"Rel TISS Desmon Pagamento Versão 4"</f>
        <v>Rel TISS Desmon Pagamento Versão 4</v>
      </c>
      <c r="F11617" s="2" t="str">
        <f>"R_TISS_DEM_PAG_V4"</f>
        <v>R_TISS_DEM_PAG_V4</v>
      </c>
      <c r="G11617" s="2" t="str">
        <f t="shared" si="1010"/>
        <v xml:space="preserve"> ()</v>
      </c>
    </row>
    <row r="11618" spans="1:7" x14ac:dyDescent="0.3">
      <c r="A11618" s="1" t="s">
        <v>4</v>
      </c>
      <c r="B11618" s="2" t="str">
        <f t="shared" si="1008"/>
        <v>TROCA DE INFORMAÇÃO SUPLEMENTAR DE SAÚDE</v>
      </c>
      <c r="C11618" s="2" t="str">
        <f t="shared" ref="C11618:D11637" si="1011">"TISS"</f>
        <v>TISS</v>
      </c>
      <c r="D11618" s="2" t="str">
        <f t="shared" si="1011"/>
        <v>TISS</v>
      </c>
      <c r="E11618" s="2" t="str">
        <f>"Rel TISS Demon Analise Conta Versão 4"</f>
        <v>Rel TISS Demon Analise Conta Versão 4</v>
      </c>
      <c r="F11618" s="2" t="str">
        <f>"R_TISS_DEM_CTA_V4"</f>
        <v>R_TISS_DEM_CTA_V4</v>
      </c>
      <c r="G11618" s="2" t="str">
        <f t="shared" si="1010"/>
        <v xml:space="preserve"> ()</v>
      </c>
    </row>
    <row r="11619" spans="1:7" x14ac:dyDescent="0.3">
      <c r="A11619" s="1" t="s">
        <v>4</v>
      </c>
      <c r="B11619" s="2" t="str">
        <f t="shared" si="1008"/>
        <v>TROCA DE INFORMAÇÃO SUPLEMENTAR DE SAÚDE</v>
      </c>
      <c r="C11619" s="2" t="str">
        <f t="shared" si="1011"/>
        <v>TISS</v>
      </c>
      <c r="D11619" s="2" t="str">
        <f t="shared" si="1011"/>
        <v>TISS</v>
      </c>
      <c r="E11619" s="2" t="str">
        <f>"Relatório Tiss Consulta Versão 4"</f>
        <v>Relatório Tiss Consulta Versão 4</v>
      </c>
      <c r="F11619" s="2" t="str">
        <f>"R_TISS_CONSULTA_V4"</f>
        <v>R_TISS_CONSULTA_V4</v>
      </c>
      <c r="G11619" s="2" t="str">
        <f t="shared" si="1010"/>
        <v xml:space="preserve"> ()</v>
      </c>
    </row>
    <row r="11620" spans="1:7" x14ac:dyDescent="0.3">
      <c r="A11620" s="1" t="s">
        <v>4</v>
      </c>
      <c r="B11620" s="2" t="str">
        <f t="shared" si="1008"/>
        <v>TROCA DE INFORMAÇÃO SUPLEMENTAR DE SAÚDE</v>
      </c>
      <c r="C11620" s="2" t="str">
        <f t="shared" si="1011"/>
        <v>TISS</v>
      </c>
      <c r="D11620" s="2" t="str">
        <f t="shared" si="1011"/>
        <v>TISS</v>
      </c>
      <c r="E11620" s="2" t="str">
        <f>"Relatório TISS SdSadt Versão 3"</f>
        <v>Relatório TISS SdSadt Versão 3</v>
      </c>
      <c r="F11620" s="2" t="str">
        <f>"R_TISS_SP_SADT_V3"</f>
        <v>R_TISS_SP_SADT_V3</v>
      </c>
      <c r="G11620" s="2" t="str">
        <f t="shared" si="1010"/>
        <v xml:space="preserve"> ()</v>
      </c>
    </row>
    <row r="11621" spans="1:7" x14ac:dyDescent="0.3">
      <c r="A11621" s="1" t="s">
        <v>4</v>
      </c>
      <c r="B11621" s="2" t="str">
        <f t="shared" si="1008"/>
        <v>TROCA DE INFORMAÇÃO SUPLEMENTAR DE SAÚDE</v>
      </c>
      <c r="C11621" s="2" t="str">
        <f t="shared" si="1011"/>
        <v>TISS</v>
      </c>
      <c r="D11621" s="2" t="str">
        <f t="shared" si="1011"/>
        <v>TISS</v>
      </c>
      <c r="E11621" s="2" t="str">
        <f>"Relatório TISS SdSadt Direto"</f>
        <v>Relatório TISS SdSadt Direto</v>
      </c>
      <c r="F11621" s="2" t="str">
        <f>"R_TISS_SP_SADT_DIRETO"</f>
        <v>R_TISS_SP_SADT_DIRETO</v>
      </c>
      <c r="G11621" s="2" t="str">
        <f t="shared" si="1010"/>
        <v xml:space="preserve"> ()</v>
      </c>
    </row>
    <row r="11622" spans="1:7" x14ac:dyDescent="0.3">
      <c r="A11622" s="1" t="s">
        <v>4</v>
      </c>
      <c r="B11622" s="2" t="str">
        <f t="shared" si="1008"/>
        <v>TROCA DE INFORMAÇÃO SUPLEMENTAR DE SAÚDE</v>
      </c>
      <c r="C11622" s="2" t="str">
        <f t="shared" si="1011"/>
        <v>TISS</v>
      </c>
      <c r="D11622" s="2" t="str">
        <f t="shared" si="1011"/>
        <v>TISS</v>
      </c>
      <c r="E11622" s="2" t="str">
        <f>"Relatório TISS Ret Rej Protocolo"</f>
        <v>Relatório TISS Ret Rej Protocolo</v>
      </c>
      <c r="F11622" s="2" t="str">
        <f>"R_TISS_RET_REJ_PROTOCOLO"</f>
        <v>R_TISS_RET_REJ_PROTOCOLO</v>
      </c>
      <c r="G11622" s="2" t="str">
        <f t="shared" si="1010"/>
        <v xml:space="preserve"> ()</v>
      </c>
    </row>
    <row r="11623" spans="1:7" x14ac:dyDescent="0.3">
      <c r="A11623" s="1" t="s">
        <v>4</v>
      </c>
      <c r="B11623" s="2" t="str">
        <f t="shared" si="1008"/>
        <v>TROCA DE INFORMAÇÃO SUPLEMENTAR DE SAÚDE</v>
      </c>
      <c r="C11623" s="2" t="str">
        <f t="shared" si="1011"/>
        <v>TISS</v>
      </c>
      <c r="D11623" s="2" t="str">
        <f t="shared" si="1011"/>
        <v>TISS</v>
      </c>
      <c r="E11623" s="2" t="str">
        <f>"Rel TISS Resumo Internação Versão 3"</f>
        <v>Rel TISS Resumo Internação Versão 3</v>
      </c>
      <c r="F11623" s="2" t="str">
        <f>"R_TISS_RES_INT_V3"</f>
        <v>R_TISS_RES_INT_V3</v>
      </c>
      <c r="G11623" s="2" t="str">
        <f t="shared" si="1010"/>
        <v xml:space="preserve"> ()</v>
      </c>
    </row>
    <row r="11624" spans="1:7" x14ac:dyDescent="0.3">
      <c r="A11624" s="1" t="s">
        <v>4</v>
      </c>
      <c r="B11624" s="2" t="str">
        <f t="shared" si="1008"/>
        <v>TROCA DE INFORMAÇÃO SUPLEMENTAR DE SAÚDE</v>
      </c>
      <c r="C11624" s="2" t="str">
        <f t="shared" si="1011"/>
        <v>TISS</v>
      </c>
      <c r="D11624" s="2" t="str">
        <f t="shared" si="1011"/>
        <v>TISS</v>
      </c>
      <c r="E11624" s="2" t="str">
        <f>"Relatório TISS Resumo Internação Direto"</f>
        <v>Relatório TISS Resumo Internação Direto</v>
      </c>
      <c r="F11624" s="2" t="str">
        <f>"R_TISS_RES_INT_DIRETO"</f>
        <v>R_TISS_RES_INT_DIRETO</v>
      </c>
      <c r="G11624" s="2" t="str">
        <f t="shared" si="1010"/>
        <v xml:space="preserve"> ()</v>
      </c>
    </row>
    <row r="11625" spans="1:7" x14ac:dyDescent="0.3">
      <c r="A11625" s="1" t="s">
        <v>4</v>
      </c>
      <c r="B11625" s="2" t="str">
        <f t="shared" si="1008"/>
        <v>TROCA DE INFORMAÇÃO SUPLEMENTAR DE SAÚDE</v>
      </c>
      <c r="C11625" s="2" t="str">
        <f t="shared" si="1011"/>
        <v>TISS</v>
      </c>
      <c r="D11625" s="2" t="str">
        <f t="shared" si="1011"/>
        <v>TISS</v>
      </c>
      <c r="E11625" s="2" t="str">
        <f>"Relatório TISS Resumo Internação"</f>
        <v>Relatório TISS Resumo Internação</v>
      </c>
      <c r="F11625" s="2" t="str">
        <f>"R_TISS_RES_INT"</f>
        <v>R_TISS_RES_INT</v>
      </c>
      <c r="G11625" s="2" t="str">
        <f t="shared" si="1010"/>
        <v xml:space="preserve"> ()</v>
      </c>
    </row>
    <row r="11626" spans="1:7" x14ac:dyDescent="0.3">
      <c r="A11626" s="1" t="s">
        <v>4</v>
      </c>
      <c r="B11626" s="2" t="str">
        <f t="shared" si="1008"/>
        <v>TROCA DE INFORMAÇÃO SUPLEMENTAR DE SAÚDE</v>
      </c>
      <c r="C11626" s="2" t="str">
        <f t="shared" si="1011"/>
        <v>TISS</v>
      </c>
      <c r="D11626" s="2" t="str">
        <f t="shared" si="1011"/>
        <v>TISS</v>
      </c>
      <c r="E11626" s="2" t="str">
        <f>"Relatório TISS Remessa Gerada"</f>
        <v>Relatório TISS Remessa Gerada</v>
      </c>
      <c r="F11626" s="2" t="str">
        <f>"R_TISS_REMESSA_GERADA"</f>
        <v>R_TISS_REMESSA_GERADA</v>
      </c>
      <c r="G11626" s="2" t="str">
        <f t="shared" si="1010"/>
        <v xml:space="preserve"> ()</v>
      </c>
    </row>
    <row r="11627" spans="1:7" x14ac:dyDescent="0.3">
      <c r="A11627" s="1" t="s">
        <v>4</v>
      </c>
      <c r="B11627" s="2" t="str">
        <f t="shared" si="1008"/>
        <v>TROCA DE INFORMAÇÃO SUPLEMENTAR DE SAÚDE</v>
      </c>
      <c r="C11627" s="2" t="str">
        <f t="shared" si="1011"/>
        <v>TISS</v>
      </c>
      <c r="D11627" s="2" t="str">
        <f t="shared" si="1011"/>
        <v>TISS</v>
      </c>
      <c r="E11627" s="2" t="str">
        <f>"Relatório TISS Recurso Glosas Versão 3"</f>
        <v>Relatório TISS Recurso Glosas Versão 3</v>
      </c>
      <c r="F11627" s="2" t="str">
        <f>"R_TISS_REC_GLOSAS_V3"</f>
        <v>R_TISS_REC_GLOSAS_V3</v>
      </c>
      <c r="G11627" s="2" t="str">
        <f t="shared" si="1010"/>
        <v xml:space="preserve"> ()</v>
      </c>
    </row>
    <row r="11628" spans="1:7" x14ac:dyDescent="0.3">
      <c r="A11628" s="1" t="s">
        <v>4</v>
      </c>
      <c r="B11628" s="2" t="str">
        <f t="shared" si="1008"/>
        <v>TROCA DE INFORMAÇÃO SUPLEMENTAR DE SAÚDE</v>
      </c>
      <c r="C11628" s="2" t="str">
        <f t="shared" si="1011"/>
        <v>TISS</v>
      </c>
      <c r="D11628" s="2" t="str">
        <f t="shared" si="1011"/>
        <v>TISS</v>
      </c>
      <c r="E11628" s="2" t="str">
        <f>"Rel TISS Solicitação Rádio Versão 303"</f>
        <v>Rel TISS Solicitação Rádio Versão 303</v>
      </c>
      <c r="F11628" s="2" t="str">
        <f>"R_TISS_RADIO_SOL_V303"</f>
        <v>R_TISS_RADIO_SOL_V303</v>
      </c>
      <c r="G11628" s="2" t="str">
        <f t="shared" si="1010"/>
        <v xml:space="preserve"> ()</v>
      </c>
    </row>
    <row r="11629" spans="1:7" x14ac:dyDescent="0.3">
      <c r="A11629" s="1" t="s">
        <v>4</v>
      </c>
      <c r="B11629" s="2" t="str">
        <f t="shared" si="1008"/>
        <v>TROCA DE INFORMAÇÃO SUPLEMENTAR DE SAÚDE</v>
      </c>
      <c r="C11629" s="2" t="str">
        <f t="shared" si="1011"/>
        <v>TISS</v>
      </c>
      <c r="D11629" s="2" t="str">
        <f t="shared" si="1011"/>
        <v>TISS</v>
      </c>
      <c r="E11629" s="2" t="str">
        <f>"Rel TISS Solicitação Rádio Versão 3"</f>
        <v>Rel TISS Solicitação Rádio Versão 3</v>
      </c>
      <c r="F11629" s="2" t="str">
        <f>"R_TISS_RADIO_SOL_V3"</f>
        <v>R_TISS_RADIO_SOL_V3</v>
      </c>
      <c r="G11629" s="2" t="str">
        <f t="shared" si="1010"/>
        <v xml:space="preserve"> ()</v>
      </c>
    </row>
    <row r="11630" spans="1:7" x14ac:dyDescent="0.3">
      <c r="A11630" s="1" t="s">
        <v>4</v>
      </c>
      <c r="B11630" s="2" t="str">
        <f t="shared" si="1008"/>
        <v>TROCA DE INFORMAÇÃO SUPLEMENTAR DE SAÚDE</v>
      </c>
      <c r="C11630" s="2" t="str">
        <f t="shared" si="1011"/>
        <v>TISS</v>
      </c>
      <c r="D11630" s="2" t="str">
        <f t="shared" si="1011"/>
        <v>TISS</v>
      </c>
      <c r="E11630" s="2" t="str">
        <f>"Rel TISS Solicitação Químio Versão 303"</f>
        <v>Rel TISS Solicitação Químio Versão 303</v>
      </c>
      <c r="F11630" s="2" t="str">
        <f>"R_TISS_QUIMIO_SOL_V303"</f>
        <v>R_TISS_QUIMIO_SOL_V303</v>
      </c>
      <c r="G11630" s="2" t="str">
        <f t="shared" si="1010"/>
        <v xml:space="preserve"> ()</v>
      </c>
    </row>
    <row r="11631" spans="1:7" x14ac:dyDescent="0.3">
      <c r="A11631" s="1" t="s">
        <v>4</v>
      </c>
      <c r="B11631" s="2" t="str">
        <f t="shared" si="1008"/>
        <v>TROCA DE INFORMAÇÃO SUPLEMENTAR DE SAÚDE</v>
      </c>
      <c r="C11631" s="2" t="str">
        <f t="shared" si="1011"/>
        <v>TISS</v>
      </c>
      <c r="D11631" s="2" t="str">
        <f t="shared" si="1011"/>
        <v>TISS</v>
      </c>
      <c r="E11631" s="2" t="str">
        <f>"Rel TISS Solicitação Químio Versão 3"</f>
        <v>Rel TISS Solicitação Químio Versão 3</v>
      </c>
      <c r="F11631" s="2" t="str">
        <f>"R_TISS_QUIMIO_SOL_V3"</f>
        <v>R_TISS_QUIMIO_SOL_V3</v>
      </c>
      <c r="G11631" s="2" t="str">
        <f t="shared" si="1010"/>
        <v xml:space="preserve"> ()</v>
      </c>
    </row>
    <row r="11632" spans="1:7" x14ac:dyDescent="0.3">
      <c r="A11632" s="1" t="s">
        <v>4</v>
      </c>
      <c r="B11632" s="2" t="str">
        <f t="shared" si="1008"/>
        <v>TROCA DE INFORMAÇÃO SUPLEMENTAR DE SAÚDE</v>
      </c>
      <c r="C11632" s="2" t="str">
        <f t="shared" si="1011"/>
        <v>TISS</v>
      </c>
      <c r="D11632" s="2" t="str">
        <f t="shared" si="1011"/>
        <v>TISS</v>
      </c>
      <c r="E11632" s="2" t="str">
        <f>"Rel TISS Sol Prorrogação Int Versão 3"</f>
        <v>Rel TISS Sol Prorrogação Int Versão 3</v>
      </c>
      <c r="F11632" s="2" t="str">
        <f>"R_TISS_PRO_INT_SOL_V3"</f>
        <v>R_TISS_PRO_INT_SOL_V3</v>
      </c>
      <c r="G11632" s="2" t="str">
        <f t="shared" si="1010"/>
        <v xml:space="preserve"> ()</v>
      </c>
    </row>
    <row r="11633" spans="1:7" x14ac:dyDescent="0.3">
      <c r="A11633" s="1" t="s">
        <v>4</v>
      </c>
      <c r="B11633" s="2" t="str">
        <f t="shared" si="1008"/>
        <v>TROCA DE INFORMAÇÃO SUPLEMENTAR DE SAÚDE</v>
      </c>
      <c r="C11633" s="2" t="str">
        <f t="shared" si="1011"/>
        <v>TISS</v>
      </c>
      <c r="D11633" s="2" t="str">
        <f t="shared" si="1011"/>
        <v>TISS</v>
      </c>
      <c r="E11633" s="2" t="str">
        <f>"Relatório TISS Outras Despesas Versão 3"</f>
        <v>Relatório TISS Outras Despesas Versão 3</v>
      </c>
      <c r="F11633" s="2" t="str">
        <f>"R_TISS_OUT_DESP_V3"</f>
        <v>R_TISS_OUT_DESP_V3</v>
      </c>
      <c r="G11633" s="2" t="str">
        <f t="shared" si="1010"/>
        <v xml:space="preserve"> ()</v>
      </c>
    </row>
    <row r="11634" spans="1:7" x14ac:dyDescent="0.3">
      <c r="A11634" s="1" t="s">
        <v>4</v>
      </c>
      <c r="B11634" s="2" t="str">
        <f t="shared" si="1008"/>
        <v>TROCA DE INFORMAÇÃO SUPLEMENTAR DE SAÚDE</v>
      </c>
      <c r="C11634" s="2" t="str">
        <f t="shared" si="1011"/>
        <v>TISS</v>
      </c>
      <c r="D11634" s="2" t="str">
        <f t="shared" si="1011"/>
        <v>TISS</v>
      </c>
      <c r="E11634" s="2" t="str">
        <f>"Relatório TISS Outras Despesas Direto"</f>
        <v>Relatório TISS Outras Despesas Direto</v>
      </c>
      <c r="F11634" s="2" t="str">
        <f>"R_TISS_OUT_DESP_DIRETO"</f>
        <v>R_TISS_OUT_DESP_DIRETO</v>
      </c>
      <c r="G11634" s="2" t="str">
        <f t="shared" si="1010"/>
        <v xml:space="preserve"> ()</v>
      </c>
    </row>
    <row r="11635" spans="1:7" x14ac:dyDescent="0.3">
      <c r="A11635" s="1" t="s">
        <v>4</v>
      </c>
      <c r="B11635" s="2" t="str">
        <f t="shared" si="1008"/>
        <v>TROCA DE INFORMAÇÃO SUPLEMENTAR DE SAÚDE</v>
      </c>
      <c r="C11635" s="2" t="str">
        <f t="shared" si="1011"/>
        <v>TISS</v>
      </c>
      <c r="D11635" s="2" t="str">
        <f t="shared" si="1011"/>
        <v>TISS</v>
      </c>
      <c r="E11635" s="2" t="str">
        <f>"Relatório TISS Solicitação OPME Versão 3"</f>
        <v>Relatório TISS Solicitação OPME Versão 3</v>
      </c>
      <c r="F11635" s="2" t="str">
        <f>"R_TISS_OPME_SOL_V3"</f>
        <v>R_TISS_OPME_SOL_V3</v>
      </c>
      <c r="G11635" s="2" t="str">
        <f t="shared" si="1010"/>
        <v xml:space="preserve"> ()</v>
      </c>
    </row>
    <row r="11636" spans="1:7" x14ac:dyDescent="0.3">
      <c r="A11636" s="1" t="s">
        <v>4</v>
      </c>
      <c r="B11636" s="2" t="str">
        <f t="shared" si="1008"/>
        <v>TROCA DE INFORMAÇÃO SUPLEMENTAR DE SAÚDE</v>
      </c>
      <c r="C11636" s="2" t="str">
        <f t="shared" si="1011"/>
        <v>TISS</v>
      </c>
      <c r="D11636" s="2" t="str">
        <f t="shared" si="1011"/>
        <v>TISS</v>
      </c>
      <c r="E11636" s="2" t="str">
        <f>"Rel TISS Solicitação Internação Versão 3"</f>
        <v>Rel TISS Solicitação Internação Versão 3</v>
      </c>
      <c r="F11636" s="2" t="str">
        <f>"R_TISS_INT_SOL_V3"</f>
        <v>R_TISS_INT_SOL_V3</v>
      </c>
      <c r="G11636" s="2" t="str">
        <f t="shared" si="1010"/>
        <v xml:space="preserve"> ()</v>
      </c>
    </row>
    <row r="11637" spans="1:7" x14ac:dyDescent="0.3">
      <c r="A11637" s="1" t="s">
        <v>4</v>
      </c>
      <c r="B11637" s="2" t="str">
        <f t="shared" si="1008"/>
        <v>TROCA DE INFORMAÇÃO SUPLEMENTAR DE SAÚDE</v>
      </c>
      <c r="C11637" s="2" t="str">
        <f t="shared" si="1011"/>
        <v>TISS</v>
      </c>
      <c r="D11637" s="2" t="str">
        <f t="shared" si="1011"/>
        <v>TISS</v>
      </c>
      <c r="E11637" s="2" t="str">
        <f>"Rel TISS Honorários Individual Versão 3"</f>
        <v>Rel TISS Honorários Individual Versão 3</v>
      </c>
      <c r="F11637" s="2" t="str">
        <f>"R_TISS_HON_IND_V3"</f>
        <v>R_TISS_HON_IND_V3</v>
      </c>
      <c r="G11637" s="2" t="str">
        <f t="shared" si="1010"/>
        <v xml:space="preserve"> ()</v>
      </c>
    </row>
    <row r="11638" spans="1:7" x14ac:dyDescent="0.3">
      <c r="A11638" s="1" t="s">
        <v>4</v>
      </c>
      <c r="B11638" s="2" t="str">
        <f t="shared" si="1008"/>
        <v>TROCA DE INFORMAÇÃO SUPLEMENTAR DE SAÚDE</v>
      </c>
      <c r="C11638" s="2" t="str">
        <f t="shared" ref="C11638:D11657" si="1012">"TISS"</f>
        <v>TISS</v>
      </c>
      <c r="D11638" s="2" t="str">
        <f t="shared" si="1012"/>
        <v>TISS</v>
      </c>
      <c r="E11638" s="2" t="str">
        <f>"Rel TISS Honorários Individual Direto"</f>
        <v>Rel TISS Honorários Individual Direto</v>
      </c>
      <c r="F11638" s="2" t="str">
        <f>"R_TISS_HON_IND_DIRETO"</f>
        <v>R_TISS_HON_IND_DIRETO</v>
      </c>
      <c r="G11638" s="2" t="str">
        <f t="shared" si="1010"/>
        <v xml:space="preserve"> ()</v>
      </c>
    </row>
    <row r="11639" spans="1:7" x14ac:dyDescent="0.3">
      <c r="A11639" s="1" t="s">
        <v>4</v>
      </c>
      <c r="B11639" s="2" t="str">
        <f t="shared" si="1008"/>
        <v>TROCA DE INFORMAÇÃO SUPLEMENTAR DE SAÚDE</v>
      </c>
      <c r="C11639" s="2" t="str">
        <f t="shared" si="1012"/>
        <v>TISS</v>
      </c>
      <c r="D11639" s="2" t="str">
        <f t="shared" si="1012"/>
        <v>TISS</v>
      </c>
      <c r="E11639" s="2" t="str">
        <f>"Relatório TISS Honorários Individual"</f>
        <v>Relatório TISS Honorários Individual</v>
      </c>
      <c r="F11639" s="2" t="str">
        <f>"R_TISS_HON_IND"</f>
        <v>R_TISS_HON_IND</v>
      </c>
      <c r="G11639" s="2" t="str">
        <f t="shared" si="1010"/>
        <v xml:space="preserve"> ()</v>
      </c>
    </row>
    <row r="11640" spans="1:7" x14ac:dyDescent="0.3">
      <c r="A11640" s="1" t="s">
        <v>4</v>
      </c>
      <c r="B11640" s="2" t="str">
        <f t="shared" si="1008"/>
        <v>TROCA DE INFORMAÇÃO SUPLEMENTAR DE SAÚDE</v>
      </c>
      <c r="C11640" s="2" t="str">
        <f t="shared" si="1012"/>
        <v>TISS</v>
      </c>
      <c r="D11640" s="2" t="str">
        <f t="shared" si="1012"/>
        <v>TISS</v>
      </c>
      <c r="E11640" s="2" t="str">
        <f>"Relatório TISS Falha Importação"</f>
        <v>Relatório TISS Falha Importação</v>
      </c>
      <c r="F11640" s="2" t="str">
        <f>"R_TISS_FALHA_IMP"</f>
        <v>R_TISS_FALHA_IMP</v>
      </c>
      <c r="G11640" s="2" t="str">
        <f t="shared" si="1010"/>
        <v xml:space="preserve"> ()</v>
      </c>
    </row>
    <row r="11641" spans="1:7" x14ac:dyDescent="0.3">
      <c r="A11641" s="1" t="s">
        <v>4</v>
      </c>
      <c r="B11641" s="2" t="str">
        <f t="shared" si="1008"/>
        <v>TROCA DE INFORMAÇÃO SUPLEMENTAR DE SAÚDE</v>
      </c>
      <c r="C11641" s="2" t="str">
        <f t="shared" si="1012"/>
        <v>TISS</v>
      </c>
      <c r="D11641" s="2" t="str">
        <f t="shared" si="1012"/>
        <v>TISS</v>
      </c>
      <c r="E11641" s="2" t="str">
        <f>"Rel TISS Desmon Pagamento Versão 3"</f>
        <v>Rel TISS Desmon Pagamento Versão 3</v>
      </c>
      <c r="F11641" s="2" t="str">
        <f>"R_TISS_DEM_PAG_V3"</f>
        <v>R_TISS_DEM_PAG_V3</v>
      </c>
      <c r="G11641" s="2" t="str">
        <f t="shared" si="1010"/>
        <v xml:space="preserve"> ()</v>
      </c>
    </row>
    <row r="11642" spans="1:7" x14ac:dyDescent="0.3">
      <c r="A11642" s="1" t="s">
        <v>4</v>
      </c>
      <c r="B11642" s="2" t="str">
        <f t="shared" si="1008"/>
        <v>TROCA DE INFORMAÇÃO SUPLEMENTAR DE SAÚDE</v>
      </c>
      <c r="C11642" s="2" t="str">
        <f t="shared" si="1012"/>
        <v>TISS</v>
      </c>
      <c r="D11642" s="2" t="str">
        <f t="shared" si="1012"/>
        <v>TISS</v>
      </c>
      <c r="E11642" s="2" t="str">
        <f>"Rel TISS Demon Analise Conta Versão 3"</f>
        <v>Rel TISS Demon Analise Conta Versão 3</v>
      </c>
      <c r="F11642" s="2" t="str">
        <f>"R_TISS_DEM_CTA_V3"</f>
        <v>R_TISS_DEM_CTA_V3</v>
      </c>
      <c r="G11642" s="2" t="str">
        <f t="shared" si="1010"/>
        <v xml:space="preserve"> ()</v>
      </c>
    </row>
    <row r="11643" spans="1:7" x14ac:dyDescent="0.3">
      <c r="A11643" s="1" t="s">
        <v>4</v>
      </c>
      <c r="B11643" s="2" t="str">
        <f t="shared" si="1008"/>
        <v>TROCA DE INFORMAÇÃO SUPLEMENTAR DE SAÚDE</v>
      </c>
      <c r="C11643" s="2" t="str">
        <f t="shared" si="1012"/>
        <v>TISS</v>
      </c>
      <c r="D11643" s="2" t="str">
        <f t="shared" si="1012"/>
        <v>TISS</v>
      </c>
      <c r="E11643" s="2" t="str">
        <f>"Relatório Tiss Consulta Versão 3"</f>
        <v>Relatório Tiss Consulta Versão 3</v>
      </c>
      <c r="F11643" s="2" t="str">
        <f>"R_TISS_CONSULTA_V3"</f>
        <v>R_TISS_CONSULTA_V3</v>
      </c>
      <c r="G11643" s="2" t="str">
        <f t="shared" si="1010"/>
        <v xml:space="preserve"> ()</v>
      </c>
    </row>
    <row r="11644" spans="1:7" x14ac:dyDescent="0.3">
      <c r="A11644" s="1" t="s">
        <v>4</v>
      </c>
      <c r="B11644" s="2" t="str">
        <f t="shared" si="1008"/>
        <v>TROCA DE INFORMAÇÃO SUPLEMENTAR DE SAÚDE</v>
      </c>
      <c r="C11644" s="2" t="str">
        <f t="shared" si="1012"/>
        <v>TISS</v>
      </c>
      <c r="D11644" s="2" t="str">
        <f t="shared" si="1012"/>
        <v>TISS</v>
      </c>
      <c r="E11644" s="2" t="str">
        <f>"Relatório TISS Consulta Direto"</f>
        <v>Relatório TISS Consulta Direto</v>
      </c>
      <c r="F11644" s="2" t="str">
        <f>"R_TISS_CONSULTA_DIRETO"</f>
        <v>R_TISS_CONSULTA_DIRETO</v>
      </c>
      <c r="G11644" s="2" t="str">
        <f t="shared" si="1010"/>
        <v xml:space="preserve"> ()</v>
      </c>
    </row>
    <row r="11645" spans="1:7" x14ac:dyDescent="0.3">
      <c r="A11645" s="1" t="s">
        <v>4</v>
      </c>
      <c r="B11645" s="2" t="str">
        <f t="shared" si="1008"/>
        <v>TROCA DE INFORMAÇÃO SUPLEMENTAR DE SAÚDE</v>
      </c>
      <c r="C11645" s="2" t="str">
        <f t="shared" si="1012"/>
        <v>TISS</v>
      </c>
      <c r="D11645" s="2" t="str">
        <f t="shared" si="1012"/>
        <v>TISS</v>
      </c>
      <c r="E11645" s="2" t="str">
        <f>"Relatório TISS Consulta"</f>
        <v>Relatório TISS Consulta</v>
      </c>
      <c r="F11645" s="2" t="str">
        <f>"R_TISS_CONSULTA"</f>
        <v>R_TISS_CONSULTA</v>
      </c>
      <c r="G11645" s="2" t="str">
        <f t="shared" si="1010"/>
        <v xml:space="preserve"> ()</v>
      </c>
    </row>
    <row r="11646" spans="1:7" x14ac:dyDescent="0.3">
      <c r="A11646" s="1" t="s">
        <v>4</v>
      </c>
      <c r="B11646" s="2" t="str">
        <f t="shared" si="1008"/>
        <v>TROCA DE INFORMAÇÃO SUPLEMENTAR DE SAÚDE</v>
      </c>
      <c r="C11646" s="2" t="str">
        <f t="shared" si="1012"/>
        <v>TISS</v>
      </c>
      <c r="D11646" s="2" t="str">
        <f t="shared" si="1012"/>
        <v>TISS</v>
      </c>
      <c r="E11646" s="2" t="str">
        <f>"Relatório Guia TISS Outras despesas"</f>
        <v>Relatório Guia TISS Outras despesas</v>
      </c>
      <c r="F11646" s="2" t="str">
        <f>"R_GUIA_TISS_OUT_DESPESAS"</f>
        <v>R_GUIA_TISS_OUT_DESPESAS</v>
      </c>
      <c r="G11646" s="2" t="str">
        <f t="shared" si="1010"/>
        <v xml:space="preserve"> ()</v>
      </c>
    </row>
    <row r="11647" spans="1:7" x14ac:dyDescent="0.3">
      <c r="A11647" s="1" t="s">
        <v>4</v>
      </c>
      <c r="B11647" s="2" t="str">
        <f t="shared" si="1008"/>
        <v>TROCA DE INFORMAÇÃO SUPLEMENTAR DE SAÚDE</v>
      </c>
      <c r="C11647" s="2" t="str">
        <f t="shared" si="1012"/>
        <v>TISS</v>
      </c>
      <c r="D11647" s="2" t="str">
        <f t="shared" si="1012"/>
        <v>TISS</v>
      </c>
      <c r="E11647" s="2" t="str">
        <f>"Relatório Guia TISS Consulta"</f>
        <v>Relatório Guia TISS Consulta</v>
      </c>
      <c r="F11647" s="2" t="str">
        <f>"R_GUIA_TISS_CONSULTA"</f>
        <v>R_GUIA_TISS_CONSULTA</v>
      </c>
      <c r="G11647" s="2" t="str">
        <f t="shared" si="1010"/>
        <v xml:space="preserve"> ()</v>
      </c>
    </row>
    <row r="11648" spans="1:7" x14ac:dyDescent="0.3">
      <c r="A11648" s="1" t="s">
        <v>4</v>
      </c>
      <c r="B11648" s="2" t="str">
        <f t="shared" si="1008"/>
        <v>TROCA DE INFORMAÇÃO SUPLEMENTAR DE SAÚDE</v>
      </c>
      <c r="C11648" s="2" t="str">
        <f t="shared" si="1012"/>
        <v>TISS</v>
      </c>
      <c r="D11648" s="2" t="str">
        <f t="shared" si="1012"/>
        <v>TISS</v>
      </c>
      <c r="E11648" s="2" t="str">
        <f>"Editor de Guias TISS do Faturamento"</f>
        <v>Editor de Guias TISS do Faturamento</v>
      </c>
      <c r="F11648" s="2" t="str">
        <f>"M_TISS_FATURAMENTO"</f>
        <v>M_TISS_FATURAMENTO</v>
      </c>
      <c r="G11648" s="2" t="str">
        <f t="shared" si="1010"/>
        <v xml:space="preserve"> ()</v>
      </c>
    </row>
    <row r="11649" spans="1:7" x14ac:dyDescent="0.3">
      <c r="A11649" s="1" t="s">
        <v>4</v>
      </c>
      <c r="B11649" s="2" t="str">
        <f t="shared" si="1008"/>
        <v>TROCA DE INFORMAÇÃO SUPLEMENTAR DE SAÚDE</v>
      </c>
      <c r="C11649" s="2" t="str">
        <f t="shared" si="1012"/>
        <v>TISS</v>
      </c>
      <c r="D11649" s="2" t="str">
        <f t="shared" si="1012"/>
        <v>TISS</v>
      </c>
      <c r="E11649" s="2" t="str">
        <f>"M_SITE_RETORNO_EVENTO"</f>
        <v>M_SITE_RETORNO_EVENTO</v>
      </c>
      <c r="F11649" s="2" t="str">
        <f>"M_SITE_RETORNO_EVENTO"</f>
        <v>M_SITE_RETORNO_EVENTO</v>
      </c>
      <c r="G11649" s="2" t="str">
        <f t="shared" si="1010"/>
        <v xml:space="preserve"> ()</v>
      </c>
    </row>
    <row r="11650" spans="1:7" x14ac:dyDescent="0.3">
      <c r="A11650" s="1" t="s">
        <v>4</v>
      </c>
      <c r="B11650" s="2" t="str">
        <f t="shared" si="1008"/>
        <v>TROCA DE INFORMAÇÃO SUPLEMENTAR DE SAÚDE</v>
      </c>
      <c r="C11650" s="2" t="str">
        <f t="shared" si="1012"/>
        <v>TISS</v>
      </c>
      <c r="D11650" s="2" t="str">
        <f t="shared" si="1012"/>
        <v>TISS</v>
      </c>
      <c r="E11650" s="2" t="str">
        <f>"Certificado Digital"</f>
        <v>Certificado Digital</v>
      </c>
      <c r="F11650" s="2" t="str">
        <f>"M_SITE_CERTIFICADO_DIGITAL"</f>
        <v>M_SITE_CERTIFICADO_DIGITAL</v>
      </c>
      <c r="G11650" s="2" t="str">
        <f t="shared" si="1010"/>
        <v xml:space="preserve"> ()</v>
      </c>
    </row>
    <row r="11651" spans="1:7" x14ac:dyDescent="0.3">
      <c r="A11651" s="1" t="s">
        <v>4</v>
      </c>
      <c r="B11651" s="2" t="str">
        <f t="shared" si="1008"/>
        <v>TROCA DE INFORMAÇÃO SUPLEMENTAR DE SAÚDE</v>
      </c>
      <c r="C11651" s="2" t="str">
        <f t="shared" si="1012"/>
        <v>TISS</v>
      </c>
      <c r="D11651" s="2" t="str">
        <f t="shared" si="1012"/>
        <v>TISS</v>
      </c>
      <c r="E11651" s="2" t="str">
        <f>"Configuração de convênio Orizon"</f>
        <v>Configuração de convênio Orizon</v>
      </c>
      <c r="F11651" s="2" t="str">
        <f>"M_COMPLEMENTA_GUIA_TISS"</f>
        <v>M_COMPLEMENTA_GUIA_TISS</v>
      </c>
      <c r="G11651" s="2" t="str">
        <f t="shared" si="1010"/>
        <v xml:space="preserve"> ()</v>
      </c>
    </row>
    <row r="11652" spans="1:7" x14ac:dyDescent="0.3">
      <c r="A11652" s="1" t="s">
        <v>4</v>
      </c>
      <c r="B11652" s="2" t="str">
        <f t="shared" si="1008"/>
        <v>TROCA DE INFORMAÇÃO SUPLEMENTAR DE SAÚDE</v>
      </c>
      <c r="C11652" s="2" t="str">
        <f t="shared" si="1012"/>
        <v>TISS</v>
      </c>
      <c r="D11652" s="2" t="str">
        <f t="shared" si="1012"/>
        <v>TISS</v>
      </c>
      <c r="E11652" s="2" t="str">
        <f>"Configuração de comunicação TISS V3"</f>
        <v>Configuração de comunicação TISS V3</v>
      </c>
      <c r="F11652" s="2" t="str">
        <f>"M_SITE_INTEGRA_CONVENIO"</f>
        <v>M_SITE_INTEGRA_CONVENIO</v>
      </c>
      <c r="G11652" s="2" t="str">
        <f>"Faturamento / Faturamento de Convênios e Particulares / Configurações / Configuração de Comunicação TISS V3 (M_SITE_INTEGRA_CONVENIO)"</f>
        <v>Faturamento / Faturamento de Convênios e Particulares / Configurações / Configuração de Comunicação TISS V3 (M_SITE_INTEGRA_CONVENIO)</v>
      </c>
    </row>
    <row r="11653" spans="1:7" x14ac:dyDescent="0.3">
      <c r="A11653" s="1" t="s">
        <v>4</v>
      </c>
      <c r="B11653" s="2" t="str">
        <f t="shared" si="1008"/>
        <v>TROCA DE INFORMAÇÃO SUPLEMENTAR DE SAÚDE</v>
      </c>
      <c r="C11653" s="2" t="str">
        <f t="shared" si="1012"/>
        <v>TISS</v>
      </c>
      <c r="D11653" s="2" t="str">
        <f t="shared" si="1012"/>
        <v>TISS</v>
      </c>
      <c r="E11653" s="2" t="str">
        <f>"Relatório Guia TISS SpSadt"</f>
        <v>Relatório Guia TISS SpSadt</v>
      </c>
      <c r="F11653" s="2" t="str">
        <f>"R_GUIA_TISS_SP_SADT"</f>
        <v>R_GUIA_TISS_SP_SADT</v>
      </c>
      <c r="G11653" s="2" t="str">
        <f>" ()"</f>
        <v xml:space="preserve"> ()</v>
      </c>
    </row>
    <row r="11654" spans="1:7" x14ac:dyDescent="0.3">
      <c r="A11654" s="1" t="s">
        <v>4</v>
      </c>
      <c r="B11654" s="2" t="str">
        <f t="shared" si="1008"/>
        <v>TROCA DE INFORMAÇÃO SUPLEMENTAR DE SAÚDE</v>
      </c>
      <c r="C11654" s="2" t="str">
        <f t="shared" si="1012"/>
        <v>TISS</v>
      </c>
      <c r="D11654" s="2" t="str">
        <f t="shared" si="1012"/>
        <v>TISS</v>
      </c>
      <c r="E11654" s="2" t="str">
        <f>"Relatório TISS Outras Despesas"</f>
        <v>Relatório TISS Outras Despesas</v>
      </c>
      <c r="F11654" s="2" t="str">
        <f>"R_TISS_OUT_DESP"</f>
        <v>R_TISS_OUT_DESP</v>
      </c>
      <c r="G11654" s="2" t="str">
        <f>" ()"</f>
        <v xml:space="preserve"> ()</v>
      </c>
    </row>
    <row r="11655" spans="1:7" x14ac:dyDescent="0.3">
      <c r="A11655" s="1" t="s">
        <v>4</v>
      </c>
      <c r="B11655" s="2" t="str">
        <f t="shared" si="1008"/>
        <v>TROCA DE INFORMAÇÃO SUPLEMENTAR DE SAÚDE</v>
      </c>
      <c r="C11655" s="2" t="str">
        <f t="shared" si="1012"/>
        <v>TISS</v>
      </c>
      <c r="D11655" s="2" t="str">
        <f t="shared" si="1012"/>
        <v>TISS</v>
      </c>
      <c r="E11655" s="2" t="str">
        <f>"Relatório TISS SdSadt"</f>
        <v>Relatório TISS SdSadt</v>
      </c>
      <c r="F11655" s="2" t="str">
        <f>"R_TISS_SP_SADT"</f>
        <v>R_TISS_SP_SADT</v>
      </c>
      <c r="G11655" s="2" t="str">
        <f>" ()"</f>
        <v xml:space="preserve"> ()</v>
      </c>
    </row>
    <row r="11656" spans="1:7" x14ac:dyDescent="0.3">
      <c r="A11656" s="1" t="s">
        <v>4</v>
      </c>
      <c r="B11656" s="2" t="str">
        <f t="shared" si="1008"/>
        <v>TROCA DE INFORMAÇÃO SUPLEMENTAR DE SAÚDE</v>
      </c>
      <c r="C11656" s="2" t="str">
        <f t="shared" si="1012"/>
        <v>TISS</v>
      </c>
      <c r="D11656" s="2" t="str">
        <f t="shared" si="1012"/>
        <v>TISS</v>
      </c>
      <c r="E11656" s="2" t="str">
        <f>"Rel Guia TISS Solicitação Internação"</f>
        <v>Rel Guia TISS Solicitação Internação</v>
      </c>
      <c r="F11656" s="2" t="str">
        <f>"R_GUIA_TISS_SOLIC_INTER"</f>
        <v>R_GUIA_TISS_SOLIC_INTER</v>
      </c>
      <c r="G11656" s="2" t="str">
        <f>" ()"</f>
        <v xml:space="preserve"> ()</v>
      </c>
    </row>
    <row r="11657" spans="1:7" x14ac:dyDescent="0.3">
      <c r="A11657" s="1" t="s">
        <v>4</v>
      </c>
      <c r="B11657" s="2" t="str">
        <f t="shared" si="1008"/>
        <v>TROCA DE INFORMAÇÃO SUPLEMENTAR DE SAÚDE</v>
      </c>
      <c r="C11657" s="2" t="str">
        <f t="shared" si="1012"/>
        <v>TISS</v>
      </c>
      <c r="D11657" s="2" t="str">
        <f t="shared" si="1012"/>
        <v>TISS</v>
      </c>
      <c r="E11657" s="2" t="str">
        <f>"CADASTRO E RELACIONAMENTOS TUSS"</f>
        <v>CADASTRO E RELACIONAMENTOS TUSS</v>
      </c>
      <c r="F11657" s="2" t="str">
        <f>"M_TUSS_FFCV"</f>
        <v>M_TUSS_FFCV</v>
      </c>
      <c r="G11657" s="2" t="str">
        <f>"Faturamento / Faturamento de Convênios e Particulares / Tabelas / Formas de Apresentação / TUSS (RN-305) (M_TUSS_FFCV)"</f>
        <v>Faturamento / Faturamento de Convênios e Particulares / Tabelas / Formas de Apresentação / TUSS (RN-305) (M_TUSS_FFCV)</v>
      </c>
    </row>
    <row r="11658" spans="1:7" x14ac:dyDescent="0.3">
      <c r="A11658" s="1" t="s">
        <v>4</v>
      </c>
      <c r="B11658" s="2" t="str">
        <f t="shared" si="1008"/>
        <v>TROCA DE INFORMAÇÃO SUPLEMENTAR DE SAÚDE</v>
      </c>
      <c r="C11658" s="2" t="str">
        <f t="shared" ref="C11658:D11673" si="1013">"TISS"</f>
        <v>TISS</v>
      </c>
      <c r="D11658" s="2" t="str">
        <f t="shared" si="1013"/>
        <v>TISS</v>
      </c>
      <c r="E11658" s="2" t="str">
        <f>"Solicitação/Autorização de Guias TISS"</f>
        <v>Solicitação/Autorização de Guias TISS</v>
      </c>
      <c r="F11658" s="2" t="str">
        <f>"M_TISS_SOLICITACAO"</f>
        <v>M_TISS_SOLICITACAO</v>
      </c>
      <c r="G11658" s="2" t="str">
        <f>"Solicitação TISS (M_TISS_SOLICITACAO)"</f>
        <v>Solicitação TISS (M_TISS_SOLICITACAO)</v>
      </c>
    </row>
    <row r="11659" spans="1:7" x14ac:dyDescent="0.3">
      <c r="A11659" s="1" t="s">
        <v>4</v>
      </c>
      <c r="B11659" s="2" t="str">
        <f t="shared" si="1008"/>
        <v>TROCA DE INFORMAÇÃO SUPLEMENTAR DE SAÚDE</v>
      </c>
      <c r="C11659" s="2" t="str">
        <f t="shared" si="1013"/>
        <v>TISS</v>
      </c>
      <c r="D11659" s="2" t="str">
        <f t="shared" si="1013"/>
        <v>TISS</v>
      </c>
      <c r="E11659" s="2" t="str">
        <f>"Configurações da TISS"</f>
        <v>Configurações da TISS</v>
      </c>
      <c r="F11659" s="2" t="str">
        <f>"M_TISS_CONFIGURACAO"</f>
        <v>M_TISS_CONFIGURACAO</v>
      </c>
      <c r="G11659" s="2" t="str">
        <f>" ()"</f>
        <v xml:space="preserve"> ()</v>
      </c>
    </row>
    <row r="11660" spans="1:7" x14ac:dyDescent="0.3">
      <c r="A11660" s="1" t="s">
        <v>4</v>
      </c>
      <c r="B11660" s="2" t="str">
        <f t="shared" si="1008"/>
        <v>TROCA DE INFORMAÇÃO SUPLEMENTAR DE SAÚDE</v>
      </c>
      <c r="C11660" s="2" t="str">
        <f t="shared" si="1013"/>
        <v>TISS</v>
      </c>
      <c r="D11660" s="2" t="str">
        <f t="shared" si="1013"/>
        <v>TISS</v>
      </c>
      <c r="E11660" s="2" t="str">
        <f>"IMP RECEBIMENTO TISS"</f>
        <v>IMP RECEBIMENTO TISS</v>
      </c>
      <c r="F11660" s="2" t="str">
        <f>"O_IMP_REC_TISS_V3"</f>
        <v>O_IMP_REC_TISS_V3</v>
      </c>
      <c r="G11660" s="2" t="str">
        <f>"Faturamento / Faturamento de Convênios e Particulares / Lançamentos / Controle TISS / Quitação (O_IMP_REC_TISS_V3)"</f>
        <v>Faturamento / Faturamento de Convênios e Particulares / Lançamentos / Controle TISS / Quitação (O_IMP_REC_TISS_V3)</v>
      </c>
    </row>
    <row r="11661" spans="1:7" x14ac:dyDescent="0.3">
      <c r="A11661" s="1" t="s">
        <v>4</v>
      </c>
      <c r="B11661" s="2" t="str">
        <f t="shared" si="1008"/>
        <v>TROCA DE INFORMAÇÃO SUPLEMENTAR DE SAÚDE</v>
      </c>
      <c r="C11661" s="2" t="str">
        <f t="shared" si="1013"/>
        <v>TISS</v>
      </c>
      <c r="D11661" s="2" t="str">
        <f t="shared" si="1013"/>
        <v>TISS</v>
      </c>
      <c r="E11661" s="2" t="str">
        <f>"Importação de arquivos XML"</f>
        <v>Importação de arquivos XML</v>
      </c>
      <c r="F11661" s="2" t="str">
        <f>"M_TISS_IMPORTACAO"</f>
        <v>M_TISS_IMPORTACAO</v>
      </c>
      <c r="G11661" s="2" t="str">
        <f>"Faturamento / Faturamento de Convênios e Particulares / Lançamentos / Serviços Tiss / Importação de Recebimentos (M_TISS_IMPORTACAO)"</f>
        <v>Faturamento / Faturamento de Convênios e Particulares / Lançamentos / Serviços Tiss / Importação de Recebimentos (M_TISS_IMPORTACAO)</v>
      </c>
    </row>
    <row r="11662" spans="1:7" x14ac:dyDescent="0.3">
      <c r="A11662" s="1" t="s">
        <v>4</v>
      </c>
      <c r="B11662" s="2" t="str">
        <f t="shared" ref="B11662:B11673" si="1014">"TROCA DE INFORMAÇÃO SUPLEMENTAR DE SAÚDE"</f>
        <v>TROCA DE INFORMAÇÃO SUPLEMENTAR DE SAÚDE</v>
      </c>
      <c r="C11662" s="2" t="str">
        <f t="shared" si="1013"/>
        <v>TISS</v>
      </c>
      <c r="D11662" s="2" t="str">
        <f t="shared" si="1013"/>
        <v>TISS</v>
      </c>
      <c r="E11662" s="2" t="str">
        <f>"Importação de arquivos XML"</f>
        <v>Importação de arquivos XML</v>
      </c>
      <c r="F11662" s="2" t="str">
        <f>"M_TISS_IMPORTACAO"</f>
        <v>M_TISS_IMPORTACAO</v>
      </c>
      <c r="G11662" s="2" t="str">
        <f>"Faturamento / Faturamento de Convênios e Particulares / Lançamentos / Controle TISS / Importação (M_TISS_IMPORTACAO)"</f>
        <v>Faturamento / Faturamento de Convênios e Particulares / Lançamentos / Controle TISS / Importação (M_TISS_IMPORTACAO)</v>
      </c>
    </row>
    <row r="11663" spans="1:7" x14ac:dyDescent="0.3">
      <c r="A11663" s="1" t="s">
        <v>4</v>
      </c>
      <c r="B11663" s="2" t="str">
        <f t="shared" si="1014"/>
        <v>TROCA DE INFORMAÇÃO SUPLEMENTAR DE SAÚDE</v>
      </c>
      <c r="C11663" s="2" t="str">
        <f t="shared" si="1013"/>
        <v>TISS</v>
      </c>
      <c r="D11663" s="2" t="str">
        <f t="shared" si="1013"/>
        <v>TISS</v>
      </c>
      <c r="E11663" s="2" t="str">
        <f>"Notificação de Internação / Alta - TISS"</f>
        <v>Notificação de Internação / Alta - TISS</v>
      </c>
      <c r="F11663" s="2" t="str">
        <f>"M_TISS_NOTIFICACAO_INTERNACAO"</f>
        <v>M_TISS_NOTIFICACAO_INTERNACAO</v>
      </c>
      <c r="G11663" s="2" t="str">
        <f>"Faturamento / Faturamento de Convênios e Particulares / Lançamentos / Serviços Tiss / Comunicação de Internação e Alta (M_TISS_NOTIFICACAO_INTERNACAO)"</f>
        <v>Faturamento / Faturamento de Convênios e Particulares / Lançamentos / Serviços Tiss / Comunicação de Internação e Alta (M_TISS_NOTIFICACAO_INTERNACAO)</v>
      </c>
    </row>
    <row r="11664" spans="1:7" x14ac:dyDescent="0.3">
      <c r="A11664" s="1" t="s">
        <v>4</v>
      </c>
      <c r="B11664" s="2" t="str">
        <f t="shared" si="1014"/>
        <v>TROCA DE INFORMAÇÃO SUPLEMENTAR DE SAÚDE</v>
      </c>
      <c r="C11664" s="2" t="str">
        <f t="shared" si="1013"/>
        <v>TISS</v>
      </c>
      <c r="D11664" s="2" t="str">
        <f t="shared" si="1013"/>
        <v>TISS</v>
      </c>
      <c r="E11664" s="2" t="str">
        <f>"Notificação de Internação / Alta - TISS"</f>
        <v>Notificação de Internação / Alta - TISS</v>
      </c>
      <c r="F11664" s="2" t="str">
        <f>"M_TISS_NOTIFICACAO_INTERNACAO"</f>
        <v>M_TISS_NOTIFICACAO_INTERNACAO</v>
      </c>
      <c r="G11664" s="2" t="str">
        <f>"Faturamento / Faturamento de Convênios e Particulares / Consultas / Notificação de Internação / Alta TISS (M_TISS_NOTIFICACAO_INTERNACAO)"</f>
        <v>Faturamento / Faturamento de Convênios e Particulares / Consultas / Notificação de Internação / Alta TISS (M_TISS_NOTIFICACAO_INTERNACAO)</v>
      </c>
    </row>
    <row r="11665" spans="1:7" x14ac:dyDescent="0.3">
      <c r="A11665" s="1" t="s">
        <v>4</v>
      </c>
      <c r="B11665" s="2" t="str">
        <f t="shared" si="1014"/>
        <v>TROCA DE INFORMAÇÃO SUPLEMENTAR DE SAÚDE</v>
      </c>
      <c r="C11665" s="2" t="str">
        <f t="shared" si="1013"/>
        <v>TISS</v>
      </c>
      <c r="D11665" s="2" t="str">
        <f t="shared" si="1013"/>
        <v>TISS</v>
      </c>
      <c r="E11665" s="2" t="str">
        <f>"Configuração de Proxy TISS V3"</f>
        <v>Configuração de Proxy TISS V3</v>
      </c>
      <c r="F11665" s="2" t="str">
        <f>"M_SITE_PROXY"</f>
        <v>M_SITE_PROXY</v>
      </c>
      <c r="G11665" s="2" t="str">
        <f>"Faturamento / Faturamento de Convênios e Particulares / Configurações / Configuração de Proxy TISS V3 (M_SITE_PROXY)"</f>
        <v>Faturamento / Faturamento de Convênios e Particulares / Configurações / Configuração de Proxy TISS V3 (M_SITE_PROXY)</v>
      </c>
    </row>
    <row r="11666" spans="1:7" x14ac:dyDescent="0.3">
      <c r="A11666" s="1" t="s">
        <v>4</v>
      </c>
      <c r="B11666" s="2" t="str">
        <f t="shared" si="1014"/>
        <v>TROCA DE INFORMAÇÃO SUPLEMENTAR DE SAÚDE</v>
      </c>
      <c r="C11666" s="2" t="str">
        <f t="shared" si="1013"/>
        <v>TISS</v>
      </c>
      <c r="D11666" s="2" t="str">
        <f t="shared" si="1013"/>
        <v>TISS</v>
      </c>
      <c r="E11666" s="2" t="str">
        <f>"WIN_PRINCIPAL"</f>
        <v>WIN_PRINCIPAL</v>
      </c>
      <c r="F11666" s="2" t="str">
        <f>"O_IMP_TUSS"</f>
        <v>O_IMP_TUSS</v>
      </c>
      <c r="G11666" s="2" t="str">
        <f>"Faturamento / Faturamento de Convênios e Particulares / Importações / Importação do TUSS (O_IMP_TUSS)"</f>
        <v>Faturamento / Faturamento de Convênios e Particulares / Importações / Importação do TUSS (O_IMP_TUSS)</v>
      </c>
    </row>
    <row r="11667" spans="1:7" x14ac:dyDescent="0.3">
      <c r="A11667" s="1" t="s">
        <v>4</v>
      </c>
      <c r="B11667" s="2" t="str">
        <f t="shared" si="1014"/>
        <v>TROCA DE INFORMAÇÃO SUPLEMENTAR DE SAÚDE</v>
      </c>
      <c r="C11667" s="2" t="str">
        <f t="shared" si="1013"/>
        <v>TISS</v>
      </c>
      <c r="D11667" s="2" t="str">
        <f t="shared" si="1013"/>
        <v>TISS</v>
      </c>
      <c r="E11667" s="2" t="str">
        <f>"Versionamento do TISS"</f>
        <v>Versionamento do TISS</v>
      </c>
      <c r="F11667" s="2" t="str">
        <f>"M_TISS_VERSAO"</f>
        <v>M_TISS_VERSAO</v>
      </c>
      <c r="G11667" s="2" t="str">
        <f>"Faturamento / Faturamento de Convênios e Particulares / Configurações / Versões do TISS (M_TISS_VERSAO)"</f>
        <v>Faturamento / Faturamento de Convênios e Particulares / Configurações / Versões do TISS (M_TISS_VERSAO)</v>
      </c>
    </row>
    <row r="11668" spans="1:7" x14ac:dyDescent="0.3">
      <c r="A11668" s="1" t="s">
        <v>4</v>
      </c>
      <c r="B11668" s="2" t="str">
        <f t="shared" si="1014"/>
        <v>TROCA DE INFORMAÇÃO SUPLEMENTAR DE SAÚDE</v>
      </c>
      <c r="C11668" s="2" t="str">
        <f t="shared" si="1013"/>
        <v>TISS</v>
      </c>
      <c r="D11668" s="2" t="str">
        <f t="shared" si="1013"/>
        <v>TISS</v>
      </c>
      <c r="E11668" s="2" t="str">
        <f>"CONFIGURAÇÕES DO TISS POR CONVÊNIO"</f>
        <v>CONFIGURAÇÕES DO TISS POR CONVÊNIO</v>
      </c>
      <c r="F11668" s="2" t="str">
        <f>"M_CONVENIO_CONF_TISS"</f>
        <v>M_CONVENIO_CONF_TISS</v>
      </c>
      <c r="G11668" s="2" t="str">
        <f>"Faturamento / Faturamento de Convênios e Particulares / Configurações / Configurações do TISS por Convênio (M_CONVENIO_CONF_TISS)"</f>
        <v>Faturamento / Faturamento de Convênios e Particulares / Configurações / Configurações do TISS por Convênio (M_CONVENIO_CONF_TISS)</v>
      </c>
    </row>
    <row r="11669" spans="1:7" x14ac:dyDescent="0.3">
      <c r="A11669" s="1" t="s">
        <v>4</v>
      </c>
      <c r="B11669" s="2" t="str">
        <f t="shared" si="1014"/>
        <v>TROCA DE INFORMAÇÃO SUPLEMENTAR DE SAÚDE</v>
      </c>
      <c r="C11669" s="2" t="str">
        <f t="shared" si="1013"/>
        <v>TISS</v>
      </c>
      <c r="D11669" s="2" t="str">
        <f t="shared" si="1013"/>
        <v>TISS</v>
      </c>
      <c r="E11669" s="2" t="str">
        <f>"IMP RECEBIMENTO TISS"</f>
        <v>IMP RECEBIMENTO TISS</v>
      </c>
      <c r="F11669" s="2" t="str">
        <f>"O_IMP_REC_TISS"</f>
        <v>O_IMP_REC_TISS</v>
      </c>
      <c r="G11669" s="2" t="str">
        <f>"Faturamento / Faturamento de Convênios e Particulares / Importações / Importação de Recebimentos do TISS (O_IMP_REC_TISS)"</f>
        <v>Faturamento / Faturamento de Convênios e Particulares / Importações / Importação de Recebimentos do TISS (O_IMP_REC_TISS)</v>
      </c>
    </row>
    <row r="11670" spans="1:7" x14ac:dyDescent="0.3">
      <c r="A11670" s="1" t="s">
        <v>4</v>
      </c>
      <c r="B11670" s="2" t="str">
        <f t="shared" si="1014"/>
        <v>TROCA DE INFORMAÇÃO SUPLEMENTAR DE SAÚDE</v>
      </c>
      <c r="C11670" s="2" t="str">
        <f t="shared" si="1013"/>
        <v>TISS</v>
      </c>
      <c r="D11670" s="2" t="str">
        <f t="shared" si="1013"/>
        <v>TISS</v>
      </c>
      <c r="E11670" s="2" t="str">
        <f>"Solicitação/Autorização de Guias TISS"</f>
        <v>Solicitação/Autorização de Guias TISS</v>
      </c>
      <c r="F11670" s="2" t="str">
        <f>"M_SOLICITA_AUTORIZACAO"</f>
        <v>M_SOLICITA_AUTORIZACAO</v>
      </c>
      <c r="G11670" s="2" t="str">
        <f>"MVSaude / Vendas / Internação / Solicitações / Autorização de Guias (M_SOLICITA_AUTORIZACAO)"</f>
        <v>MVSaude / Vendas / Internação / Solicitações / Autorização de Guias (M_SOLICITA_AUTORIZACAO)</v>
      </c>
    </row>
    <row r="11671" spans="1:7" x14ac:dyDescent="0.3">
      <c r="A11671" s="1" t="s">
        <v>4</v>
      </c>
      <c r="B11671" s="2" t="str">
        <f t="shared" si="1014"/>
        <v>TROCA DE INFORMAÇÃO SUPLEMENTAR DE SAÚDE</v>
      </c>
      <c r="C11671" s="2" t="str">
        <f t="shared" si="1013"/>
        <v>TISS</v>
      </c>
      <c r="D11671" s="2" t="str">
        <f t="shared" si="1013"/>
        <v>TISS</v>
      </c>
      <c r="E11671" s="2" t="str">
        <f>"Solicitação/Autorização de Guias TISS"</f>
        <v>Solicitação/Autorização de Guias TISS</v>
      </c>
      <c r="F11671" s="2" t="str">
        <f>"M_SOLICITA_AUTORIZACAO"</f>
        <v>M_SOLICITA_AUTORIZACAO</v>
      </c>
      <c r="G11671" s="2" t="str">
        <f>"MVSaude / Atendimento / Autorizações de Guias / Internação / Solicitações / Autorização de Guias (M_SOLICITA_AUTORIZACAO)"</f>
        <v>MVSaude / Atendimento / Autorizações de Guias / Internação / Solicitações / Autorização de Guias (M_SOLICITA_AUTORIZACAO)</v>
      </c>
    </row>
    <row r="11672" spans="1:7" x14ac:dyDescent="0.3">
      <c r="A11672" s="1" t="s">
        <v>4</v>
      </c>
      <c r="B11672" s="2" t="str">
        <f t="shared" si="1014"/>
        <v>TROCA DE INFORMAÇÃO SUPLEMENTAR DE SAÚDE</v>
      </c>
      <c r="C11672" s="2" t="str">
        <f t="shared" si="1013"/>
        <v>TISS</v>
      </c>
      <c r="D11672" s="2" t="str">
        <f t="shared" si="1013"/>
        <v>TISS</v>
      </c>
      <c r="E11672" s="2" t="str">
        <f>"Solicitação/Autorização de Guias TISS"</f>
        <v>Solicitação/Autorização de Guias TISS</v>
      </c>
      <c r="F11672" s="2" t="str">
        <f>"M_SOLICITA_AUTORIZACAO"</f>
        <v>M_SOLICITA_AUTORIZACAO</v>
      </c>
      <c r="G11672" s="2" t="str">
        <f>"Faturamento / Faturamento de Convênios e Particulares / Solicitações / Autorização de Guias (M_SOLICITA_AUTORIZACAO)"</f>
        <v>Faturamento / Faturamento de Convênios e Particulares / Solicitações / Autorização de Guias (M_SOLICITA_AUTORIZACAO)</v>
      </c>
    </row>
    <row r="11673" spans="1:7" x14ac:dyDescent="0.3">
      <c r="A11673" s="1" t="s">
        <v>4</v>
      </c>
      <c r="B11673" s="2" t="str">
        <f t="shared" si="1014"/>
        <v>TROCA DE INFORMAÇÃO SUPLEMENTAR DE SAÚDE</v>
      </c>
      <c r="C11673" s="2" t="str">
        <f t="shared" si="1013"/>
        <v>TISS</v>
      </c>
      <c r="D11673" s="2" t="str">
        <f t="shared" si="1013"/>
        <v>TISS</v>
      </c>
      <c r="E11673" s="2" t="str">
        <f>"Monitoração de Guias TISS do Faturamento"</f>
        <v>Monitoração de Guias TISS do Faturamento</v>
      </c>
      <c r="F11673" s="2" t="str">
        <f>"M_TISS_STATUS_PROTOCOLO"</f>
        <v>M_TISS_STATUS_PROTOCOLO</v>
      </c>
      <c r="G11673" s="2" t="str">
        <f>"Faturamento / Faturamento de Convênios e Particulares / Lançamentos / Monitoração de Faturamento - TISS (M_TISS_STATUS_PROTOCOLO)"</f>
        <v>Faturamento / Faturamento de Convênios e Particulares / Lançamentos / Monitoração de Faturamento - TISS (M_TISS_STATUS_PROTOCOLO)</v>
      </c>
    </row>
    <row r="11674" spans="1:7" x14ac:dyDescent="0.3">
      <c r="A11674" s="1" t="s">
        <v>4</v>
      </c>
      <c r="B11674" s="2" t="str">
        <f t="shared" ref="B11674:B11679" si="1015">"SISTEMAS MV2000"</f>
        <v>SISTEMAS MV2000</v>
      </c>
      <c r="C11674" s="2" t="str">
        <f>""</f>
        <v/>
      </c>
      <c r="D11674" s="2" t="str">
        <f t="shared" ref="D11674:D11679" si="1016">"TODOS"</f>
        <v>TODOS</v>
      </c>
      <c r="E11674" s="2" t="str">
        <f>"R_ETIQUETA005_ARGOX"</f>
        <v>R_ETIQUETA005_ARGOX</v>
      </c>
      <c r="F11674" s="2" t="str">
        <f>"R_ETIQUETA005_ARGOX"</f>
        <v>R_ETIQUETA005_ARGOX</v>
      </c>
      <c r="G11674" s="2" t="str">
        <f t="shared" ref="G11674:G11707" si="1017">" ()"</f>
        <v xml:space="preserve"> ()</v>
      </c>
    </row>
    <row r="11675" spans="1:7" x14ac:dyDescent="0.3">
      <c r="A11675" s="1" t="s">
        <v>4</v>
      </c>
      <c r="B11675" s="2" t="str">
        <f t="shared" si="1015"/>
        <v>SISTEMAS MV2000</v>
      </c>
      <c r="C11675" s="2" t="str">
        <f>""</f>
        <v/>
      </c>
      <c r="D11675" s="2" t="str">
        <f t="shared" si="1016"/>
        <v>TODOS</v>
      </c>
      <c r="E11675" s="2" t="str">
        <f>"TODOS"</f>
        <v>TODOS</v>
      </c>
      <c r="F11675" s="2" t="str">
        <f>"TODOS"</f>
        <v>TODOS</v>
      </c>
      <c r="G11675" s="2" t="str">
        <f t="shared" si="1017"/>
        <v xml:space="preserve"> ()</v>
      </c>
    </row>
    <row r="11676" spans="1:7" x14ac:dyDescent="0.3">
      <c r="A11676" s="1" t="s">
        <v>4</v>
      </c>
      <c r="B11676" s="2" t="str">
        <f t="shared" si="1015"/>
        <v>SISTEMAS MV2000</v>
      </c>
      <c r="C11676" s="2" t="str">
        <f>""</f>
        <v/>
      </c>
      <c r="D11676" s="2" t="str">
        <f t="shared" si="1016"/>
        <v>TODOS</v>
      </c>
      <c r="E11676" s="2" t="str">
        <f>"R_DEVOLVE_PRESC_PBSA_900.RDF"</f>
        <v>R_DEVOLVE_PRESC_PBSA_900.RDF</v>
      </c>
      <c r="F11676" s="2" t="str">
        <f>"R_DEVOLVE_PRESC_PBSA_900.RDF"</f>
        <v>R_DEVOLVE_PRESC_PBSA_900.RDF</v>
      </c>
      <c r="G11676" s="2" t="str">
        <f t="shared" si="1017"/>
        <v xml:space="preserve"> ()</v>
      </c>
    </row>
    <row r="11677" spans="1:7" x14ac:dyDescent="0.3">
      <c r="A11677" s="1" t="s">
        <v>4</v>
      </c>
      <c r="B11677" s="2" t="str">
        <f t="shared" si="1015"/>
        <v>SISTEMAS MV2000</v>
      </c>
      <c r="C11677" s="2" t="str">
        <f>""</f>
        <v/>
      </c>
      <c r="D11677" s="2" t="str">
        <f t="shared" si="1016"/>
        <v>TODOS</v>
      </c>
      <c r="E11677" s="2" t="str">
        <f>"R_CONFIRMA_AVISO_900"</f>
        <v>R_CONFIRMA_AVISO_900</v>
      </c>
      <c r="F11677" s="2" t="str">
        <f>"R_CONFIRMA_AVISO_900"</f>
        <v>R_CONFIRMA_AVISO_900</v>
      </c>
      <c r="G11677" s="2" t="str">
        <f t="shared" si="1017"/>
        <v xml:space="preserve"> ()</v>
      </c>
    </row>
    <row r="11678" spans="1:7" x14ac:dyDescent="0.3">
      <c r="A11678" s="1" t="s">
        <v>4</v>
      </c>
      <c r="B11678" s="2" t="str">
        <f t="shared" si="1015"/>
        <v>SISTEMAS MV2000</v>
      </c>
      <c r="C11678" s="2" t="str">
        <f>""</f>
        <v/>
      </c>
      <c r="D11678" s="2" t="str">
        <f t="shared" si="1016"/>
        <v>TODOS</v>
      </c>
      <c r="E11678" s="2" t="str">
        <f>"R_DEVOLVE_PRESC_PBSA_900"</f>
        <v>R_DEVOLVE_PRESC_PBSA_900</v>
      </c>
      <c r="F11678" s="2" t="str">
        <f>"R_DEVOLVE_PRESC_PBSA_900"</f>
        <v>R_DEVOLVE_PRESC_PBSA_900</v>
      </c>
      <c r="G11678" s="2" t="str">
        <f t="shared" si="1017"/>
        <v xml:space="preserve"> ()</v>
      </c>
    </row>
    <row r="11679" spans="1:7" x14ac:dyDescent="0.3">
      <c r="A11679" s="1" t="s">
        <v>4</v>
      </c>
      <c r="B11679" s="2" t="str">
        <f t="shared" si="1015"/>
        <v>SISTEMAS MV2000</v>
      </c>
      <c r="C11679" s="2" t="str">
        <f>""</f>
        <v/>
      </c>
      <c r="D11679" s="2" t="str">
        <f t="shared" si="1016"/>
        <v>TODOS</v>
      </c>
      <c r="E11679" s="2" t="str">
        <f>"R_ETIQUETA005_ARGOX_URG"</f>
        <v>R_ETIQUETA005_ARGOX_URG</v>
      </c>
      <c r="F11679" s="2" t="str">
        <f>"R_ETIQUETA005_ARGOX_URG"</f>
        <v>R_ETIQUETA005_ARGOX_URG</v>
      </c>
      <c r="G11679" s="2" t="str">
        <f t="shared" si="1017"/>
        <v xml:space="preserve"> ()</v>
      </c>
    </row>
    <row r="11680" spans="1:7" x14ac:dyDescent="0.3">
      <c r="A11680" s="1" t="s">
        <v>4</v>
      </c>
      <c r="B11680" s="2" t="str">
        <f t="shared" ref="B11680:B11705" si="1018">"T10G"</f>
        <v>T10G</v>
      </c>
      <c r="C11680" s="2" t="str">
        <f>""</f>
        <v/>
      </c>
      <c r="D11680" s="2" t="str">
        <f t="shared" ref="D11680:D11705" si="1019">"T10G"</f>
        <v>T10G</v>
      </c>
      <c r="E11680" s="2" t="str">
        <f>"TELA DE LOGON"</f>
        <v>TELA DE LOGON</v>
      </c>
      <c r="F11680" s="2" t="str">
        <f>"LOGON"</f>
        <v>LOGON</v>
      </c>
      <c r="G11680" s="2" t="str">
        <f t="shared" si="1017"/>
        <v xml:space="preserve"> ()</v>
      </c>
    </row>
    <row r="11681" spans="1:7" x14ac:dyDescent="0.3">
      <c r="A11681" s="1" t="s">
        <v>4</v>
      </c>
      <c r="B11681" s="2" t="str">
        <f t="shared" si="1018"/>
        <v>T10G</v>
      </c>
      <c r="C11681" s="2" t="str">
        <f>""</f>
        <v/>
      </c>
      <c r="D11681" s="2" t="str">
        <f t="shared" si="1019"/>
        <v>T10G</v>
      </c>
      <c r="E11681" s="2" t="str">
        <f>"MVNEWS"</f>
        <v>MVNEWS</v>
      </c>
      <c r="F11681" s="2" t="str">
        <f>"MVNEWS"</f>
        <v>MVNEWS</v>
      </c>
      <c r="G11681" s="2" t="str">
        <f t="shared" si="1017"/>
        <v xml:space="preserve"> ()</v>
      </c>
    </row>
    <row r="11682" spans="1:7" x14ac:dyDescent="0.3">
      <c r="A11682" s="1" t="s">
        <v>4</v>
      </c>
      <c r="B11682" s="2" t="str">
        <f t="shared" si="1018"/>
        <v>T10G</v>
      </c>
      <c r="C11682" s="2" t="str">
        <f>""</f>
        <v/>
      </c>
      <c r="D11682" s="2" t="str">
        <f t="shared" si="1019"/>
        <v>T10G</v>
      </c>
      <c r="E11682" s="2" t="str">
        <f>"CRMI_CARTOES"</f>
        <v>CRMI_CARTOES</v>
      </c>
      <c r="F11682" s="2" t="str">
        <f>"CRMI_CARTOES"</f>
        <v>CRMI_CARTOES</v>
      </c>
      <c r="G11682" s="2" t="str">
        <f t="shared" si="1017"/>
        <v xml:space="preserve"> ()</v>
      </c>
    </row>
    <row r="11683" spans="1:7" x14ac:dyDescent="0.3">
      <c r="A11683" s="1" t="s">
        <v>4</v>
      </c>
      <c r="B11683" s="2" t="str">
        <f t="shared" si="1018"/>
        <v>T10G</v>
      </c>
      <c r="C11683" s="2" t="str">
        <f>""</f>
        <v/>
      </c>
      <c r="D11683" s="2" t="str">
        <f t="shared" si="1019"/>
        <v>T10G</v>
      </c>
      <c r="E11683" s="2" t="str">
        <f>"AVISOMVNEWS"</f>
        <v>AVISOMVNEWS</v>
      </c>
      <c r="F11683" s="2" t="str">
        <f>"AVISOMVNEWS"</f>
        <v>AVISOMVNEWS</v>
      </c>
      <c r="G11683" s="2" t="str">
        <f t="shared" si="1017"/>
        <v xml:space="preserve"> ()</v>
      </c>
    </row>
    <row r="11684" spans="1:7" x14ac:dyDescent="0.3">
      <c r="A11684" s="1" t="s">
        <v>4</v>
      </c>
      <c r="B11684" s="2" t="str">
        <f t="shared" si="1018"/>
        <v>T10G</v>
      </c>
      <c r="C11684" s="2" t="str">
        <f>""</f>
        <v/>
      </c>
      <c r="D11684" s="2" t="str">
        <f t="shared" si="1019"/>
        <v>T10G</v>
      </c>
      <c r="E11684" s="2" t="str">
        <f>"TESTEANDRE"</f>
        <v>TESTEANDRE</v>
      </c>
      <c r="F11684" s="2" t="str">
        <f>"TESTEANDRE"</f>
        <v>TESTEANDRE</v>
      </c>
      <c r="G11684" s="2" t="str">
        <f t="shared" si="1017"/>
        <v xml:space="preserve"> ()</v>
      </c>
    </row>
    <row r="11685" spans="1:7" x14ac:dyDescent="0.3">
      <c r="A11685" s="1" t="s">
        <v>4</v>
      </c>
      <c r="B11685" s="2" t="str">
        <f t="shared" si="1018"/>
        <v>T10G</v>
      </c>
      <c r="C11685" s="2" t="str">
        <f>""</f>
        <v/>
      </c>
      <c r="D11685" s="2" t="str">
        <f t="shared" si="1019"/>
        <v>T10G</v>
      </c>
      <c r="E11685" s="2" t="str">
        <f>"RELACIONA_ARQUIVO"</f>
        <v>RELACIONA_ARQUIVO</v>
      </c>
      <c r="F11685" s="2" t="str">
        <f>"RELACIONA_ARQUIVO"</f>
        <v>RELACIONA_ARQUIVO</v>
      </c>
      <c r="G11685" s="2" t="str">
        <f t="shared" si="1017"/>
        <v xml:space="preserve"> ()</v>
      </c>
    </row>
    <row r="11686" spans="1:7" x14ac:dyDescent="0.3">
      <c r="A11686" s="1" t="s">
        <v>4</v>
      </c>
      <c r="B11686" s="2" t="str">
        <f t="shared" si="1018"/>
        <v>T10G</v>
      </c>
      <c r="C11686" s="2" t="str">
        <f>""</f>
        <v/>
      </c>
      <c r="D11686" s="2" t="str">
        <f t="shared" si="1019"/>
        <v>T10G</v>
      </c>
      <c r="E11686" s="2" t="str">
        <f>"REGEDIT"</f>
        <v>REGEDIT</v>
      </c>
      <c r="F11686" s="2" t="str">
        <f>"REGEDIT"</f>
        <v>REGEDIT</v>
      </c>
      <c r="G11686" s="2" t="str">
        <f t="shared" si="1017"/>
        <v xml:space="preserve"> ()</v>
      </c>
    </row>
    <row r="11687" spans="1:7" x14ac:dyDescent="0.3">
      <c r="A11687" s="1" t="s">
        <v>4</v>
      </c>
      <c r="B11687" s="2" t="str">
        <f t="shared" si="1018"/>
        <v>T10G</v>
      </c>
      <c r="C11687" s="2" t="str">
        <f>""</f>
        <v/>
      </c>
      <c r="D11687" s="2" t="str">
        <f t="shared" si="1019"/>
        <v>T10G</v>
      </c>
      <c r="E11687" s="2" t="str">
        <f>"PRODCOMP"</f>
        <v>PRODCOMP</v>
      </c>
      <c r="F11687" s="2" t="str">
        <f>"PRODCOMP"</f>
        <v>PRODCOMP</v>
      </c>
      <c r="G11687" s="2" t="str">
        <f t="shared" si="1017"/>
        <v xml:space="preserve"> ()</v>
      </c>
    </row>
    <row r="11688" spans="1:7" x14ac:dyDescent="0.3">
      <c r="A11688" s="1" t="s">
        <v>4</v>
      </c>
      <c r="B11688" s="2" t="str">
        <f t="shared" si="1018"/>
        <v>T10G</v>
      </c>
      <c r="C11688" s="2" t="str">
        <f>""</f>
        <v/>
      </c>
      <c r="D11688" s="2" t="str">
        <f t="shared" si="1019"/>
        <v>T10G</v>
      </c>
      <c r="E11688" s="2" t="str">
        <f>"PADRAO_DIALOG"</f>
        <v>PADRAO_DIALOG</v>
      </c>
      <c r="F11688" s="2" t="str">
        <f>"PADRAO_DIALOG"</f>
        <v>PADRAO_DIALOG</v>
      </c>
      <c r="G11688" s="2" t="str">
        <f t="shared" si="1017"/>
        <v xml:space="preserve"> ()</v>
      </c>
    </row>
    <row r="11689" spans="1:7" x14ac:dyDescent="0.3">
      <c r="A11689" s="1" t="s">
        <v>4</v>
      </c>
      <c r="B11689" s="2" t="str">
        <f t="shared" si="1018"/>
        <v>T10G</v>
      </c>
      <c r="C11689" s="2" t="str">
        <f>""</f>
        <v/>
      </c>
      <c r="D11689" s="2" t="str">
        <f t="shared" si="1019"/>
        <v>T10G</v>
      </c>
      <c r="E11689" s="2" t="str">
        <f>"M_GRAFICO_PADRAO"</f>
        <v>M_GRAFICO_PADRAO</v>
      </c>
      <c r="F11689" s="2" t="str">
        <f>"M_GRAFICO_PADRAO"</f>
        <v>M_GRAFICO_PADRAO</v>
      </c>
      <c r="G11689" s="2" t="str">
        <f t="shared" si="1017"/>
        <v xml:space="preserve"> ()</v>
      </c>
    </row>
    <row r="11690" spans="1:7" x14ac:dyDescent="0.3">
      <c r="A11690" s="1" t="s">
        <v>4</v>
      </c>
      <c r="B11690" s="2" t="str">
        <f t="shared" si="1018"/>
        <v>T10G</v>
      </c>
      <c r="C11690" s="2" t="str">
        <f>""</f>
        <v/>
      </c>
      <c r="D11690" s="2" t="str">
        <f t="shared" si="1019"/>
        <v>T10G</v>
      </c>
      <c r="E11690" s="2" t="str">
        <f>"MV2000PF_DEV_SEM_CAL"</f>
        <v>MV2000PF_DEV_SEM_CAL</v>
      </c>
      <c r="F11690" s="2" t="str">
        <f>"MV2000PF_DEV_SEM_CAL"</f>
        <v>MV2000PF_DEV_SEM_CAL</v>
      </c>
      <c r="G11690" s="2" t="str">
        <f t="shared" si="1017"/>
        <v xml:space="preserve"> ()</v>
      </c>
    </row>
    <row r="11691" spans="1:7" x14ac:dyDescent="0.3">
      <c r="A11691" s="1" t="s">
        <v>4</v>
      </c>
      <c r="B11691" s="2" t="str">
        <f t="shared" si="1018"/>
        <v>T10G</v>
      </c>
      <c r="C11691" s="2" t="str">
        <f>""</f>
        <v/>
      </c>
      <c r="D11691" s="2" t="str">
        <f t="shared" si="1019"/>
        <v>T10G</v>
      </c>
      <c r="E11691" s="2" t="str">
        <f>"MENSAGEM"</f>
        <v>MENSAGEM</v>
      </c>
      <c r="F11691" s="2" t="str">
        <f>"MENSAGEM"</f>
        <v>MENSAGEM</v>
      </c>
      <c r="G11691" s="2" t="str">
        <f t="shared" si="1017"/>
        <v xml:space="preserve"> ()</v>
      </c>
    </row>
    <row r="11692" spans="1:7" x14ac:dyDescent="0.3">
      <c r="A11692" s="1" t="s">
        <v>4</v>
      </c>
      <c r="B11692" s="2" t="str">
        <f t="shared" si="1018"/>
        <v>T10G</v>
      </c>
      <c r="C11692" s="2" t="str">
        <f>""</f>
        <v/>
      </c>
      <c r="D11692" s="2" t="str">
        <f t="shared" si="1019"/>
        <v>T10G</v>
      </c>
      <c r="E11692" s="2" t="str">
        <f>"L_EMPRESA"</f>
        <v>L_EMPRESA</v>
      </c>
      <c r="F11692" s="2" t="str">
        <f>"L_EMPRESA"</f>
        <v>L_EMPRESA</v>
      </c>
      <c r="G11692" s="2" t="str">
        <f t="shared" si="1017"/>
        <v xml:space="preserve"> ()</v>
      </c>
    </row>
    <row r="11693" spans="1:7" x14ac:dyDescent="0.3">
      <c r="A11693" s="1" t="s">
        <v>4</v>
      </c>
      <c r="B11693" s="2" t="str">
        <f t="shared" si="1018"/>
        <v>T10G</v>
      </c>
      <c r="C11693" s="2" t="str">
        <f>""</f>
        <v/>
      </c>
      <c r="D11693" s="2" t="str">
        <f t="shared" si="1019"/>
        <v>T10G</v>
      </c>
      <c r="E11693" s="2" t="str">
        <f>"LOV_FORM"</f>
        <v>LOV_FORM</v>
      </c>
      <c r="F11693" s="2" t="str">
        <f>"LOV_FORM"</f>
        <v>LOV_FORM</v>
      </c>
      <c r="G11693" s="2" t="str">
        <f t="shared" si="1017"/>
        <v xml:space="preserve"> ()</v>
      </c>
    </row>
    <row r="11694" spans="1:7" x14ac:dyDescent="0.3">
      <c r="A11694" s="1" t="s">
        <v>4</v>
      </c>
      <c r="B11694" s="2" t="str">
        <f t="shared" si="1018"/>
        <v>T10G</v>
      </c>
      <c r="C11694" s="2" t="str">
        <f>""</f>
        <v/>
      </c>
      <c r="D11694" s="2" t="str">
        <f t="shared" si="1019"/>
        <v>T10G</v>
      </c>
      <c r="E11694" s="2" t="str">
        <f>"LOGIN_REF2"</f>
        <v>LOGIN_REF2</v>
      </c>
      <c r="F11694" s="2" t="str">
        <f>"LOGIN_REF2"</f>
        <v>LOGIN_REF2</v>
      </c>
      <c r="G11694" s="2" t="str">
        <f t="shared" si="1017"/>
        <v xml:space="preserve"> ()</v>
      </c>
    </row>
    <row r="11695" spans="1:7" x14ac:dyDescent="0.3">
      <c r="A11695" s="1" t="s">
        <v>4</v>
      </c>
      <c r="B11695" s="2" t="str">
        <f t="shared" si="1018"/>
        <v>T10G</v>
      </c>
      <c r="C11695" s="2" t="str">
        <f>""</f>
        <v/>
      </c>
      <c r="D11695" s="2" t="str">
        <f t="shared" si="1019"/>
        <v>T10G</v>
      </c>
      <c r="E11695" s="2" t="str">
        <f>"LOGIN_REF"</f>
        <v>LOGIN_REF</v>
      </c>
      <c r="F11695" s="2" t="str">
        <f>"LOGIN_REF"</f>
        <v>LOGIN_REF</v>
      </c>
      <c r="G11695" s="2" t="str">
        <f t="shared" si="1017"/>
        <v xml:space="preserve"> ()</v>
      </c>
    </row>
    <row r="11696" spans="1:7" x14ac:dyDescent="0.3">
      <c r="A11696" s="1" t="s">
        <v>4</v>
      </c>
      <c r="B11696" s="2" t="str">
        <f t="shared" si="1018"/>
        <v>T10G</v>
      </c>
      <c r="C11696" s="2" t="str">
        <f>""</f>
        <v/>
      </c>
      <c r="D11696" s="2" t="str">
        <f t="shared" si="1019"/>
        <v>T10G</v>
      </c>
      <c r="E11696" s="2" t="str">
        <f>"HERANCE_OBJECT_MV200"</f>
        <v>HERANCE_OBJECT_MV200</v>
      </c>
      <c r="F11696" s="2" t="str">
        <f>"HERANCE_OBJECT_MV200"</f>
        <v>HERANCE_OBJECT_MV200</v>
      </c>
      <c r="G11696" s="2" t="str">
        <f t="shared" si="1017"/>
        <v xml:space="preserve"> ()</v>
      </c>
    </row>
    <row r="11697" spans="1:7" x14ac:dyDescent="0.3">
      <c r="A11697" s="1" t="s">
        <v>4</v>
      </c>
      <c r="B11697" s="2" t="str">
        <f t="shared" si="1018"/>
        <v>T10G</v>
      </c>
      <c r="C11697" s="2" t="str">
        <f>""</f>
        <v/>
      </c>
      <c r="D11697" s="2" t="str">
        <f t="shared" si="1019"/>
        <v>T10G</v>
      </c>
      <c r="E11697" s="2" t="str">
        <f>"CUSTO_PADRAO"</f>
        <v>CUSTO_PADRAO</v>
      </c>
      <c r="F11697" s="2" t="str">
        <f>"CUSTO_PADRAO"</f>
        <v>CUSTO_PADRAO</v>
      </c>
      <c r="G11697" s="2" t="str">
        <f t="shared" si="1017"/>
        <v xml:space="preserve"> ()</v>
      </c>
    </row>
    <row r="11698" spans="1:7" x14ac:dyDescent="0.3">
      <c r="A11698" s="1" t="s">
        <v>4</v>
      </c>
      <c r="B11698" s="2" t="str">
        <f t="shared" si="1018"/>
        <v>T10G</v>
      </c>
      <c r="C11698" s="2" t="str">
        <f>""</f>
        <v/>
      </c>
      <c r="D11698" s="2" t="str">
        <f t="shared" si="1019"/>
        <v>T10G</v>
      </c>
      <c r="E11698" s="2" t="str">
        <f>"CONFIGURADOR_ACESSO_MV2000"</f>
        <v>CONFIGURADOR_ACESSO_MV2000</v>
      </c>
      <c r="F11698" s="2" t="str">
        <f>"CONFIGURADOR_ACESSO_MV2000"</f>
        <v>CONFIGURADOR_ACESSO_MV2000</v>
      </c>
      <c r="G11698" s="2" t="str">
        <f t="shared" si="1017"/>
        <v xml:space="preserve"> ()</v>
      </c>
    </row>
    <row r="11699" spans="1:7" x14ac:dyDescent="0.3">
      <c r="A11699" s="1" t="s">
        <v>4</v>
      </c>
      <c r="B11699" s="2" t="str">
        <f t="shared" si="1018"/>
        <v>T10G</v>
      </c>
      <c r="C11699" s="2" t="str">
        <f>""</f>
        <v/>
      </c>
      <c r="D11699" s="2" t="str">
        <f t="shared" si="1019"/>
        <v>T10G</v>
      </c>
      <c r="E11699" s="2" t="str">
        <f>"COMP_DADOS_USUARIOS"</f>
        <v>COMP_DADOS_USUARIOS</v>
      </c>
      <c r="F11699" s="2" t="str">
        <f>"COMP_DADOS_USUARIOS"</f>
        <v>COMP_DADOS_USUARIOS</v>
      </c>
      <c r="G11699" s="2" t="str">
        <f t="shared" si="1017"/>
        <v xml:space="preserve"> ()</v>
      </c>
    </row>
    <row r="11700" spans="1:7" x14ac:dyDescent="0.3">
      <c r="A11700" s="1" t="s">
        <v>4</v>
      </c>
      <c r="B11700" s="2" t="str">
        <f t="shared" si="1018"/>
        <v>T10G</v>
      </c>
      <c r="C11700" s="2" t="str">
        <f>""</f>
        <v/>
      </c>
      <c r="D11700" s="2" t="str">
        <f t="shared" si="1019"/>
        <v>T10G</v>
      </c>
      <c r="E11700" s="2" t="str">
        <f>"CALENDARIO"</f>
        <v>CALENDARIO</v>
      </c>
      <c r="F11700" s="2" t="str">
        <f>"CALENDARIO"</f>
        <v>CALENDARIO</v>
      </c>
      <c r="G11700" s="2" t="str">
        <f t="shared" si="1017"/>
        <v xml:space="preserve"> ()</v>
      </c>
    </row>
    <row r="11701" spans="1:7" x14ac:dyDescent="0.3">
      <c r="A11701" s="1" t="s">
        <v>4</v>
      </c>
      <c r="B11701" s="2" t="str">
        <f t="shared" si="1018"/>
        <v>T10G</v>
      </c>
      <c r="C11701" s="2" t="str">
        <f>""</f>
        <v/>
      </c>
      <c r="D11701" s="2" t="str">
        <f t="shared" si="1019"/>
        <v>T10G</v>
      </c>
      <c r="E11701" s="2" t="str">
        <f>"AUTENTICA_USUARIO"</f>
        <v>AUTENTICA_USUARIO</v>
      </c>
      <c r="F11701" s="2" t="str">
        <f>"AUTENTICA_USUARIO"</f>
        <v>AUTENTICA_USUARIO</v>
      </c>
      <c r="G11701" s="2" t="str">
        <f t="shared" si="1017"/>
        <v xml:space="preserve"> ()</v>
      </c>
    </row>
    <row r="11702" spans="1:7" x14ac:dyDescent="0.3">
      <c r="A11702" s="1" t="s">
        <v>4</v>
      </c>
      <c r="B11702" s="2" t="str">
        <f t="shared" si="1018"/>
        <v>T10G</v>
      </c>
      <c r="C11702" s="2" t="str">
        <f>""</f>
        <v/>
      </c>
      <c r="D11702" s="2" t="str">
        <f t="shared" si="1019"/>
        <v>T10G</v>
      </c>
      <c r="E11702" s="2" t="str">
        <f>"O_RECOMPILA_6I"</f>
        <v>O_RECOMPILA_6I</v>
      </c>
      <c r="F11702" s="2" t="str">
        <f>"O_RECOMPILA_6I"</f>
        <v>O_RECOMPILA_6I</v>
      </c>
      <c r="G11702" s="2" t="str">
        <f t="shared" si="1017"/>
        <v xml:space="preserve"> ()</v>
      </c>
    </row>
    <row r="11703" spans="1:7" x14ac:dyDescent="0.3">
      <c r="A11703" s="1" t="s">
        <v>4</v>
      </c>
      <c r="B11703" s="2" t="str">
        <f t="shared" si="1018"/>
        <v>T10G</v>
      </c>
      <c r="C11703" s="2" t="str">
        <f>""</f>
        <v/>
      </c>
      <c r="D11703" s="2" t="str">
        <f t="shared" si="1019"/>
        <v>T10G</v>
      </c>
      <c r="E11703" s="2" t="str">
        <f>"Registro de Setor"</f>
        <v>Registro de Setor</v>
      </c>
      <c r="F11703" s="2" t="str">
        <f>"REG_SETOR"</f>
        <v>REG_SETOR</v>
      </c>
      <c r="G11703" s="2" t="str">
        <f t="shared" si="1017"/>
        <v xml:space="preserve"> ()</v>
      </c>
    </row>
    <row r="11704" spans="1:7" x14ac:dyDescent="0.3">
      <c r="A11704" s="1" t="s">
        <v>4</v>
      </c>
      <c r="B11704" s="2" t="str">
        <f t="shared" si="1018"/>
        <v>T10G</v>
      </c>
      <c r="C11704" s="2" t="str">
        <f>""</f>
        <v/>
      </c>
      <c r="D11704" s="2" t="str">
        <f t="shared" si="1019"/>
        <v>T10G</v>
      </c>
      <c r="E11704" s="2" t="str">
        <f>"ABOUT"</f>
        <v>ABOUT</v>
      </c>
      <c r="F11704" s="2" t="str">
        <f>"ABOUT"</f>
        <v>ABOUT</v>
      </c>
      <c r="G11704" s="2" t="str">
        <f t="shared" si="1017"/>
        <v xml:space="preserve"> ()</v>
      </c>
    </row>
    <row r="11705" spans="1:7" x14ac:dyDescent="0.3">
      <c r="A11705" s="1" t="s">
        <v>4</v>
      </c>
      <c r="B11705" s="2" t="str">
        <f t="shared" si="1018"/>
        <v>T10G</v>
      </c>
      <c r="C11705" s="2" t="str">
        <f>""</f>
        <v/>
      </c>
      <c r="D11705" s="2" t="str">
        <f t="shared" si="1019"/>
        <v>T10G</v>
      </c>
      <c r="E11705" s="2" t="str">
        <f>"WIN_PRINCIPAL"</f>
        <v>WIN_PRINCIPAL</v>
      </c>
      <c r="F11705" s="2" t="str">
        <f>"MV2000PF_REF"</f>
        <v>MV2000PF_REF</v>
      </c>
      <c r="G11705" s="2" t="str">
        <f t="shared" si="1017"/>
        <v xml:space="preserve"> ()</v>
      </c>
    </row>
    <row r="11706" spans="1:7" x14ac:dyDescent="0.3">
      <c r="A11706" s="1" t="s">
        <v>4</v>
      </c>
      <c r="B11706" s="2" t="str">
        <f t="shared" ref="B11706:B11728" si="1020">"SISTEMA DE ZELADORIA"</f>
        <v>SISTEMA DE ZELADORIA</v>
      </c>
      <c r="C11706" s="2" t="str">
        <f t="shared" ref="C11706:C11728" si="1021">"INTER"</f>
        <v>INTER</v>
      </c>
      <c r="D11706" s="2" t="str">
        <f t="shared" ref="D11706:D11728" si="1022">"ZELA"</f>
        <v>ZELA</v>
      </c>
      <c r="E11706" s="2" t="str">
        <f>"RELATÓRIO GERENCIAL DE ALTAS"</f>
        <v>RELATÓRIO GERENCIAL DE ALTAS</v>
      </c>
      <c r="F11706" s="2" t="str">
        <f>"R_GERENCIA_ALTA.RDF"</f>
        <v>R_GERENCIA_ALTA.RDF</v>
      </c>
      <c r="G11706" s="2" t="str">
        <f t="shared" si="1017"/>
        <v xml:space="preserve"> ()</v>
      </c>
    </row>
    <row r="11707" spans="1:7" x14ac:dyDescent="0.3">
      <c r="A11707" s="1" t="s">
        <v>4</v>
      </c>
      <c r="B11707" s="2" t="str">
        <f t="shared" si="1020"/>
        <v>SISTEMA DE ZELADORIA</v>
      </c>
      <c r="C11707" s="2" t="str">
        <f t="shared" si="1021"/>
        <v>INTER</v>
      </c>
      <c r="D11707" s="2" t="str">
        <f t="shared" si="1022"/>
        <v>ZELA</v>
      </c>
      <c r="E11707" s="2" t="str">
        <f>"HISTÓRICO DE SOLICITAÇÃO DE LIMPEZA"</f>
        <v>HISTÓRICO DE SOLICITAÇÃO DE LIMPEZA</v>
      </c>
      <c r="F11707" s="2" t="str">
        <f>"R_HISTORICO_QUARTOS.RDF"</f>
        <v>R_HISTORICO_QUARTOS.RDF</v>
      </c>
      <c r="G11707" s="2" t="str">
        <f t="shared" si="1017"/>
        <v xml:space="preserve"> ()</v>
      </c>
    </row>
    <row r="11708" spans="1:7" x14ac:dyDescent="0.3">
      <c r="A11708" s="1" t="s">
        <v>4</v>
      </c>
      <c r="B11708" s="2" t="str">
        <f t="shared" si="1020"/>
        <v>SISTEMA DE ZELADORIA</v>
      </c>
      <c r="C11708" s="2" t="str">
        <f t="shared" si="1021"/>
        <v>INTER</v>
      </c>
      <c r="D11708" s="2" t="str">
        <f t="shared" si="1022"/>
        <v>ZELA</v>
      </c>
      <c r="E11708" s="2" t="str">
        <f>"REL. ESTATÍSTICO DE LIBERAÇÃO DE LEITOS"</f>
        <v>REL. ESTATÍSTICO DE LIBERAÇÃO DE LEITOS</v>
      </c>
      <c r="F11708" s="2" t="str">
        <f>"R_EST_LIB_LEITO"</f>
        <v>R_EST_LIB_LEITO</v>
      </c>
      <c r="G11708" s="2" t="str">
        <f>"Serviços de Apoio / Higienização / Relatórios / Estatísticos / Liberação de Leitos (R_EST_LIB_LEITO)"</f>
        <v>Serviços de Apoio / Higienização / Relatórios / Estatísticos / Liberação de Leitos (R_EST_LIB_LEITO)</v>
      </c>
    </row>
    <row r="11709" spans="1:7" x14ac:dyDescent="0.3">
      <c r="A11709" s="1" t="s">
        <v>4</v>
      </c>
      <c r="B11709" s="2" t="str">
        <f t="shared" si="1020"/>
        <v>SISTEMA DE ZELADORIA</v>
      </c>
      <c r="C11709" s="2" t="str">
        <f t="shared" si="1021"/>
        <v>INTER</v>
      </c>
      <c r="D11709" s="2" t="str">
        <f t="shared" si="1022"/>
        <v>ZELA</v>
      </c>
      <c r="E11709" s="2" t="str">
        <f>"RELATÓRIO GERENCIAL DE ALTAS"</f>
        <v>RELATÓRIO GERENCIAL DE ALTAS</v>
      </c>
      <c r="F11709" s="2" t="str">
        <f>"R_GERENCIA_ALTA"</f>
        <v>R_GERENCIA_ALTA</v>
      </c>
      <c r="G11709" s="2" t="str">
        <f>"Serviços de Apoio / Higienização / Relatórios / Administrativos / Relatório Gerencial de Altas (R_GERENCIA_ALTA)"</f>
        <v>Serviços de Apoio / Higienização / Relatórios / Administrativos / Relatório Gerencial de Altas (R_GERENCIA_ALTA)</v>
      </c>
    </row>
    <row r="11710" spans="1:7" x14ac:dyDescent="0.3">
      <c r="A11710" s="1" t="s">
        <v>4</v>
      </c>
      <c r="B11710" s="2" t="str">
        <f t="shared" si="1020"/>
        <v>SISTEMA DE ZELADORIA</v>
      </c>
      <c r="C11710" s="2" t="str">
        <f t="shared" si="1021"/>
        <v>INTER</v>
      </c>
      <c r="D11710" s="2" t="str">
        <f t="shared" si="1022"/>
        <v>ZELA</v>
      </c>
      <c r="E11710" s="2" t="str">
        <f>"WIN_PRINCIPAL - HOSPITAL MV SISTEMAS"</f>
        <v>WIN_PRINCIPAL - HOSPITAL MV SISTEMAS</v>
      </c>
      <c r="F11710" s="2" t="str">
        <f>"M_GERENC_HIG"</f>
        <v>M_GERENC_HIG</v>
      </c>
      <c r="G11710" s="2" t="str">
        <f>"Serviços de Apoio / Higienização / Atendimentos / Gerenciamento de Higienizações de Leitos (M_GERENC_HIG)"</f>
        <v>Serviços de Apoio / Higienização / Atendimentos / Gerenciamento de Higienizações de Leitos (M_GERENC_HIG)</v>
      </c>
    </row>
    <row r="11711" spans="1:7" x14ac:dyDescent="0.3">
      <c r="A11711" s="1" t="s">
        <v>4</v>
      </c>
      <c r="B11711" s="2" t="str">
        <f t="shared" si="1020"/>
        <v>SISTEMA DE ZELADORIA</v>
      </c>
      <c r="C11711" s="2" t="str">
        <f t="shared" si="1021"/>
        <v>INTER</v>
      </c>
      <c r="D11711" s="2" t="str">
        <f t="shared" si="1022"/>
        <v>ZELA</v>
      </c>
      <c r="E11711" s="2" t="str">
        <f>"C_LIMPEZA_GESTAO_LEITO"</f>
        <v>C_LIMPEZA_GESTAO_LEITO</v>
      </c>
      <c r="F11711" s="2" t="str">
        <f>"C_LIMPEZA_GESTAO_LEITO"</f>
        <v>C_LIMPEZA_GESTAO_LEITO</v>
      </c>
      <c r="G11711" s="2" t="str">
        <f>"Serviços de Apoio / Higienização / Consultas / Programação de Limpeza de Leitos Reservados (C_LIMPEZA_GESTAO_LEITO)"</f>
        <v>Serviços de Apoio / Higienização / Consultas / Programação de Limpeza de Leitos Reservados (C_LIMPEZA_GESTAO_LEITO)</v>
      </c>
    </row>
    <row r="11712" spans="1:7" x14ac:dyDescent="0.3">
      <c r="A11712" s="1" t="s">
        <v>4</v>
      </c>
      <c r="B11712" s="2" t="str">
        <f t="shared" si="1020"/>
        <v>SISTEMA DE ZELADORIA</v>
      </c>
      <c r="C11712" s="2" t="str">
        <f t="shared" si="1021"/>
        <v>INTER</v>
      </c>
      <c r="D11712" s="2" t="str">
        <f t="shared" si="1022"/>
        <v>ZELA</v>
      </c>
      <c r="E11712" s="2" t="str">
        <f>"RELATORIO DE LIMPEZA"</f>
        <v>RELATORIO DE LIMPEZA</v>
      </c>
      <c r="F11712" s="2" t="str">
        <f>"R_LIMPEZA_PERIODO"</f>
        <v>R_LIMPEZA_PERIODO</v>
      </c>
      <c r="G11712" s="2" t="str">
        <f>" ()"</f>
        <v xml:space="preserve"> ()</v>
      </c>
    </row>
    <row r="11713" spans="1:7" x14ac:dyDescent="0.3">
      <c r="A11713" s="1" t="s">
        <v>4</v>
      </c>
      <c r="B11713" s="2" t="str">
        <f t="shared" si="1020"/>
        <v>SISTEMA DE ZELADORIA</v>
      </c>
      <c r="C11713" s="2" t="str">
        <f t="shared" si="1021"/>
        <v>INTER</v>
      </c>
      <c r="D11713" s="2" t="str">
        <f t="shared" si="1022"/>
        <v>ZELA</v>
      </c>
      <c r="E11713" s="2" t="str">
        <f>"NULO"</f>
        <v>NULO</v>
      </c>
      <c r="F11713" s="2" t="str">
        <f>"NULO"</f>
        <v>NULO</v>
      </c>
      <c r="G11713" s="2" t="str">
        <f>" ()"</f>
        <v xml:space="preserve"> ()</v>
      </c>
    </row>
    <row r="11714" spans="1:7" x14ac:dyDescent="0.3">
      <c r="A11714" s="1" t="s">
        <v>4</v>
      </c>
      <c r="B11714" s="2" t="str">
        <f t="shared" si="1020"/>
        <v>SISTEMA DE ZELADORIA</v>
      </c>
      <c r="C11714" s="2" t="str">
        <f t="shared" si="1021"/>
        <v>INTER</v>
      </c>
      <c r="D11714" s="2" t="str">
        <f t="shared" si="1022"/>
        <v>ZELA</v>
      </c>
      <c r="E11714" s="2" t="str">
        <f>"M_CONFIG_ZELA"</f>
        <v>M_CONFIG_ZELA</v>
      </c>
      <c r="F11714" s="2" t="str">
        <f>"M_CONFIG_ZELA"</f>
        <v>M_CONFIG_ZELA</v>
      </c>
      <c r="G11714" s="2" t="str">
        <f>"Serviços de Apoio / Higienização / Configuração / Parâmetros (M_CONFIG_ZELA)"</f>
        <v>Serviços de Apoio / Higienização / Configuração / Parâmetros (M_CONFIG_ZELA)</v>
      </c>
    </row>
    <row r="11715" spans="1:7" x14ac:dyDescent="0.3">
      <c r="A11715" s="1" t="s">
        <v>4</v>
      </c>
      <c r="B11715" s="2" t="str">
        <f t="shared" si="1020"/>
        <v>SISTEMA DE ZELADORIA</v>
      </c>
      <c r="C11715" s="2" t="str">
        <f t="shared" si="1021"/>
        <v>INTER</v>
      </c>
      <c r="D11715" s="2" t="str">
        <f t="shared" si="1022"/>
        <v>ZELA</v>
      </c>
      <c r="E11715" s="2" t="str">
        <f>"SOLICITAÇÕES DE LIMPEZA"</f>
        <v>SOLICITAÇÕES DE LIMPEZA</v>
      </c>
      <c r="F11715" s="2" t="str">
        <f>"C_LIMPEZA_DIAS"</f>
        <v>C_LIMPEZA_DIAS</v>
      </c>
      <c r="G11715" s="2" t="str">
        <f>"Serviços de Apoio / Higienização / Consultas / Ocupação de Leitos (C_LIMPEZA_DIAS)"</f>
        <v>Serviços de Apoio / Higienização / Consultas / Ocupação de Leitos (C_LIMPEZA_DIAS)</v>
      </c>
    </row>
    <row r="11716" spans="1:7" x14ac:dyDescent="0.3">
      <c r="A11716" s="1" t="s">
        <v>4</v>
      </c>
      <c r="B11716" s="2" t="str">
        <f t="shared" si="1020"/>
        <v>SISTEMA DE ZELADORIA</v>
      </c>
      <c r="C11716" s="2" t="str">
        <f t="shared" si="1021"/>
        <v>INTER</v>
      </c>
      <c r="D11716" s="2" t="str">
        <f t="shared" si="1022"/>
        <v>ZELA</v>
      </c>
      <c r="E11716" s="2" t="str">
        <f>"SOLICITAÇÕES DE LIMPEZA"</f>
        <v>SOLICITAÇÕES DE LIMPEZA</v>
      </c>
      <c r="F11716" s="2" t="str">
        <f>"C_LIMPEZA_PERIODO"</f>
        <v>C_LIMPEZA_PERIODO</v>
      </c>
      <c r="G11716" s="2" t="str">
        <f>"Serviços de Apoio / Higienização / Consultas / Limpezas Realizadas no Período (C_LIMPEZA_PERIODO)"</f>
        <v>Serviços de Apoio / Higienização / Consultas / Limpezas Realizadas no Período (C_LIMPEZA_PERIODO)</v>
      </c>
    </row>
    <row r="11717" spans="1:7" x14ac:dyDescent="0.3">
      <c r="A11717" s="1" t="s">
        <v>4</v>
      </c>
      <c r="B11717" s="2" t="str">
        <f t="shared" si="1020"/>
        <v>SISTEMA DE ZELADORIA</v>
      </c>
      <c r="C11717" s="2" t="str">
        <f t="shared" si="1021"/>
        <v>INTER</v>
      </c>
      <c r="D11717" s="2" t="str">
        <f t="shared" si="1022"/>
        <v>ZELA</v>
      </c>
      <c r="E11717" s="2" t="str">
        <f>"SOLICITAÇÕES DE LIMPEZA"</f>
        <v>SOLICITAÇÕES DE LIMPEZA</v>
      </c>
      <c r="F11717" s="2" t="str">
        <f>"M_SOLIC_LIMPEZA"</f>
        <v>M_SOLIC_LIMPEZA</v>
      </c>
      <c r="G11717" s="2" t="str">
        <f>"Serviços de Apoio / Higienização / Atendimentos / Solicitações de Limpeza (M_SOLIC_LIMPEZA)"</f>
        <v>Serviços de Apoio / Higienização / Atendimentos / Solicitações de Limpeza (M_SOLIC_LIMPEZA)</v>
      </c>
    </row>
    <row r="11718" spans="1:7" x14ac:dyDescent="0.3">
      <c r="A11718" s="1" t="s">
        <v>4</v>
      </c>
      <c r="B11718" s="2" t="str">
        <f t="shared" si="1020"/>
        <v>SISTEMA DE ZELADORIA</v>
      </c>
      <c r="C11718" s="2" t="str">
        <f t="shared" si="1021"/>
        <v>INTER</v>
      </c>
      <c r="D11718" s="2" t="str">
        <f t="shared" si="1022"/>
        <v>ZELA</v>
      </c>
      <c r="E11718" s="2" t="str">
        <f>"CADASTRO: TIPOS DE LIMPEZA"</f>
        <v>CADASTRO: TIPOS DE LIMPEZA</v>
      </c>
      <c r="F11718" s="2" t="str">
        <f>"GERENCIAL"</f>
        <v>GERENCIAL</v>
      </c>
      <c r="G11718" s="2" t="str">
        <f>" ()"</f>
        <v xml:space="preserve"> ()</v>
      </c>
    </row>
    <row r="11719" spans="1:7" x14ac:dyDescent="0.3">
      <c r="A11719" s="1" t="s">
        <v>4</v>
      </c>
      <c r="B11719" s="2" t="str">
        <f t="shared" si="1020"/>
        <v>SISTEMA DE ZELADORIA</v>
      </c>
      <c r="C11719" s="2" t="str">
        <f t="shared" si="1021"/>
        <v>INTER</v>
      </c>
      <c r="D11719" s="2" t="str">
        <f t="shared" si="1022"/>
        <v>ZELA</v>
      </c>
      <c r="E11719" s="2" t="str">
        <f>"CADASTRO: TIPOS DE LIMPEZA"</f>
        <v>CADASTRO: TIPOS DE LIMPEZA</v>
      </c>
      <c r="F11719" s="2" t="str">
        <f>"M_TIPO_LIMPEZA"</f>
        <v>M_TIPO_LIMPEZA</v>
      </c>
      <c r="G11719" s="2" t="str">
        <f>"Serviços de Apoio / Higienização / Tabelas / Tipos de Limpeza (M_TIPO_LIMPEZA)"</f>
        <v>Serviços de Apoio / Higienização / Tabelas / Tipos de Limpeza (M_TIPO_LIMPEZA)</v>
      </c>
    </row>
    <row r="11720" spans="1:7" x14ac:dyDescent="0.3">
      <c r="A11720" s="1" t="s">
        <v>4</v>
      </c>
      <c r="B11720" s="2" t="str">
        <f t="shared" si="1020"/>
        <v>SISTEMA DE ZELADORIA</v>
      </c>
      <c r="C11720" s="2" t="str">
        <f t="shared" si="1021"/>
        <v>INTER</v>
      </c>
      <c r="D11720" s="2" t="str">
        <f t="shared" si="1022"/>
        <v>ZELA</v>
      </c>
      <c r="E11720" s="2" t="str">
        <f>"CONFIRMAÇÃO DA SOLICITAÇÕES DE LIMPEZA"</f>
        <v>CONFIRMAÇÃO DA SOLICITAÇÕES DE LIMPEZA</v>
      </c>
      <c r="F11720" s="2" t="str">
        <f>"M_CONF_LIMPEZA"</f>
        <v>M_CONF_LIMPEZA</v>
      </c>
      <c r="G11720" s="2" t="str">
        <f>"Serviços de Apoio / Higienização / Atendimentos / Confirmação de Solicitações (M_CONF_LIMPEZA)"</f>
        <v>Serviços de Apoio / Higienização / Atendimentos / Confirmação de Solicitações (M_CONF_LIMPEZA)</v>
      </c>
    </row>
    <row r="11721" spans="1:7" x14ac:dyDescent="0.3">
      <c r="A11721" s="1" t="s">
        <v>4</v>
      </c>
      <c r="B11721" s="2" t="str">
        <f t="shared" si="1020"/>
        <v>SISTEMA DE ZELADORIA</v>
      </c>
      <c r="C11721" s="2" t="str">
        <f t="shared" si="1021"/>
        <v>INTER</v>
      </c>
      <c r="D11721" s="2" t="str">
        <f t="shared" si="1022"/>
        <v>ZELA</v>
      </c>
      <c r="E11721" s="2" t="str">
        <f>"CONFIRMAÇÃO DA SOLICITAÇÕES DE LIMPEZA"</f>
        <v>CONFIRMAÇÃO DA SOLICITAÇÕES DE LIMPEZA</v>
      </c>
      <c r="F11721" s="2" t="str">
        <f>"M_CANCEL_LIMPEZA"</f>
        <v>M_CANCEL_LIMPEZA</v>
      </c>
      <c r="G11721" s="2" t="str">
        <f>"Serviços de Apoio / Higienização / Atendimentos / Cancelamento de Solicitações (M_CANCEL_LIMPEZA)"</f>
        <v>Serviços de Apoio / Higienização / Atendimentos / Cancelamento de Solicitações (M_CANCEL_LIMPEZA)</v>
      </c>
    </row>
    <row r="11722" spans="1:7" x14ac:dyDescent="0.3">
      <c r="A11722" s="1" t="s">
        <v>4</v>
      </c>
      <c r="B11722" s="2" t="str">
        <f t="shared" si="1020"/>
        <v>SISTEMA DE ZELADORIA</v>
      </c>
      <c r="C11722" s="2" t="str">
        <f t="shared" si="1021"/>
        <v>INTER</v>
      </c>
      <c r="D11722" s="2" t="str">
        <f t="shared" si="1022"/>
        <v>ZELA</v>
      </c>
      <c r="E11722" s="2" t="str">
        <f>"CONSULTA SOLICITAÇÃO DE LIMPEZA"</f>
        <v>CONSULTA SOLICITAÇÃO DE LIMPEZA</v>
      </c>
      <c r="F11722" s="2" t="str">
        <f>"C_SOLIC_LIMPEZA"</f>
        <v>C_SOLIC_LIMPEZA</v>
      </c>
      <c r="G11722" s="2" t="str">
        <f>"Serviços de Apoio / Higienização / Consultas / Solicitações de Limpeza (C_SOLIC_LIMPEZA)"</f>
        <v>Serviços de Apoio / Higienização / Consultas / Solicitações de Limpeza (C_SOLIC_LIMPEZA)</v>
      </c>
    </row>
    <row r="11723" spans="1:7" x14ac:dyDescent="0.3">
      <c r="A11723" s="1" t="s">
        <v>4</v>
      </c>
      <c r="B11723" s="2" t="str">
        <f t="shared" si="1020"/>
        <v>SISTEMA DE ZELADORIA</v>
      </c>
      <c r="C11723" s="2" t="str">
        <f t="shared" si="1021"/>
        <v>INTER</v>
      </c>
      <c r="D11723" s="2" t="str">
        <f t="shared" si="1022"/>
        <v>ZELA</v>
      </c>
      <c r="E11723" s="2" t="str">
        <f>"CONFIRMAÇÃO DA SOLICITAÇÕES DE LIMPEZA"</f>
        <v>CONFIRMAÇÃO DA SOLICITAÇÕES DE LIMPEZA</v>
      </c>
      <c r="F11723" s="2" t="str">
        <f>"M_CANCEL_LIMPEZA_S"</f>
        <v>M_CANCEL_LIMPEZA_S</v>
      </c>
      <c r="G11723" s="2" t="str">
        <f>" ()"</f>
        <v xml:space="preserve"> ()</v>
      </c>
    </row>
    <row r="11724" spans="1:7" x14ac:dyDescent="0.3">
      <c r="A11724" s="1" t="s">
        <v>4</v>
      </c>
      <c r="B11724" s="2" t="str">
        <f t="shared" si="1020"/>
        <v>SISTEMA DE ZELADORIA</v>
      </c>
      <c r="C11724" s="2" t="str">
        <f t="shared" si="1021"/>
        <v>INTER</v>
      </c>
      <c r="D11724" s="2" t="str">
        <f t="shared" si="1022"/>
        <v>ZELA</v>
      </c>
      <c r="E11724" s="2" t="str">
        <f>"CALENDÁRIO"</f>
        <v>CALENDÁRIO</v>
      </c>
      <c r="F11724" s="2" t="str">
        <f>"C_LIMPEZA_QUARTO"</f>
        <v>C_LIMPEZA_QUARTO</v>
      </c>
      <c r="G11724" s="2" t="str">
        <f>"Serviços de Apoio / Higienização / Consultas / Limpeza de Leitos (C_LIMPEZA_QUARTO)"</f>
        <v>Serviços de Apoio / Higienização / Consultas / Limpeza de Leitos (C_LIMPEZA_QUARTO)</v>
      </c>
    </row>
    <row r="11725" spans="1:7" x14ac:dyDescent="0.3">
      <c r="A11725" s="1" t="s">
        <v>4</v>
      </c>
      <c r="B11725" s="2" t="str">
        <f t="shared" si="1020"/>
        <v>SISTEMA DE ZELADORIA</v>
      </c>
      <c r="C11725" s="2" t="str">
        <f t="shared" si="1021"/>
        <v>INTER</v>
      </c>
      <c r="D11725" s="2" t="str">
        <f t="shared" si="1022"/>
        <v>ZELA</v>
      </c>
      <c r="E11725" s="2" t="str">
        <f>"CALENDÁRIO"</f>
        <v>CALENDÁRIO</v>
      </c>
      <c r="F11725" s="2" t="str">
        <f>"C_HISTORICO_QUARTO"</f>
        <v>C_HISTORICO_QUARTO</v>
      </c>
      <c r="G11725" s="2" t="str">
        <f>"Serviços de Apoio / Higienização / Consultas / Histórico de Leitos (C_HISTORICO_QUARTO)"</f>
        <v>Serviços de Apoio / Higienização / Consultas / Histórico de Leitos (C_HISTORICO_QUARTO)</v>
      </c>
    </row>
    <row r="11726" spans="1:7" x14ac:dyDescent="0.3">
      <c r="A11726" s="1" t="s">
        <v>4</v>
      </c>
      <c r="B11726" s="2" t="str">
        <f t="shared" si="1020"/>
        <v>SISTEMA DE ZELADORIA</v>
      </c>
      <c r="C11726" s="2" t="str">
        <f t="shared" si="1021"/>
        <v>INTER</v>
      </c>
      <c r="D11726" s="2" t="str">
        <f t="shared" si="1022"/>
        <v>ZELA</v>
      </c>
      <c r="E11726" s="2" t="str">
        <f>"ZELA"</f>
        <v>ZELA</v>
      </c>
      <c r="F11726" s="2" t="str">
        <f>"ZELA"</f>
        <v>ZELA</v>
      </c>
      <c r="G11726" s="2" t="str">
        <f>" ()"</f>
        <v xml:space="preserve"> ()</v>
      </c>
    </row>
    <row r="11727" spans="1:7" x14ac:dyDescent="0.3">
      <c r="A11727" s="1" t="s">
        <v>4</v>
      </c>
      <c r="B11727" s="2" t="str">
        <f t="shared" si="1020"/>
        <v>SISTEMA DE ZELADORIA</v>
      </c>
      <c r="C11727" s="2" t="str">
        <f t="shared" si="1021"/>
        <v>INTER</v>
      </c>
      <c r="D11727" s="2" t="str">
        <f t="shared" si="1022"/>
        <v>ZELA</v>
      </c>
      <c r="E11727" s="2" t="str">
        <f>"PERSONALIZADOS DO ZELA"</f>
        <v>PERSONALIZADOS DO ZELA</v>
      </c>
      <c r="F11727" s="2" t="str">
        <f>"R_PERSON_ZELA"</f>
        <v>R_PERSON_ZELA</v>
      </c>
      <c r="G11727" s="2" t="str">
        <f>"Serviços de Apoio / Higienização / Relatórios / Personalizados (R_PERSON_ZELA)"</f>
        <v>Serviços de Apoio / Higienização / Relatórios / Personalizados (R_PERSON_ZELA)</v>
      </c>
    </row>
    <row r="11728" spans="1:7" x14ac:dyDescent="0.3">
      <c r="A11728" s="1" t="s">
        <v>4</v>
      </c>
      <c r="B11728" s="2" t="str">
        <f t="shared" si="1020"/>
        <v>SISTEMA DE ZELADORIA</v>
      </c>
      <c r="C11728" s="2" t="str">
        <f t="shared" si="1021"/>
        <v>INTER</v>
      </c>
      <c r="D11728" s="2" t="str">
        <f t="shared" si="1022"/>
        <v>ZELA</v>
      </c>
      <c r="E11728" s="2" t="str">
        <f>"HIST. DE LIMPESAS EFETUADAS NOS LEITOS"</f>
        <v>HIST. DE LIMPESAS EFETUADAS NOS LEITOS</v>
      </c>
      <c r="F11728" s="2" t="str">
        <f>"R_HISTORICO_QUARTOS"</f>
        <v>R_HISTORICO_QUARTOS</v>
      </c>
      <c r="G11728" s="2" t="str">
        <f>"Serviços de Apoio / Higienização / Relatórios / Histórico de Solicitações de Limpeza (R_HISTORICO_QUARTOS)"</f>
        <v>Serviços de Apoio / Higienização / Relatórios / Histórico de Solicitações de Limpeza (R_HISTORICO_QUARTOS)</v>
      </c>
    </row>
    <row r="11729" spans="1:7" x14ac:dyDescent="0.3">
      <c r="A11729" s="1" t="s">
        <v>58</v>
      </c>
      <c r="B11729" s="2" t="str">
        <f>"MV2000 WEB"</f>
        <v>MV2000 WEB</v>
      </c>
      <c r="C11729" s="2" t="str">
        <f>""</f>
        <v/>
      </c>
      <c r="D11729" s="2" t="str">
        <f>""</f>
        <v/>
      </c>
      <c r="E11729" s="2" t="str">
        <f>""</f>
        <v/>
      </c>
      <c r="F11729" s="2" t="str">
        <f>""</f>
        <v/>
      </c>
      <c r="G11729" s="2" t="str">
        <f t="shared" ref="G11729:G11738" si="1023">" ()"</f>
        <v xml:space="preserve"> ()</v>
      </c>
    </row>
    <row r="11730" spans="1:7" x14ac:dyDescent="0.3">
      <c r="A11730" s="1" t="s">
        <v>58</v>
      </c>
      <c r="B11730" s="2" t="str">
        <f>"SISTEMA DE ACESSO EXTERNO AO MV2000"</f>
        <v>SISTEMA DE ACESSO EXTERNO AO MV2000</v>
      </c>
      <c r="C11730" s="2" t="str">
        <f>""</f>
        <v/>
      </c>
      <c r="D11730" s="2" t="str">
        <f>""</f>
        <v/>
      </c>
      <c r="E11730" s="2" t="str">
        <f>""</f>
        <v/>
      </c>
      <c r="F11730" s="2" t="str">
        <f>""</f>
        <v/>
      </c>
      <c r="G11730" s="2" t="str">
        <f t="shared" si="1023"/>
        <v xml:space="preserve"> ()</v>
      </c>
    </row>
    <row r="11731" spans="1:7" x14ac:dyDescent="0.3">
      <c r="A11731" s="1" t="s">
        <v>58</v>
      </c>
      <c r="B11731" s="2" t="str">
        <f>"PAINEL A BEIRA DO LEITO"</f>
        <v>PAINEL A BEIRA DO LEITO</v>
      </c>
      <c r="C11731" s="2" t="str">
        <f>""</f>
        <v/>
      </c>
      <c r="D11731" s="2" t="str">
        <f>""</f>
        <v/>
      </c>
      <c r="E11731" s="2" t="str">
        <f>""</f>
        <v/>
      </c>
      <c r="F11731" s="2" t="str">
        <f>""</f>
        <v/>
      </c>
      <c r="G11731" s="2" t="str">
        <f t="shared" si="1023"/>
        <v xml:space="preserve"> ()</v>
      </c>
    </row>
    <row r="11732" spans="1:7" x14ac:dyDescent="0.3">
      <c r="A11732" s="1" t="s">
        <v>58</v>
      </c>
      <c r="B11732" s="2" t="str">
        <f>"ATESTADO DE SAUDE OCUPACIONAL"</f>
        <v>ATESTADO DE SAUDE OCUPACIONAL</v>
      </c>
      <c r="C11732" s="2" t="str">
        <f>""</f>
        <v/>
      </c>
      <c r="D11732" s="2" t="str">
        <f>""</f>
        <v/>
      </c>
      <c r="E11732" s="2" t="str">
        <f>""</f>
        <v/>
      </c>
      <c r="F11732" s="2" t="str">
        <f>""</f>
        <v/>
      </c>
      <c r="G11732" s="2" t="str">
        <f t="shared" si="1023"/>
        <v xml:space="preserve"> ()</v>
      </c>
    </row>
    <row r="11733" spans="1:7" x14ac:dyDescent="0.3">
      <c r="A11733" s="1" t="s">
        <v>58</v>
      </c>
      <c r="B11733" s="2" t="str">
        <f>"GERENCIADO DE SERVIÇOS SOS"</f>
        <v>GERENCIADO DE SERVIÇOS SOS</v>
      </c>
      <c r="C11733" s="2" t="str">
        <f>""</f>
        <v/>
      </c>
      <c r="D11733" s="2" t="str">
        <f>""</f>
        <v/>
      </c>
      <c r="E11733" s="2" t="str">
        <f>""</f>
        <v/>
      </c>
      <c r="F11733" s="2" t="str">
        <f>""</f>
        <v/>
      </c>
      <c r="G11733" s="2" t="str">
        <f t="shared" si="1023"/>
        <v xml:space="preserve"> ()</v>
      </c>
    </row>
    <row r="11734" spans="1:7" x14ac:dyDescent="0.3">
      <c r="A11734" s="1" t="s">
        <v>58</v>
      </c>
      <c r="B11734" s="2" t="str">
        <f>"COMPRAS WEB - STAND ALONE (SEM MV2000)"</f>
        <v>COMPRAS WEB - STAND ALONE (SEM MV2000)</v>
      </c>
      <c r="C11734" s="2" t="str">
        <f>""</f>
        <v/>
      </c>
      <c r="D11734" s="2" t="str">
        <f>""</f>
        <v/>
      </c>
      <c r="E11734" s="2" t="str">
        <f>""</f>
        <v/>
      </c>
      <c r="F11734" s="2" t="str">
        <f>""</f>
        <v/>
      </c>
      <c r="G11734" s="2" t="str">
        <f t="shared" si="1023"/>
        <v xml:space="preserve"> ()</v>
      </c>
    </row>
    <row r="11735" spans="1:7" x14ac:dyDescent="0.3">
      <c r="A11735" s="1" t="s">
        <v>58</v>
      </c>
      <c r="B11735" s="2" t="str">
        <f>"SISTEMA DE CENTRAL DE COMPRAS"</f>
        <v>SISTEMA DE CENTRAL DE COMPRAS</v>
      </c>
      <c r="C11735" s="2" t="str">
        <f>""</f>
        <v/>
      </c>
      <c r="D11735" s="2" t="str">
        <f>""</f>
        <v/>
      </c>
      <c r="E11735" s="2" t="str">
        <f>""</f>
        <v/>
      </c>
      <c r="F11735" s="2" t="str">
        <f>""</f>
        <v/>
      </c>
      <c r="G11735" s="2" t="str">
        <f t="shared" si="1023"/>
        <v xml:space="preserve"> ()</v>
      </c>
    </row>
    <row r="11736" spans="1:7" x14ac:dyDescent="0.3">
      <c r="A11736" s="1" t="s">
        <v>58</v>
      </c>
      <c r="B11736" s="2" t="str">
        <f>"APP MEDICO"</f>
        <v>APP MEDICO</v>
      </c>
      <c r="C11736" s="2" t="str">
        <f>""</f>
        <v/>
      </c>
      <c r="D11736" s="2" t="str">
        <f>""</f>
        <v/>
      </c>
      <c r="E11736" s="2" t="str">
        <f>""</f>
        <v/>
      </c>
      <c r="F11736" s="2" t="str">
        <f>""</f>
        <v/>
      </c>
      <c r="G11736" s="2" t="str">
        <f t="shared" si="1023"/>
        <v xml:space="preserve"> ()</v>
      </c>
    </row>
    <row r="11737" spans="1:7" x14ac:dyDescent="0.3">
      <c r="A11737" s="1" t="s">
        <v>58</v>
      </c>
      <c r="B11737" s="2" t="str">
        <f>"PRONTUARIO ELETRONICO DE PACIENTES"</f>
        <v>PRONTUARIO ELETRONICO DE PACIENTES</v>
      </c>
      <c r="C11737" s="2" t="str">
        <f>""</f>
        <v/>
      </c>
      <c r="D11737" s="2" t="str">
        <f>""</f>
        <v/>
      </c>
      <c r="E11737" s="2" t="str">
        <f>""</f>
        <v/>
      </c>
      <c r="F11737" s="2" t="str">
        <f>""</f>
        <v/>
      </c>
      <c r="G11737" s="2" t="str">
        <f t="shared" si="1023"/>
        <v xml:space="preserve"> ()</v>
      </c>
    </row>
    <row r="11738" spans="1:7" x14ac:dyDescent="0.3">
      <c r="A11738" s="1" t="s">
        <v>58</v>
      </c>
      <c r="B11738" s="2" t="str">
        <f>"SISTEMA DE CUSTOS HOSPITALARES"</f>
        <v>SISTEMA DE CUSTOS HOSPITALARES</v>
      </c>
      <c r="C11738" s="2" t="str">
        <f>""</f>
        <v/>
      </c>
      <c r="D11738" s="2" t="str">
        <f>""</f>
        <v/>
      </c>
      <c r="E11738" s="2" t="str">
        <f>""</f>
        <v/>
      </c>
      <c r="F11738" s="2" t="str">
        <f>""</f>
        <v/>
      </c>
      <c r="G11738" s="2" t="str">
        <f t="shared" si="1023"/>
        <v xml:space="preserve"> ()</v>
      </c>
    </row>
    <row r="11739" spans="1:7" x14ac:dyDescent="0.3">
      <c r="A11739" s="1" t="s">
        <v>58</v>
      </c>
      <c r="B11739" s="2" t="str">
        <f>""</f>
        <v/>
      </c>
      <c r="C11739" s="2" t="str">
        <f>""</f>
        <v/>
      </c>
      <c r="D11739" s="2" t="str">
        <f>""</f>
        <v/>
      </c>
      <c r="E11739" s="2" t="str">
        <f>""</f>
        <v/>
      </c>
      <c r="F11739" s="2" t="str">
        <f>""</f>
        <v/>
      </c>
      <c r="G11739" s="2" t="str">
        <f>"Serviços de Apoio / Global / Integração ()"</f>
        <v>Serviços de Apoio / Global / Integração ()</v>
      </c>
    </row>
    <row r="11740" spans="1:7" x14ac:dyDescent="0.3">
      <c r="A11740" s="1" t="s">
        <v>58</v>
      </c>
      <c r="B11740" s="2" t="str">
        <f>""</f>
        <v/>
      </c>
      <c r="C11740" s="2" t="str">
        <f>""</f>
        <v/>
      </c>
      <c r="D11740" s="2" t="str">
        <f>""</f>
        <v/>
      </c>
      <c r="E11740" s="2" t="str">
        <f>""</f>
        <v/>
      </c>
      <c r="F11740" s="2" t="str">
        <f>""</f>
        <v/>
      </c>
      <c r="G11740" s="2" t="str">
        <f>"Faturamento / Faturamento de Internação SUS (AIH) / Tabelas / Atualizações ()"</f>
        <v>Faturamento / Faturamento de Internação SUS (AIH) / Tabelas / Atualizações ()</v>
      </c>
    </row>
    <row r="11741" spans="1:7" x14ac:dyDescent="0.3">
      <c r="A11741" s="1" t="s">
        <v>58</v>
      </c>
      <c r="B11741" s="2" t="str">
        <f>""</f>
        <v/>
      </c>
      <c r="C11741" s="2" t="str">
        <f>""</f>
        <v/>
      </c>
      <c r="D11741" s="2" t="str">
        <f>""</f>
        <v/>
      </c>
      <c r="E11741" s="2" t="str">
        <f>""</f>
        <v/>
      </c>
      <c r="F11741" s="2" t="str">
        <f>""</f>
        <v/>
      </c>
      <c r="G11741" s="2" t="str">
        <f>"Clínica e Assistencial / Gerenciamento de Unidades / Configuração / Avaliações ()"</f>
        <v>Clínica e Assistencial / Gerenciamento de Unidades / Configuração / Avaliações ()</v>
      </c>
    </row>
    <row r="11742" spans="1:7" x14ac:dyDescent="0.3">
      <c r="A11742" s="1" t="s">
        <v>58</v>
      </c>
      <c r="B11742" s="2" t="str">
        <f>""</f>
        <v/>
      </c>
      <c r="C11742" s="2" t="str">
        <f>""</f>
        <v/>
      </c>
      <c r="D11742" s="2" t="str">
        <f>""</f>
        <v/>
      </c>
      <c r="E11742" s="2" t="str">
        <f>""</f>
        <v/>
      </c>
      <c r="F11742" s="2" t="str">
        <f>""</f>
        <v/>
      </c>
      <c r="G11742" s="2" t="str">
        <f>"Clínica e Assistencial / Gerenciamento de Unidades / Relatórios ()"</f>
        <v>Clínica e Assistencial / Gerenciamento de Unidades / Relatórios ()</v>
      </c>
    </row>
    <row r="11743" spans="1:7" x14ac:dyDescent="0.3">
      <c r="A11743" s="1" t="s">
        <v>58</v>
      </c>
      <c r="B11743" s="2" t="str">
        <f>""</f>
        <v/>
      </c>
      <c r="C11743" s="2" t="str">
        <f>""</f>
        <v/>
      </c>
      <c r="D11743" s="2" t="str">
        <f>""</f>
        <v/>
      </c>
      <c r="E11743" s="2" t="str">
        <f>""</f>
        <v/>
      </c>
      <c r="F11743" s="2" t="str">
        <f>""</f>
        <v/>
      </c>
      <c r="G11743" s="2" t="str">
        <f>"Clínica e Assistencial / Gerenciamento de Unidades / Relatórios / Tabelas ()"</f>
        <v>Clínica e Assistencial / Gerenciamento de Unidades / Relatórios / Tabelas ()</v>
      </c>
    </row>
    <row r="11744" spans="1:7" x14ac:dyDescent="0.3">
      <c r="A11744" s="1" t="s">
        <v>58</v>
      </c>
      <c r="B11744" s="2" t="str">
        <f>""</f>
        <v/>
      </c>
      <c r="C11744" s="2" t="str">
        <f>""</f>
        <v/>
      </c>
      <c r="D11744" s="2" t="str">
        <f>""</f>
        <v/>
      </c>
      <c r="E11744" s="2" t="str">
        <f>""</f>
        <v/>
      </c>
      <c r="F11744" s="2" t="str">
        <f>""</f>
        <v/>
      </c>
      <c r="G11744" s="2" t="str">
        <f>"Clínica e Assistencial / Gerenciamento de Unidades / Relatórios / Prescrição ()"</f>
        <v>Clínica e Assistencial / Gerenciamento de Unidades / Relatórios / Prescrição ()</v>
      </c>
    </row>
    <row r="11745" spans="1:7" x14ac:dyDescent="0.3">
      <c r="A11745" s="1" t="s">
        <v>58</v>
      </c>
      <c r="B11745" s="2" t="str">
        <f>""</f>
        <v/>
      </c>
      <c r="C11745" s="2" t="str">
        <f>""</f>
        <v/>
      </c>
      <c r="D11745" s="2" t="str">
        <f>""</f>
        <v/>
      </c>
      <c r="E11745" s="2" t="str">
        <f>""</f>
        <v/>
      </c>
      <c r="F11745" s="2" t="str">
        <f>""</f>
        <v/>
      </c>
      <c r="G11745" s="2" t="str">
        <f>"Clínica e Assistencial / Gerenciamento de Unidades / Relatórios / Parecer Médico ()"</f>
        <v>Clínica e Assistencial / Gerenciamento de Unidades / Relatórios / Parecer Médico ()</v>
      </c>
    </row>
    <row r="11746" spans="1:7" x14ac:dyDescent="0.3">
      <c r="A11746" s="1" t="s">
        <v>58</v>
      </c>
      <c r="B11746" s="2" t="str">
        <f>""</f>
        <v/>
      </c>
      <c r="C11746" s="2" t="str">
        <f>""</f>
        <v/>
      </c>
      <c r="D11746" s="2" t="str">
        <f>""</f>
        <v/>
      </c>
      <c r="E11746" s="2" t="str">
        <f>""</f>
        <v/>
      </c>
      <c r="F11746" s="2" t="str">
        <f>""</f>
        <v/>
      </c>
      <c r="G11746" s="2" t="str">
        <f>"Clínica e Assistencial / Gerenciamento de Unidades / Relatórios / Parecer Médico / Abertos ()"</f>
        <v>Clínica e Assistencial / Gerenciamento de Unidades / Relatórios / Parecer Médico / Abertos ()</v>
      </c>
    </row>
    <row r="11747" spans="1:7" x14ac:dyDescent="0.3">
      <c r="A11747" s="1" t="s">
        <v>58</v>
      </c>
      <c r="B11747" s="2" t="str">
        <f>""</f>
        <v/>
      </c>
      <c r="C11747" s="2" t="str">
        <f>""</f>
        <v/>
      </c>
      <c r="D11747" s="2" t="str">
        <f>""</f>
        <v/>
      </c>
      <c r="E11747" s="2" t="str">
        <f>""</f>
        <v/>
      </c>
      <c r="F11747" s="2" t="str">
        <f>""</f>
        <v/>
      </c>
      <c r="G11747" s="2" t="str">
        <f>"Clínica e Assistencial / Gerenciamento de Unidades / Relatórios / Evoluções/Anotações do Paciente ()"</f>
        <v>Clínica e Assistencial / Gerenciamento de Unidades / Relatórios / Evoluções/Anotações do Paciente ()</v>
      </c>
    </row>
    <row r="11748" spans="1:7" x14ac:dyDescent="0.3">
      <c r="A11748" s="1" t="s">
        <v>58</v>
      </c>
      <c r="B11748" s="2" t="str">
        <f>""</f>
        <v/>
      </c>
      <c r="C11748" s="2" t="str">
        <f>""</f>
        <v/>
      </c>
      <c r="D11748" s="2" t="str">
        <f>""</f>
        <v/>
      </c>
      <c r="E11748" s="2" t="str">
        <f>""</f>
        <v/>
      </c>
      <c r="F11748" s="2" t="str">
        <f>""</f>
        <v/>
      </c>
      <c r="G11748" s="2" t="str">
        <f>"Clínica e Assistencial / Gerenciamento de Unidades / Relatórios / Operacionais ()"</f>
        <v>Clínica e Assistencial / Gerenciamento de Unidades / Relatórios / Operacionais ()</v>
      </c>
    </row>
    <row r="11749" spans="1:7" x14ac:dyDescent="0.3">
      <c r="A11749" s="1" t="s">
        <v>58</v>
      </c>
      <c r="B11749" s="2" t="str">
        <f>""</f>
        <v/>
      </c>
      <c r="C11749" s="2" t="str">
        <f>""</f>
        <v/>
      </c>
      <c r="D11749" s="2" t="str">
        <f>""</f>
        <v/>
      </c>
      <c r="E11749" s="2" t="str">
        <f>""</f>
        <v/>
      </c>
      <c r="F11749" s="2" t="str">
        <f>""</f>
        <v/>
      </c>
      <c r="G11749" s="2" t="str">
        <f>"Clínica e Assistencial / Gerenciamento de Unidades / Relatórios / Operacionais / Caminho Crítico ()"</f>
        <v>Clínica e Assistencial / Gerenciamento de Unidades / Relatórios / Operacionais / Caminho Crítico ()</v>
      </c>
    </row>
    <row r="11750" spans="1:7" x14ac:dyDescent="0.3">
      <c r="A11750" s="1" t="s">
        <v>58</v>
      </c>
      <c r="B11750" s="2" t="str">
        <f>""</f>
        <v/>
      </c>
      <c r="C11750" s="2" t="str">
        <f>""</f>
        <v/>
      </c>
      <c r="D11750" s="2" t="str">
        <f>""</f>
        <v/>
      </c>
      <c r="E11750" s="2" t="str">
        <f>""</f>
        <v/>
      </c>
      <c r="F11750" s="2" t="str">
        <f>""</f>
        <v/>
      </c>
      <c r="G11750" s="2" t="str">
        <f>"Clínica e Assistencial / Gerenciamento de Unidades / Relatórios / Estatísticos ()"</f>
        <v>Clínica e Assistencial / Gerenciamento de Unidades / Relatórios / Estatísticos ()</v>
      </c>
    </row>
    <row r="11751" spans="1:7" x14ac:dyDescent="0.3">
      <c r="A11751" s="1" t="s">
        <v>58</v>
      </c>
      <c r="B11751" s="2" t="str">
        <f>""</f>
        <v/>
      </c>
      <c r="C11751" s="2" t="str">
        <f>""</f>
        <v/>
      </c>
      <c r="D11751" s="2" t="str">
        <f>""</f>
        <v/>
      </c>
      <c r="E11751" s="2" t="str">
        <f>""</f>
        <v/>
      </c>
      <c r="F11751" s="2" t="str">
        <f>""</f>
        <v/>
      </c>
      <c r="G11751" s="2" t="str">
        <f>"Clínica e Assistencial / Gerenciamento de Unidades / Configuração / Tabelas / PEP ()"</f>
        <v>Clínica e Assistencial / Gerenciamento de Unidades / Configuração / Tabelas / PEP ()</v>
      </c>
    </row>
    <row r="11752" spans="1:7" x14ac:dyDescent="0.3">
      <c r="A11752" s="1" t="s">
        <v>58</v>
      </c>
      <c r="B11752" s="2" t="str">
        <f>""</f>
        <v/>
      </c>
      <c r="C11752" s="2" t="str">
        <f>""</f>
        <v/>
      </c>
      <c r="D11752" s="2" t="str">
        <f>""</f>
        <v/>
      </c>
      <c r="E11752" s="2" t="str">
        <f>""</f>
        <v/>
      </c>
      <c r="F11752" s="2" t="str">
        <f>""</f>
        <v/>
      </c>
      <c r="G11752" s="2" t="str">
        <f>"Clínica e Assistencial / Gerenciamento de Unidades / Configuração / Tabelas / PEP / Assinatura Digital ()"</f>
        <v>Clínica e Assistencial / Gerenciamento de Unidades / Configuração / Tabelas / PEP / Assinatura Digital ()</v>
      </c>
    </row>
    <row r="11753" spans="1:7" x14ac:dyDescent="0.3">
      <c r="A11753" s="1" t="s">
        <v>58</v>
      </c>
      <c r="B11753" s="2" t="str">
        <f>""</f>
        <v/>
      </c>
      <c r="C11753" s="2" t="str">
        <f>""</f>
        <v/>
      </c>
      <c r="D11753" s="2" t="str">
        <f>""</f>
        <v/>
      </c>
      <c r="E11753" s="2" t="str">
        <f>""</f>
        <v/>
      </c>
      <c r="F11753" s="2" t="str">
        <f>""</f>
        <v/>
      </c>
      <c r="G11753" s="2" t="str">
        <f>"Clínica e Assistencial / Gerenciamento de Unidades / Configuração / Tabelas / (SAE)-Diagnóstico de Enfermagem ()"</f>
        <v>Clínica e Assistencial / Gerenciamento de Unidades / Configuração / Tabelas / (SAE)-Diagnóstico de Enfermagem ()</v>
      </c>
    </row>
    <row r="11754" spans="1:7" x14ac:dyDescent="0.3">
      <c r="A11754" s="1" t="s">
        <v>58</v>
      </c>
      <c r="B11754" s="2" t="str">
        <f>""</f>
        <v/>
      </c>
      <c r="C11754" s="2" t="str">
        <f>""</f>
        <v/>
      </c>
      <c r="D11754" s="2" t="str">
        <f>""</f>
        <v/>
      </c>
      <c r="E11754" s="2" t="str">
        <f>""</f>
        <v/>
      </c>
      <c r="F11754" s="2" t="str">
        <f>""</f>
        <v/>
      </c>
      <c r="G11754" s="2" t="str">
        <f>"Clínica e Assistencial / Gerenciamento de Unidades / Configuração / Consultório ()"</f>
        <v>Clínica e Assistencial / Gerenciamento de Unidades / Configuração / Consultório ()</v>
      </c>
    </row>
    <row r="11755" spans="1:7" x14ac:dyDescent="0.3">
      <c r="A11755" s="1" t="s">
        <v>58</v>
      </c>
      <c r="B11755" s="2" t="str">
        <f>""</f>
        <v/>
      </c>
      <c r="C11755" s="2" t="str">
        <f>""</f>
        <v/>
      </c>
      <c r="D11755" s="2" t="str">
        <f>""</f>
        <v/>
      </c>
      <c r="E11755" s="2" t="str">
        <f>""</f>
        <v/>
      </c>
      <c r="F11755" s="2" t="str">
        <f>""</f>
        <v/>
      </c>
      <c r="G11755" s="2" t="str">
        <f>"Clínica e Assistencial / Gerenciamento de Unidades / Configuração / Tabelas / PEP / Prontuário Distribuído ()"</f>
        <v>Clínica e Assistencial / Gerenciamento de Unidades / Configuração / Tabelas / PEP / Prontuário Distribuído ()</v>
      </c>
    </row>
    <row r="11756" spans="1:7" x14ac:dyDescent="0.3">
      <c r="A11756" s="1" t="s">
        <v>58</v>
      </c>
      <c r="B11756" s="2" t="str">
        <f>""</f>
        <v/>
      </c>
      <c r="C11756" s="2" t="str">
        <f>""</f>
        <v/>
      </c>
      <c r="D11756" s="2" t="str">
        <f>""</f>
        <v/>
      </c>
      <c r="E11756" s="2" t="str">
        <f>""</f>
        <v/>
      </c>
      <c r="F11756" s="2" t="str">
        <f>""</f>
        <v/>
      </c>
      <c r="G11756" s="2" t="str">
        <f>"MVSaude / Cadastros / Desligamento / Reativação ()"</f>
        <v>MVSaude / Cadastros / Desligamento / Reativação ()</v>
      </c>
    </row>
    <row r="11757" spans="1:7" x14ac:dyDescent="0.3">
      <c r="A11757" s="1" t="s">
        <v>58</v>
      </c>
      <c r="B11757" s="2" t="str">
        <f>""</f>
        <v/>
      </c>
      <c r="C11757" s="2" t="str">
        <f>""</f>
        <v/>
      </c>
      <c r="D11757" s="2" t="str">
        <f>""</f>
        <v/>
      </c>
      <c r="E11757" s="2" t="str">
        <f>""</f>
        <v/>
      </c>
      <c r="F11757" s="2" t="str">
        <f>""</f>
        <v/>
      </c>
      <c r="G11757" s="2" t="str">
        <f>"MVSaude / Contas Médicas / Prestadores ()"</f>
        <v>MVSaude / Contas Médicas / Prestadores ()</v>
      </c>
    </row>
    <row r="11758" spans="1:7" x14ac:dyDescent="0.3">
      <c r="A11758" s="1" t="s">
        <v>58</v>
      </c>
      <c r="B11758" s="2" t="str">
        <f>""</f>
        <v/>
      </c>
      <c r="C11758" s="2" t="str">
        <f>""</f>
        <v/>
      </c>
      <c r="D11758" s="2" t="str">
        <f>""</f>
        <v/>
      </c>
      <c r="E11758" s="2" t="str">
        <f>""</f>
        <v/>
      </c>
      <c r="F11758" s="2" t="str">
        <f>""</f>
        <v/>
      </c>
      <c r="G11758" s="2" t="str">
        <f>"MVSaude / Contas Médicas / Tabelas ()"</f>
        <v>MVSaude / Contas Médicas / Tabelas ()</v>
      </c>
    </row>
    <row r="11759" spans="1:7" x14ac:dyDescent="0.3">
      <c r="A11759" s="1" t="s">
        <v>58</v>
      </c>
      <c r="B11759" s="2" t="str">
        <f>""</f>
        <v/>
      </c>
      <c r="C11759" s="2" t="str">
        <f>""</f>
        <v/>
      </c>
      <c r="D11759" s="2" t="str">
        <f>""</f>
        <v/>
      </c>
      <c r="E11759" s="2" t="str">
        <f>""</f>
        <v/>
      </c>
      <c r="F11759" s="2" t="str">
        <f>""</f>
        <v/>
      </c>
      <c r="G11759" s="2" t="str">
        <f>"MVSaude / Contas Médicas / Valoração dos Procedimentos ()"</f>
        <v>MVSaude / Contas Médicas / Valoração dos Procedimentos ()</v>
      </c>
    </row>
    <row r="11760" spans="1:7" x14ac:dyDescent="0.3">
      <c r="A11760" s="1" t="s">
        <v>58</v>
      </c>
      <c r="B11760" s="2" t="str">
        <f>""</f>
        <v/>
      </c>
      <c r="C11760" s="2" t="str">
        <f>""</f>
        <v/>
      </c>
      <c r="D11760" s="2" t="str">
        <f>""</f>
        <v/>
      </c>
      <c r="E11760" s="2" t="str">
        <f>""</f>
        <v/>
      </c>
      <c r="F11760" s="2" t="str">
        <f>""</f>
        <v/>
      </c>
      <c r="G11760" s="2" t="str">
        <f>"MVSaude / ANS / DIOPS ()"</f>
        <v>MVSaude / ANS / DIOPS ()</v>
      </c>
    </row>
    <row r="11761" spans="1:7" x14ac:dyDescent="0.3">
      <c r="A11761" s="1" t="s">
        <v>58</v>
      </c>
      <c r="B11761" s="2" t="str">
        <f>""</f>
        <v/>
      </c>
      <c r="C11761" s="2" t="str">
        <f>""</f>
        <v/>
      </c>
      <c r="D11761" s="2" t="str">
        <f>""</f>
        <v/>
      </c>
      <c r="E11761" s="2" t="str">
        <f>""</f>
        <v/>
      </c>
      <c r="F11761" s="2" t="str">
        <f>""</f>
        <v/>
      </c>
      <c r="G11761" s="2" t="str">
        <f>"MVSaude / ANS / SIP ()"</f>
        <v>MVSaude / ANS / SIP ()</v>
      </c>
    </row>
    <row r="11762" spans="1:7" x14ac:dyDescent="0.3">
      <c r="A11762" s="1" t="s">
        <v>58</v>
      </c>
      <c r="B11762" s="2" t="str">
        <f>""</f>
        <v/>
      </c>
      <c r="C11762" s="2" t="str">
        <f>""</f>
        <v/>
      </c>
      <c r="D11762" s="2" t="str">
        <f>""</f>
        <v/>
      </c>
      <c r="E11762" s="2" t="str">
        <f>""</f>
        <v/>
      </c>
      <c r="F11762" s="2" t="str">
        <f>""</f>
        <v/>
      </c>
      <c r="G11762" s="2" t="str">
        <f>"MVSaude / ANS / SIP / Até 2009 ()"</f>
        <v>MVSaude / ANS / SIP / Até 2009 ()</v>
      </c>
    </row>
    <row r="11763" spans="1:7" x14ac:dyDescent="0.3">
      <c r="A11763" s="1" t="s">
        <v>58</v>
      </c>
      <c r="B11763" s="2" t="str">
        <f>""</f>
        <v/>
      </c>
      <c r="C11763" s="2" t="str">
        <f>""</f>
        <v/>
      </c>
      <c r="D11763" s="2" t="str">
        <f>""</f>
        <v/>
      </c>
      <c r="E11763" s="2" t="str">
        <f>""</f>
        <v/>
      </c>
      <c r="F11763" s="2" t="str">
        <f>""</f>
        <v/>
      </c>
      <c r="G11763" s="2" t="str">
        <f>"MVSaude / ANS / SIP / SIP - XML ()"</f>
        <v>MVSaude / ANS / SIP / SIP - XML ()</v>
      </c>
    </row>
    <row r="11764" spans="1:7" x14ac:dyDescent="0.3">
      <c r="A11764" s="1" t="s">
        <v>58</v>
      </c>
      <c r="B11764" s="2" t="str">
        <f>""</f>
        <v/>
      </c>
      <c r="C11764" s="2" t="str">
        <f>""</f>
        <v/>
      </c>
      <c r="D11764" s="2" t="str">
        <f>""</f>
        <v/>
      </c>
      <c r="E11764" s="2" t="str">
        <f>""</f>
        <v/>
      </c>
      <c r="F11764" s="2" t="str">
        <f>""</f>
        <v/>
      </c>
      <c r="G11764" s="2" t="str">
        <f>"MVSaude / ANS / TISS ()"</f>
        <v>MVSaude / ANS / TISS ()</v>
      </c>
    </row>
    <row r="11765" spans="1:7" x14ac:dyDescent="0.3">
      <c r="A11765" s="1" t="s">
        <v>58</v>
      </c>
      <c r="B11765" s="2" t="str">
        <f>""</f>
        <v/>
      </c>
      <c r="C11765" s="2" t="str">
        <f>""</f>
        <v/>
      </c>
      <c r="D11765" s="2" t="str">
        <f>""</f>
        <v/>
      </c>
      <c r="E11765" s="2" t="str">
        <f>""</f>
        <v/>
      </c>
      <c r="F11765" s="2" t="str">
        <f>""</f>
        <v/>
      </c>
      <c r="G11765" s="2" t="str">
        <f>"MVSaude / ANS / TISS / Tabelas de Domínio ()"</f>
        <v>MVSaude / ANS / TISS / Tabelas de Domínio ()</v>
      </c>
    </row>
    <row r="11766" spans="1:7" x14ac:dyDescent="0.3">
      <c r="A11766" s="1" t="s">
        <v>58</v>
      </c>
      <c r="B11766" s="2" t="str">
        <f>""</f>
        <v/>
      </c>
      <c r="C11766" s="2" t="str">
        <f>""</f>
        <v/>
      </c>
      <c r="D11766" s="2" t="str">
        <f>""</f>
        <v/>
      </c>
      <c r="E11766" s="2" t="str">
        <f>""</f>
        <v/>
      </c>
      <c r="F11766" s="2" t="str">
        <f>""</f>
        <v/>
      </c>
      <c r="G11766" s="2" t="str">
        <f>"MVSaude / Consultas / Gerenciais ()"</f>
        <v>MVSaude / Consultas / Gerenciais ()</v>
      </c>
    </row>
    <row r="11767" spans="1:7" x14ac:dyDescent="0.3">
      <c r="A11767" s="1" t="s">
        <v>58</v>
      </c>
      <c r="B11767" s="2" t="str">
        <f>""</f>
        <v/>
      </c>
      <c r="C11767" s="2" t="str">
        <f>""</f>
        <v/>
      </c>
      <c r="D11767" s="2" t="str">
        <f>""</f>
        <v/>
      </c>
      <c r="E11767" s="2" t="str">
        <f>""</f>
        <v/>
      </c>
      <c r="F11767" s="2" t="str">
        <f>""</f>
        <v/>
      </c>
      <c r="G11767" s="2" t="str">
        <f>"MVSaude / Relatórios / Tabelas ()"</f>
        <v>MVSaude / Relatórios / Tabelas ()</v>
      </c>
    </row>
    <row r="11768" spans="1:7" x14ac:dyDescent="0.3">
      <c r="A11768" s="1" t="s">
        <v>58</v>
      </c>
      <c r="B11768" s="2" t="str">
        <f>""</f>
        <v/>
      </c>
      <c r="C11768" s="2" t="str">
        <f>""</f>
        <v/>
      </c>
      <c r="D11768" s="2" t="str">
        <f>""</f>
        <v/>
      </c>
      <c r="E11768" s="2" t="str">
        <f>""</f>
        <v/>
      </c>
      <c r="F11768" s="2" t="str">
        <f>""</f>
        <v/>
      </c>
      <c r="G11768" s="2" t="str">
        <f>"MVSaude / Relatórios / Operacionais ()"</f>
        <v>MVSaude / Relatórios / Operacionais ()</v>
      </c>
    </row>
    <row r="11769" spans="1:7" x14ac:dyDescent="0.3">
      <c r="A11769" s="1" t="s">
        <v>58</v>
      </c>
      <c r="B11769" s="2" t="str">
        <f>""</f>
        <v/>
      </c>
      <c r="C11769" s="2" t="str">
        <f>""</f>
        <v/>
      </c>
      <c r="D11769" s="2" t="str">
        <f>""</f>
        <v/>
      </c>
      <c r="E11769" s="2" t="str">
        <f>""</f>
        <v/>
      </c>
      <c r="F11769" s="2" t="str">
        <f>""</f>
        <v/>
      </c>
      <c r="G11769" s="2" t="str">
        <f>"MVSaude / Relatórios / Administrativos ()"</f>
        <v>MVSaude / Relatórios / Administrativos ()</v>
      </c>
    </row>
    <row r="11770" spans="1:7" x14ac:dyDescent="0.3">
      <c r="A11770" s="1" t="s">
        <v>58</v>
      </c>
      <c r="B11770" s="2" t="str">
        <f>""</f>
        <v/>
      </c>
      <c r="C11770" s="2" t="str">
        <f>""</f>
        <v/>
      </c>
      <c r="D11770" s="2" t="str">
        <f>""</f>
        <v/>
      </c>
      <c r="E11770" s="2" t="str">
        <f>""</f>
        <v/>
      </c>
      <c r="F11770" s="2" t="str">
        <f>""</f>
        <v/>
      </c>
      <c r="G11770" s="2" t="str">
        <f>"MVSaude / Relatórios / Atendimentos ()"</f>
        <v>MVSaude / Relatórios / Atendimentos ()</v>
      </c>
    </row>
    <row r="11771" spans="1:7" x14ac:dyDescent="0.3">
      <c r="A11771" s="1" t="s">
        <v>58</v>
      </c>
      <c r="B11771" s="2" t="str">
        <f>""</f>
        <v/>
      </c>
      <c r="C11771" s="2" t="str">
        <f>""</f>
        <v/>
      </c>
      <c r="D11771" s="2" t="str">
        <f>""</f>
        <v/>
      </c>
      <c r="E11771" s="2" t="str">
        <f>""</f>
        <v/>
      </c>
      <c r="F11771" s="2" t="str">
        <f>""</f>
        <v/>
      </c>
      <c r="G11771" s="2" t="str">
        <f>"MVSaude / Relatórios / Vendas ()"</f>
        <v>MVSaude / Relatórios / Vendas ()</v>
      </c>
    </row>
    <row r="11772" spans="1:7" x14ac:dyDescent="0.3">
      <c r="A11772" s="1" t="s">
        <v>58</v>
      </c>
      <c r="B11772" s="2" t="str">
        <f>""</f>
        <v/>
      </c>
      <c r="C11772" s="2" t="str">
        <f>""</f>
        <v/>
      </c>
      <c r="D11772" s="2" t="str">
        <f>""</f>
        <v/>
      </c>
      <c r="E11772" s="2" t="str">
        <f>""</f>
        <v/>
      </c>
      <c r="F11772" s="2" t="str">
        <f>""</f>
        <v/>
      </c>
      <c r="G11772" s="2" t="str">
        <f>"MVSaude / Relatórios / Faturamento ()"</f>
        <v>MVSaude / Relatórios / Faturamento ()</v>
      </c>
    </row>
    <row r="11773" spans="1:7" x14ac:dyDescent="0.3">
      <c r="A11773" s="1" t="s">
        <v>58</v>
      </c>
      <c r="B11773" s="2" t="str">
        <f>""</f>
        <v/>
      </c>
      <c r="C11773" s="2" t="str">
        <f>""</f>
        <v/>
      </c>
      <c r="D11773" s="2" t="str">
        <f>""</f>
        <v/>
      </c>
      <c r="E11773" s="2" t="str">
        <f>""</f>
        <v/>
      </c>
      <c r="F11773" s="2" t="str">
        <f>""</f>
        <v/>
      </c>
      <c r="G11773" s="2" t="str">
        <f>"MVSaude / Relatórios / Contabilidade ()"</f>
        <v>MVSaude / Relatórios / Contabilidade ()</v>
      </c>
    </row>
    <row r="11774" spans="1:7" x14ac:dyDescent="0.3">
      <c r="A11774" s="1" t="s">
        <v>58</v>
      </c>
      <c r="B11774" s="2" t="str">
        <f>""</f>
        <v/>
      </c>
      <c r="C11774" s="2" t="str">
        <f>""</f>
        <v/>
      </c>
      <c r="D11774" s="2" t="str">
        <f>""</f>
        <v/>
      </c>
      <c r="E11774" s="2" t="str">
        <f>""</f>
        <v/>
      </c>
      <c r="F11774" s="2" t="str">
        <f>""</f>
        <v/>
      </c>
      <c r="G11774" s="2" t="str">
        <f>"MVSaude / Relatórios / Contas Médicas ()"</f>
        <v>MVSaude / Relatórios / Contas Médicas ()</v>
      </c>
    </row>
    <row r="11775" spans="1:7" x14ac:dyDescent="0.3">
      <c r="A11775" s="1" t="s">
        <v>58</v>
      </c>
      <c r="B11775" s="2" t="str">
        <f>""</f>
        <v/>
      </c>
      <c r="C11775" s="2" t="str">
        <f>""</f>
        <v/>
      </c>
      <c r="D11775" s="2" t="str">
        <f>""</f>
        <v/>
      </c>
      <c r="E11775" s="2" t="str">
        <f>""</f>
        <v/>
      </c>
      <c r="F11775" s="2" t="str">
        <f>""</f>
        <v/>
      </c>
      <c r="G11775" s="2" t="str">
        <f>"MVSaude / Relatórios / Gerenciais ()"</f>
        <v>MVSaude / Relatórios / Gerenciais ()</v>
      </c>
    </row>
    <row r="11776" spans="1:7" x14ac:dyDescent="0.3">
      <c r="A11776" s="1" t="s">
        <v>58</v>
      </c>
      <c r="B11776" s="2" t="str">
        <f>""</f>
        <v/>
      </c>
      <c r="C11776" s="2" t="str">
        <f>""</f>
        <v/>
      </c>
      <c r="D11776" s="2" t="str">
        <f>""</f>
        <v/>
      </c>
      <c r="E11776" s="2" t="str">
        <f>""</f>
        <v/>
      </c>
      <c r="F11776" s="2" t="str">
        <f>""</f>
        <v/>
      </c>
      <c r="G11776" s="2" t="str">
        <f>"MVSaude / Relatórios / Tabelas / Brasíndice ()"</f>
        <v>MVSaude / Relatórios / Tabelas / Brasíndice ()</v>
      </c>
    </row>
    <row r="11777" spans="1:7" x14ac:dyDescent="0.3">
      <c r="A11777" s="1" t="s">
        <v>58</v>
      </c>
      <c r="B11777" s="2" t="str">
        <f>""</f>
        <v/>
      </c>
      <c r="C11777" s="2" t="str">
        <f>""</f>
        <v/>
      </c>
      <c r="D11777" s="2" t="str">
        <f>""</f>
        <v/>
      </c>
      <c r="E11777" s="2" t="str">
        <f>""</f>
        <v/>
      </c>
      <c r="F11777" s="2" t="str">
        <f>""</f>
        <v/>
      </c>
      <c r="G11777" s="2" t="str">
        <f>"MVSaude / Relatórios / Tabelas / Comercial ()"</f>
        <v>MVSaude / Relatórios / Tabelas / Comercial ()</v>
      </c>
    </row>
    <row r="11778" spans="1:7" x14ac:dyDescent="0.3">
      <c r="A11778" s="1" t="s">
        <v>58</v>
      </c>
      <c r="B11778" s="2" t="str">
        <f>""</f>
        <v/>
      </c>
      <c r="C11778" s="2" t="str">
        <f>""</f>
        <v/>
      </c>
      <c r="D11778" s="2" t="str">
        <f>""</f>
        <v/>
      </c>
      <c r="E11778" s="2" t="str">
        <f>""</f>
        <v/>
      </c>
      <c r="F11778" s="2" t="str">
        <f>""</f>
        <v/>
      </c>
      <c r="G11778" s="2" t="str">
        <f>"MVSaude / Relatórios / Tabelas / Kits ()"</f>
        <v>MVSaude / Relatórios / Tabelas / Kits ()</v>
      </c>
    </row>
    <row r="11779" spans="1:7" x14ac:dyDescent="0.3">
      <c r="A11779" s="1" t="s">
        <v>58</v>
      </c>
      <c r="B11779" s="2" t="str">
        <f>""</f>
        <v/>
      </c>
      <c r="C11779" s="2" t="str">
        <f>""</f>
        <v/>
      </c>
      <c r="D11779" s="2" t="str">
        <f>""</f>
        <v/>
      </c>
      <c r="E11779" s="2" t="str">
        <f>""</f>
        <v/>
      </c>
      <c r="F11779" s="2" t="str">
        <f>""</f>
        <v/>
      </c>
      <c r="G11779" s="2" t="str">
        <f>"MVSaude / Relatórios / Tabelas / Prestadores ()"</f>
        <v>MVSaude / Relatórios / Tabelas / Prestadores ()</v>
      </c>
    </row>
    <row r="11780" spans="1:7" x14ac:dyDescent="0.3">
      <c r="A11780" s="1" t="s">
        <v>58</v>
      </c>
      <c r="B11780" s="2" t="str">
        <f>""</f>
        <v/>
      </c>
      <c r="C11780" s="2" t="str">
        <f>""</f>
        <v/>
      </c>
      <c r="D11780" s="2" t="str">
        <f>""</f>
        <v/>
      </c>
      <c r="E11780" s="2" t="str">
        <f>""</f>
        <v/>
      </c>
      <c r="F11780" s="2" t="str">
        <f>""</f>
        <v/>
      </c>
      <c r="G11780" s="2" t="str">
        <f>"MVSaude / Relatórios / Tabelas / Empresa ()"</f>
        <v>MVSaude / Relatórios / Tabelas / Empresa ()</v>
      </c>
    </row>
    <row r="11781" spans="1:7" x14ac:dyDescent="0.3">
      <c r="A11781" s="1" t="s">
        <v>58</v>
      </c>
      <c r="B11781" s="2" t="str">
        <f>""</f>
        <v/>
      </c>
      <c r="C11781" s="2" t="str">
        <f>""</f>
        <v/>
      </c>
      <c r="D11781" s="2" t="str">
        <f>""</f>
        <v/>
      </c>
      <c r="E11781" s="2" t="str">
        <f>""</f>
        <v/>
      </c>
      <c r="F11781" s="2" t="str">
        <f>""</f>
        <v/>
      </c>
      <c r="G11781" s="2" t="str">
        <f>"MVSaude / Relatórios / Tabelas / Usuario ()"</f>
        <v>MVSaude / Relatórios / Tabelas / Usuario ()</v>
      </c>
    </row>
    <row r="11782" spans="1:7" x14ac:dyDescent="0.3">
      <c r="A11782" s="1" t="s">
        <v>58</v>
      </c>
      <c r="B11782" s="2" t="str">
        <f>""</f>
        <v/>
      </c>
      <c r="C11782" s="2" t="str">
        <f>""</f>
        <v/>
      </c>
      <c r="D11782" s="2" t="str">
        <f>""</f>
        <v/>
      </c>
      <c r="E11782" s="2" t="str">
        <f>""</f>
        <v/>
      </c>
      <c r="F11782" s="2" t="str">
        <f>""</f>
        <v/>
      </c>
      <c r="G11782" s="2" t="str">
        <f>"MVSaude / Relatórios / Tabelas / Contrato ()"</f>
        <v>MVSaude / Relatórios / Tabelas / Contrato ()</v>
      </c>
    </row>
    <row r="11783" spans="1:7" x14ac:dyDescent="0.3">
      <c r="A11783" s="1" t="s">
        <v>58</v>
      </c>
      <c r="B11783" s="2" t="str">
        <f>""</f>
        <v/>
      </c>
      <c r="C11783" s="2" t="str">
        <f>""</f>
        <v/>
      </c>
      <c r="D11783" s="2" t="str">
        <f>""</f>
        <v/>
      </c>
      <c r="E11783" s="2" t="str">
        <f>""</f>
        <v/>
      </c>
      <c r="F11783" s="2" t="str">
        <f>""</f>
        <v/>
      </c>
      <c r="G11783" s="2" t="str">
        <f>"MVSaude / Relatórios / Tabelas / Comercial / Plano ()"</f>
        <v>MVSaude / Relatórios / Tabelas / Comercial / Plano ()</v>
      </c>
    </row>
    <row r="11784" spans="1:7" x14ac:dyDescent="0.3">
      <c r="A11784" s="1" t="s">
        <v>58</v>
      </c>
      <c r="B11784" s="2" t="str">
        <f>""</f>
        <v/>
      </c>
      <c r="C11784" s="2" t="str">
        <f>""</f>
        <v/>
      </c>
      <c r="D11784" s="2" t="str">
        <f>""</f>
        <v/>
      </c>
      <c r="E11784" s="2" t="str">
        <f>""</f>
        <v/>
      </c>
      <c r="F11784" s="2" t="str">
        <f>""</f>
        <v/>
      </c>
      <c r="G11784" s="2" t="str">
        <f>"MVSaude / Relatórios / Tabelas / Faturamento / Valores dos Procedimentos ()"</f>
        <v>MVSaude / Relatórios / Tabelas / Faturamento / Valores dos Procedimentos ()</v>
      </c>
    </row>
    <row r="11785" spans="1:7" x14ac:dyDescent="0.3">
      <c r="A11785" s="1" t="s">
        <v>58</v>
      </c>
      <c r="B11785" s="2" t="str">
        <f>""</f>
        <v/>
      </c>
      <c r="C11785" s="2" t="str">
        <f>""</f>
        <v/>
      </c>
      <c r="D11785" s="2" t="str">
        <f>""</f>
        <v/>
      </c>
      <c r="E11785" s="2" t="str">
        <f>""</f>
        <v/>
      </c>
      <c r="F11785" s="2" t="str">
        <f>""</f>
        <v/>
      </c>
      <c r="G11785" s="2" t="str">
        <f>"MVSaude / Relatórios / Operacionais / Etiquetas para Mala Direta ()"</f>
        <v>MVSaude / Relatórios / Operacionais / Etiquetas para Mala Direta ()</v>
      </c>
    </row>
    <row r="11786" spans="1:7" x14ac:dyDescent="0.3">
      <c r="A11786" s="1" t="s">
        <v>58</v>
      </c>
      <c r="B11786" s="2" t="str">
        <f>""</f>
        <v/>
      </c>
      <c r="C11786" s="2" t="str">
        <f>""</f>
        <v/>
      </c>
      <c r="D11786" s="2" t="str">
        <f>""</f>
        <v/>
      </c>
      <c r="E11786" s="2" t="str">
        <f>""</f>
        <v/>
      </c>
      <c r="F11786" s="2" t="str">
        <f>""</f>
        <v/>
      </c>
      <c r="G11786" s="2" t="str">
        <f>"MVSaude / Relatórios / Operacionais / Cartas para Mala Direta ()"</f>
        <v>MVSaude / Relatórios / Operacionais / Cartas para Mala Direta ()</v>
      </c>
    </row>
    <row r="11787" spans="1:7" x14ac:dyDescent="0.3">
      <c r="A11787" s="1" t="s">
        <v>58</v>
      </c>
      <c r="B11787" s="2" t="str">
        <f>""</f>
        <v/>
      </c>
      <c r="C11787" s="2" t="str">
        <f>""</f>
        <v/>
      </c>
      <c r="D11787" s="2" t="str">
        <f>""</f>
        <v/>
      </c>
      <c r="E11787" s="2" t="str">
        <f>""</f>
        <v/>
      </c>
      <c r="F11787" s="2" t="str">
        <f>""</f>
        <v/>
      </c>
      <c r="G11787" s="2" t="str">
        <f>"MVSaude / Relatórios / Operacionais / ISS ()"</f>
        <v>MVSaude / Relatórios / Operacionais / ISS ()</v>
      </c>
    </row>
    <row r="11788" spans="1:7" x14ac:dyDescent="0.3">
      <c r="A11788" s="1" t="s">
        <v>58</v>
      </c>
      <c r="B11788" s="2" t="str">
        <f>""</f>
        <v/>
      </c>
      <c r="C11788" s="2" t="str">
        <f>""</f>
        <v/>
      </c>
      <c r="D11788" s="2" t="str">
        <f>""</f>
        <v/>
      </c>
      <c r="E11788" s="2" t="str">
        <f>""</f>
        <v/>
      </c>
      <c r="F11788" s="2" t="str">
        <f>""</f>
        <v/>
      </c>
      <c r="G11788" s="2" t="str">
        <f>"MVSaude / Relatórios / Administrativos / Contratos ()"</f>
        <v>MVSaude / Relatórios / Administrativos / Contratos ()</v>
      </c>
    </row>
    <row r="11789" spans="1:7" x14ac:dyDescent="0.3">
      <c r="A11789" s="1" t="s">
        <v>58</v>
      </c>
      <c r="B11789" s="2" t="str">
        <f>""</f>
        <v/>
      </c>
      <c r="C11789" s="2" t="str">
        <f>""</f>
        <v/>
      </c>
      <c r="D11789" s="2" t="str">
        <f>""</f>
        <v/>
      </c>
      <c r="E11789" s="2" t="str">
        <f>""</f>
        <v/>
      </c>
      <c r="F11789" s="2" t="str">
        <f>""</f>
        <v/>
      </c>
      <c r="G11789" s="2" t="str">
        <f>"MVSaude / Relatórios / Administrativos / Cancelamento da Guia ()"</f>
        <v>MVSaude / Relatórios / Administrativos / Cancelamento da Guia ()</v>
      </c>
    </row>
    <row r="11790" spans="1:7" x14ac:dyDescent="0.3">
      <c r="A11790" s="1" t="s">
        <v>58</v>
      </c>
      <c r="B11790" s="2" t="str">
        <f>""</f>
        <v/>
      </c>
      <c r="C11790" s="2" t="str">
        <f>""</f>
        <v/>
      </c>
      <c r="D11790" s="2" t="str">
        <f>""</f>
        <v/>
      </c>
      <c r="E11790" s="2" t="str">
        <f>""</f>
        <v/>
      </c>
      <c r="F11790" s="2" t="str">
        <f>""</f>
        <v/>
      </c>
      <c r="G11790" s="2" t="str">
        <f>"MVSaude / Relatórios / Administrativos / Mensalidades ()"</f>
        <v>MVSaude / Relatórios / Administrativos / Mensalidades ()</v>
      </c>
    </row>
    <row r="11791" spans="1:7" x14ac:dyDescent="0.3">
      <c r="A11791" s="1" t="s">
        <v>58</v>
      </c>
      <c r="B11791" s="2" t="str">
        <f>""</f>
        <v/>
      </c>
      <c r="C11791" s="2" t="str">
        <f>""</f>
        <v/>
      </c>
      <c r="D11791" s="2" t="str">
        <f>""</f>
        <v/>
      </c>
      <c r="E11791" s="2" t="str">
        <f>""</f>
        <v/>
      </c>
      <c r="F11791" s="2" t="str">
        <f>""</f>
        <v/>
      </c>
      <c r="G11791" s="2" t="str">
        <f>"MVSaude / Atendimento / Autorizações de Guias / Internação / Relatórios / Operacionais ()"</f>
        <v>MVSaude / Atendimento / Autorizações de Guias / Internação / Relatórios / Operacionais ()</v>
      </c>
    </row>
    <row r="11792" spans="1:7" x14ac:dyDescent="0.3">
      <c r="A11792" s="1" t="s">
        <v>58</v>
      </c>
      <c r="B11792" s="2" t="str">
        <f>""</f>
        <v/>
      </c>
      <c r="C11792" s="2" t="str">
        <f>""</f>
        <v/>
      </c>
      <c r="D11792" s="2" t="str">
        <f>""</f>
        <v/>
      </c>
      <c r="E11792" s="2" t="str">
        <f>""</f>
        <v/>
      </c>
      <c r="F11792" s="2" t="str">
        <f>""</f>
        <v/>
      </c>
      <c r="G11792" s="2" t="str">
        <f>"MVSaude / Atendimento / Autorizações de Guias / Internação / Relatórios / Operacionais / Pré-Internações ()"</f>
        <v>MVSaude / Atendimento / Autorizações de Guias / Internação / Relatórios / Operacionais / Pré-Internações ()</v>
      </c>
    </row>
    <row r="11793" spans="1:7" x14ac:dyDescent="0.3">
      <c r="A11793" s="1" t="s">
        <v>58</v>
      </c>
      <c r="B11793" s="2" t="str">
        <f>""</f>
        <v/>
      </c>
      <c r="C11793" s="2" t="str">
        <f>""</f>
        <v/>
      </c>
      <c r="D11793" s="2" t="str">
        <f>""</f>
        <v/>
      </c>
      <c r="E11793" s="2" t="str">
        <f>""</f>
        <v/>
      </c>
      <c r="F11793" s="2" t="str">
        <f>""</f>
        <v/>
      </c>
      <c r="G11793" s="2" t="str">
        <f>"MVSaude / Atendimento / Autorizações de Guias / Internação / Relatórios / Operacionais / Internações ()"</f>
        <v>MVSaude / Atendimento / Autorizações de Guias / Internação / Relatórios / Operacionais / Internações ()</v>
      </c>
    </row>
    <row r="11794" spans="1:7" x14ac:dyDescent="0.3">
      <c r="A11794" s="1" t="s">
        <v>58</v>
      </c>
      <c r="B11794" s="2" t="str">
        <f>""</f>
        <v/>
      </c>
      <c r="C11794" s="2" t="str">
        <f>""</f>
        <v/>
      </c>
      <c r="D11794" s="2" t="str">
        <f>""</f>
        <v/>
      </c>
      <c r="E11794" s="2" t="str">
        <f>""</f>
        <v/>
      </c>
      <c r="F11794" s="2" t="str">
        <f>""</f>
        <v/>
      </c>
      <c r="G11794" s="2" t="str">
        <f>"MVSaude / Atendimento / Autorizações de Guias / Internação / Relatórios / Operacionais / Altas ()"</f>
        <v>MVSaude / Atendimento / Autorizações de Guias / Internação / Relatórios / Operacionais / Altas ()</v>
      </c>
    </row>
    <row r="11795" spans="1:7" x14ac:dyDescent="0.3">
      <c r="A11795" s="1" t="s">
        <v>58</v>
      </c>
      <c r="B11795" s="2" t="str">
        <f>""</f>
        <v/>
      </c>
      <c r="C11795" s="2" t="str">
        <f>""</f>
        <v/>
      </c>
      <c r="D11795" s="2" t="str">
        <f>""</f>
        <v/>
      </c>
      <c r="E11795" s="2" t="str">
        <f>""</f>
        <v/>
      </c>
      <c r="F11795" s="2" t="str">
        <f>""</f>
        <v/>
      </c>
      <c r="G11795" s="2" t="str">
        <f>"MVSaude / Atendimento / Autorizações de Guias / Internação / Relatórios / Operacionais / Altas / Lista de Altas Previstas para o Perído ()"</f>
        <v>MVSaude / Atendimento / Autorizações de Guias / Internação / Relatórios / Operacionais / Altas / Lista de Altas Previstas para o Perído ()</v>
      </c>
    </row>
    <row r="11796" spans="1:7" x14ac:dyDescent="0.3">
      <c r="A11796" s="1" t="s">
        <v>58</v>
      </c>
      <c r="B11796" s="2" t="str">
        <f>""</f>
        <v/>
      </c>
      <c r="C11796" s="2" t="str">
        <f>""</f>
        <v/>
      </c>
      <c r="D11796" s="2" t="str">
        <f>""</f>
        <v/>
      </c>
      <c r="E11796" s="2" t="str">
        <f>""</f>
        <v/>
      </c>
      <c r="F11796" s="2" t="str">
        <f>""</f>
        <v/>
      </c>
      <c r="G11796" s="2" t="str">
        <f>"MVSaude / Atendimento / Autorizações de Guias / Internação / Relatórios / Operacionais / Atendimentos ()"</f>
        <v>MVSaude / Atendimento / Autorizações de Guias / Internação / Relatórios / Operacionais / Atendimentos ()</v>
      </c>
    </row>
    <row r="11797" spans="1:7" x14ac:dyDescent="0.3">
      <c r="A11797" s="1" t="s">
        <v>58</v>
      </c>
      <c r="B11797" s="2" t="str">
        <f>""</f>
        <v/>
      </c>
      <c r="C11797" s="2" t="str">
        <f>""</f>
        <v/>
      </c>
      <c r="D11797" s="2" t="str">
        <f>""</f>
        <v/>
      </c>
      <c r="E11797" s="2" t="str">
        <f>""</f>
        <v/>
      </c>
      <c r="F11797" s="2" t="str">
        <f>""</f>
        <v/>
      </c>
      <c r="G11797" s="2" t="str">
        <f>"MVSaude / Atendimento / Autorizações de Guias / Internação / Relatórios / Operacionais / Pacientes ()"</f>
        <v>MVSaude / Atendimento / Autorizações de Guias / Internação / Relatórios / Operacionais / Pacientes ()</v>
      </c>
    </row>
    <row r="11798" spans="1:7" x14ac:dyDescent="0.3">
      <c r="A11798" s="1" t="s">
        <v>58</v>
      </c>
      <c r="B11798" s="2" t="str">
        <f>""</f>
        <v/>
      </c>
      <c r="C11798" s="2" t="str">
        <f>""</f>
        <v/>
      </c>
      <c r="D11798" s="2" t="str">
        <f>""</f>
        <v/>
      </c>
      <c r="E11798" s="2" t="str">
        <f>""</f>
        <v/>
      </c>
      <c r="F11798" s="2" t="str">
        <f>""</f>
        <v/>
      </c>
      <c r="G11798" s="2" t="str">
        <f>"MVSaude / Atendimento / Autorizações de Guias / Internação / Relatórios / Operacionais / Depósito de Pagamento Antecipado ()"</f>
        <v>MVSaude / Atendimento / Autorizações de Guias / Internação / Relatórios / Operacionais / Depósito de Pagamento Antecipado ()</v>
      </c>
    </row>
    <row r="11799" spans="1:7" x14ac:dyDescent="0.3">
      <c r="A11799" s="1" t="s">
        <v>58</v>
      </c>
      <c r="B11799" s="2" t="str">
        <f>""</f>
        <v/>
      </c>
      <c r="C11799" s="2" t="str">
        <f>""</f>
        <v/>
      </c>
      <c r="D11799" s="2" t="str">
        <f>""</f>
        <v/>
      </c>
      <c r="E11799" s="2" t="str">
        <f>""</f>
        <v/>
      </c>
      <c r="F11799" s="2" t="str">
        <f>""</f>
        <v/>
      </c>
      <c r="G11799" s="2" t="str">
        <f>"MVSaude / Atendimento / Autorizações de Guias / Internação / Relatórios / Operacionais / Guias ()"</f>
        <v>MVSaude / Atendimento / Autorizações de Guias / Internação / Relatórios / Operacionais / Guias ()</v>
      </c>
    </row>
    <row r="11800" spans="1:7" x14ac:dyDescent="0.3">
      <c r="A11800" s="1" t="s">
        <v>58</v>
      </c>
      <c r="B11800" s="2" t="str">
        <f>""</f>
        <v/>
      </c>
      <c r="C11800" s="2" t="str">
        <f>""</f>
        <v/>
      </c>
      <c r="D11800" s="2" t="str">
        <f>""</f>
        <v/>
      </c>
      <c r="E11800" s="2" t="str">
        <f>""</f>
        <v/>
      </c>
      <c r="F11800" s="2" t="str">
        <f>""</f>
        <v/>
      </c>
      <c r="G11800" s="2" t="str">
        <f>"MVSaude / Atendimento / Autorizações de Guias / Internação / Relatórios / Estatísticos ()"</f>
        <v>MVSaude / Atendimento / Autorizações de Guias / Internação / Relatórios / Estatísticos ()</v>
      </c>
    </row>
    <row r="11801" spans="1:7" x14ac:dyDescent="0.3">
      <c r="A11801" s="1" t="s">
        <v>58</v>
      </c>
      <c r="B11801" s="2" t="str">
        <f>""</f>
        <v/>
      </c>
      <c r="C11801" s="2" t="str">
        <f>""</f>
        <v/>
      </c>
      <c r="D11801" s="2" t="str">
        <f>""</f>
        <v/>
      </c>
      <c r="E11801" s="2" t="str">
        <f>""</f>
        <v/>
      </c>
      <c r="F11801" s="2" t="str">
        <f>""</f>
        <v/>
      </c>
      <c r="G11801" s="2" t="str">
        <f>"MVSaude / Atendimento / Autorizações de Guias / Internação / Relatórios / Estatísticos / Cid ()"</f>
        <v>MVSaude / Atendimento / Autorizações de Guias / Internação / Relatórios / Estatísticos / Cid ()</v>
      </c>
    </row>
    <row r="11802" spans="1:7" x14ac:dyDescent="0.3">
      <c r="A11802" s="1" t="s">
        <v>58</v>
      </c>
      <c r="B11802" s="2" t="str">
        <f>""</f>
        <v/>
      </c>
      <c r="C11802" s="2" t="str">
        <f>""</f>
        <v/>
      </c>
      <c r="D11802" s="2" t="str">
        <f>""</f>
        <v/>
      </c>
      <c r="E11802" s="2" t="str">
        <f>""</f>
        <v/>
      </c>
      <c r="F11802" s="2" t="str">
        <f>""</f>
        <v/>
      </c>
      <c r="G11802" s="2" t="str">
        <f>"MVSaude / Atendimento / Autorizações de Guias / Internação / Relatórios / Estatísticos / Atendimentos ()"</f>
        <v>MVSaude / Atendimento / Autorizações de Guias / Internação / Relatórios / Estatísticos / Atendimentos ()</v>
      </c>
    </row>
    <row r="11803" spans="1:7" x14ac:dyDescent="0.3">
      <c r="A11803" s="1" t="s">
        <v>58</v>
      </c>
      <c r="B11803" s="2" t="str">
        <f>""</f>
        <v/>
      </c>
      <c r="C11803" s="2" t="str">
        <f>""</f>
        <v/>
      </c>
      <c r="D11803" s="2" t="str">
        <f>""</f>
        <v/>
      </c>
      <c r="E11803" s="2" t="str">
        <f>""</f>
        <v/>
      </c>
      <c r="F11803" s="2" t="str">
        <f>""</f>
        <v/>
      </c>
      <c r="G11803" s="2" t="str">
        <f>"MVSaude / Atendimento / Autorizações de Guias / Internação / Relatórios / Estatísticos / Internações ()"</f>
        <v>MVSaude / Atendimento / Autorizações de Guias / Internação / Relatórios / Estatísticos / Internações ()</v>
      </c>
    </row>
    <row r="11804" spans="1:7" x14ac:dyDescent="0.3">
      <c r="A11804" s="1" t="s">
        <v>58</v>
      </c>
      <c r="B11804" s="2" t="str">
        <f>""</f>
        <v/>
      </c>
      <c r="C11804" s="2" t="str">
        <f>""</f>
        <v/>
      </c>
      <c r="D11804" s="2" t="str">
        <f>""</f>
        <v/>
      </c>
      <c r="E11804" s="2" t="str">
        <f>""</f>
        <v/>
      </c>
      <c r="F11804" s="2" t="str">
        <f>""</f>
        <v/>
      </c>
      <c r="G11804" s="2" t="str">
        <f>"MVSaude / Atendimento / Autorizações de Guias / Internação / Relatórios / Estatísticos / Procedimentos ()"</f>
        <v>MVSaude / Atendimento / Autorizações de Guias / Internação / Relatórios / Estatísticos / Procedimentos ()</v>
      </c>
    </row>
    <row r="11805" spans="1:7" x14ac:dyDescent="0.3">
      <c r="A11805" s="1" t="s">
        <v>58</v>
      </c>
      <c r="B11805" s="2" t="str">
        <f>""</f>
        <v/>
      </c>
      <c r="C11805" s="2" t="str">
        <f>""</f>
        <v/>
      </c>
      <c r="D11805" s="2" t="str">
        <f>""</f>
        <v/>
      </c>
      <c r="E11805" s="2" t="str">
        <f>""</f>
        <v/>
      </c>
      <c r="F11805" s="2" t="str">
        <f>""</f>
        <v/>
      </c>
      <c r="G11805" s="2" t="str">
        <f>"MVSaude / Atendimento / Autorizações de Guias / Internação / Relatórios / Estatísticos / Hospitalar ()"</f>
        <v>MVSaude / Atendimento / Autorizações de Guias / Internação / Relatórios / Estatísticos / Hospitalar ()</v>
      </c>
    </row>
    <row r="11806" spans="1:7" x14ac:dyDescent="0.3">
      <c r="A11806" s="1" t="s">
        <v>58</v>
      </c>
      <c r="B11806" s="2" t="str">
        <f>""</f>
        <v/>
      </c>
      <c r="C11806" s="2" t="str">
        <f>""</f>
        <v/>
      </c>
      <c r="D11806" s="2" t="str">
        <f>""</f>
        <v/>
      </c>
      <c r="E11806" s="2" t="str">
        <f>""</f>
        <v/>
      </c>
      <c r="F11806" s="2" t="str">
        <f>""</f>
        <v/>
      </c>
      <c r="G11806" s="2" t="str">
        <f>"MVSaude / Atendimento / Autorizações de Guias / Internação / Relatórios / Estatísticos / Óbitos ()"</f>
        <v>MVSaude / Atendimento / Autorizações de Guias / Internação / Relatórios / Estatísticos / Óbitos ()</v>
      </c>
    </row>
    <row r="11807" spans="1:7" x14ac:dyDescent="0.3">
      <c r="A11807" s="1" t="s">
        <v>58</v>
      </c>
      <c r="B11807" s="2" t="str">
        <f>""</f>
        <v/>
      </c>
      <c r="C11807" s="2" t="str">
        <f>""</f>
        <v/>
      </c>
      <c r="D11807" s="2" t="str">
        <f>""</f>
        <v/>
      </c>
      <c r="E11807" s="2" t="str">
        <f>""</f>
        <v/>
      </c>
      <c r="F11807" s="2" t="str">
        <f>""</f>
        <v/>
      </c>
      <c r="G11807" s="2" t="str">
        <f>"Faturamento / Faturamento de Convênios e Particulares / Lançamentos / Distribuído ()"</f>
        <v>Faturamento / Faturamento de Convênios e Particulares / Lançamentos / Distribuído ()</v>
      </c>
    </row>
    <row r="11808" spans="1:7" x14ac:dyDescent="0.3">
      <c r="A11808" s="1" t="s">
        <v>58</v>
      </c>
      <c r="B11808" s="2" t="str">
        <f>""</f>
        <v/>
      </c>
      <c r="C11808" s="2" t="str">
        <f>""</f>
        <v/>
      </c>
      <c r="D11808" s="2" t="str">
        <f>""</f>
        <v/>
      </c>
      <c r="E11808" s="2" t="str">
        <f>""</f>
        <v/>
      </c>
      <c r="F11808" s="2" t="str">
        <f>""</f>
        <v/>
      </c>
      <c r="G11808" s="2" t="str">
        <f>"Faturamento / Faturamento de Convênios e Particulares / Lançamentos / Distribuído / Conta Hospitalar ()"</f>
        <v>Faturamento / Faturamento de Convênios e Particulares / Lançamentos / Distribuído / Conta Hospitalar ()</v>
      </c>
    </row>
    <row r="11809" spans="1:7" x14ac:dyDescent="0.3">
      <c r="A11809" s="1" t="s">
        <v>58</v>
      </c>
      <c r="B11809" s="2" t="str">
        <f>""</f>
        <v/>
      </c>
      <c r="C11809" s="2" t="str">
        <f>""</f>
        <v/>
      </c>
      <c r="D11809" s="2" t="str">
        <f>""</f>
        <v/>
      </c>
      <c r="E11809" s="2" t="str">
        <f>""</f>
        <v/>
      </c>
      <c r="F11809" s="2" t="str">
        <f>""</f>
        <v/>
      </c>
      <c r="G11809" s="2" t="str">
        <f>"Faturamento / Faturamento de Convênios e Particulares / Lançamentos / Distribuído / Conta Ambulatorial ()"</f>
        <v>Faturamento / Faturamento de Convênios e Particulares / Lançamentos / Distribuído / Conta Ambulatorial ()</v>
      </c>
    </row>
    <row r="11810" spans="1:7" x14ac:dyDescent="0.3">
      <c r="A11810" s="1" t="s">
        <v>58</v>
      </c>
      <c r="B11810" s="2" t="str">
        <f>""</f>
        <v/>
      </c>
      <c r="C11810" s="2" t="str">
        <f>""</f>
        <v/>
      </c>
      <c r="D11810" s="2" t="str">
        <f>""</f>
        <v/>
      </c>
      <c r="E11810" s="2" t="str">
        <f>""</f>
        <v/>
      </c>
      <c r="F11810" s="2" t="str">
        <f>""</f>
        <v/>
      </c>
      <c r="G11810" s="2" t="str">
        <f>"Atendimento / Internação Domiciliar (Home Care) / Relatórios / Tabelas / Pendências ()"</f>
        <v>Atendimento / Internação Domiciliar (Home Care) / Relatórios / Tabelas / Pendências ()</v>
      </c>
    </row>
    <row r="11811" spans="1:7" x14ac:dyDescent="0.3">
      <c r="A11811" s="1" t="s">
        <v>58</v>
      </c>
      <c r="B11811" s="2" t="str">
        <f>""</f>
        <v/>
      </c>
      <c r="C11811" s="2" t="str">
        <f>""</f>
        <v/>
      </c>
      <c r="D11811" s="2" t="str">
        <f>""</f>
        <v/>
      </c>
      <c r="E11811" s="2" t="str">
        <f>""</f>
        <v/>
      </c>
      <c r="F11811" s="2" t="str">
        <f>""</f>
        <v/>
      </c>
      <c r="G11811" s="2" t="str">
        <f>"Atendimento / Internação Domiciliar (Home Care) / Relatórios / Tabelas / Planos de Cuidados ()"</f>
        <v>Atendimento / Internação Domiciliar (Home Care) / Relatórios / Tabelas / Planos de Cuidados ()</v>
      </c>
    </row>
    <row r="11812" spans="1:7" x14ac:dyDescent="0.3">
      <c r="A11812" s="1" t="s">
        <v>58</v>
      </c>
      <c r="B11812" s="2" t="str">
        <f>""</f>
        <v/>
      </c>
      <c r="C11812" s="2" t="str">
        <f>""</f>
        <v/>
      </c>
      <c r="D11812" s="2" t="str">
        <f>""</f>
        <v/>
      </c>
      <c r="E11812" s="2" t="str">
        <f>""</f>
        <v/>
      </c>
      <c r="F11812" s="2" t="str">
        <f>""</f>
        <v/>
      </c>
      <c r="G11812" s="2" t="str">
        <f>"Atendimento / Internação Domiciliar (Home Care) / Recepção / Pendências do Atendimento ()"</f>
        <v>Atendimento / Internação Domiciliar (Home Care) / Recepção / Pendências do Atendimento ()</v>
      </c>
    </row>
    <row r="11813" spans="1:7" x14ac:dyDescent="0.3">
      <c r="A11813" s="1" t="s">
        <v>58</v>
      </c>
      <c r="B11813" s="2" t="str">
        <f>""</f>
        <v/>
      </c>
      <c r="C11813" s="2" t="str">
        <f>""</f>
        <v/>
      </c>
      <c r="D11813" s="2" t="str">
        <f>""</f>
        <v/>
      </c>
      <c r="E11813" s="2" t="str">
        <f>""</f>
        <v/>
      </c>
      <c r="F11813" s="2" t="str">
        <f>""</f>
        <v/>
      </c>
      <c r="G11813" s="2" t="str">
        <f>"Atendimento / Internação Domiciliar (Home Care) / Recepção / Orçamento ()"</f>
        <v>Atendimento / Internação Domiciliar (Home Care) / Recepção / Orçamento ()</v>
      </c>
    </row>
    <row r="11814" spans="1:7" x14ac:dyDescent="0.3">
      <c r="A11814" s="1" t="s">
        <v>58</v>
      </c>
      <c r="B11814" s="2" t="str">
        <f>""</f>
        <v/>
      </c>
      <c r="C11814" s="2" t="str">
        <f>""</f>
        <v/>
      </c>
      <c r="D11814" s="2" t="str">
        <f>""</f>
        <v/>
      </c>
      <c r="E11814" s="2" t="str">
        <f>""</f>
        <v/>
      </c>
      <c r="F11814" s="2" t="str">
        <f>""</f>
        <v/>
      </c>
      <c r="G11814" s="2" t="str">
        <f>"Atendimento / Internação Domiciliar (Home Care) / Recepção / Alta de Paciente ()"</f>
        <v>Atendimento / Internação Domiciliar (Home Care) / Recepção / Alta de Paciente ()</v>
      </c>
    </row>
    <row r="11815" spans="1:7" x14ac:dyDescent="0.3">
      <c r="A11815" s="1" t="s">
        <v>58</v>
      </c>
      <c r="B11815" s="2" t="str">
        <f>""</f>
        <v/>
      </c>
      <c r="C11815" s="2" t="str">
        <f>""</f>
        <v/>
      </c>
      <c r="D11815" s="2" t="str">
        <f>""</f>
        <v/>
      </c>
      <c r="E11815" s="2" t="str">
        <f>""</f>
        <v/>
      </c>
      <c r="F11815" s="2" t="str">
        <f>""</f>
        <v/>
      </c>
      <c r="G11815" s="2" t="str">
        <f>"Atendimento / Internação Domiciliar (Home Care) / Recepção / Cancelamento de Alta ()"</f>
        <v>Atendimento / Internação Domiciliar (Home Care) / Recepção / Cancelamento de Alta ()</v>
      </c>
    </row>
    <row r="11816" spans="1:7" x14ac:dyDescent="0.3">
      <c r="A11816" s="1" t="s">
        <v>58</v>
      </c>
      <c r="B11816" s="2" t="str">
        <f>""</f>
        <v/>
      </c>
      <c r="C11816" s="2" t="str">
        <f>""</f>
        <v/>
      </c>
      <c r="D11816" s="2" t="str">
        <f>""</f>
        <v/>
      </c>
      <c r="E11816" s="2" t="str">
        <f>""</f>
        <v/>
      </c>
      <c r="F11816" s="2" t="str">
        <f>""</f>
        <v/>
      </c>
      <c r="G11816" s="2" t="str">
        <f>"Atendimento / Internação Domiciliar (Home Care) / Enfermagem / Solicitações ()"</f>
        <v>Atendimento / Internação Domiciliar (Home Care) / Enfermagem / Solicitações ()</v>
      </c>
    </row>
    <row r="11817" spans="1:7" x14ac:dyDescent="0.3">
      <c r="A11817" s="1" t="s">
        <v>58</v>
      </c>
      <c r="B11817" s="2" t="str">
        <f>""</f>
        <v/>
      </c>
      <c r="C11817" s="2" t="str">
        <f>""</f>
        <v/>
      </c>
      <c r="D11817" s="2" t="str">
        <f>""</f>
        <v/>
      </c>
      <c r="E11817" s="2" t="str">
        <f>""</f>
        <v/>
      </c>
      <c r="F11817" s="2" t="str">
        <f>""</f>
        <v/>
      </c>
      <c r="G11817" s="2" t="str">
        <f>"Serviços de Apoio / Central de Materiais Esterilizados ()"</f>
        <v>Serviços de Apoio / Central de Materiais Esterilizados ()</v>
      </c>
    </row>
    <row r="11818" spans="1:7" x14ac:dyDescent="0.3">
      <c r="A11818" s="1" t="s">
        <v>58</v>
      </c>
      <c r="B11818" s="2" t="str">
        <f>""</f>
        <v/>
      </c>
      <c r="C11818" s="2" t="str">
        <f>""</f>
        <v/>
      </c>
      <c r="D11818" s="2" t="str">
        <f>""</f>
        <v/>
      </c>
      <c r="E11818" s="2" t="str">
        <f>""</f>
        <v/>
      </c>
      <c r="F11818" s="2" t="str">
        <f>""</f>
        <v/>
      </c>
      <c r="G11818" s="2" t="str">
        <f>"Serviços de Apoio / Central de Materiais Esterilizados / Solicitações ()"</f>
        <v>Serviços de Apoio / Central de Materiais Esterilizados / Solicitações ()</v>
      </c>
    </row>
    <row r="11819" spans="1:7" x14ac:dyDescent="0.3">
      <c r="A11819" s="1" t="s">
        <v>58</v>
      </c>
      <c r="B11819" s="2" t="str">
        <f>""</f>
        <v/>
      </c>
      <c r="C11819" s="2" t="str">
        <f>""</f>
        <v/>
      </c>
      <c r="D11819" s="2" t="str">
        <f>""</f>
        <v/>
      </c>
      <c r="E11819" s="2" t="str">
        <f>""</f>
        <v/>
      </c>
      <c r="F11819" s="2" t="str">
        <f>""</f>
        <v/>
      </c>
      <c r="G11819" s="2" t="str">
        <f>"Serviços de Apoio / Central de Materiais Esterilizados / Tabelas ()"</f>
        <v>Serviços de Apoio / Central de Materiais Esterilizados / Tabelas ()</v>
      </c>
    </row>
    <row r="11820" spans="1:7" x14ac:dyDescent="0.3">
      <c r="A11820" s="1" t="s">
        <v>58</v>
      </c>
      <c r="B11820" s="2" t="str">
        <f>""</f>
        <v/>
      </c>
      <c r="C11820" s="2" t="str">
        <f>""</f>
        <v/>
      </c>
      <c r="D11820" s="2" t="str">
        <f>""</f>
        <v/>
      </c>
      <c r="E11820" s="2" t="str">
        <f>""</f>
        <v/>
      </c>
      <c r="F11820" s="2" t="str">
        <f>""</f>
        <v/>
      </c>
      <c r="G11820" s="2" t="str">
        <f>"Serviços de Apoio / Central de Materiais Esterilizados / Inventário ()"</f>
        <v>Serviços de Apoio / Central de Materiais Esterilizados / Inventário ()</v>
      </c>
    </row>
    <row r="11821" spans="1:7" x14ac:dyDescent="0.3">
      <c r="A11821" s="1" t="s">
        <v>58</v>
      </c>
      <c r="B11821" s="2" t="str">
        <f>""</f>
        <v/>
      </c>
      <c r="C11821" s="2" t="str">
        <f>""</f>
        <v/>
      </c>
      <c r="D11821" s="2" t="str">
        <f>""</f>
        <v/>
      </c>
      <c r="E11821" s="2" t="str">
        <f>""</f>
        <v/>
      </c>
      <c r="F11821" s="2" t="str">
        <f>""</f>
        <v/>
      </c>
      <c r="G11821" s="2" t="str">
        <f>"Serviços de Apoio / Central de Materiais Esterilizados / Consultas ()"</f>
        <v>Serviços de Apoio / Central de Materiais Esterilizados / Consultas ()</v>
      </c>
    </row>
    <row r="11822" spans="1:7" x14ac:dyDescent="0.3">
      <c r="A11822" s="1" t="s">
        <v>58</v>
      </c>
      <c r="B11822" s="2" t="str">
        <f>""</f>
        <v/>
      </c>
      <c r="C11822" s="2" t="str">
        <f>""</f>
        <v/>
      </c>
      <c r="D11822" s="2" t="str">
        <f>""</f>
        <v/>
      </c>
      <c r="E11822" s="2" t="str">
        <f>""</f>
        <v/>
      </c>
      <c r="F11822" s="2" t="str">
        <f>""</f>
        <v/>
      </c>
      <c r="G11822" s="2" t="str">
        <f>"Serviços de Apoio / Central de Materiais Esterilizados / Relatórios ()"</f>
        <v>Serviços de Apoio / Central de Materiais Esterilizados / Relatórios ()</v>
      </c>
    </row>
    <row r="11823" spans="1:7" x14ac:dyDescent="0.3">
      <c r="A11823" s="1" t="s">
        <v>58</v>
      </c>
      <c r="B11823" s="2" t="str">
        <f>""</f>
        <v/>
      </c>
      <c r="C11823" s="2" t="str">
        <f>""</f>
        <v/>
      </c>
      <c r="D11823" s="2" t="str">
        <f>""</f>
        <v/>
      </c>
      <c r="E11823" s="2" t="str">
        <f>""</f>
        <v/>
      </c>
      <c r="F11823" s="2" t="str">
        <f>""</f>
        <v/>
      </c>
      <c r="G11823" s="2" t="str">
        <f>"Serviços de Apoio / Central de Materiais Esterilizados / Tabelas / Classificação ()"</f>
        <v>Serviços de Apoio / Central de Materiais Esterilizados / Tabelas / Classificação ()</v>
      </c>
    </row>
    <row r="11824" spans="1:7" x14ac:dyDescent="0.3">
      <c r="A11824" s="1" t="s">
        <v>58</v>
      </c>
      <c r="B11824" s="2" t="str">
        <f>""</f>
        <v/>
      </c>
      <c r="C11824" s="2" t="str">
        <f>""</f>
        <v/>
      </c>
      <c r="D11824" s="2" t="str">
        <f>""</f>
        <v/>
      </c>
      <c r="E11824" s="2" t="str">
        <f>""</f>
        <v/>
      </c>
      <c r="F11824" s="2" t="str">
        <f>""</f>
        <v/>
      </c>
      <c r="G11824" s="2" t="str">
        <f>"Serviços de Apoio / Central de Materiais Esterilizados / Configurações / Registro de Setor/Estoque ()"</f>
        <v>Serviços de Apoio / Central de Materiais Esterilizados / Configurações / Registro de Setor/Estoque ()</v>
      </c>
    </row>
    <row r="11825" spans="1:7" x14ac:dyDescent="0.3">
      <c r="A11825" s="1" t="s">
        <v>58</v>
      </c>
      <c r="B11825" s="2" t="str">
        <f>""</f>
        <v/>
      </c>
      <c r="C11825" s="2" t="str">
        <f>""</f>
        <v/>
      </c>
      <c r="D11825" s="2" t="str">
        <f>""</f>
        <v/>
      </c>
      <c r="E11825" s="2" t="str">
        <f>""</f>
        <v/>
      </c>
      <c r="F11825" s="2" t="str">
        <f>""</f>
        <v/>
      </c>
      <c r="G11825" s="2" t="str">
        <f>"Outros / Fusam / Relatórios / Operacionais / Atendimentos por Empresa ()"</f>
        <v>Outros / Fusam / Relatórios / Operacionais / Atendimentos por Empresa ()</v>
      </c>
    </row>
    <row r="11826" spans="1:7" x14ac:dyDescent="0.3">
      <c r="A11826" s="1" t="s">
        <v>58</v>
      </c>
      <c r="B11826" s="2" t="str">
        <f>""</f>
        <v/>
      </c>
      <c r="C11826" s="2" t="str">
        <f>""</f>
        <v/>
      </c>
      <c r="D11826" s="2" t="str">
        <f>""</f>
        <v/>
      </c>
      <c r="E11826" s="2" t="str">
        <f>""</f>
        <v/>
      </c>
      <c r="F11826" s="2" t="str">
        <f>""</f>
        <v/>
      </c>
      <c r="G11826" s="2" t="str">
        <f>"Outros / Fusam / Relatórios / Operacionais / Atendimentos por Convênio ()"</f>
        <v>Outros / Fusam / Relatórios / Operacionais / Atendimentos por Convênio ()</v>
      </c>
    </row>
    <row r="11827" spans="1:7" x14ac:dyDescent="0.3">
      <c r="A11827" s="1" t="s">
        <v>58</v>
      </c>
      <c r="B11827" s="2" t="str">
        <f>""</f>
        <v/>
      </c>
      <c r="C11827" s="2" t="str">
        <f>""</f>
        <v/>
      </c>
      <c r="D11827" s="2" t="str">
        <f>""</f>
        <v/>
      </c>
      <c r="E11827" s="2" t="str">
        <f>""</f>
        <v/>
      </c>
      <c r="F11827" s="2" t="str">
        <f>""</f>
        <v/>
      </c>
      <c r="G11827" s="2" t="str">
        <f>"Outros / Fusam / Relatórios / Operacionais / Atendimentos por Médico ()"</f>
        <v>Outros / Fusam / Relatórios / Operacionais / Atendimentos por Médico ()</v>
      </c>
    </row>
    <row r="11828" spans="1:7" x14ac:dyDescent="0.3">
      <c r="A11828" s="1" t="s">
        <v>58</v>
      </c>
      <c r="B11828" s="2" t="str">
        <f>""</f>
        <v/>
      </c>
      <c r="C11828" s="2" t="str">
        <f>""</f>
        <v/>
      </c>
      <c r="D11828" s="2" t="str">
        <f>""</f>
        <v/>
      </c>
      <c r="E11828" s="2" t="str">
        <f>""</f>
        <v/>
      </c>
      <c r="F11828" s="2" t="str">
        <f>""</f>
        <v/>
      </c>
      <c r="G11828" s="2" t="str">
        <f>"Outros / Fusam / Relatórios / Operacionais / Pacientes Atendidos ()"</f>
        <v>Outros / Fusam / Relatórios / Operacionais / Pacientes Atendidos ()</v>
      </c>
    </row>
    <row r="11829" spans="1:7" x14ac:dyDescent="0.3">
      <c r="A11829" s="1" t="s">
        <v>58</v>
      </c>
      <c r="B11829" s="2" t="str">
        <f>""</f>
        <v/>
      </c>
      <c r="C11829" s="2" t="str">
        <f>""</f>
        <v/>
      </c>
      <c r="D11829" s="2" t="str">
        <f>""</f>
        <v/>
      </c>
      <c r="E11829" s="2" t="str">
        <f>""</f>
        <v/>
      </c>
      <c r="F11829" s="2" t="str">
        <f>""</f>
        <v/>
      </c>
      <c r="G11829" s="2" t="str">
        <f>"Serviços de Apoio / Global ()"</f>
        <v>Serviços de Apoio / Global ()</v>
      </c>
    </row>
    <row r="11830" spans="1:7" x14ac:dyDescent="0.3">
      <c r="A11830" s="1" t="s">
        <v>58</v>
      </c>
      <c r="B11830" s="2" t="str">
        <f>""</f>
        <v/>
      </c>
      <c r="C11830" s="2" t="str">
        <f>""</f>
        <v/>
      </c>
      <c r="D11830" s="2" t="str">
        <f>""</f>
        <v/>
      </c>
      <c r="E11830" s="2" t="str">
        <f>""</f>
        <v/>
      </c>
      <c r="F11830" s="2" t="str">
        <f>""</f>
        <v/>
      </c>
      <c r="G11830" s="2" t="str">
        <f>"Serviços de Apoio / Global / Globais ()"</f>
        <v>Serviços de Apoio / Global / Globais ()</v>
      </c>
    </row>
    <row r="11831" spans="1:7" x14ac:dyDescent="0.3">
      <c r="A11831" s="1" t="s">
        <v>58</v>
      </c>
      <c r="B11831" s="2" t="str">
        <f>""</f>
        <v/>
      </c>
      <c r="C11831" s="2" t="str">
        <f>""</f>
        <v/>
      </c>
      <c r="D11831" s="2" t="str">
        <f>""</f>
        <v/>
      </c>
      <c r="E11831" s="2" t="str">
        <f>""</f>
        <v/>
      </c>
      <c r="F11831" s="2" t="str">
        <f>""</f>
        <v/>
      </c>
      <c r="G11831" s="2" t="str">
        <f>"Outros / Room Service / Relatórios / Tabelas ()"</f>
        <v>Outros / Room Service / Relatórios / Tabelas ()</v>
      </c>
    </row>
    <row r="11832" spans="1:7" x14ac:dyDescent="0.3">
      <c r="A11832" s="1" t="s">
        <v>58</v>
      </c>
      <c r="B11832" s="2" t="str">
        <f>""</f>
        <v/>
      </c>
      <c r="C11832" s="2" t="str">
        <f>""</f>
        <v/>
      </c>
      <c r="D11832" s="2" t="str">
        <f>""</f>
        <v/>
      </c>
      <c r="E11832" s="2" t="str">
        <f>""</f>
        <v/>
      </c>
      <c r="F11832" s="2" t="str">
        <f>""</f>
        <v/>
      </c>
      <c r="G11832" s="2" t="str">
        <f>"Outros / Room Service / Relatórios / Operacionais ()"</f>
        <v>Outros / Room Service / Relatórios / Operacionais ()</v>
      </c>
    </row>
    <row r="11833" spans="1:7" x14ac:dyDescent="0.3">
      <c r="A11833" s="1" t="s">
        <v>58</v>
      </c>
      <c r="B11833" s="2" t="str">
        <f>""</f>
        <v/>
      </c>
      <c r="C11833" s="2" t="str">
        <f>""</f>
        <v/>
      </c>
      <c r="D11833" s="2" t="str">
        <f>""</f>
        <v/>
      </c>
      <c r="E11833" s="2" t="str">
        <f>""</f>
        <v/>
      </c>
      <c r="F11833" s="2" t="str">
        <f>""</f>
        <v/>
      </c>
      <c r="G11833" s="2" t="str">
        <f>"Serviços de Apoio / Serviço Atendimento Cliente ()"</f>
        <v>Serviços de Apoio / Serviço Atendimento Cliente ()</v>
      </c>
    </row>
    <row r="11834" spans="1:7" x14ac:dyDescent="0.3">
      <c r="A11834" s="1" t="s">
        <v>58</v>
      </c>
      <c r="B11834" s="2" t="str">
        <f>""</f>
        <v/>
      </c>
      <c r="C11834" s="2" t="str">
        <f>""</f>
        <v/>
      </c>
      <c r="D11834" s="2" t="str">
        <f>""</f>
        <v/>
      </c>
      <c r="E11834" s="2" t="str">
        <f>""</f>
        <v/>
      </c>
      <c r="F11834" s="2" t="str">
        <f>""</f>
        <v/>
      </c>
      <c r="G11834" s="2" t="str">
        <f>"Serviços de Apoio / Serviço Atendimento Cliente / Atendimento ()"</f>
        <v>Serviços de Apoio / Serviço Atendimento Cliente / Atendimento ()</v>
      </c>
    </row>
    <row r="11835" spans="1:7" x14ac:dyDescent="0.3">
      <c r="A11835" s="1" t="s">
        <v>58</v>
      </c>
      <c r="B11835" s="2" t="str">
        <f>""</f>
        <v/>
      </c>
      <c r="C11835" s="2" t="str">
        <f>""</f>
        <v/>
      </c>
      <c r="D11835" s="2" t="str">
        <f>""</f>
        <v/>
      </c>
      <c r="E11835" s="2" t="str">
        <f>""</f>
        <v/>
      </c>
      <c r="F11835" s="2" t="str">
        <f>""</f>
        <v/>
      </c>
      <c r="G11835" s="2" t="str">
        <f>"Serviços de Apoio / Serviço Atendimento Cliente / Tabelas ()"</f>
        <v>Serviços de Apoio / Serviço Atendimento Cliente / Tabelas ()</v>
      </c>
    </row>
    <row r="11836" spans="1:7" x14ac:dyDescent="0.3">
      <c r="A11836" s="1" t="s">
        <v>58</v>
      </c>
      <c r="B11836" s="2" t="str">
        <f>""</f>
        <v/>
      </c>
      <c r="C11836" s="2" t="str">
        <f>""</f>
        <v/>
      </c>
      <c r="D11836" s="2" t="str">
        <f>""</f>
        <v/>
      </c>
      <c r="E11836" s="2" t="str">
        <f>""</f>
        <v/>
      </c>
      <c r="F11836" s="2" t="str">
        <f>""</f>
        <v/>
      </c>
      <c r="G11836" s="2" t="str">
        <f>"Serviços de Apoio / Serviço Atendimento Cliente / Consulta ()"</f>
        <v>Serviços de Apoio / Serviço Atendimento Cliente / Consulta ()</v>
      </c>
    </row>
    <row r="11837" spans="1:7" x14ac:dyDescent="0.3">
      <c r="A11837" s="1" t="s">
        <v>58</v>
      </c>
      <c r="B11837" s="2" t="str">
        <f>""</f>
        <v/>
      </c>
      <c r="C11837" s="2" t="str">
        <f>""</f>
        <v/>
      </c>
      <c r="D11837" s="2" t="str">
        <f>""</f>
        <v/>
      </c>
      <c r="E11837" s="2" t="str">
        <f>""</f>
        <v/>
      </c>
      <c r="F11837" s="2" t="str">
        <f>""</f>
        <v/>
      </c>
      <c r="G11837" s="2" t="str">
        <f>"Serviços de Apoio / Serviço Atendimento Cliente / Configuração ()"</f>
        <v>Serviços de Apoio / Serviço Atendimento Cliente / Configuração ()</v>
      </c>
    </row>
    <row r="11838" spans="1:7" x14ac:dyDescent="0.3">
      <c r="A11838" s="1" t="s">
        <v>58</v>
      </c>
      <c r="B11838" s="2" t="str">
        <f>""</f>
        <v/>
      </c>
      <c r="C11838" s="2" t="str">
        <f>""</f>
        <v/>
      </c>
      <c r="D11838" s="2" t="str">
        <f>""</f>
        <v/>
      </c>
      <c r="E11838" s="2" t="str">
        <f>""</f>
        <v/>
      </c>
      <c r="F11838" s="2" t="str">
        <f>""</f>
        <v/>
      </c>
      <c r="G11838" s="2" t="str">
        <f>"Serviços de Apoio / Serviço Atendimento Cliente / Relatórios ()"</f>
        <v>Serviços de Apoio / Serviço Atendimento Cliente / Relatórios ()</v>
      </c>
    </row>
    <row r="11839" spans="1:7" x14ac:dyDescent="0.3">
      <c r="A11839" s="1" t="s">
        <v>58</v>
      </c>
      <c r="B11839" s="2" t="str">
        <f>""</f>
        <v/>
      </c>
      <c r="C11839" s="2" t="str">
        <f>""</f>
        <v/>
      </c>
      <c r="D11839" s="2" t="str">
        <f>""</f>
        <v/>
      </c>
      <c r="E11839" s="2" t="str">
        <f>""</f>
        <v/>
      </c>
      <c r="F11839" s="2" t="str">
        <f>""</f>
        <v/>
      </c>
      <c r="G11839" s="2" t="str">
        <f>"Serviços de Apoio / Serviço Atendimento Cliente / Relatórios / Tabelas ()"</f>
        <v>Serviços de Apoio / Serviço Atendimento Cliente / Relatórios / Tabelas ()</v>
      </c>
    </row>
    <row r="11840" spans="1:7" x14ac:dyDescent="0.3">
      <c r="A11840" s="1" t="s">
        <v>58</v>
      </c>
      <c r="B11840" s="2" t="str">
        <f>""</f>
        <v/>
      </c>
      <c r="C11840" s="2" t="str">
        <f>""</f>
        <v/>
      </c>
      <c r="D11840" s="2" t="str">
        <f>""</f>
        <v/>
      </c>
      <c r="E11840" s="2" t="str">
        <f>""</f>
        <v/>
      </c>
      <c r="F11840" s="2" t="str">
        <f>""</f>
        <v/>
      </c>
      <c r="G11840" s="2" t="str">
        <f>"Serviços de Apoio / Serviço Atendimento Cliente / Relatórios / Operacionais ()"</f>
        <v>Serviços de Apoio / Serviço Atendimento Cliente / Relatórios / Operacionais ()</v>
      </c>
    </row>
    <row r="11841" spans="1:7" x14ac:dyDescent="0.3">
      <c r="A11841" s="1" t="s">
        <v>58</v>
      </c>
      <c r="B11841" s="2" t="str">
        <f>""</f>
        <v/>
      </c>
      <c r="C11841" s="2" t="str">
        <f>""</f>
        <v/>
      </c>
      <c r="D11841" s="2" t="str">
        <f>""</f>
        <v/>
      </c>
      <c r="E11841" s="2" t="str">
        <f>""</f>
        <v/>
      </c>
      <c r="F11841" s="2" t="str">
        <f>""</f>
        <v/>
      </c>
      <c r="G11841" s="2" t="str">
        <f>"Serviços de Apoio / Serviço Atendimento Cliente / Relatórios / Estatisticos ()"</f>
        <v>Serviços de Apoio / Serviço Atendimento Cliente / Relatórios / Estatisticos ()</v>
      </c>
    </row>
    <row r="11842" spans="1:7" x14ac:dyDescent="0.3">
      <c r="A11842" s="1" t="s">
        <v>58</v>
      </c>
      <c r="B11842" s="2" t="str">
        <f>""</f>
        <v/>
      </c>
      <c r="C11842" s="2" t="str">
        <f>""</f>
        <v/>
      </c>
      <c r="D11842" s="2" t="str">
        <f>""</f>
        <v/>
      </c>
      <c r="E11842" s="2" t="str">
        <f>""</f>
        <v/>
      </c>
      <c r="F11842" s="2" t="str">
        <f>""</f>
        <v/>
      </c>
      <c r="G11842" s="2" t="str">
        <f>"Outros / Room Service / Pedidos Room Service ()"</f>
        <v>Outros / Room Service / Pedidos Room Service ()</v>
      </c>
    </row>
    <row r="11843" spans="1:7" x14ac:dyDescent="0.3">
      <c r="A11843" s="1" t="s">
        <v>58</v>
      </c>
      <c r="B11843" s="2" t="str">
        <f>""</f>
        <v/>
      </c>
      <c r="C11843" s="2" t="str">
        <f>""</f>
        <v/>
      </c>
      <c r="D11843" s="2" t="str">
        <f>""</f>
        <v/>
      </c>
      <c r="E11843" s="2" t="str">
        <f>""</f>
        <v/>
      </c>
      <c r="F11843" s="2" t="str">
        <f>""</f>
        <v/>
      </c>
      <c r="G11843" s="2" t="str">
        <f>"Outros / Room Service / Consultas ()"</f>
        <v>Outros / Room Service / Consultas ()</v>
      </c>
    </row>
    <row r="11844" spans="1:7" x14ac:dyDescent="0.3">
      <c r="A11844" s="1" t="s">
        <v>58</v>
      </c>
      <c r="B11844" s="2" t="str">
        <f>""</f>
        <v/>
      </c>
      <c r="C11844" s="2" t="str">
        <f>""</f>
        <v/>
      </c>
      <c r="D11844" s="2" t="str">
        <f>""</f>
        <v/>
      </c>
      <c r="E11844" s="2" t="str">
        <f>""</f>
        <v/>
      </c>
      <c r="F11844" s="2" t="str">
        <f>""</f>
        <v/>
      </c>
      <c r="G11844" s="2" t="str">
        <f>"Outros / Room Service / Relatórios ()"</f>
        <v>Outros / Room Service / Relatórios ()</v>
      </c>
    </row>
    <row r="11845" spans="1:7" x14ac:dyDescent="0.3">
      <c r="A11845" s="1" t="s">
        <v>58</v>
      </c>
      <c r="B11845" s="2" t="str">
        <f>""</f>
        <v/>
      </c>
      <c r="C11845" s="2" t="str">
        <f>""</f>
        <v/>
      </c>
      <c r="D11845" s="2" t="str">
        <f>""</f>
        <v/>
      </c>
      <c r="E11845" s="2" t="str">
        <f>""</f>
        <v/>
      </c>
      <c r="F11845" s="2" t="str">
        <f>""</f>
        <v/>
      </c>
      <c r="G11845" s="2" t="s">
        <v>10</v>
      </c>
    </row>
    <row r="11846" spans="1:7" x14ac:dyDescent="0.3">
      <c r="A11846" s="1" t="s">
        <v>58</v>
      </c>
      <c r="B11846" s="2" t="str">
        <f>""</f>
        <v/>
      </c>
      <c r="C11846" s="2" t="str">
        <f>""</f>
        <v/>
      </c>
      <c r="D11846" s="2" t="str">
        <f>""</f>
        <v/>
      </c>
      <c r="E11846" s="2" t="str">
        <f>""</f>
        <v/>
      </c>
      <c r="F11846" s="2" t="str">
        <f>""</f>
        <v/>
      </c>
      <c r="G11846" s="2" t="str">
        <f>"Atendimento / Centro Cirúrgico e Obstétrico / Tabelas / Auditoria de Aviso ()"</f>
        <v>Atendimento / Centro Cirúrgico e Obstétrico / Tabelas / Auditoria de Aviso ()</v>
      </c>
    </row>
    <row r="11847" spans="1:7" x14ac:dyDescent="0.3">
      <c r="A11847" s="1" t="s">
        <v>58</v>
      </c>
      <c r="B11847" s="2" t="str">
        <f>""</f>
        <v/>
      </c>
      <c r="C11847" s="2" t="str">
        <f>""</f>
        <v/>
      </c>
      <c r="D11847" s="2" t="str">
        <f>""</f>
        <v/>
      </c>
      <c r="E11847" s="2" t="str">
        <f>""</f>
        <v/>
      </c>
      <c r="F11847" s="2" t="str">
        <f>""</f>
        <v/>
      </c>
      <c r="G11847" s="2" t="str">
        <f>"Serviços de Apoio / Nutrição e Dietética / Relatórios / Tabelas ()"</f>
        <v>Serviços de Apoio / Nutrição e Dietética / Relatórios / Tabelas ()</v>
      </c>
    </row>
    <row r="11848" spans="1:7" x14ac:dyDescent="0.3">
      <c r="A11848" s="1" t="s">
        <v>58</v>
      </c>
      <c r="B11848" s="2" t="str">
        <f>""</f>
        <v/>
      </c>
      <c r="C11848" s="2" t="str">
        <f>""</f>
        <v/>
      </c>
      <c r="D11848" s="2" t="str">
        <f>""</f>
        <v/>
      </c>
      <c r="E11848" s="2" t="str">
        <f>""</f>
        <v/>
      </c>
      <c r="F11848" s="2" t="str">
        <f>""</f>
        <v/>
      </c>
      <c r="G11848" s="2" t="str">
        <f>"Serviços de Apoio / Nutrição e Dietética / Relatórios / Gerencial ()"</f>
        <v>Serviços de Apoio / Nutrição e Dietética / Relatórios / Gerencial ()</v>
      </c>
    </row>
    <row r="11849" spans="1:7" x14ac:dyDescent="0.3">
      <c r="A11849" s="1" t="s">
        <v>58</v>
      </c>
      <c r="B11849" s="2" t="str">
        <f>""</f>
        <v/>
      </c>
      <c r="C11849" s="2" t="str">
        <f>""</f>
        <v/>
      </c>
      <c r="D11849" s="2" t="str">
        <f>""</f>
        <v/>
      </c>
      <c r="E11849" s="2" t="str">
        <f>""</f>
        <v/>
      </c>
      <c r="F11849" s="2" t="str">
        <f>""</f>
        <v/>
      </c>
      <c r="G11849" s="2" t="str">
        <f>"Outros / Room Service / Configuração ()"</f>
        <v>Outros / Room Service / Configuração ()</v>
      </c>
    </row>
    <row r="11850" spans="1:7" x14ac:dyDescent="0.3">
      <c r="A11850" s="1" t="s">
        <v>58</v>
      </c>
      <c r="B11850" s="2" t="str">
        <f>""</f>
        <v/>
      </c>
      <c r="C11850" s="2" t="str">
        <f>""</f>
        <v/>
      </c>
      <c r="D11850" s="2" t="str">
        <f>""</f>
        <v/>
      </c>
      <c r="E11850" s="2" t="str">
        <f>""</f>
        <v/>
      </c>
      <c r="F11850" s="2" t="str">
        <f>""</f>
        <v/>
      </c>
      <c r="G11850" s="2" t="str">
        <f>"Atendimento / Internação Domiciliar (Home Care) / Relatórios ()"</f>
        <v>Atendimento / Internação Domiciliar (Home Care) / Relatórios ()</v>
      </c>
    </row>
    <row r="11851" spans="1:7" x14ac:dyDescent="0.3">
      <c r="A11851" s="1" t="s">
        <v>58</v>
      </c>
      <c r="B11851" s="2" t="str">
        <f>""</f>
        <v/>
      </c>
      <c r="C11851" s="2" t="str">
        <f>""</f>
        <v/>
      </c>
      <c r="D11851" s="2" t="str">
        <f>""</f>
        <v/>
      </c>
      <c r="E11851" s="2" t="str">
        <f>""</f>
        <v/>
      </c>
      <c r="F11851" s="2" t="str">
        <f>""</f>
        <v/>
      </c>
      <c r="G11851" s="2" t="str">
        <f>"Atendimento / Internação Domiciliar (Home Care) / Tabelas / Prestador ()"</f>
        <v>Atendimento / Internação Domiciliar (Home Care) / Tabelas / Prestador ()</v>
      </c>
    </row>
    <row r="11852" spans="1:7" x14ac:dyDescent="0.3">
      <c r="A11852" s="1" t="s">
        <v>58</v>
      </c>
      <c r="B11852" s="2" t="str">
        <f>""</f>
        <v/>
      </c>
      <c r="C11852" s="2" t="str">
        <f>""</f>
        <v/>
      </c>
      <c r="D11852" s="2" t="str">
        <f>""</f>
        <v/>
      </c>
      <c r="E11852" s="2" t="str">
        <f>""</f>
        <v/>
      </c>
      <c r="F11852" s="2" t="str">
        <f>""</f>
        <v/>
      </c>
      <c r="G11852" s="2" t="str">
        <f>"Atendimento / Internação Domiciliar (Home Care) / Relatórios / Operacionais ()"</f>
        <v>Atendimento / Internação Domiciliar (Home Care) / Relatórios / Operacionais ()</v>
      </c>
    </row>
    <row r="11853" spans="1:7" x14ac:dyDescent="0.3">
      <c r="A11853" s="1" t="s">
        <v>58</v>
      </c>
      <c r="B11853" s="2" t="str">
        <f>""</f>
        <v/>
      </c>
      <c r="C11853" s="2" t="str">
        <f>""</f>
        <v/>
      </c>
      <c r="D11853" s="2" t="str">
        <f>""</f>
        <v/>
      </c>
      <c r="E11853" s="2" t="str">
        <f>""</f>
        <v/>
      </c>
      <c r="F11853" s="2" t="str">
        <f>""</f>
        <v/>
      </c>
      <c r="G11853" s="2" t="str">
        <f>"Serviços de Apoio / Central de Materiais Esterilizados / Configurações ()"</f>
        <v>Serviços de Apoio / Central de Materiais Esterilizados / Configurações ()</v>
      </c>
    </row>
    <row r="11854" spans="1:7" x14ac:dyDescent="0.3">
      <c r="A11854" s="1" t="s">
        <v>58</v>
      </c>
      <c r="B11854" s="2" t="str">
        <f>""</f>
        <v/>
      </c>
      <c r="C11854" s="2" t="str">
        <f>""</f>
        <v/>
      </c>
      <c r="D11854" s="2" t="str">
        <f>""</f>
        <v/>
      </c>
      <c r="E11854" s="2" t="str">
        <f>""</f>
        <v/>
      </c>
      <c r="F11854" s="2" t="str">
        <f>""</f>
        <v/>
      </c>
      <c r="G11854" s="2" t="str">
        <f>"Materiais e Logística / Compras / Relatórios / Tabelas / Certificação ISO ()"</f>
        <v>Materiais e Logística / Compras / Relatórios / Tabelas / Certificação ISO ()</v>
      </c>
    </row>
    <row r="11855" spans="1:7" x14ac:dyDescent="0.3">
      <c r="A11855" s="1" t="s">
        <v>58</v>
      </c>
      <c r="B11855" s="2" t="str">
        <f>""</f>
        <v/>
      </c>
      <c r="C11855" s="2" t="str">
        <f>""</f>
        <v/>
      </c>
      <c r="D11855" s="2" t="str">
        <f>""</f>
        <v/>
      </c>
      <c r="E11855" s="2" t="str">
        <f>""</f>
        <v/>
      </c>
      <c r="F11855" s="2" t="str">
        <f>""</f>
        <v/>
      </c>
      <c r="G11855" s="2" t="str">
        <f>"Serviços de Apoio / Manutenção ()"</f>
        <v>Serviços de Apoio / Manutenção ()</v>
      </c>
    </row>
    <row r="11856" spans="1:7" x14ac:dyDescent="0.3">
      <c r="A11856" s="1" t="s">
        <v>58</v>
      </c>
      <c r="B11856" s="2" t="str">
        <f>""</f>
        <v/>
      </c>
      <c r="C11856" s="2" t="str">
        <f>""</f>
        <v/>
      </c>
      <c r="D11856" s="2" t="str">
        <f>""</f>
        <v/>
      </c>
      <c r="E11856" s="2" t="str">
        <f>""</f>
        <v/>
      </c>
      <c r="F11856" s="2" t="str">
        <f>""</f>
        <v/>
      </c>
      <c r="G11856" s="2" t="str">
        <f>"Atendimento / Internação Domiciliar (Home Care) / Relatórios / Tabelas ()"</f>
        <v>Atendimento / Internação Domiciliar (Home Care) / Relatórios / Tabelas ()</v>
      </c>
    </row>
    <row r="11857" spans="1:7" x14ac:dyDescent="0.3">
      <c r="A11857" s="1" t="s">
        <v>58</v>
      </c>
      <c r="B11857" s="2" t="str">
        <f>""</f>
        <v/>
      </c>
      <c r="C11857" s="2" t="str">
        <f>""</f>
        <v/>
      </c>
      <c r="D11857" s="2" t="str">
        <f>""</f>
        <v/>
      </c>
      <c r="E11857" s="2" t="str">
        <f>""</f>
        <v/>
      </c>
      <c r="F11857" s="2" t="str">
        <f>""</f>
        <v/>
      </c>
      <c r="G11857" s="2" t="str">
        <f>"Materiais e Logística / Almoxarifado ()"</f>
        <v>Materiais e Logística / Almoxarifado ()</v>
      </c>
    </row>
    <row r="11858" spans="1:7" x14ac:dyDescent="0.3">
      <c r="A11858" s="1" t="s">
        <v>58</v>
      </c>
      <c r="B11858" s="2" t="str">
        <f>""</f>
        <v/>
      </c>
      <c r="C11858" s="2" t="str">
        <f>""</f>
        <v/>
      </c>
      <c r="D11858" s="2" t="str">
        <f>""</f>
        <v/>
      </c>
      <c r="E11858" s="2" t="str">
        <f>""</f>
        <v/>
      </c>
      <c r="F11858" s="2" t="str">
        <f>""</f>
        <v/>
      </c>
      <c r="G11858" s="2" t="str">
        <f>"Materiais e Logística / Almoxarifado / Consultas ()"</f>
        <v>Materiais e Logística / Almoxarifado / Consultas ()</v>
      </c>
    </row>
    <row r="11859" spans="1:7" x14ac:dyDescent="0.3">
      <c r="A11859" s="1" t="s">
        <v>58</v>
      </c>
      <c r="B11859" s="2" t="str">
        <f>""</f>
        <v/>
      </c>
      <c r="C11859" s="2" t="str">
        <f>""</f>
        <v/>
      </c>
      <c r="D11859" s="2" t="str">
        <f>""</f>
        <v/>
      </c>
      <c r="E11859" s="2" t="str">
        <f>""</f>
        <v/>
      </c>
      <c r="F11859" s="2" t="str">
        <f>""</f>
        <v/>
      </c>
      <c r="G11859" s="2" t="str">
        <f>"Materiais e Logística / Almoxarifado / Tabelas / Classificação dos Produtos ()"</f>
        <v>Materiais e Logística / Almoxarifado / Tabelas / Classificação dos Produtos ()</v>
      </c>
    </row>
    <row r="11860" spans="1:7" x14ac:dyDescent="0.3">
      <c r="A11860" s="1" t="s">
        <v>58</v>
      </c>
      <c r="B11860" s="2" t="str">
        <f>""</f>
        <v/>
      </c>
      <c r="C11860" s="2" t="str">
        <f>""</f>
        <v/>
      </c>
      <c r="D11860" s="2" t="str">
        <f>""</f>
        <v/>
      </c>
      <c r="E11860" s="2" t="str">
        <f>""</f>
        <v/>
      </c>
      <c r="F11860" s="2" t="str">
        <f>""</f>
        <v/>
      </c>
      <c r="G11860" s="2" t="str">
        <f>"Apoio a TI / Gestão de Usuários / Administração do Sistema / Integração ()"</f>
        <v>Apoio a TI / Gestão de Usuários / Administração do Sistema / Integração ()</v>
      </c>
    </row>
    <row r="11861" spans="1:7" x14ac:dyDescent="0.3">
      <c r="A11861" s="1" t="s">
        <v>58</v>
      </c>
      <c r="B11861" s="2" t="str">
        <f>""</f>
        <v/>
      </c>
      <c r="C11861" s="2" t="str">
        <f>""</f>
        <v/>
      </c>
      <c r="D11861" s="2" t="str">
        <f>""</f>
        <v/>
      </c>
      <c r="E11861" s="2" t="str">
        <f>""</f>
        <v/>
      </c>
      <c r="F11861" s="2" t="str">
        <f>""</f>
        <v/>
      </c>
      <c r="G11861" s="2" t="str">
        <f>"Apoio a TI / Gestão de Usuários / Administração do Sistema / Auditoria / Manutenção ()"</f>
        <v>Apoio a TI / Gestão de Usuários / Administração do Sistema / Auditoria / Manutenção ()</v>
      </c>
    </row>
    <row r="11862" spans="1:7" x14ac:dyDescent="0.3">
      <c r="A11862" s="1" t="s">
        <v>58</v>
      </c>
      <c r="B11862" s="2" t="str">
        <f>""</f>
        <v/>
      </c>
      <c r="C11862" s="2" t="str">
        <f>""</f>
        <v/>
      </c>
      <c r="D11862" s="2" t="str">
        <f>""</f>
        <v/>
      </c>
      <c r="E11862" s="2" t="str">
        <f>""</f>
        <v/>
      </c>
      <c r="F11862" s="2" t="str">
        <f>""</f>
        <v/>
      </c>
      <c r="G11862" s="2" t="str">
        <f>"Atendimento / Centro Cirúrgico e Obstétrico / Relatórios / Estoque ()"</f>
        <v>Atendimento / Centro Cirúrgico e Obstétrico / Relatórios / Estoque ()</v>
      </c>
    </row>
    <row r="11863" spans="1:7" x14ac:dyDescent="0.3">
      <c r="A11863" s="1" t="s">
        <v>58</v>
      </c>
      <c r="B11863" s="2" t="str">
        <f>""</f>
        <v/>
      </c>
      <c r="C11863" s="2" t="str">
        <f>""</f>
        <v/>
      </c>
      <c r="D11863" s="2" t="str">
        <f>""</f>
        <v/>
      </c>
      <c r="E11863" s="2" t="str">
        <f>""</f>
        <v/>
      </c>
      <c r="F11863" s="2" t="str">
        <f>""</f>
        <v/>
      </c>
      <c r="G11863" s="2" t="str">
        <f>"Serviços de Apoio / Higienização / Relatórios / Estatísticos ()"</f>
        <v>Serviços de Apoio / Higienização / Relatórios / Estatísticos ()</v>
      </c>
    </row>
    <row r="11864" spans="1:7" x14ac:dyDescent="0.3">
      <c r="A11864" s="1" t="s">
        <v>58</v>
      </c>
      <c r="B11864" s="2" t="str">
        <f>""</f>
        <v/>
      </c>
      <c r="C11864" s="2" t="str">
        <f>""</f>
        <v/>
      </c>
      <c r="D11864" s="2" t="str">
        <f>""</f>
        <v/>
      </c>
      <c r="E11864" s="2" t="str">
        <f>""</f>
        <v/>
      </c>
      <c r="F11864" s="2" t="str">
        <f>""</f>
        <v/>
      </c>
      <c r="G11864" s="2" t="str">
        <f>"Serviços de Apoio / Global / Relatórios / Globais ()"</f>
        <v>Serviços de Apoio / Global / Relatórios / Globais ()</v>
      </c>
    </row>
    <row r="11865" spans="1:7" x14ac:dyDescent="0.3">
      <c r="A11865" s="1" t="s">
        <v>58</v>
      </c>
      <c r="B11865" s="2" t="str">
        <f>""</f>
        <v/>
      </c>
      <c r="C11865" s="2" t="str">
        <f>""</f>
        <v/>
      </c>
      <c r="D11865" s="2" t="str">
        <f>""</f>
        <v/>
      </c>
      <c r="E11865" s="2" t="str">
        <f>""</f>
        <v/>
      </c>
      <c r="F11865" s="2" t="str">
        <f>""</f>
        <v/>
      </c>
      <c r="G11865" s="2" t="str">
        <f>"Serviços de Apoio / Global / Relatórios / Auxiliares ()"</f>
        <v>Serviços de Apoio / Global / Relatórios / Auxiliares ()</v>
      </c>
    </row>
    <row r="11866" spans="1:7" x14ac:dyDescent="0.3">
      <c r="A11866" s="1" t="s">
        <v>58</v>
      </c>
      <c r="B11866" s="2" t="str">
        <f>""</f>
        <v/>
      </c>
      <c r="C11866" s="2" t="str">
        <f>""</f>
        <v/>
      </c>
      <c r="D11866" s="2" t="str">
        <f>""</f>
        <v/>
      </c>
      <c r="E11866" s="2" t="str">
        <f>""</f>
        <v/>
      </c>
      <c r="F11866" s="2" t="str">
        <f>""</f>
        <v/>
      </c>
      <c r="G11866" s="2" t="str">
        <f>"Serviços de Apoio / Global / Relatórios / Prestadores ()"</f>
        <v>Serviços de Apoio / Global / Relatórios / Prestadores ()</v>
      </c>
    </row>
    <row r="11867" spans="1:7" x14ac:dyDescent="0.3">
      <c r="A11867" s="1" t="s">
        <v>58</v>
      </c>
      <c r="B11867" s="2" t="str">
        <f>""</f>
        <v/>
      </c>
      <c r="C11867" s="2" t="str">
        <f>""</f>
        <v/>
      </c>
      <c r="D11867" s="2" t="str">
        <f>""</f>
        <v/>
      </c>
      <c r="E11867" s="2" t="str">
        <f>""</f>
        <v/>
      </c>
      <c r="F11867" s="2" t="str">
        <f>""</f>
        <v/>
      </c>
      <c r="G11867" s="2" t="str">
        <f>"Atendimento / Internação Domiciliar (Home Care) ()"</f>
        <v>Atendimento / Internação Domiciliar (Home Care) ()</v>
      </c>
    </row>
    <row r="11868" spans="1:7" x14ac:dyDescent="0.3">
      <c r="A11868" s="1" t="s">
        <v>58</v>
      </c>
      <c r="B11868" s="2" t="str">
        <f>""</f>
        <v/>
      </c>
      <c r="C11868" s="2" t="str">
        <f>""</f>
        <v/>
      </c>
      <c r="D11868" s="2" t="str">
        <f>""</f>
        <v/>
      </c>
      <c r="E11868" s="2" t="str">
        <f>""</f>
        <v/>
      </c>
      <c r="F11868" s="2" t="str">
        <f>""</f>
        <v/>
      </c>
      <c r="G11868" s="2" t="str">
        <f>"Atendimento / Internação Domiciliar (Home Care) / Recepção ()"</f>
        <v>Atendimento / Internação Domiciliar (Home Care) / Recepção ()</v>
      </c>
    </row>
    <row r="11869" spans="1:7" x14ac:dyDescent="0.3">
      <c r="A11869" s="1" t="s">
        <v>58</v>
      </c>
      <c r="B11869" s="2" t="str">
        <f>""</f>
        <v/>
      </c>
      <c r="C11869" s="2" t="str">
        <f>""</f>
        <v/>
      </c>
      <c r="D11869" s="2" t="str">
        <f>""</f>
        <v/>
      </c>
      <c r="E11869" s="2" t="str">
        <f>""</f>
        <v/>
      </c>
      <c r="F11869" s="2" t="str">
        <f>""</f>
        <v/>
      </c>
      <c r="G11869" s="2" t="str">
        <f>"Atendimento / Internação Domiciliar (Home Care) / Solicitações ()"</f>
        <v>Atendimento / Internação Domiciliar (Home Care) / Solicitações ()</v>
      </c>
    </row>
    <row r="11870" spans="1:7" x14ac:dyDescent="0.3">
      <c r="A11870" s="1" t="s">
        <v>58</v>
      </c>
      <c r="B11870" s="2" t="str">
        <f>""</f>
        <v/>
      </c>
      <c r="C11870" s="2" t="str">
        <f>""</f>
        <v/>
      </c>
      <c r="D11870" s="2" t="str">
        <f>""</f>
        <v/>
      </c>
      <c r="E11870" s="2" t="str">
        <f>""</f>
        <v/>
      </c>
      <c r="F11870" s="2" t="str">
        <f>""</f>
        <v/>
      </c>
      <c r="G11870" s="2" t="str">
        <f>"Atendimento / Internação Domiciliar (Home Care) / Configurações ()"</f>
        <v>Atendimento / Internação Domiciliar (Home Care) / Configurações ()</v>
      </c>
    </row>
    <row r="11871" spans="1:7" x14ac:dyDescent="0.3">
      <c r="A11871" s="1" t="s">
        <v>58</v>
      </c>
      <c r="B11871" s="2" t="str">
        <f>""</f>
        <v/>
      </c>
      <c r="C11871" s="2" t="str">
        <f>""</f>
        <v/>
      </c>
      <c r="D11871" s="2" t="str">
        <f>""</f>
        <v/>
      </c>
      <c r="E11871" s="2" t="str">
        <f>""</f>
        <v/>
      </c>
      <c r="F11871" s="2" t="str">
        <f>""</f>
        <v/>
      </c>
      <c r="G11871" s="2" t="str">
        <f>"Atendimento / Internação Domiciliar (Home Care) / Logística ()"</f>
        <v>Atendimento / Internação Domiciliar (Home Care) / Logística ()</v>
      </c>
    </row>
    <row r="11872" spans="1:7" x14ac:dyDescent="0.3">
      <c r="A11872" s="1" t="s">
        <v>58</v>
      </c>
      <c r="B11872" s="2" t="str">
        <f>""</f>
        <v/>
      </c>
      <c r="C11872" s="2" t="str">
        <f>""</f>
        <v/>
      </c>
      <c r="D11872" s="2" t="str">
        <f>""</f>
        <v/>
      </c>
      <c r="E11872" s="2" t="str">
        <f>""</f>
        <v/>
      </c>
      <c r="F11872" s="2" t="str">
        <f>""</f>
        <v/>
      </c>
      <c r="G11872" s="2" t="str">
        <f>"Atendimento / Internação Domiciliar (Home Care) / Enfermagem ()"</f>
        <v>Atendimento / Internação Domiciliar (Home Care) / Enfermagem ()</v>
      </c>
    </row>
    <row r="11873" spans="1:7" x14ac:dyDescent="0.3">
      <c r="A11873" s="1" t="s">
        <v>58</v>
      </c>
      <c r="B11873" s="2" t="str">
        <f>""</f>
        <v/>
      </c>
      <c r="C11873" s="2" t="str">
        <f>""</f>
        <v/>
      </c>
      <c r="D11873" s="2" t="str">
        <f>""</f>
        <v/>
      </c>
      <c r="E11873" s="2" t="str">
        <f>""</f>
        <v/>
      </c>
      <c r="F11873" s="2" t="str">
        <f>""</f>
        <v/>
      </c>
      <c r="G11873" s="2" t="str">
        <f>"Atendimento / Internação Domiciliar (Home Care) / Opções Médicas ()"</f>
        <v>Atendimento / Internação Domiciliar (Home Care) / Opções Médicas ()</v>
      </c>
    </row>
    <row r="11874" spans="1:7" x14ac:dyDescent="0.3">
      <c r="A11874" s="1" t="s">
        <v>58</v>
      </c>
      <c r="B11874" s="2" t="str">
        <f>""</f>
        <v/>
      </c>
      <c r="C11874" s="2" t="str">
        <f>""</f>
        <v/>
      </c>
      <c r="D11874" s="2" t="str">
        <f>""</f>
        <v/>
      </c>
      <c r="E11874" s="2" t="str">
        <f>""</f>
        <v/>
      </c>
      <c r="F11874" s="2" t="str">
        <f>""</f>
        <v/>
      </c>
      <c r="G11874" s="2" t="str">
        <f>"Atendimento / Internação Domiciliar (Home Care) / Estoque ()"</f>
        <v>Atendimento / Internação Domiciliar (Home Care) / Estoque ()</v>
      </c>
    </row>
    <row r="11875" spans="1:7" x14ac:dyDescent="0.3">
      <c r="A11875" s="1" t="s">
        <v>58</v>
      </c>
      <c r="B11875" s="2" t="str">
        <f>""</f>
        <v/>
      </c>
      <c r="C11875" s="2" t="str">
        <f>""</f>
        <v/>
      </c>
      <c r="D11875" s="2" t="str">
        <f>""</f>
        <v/>
      </c>
      <c r="E11875" s="2" t="str">
        <f>""</f>
        <v/>
      </c>
      <c r="F11875" s="2" t="str">
        <f>""</f>
        <v/>
      </c>
      <c r="G11875" s="2" t="str">
        <f>"Atendimento / Internação Domiciliar (Home Care) / Tabelas ()"</f>
        <v>Atendimento / Internação Domiciliar (Home Care) / Tabelas ()</v>
      </c>
    </row>
    <row r="11876" spans="1:7" x14ac:dyDescent="0.3">
      <c r="A11876" s="1" t="s">
        <v>58</v>
      </c>
      <c r="B11876" s="2" t="str">
        <f>""</f>
        <v/>
      </c>
      <c r="C11876" s="2" t="str">
        <f>""</f>
        <v/>
      </c>
      <c r="D11876" s="2" t="str">
        <f>""</f>
        <v/>
      </c>
      <c r="E11876" s="2" t="str">
        <f>""</f>
        <v/>
      </c>
      <c r="F11876" s="2" t="str">
        <f>""</f>
        <v/>
      </c>
      <c r="G11876" s="2" t="str">
        <f>"Atendimento / Internação Domiciliar (Home Care) / Consultas ()"</f>
        <v>Atendimento / Internação Domiciliar (Home Care) / Consultas ()</v>
      </c>
    </row>
    <row r="11877" spans="1:7" x14ac:dyDescent="0.3">
      <c r="A11877" s="1" t="s">
        <v>58</v>
      </c>
      <c r="B11877" s="2" t="str">
        <f>""</f>
        <v/>
      </c>
      <c r="C11877" s="2" t="str">
        <f>""</f>
        <v/>
      </c>
      <c r="D11877" s="2" t="str">
        <f>""</f>
        <v/>
      </c>
      <c r="E11877" s="2" t="str">
        <f>""</f>
        <v/>
      </c>
      <c r="F11877" s="2" t="str">
        <f>""</f>
        <v/>
      </c>
      <c r="G11877" s="2" t="str">
        <f>"Atendimento / Internação Domiciliar (Home Care) / Tabelas / Pendências ()"</f>
        <v>Atendimento / Internação Domiciliar (Home Care) / Tabelas / Pendências ()</v>
      </c>
    </row>
    <row r="11878" spans="1:7" x14ac:dyDescent="0.3">
      <c r="A11878" s="1" t="s">
        <v>58</v>
      </c>
      <c r="B11878" s="2" t="str">
        <f>""</f>
        <v/>
      </c>
      <c r="C11878" s="2" t="str">
        <f>""</f>
        <v/>
      </c>
      <c r="D11878" s="2" t="str">
        <f>""</f>
        <v/>
      </c>
      <c r="E11878" s="2" t="str">
        <f>""</f>
        <v/>
      </c>
      <c r="F11878" s="2" t="str">
        <f>""</f>
        <v/>
      </c>
      <c r="G11878" s="2" t="str">
        <f>"Atendimento / Internação Domiciliar (Home Care) / Tabelas / Plano de Cuidados ()"</f>
        <v>Atendimento / Internação Domiciliar (Home Care) / Tabelas / Plano de Cuidados ()</v>
      </c>
    </row>
    <row r="11879" spans="1:7" x14ac:dyDescent="0.3">
      <c r="A11879" s="1" t="s">
        <v>58</v>
      </c>
      <c r="B11879" s="2" t="str">
        <f>""</f>
        <v/>
      </c>
      <c r="C11879" s="2" t="str">
        <f>""</f>
        <v/>
      </c>
      <c r="D11879" s="2" t="str">
        <f>""</f>
        <v/>
      </c>
      <c r="E11879" s="2" t="str">
        <f>""</f>
        <v/>
      </c>
      <c r="F11879" s="2" t="str">
        <f>""</f>
        <v/>
      </c>
      <c r="G11879" s="2" t="str">
        <f>"Atendimento / Internação Domiciliar (Home Care) / Relatórios / Estatísticos ()"</f>
        <v>Atendimento / Internação Domiciliar (Home Care) / Relatórios / Estatísticos ()</v>
      </c>
    </row>
    <row r="11880" spans="1:7" x14ac:dyDescent="0.3">
      <c r="A11880" s="1" t="s">
        <v>58</v>
      </c>
      <c r="B11880" s="2" t="str">
        <f>""</f>
        <v/>
      </c>
      <c r="C11880" s="2" t="str">
        <f>""</f>
        <v/>
      </c>
      <c r="D11880" s="2" t="str">
        <f>""</f>
        <v/>
      </c>
      <c r="E11880" s="2" t="str">
        <f>""</f>
        <v/>
      </c>
      <c r="F11880" s="2" t="str">
        <f>""</f>
        <v/>
      </c>
      <c r="G11880" s="2" t="str">
        <f>"Atendimento / Internação Domiciliar (Home Care) / Relatórios / Estoque ()"</f>
        <v>Atendimento / Internação Domiciliar (Home Care) / Relatórios / Estoque ()</v>
      </c>
    </row>
    <row r="11881" spans="1:7" x14ac:dyDescent="0.3">
      <c r="A11881" s="1" t="s">
        <v>58</v>
      </c>
      <c r="B11881" s="2" t="str">
        <f>""</f>
        <v/>
      </c>
      <c r="C11881" s="2" t="str">
        <f>""</f>
        <v/>
      </c>
      <c r="D11881" s="2" t="str">
        <f>""</f>
        <v/>
      </c>
      <c r="E11881" s="2" t="str">
        <f>""</f>
        <v/>
      </c>
      <c r="F11881" s="2" t="str">
        <f>""</f>
        <v/>
      </c>
      <c r="G11881" s="2" t="str">
        <f>"Atendimento / Internação Domiciliar (Home Care) / Relatórios / Internados ()"</f>
        <v>Atendimento / Internação Domiciliar (Home Care) / Relatórios / Internados ()</v>
      </c>
    </row>
    <row r="11882" spans="1:7" x14ac:dyDescent="0.3">
      <c r="A11882" s="1" t="s">
        <v>58</v>
      </c>
      <c r="B11882" s="2" t="str">
        <f>""</f>
        <v/>
      </c>
      <c r="C11882" s="2" t="str">
        <f>""</f>
        <v/>
      </c>
      <c r="D11882" s="2" t="str">
        <f>""</f>
        <v/>
      </c>
      <c r="E11882" s="2" t="str">
        <f>""</f>
        <v/>
      </c>
      <c r="F11882" s="2" t="str">
        <f>""</f>
        <v/>
      </c>
      <c r="G11882" s="2" t="str">
        <f>"Serviços de Apoio / Global / Auxiliares ()"</f>
        <v>Serviços de Apoio / Global / Auxiliares ()</v>
      </c>
    </row>
    <row r="11883" spans="1:7" x14ac:dyDescent="0.3">
      <c r="A11883" s="1" t="s">
        <v>58</v>
      </c>
      <c r="B11883" s="2" t="str">
        <f>""</f>
        <v/>
      </c>
      <c r="C11883" s="2" t="str">
        <f>""</f>
        <v/>
      </c>
      <c r="D11883" s="2" t="str">
        <f>""</f>
        <v/>
      </c>
      <c r="E11883" s="2" t="str">
        <f>""</f>
        <v/>
      </c>
      <c r="F11883" s="2" t="str">
        <f>""</f>
        <v/>
      </c>
      <c r="G11883" s="2" t="str">
        <f>"Serviços de Apoio / Global / Consultas ()"</f>
        <v>Serviços de Apoio / Global / Consultas ()</v>
      </c>
    </row>
    <row r="11884" spans="1:7" x14ac:dyDescent="0.3">
      <c r="A11884" s="1" t="s">
        <v>58</v>
      </c>
      <c r="B11884" s="2" t="str">
        <f>""</f>
        <v/>
      </c>
      <c r="C11884" s="2" t="str">
        <f>""</f>
        <v/>
      </c>
      <c r="D11884" s="2" t="str">
        <f>""</f>
        <v/>
      </c>
      <c r="E11884" s="2" t="str">
        <f>""</f>
        <v/>
      </c>
      <c r="F11884" s="2" t="str">
        <f>""</f>
        <v/>
      </c>
      <c r="G11884" s="2" t="str">
        <f>"Serviços de Apoio / Global / Configurações ()"</f>
        <v>Serviços de Apoio / Global / Configurações ()</v>
      </c>
    </row>
    <row r="11885" spans="1:7" x14ac:dyDescent="0.3">
      <c r="A11885" s="1" t="s">
        <v>58</v>
      </c>
      <c r="B11885" s="2" t="str">
        <f>""</f>
        <v/>
      </c>
      <c r="C11885" s="2" t="str">
        <f>""</f>
        <v/>
      </c>
      <c r="D11885" s="2" t="str">
        <f>""</f>
        <v/>
      </c>
      <c r="E11885" s="2" t="str">
        <f>""</f>
        <v/>
      </c>
      <c r="F11885" s="2" t="str">
        <f>""</f>
        <v/>
      </c>
      <c r="G11885" s="2" t="str">
        <f>"Serviços de Apoio / Global / Relatórios ()"</f>
        <v>Serviços de Apoio / Global / Relatórios ()</v>
      </c>
    </row>
    <row r="11886" spans="1:7" x14ac:dyDescent="0.3">
      <c r="A11886" s="1" t="s">
        <v>58</v>
      </c>
      <c r="B11886" s="2" t="str">
        <f>""</f>
        <v/>
      </c>
      <c r="C11886" s="2" t="str">
        <f>""</f>
        <v/>
      </c>
      <c r="D11886" s="2" t="str">
        <f>""</f>
        <v/>
      </c>
      <c r="E11886" s="2" t="str">
        <f>""</f>
        <v/>
      </c>
      <c r="F11886" s="2" t="str">
        <f>""</f>
        <v/>
      </c>
      <c r="G11886" s="2" t="str">
        <f>"Serviços de Apoio / Higienização / Consultas ()"</f>
        <v>Serviços de Apoio / Higienização / Consultas ()</v>
      </c>
    </row>
    <row r="11887" spans="1:7" x14ac:dyDescent="0.3">
      <c r="A11887" s="1" t="s">
        <v>58</v>
      </c>
      <c r="B11887" s="2" t="str">
        <f>""</f>
        <v/>
      </c>
      <c r="C11887" s="2" t="str">
        <f>""</f>
        <v/>
      </c>
      <c r="D11887" s="2" t="str">
        <f>""</f>
        <v/>
      </c>
      <c r="E11887" s="2" t="str">
        <f>""</f>
        <v/>
      </c>
      <c r="F11887" s="2" t="str">
        <f>""</f>
        <v/>
      </c>
      <c r="G11887" s="2" t="str">
        <f>"Atendimento / Centro Cirúrgico e Obstétrico / Centro Cirúrgico ()"</f>
        <v>Atendimento / Centro Cirúrgico e Obstétrico / Centro Cirúrgico ()</v>
      </c>
    </row>
    <row r="11888" spans="1:7" x14ac:dyDescent="0.3">
      <c r="A11888" s="1" t="s">
        <v>58</v>
      </c>
      <c r="B11888" s="2" t="str">
        <f>""</f>
        <v/>
      </c>
      <c r="C11888" s="2" t="str">
        <f>""</f>
        <v/>
      </c>
      <c r="D11888" s="2" t="str">
        <f>""</f>
        <v/>
      </c>
      <c r="E11888" s="2" t="str">
        <f>""</f>
        <v/>
      </c>
      <c r="F11888" s="2" t="str">
        <f>""</f>
        <v/>
      </c>
      <c r="G11888" s="2" t="str">
        <f>"Serviços de Apoio / Serviço Arquivo Médico / SAME / Saída de Documentos ()"</f>
        <v>Serviços de Apoio / Serviço Arquivo Médico / SAME / Saída de Documentos ()</v>
      </c>
    </row>
    <row r="11889" spans="1:7" x14ac:dyDescent="0.3">
      <c r="A11889" s="1" t="s">
        <v>58</v>
      </c>
      <c r="B11889" s="2" t="str">
        <f>""</f>
        <v/>
      </c>
      <c r="C11889" s="2" t="str">
        <f>""</f>
        <v/>
      </c>
      <c r="D11889" s="2" t="str">
        <f>""</f>
        <v/>
      </c>
      <c r="E11889" s="2" t="str">
        <f>""</f>
        <v/>
      </c>
      <c r="F11889" s="2" t="str">
        <f>""</f>
        <v/>
      </c>
      <c r="G11889" s="2" t="str">
        <f>"Serviços de Apoio / Serviço Arquivo Médico / Relatórios / Agendamentos ()"</f>
        <v>Serviços de Apoio / Serviço Arquivo Médico / Relatórios / Agendamentos ()</v>
      </c>
    </row>
    <row r="11890" spans="1:7" x14ac:dyDescent="0.3">
      <c r="A11890" s="1" t="s">
        <v>58</v>
      </c>
      <c r="B11890" s="2" t="str">
        <f>""</f>
        <v/>
      </c>
      <c r="C11890" s="2" t="str">
        <f>""</f>
        <v/>
      </c>
      <c r="D11890" s="2" t="str">
        <f>""</f>
        <v/>
      </c>
      <c r="E11890" s="2" t="str">
        <f>""</f>
        <v/>
      </c>
      <c r="F11890" s="2" t="str">
        <f>""</f>
        <v/>
      </c>
      <c r="G11890" s="2" t="str">
        <f>"Serviços de Apoio / Serviço Arquivo Médico / Relatórios / Operacionais / Internações ()"</f>
        <v>Serviços de Apoio / Serviço Arquivo Médico / Relatórios / Operacionais / Internações ()</v>
      </c>
    </row>
    <row r="11891" spans="1:7" x14ac:dyDescent="0.3">
      <c r="A11891" s="1" t="s">
        <v>58</v>
      </c>
      <c r="B11891" s="2" t="str">
        <f>""</f>
        <v/>
      </c>
      <c r="C11891" s="2" t="str">
        <f>""</f>
        <v/>
      </c>
      <c r="D11891" s="2" t="str">
        <f>""</f>
        <v/>
      </c>
      <c r="E11891" s="2" t="str">
        <f>""</f>
        <v/>
      </c>
      <c r="F11891" s="2" t="str">
        <f>""</f>
        <v/>
      </c>
      <c r="G11891" s="2" t="str">
        <f>"Serviços de Apoio / Serviço Arquivo Médico / Relatórios / Estatísticos / Procedimentos ()"</f>
        <v>Serviços de Apoio / Serviço Arquivo Médico / Relatórios / Estatísticos / Procedimentos ()</v>
      </c>
    </row>
    <row r="11892" spans="1:7" x14ac:dyDescent="0.3">
      <c r="A11892" s="1" t="s">
        <v>58</v>
      </c>
      <c r="B11892" s="2" t="str">
        <f>""</f>
        <v/>
      </c>
      <c r="C11892" s="2" t="str">
        <f>""</f>
        <v/>
      </c>
      <c r="D11892" s="2" t="str">
        <f>""</f>
        <v/>
      </c>
      <c r="E11892" s="2" t="str">
        <f>""</f>
        <v/>
      </c>
      <c r="F11892" s="2" t="str">
        <f>""</f>
        <v/>
      </c>
      <c r="G11892" s="2" t="str">
        <f>"Materiais e Logística / Almoxarifado / Relatórios / Operacionais / Movimentação de Consignação ()"</f>
        <v>Materiais e Logística / Almoxarifado / Relatórios / Operacionais / Movimentação de Consignação ()</v>
      </c>
    </row>
    <row r="11893" spans="1:7" x14ac:dyDescent="0.3">
      <c r="A11893" s="1" t="s">
        <v>58</v>
      </c>
      <c r="B11893" s="2" t="str">
        <f>""</f>
        <v/>
      </c>
      <c r="C11893" s="2" t="str">
        <f>""</f>
        <v/>
      </c>
      <c r="D11893" s="2" t="str">
        <f>""</f>
        <v/>
      </c>
      <c r="E11893" s="2" t="str">
        <f>""</f>
        <v/>
      </c>
      <c r="F11893" s="2" t="str">
        <f>""</f>
        <v/>
      </c>
      <c r="G11893" s="2" t="str">
        <f>"Serviços de Apoio / Diretoria Clinica / Ocorrências ()"</f>
        <v>Serviços de Apoio / Diretoria Clinica / Ocorrências ()</v>
      </c>
    </row>
    <row r="11894" spans="1:7" x14ac:dyDescent="0.3">
      <c r="A11894" s="1" t="s">
        <v>58</v>
      </c>
      <c r="B11894" s="2" t="str">
        <f>""</f>
        <v/>
      </c>
      <c r="C11894" s="2" t="str">
        <f>""</f>
        <v/>
      </c>
      <c r="D11894" s="2" t="str">
        <f>""</f>
        <v/>
      </c>
      <c r="E11894" s="2" t="str">
        <f>""</f>
        <v/>
      </c>
      <c r="F11894" s="2" t="str">
        <f>""</f>
        <v/>
      </c>
      <c r="G11894" s="2" t="str">
        <f>"Serviços de Apoio / Diretoria Clinica / Relatórios ()"</f>
        <v>Serviços de Apoio / Diretoria Clinica / Relatórios ()</v>
      </c>
    </row>
    <row r="11895" spans="1:7" x14ac:dyDescent="0.3">
      <c r="A11895" s="1" t="s">
        <v>58</v>
      </c>
      <c r="B11895" s="2" t="str">
        <f>""</f>
        <v/>
      </c>
      <c r="C11895" s="2" t="str">
        <f>""</f>
        <v/>
      </c>
      <c r="D11895" s="2" t="str">
        <f>""</f>
        <v/>
      </c>
      <c r="E11895" s="2" t="str">
        <f>""</f>
        <v/>
      </c>
      <c r="F11895" s="2" t="str">
        <f>""</f>
        <v/>
      </c>
      <c r="G11895" s="2" t="str">
        <f>"Serviços de Apoio / Diretoria Clinica / Tabelas / SAS / Relacionamentos ()"</f>
        <v>Serviços de Apoio / Diretoria Clinica / Tabelas / SAS / Relacionamentos ()</v>
      </c>
    </row>
    <row r="11896" spans="1:7" x14ac:dyDescent="0.3">
      <c r="A11896" s="1" t="s">
        <v>58</v>
      </c>
      <c r="B11896" s="2" t="str">
        <f>""</f>
        <v/>
      </c>
      <c r="C11896" s="2" t="str">
        <f>""</f>
        <v/>
      </c>
      <c r="D11896" s="2" t="str">
        <f>""</f>
        <v/>
      </c>
      <c r="E11896" s="2" t="str">
        <f>""</f>
        <v/>
      </c>
      <c r="F11896" s="2" t="str">
        <f>""</f>
        <v/>
      </c>
      <c r="G11896" s="2" t="str">
        <f>"Controladoria / Caixa ()"</f>
        <v>Controladoria / Caixa ()</v>
      </c>
    </row>
    <row r="11897" spans="1:7" x14ac:dyDescent="0.3">
      <c r="A11897" s="1" t="s">
        <v>58</v>
      </c>
      <c r="B11897" s="2" t="str">
        <f>""</f>
        <v/>
      </c>
      <c r="C11897" s="2" t="str">
        <f>""</f>
        <v/>
      </c>
      <c r="D11897" s="2" t="str">
        <f>""</f>
        <v/>
      </c>
      <c r="E11897" s="2" t="str">
        <f>""</f>
        <v/>
      </c>
      <c r="F11897" s="2" t="str">
        <f>""</f>
        <v/>
      </c>
      <c r="G11897" s="2" t="str">
        <f>"Controladoria / Caixa / Consulta ()"</f>
        <v>Controladoria / Caixa / Consulta ()</v>
      </c>
    </row>
    <row r="11898" spans="1:7" x14ac:dyDescent="0.3">
      <c r="A11898" s="1" t="s">
        <v>58</v>
      </c>
      <c r="B11898" s="2" t="str">
        <f>""</f>
        <v/>
      </c>
      <c r="C11898" s="2" t="str">
        <f>""</f>
        <v/>
      </c>
      <c r="D11898" s="2" t="str">
        <f>""</f>
        <v/>
      </c>
      <c r="E11898" s="2" t="str">
        <f>""</f>
        <v/>
      </c>
      <c r="F11898" s="2" t="str">
        <f>""</f>
        <v/>
      </c>
      <c r="G11898" s="2" t="str">
        <f>"Atendimento / Internação / Tabelas / Procedimentos ()"</f>
        <v>Atendimento / Internação / Tabelas / Procedimentos ()</v>
      </c>
    </row>
    <row r="11899" spans="1:7" x14ac:dyDescent="0.3">
      <c r="A11899" s="1" t="s">
        <v>58</v>
      </c>
      <c r="B11899" s="2" t="str">
        <f>""</f>
        <v/>
      </c>
      <c r="C11899" s="2" t="str">
        <f>""</f>
        <v/>
      </c>
      <c r="D11899" s="2" t="str">
        <f>""</f>
        <v/>
      </c>
      <c r="E11899" s="2" t="str">
        <f>""</f>
        <v/>
      </c>
      <c r="F11899" s="2" t="str">
        <f>""</f>
        <v/>
      </c>
      <c r="G11899" s="2" t="s">
        <v>10</v>
      </c>
    </row>
    <row r="11900" spans="1:7" x14ac:dyDescent="0.3">
      <c r="A11900" s="1" t="s">
        <v>58</v>
      </c>
      <c r="B11900" s="2" t="str">
        <f>""</f>
        <v/>
      </c>
      <c r="C11900" s="2" t="str">
        <f>""</f>
        <v/>
      </c>
      <c r="D11900" s="2" t="str">
        <f>""</f>
        <v/>
      </c>
      <c r="E11900" s="2" t="str">
        <f>""</f>
        <v/>
      </c>
      <c r="F11900" s="2" t="str">
        <f>""</f>
        <v/>
      </c>
      <c r="G11900" s="2" t="s">
        <v>10</v>
      </c>
    </row>
    <row r="11901" spans="1:7" x14ac:dyDescent="0.3">
      <c r="A11901" s="1" t="s">
        <v>58</v>
      </c>
      <c r="B11901" s="2" t="str">
        <f>""</f>
        <v/>
      </c>
      <c r="C11901" s="2" t="str">
        <f>""</f>
        <v/>
      </c>
      <c r="D11901" s="2" t="str">
        <f>""</f>
        <v/>
      </c>
      <c r="E11901" s="2" t="str">
        <f>""</f>
        <v/>
      </c>
      <c r="F11901" s="2" t="str">
        <f>""</f>
        <v/>
      </c>
      <c r="G11901" s="2" t="s">
        <v>10</v>
      </c>
    </row>
    <row r="11902" spans="1:7" x14ac:dyDescent="0.3">
      <c r="A11902" s="1" t="s">
        <v>58</v>
      </c>
      <c r="B11902" s="2" t="str">
        <f>""</f>
        <v/>
      </c>
      <c r="C11902" s="2" t="str">
        <f>""</f>
        <v/>
      </c>
      <c r="D11902" s="2" t="str">
        <f>""</f>
        <v/>
      </c>
      <c r="E11902" s="2" t="str">
        <f>""</f>
        <v/>
      </c>
      <c r="F11902" s="2" t="str">
        <f>""</f>
        <v/>
      </c>
      <c r="G11902" s="2" t="s">
        <v>10</v>
      </c>
    </row>
    <row r="11903" spans="1:7" x14ac:dyDescent="0.3">
      <c r="A11903" s="1" t="s">
        <v>58</v>
      </c>
      <c r="B11903" s="2" t="str">
        <f>""</f>
        <v/>
      </c>
      <c r="C11903" s="2" t="str">
        <f>""</f>
        <v/>
      </c>
      <c r="D11903" s="2" t="str">
        <f>""</f>
        <v/>
      </c>
      <c r="E11903" s="2" t="str">
        <f>""</f>
        <v/>
      </c>
      <c r="F11903" s="2" t="str">
        <f>""</f>
        <v/>
      </c>
      <c r="G11903" s="2" t="s">
        <v>10</v>
      </c>
    </row>
    <row r="11904" spans="1:7" x14ac:dyDescent="0.3">
      <c r="A11904" s="1" t="s">
        <v>58</v>
      </c>
      <c r="B11904" s="2" t="str">
        <f>""</f>
        <v/>
      </c>
      <c r="C11904" s="2" t="str">
        <f>""</f>
        <v/>
      </c>
      <c r="D11904" s="2" t="str">
        <f>""</f>
        <v/>
      </c>
      <c r="E11904" s="2" t="str">
        <f>""</f>
        <v/>
      </c>
      <c r="F11904" s="2" t="str">
        <f>""</f>
        <v/>
      </c>
      <c r="G11904" s="2" t="s">
        <v>10</v>
      </c>
    </row>
    <row r="11905" spans="1:7" x14ac:dyDescent="0.3">
      <c r="A11905" s="1" t="s">
        <v>58</v>
      </c>
      <c r="B11905" s="2" t="str">
        <f>""</f>
        <v/>
      </c>
      <c r="C11905" s="2" t="str">
        <f>""</f>
        <v/>
      </c>
      <c r="D11905" s="2" t="str">
        <f>""</f>
        <v/>
      </c>
      <c r="E11905" s="2" t="str">
        <f>""</f>
        <v/>
      </c>
      <c r="F11905" s="2" t="str">
        <f>""</f>
        <v/>
      </c>
      <c r="G11905" s="2" t="s">
        <v>10</v>
      </c>
    </row>
    <row r="11906" spans="1:7" x14ac:dyDescent="0.3">
      <c r="A11906" s="1" t="s">
        <v>58</v>
      </c>
      <c r="B11906" s="2" t="str">
        <f>""</f>
        <v/>
      </c>
      <c r="C11906" s="2" t="str">
        <f>""</f>
        <v/>
      </c>
      <c r="D11906" s="2" t="str">
        <f>""</f>
        <v/>
      </c>
      <c r="E11906" s="2" t="str">
        <f>""</f>
        <v/>
      </c>
      <c r="F11906" s="2" t="str">
        <f>""</f>
        <v/>
      </c>
      <c r="G11906" s="2" t="s">
        <v>10</v>
      </c>
    </row>
    <row r="11907" spans="1:7" x14ac:dyDescent="0.3">
      <c r="A11907" s="1" t="s">
        <v>58</v>
      </c>
      <c r="B11907" s="2" t="str">
        <f>""</f>
        <v/>
      </c>
      <c r="C11907" s="2" t="str">
        <f>""</f>
        <v/>
      </c>
      <c r="D11907" s="2" t="str">
        <f>""</f>
        <v/>
      </c>
      <c r="E11907" s="2" t="str">
        <f>""</f>
        <v/>
      </c>
      <c r="F11907" s="2" t="str">
        <f>""</f>
        <v/>
      </c>
      <c r="G11907" s="2" t="s">
        <v>10</v>
      </c>
    </row>
    <row r="11908" spans="1:7" x14ac:dyDescent="0.3">
      <c r="A11908" s="1" t="s">
        <v>58</v>
      </c>
      <c r="B11908" s="2" t="str">
        <f>""</f>
        <v/>
      </c>
      <c r="C11908" s="2" t="str">
        <f>""</f>
        <v/>
      </c>
      <c r="D11908" s="2" t="str">
        <f>""</f>
        <v/>
      </c>
      <c r="E11908" s="2" t="str">
        <f>""</f>
        <v/>
      </c>
      <c r="F11908" s="2" t="str">
        <f>""</f>
        <v/>
      </c>
      <c r="G11908" s="2" t="str">
        <f>"Diagnóstico e Terapia / Diagnóstico por Imagem / Relatórios / Tabelas ()"</f>
        <v>Diagnóstico e Terapia / Diagnóstico por Imagem / Relatórios / Tabelas ()</v>
      </c>
    </row>
    <row r="11909" spans="1:7" x14ac:dyDescent="0.3">
      <c r="A11909" s="1" t="s">
        <v>58</v>
      </c>
      <c r="B11909" s="2" t="str">
        <f>""</f>
        <v/>
      </c>
      <c r="C11909" s="2" t="str">
        <f>""</f>
        <v/>
      </c>
      <c r="D11909" s="2" t="str">
        <f>""</f>
        <v/>
      </c>
      <c r="E11909" s="2" t="str">
        <f>""</f>
        <v/>
      </c>
      <c r="F11909" s="2" t="str">
        <f>""</f>
        <v/>
      </c>
      <c r="G11909" s="2" t="str">
        <f>"Diagnóstico e Terapia / Diagnóstico por Imagem / Relatórios / Agendamentos ()"</f>
        <v>Diagnóstico e Terapia / Diagnóstico por Imagem / Relatórios / Agendamentos ()</v>
      </c>
    </row>
    <row r="11910" spans="1:7" x14ac:dyDescent="0.3">
      <c r="A11910" s="1" t="s">
        <v>58</v>
      </c>
      <c r="B11910" s="2" t="str">
        <f>""</f>
        <v/>
      </c>
      <c r="C11910" s="2" t="str">
        <f>""</f>
        <v/>
      </c>
      <c r="D11910" s="2" t="str">
        <f>""</f>
        <v/>
      </c>
      <c r="E11910" s="2" t="str">
        <f>""</f>
        <v/>
      </c>
      <c r="F11910" s="2" t="str">
        <f>""</f>
        <v/>
      </c>
      <c r="G11910" s="2" t="str">
        <f>"Diagnóstico e Terapia / Diagnóstico por Imagem / Relatórios / Operacionais ()"</f>
        <v>Diagnóstico e Terapia / Diagnóstico por Imagem / Relatórios / Operacionais ()</v>
      </c>
    </row>
    <row r="11911" spans="1:7" x14ac:dyDescent="0.3">
      <c r="A11911" s="1" t="s">
        <v>58</v>
      </c>
      <c r="B11911" s="2" t="str">
        <f>""</f>
        <v/>
      </c>
      <c r="C11911" s="2" t="str">
        <f>""</f>
        <v/>
      </c>
      <c r="D11911" s="2" t="str">
        <f>""</f>
        <v/>
      </c>
      <c r="E11911" s="2" t="str">
        <f>""</f>
        <v/>
      </c>
      <c r="F11911" s="2" t="str">
        <f>""</f>
        <v/>
      </c>
      <c r="G11911" s="2" t="str">
        <f>"Diagnóstico e Terapia / Diagnóstico por Imagem / Relatórios / Administrativos ()"</f>
        <v>Diagnóstico e Terapia / Diagnóstico por Imagem / Relatórios / Administrativos ()</v>
      </c>
    </row>
    <row r="11912" spans="1:7" x14ac:dyDescent="0.3">
      <c r="A11912" s="1" t="s">
        <v>58</v>
      </c>
      <c r="B11912" s="2" t="str">
        <f>""</f>
        <v/>
      </c>
      <c r="C11912" s="2" t="str">
        <f>""</f>
        <v/>
      </c>
      <c r="D11912" s="2" t="str">
        <f>""</f>
        <v/>
      </c>
      <c r="E11912" s="2" t="str">
        <f>""</f>
        <v/>
      </c>
      <c r="F11912" s="2" t="str">
        <f>""</f>
        <v/>
      </c>
      <c r="G11912" s="2" t="str">
        <f>"Diagnóstico e Terapia / Diagnóstico por Imagem / Relatórios / Estatísticos ()"</f>
        <v>Diagnóstico e Terapia / Diagnóstico por Imagem / Relatórios / Estatísticos ()</v>
      </c>
    </row>
    <row r="11913" spans="1:7" x14ac:dyDescent="0.3">
      <c r="A11913" s="1" t="s">
        <v>58</v>
      </c>
      <c r="B11913" s="2" t="str">
        <f>""</f>
        <v/>
      </c>
      <c r="C11913" s="2" t="str">
        <f>""</f>
        <v/>
      </c>
      <c r="D11913" s="2" t="str">
        <f>""</f>
        <v/>
      </c>
      <c r="E11913" s="2" t="str">
        <f>""</f>
        <v/>
      </c>
      <c r="F11913" s="2" t="str">
        <f>""</f>
        <v/>
      </c>
      <c r="G11913" s="2" t="str">
        <f>"Diagnóstico e Terapia / Diagnóstico por Imagem / Relatórios / Gastos ()"</f>
        <v>Diagnóstico e Terapia / Diagnóstico por Imagem / Relatórios / Gastos ()</v>
      </c>
    </row>
    <row r="11914" spans="1:7" x14ac:dyDescent="0.3">
      <c r="A11914" s="1" t="s">
        <v>58</v>
      </c>
      <c r="B11914" s="2" t="str">
        <f>""</f>
        <v/>
      </c>
      <c r="C11914" s="2" t="str">
        <f>""</f>
        <v/>
      </c>
      <c r="D11914" s="2" t="str">
        <f>""</f>
        <v/>
      </c>
      <c r="E11914" s="2" t="str">
        <f>""</f>
        <v/>
      </c>
      <c r="F11914" s="2" t="str">
        <f>""</f>
        <v/>
      </c>
      <c r="G11914" s="2" t="str">
        <f>"Diagnóstico e Terapia / Diagnóstico por Imagem / Relatórios / Gráficos ()"</f>
        <v>Diagnóstico e Terapia / Diagnóstico por Imagem / Relatórios / Gráficos ()</v>
      </c>
    </row>
    <row r="11915" spans="1:7" x14ac:dyDescent="0.3">
      <c r="A11915" s="1" t="s">
        <v>58</v>
      </c>
      <c r="B11915" s="2" t="str">
        <f>""</f>
        <v/>
      </c>
      <c r="C11915" s="2" t="str">
        <f>""</f>
        <v/>
      </c>
      <c r="D11915" s="2" t="str">
        <f>""</f>
        <v/>
      </c>
      <c r="E11915" s="2" t="str">
        <f>""</f>
        <v/>
      </c>
      <c r="F11915" s="2" t="str">
        <f>""</f>
        <v/>
      </c>
      <c r="G11915" s="2" t="str">
        <f>"Diagnóstico e Terapia / Diagnóstico por Imagem / Relatórios / Operacionais / Exames Solicitados / Por Convênio X Grupo de Exame ()"</f>
        <v>Diagnóstico e Terapia / Diagnóstico por Imagem / Relatórios / Operacionais / Exames Solicitados / Por Convênio X Grupo de Exame ()</v>
      </c>
    </row>
    <row r="11916" spans="1:7" x14ac:dyDescent="0.3">
      <c r="A11916" s="1" t="s">
        <v>58</v>
      </c>
      <c r="B11916" s="2" t="str">
        <f>""</f>
        <v/>
      </c>
      <c r="C11916" s="2" t="str">
        <f>""</f>
        <v/>
      </c>
      <c r="D11916" s="2" t="str">
        <f>""</f>
        <v/>
      </c>
      <c r="E11916" s="2" t="str">
        <f>""</f>
        <v/>
      </c>
      <c r="F11916" s="2" t="str">
        <f>""</f>
        <v/>
      </c>
      <c r="G11916" s="2" t="str">
        <f>"Diagnóstico e Terapia / Diagnóstico por Imagem / Relatórios / Operacionais / Exames Solicitados / Por Convênio X Tipo de Atendimento ()"</f>
        <v>Diagnóstico e Terapia / Diagnóstico por Imagem / Relatórios / Operacionais / Exames Solicitados / Por Convênio X Tipo de Atendimento ()</v>
      </c>
    </row>
    <row r="11917" spans="1:7" x14ac:dyDescent="0.3">
      <c r="A11917" s="1" t="s">
        <v>58</v>
      </c>
      <c r="B11917" s="2" t="str">
        <f>""</f>
        <v/>
      </c>
      <c r="C11917" s="2" t="str">
        <f>""</f>
        <v/>
      </c>
      <c r="D11917" s="2" t="str">
        <f>""</f>
        <v/>
      </c>
      <c r="E11917" s="2" t="str">
        <f>""</f>
        <v/>
      </c>
      <c r="F11917" s="2" t="str">
        <f>""</f>
        <v/>
      </c>
      <c r="G11917" s="2" t="str">
        <f>"Diagnóstico e Terapia / Diagnóstico por Imagem / Relatórios / Operacionais / Exames ()"</f>
        <v>Diagnóstico e Terapia / Diagnóstico por Imagem / Relatórios / Operacionais / Exames ()</v>
      </c>
    </row>
    <row r="11918" spans="1:7" x14ac:dyDescent="0.3">
      <c r="A11918" s="1" t="s">
        <v>58</v>
      </c>
      <c r="B11918" s="2" t="str">
        <f>""</f>
        <v/>
      </c>
      <c r="C11918" s="2" t="str">
        <f>""</f>
        <v/>
      </c>
      <c r="D11918" s="2" t="str">
        <f>""</f>
        <v/>
      </c>
      <c r="E11918" s="2" t="str">
        <f>""</f>
        <v/>
      </c>
      <c r="F11918" s="2" t="str">
        <f>""</f>
        <v/>
      </c>
      <c r="G11918" s="2" t="str">
        <f>"Diagnóstico e Terapia / Diagnóstico por Imagem / Relatórios / Operacionais / Exames Solicitados ()"</f>
        <v>Diagnóstico e Terapia / Diagnóstico por Imagem / Relatórios / Operacionais / Exames Solicitados ()</v>
      </c>
    </row>
    <row r="11919" spans="1:7" x14ac:dyDescent="0.3">
      <c r="A11919" s="1" t="s">
        <v>58</v>
      </c>
      <c r="B11919" s="2" t="str">
        <f>""</f>
        <v/>
      </c>
      <c r="C11919" s="2" t="str">
        <f>""</f>
        <v/>
      </c>
      <c r="D11919" s="2" t="str">
        <f>""</f>
        <v/>
      </c>
      <c r="E11919" s="2" t="str">
        <f>""</f>
        <v/>
      </c>
      <c r="F11919" s="2" t="str">
        <f>""</f>
        <v/>
      </c>
      <c r="G11919" s="2" t="str">
        <f>"Diagnóstico e Terapia / Diagnóstico por Imagem / Relatórios / Operacionais / Exames Realizados ()"</f>
        <v>Diagnóstico e Terapia / Diagnóstico por Imagem / Relatórios / Operacionais / Exames Realizados ()</v>
      </c>
    </row>
    <row r="11920" spans="1:7" x14ac:dyDescent="0.3">
      <c r="A11920" s="1" t="s">
        <v>58</v>
      </c>
      <c r="B11920" s="2" t="str">
        <f>""</f>
        <v/>
      </c>
      <c r="C11920" s="2" t="str">
        <f>""</f>
        <v/>
      </c>
      <c r="D11920" s="2" t="str">
        <f>""</f>
        <v/>
      </c>
      <c r="E11920" s="2" t="str">
        <f>""</f>
        <v/>
      </c>
      <c r="F11920" s="2" t="str">
        <f>""</f>
        <v/>
      </c>
      <c r="G11920" s="2" t="str">
        <f>"Diagnóstico e Terapia / Diagnóstico por Imagem / Relatórios / Operacionais / Caução ()"</f>
        <v>Diagnóstico e Terapia / Diagnóstico por Imagem / Relatórios / Operacionais / Caução ()</v>
      </c>
    </row>
    <row r="11921" spans="1:7" x14ac:dyDescent="0.3">
      <c r="A11921" s="1" t="s">
        <v>58</v>
      </c>
      <c r="B11921" s="2" t="str">
        <f>""</f>
        <v/>
      </c>
      <c r="C11921" s="2" t="str">
        <f>""</f>
        <v/>
      </c>
      <c r="D11921" s="2" t="str">
        <f>""</f>
        <v/>
      </c>
      <c r="E11921" s="2" t="str">
        <f>""</f>
        <v/>
      </c>
      <c r="F11921" s="2" t="str">
        <f>""</f>
        <v/>
      </c>
      <c r="G11921" s="2" t="str">
        <f>"Diagnóstico e Terapia / Diagnóstico por Imagem / Relatórios / Estatísticos / Exames ()"</f>
        <v>Diagnóstico e Terapia / Diagnóstico por Imagem / Relatórios / Estatísticos / Exames ()</v>
      </c>
    </row>
    <row r="11922" spans="1:7" x14ac:dyDescent="0.3">
      <c r="A11922" s="1" t="s">
        <v>58</v>
      </c>
      <c r="B11922" s="2" t="str">
        <f>""</f>
        <v/>
      </c>
      <c r="C11922" s="2" t="str">
        <f>""</f>
        <v/>
      </c>
      <c r="D11922" s="2" t="str">
        <f>""</f>
        <v/>
      </c>
      <c r="E11922" s="2" t="str">
        <f>""</f>
        <v/>
      </c>
      <c r="F11922" s="2" t="str">
        <f>""</f>
        <v/>
      </c>
      <c r="G11922" s="2" t="str">
        <f>"Diagnóstico e Terapia / Diagnóstico por Imagem / Relatórios / Gastos / Faturamento de Exames por Convênio ()"</f>
        <v>Diagnóstico e Terapia / Diagnóstico por Imagem / Relatórios / Gastos / Faturamento de Exames por Convênio ()</v>
      </c>
    </row>
    <row r="11923" spans="1:7" x14ac:dyDescent="0.3">
      <c r="A11923" s="1" t="s">
        <v>58</v>
      </c>
      <c r="B11923" s="2" t="str">
        <f>""</f>
        <v/>
      </c>
      <c r="C11923" s="2" t="str">
        <f>""</f>
        <v/>
      </c>
      <c r="D11923" s="2" t="str">
        <f>""</f>
        <v/>
      </c>
      <c r="E11923" s="2" t="str">
        <f>""</f>
        <v/>
      </c>
      <c r="F11923" s="2" t="str">
        <f>""</f>
        <v/>
      </c>
      <c r="G11923" s="2" t="str">
        <f>"MVSaude / Vendas / Internação / Atendimento / Alta ()"</f>
        <v>MVSaude / Vendas / Internação / Atendimento / Alta ()</v>
      </c>
    </row>
    <row r="11924" spans="1:7" x14ac:dyDescent="0.3">
      <c r="A11924" s="1" t="s">
        <v>58</v>
      </c>
      <c r="B11924" s="2" t="str">
        <f>""</f>
        <v/>
      </c>
      <c r="C11924" s="2" t="str">
        <f>""</f>
        <v/>
      </c>
      <c r="D11924" s="2" t="str">
        <f>""</f>
        <v/>
      </c>
      <c r="E11924" s="2" t="str">
        <f>""</f>
        <v/>
      </c>
      <c r="F11924" s="2" t="str">
        <f>""</f>
        <v/>
      </c>
      <c r="G11924" s="2" t="str">
        <f>"MVSaude / Vendas / Internação / Atendimento / Alta / Efetivação ()"</f>
        <v>MVSaude / Vendas / Internação / Atendimento / Alta / Efetivação ()</v>
      </c>
    </row>
    <row r="11925" spans="1:7" x14ac:dyDescent="0.3">
      <c r="A11925" s="1" t="s">
        <v>58</v>
      </c>
      <c r="B11925" s="2" t="str">
        <f>""</f>
        <v/>
      </c>
      <c r="C11925" s="2" t="str">
        <f>""</f>
        <v/>
      </c>
      <c r="D11925" s="2" t="str">
        <f>""</f>
        <v/>
      </c>
      <c r="E11925" s="2" t="str">
        <f>""</f>
        <v/>
      </c>
      <c r="F11925" s="2" t="str">
        <f>""</f>
        <v/>
      </c>
      <c r="G11925" s="2" t="str">
        <f>"MVSaude / Vendas / Internação / Atendimento / Alta / Cancelamento ()"</f>
        <v>MVSaude / Vendas / Internação / Atendimento / Alta / Cancelamento ()</v>
      </c>
    </row>
    <row r="11926" spans="1:7" x14ac:dyDescent="0.3">
      <c r="A11926" s="1" t="s">
        <v>58</v>
      </c>
      <c r="B11926" s="2" t="str">
        <f>""</f>
        <v/>
      </c>
      <c r="C11926" s="2" t="str">
        <f>""</f>
        <v/>
      </c>
      <c r="D11926" s="2" t="str">
        <f>""</f>
        <v/>
      </c>
      <c r="E11926" s="2" t="str">
        <f>""</f>
        <v/>
      </c>
      <c r="F11926" s="2" t="str">
        <f>""</f>
        <v/>
      </c>
      <c r="G11926" s="2" t="str">
        <f>"Atendimento / Centro Cirúrgico e Obstétrico / Relatórios / Operacionais / Agenda ()"</f>
        <v>Atendimento / Centro Cirúrgico e Obstétrico / Relatórios / Operacionais / Agenda ()</v>
      </c>
    </row>
    <row r="11927" spans="1:7" x14ac:dyDescent="0.3">
      <c r="A11927" s="1" t="s">
        <v>58</v>
      </c>
      <c r="B11927" s="2" t="str">
        <f>""</f>
        <v/>
      </c>
      <c r="C11927" s="2" t="str">
        <f>""</f>
        <v/>
      </c>
      <c r="D11927" s="2" t="str">
        <f>""</f>
        <v/>
      </c>
      <c r="E11927" s="2" t="str">
        <f>""</f>
        <v/>
      </c>
      <c r="F11927" s="2" t="str">
        <f>""</f>
        <v/>
      </c>
      <c r="G11927" s="2" t="str">
        <f>"MVSaude / Vendas / Internação / Atendimento / Transferência de Paciente ()"</f>
        <v>MVSaude / Vendas / Internação / Atendimento / Transferência de Paciente ()</v>
      </c>
    </row>
    <row r="11928" spans="1:7" x14ac:dyDescent="0.3">
      <c r="A11928" s="1" t="s">
        <v>58</v>
      </c>
      <c r="B11928" s="2" t="str">
        <f>""</f>
        <v/>
      </c>
      <c r="C11928" s="2" t="str">
        <f>""</f>
        <v/>
      </c>
      <c r="D11928" s="2" t="str">
        <f>""</f>
        <v/>
      </c>
      <c r="E11928" s="2" t="str">
        <f>""</f>
        <v/>
      </c>
      <c r="F11928" s="2" t="str">
        <f>""</f>
        <v/>
      </c>
      <c r="G11928" s="2" t="str">
        <f>"MVSaude / Vendas / Internação / Atendimento / Registros ()"</f>
        <v>MVSaude / Vendas / Internação / Atendimento / Registros ()</v>
      </c>
    </row>
    <row r="11929" spans="1:7" x14ac:dyDescent="0.3">
      <c r="A11929" s="1" t="s">
        <v>58</v>
      </c>
      <c r="B11929" s="2" t="str">
        <f>""</f>
        <v/>
      </c>
      <c r="C11929" s="2" t="str">
        <f>""</f>
        <v/>
      </c>
      <c r="D11929" s="2" t="str">
        <f>""</f>
        <v/>
      </c>
      <c r="E11929" s="2" t="str">
        <f>""</f>
        <v/>
      </c>
      <c r="F11929" s="2" t="str">
        <f>""</f>
        <v/>
      </c>
      <c r="G11929" s="2" t="str">
        <f>"Atendimento / Centro Cirúrgico e Obstétrico / Relatórios / Estatísticos / Anestesias Realizadas ()"</f>
        <v>Atendimento / Centro Cirúrgico e Obstétrico / Relatórios / Estatísticos / Anestesias Realizadas ()</v>
      </c>
    </row>
    <row r="11930" spans="1:7" x14ac:dyDescent="0.3">
      <c r="A11930" s="1" t="s">
        <v>58</v>
      </c>
      <c r="B11930" s="2" t="str">
        <f>""</f>
        <v/>
      </c>
      <c r="C11930" s="2" t="str">
        <f>""</f>
        <v/>
      </c>
      <c r="D11930" s="2" t="str">
        <f>""</f>
        <v/>
      </c>
      <c r="E11930" s="2" t="str">
        <f>""</f>
        <v/>
      </c>
      <c r="F11930" s="2" t="str">
        <f>""</f>
        <v/>
      </c>
      <c r="G11930" s="2" t="str">
        <f>"Atendimento / Centro Cirúrgico e Obstétrico / Relatórios / Estatísticos / Cirurgias Realizadas ()"</f>
        <v>Atendimento / Centro Cirúrgico e Obstétrico / Relatórios / Estatísticos / Cirurgias Realizadas ()</v>
      </c>
    </row>
    <row r="11931" spans="1:7" x14ac:dyDescent="0.3">
      <c r="A11931" s="1" t="s">
        <v>58</v>
      </c>
      <c r="B11931" s="2" t="str">
        <f>""</f>
        <v/>
      </c>
      <c r="C11931" s="2" t="str">
        <f>""</f>
        <v/>
      </c>
      <c r="D11931" s="2" t="str">
        <f>""</f>
        <v/>
      </c>
      <c r="E11931" s="2" t="str">
        <f>""</f>
        <v/>
      </c>
      <c r="F11931" s="2" t="str">
        <f>""</f>
        <v/>
      </c>
      <c r="G11931" s="2" t="str">
        <f>"Atendimento / Centro Cirúrgico e Obstétrico / Relatórios / Estatísticos / Movimento Cirúrgico ()"</f>
        <v>Atendimento / Centro Cirúrgico e Obstétrico / Relatórios / Estatísticos / Movimento Cirúrgico ()</v>
      </c>
    </row>
    <row r="11932" spans="1:7" x14ac:dyDescent="0.3">
      <c r="A11932" s="1" t="s">
        <v>58</v>
      </c>
      <c r="B11932" s="2" t="str">
        <f>""</f>
        <v/>
      </c>
      <c r="C11932" s="2" t="str">
        <f>""</f>
        <v/>
      </c>
      <c r="D11932" s="2" t="str">
        <f>""</f>
        <v/>
      </c>
      <c r="E11932" s="2" t="str">
        <f>""</f>
        <v/>
      </c>
      <c r="F11932" s="2" t="str">
        <f>""</f>
        <v/>
      </c>
      <c r="G11932" s="2" t="str">
        <f>"MVSaude / Vendas / Internação / Atendimento / Depósito de Pagamento Antecipado ()"</f>
        <v>MVSaude / Vendas / Internação / Atendimento / Depósito de Pagamento Antecipado ()</v>
      </c>
    </row>
    <row r="11933" spans="1:7" x14ac:dyDescent="0.3">
      <c r="A11933" s="1" t="s">
        <v>58</v>
      </c>
      <c r="B11933" s="2" t="str">
        <f>""</f>
        <v/>
      </c>
      <c r="C11933" s="2" t="str">
        <f>""</f>
        <v/>
      </c>
      <c r="D11933" s="2" t="str">
        <f>""</f>
        <v/>
      </c>
      <c r="E11933" s="2" t="str">
        <f>""</f>
        <v/>
      </c>
      <c r="F11933" s="2" t="str">
        <f>""</f>
        <v/>
      </c>
      <c r="G11933" s="2" t="str">
        <f>"Atendimento / Centro Cirúrgico e Obstétrico / Consultas / Agenda ()"</f>
        <v>Atendimento / Centro Cirúrgico e Obstétrico / Consultas / Agenda ()</v>
      </c>
    </row>
    <row r="11934" spans="1:7" x14ac:dyDescent="0.3">
      <c r="A11934" s="1" t="s">
        <v>58</v>
      </c>
      <c r="B11934" s="2" t="str">
        <f>""</f>
        <v/>
      </c>
      <c r="C11934" s="2" t="str">
        <f>""</f>
        <v/>
      </c>
      <c r="D11934" s="2" t="str">
        <f>""</f>
        <v/>
      </c>
      <c r="E11934" s="2" t="str">
        <f>""</f>
        <v/>
      </c>
      <c r="F11934" s="2" t="str">
        <f>""</f>
        <v/>
      </c>
      <c r="G11934" s="2" t="str">
        <f>"Atendimento / Centro Cirúrgico e Obstétrico / Consultas / Disponibilidade de Recursos ()"</f>
        <v>Atendimento / Centro Cirúrgico e Obstétrico / Consultas / Disponibilidade de Recursos ()</v>
      </c>
    </row>
    <row r="11935" spans="1:7" x14ac:dyDescent="0.3">
      <c r="A11935" s="1" t="s">
        <v>58</v>
      </c>
      <c r="B11935" s="2" t="str">
        <f>""</f>
        <v/>
      </c>
      <c r="C11935" s="2" t="str">
        <f>""</f>
        <v/>
      </c>
      <c r="D11935" s="2" t="str">
        <f>""</f>
        <v/>
      </c>
      <c r="E11935" s="2" t="str">
        <f>""</f>
        <v/>
      </c>
      <c r="F11935" s="2" t="str">
        <f>""</f>
        <v/>
      </c>
      <c r="G11935" s="2" t="str">
        <f>"MVSaude / Vendas / Internação / Atendimento / Pendências do Atendimento ()"</f>
        <v>MVSaude / Vendas / Internação / Atendimento / Pendências do Atendimento ()</v>
      </c>
    </row>
    <row r="11936" spans="1:7" x14ac:dyDescent="0.3">
      <c r="A11936" s="1" t="s">
        <v>58</v>
      </c>
      <c r="B11936" s="2" t="str">
        <f>""</f>
        <v/>
      </c>
      <c r="C11936" s="2" t="str">
        <f>""</f>
        <v/>
      </c>
      <c r="D11936" s="2" t="str">
        <f>""</f>
        <v/>
      </c>
      <c r="E11936" s="2" t="str">
        <f>""</f>
        <v/>
      </c>
      <c r="F11936" s="2" t="str">
        <f>""</f>
        <v/>
      </c>
      <c r="G11936" s="2" t="str">
        <f>"Atendimento / Centro Cirúrgico e Obstétrico / Relatórios / Administrativos / Cirurgias Realizadas no Período ()"</f>
        <v>Atendimento / Centro Cirúrgico e Obstétrico / Relatórios / Administrativos / Cirurgias Realizadas no Período ()</v>
      </c>
    </row>
    <row r="11937" spans="1:7" x14ac:dyDescent="0.3">
      <c r="A11937" s="1" t="s">
        <v>58</v>
      </c>
      <c r="B11937" s="2" t="str">
        <f>""</f>
        <v/>
      </c>
      <c r="C11937" s="2" t="str">
        <f>""</f>
        <v/>
      </c>
      <c r="D11937" s="2" t="str">
        <f>""</f>
        <v/>
      </c>
      <c r="E11937" s="2" t="str">
        <f>""</f>
        <v/>
      </c>
      <c r="F11937" s="2" t="str">
        <f>""</f>
        <v/>
      </c>
      <c r="G11937" s="2" t="str">
        <f>"Serviços de Apoio / Nutrição e Dietética ()"</f>
        <v>Serviços de Apoio / Nutrição e Dietética ()</v>
      </c>
    </row>
    <row r="11938" spans="1:7" x14ac:dyDescent="0.3">
      <c r="A11938" s="1" t="s">
        <v>58</v>
      </c>
      <c r="B11938" s="2" t="str">
        <f>""</f>
        <v/>
      </c>
      <c r="C11938" s="2" t="str">
        <f>""</f>
        <v/>
      </c>
      <c r="D11938" s="2" t="str">
        <f>""</f>
        <v/>
      </c>
      <c r="E11938" s="2" t="str">
        <f>""</f>
        <v/>
      </c>
      <c r="F11938" s="2" t="str">
        <f>""</f>
        <v/>
      </c>
      <c r="G11938" s="2" t="str">
        <f>"Serviços de Apoio / Nutrição e Dietética / Movimentação ()"</f>
        <v>Serviços de Apoio / Nutrição e Dietética / Movimentação ()</v>
      </c>
    </row>
    <row r="11939" spans="1:7" x14ac:dyDescent="0.3">
      <c r="A11939" s="1" t="s">
        <v>58</v>
      </c>
      <c r="B11939" s="2" t="str">
        <f>""</f>
        <v/>
      </c>
      <c r="C11939" s="2" t="str">
        <f>""</f>
        <v/>
      </c>
      <c r="D11939" s="2" t="str">
        <f>""</f>
        <v/>
      </c>
      <c r="E11939" s="2" t="str">
        <f>""</f>
        <v/>
      </c>
      <c r="F11939" s="2" t="str">
        <f>""</f>
        <v/>
      </c>
      <c r="G11939" s="2" t="str">
        <f>"Serviços de Apoio / Nutrição e Dietética / Solicitações ()"</f>
        <v>Serviços de Apoio / Nutrição e Dietética / Solicitações ()</v>
      </c>
    </row>
    <row r="11940" spans="1:7" x14ac:dyDescent="0.3">
      <c r="A11940" s="1" t="s">
        <v>58</v>
      </c>
      <c r="B11940" s="2" t="str">
        <f>""</f>
        <v/>
      </c>
      <c r="C11940" s="2" t="str">
        <f>""</f>
        <v/>
      </c>
      <c r="D11940" s="2" t="str">
        <f>""</f>
        <v/>
      </c>
      <c r="E11940" s="2" t="str">
        <f>""</f>
        <v/>
      </c>
      <c r="F11940" s="2" t="str">
        <f>""</f>
        <v/>
      </c>
      <c r="G11940" s="2" t="str">
        <f>"Serviços de Apoio / Nutrição e Dietética / Tabelas ()"</f>
        <v>Serviços de Apoio / Nutrição e Dietética / Tabelas ()</v>
      </c>
    </row>
    <row r="11941" spans="1:7" x14ac:dyDescent="0.3">
      <c r="A11941" s="1" t="s">
        <v>58</v>
      </c>
      <c r="B11941" s="2" t="str">
        <f>""</f>
        <v/>
      </c>
      <c r="C11941" s="2" t="str">
        <f>""</f>
        <v/>
      </c>
      <c r="D11941" s="2" t="str">
        <f>""</f>
        <v/>
      </c>
      <c r="E11941" s="2" t="str">
        <f>""</f>
        <v/>
      </c>
      <c r="F11941" s="2" t="str">
        <f>""</f>
        <v/>
      </c>
      <c r="G11941" s="2" t="str">
        <f>"Serviços de Apoio / Nutrição e Dietética / Consultas ()"</f>
        <v>Serviços de Apoio / Nutrição e Dietética / Consultas ()</v>
      </c>
    </row>
    <row r="11942" spans="1:7" x14ac:dyDescent="0.3">
      <c r="A11942" s="1" t="s">
        <v>58</v>
      </c>
      <c r="B11942" s="2" t="str">
        <f>""</f>
        <v/>
      </c>
      <c r="C11942" s="2" t="str">
        <f>""</f>
        <v/>
      </c>
      <c r="D11942" s="2" t="str">
        <f>""</f>
        <v/>
      </c>
      <c r="E11942" s="2" t="str">
        <f>""</f>
        <v/>
      </c>
      <c r="F11942" s="2" t="str">
        <f>""</f>
        <v/>
      </c>
      <c r="G11942" s="2" t="str">
        <f>"Serviços de Apoio / Nutrição e Dietética / Configuração ()"</f>
        <v>Serviços de Apoio / Nutrição e Dietética / Configuração ()</v>
      </c>
    </row>
    <row r="11943" spans="1:7" x14ac:dyDescent="0.3">
      <c r="A11943" s="1" t="s">
        <v>58</v>
      </c>
      <c r="B11943" s="2" t="str">
        <f>""</f>
        <v/>
      </c>
      <c r="C11943" s="2" t="str">
        <f>""</f>
        <v/>
      </c>
      <c r="D11943" s="2" t="str">
        <f>""</f>
        <v/>
      </c>
      <c r="E11943" s="2" t="str">
        <f>""</f>
        <v/>
      </c>
      <c r="F11943" s="2" t="str">
        <f>""</f>
        <v/>
      </c>
      <c r="G11943" s="2" t="str">
        <f>"Serviços de Apoio / Nutrição e Dietética / Relatórios ()"</f>
        <v>Serviços de Apoio / Nutrição e Dietética / Relatórios ()</v>
      </c>
    </row>
    <row r="11944" spans="1:7" x14ac:dyDescent="0.3">
      <c r="A11944" s="1" t="s">
        <v>58</v>
      </c>
      <c r="B11944" s="2" t="str">
        <f>""</f>
        <v/>
      </c>
      <c r="C11944" s="2" t="str">
        <f>""</f>
        <v/>
      </c>
      <c r="D11944" s="2" t="str">
        <f>""</f>
        <v/>
      </c>
      <c r="E11944" s="2" t="str">
        <f>""</f>
        <v/>
      </c>
      <c r="F11944" s="2" t="str">
        <f>""</f>
        <v/>
      </c>
      <c r="G11944" s="2" t="str">
        <f>"Serviços de Apoio / Nutrição e Dietética / Relatórios / Operacionais ()"</f>
        <v>Serviços de Apoio / Nutrição e Dietética / Relatórios / Operacionais ()</v>
      </c>
    </row>
    <row r="11945" spans="1:7" x14ac:dyDescent="0.3">
      <c r="A11945" s="1" t="s">
        <v>58</v>
      </c>
      <c r="B11945" s="2" t="str">
        <f>""</f>
        <v/>
      </c>
      <c r="C11945" s="2" t="str">
        <f>""</f>
        <v/>
      </c>
      <c r="D11945" s="2" t="str">
        <f>""</f>
        <v/>
      </c>
      <c r="E11945" s="2" t="str">
        <f>""</f>
        <v/>
      </c>
      <c r="F11945" s="2" t="str">
        <f>""</f>
        <v/>
      </c>
      <c r="G11945" s="2" t="str">
        <f>"Serviços de Apoio / Nutrição e Dietética / Relatórios / Administrativo ()"</f>
        <v>Serviços de Apoio / Nutrição e Dietética / Relatórios / Administrativo ()</v>
      </c>
    </row>
    <row r="11946" spans="1:7" x14ac:dyDescent="0.3">
      <c r="A11946" s="1" t="s">
        <v>58</v>
      </c>
      <c r="B11946" s="2" t="str">
        <f>""</f>
        <v/>
      </c>
      <c r="C11946" s="2" t="str">
        <f>""</f>
        <v/>
      </c>
      <c r="D11946" s="2" t="str">
        <f>""</f>
        <v/>
      </c>
      <c r="E11946" s="2" t="str">
        <f>""</f>
        <v/>
      </c>
      <c r="F11946" s="2" t="str">
        <f>""</f>
        <v/>
      </c>
      <c r="G11946" s="2" t="str">
        <f>"Serviços de Apoio / Nutrição e Dietética / Relatórios / Estatístico ()"</f>
        <v>Serviços de Apoio / Nutrição e Dietética / Relatórios / Estatístico ()</v>
      </c>
    </row>
    <row r="11947" spans="1:7" x14ac:dyDescent="0.3">
      <c r="A11947" s="1" t="s">
        <v>58</v>
      </c>
      <c r="B11947" s="2" t="str">
        <f>""</f>
        <v/>
      </c>
      <c r="C11947" s="2" t="str">
        <f>""</f>
        <v/>
      </c>
      <c r="D11947" s="2" t="str">
        <f>""</f>
        <v/>
      </c>
      <c r="E11947" s="2" t="str">
        <f>""</f>
        <v/>
      </c>
      <c r="F11947" s="2" t="str">
        <f>""</f>
        <v/>
      </c>
      <c r="G11947" s="2" t="str">
        <f>"Serviços de Apoio / Nutrição e Dietética / Tabelas / Cardápio ()"</f>
        <v>Serviços de Apoio / Nutrição e Dietética / Tabelas / Cardápio ()</v>
      </c>
    </row>
    <row r="11948" spans="1:7" x14ac:dyDescent="0.3">
      <c r="A11948" s="1" t="s">
        <v>58</v>
      </c>
      <c r="B11948" s="2" t="str">
        <f>""</f>
        <v/>
      </c>
      <c r="C11948" s="2" t="str">
        <f>""</f>
        <v/>
      </c>
      <c r="D11948" s="2" t="str">
        <f>""</f>
        <v/>
      </c>
      <c r="E11948" s="2" t="str">
        <f>""</f>
        <v/>
      </c>
      <c r="F11948" s="2" t="str">
        <f>""</f>
        <v/>
      </c>
      <c r="G11948" s="2" t="str">
        <f>"Serviços de Apoio / Nutrição e Dietética / Relatórios / Tabelas / Cardápio ()"</f>
        <v>Serviços de Apoio / Nutrição e Dietética / Relatórios / Tabelas / Cardápio ()</v>
      </c>
    </row>
    <row r="11949" spans="1:7" x14ac:dyDescent="0.3">
      <c r="A11949" s="1" t="s">
        <v>58</v>
      </c>
      <c r="B11949" s="2" t="str">
        <f>""</f>
        <v/>
      </c>
      <c r="C11949" s="2" t="str">
        <f>""</f>
        <v/>
      </c>
      <c r="D11949" s="2" t="str">
        <f>""</f>
        <v/>
      </c>
      <c r="E11949" s="2" t="str">
        <f>""</f>
        <v/>
      </c>
      <c r="F11949" s="2" t="str">
        <f>""</f>
        <v/>
      </c>
      <c r="G11949" s="2" t="str">
        <f>"Serviços de Apoio / Nutrição e Dietética / Consultas / Prescrições Médicas ()"</f>
        <v>Serviços de Apoio / Nutrição e Dietética / Consultas / Prescrições Médicas ()</v>
      </c>
    </row>
    <row r="11950" spans="1:7" x14ac:dyDescent="0.3">
      <c r="A11950" s="1" t="s">
        <v>58</v>
      </c>
      <c r="B11950" s="2" t="str">
        <f>""</f>
        <v/>
      </c>
      <c r="C11950" s="2" t="str">
        <f>""</f>
        <v/>
      </c>
      <c r="D11950" s="2" t="str">
        <f>""</f>
        <v/>
      </c>
      <c r="E11950" s="2" t="str">
        <f>""</f>
        <v/>
      </c>
      <c r="F11950" s="2" t="str">
        <f>""</f>
        <v/>
      </c>
      <c r="G11950" s="2" t="str">
        <f>"Serviços de Apoio / Nutrição e Dietética / Configuração / Troca Empresa ()"</f>
        <v>Serviços de Apoio / Nutrição e Dietética / Configuração / Troca Empresa ()</v>
      </c>
    </row>
    <row r="11951" spans="1:7" x14ac:dyDescent="0.3">
      <c r="A11951" s="1" t="s">
        <v>58</v>
      </c>
      <c r="B11951" s="2" t="str">
        <f>""</f>
        <v/>
      </c>
      <c r="C11951" s="2" t="str">
        <f>""</f>
        <v/>
      </c>
      <c r="D11951" s="2" t="str">
        <f>""</f>
        <v/>
      </c>
      <c r="E11951" s="2" t="str">
        <f>""</f>
        <v/>
      </c>
      <c r="F11951" s="2" t="str">
        <f>""</f>
        <v/>
      </c>
      <c r="G11951" s="2" t="str">
        <f>"Outros / Room Service ()"</f>
        <v>Outros / Room Service ()</v>
      </c>
    </row>
    <row r="11952" spans="1:7" x14ac:dyDescent="0.3">
      <c r="A11952" s="1" t="s">
        <v>58</v>
      </c>
      <c r="B11952" s="2" t="str">
        <f>""</f>
        <v/>
      </c>
      <c r="C11952" s="2" t="str">
        <f>""</f>
        <v/>
      </c>
      <c r="D11952" s="2" t="str">
        <f>""</f>
        <v/>
      </c>
      <c r="E11952" s="2" t="str">
        <f>""</f>
        <v/>
      </c>
      <c r="F11952" s="2" t="str">
        <f>""</f>
        <v/>
      </c>
      <c r="G11952" s="2" t="str">
        <f>"Outros / Room Service / Tabelas ()"</f>
        <v>Outros / Room Service / Tabelas ()</v>
      </c>
    </row>
    <row r="11953" spans="1:7" x14ac:dyDescent="0.3">
      <c r="A11953" s="1" t="s">
        <v>58</v>
      </c>
      <c r="B11953" s="2" t="str">
        <f>""</f>
        <v/>
      </c>
      <c r="C11953" s="2" t="str">
        <f>""</f>
        <v/>
      </c>
      <c r="D11953" s="2" t="str">
        <f>""</f>
        <v/>
      </c>
      <c r="E11953" s="2" t="str">
        <f>""</f>
        <v/>
      </c>
      <c r="F11953" s="2" t="str">
        <f>""</f>
        <v/>
      </c>
      <c r="G11953" s="2" t="str">
        <f>"Outros / Fusam ()"</f>
        <v>Outros / Fusam ()</v>
      </c>
    </row>
    <row r="11954" spans="1:7" x14ac:dyDescent="0.3">
      <c r="A11954" s="1" t="s">
        <v>58</v>
      </c>
      <c r="B11954" s="2" t="str">
        <f>""</f>
        <v/>
      </c>
      <c r="C11954" s="2" t="str">
        <f>""</f>
        <v/>
      </c>
      <c r="D11954" s="2" t="str">
        <f>""</f>
        <v/>
      </c>
      <c r="E11954" s="2" t="str">
        <f>""</f>
        <v/>
      </c>
      <c r="F11954" s="2" t="str">
        <f>""</f>
        <v/>
      </c>
      <c r="G11954" s="2" t="str">
        <f>"Outros / Fusam / Atendimentos ()"</f>
        <v>Outros / Fusam / Atendimentos ()</v>
      </c>
    </row>
    <row r="11955" spans="1:7" x14ac:dyDescent="0.3">
      <c r="A11955" s="1" t="s">
        <v>58</v>
      </c>
      <c r="B11955" s="2" t="str">
        <f>""</f>
        <v/>
      </c>
      <c r="C11955" s="2" t="str">
        <f>""</f>
        <v/>
      </c>
      <c r="D11955" s="2" t="str">
        <f>""</f>
        <v/>
      </c>
      <c r="E11955" s="2" t="str">
        <f>""</f>
        <v/>
      </c>
      <c r="F11955" s="2" t="str">
        <f>""</f>
        <v/>
      </c>
      <c r="G11955" s="2" t="str">
        <f>"Outros / Fusam / Agendamentos ()"</f>
        <v>Outros / Fusam / Agendamentos ()</v>
      </c>
    </row>
    <row r="11956" spans="1:7" x14ac:dyDescent="0.3">
      <c r="A11956" s="1" t="s">
        <v>58</v>
      </c>
      <c r="B11956" s="2" t="str">
        <f>""</f>
        <v/>
      </c>
      <c r="C11956" s="2" t="str">
        <f>""</f>
        <v/>
      </c>
      <c r="D11956" s="2" t="str">
        <f>""</f>
        <v/>
      </c>
      <c r="E11956" s="2" t="str">
        <f>""</f>
        <v/>
      </c>
      <c r="F11956" s="2" t="str">
        <f>""</f>
        <v/>
      </c>
      <c r="G11956" s="2" t="str">
        <f>"Outros / Fusam / Tabelas ()"</f>
        <v>Outros / Fusam / Tabelas ()</v>
      </c>
    </row>
    <row r="11957" spans="1:7" x14ac:dyDescent="0.3">
      <c r="A11957" s="1" t="s">
        <v>58</v>
      </c>
      <c r="B11957" s="2" t="str">
        <f>""</f>
        <v/>
      </c>
      <c r="C11957" s="2" t="str">
        <f>""</f>
        <v/>
      </c>
      <c r="D11957" s="2" t="str">
        <f>""</f>
        <v/>
      </c>
      <c r="E11957" s="2" t="str">
        <f>""</f>
        <v/>
      </c>
      <c r="F11957" s="2" t="str">
        <f>""</f>
        <v/>
      </c>
      <c r="G11957" s="2" t="str">
        <f>"Outros / Fusam / Consultas ()"</f>
        <v>Outros / Fusam / Consultas ()</v>
      </c>
    </row>
    <row r="11958" spans="1:7" x14ac:dyDescent="0.3">
      <c r="A11958" s="1" t="s">
        <v>58</v>
      </c>
      <c r="B11958" s="2" t="str">
        <f>""</f>
        <v/>
      </c>
      <c r="C11958" s="2" t="str">
        <f>""</f>
        <v/>
      </c>
      <c r="D11958" s="2" t="str">
        <f>""</f>
        <v/>
      </c>
      <c r="E11958" s="2" t="str">
        <f>""</f>
        <v/>
      </c>
      <c r="F11958" s="2" t="str">
        <f>""</f>
        <v/>
      </c>
      <c r="G11958" s="2" t="str">
        <f>"Outros / Fusam / Configurações ()"</f>
        <v>Outros / Fusam / Configurações ()</v>
      </c>
    </row>
    <row r="11959" spans="1:7" x14ac:dyDescent="0.3">
      <c r="A11959" s="1" t="s">
        <v>58</v>
      </c>
      <c r="B11959" s="2" t="str">
        <f>""</f>
        <v/>
      </c>
      <c r="C11959" s="2" t="str">
        <f>""</f>
        <v/>
      </c>
      <c r="D11959" s="2" t="str">
        <f>""</f>
        <v/>
      </c>
      <c r="E11959" s="2" t="str">
        <f>""</f>
        <v/>
      </c>
      <c r="F11959" s="2" t="str">
        <f>""</f>
        <v/>
      </c>
      <c r="G11959" s="2" t="str">
        <f>"Outros / Fusam / Relatórios ()"</f>
        <v>Outros / Fusam / Relatórios ()</v>
      </c>
    </row>
    <row r="11960" spans="1:7" x14ac:dyDescent="0.3">
      <c r="A11960" s="1" t="s">
        <v>58</v>
      </c>
      <c r="B11960" s="2" t="str">
        <f>""</f>
        <v/>
      </c>
      <c r="C11960" s="2" t="str">
        <f>""</f>
        <v/>
      </c>
      <c r="D11960" s="2" t="str">
        <f>""</f>
        <v/>
      </c>
      <c r="E11960" s="2" t="str">
        <f>""</f>
        <v/>
      </c>
      <c r="F11960" s="2" t="str">
        <f>""</f>
        <v/>
      </c>
      <c r="G11960" s="2" t="str">
        <f>"Outros / Fusam / Atendimentos / Pendências ()"</f>
        <v>Outros / Fusam / Atendimentos / Pendências ()</v>
      </c>
    </row>
    <row r="11961" spans="1:7" x14ac:dyDescent="0.3">
      <c r="A11961" s="1" t="s">
        <v>58</v>
      </c>
      <c r="B11961" s="2" t="str">
        <f>""</f>
        <v/>
      </c>
      <c r="C11961" s="2" t="str">
        <f>""</f>
        <v/>
      </c>
      <c r="D11961" s="2" t="str">
        <f>""</f>
        <v/>
      </c>
      <c r="E11961" s="2" t="str">
        <f>""</f>
        <v/>
      </c>
      <c r="F11961" s="2" t="str">
        <f>""</f>
        <v/>
      </c>
      <c r="G11961" s="2" t="str">
        <f>"Outros / Fusam / Relatórios / Tabelas ()"</f>
        <v>Outros / Fusam / Relatórios / Tabelas ()</v>
      </c>
    </row>
    <row r="11962" spans="1:7" x14ac:dyDescent="0.3">
      <c r="A11962" s="1" t="s">
        <v>58</v>
      </c>
      <c r="B11962" s="2" t="str">
        <f>""</f>
        <v/>
      </c>
      <c r="C11962" s="2" t="str">
        <f>""</f>
        <v/>
      </c>
      <c r="D11962" s="2" t="str">
        <f>""</f>
        <v/>
      </c>
      <c r="E11962" s="2" t="str">
        <f>""</f>
        <v/>
      </c>
      <c r="F11962" s="2" t="str">
        <f>""</f>
        <v/>
      </c>
      <c r="G11962" s="2" t="str">
        <f>"Outros / Fusam / Relatórios / Agendamentos ()"</f>
        <v>Outros / Fusam / Relatórios / Agendamentos ()</v>
      </c>
    </row>
    <row r="11963" spans="1:7" x14ac:dyDescent="0.3">
      <c r="A11963" s="1" t="s">
        <v>58</v>
      </c>
      <c r="B11963" s="2" t="str">
        <f>""</f>
        <v/>
      </c>
      <c r="C11963" s="2" t="str">
        <f>""</f>
        <v/>
      </c>
      <c r="D11963" s="2" t="str">
        <f>""</f>
        <v/>
      </c>
      <c r="E11963" s="2" t="str">
        <f>""</f>
        <v/>
      </c>
      <c r="F11963" s="2" t="str">
        <f>""</f>
        <v/>
      </c>
      <c r="G11963" s="2" t="str">
        <f>"Outros / Fusam / Relatórios / Estatísticos ()"</f>
        <v>Outros / Fusam / Relatórios / Estatísticos ()</v>
      </c>
    </row>
    <row r="11964" spans="1:7" x14ac:dyDescent="0.3">
      <c r="A11964" s="1" t="s">
        <v>58</v>
      </c>
      <c r="B11964" s="2" t="str">
        <f>""</f>
        <v/>
      </c>
      <c r="C11964" s="2" t="str">
        <f>""</f>
        <v/>
      </c>
      <c r="D11964" s="2" t="str">
        <f>""</f>
        <v/>
      </c>
      <c r="E11964" s="2" t="str">
        <f>""</f>
        <v/>
      </c>
      <c r="F11964" s="2" t="str">
        <f>""</f>
        <v/>
      </c>
      <c r="G11964" s="2" t="str">
        <f>"Outros / Fusam / Relatórios / Operacionais ()"</f>
        <v>Outros / Fusam / Relatórios / Operacionais ()</v>
      </c>
    </row>
    <row r="11965" spans="1:7" x14ac:dyDescent="0.3">
      <c r="A11965" s="1" t="s">
        <v>58</v>
      </c>
      <c r="B11965" s="2" t="str">
        <f>""</f>
        <v/>
      </c>
      <c r="C11965" s="2" t="str">
        <f>""</f>
        <v/>
      </c>
      <c r="D11965" s="2" t="str">
        <f>""</f>
        <v/>
      </c>
      <c r="E11965" s="2" t="str">
        <f>""</f>
        <v/>
      </c>
      <c r="F11965" s="2" t="str">
        <f>""</f>
        <v/>
      </c>
      <c r="G11965" s="2" t="str">
        <f>"Outros / Fusam / Relatórios / Gráficos ()"</f>
        <v>Outros / Fusam / Relatórios / Gráficos ()</v>
      </c>
    </row>
    <row r="11966" spans="1:7" x14ac:dyDescent="0.3">
      <c r="A11966" s="1" t="s">
        <v>58</v>
      </c>
      <c r="B11966" s="2" t="str">
        <f>""</f>
        <v/>
      </c>
      <c r="C11966" s="2" t="str">
        <f>""</f>
        <v/>
      </c>
      <c r="D11966" s="2" t="str">
        <f>""</f>
        <v/>
      </c>
      <c r="E11966" s="2" t="str">
        <f>""</f>
        <v/>
      </c>
      <c r="F11966" s="2" t="str">
        <f>""</f>
        <v/>
      </c>
      <c r="G11966" s="2" t="str">
        <f>"Outros / Fusam / Relatórios / Gerenciais ()"</f>
        <v>Outros / Fusam / Relatórios / Gerenciais ()</v>
      </c>
    </row>
    <row r="11967" spans="1:7" x14ac:dyDescent="0.3">
      <c r="A11967" s="1" t="s">
        <v>58</v>
      </c>
      <c r="B11967" s="2" t="str">
        <f>""</f>
        <v/>
      </c>
      <c r="C11967" s="2" t="str">
        <f>""</f>
        <v/>
      </c>
      <c r="D11967" s="2" t="str">
        <f>""</f>
        <v/>
      </c>
      <c r="E11967" s="2" t="str">
        <f>""</f>
        <v/>
      </c>
      <c r="F11967" s="2" t="str">
        <f>""</f>
        <v/>
      </c>
      <c r="G11967" s="2" t="str">
        <f>"Clínica e Assistencial ()"</f>
        <v>Clínica e Assistencial ()</v>
      </c>
    </row>
    <row r="11968" spans="1:7" x14ac:dyDescent="0.3">
      <c r="A11968" s="1" t="s">
        <v>58</v>
      </c>
      <c r="B11968" s="2" t="str">
        <f>""</f>
        <v/>
      </c>
      <c r="C11968" s="2" t="str">
        <f>""</f>
        <v/>
      </c>
      <c r="D11968" s="2" t="str">
        <f>""</f>
        <v/>
      </c>
      <c r="E11968" s="2" t="str">
        <f>""</f>
        <v/>
      </c>
      <c r="F11968" s="2" t="str">
        <f>""</f>
        <v/>
      </c>
      <c r="G11968" s="2" t="str">
        <f>"Clínica e Assistencial / Gerenciamento de Unidades ()"</f>
        <v>Clínica e Assistencial / Gerenciamento de Unidades ()</v>
      </c>
    </row>
    <row r="11969" spans="1:7" x14ac:dyDescent="0.3">
      <c r="A11969" s="1" t="s">
        <v>58</v>
      </c>
      <c r="B11969" s="2" t="str">
        <f>""</f>
        <v/>
      </c>
      <c r="C11969" s="2" t="str">
        <f>""</f>
        <v/>
      </c>
      <c r="D11969" s="2" t="str">
        <f>""</f>
        <v/>
      </c>
      <c r="E11969" s="2" t="str">
        <f>""</f>
        <v/>
      </c>
      <c r="F11969" s="2" t="str">
        <f>""</f>
        <v/>
      </c>
      <c r="G11969" s="2" t="str">
        <f>"Clínica e Assistencial / Gerenciamento de Unidades / Secretaria ()"</f>
        <v>Clínica e Assistencial / Gerenciamento de Unidades / Secretaria ()</v>
      </c>
    </row>
    <row r="11970" spans="1:7" x14ac:dyDescent="0.3">
      <c r="A11970" s="1" t="s">
        <v>58</v>
      </c>
      <c r="B11970" s="2" t="str">
        <f>""</f>
        <v/>
      </c>
      <c r="C11970" s="2" t="str">
        <f>""</f>
        <v/>
      </c>
      <c r="D11970" s="2" t="str">
        <f>""</f>
        <v/>
      </c>
      <c r="E11970" s="2" t="str">
        <f>""</f>
        <v/>
      </c>
      <c r="F11970" s="2" t="str">
        <f>""</f>
        <v/>
      </c>
      <c r="G11970" s="2" t="str">
        <f>"Clínica e Assistencial / Gerenciamento de Unidades / Enfermagem ()"</f>
        <v>Clínica e Assistencial / Gerenciamento de Unidades / Enfermagem ()</v>
      </c>
    </row>
    <row r="11971" spans="1:7" x14ac:dyDescent="0.3">
      <c r="A11971" s="1" t="s">
        <v>58</v>
      </c>
      <c r="B11971" s="2" t="str">
        <f>""</f>
        <v/>
      </c>
      <c r="C11971" s="2" t="str">
        <f>""</f>
        <v/>
      </c>
      <c r="D11971" s="2" t="str">
        <f>""</f>
        <v/>
      </c>
      <c r="E11971" s="2" t="str">
        <f>""</f>
        <v/>
      </c>
      <c r="F11971" s="2" t="str">
        <f>""</f>
        <v/>
      </c>
      <c r="G11971" s="2" t="str">
        <f>"Clínica e Assistencial / Gerenciamento de Unidades / Consultas ()"</f>
        <v>Clínica e Assistencial / Gerenciamento de Unidades / Consultas ()</v>
      </c>
    </row>
    <row r="11972" spans="1:7" x14ac:dyDescent="0.3">
      <c r="A11972" s="1" t="s">
        <v>58</v>
      </c>
      <c r="B11972" s="2" t="str">
        <f>""</f>
        <v/>
      </c>
      <c r="C11972" s="2" t="str">
        <f>""</f>
        <v/>
      </c>
      <c r="D11972" s="2" t="str">
        <f>""</f>
        <v/>
      </c>
      <c r="E11972" s="2" t="str">
        <f>""</f>
        <v/>
      </c>
      <c r="F11972" s="2" t="str">
        <f>""</f>
        <v/>
      </c>
      <c r="G11972" s="2" t="str">
        <f>"Clínica e Assistencial / Gerenciamento de Unidades / Consultas / Prescrições Médicas ()"</f>
        <v>Clínica e Assistencial / Gerenciamento de Unidades / Consultas / Prescrições Médicas ()</v>
      </c>
    </row>
    <row r="11973" spans="1:7" x14ac:dyDescent="0.3">
      <c r="A11973" s="1" t="s">
        <v>58</v>
      </c>
      <c r="B11973" s="2" t="str">
        <f>""</f>
        <v/>
      </c>
      <c r="C11973" s="2" t="str">
        <f>""</f>
        <v/>
      </c>
      <c r="D11973" s="2" t="str">
        <f>""</f>
        <v/>
      </c>
      <c r="E11973" s="2" t="str">
        <f>""</f>
        <v/>
      </c>
      <c r="F11973" s="2" t="str">
        <f>""</f>
        <v/>
      </c>
      <c r="G11973" s="2" t="str">
        <f>"Clínica e Assistencial / Gerenciamento de Unidades / Consultas / Exames ()"</f>
        <v>Clínica e Assistencial / Gerenciamento de Unidades / Consultas / Exames ()</v>
      </c>
    </row>
    <row r="11974" spans="1:7" x14ac:dyDescent="0.3">
      <c r="A11974" s="1" t="s">
        <v>58</v>
      </c>
      <c r="B11974" s="2" t="str">
        <f>""</f>
        <v/>
      </c>
      <c r="C11974" s="2" t="str">
        <f>""</f>
        <v/>
      </c>
      <c r="D11974" s="2" t="str">
        <f>""</f>
        <v/>
      </c>
      <c r="E11974" s="2" t="str">
        <f>""</f>
        <v/>
      </c>
      <c r="F11974" s="2" t="str">
        <f>""</f>
        <v/>
      </c>
      <c r="G11974" s="2" t="str">
        <f>"Clínica e Assistencial / Gerenciamento de Unidades / Opções Médicas ()"</f>
        <v>Clínica e Assistencial / Gerenciamento de Unidades / Opções Médicas ()</v>
      </c>
    </row>
    <row r="11975" spans="1:7" x14ac:dyDescent="0.3">
      <c r="A11975" s="1" t="s">
        <v>58</v>
      </c>
      <c r="B11975" s="2" t="str">
        <f>""</f>
        <v/>
      </c>
      <c r="C11975" s="2" t="str">
        <f>""</f>
        <v/>
      </c>
      <c r="D11975" s="2" t="str">
        <f>""</f>
        <v/>
      </c>
      <c r="E11975" s="2" t="str">
        <f>""</f>
        <v/>
      </c>
      <c r="F11975" s="2" t="str">
        <f>""</f>
        <v/>
      </c>
      <c r="G11975" s="2" t="str">
        <f>"Clínica e Assistencial / Gerenciamento de Unidades / Configuração ()"</f>
        <v>Clínica e Assistencial / Gerenciamento de Unidades / Configuração ()</v>
      </c>
    </row>
    <row r="11976" spans="1:7" x14ac:dyDescent="0.3">
      <c r="A11976" s="1" t="s">
        <v>58</v>
      </c>
      <c r="B11976" s="2" t="str">
        <f>""</f>
        <v/>
      </c>
      <c r="C11976" s="2" t="str">
        <f>""</f>
        <v/>
      </c>
      <c r="D11976" s="2" t="str">
        <f>""</f>
        <v/>
      </c>
      <c r="E11976" s="2" t="str">
        <f>""</f>
        <v/>
      </c>
      <c r="F11976" s="2" t="str">
        <f>""</f>
        <v/>
      </c>
      <c r="G11976" s="2" t="str">
        <f>"Clínica e Assistencial / Gerenciamento de Unidades / Configuração / Tabelas ()"</f>
        <v>Clínica e Assistencial / Gerenciamento de Unidades / Configuração / Tabelas ()</v>
      </c>
    </row>
    <row r="11977" spans="1:7" x14ac:dyDescent="0.3">
      <c r="A11977" s="1" t="s">
        <v>58</v>
      </c>
      <c r="B11977" s="2" t="str">
        <f>""</f>
        <v/>
      </c>
      <c r="C11977" s="2" t="str">
        <f>""</f>
        <v/>
      </c>
      <c r="D11977" s="2" t="str">
        <f>""</f>
        <v/>
      </c>
      <c r="E11977" s="2" t="str">
        <f>""</f>
        <v/>
      </c>
      <c r="F11977" s="2" t="str">
        <f>""</f>
        <v/>
      </c>
      <c r="G11977" s="2" t="str">
        <f>"Faturamento / Faturamento de Internação SUS (AIH) / Relatórios / Gerenciais / Situação/Posição de Contas ()"</f>
        <v>Faturamento / Faturamento de Internação SUS (AIH) / Relatórios / Gerenciais / Situação/Posição de Contas ()</v>
      </c>
    </row>
    <row r="11978" spans="1:7" x14ac:dyDescent="0.3">
      <c r="A11978" s="1" t="s">
        <v>58</v>
      </c>
      <c r="B11978" s="2" t="str">
        <f>""</f>
        <v/>
      </c>
      <c r="C11978" s="2" t="str">
        <f>""</f>
        <v/>
      </c>
      <c r="D11978" s="2" t="str">
        <f>""</f>
        <v/>
      </c>
      <c r="E11978" s="2" t="str">
        <f>""</f>
        <v/>
      </c>
      <c r="F11978" s="2" t="str">
        <f>""</f>
        <v/>
      </c>
      <c r="G11978" s="2" t="str">
        <f>"Faturamento / Faturamento Ambulatorial SUS (BPA e APAC) / Consultas / SISMAMA ()"</f>
        <v>Faturamento / Faturamento Ambulatorial SUS (BPA e APAC) / Consultas / SISMAMA ()</v>
      </c>
    </row>
    <row r="11979" spans="1:7" x14ac:dyDescent="0.3">
      <c r="A11979" s="1" t="s">
        <v>58</v>
      </c>
      <c r="B11979" s="2" t="str">
        <f>""</f>
        <v/>
      </c>
      <c r="C11979" s="2" t="str">
        <f>""</f>
        <v/>
      </c>
      <c r="D11979" s="2" t="str">
        <f>""</f>
        <v/>
      </c>
      <c r="E11979" s="2" t="str">
        <f>""</f>
        <v/>
      </c>
      <c r="F11979" s="2" t="str">
        <f>""</f>
        <v/>
      </c>
      <c r="G11979" s="2" t="str">
        <f>"Faturamento / Faturamento de Internação SUS (AIH) / Relatórios / Gerenciais / Contratualização ()"</f>
        <v>Faturamento / Faturamento de Internação SUS (AIH) / Relatórios / Gerenciais / Contratualização ()</v>
      </c>
    </row>
    <row r="11980" spans="1:7" x14ac:dyDescent="0.3">
      <c r="A11980" s="1" t="s">
        <v>58</v>
      </c>
      <c r="B11980" s="2" t="str">
        <f>""</f>
        <v/>
      </c>
      <c r="C11980" s="2" t="str">
        <f>""</f>
        <v/>
      </c>
      <c r="D11980" s="2" t="str">
        <f>""</f>
        <v/>
      </c>
      <c r="E11980" s="2" t="str">
        <f>""</f>
        <v/>
      </c>
      <c r="F11980" s="2" t="str">
        <f>""</f>
        <v/>
      </c>
      <c r="G11980" s="2" t="str">
        <f>"Clínica e Assistencial / Gerenciamento de Unidades / Configuração / Tabelas / Esquemas da Prescrição ()"</f>
        <v>Clínica e Assistencial / Gerenciamento de Unidades / Configuração / Tabelas / Esquemas da Prescrição ()</v>
      </c>
    </row>
    <row r="11981" spans="1:7" x14ac:dyDescent="0.3">
      <c r="A11981" s="1" t="s">
        <v>58</v>
      </c>
      <c r="B11981" s="2" t="str">
        <f>""</f>
        <v/>
      </c>
      <c r="C11981" s="2" t="str">
        <f>""</f>
        <v/>
      </c>
      <c r="D11981" s="2" t="str">
        <f>""</f>
        <v/>
      </c>
      <c r="E11981" s="2" t="str">
        <f>""</f>
        <v/>
      </c>
      <c r="F11981" s="2" t="str">
        <f>""</f>
        <v/>
      </c>
      <c r="G11981" s="2" t="str">
        <f>"Faturamento / Faturamento Ambulatorial SUS (BPA e APAC) / Tabelas / Geral / Equipe Brasil ()"</f>
        <v>Faturamento / Faturamento Ambulatorial SUS (BPA e APAC) / Tabelas / Geral / Equipe Brasil ()</v>
      </c>
    </row>
    <row r="11982" spans="1:7" x14ac:dyDescent="0.3">
      <c r="A11982" s="1" t="s">
        <v>58</v>
      </c>
      <c r="B11982" s="2" t="str">
        <f>""</f>
        <v/>
      </c>
      <c r="C11982" s="2" t="str">
        <f>""</f>
        <v/>
      </c>
      <c r="D11982" s="2" t="str">
        <f>""</f>
        <v/>
      </c>
      <c r="E11982" s="2" t="str">
        <f>""</f>
        <v/>
      </c>
      <c r="F11982" s="2" t="str">
        <f>""</f>
        <v/>
      </c>
      <c r="G11982" s="2" t="str">
        <f>"Triagem - Lessnau / Programa de Regulação ()"</f>
        <v>Triagem - Lessnau / Programa de Regulação ()</v>
      </c>
    </row>
    <row r="11983" spans="1:7" x14ac:dyDescent="0.3">
      <c r="A11983" s="1" t="s">
        <v>58</v>
      </c>
      <c r="B11983" s="2" t="str">
        <f>""</f>
        <v/>
      </c>
      <c r="C11983" s="2" t="str">
        <f>""</f>
        <v/>
      </c>
      <c r="D11983" s="2" t="str">
        <f>""</f>
        <v/>
      </c>
      <c r="E11983" s="2" t="str">
        <f>""</f>
        <v/>
      </c>
      <c r="F11983" s="2" t="str">
        <f>""</f>
        <v/>
      </c>
      <c r="G11983" s="2" t="str">
        <f>"Clínica e Assistencial / Gerenciamento de Unidades / Configuração / Documentos ()"</f>
        <v>Clínica e Assistencial / Gerenciamento de Unidades / Configuração / Documentos ()</v>
      </c>
    </row>
    <row r="11984" spans="1:7" x14ac:dyDescent="0.3">
      <c r="A11984" s="1" t="s">
        <v>58</v>
      </c>
      <c r="B11984" s="2" t="str">
        <f>""</f>
        <v/>
      </c>
      <c r="C11984" s="2" t="str">
        <f>""</f>
        <v/>
      </c>
      <c r="D11984" s="2" t="str">
        <f>""</f>
        <v/>
      </c>
      <c r="E11984" s="2" t="str">
        <f>""</f>
        <v/>
      </c>
      <c r="F11984" s="2" t="str">
        <f>""</f>
        <v/>
      </c>
      <c r="G11984" s="2" t="str">
        <f>"Materiais e Logística / Farmácia / Movimentação ()"</f>
        <v>Materiais e Logística / Farmácia / Movimentação ()</v>
      </c>
    </row>
    <row r="11985" spans="1:7" x14ac:dyDescent="0.3">
      <c r="A11985" s="1" t="s">
        <v>58</v>
      </c>
      <c r="B11985" s="2" t="str">
        <f>""</f>
        <v/>
      </c>
      <c r="C11985" s="2" t="str">
        <f>""</f>
        <v/>
      </c>
      <c r="D11985" s="2" t="str">
        <f>""</f>
        <v/>
      </c>
      <c r="E11985" s="2" t="str">
        <f>""</f>
        <v/>
      </c>
      <c r="F11985" s="2" t="str">
        <f>""</f>
        <v/>
      </c>
      <c r="G11985" s="2" t="str">
        <f>"Materiais e Logística / Farmácia / Inventário ()"</f>
        <v>Materiais e Logística / Farmácia / Inventário ()</v>
      </c>
    </row>
    <row r="11986" spans="1:7" x14ac:dyDescent="0.3">
      <c r="A11986" s="1" t="s">
        <v>58</v>
      </c>
      <c r="B11986" s="2" t="str">
        <f>""</f>
        <v/>
      </c>
      <c r="C11986" s="2" t="str">
        <f>""</f>
        <v/>
      </c>
      <c r="D11986" s="2" t="str">
        <f>""</f>
        <v/>
      </c>
      <c r="E11986" s="2" t="str">
        <f>""</f>
        <v/>
      </c>
      <c r="F11986" s="2" t="str">
        <f>""</f>
        <v/>
      </c>
      <c r="G11986" s="2" t="str">
        <f>"Materiais e Logística / Farmácia / Tabelas ()"</f>
        <v>Materiais e Logística / Farmácia / Tabelas ()</v>
      </c>
    </row>
    <row r="11987" spans="1:7" x14ac:dyDescent="0.3">
      <c r="A11987" s="1" t="s">
        <v>58</v>
      </c>
      <c r="B11987" s="2" t="str">
        <f>""</f>
        <v/>
      </c>
      <c r="C11987" s="2" t="str">
        <f>""</f>
        <v/>
      </c>
      <c r="D11987" s="2" t="str">
        <f>""</f>
        <v/>
      </c>
      <c r="E11987" s="2" t="str">
        <f>""</f>
        <v/>
      </c>
      <c r="F11987" s="2" t="str">
        <f>""</f>
        <v/>
      </c>
      <c r="G11987" s="2" t="str">
        <f>"Materiais e Logística / Farmácia / Consulta ()"</f>
        <v>Materiais e Logística / Farmácia / Consulta ()</v>
      </c>
    </row>
    <row r="11988" spans="1:7" x14ac:dyDescent="0.3">
      <c r="A11988" s="1" t="s">
        <v>58</v>
      </c>
      <c r="B11988" s="2" t="str">
        <f>""</f>
        <v/>
      </c>
      <c r="C11988" s="2" t="str">
        <f>""</f>
        <v/>
      </c>
      <c r="D11988" s="2" t="str">
        <f>""</f>
        <v/>
      </c>
      <c r="E11988" s="2" t="str">
        <f>""</f>
        <v/>
      </c>
      <c r="F11988" s="2" t="str">
        <f>""</f>
        <v/>
      </c>
      <c r="G11988" s="2" t="str">
        <f>"Materiais e Logística / Farmácia / Relatórios ()"</f>
        <v>Materiais e Logística / Farmácia / Relatórios ()</v>
      </c>
    </row>
    <row r="11989" spans="1:7" x14ac:dyDescent="0.3">
      <c r="A11989" s="1" t="s">
        <v>58</v>
      </c>
      <c r="B11989" s="2" t="str">
        <f>""</f>
        <v/>
      </c>
      <c r="C11989" s="2" t="str">
        <f>""</f>
        <v/>
      </c>
      <c r="D11989" s="2" t="str">
        <f>""</f>
        <v/>
      </c>
      <c r="E11989" s="2" t="str">
        <f>""</f>
        <v/>
      </c>
      <c r="F11989" s="2" t="str">
        <f>""</f>
        <v/>
      </c>
      <c r="G11989" s="2" t="str">
        <f>"Materiais e Logística / Farmácia / Configuração ()"</f>
        <v>Materiais e Logística / Farmácia / Configuração ()</v>
      </c>
    </row>
    <row r="11990" spans="1:7" x14ac:dyDescent="0.3">
      <c r="A11990" s="1" t="s">
        <v>58</v>
      </c>
      <c r="B11990" s="2" t="str">
        <f>""</f>
        <v/>
      </c>
      <c r="C11990" s="2" t="str">
        <f>""</f>
        <v/>
      </c>
      <c r="D11990" s="2" t="str">
        <f>""</f>
        <v/>
      </c>
      <c r="E11990" s="2" t="str">
        <f>""</f>
        <v/>
      </c>
      <c r="F11990" s="2" t="str">
        <f>""</f>
        <v/>
      </c>
      <c r="G11990" s="2" t="str">
        <f>"Materiais e Logística / Farmácia / Relatórios / Gerenciais ()"</f>
        <v>Materiais e Logística / Farmácia / Relatórios / Gerenciais ()</v>
      </c>
    </row>
    <row r="11991" spans="1:7" x14ac:dyDescent="0.3">
      <c r="A11991" s="1" t="s">
        <v>58</v>
      </c>
      <c r="B11991" s="2" t="str">
        <f>""</f>
        <v/>
      </c>
      <c r="C11991" s="2" t="str">
        <f>""</f>
        <v/>
      </c>
      <c r="D11991" s="2" t="str">
        <f>""</f>
        <v/>
      </c>
      <c r="E11991" s="2" t="str">
        <f>""</f>
        <v/>
      </c>
      <c r="F11991" s="2" t="str">
        <f>""</f>
        <v/>
      </c>
      <c r="G11991" s="2" t="str">
        <f>"Materiais e Logística / Farmácia / Relatórios / Operacionais ()"</f>
        <v>Materiais e Logística / Farmácia / Relatórios / Operacionais ()</v>
      </c>
    </row>
    <row r="11992" spans="1:7" x14ac:dyDescent="0.3">
      <c r="A11992" s="1" t="s">
        <v>58</v>
      </c>
      <c r="B11992" s="2" t="str">
        <f>""</f>
        <v/>
      </c>
      <c r="C11992" s="2" t="str">
        <f>""</f>
        <v/>
      </c>
      <c r="D11992" s="2" t="str">
        <f>""</f>
        <v/>
      </c>
      <c r="E11992" s="2" t="str">
        <f>""</f>
        <v/>
      </c>
      <c r="F11992" s="2" t="str">
        <f>""</f>
        <v/>
      </c>
      <c r="G11992" s="2" t="str">
        <f>"Materiais e Logística / Farmácia / Relatórios / Estatísticos ()"</f>
        <v>Materiais e Logística / Farmácia / Relatórios / Estatísticos ()</v>
      </c>
    </row>
    <row r="11993" spans="1:7" x14ac:dyDescent="0.3">
      <c r="A11993" s="1" t="s">
        <v>58</v>
      </c>
      <c r="B11993" s="2" t="str">
        <f>""</f>
        <v/>
      </c>
      <c r="C11993" s="2" t="str">
        <f>""</f>
        <v/>
      </c>
      <c r="D11993" s="2" t="str">
        <f>""</f>
        <v/>
      </c>
      <c r="E11993" s="2" t="str">
        <f>""</f>
        <v/>
      </c>
      <c r="F11993" s="2" t="str">
        <f>""</f>
        <v/>
      </c>
      <c r="G11993" s="2" t="str">
        <f>"Faturamento / Auditoria e Controle de Recursos de Glosas / Relatórios / Operacionais / Auditoria ()"</f>
        <v>Faturamento / Auditoria e Controle de Recursos de Glosas / Relatórios / Operacionais / Auditoria ()</v>
      </c>
    </row>
    <row r="11994" spans="1:7" x14ac:dyDescent="0.3">
      <c r="A11994" s="1" t="s">
        <v>58</v>
      </c>
      <c r="B11994" s="2" t="str">
        <f>""</f>
        <v/>
      </c>
      <c r="C11994" s="2" t="str">
        <f>""</f>
        <v/>
      </c>
      <c r="D11994" s="2" t="str">
        <f>""</f>
        <v/>
      </c>
      <c r="E11994" s="2" t="str">
        <f>""</f>
        <v/>
      </c>
      <c r="F11994" s="2" t="str">
        <f>""</f>
        <v/>
      </c>
      <c r="G11994" s="2" t="str">
        <f>"Controladoria / Custos ()"</f>
        <v>Controladoria / Custos ()</v>
      </c>
    </row>
    <row r="11995" spans="1:7" x14ac:dyDescent="0.3">
      <c r="A11995" s="1" t="s">
        <v>58</v>
      </c>
      <c r="B11995" s="2" t="str">
        <f>""</f>
        <v/>
      </c>
      <c r="C11995" s="2" t="str">
        <f>""</f>
        <v/>
      </c>
      <c r="D11995" s="2" t="str">
        <f>""</f>
        <v/>
      </c>
      <c r="E11995" s="2" t="str">
        <f>""</f>
        <v/>
      </c>
      <c r="F11995" s="2" t="str">
        <f>""</f>
        <v/>
      </c>
      <c r="G11995" s="2" t="str">
        <f>"Controladoria / Custos / Tabelas ()"</f>
        <v>Controladoria / Custos / Tabelas ()</v>
      </c>
    </row>
    <row r="11996" spans="1:7" x14ac:dyDescent="0.3">
      <c r="A11996" s="1" t="s">
        <v>58</v>
      </c>
      <c r="B11996" s="2" t="str">
        <f>""</f>
        <v/>
      </c>
      <c r="C11996" s="2" t="str">
        <f>""</f>
        <v/>
      </c>
      <c r="D11996" s="2" t="str">
        <f>""</f>
        <v/>
      </c>
      <c r="E11996" s="2" t="str">
        <f>""</f>
        <v/>
      </c>
      <c r="F11996" s="2" t="str">
        <f>""</f>
        <v/>
      </c>
      <c r="G11996" s="2" t="str">
        <f>"Controladoria / Custos / Lançamentos ()"</f>
        <v>Controladoria / Custos / Lançamentos ()</v>
      </c>
    </row>
    <row r="11997" spans="1:7" x14ac:dyDescent="0.3">
      <c r="A11997" s="1" t="s">
        <v>58</v>
      </c>
      <c r="B11997" s="2" t="str">
        <f>""</f>
        <v/>
      </c>
      <c r="C11997" s="2" t="str">
        <f>""</f>
        <v/>
      </c>
      <c r="D11997" s="2" t="str">
        <f>""</f>
        <v/>
      </c>
      <c r="E11997" s="2" t="str">
        <f>""</f>
        <v/>
      </c>
      <c r="F11997" s="2" t="str">
        <f>""</f>
        <v/>
      </c>
      <c r="G11997" s="2" t="str">
        <f>"Controladoria / Custos / Cálculos ()"</f>
        <v>Controladoria / Custos / Cálculos ()</v>
      </c>
    </row>
    <row r="11998" spans="1:7" x14ac:dyDescent="0.3">
      <c r="A11998" s="1" t="s">
        <v>58</v>
      </c>
      <c r="B11998" s="2" t="str">
        <f>""</f>
        <v/>
      </c>
      <c r="C11998" s="2" t="str">
        <f>""</f>
        <v/>
      </c>
      <c r="D11998" s="2" t="str">
        <f>""</f>
        <v/>
      </c>
      <c r="E11998" s="2" t="str">
        <f>""</f>
        <v/>
      </c>
      <c r="F11998" s="2" t="str">
        <f>""</f>
        <v/>
      </c>
      <c r="G11998" s="2" t="str">
        <f>"Controladoria / Custos / Consultas ()"</f>
        <v>Controladoria / Custos / Consultas ()</v>
      </c>
    </row>
    <row r="11999" spans="1:7" x14ac:dyDescent="0.3">
      <c r="A11999" s="1" t="s">
        <v>58</v>
      </c>
      <c r="B11999" s="2" t="str">
        <f>""</f>
        <v/>
      </c>
      <c r="C11999" s="2" t="str">
        <f>""</f>
        <v/>
      </c>
      <c r="D11999" s="2" t="str">
        <f>""</f>
        <v/>
      </c>
      <c r="E11999" s="2" t="str">
        <f>""</f>
        <v/>
      </c>
      <c r="F11999" s="2" t="str">
        <f>""</f>
        <v/>
      </c>
      <c r="G11999" s="2" t="str">
        <f>"Controladoria / Custos / Importação ()"</f>
        <v>Controladoria / Custos / Importação ()</v>
      </c>
    </row>
    <row r="12000" spans="1:7" x14ac:dyDescent="0.3">
      <c r="A12000" s="1" t="s">
        <v>58</v>
      </c>
      <c r="B12000" s="2" t="str">
        <f>""</f>
        <v/>
      </c>
      <c r="C12000" s="2" t="str">
        <f>""</f>
        <v/>
      </c>
      <c r="D12000" s="2" t="str">
        <f>""</f>
        <v/>
      </c>
      <c r="E12000" s="2" t="str">
        <f>""</f>
        <v/>
      </c>
      <c r="F12000" s="2" t="str">
        <f>""</f>
        <v/>
      </c>
      <c r="G12000" s="2" t="str">
        <f>"Controladoria / Custos / Configurações ()"</f>
        <v>Controladoria / Custos / Configurações ()</v>
      </c>
    </row>
    <row r="12001" spans="1:7" x14ac:dyDescent="0.3">
      <c r="A12001" s="1" t="s">
        <v>58</v>
      </c>
      <c r="B12001" s="2" t="str">
        <f>""</f>
        <v/>
      </c>
      <c r="C12001" s="2" t="str">
        <f>""</f>
        <v/>
      </c>
      <c r="D12001" s="2" t="str">
        <f>""</f>
        <v/>
      </c>
      <c r="E12001" s="2" t="str">
        <f>""</f>
        <v/>
      </c>
      <c r="F12001" s="2" t="str">
        <f>""</f>
        <v/>
      </c>
      <c r="G12001" s="2" t="str">
        <f>"Controladoria / Custos / Relatórios ()"</f>
        <v>Controladoria / Custos / Relatórios ()</v>
      </c>
    </row>
    <row r="12002" spans="1:7" x14ac:dyDescent="0.3">
      <c r="A12002" s="1" t="s">
        <v>58</v>
      </c>
      <c r="B12002" s="2" t="str">
        <f>""</f>
        <v/>
      </c>
      <c r="C12002" s="2" t="str">
        <f>""</f>
        <v/>
      </c>
      <c r="D12002" s="2" t="str">
        <f>""</f>
        <v/>
      </c>
      <c r="E12002" s="2" t="str">
        <f>""</f>
        <v/>
      </c>
      <c r="F12002" s="2" t="str">
        <f>""</f>
        <v/>
      </c>
      <c r="G12002" s="2" t="str">
        <f>"Controladoria / Custos / Tabelas / Prestador X Setor X Unidade Produzida ()"</f>
        <v>Controladoria / Custos / Tabelas / Prestador X Setor X Unidade Produzida ()</v>
      </c>
    </row>
    <row r="12003" spans="1:7" x14ac:dyDescent="0.3">
      <c r="A12003" s="1" t="s">
        <v>58</v>
      </c>
      <c r="B12003" s="2" t="str">
        <f>""</f>
        <v/>
      </c>
      <c r="C12003" s="2" t="str">
        <f>""</f>
        <v/>
      </c>
      <c r="D12003" s="2" t="str">
        <f>""</f>
        <v/>
      </c>
      <c r="E12003" s="2" t="str">
        <f>""</f>
        <v/>
      </c>
      <c r="F12003" s="2" t="str">
        <f>""</f>
        <v/>
      </c>
      <c r="G12003" s="2" t="str">
        <f>"Controladoria / Custos / Lançamentos / Custos Primários ()"</f>
        <v>Controladoria / Custos / Lançamentos / Custos Primários ()</v>
      </c>
    </row>
    <row r="12004" spans="1:7" x14ac:dyDescent="0.3">
      <c r="A12004" s="1" t="s">
        <v>58</v>
      </c>
      <c r="B12004" s="2" t="str">
        <f>""</f>
        <v/>
      </c>
      <c r="C12004" s="2" t="str">
        <f>""</f>
        <v/>
      </c>
      <c r="D12004" s="2" t="str">
        <f>""</f>
        <v/>
      </c>
      <c r="E12004" s="2" t="str">
        <f>""</f>
        <v/>
      </c>
      <c r="F12004" s="2" t="str">
        <f>""</f>
        <v/>
      </c>
      <c r="G12004" s="2" t="str">
        <f>"Controladoria / Custos / Lançamentos / Metas e Orçamentos ()"</f>
        <v>Controladoria / Custos / Lançamentos / Metas e Orçamentos ()</v>
      </c>
    </row>
    <row r="12005" spans="1:7" x14ac:dyDescent="0.3">
      <c r="A12005" s="1" t="s">
        <v>58</v>
      </c>
      <c r="B12005" s="2" t="str">
        <f>""</f>
        <v/>
      </c>
      <c r="C12005" s="2" t="str">
        <f>""</f>
        <v/>
      </c>
      <c r="D12005" s="2" t="str">
        <f>""</f>
        <v/>
      </c>
      <c r="E12005" s="2" t="str">
        <f>""</f>
        <v/>
      </c>
      <c r="F12005" s="2" t="str">
        <f>""</f>
        <v/>
      </c>
      <c r="G12005" s="2" t="str">
        <f>"Controladoria / Custos / Relatórios / Tabelas ()"</f>
        <v>Controladoria / Custos / Relatórios / Tabelas ()</v>
      </c>
    </row>
    <row r="12006" spans="1:7" x14ac:dyDescent="0.3">
      <c r="A12006" s="1" t="s">
        <v>58</v>
      </c>
      <c r="B12006" s="2" t="str">
        <f>""</f>
        <v/>
      </c>
      <c r="C12006" s="2" t="str">
        <f>""</f>
        <v/>
      </c>
      <c r="D12006" s="2" t="str">
        <f>""</f>
        <v/>
      </c>
      <c r="E12006" s="2" t="str">
        <f>""</f>
        <v/>
      </c>
      <c r="F12006" s="2" t="str">
        <f>""</f>
        <v/>
      </c>
      <c r="G12006" s="2" t="str">
        <f>"Controladoria / Custos / Relatórios / Lançamentos ()"</f>
        <v>Controladoria / Custos / Relatórios / Lançamentos ()</v>
      </c>
    </row>
    <row r="12007" spans="1:7" x14ac:dyDescent="0.3">
      <c r="A12007" s="1" t="s">
        <v>58</v>
      </c>
      <c r="B12007" s="2" t="str">
        <f>""</f>
        <v/>
      </c>
      <c r="C12007" s="2" t="str">
        <f>""</f>
        <v/>
      </c>
      <c r="D12007" s="2" t="str">
        <f>""</f>
        <v/>
      </c>
      <c r="E12007" s="2" t="str">
        <f>""</f>
        <v/>
      </c>
      <c r="F12007" s="2" t="str">
        <f>""</f>
        <v/>
      </c>
      <c r="G12007" s="2" t="str">
        <f>"Controladoria / Custos / Relatórios / Críticas ()"</f>
        <v>Controladoria / Custos / Relatórios / Críticas ()</v>
      </c>
    </row>
    <row r="12008" spans="1:7" x14ac:dyDescent="0.3">
      <c r="A12008" s="1" t="s">
        <v>58</v>
      </c>
      <c r="B12008" s="2" t="str">
        <f>""</f>
        <v/>
      </c>
      <c r="C12008" s="2" t="str">
        <f>""</f>
        <v/>
      </c>
      <c r="D12008" s="2" t="str">
        <f>""</f>
        <v/>
      </c>
      <c r="E12008" s="2" t="str">
        <f>""</f>
        <v/>
      </c>
      <c r="F12008" s="2" t="str">
        <f>""</f>
        <v/>
      </c>
      <c r="G12008" s="2" t="str">
        <f>"Controladoria / Custos / Relatórios / Custos Primários e Rateios dos Centros de Custos ()"</f>
        <v>Controladoria / Custos / Relatórios / Custos Primários e Rateios dos Centros de Custos ()</v>
      </c>
    </row>
    <row r="12009" spans="1:7" x14ac:dyDescent="0.3">
      <c r="A12009" s="1" t="s">
        <v>58</v>
      </c>
      <c r="B12009" s="2" t="str">
        <f>""</f>
        <v/>
      </c>
      <c r="C12009" s="2" t="str">
        <f>""</f>
        <v/>
      </c>
      <c r="D12009" s="2" t="str">
        <f>""</f>
        <v/>
      </c>
      <c r="E12009" s="2" t="str">
        <f>""</f>
        <v/>
      </c>
      <c r="F12009" s="2" t="str">
        <f>""</f>
        <v/>
      </c>
      <c r="G12009" s="2" t="str">
        <f>"Controladoria / Custos / Relatórios / Contas de Custos ()"</f>
        <v>Controladoria / Custos / Relatórios / Contas de Custos ()</v>
      </c>
    </row>
    <row r="12010" spans="1:7" x14ac:dyDescent="0.3">
      <c r="A12010" s="1" t="s">
        <v>58</v>
      </c>
      <c r="B12010" s="2" t="str">
        <f>""</f>
        <v/>
      </c>
      <c r="C12010" s="2" t="str">
        <f>""</f>
        <v/>
      </c>
      <c r="D12010" s="2" t="str">
        <f>""</f>
        <v/>
      </c>
      <c r="E12010" s="2" t="str">
        <f>""</f>
        <v/>
      </c>
      <c r="F12010" s="2" t="str">
        <f>""</f>
        <v/>
      </c>
      <c r="G12010" s="2" t="str">
        <f>"Controladoria / Custos / Relatórios / Contas de Receitas ()"</f>
        <v>Controladoria / Custos / Relatórios / Contas de Receitas ()</v>
      </c>
    </row>
    <row r="12011" spans="1:7" x14ac:dyDescent="0.3">
      <c r="A12011" s="1" t="s">
        <v>58</v>
      </c>
      <c r="B12011" s="2" t="str">
        <f>""</f>
        <v/>
      </c>
      <c r="C12011" s="2" t="str">
        <f>""</f>
        <v/>
      </c>
      <c r="D12011" s="2" t="str">
        <f>""</f>
        <v/>
      </c>
      <c r="E12011" s="2" t="str">
        <f>""</f>
        <v/>
      </c>
      <c r="F12011" s="2" t="str">
        <f>""</f>
        <v/>
      </c>
      <c r="G12011" s="2" t="str">
        <f>"Controladoria / Custos / Relatórios / Produção ()"</f>
        <v>Controladoria / Custos / Relatórios / Produção ()</v>
      </c>
    </row>
    <row r="12012" spans="1:7" x14ac:dyDescent="0.3">
      <c r="A12012" s="1" t="s">
        <v>58</v>
      </c>
      <c r="B12012" s="2" t="str">
        <f>""</f>
        <v/>
      </c>
      <c r="C12012" s="2" t="str">
        <f>""</f>
        <v/>
      </c>
      <c r="D12012" s="2" t="str">
        <f>""</f>
        <v/>
      </c>
      <c r="E12012" s="2" t="str">
        <f>""</f>
        <v/>
      </c>
      <c r="F12012" s="2" t="str">
        <f>""</f>
        <v/>
      </c>
      <c r="G12012" s="2" t="str">
        <f>"Controladoria / Custos / Relatórios / Custos do Centro de Custo ()"</f>
        <v>Controladoria / Custos / Relatórios / Custos do Centro de Custo ()</v>
      </c>
    </row>
    <row r="12013" spans="1:7" x14ac:dyDescent="0.3">
      <c r="A12013" s="1" t="s">
        <v>58</v>
      </c>
      <c r="B12013" s="2" t="str">
        <f>""</f>
        <v/>
      </c>
      <c r="C12013" s="2" t="str">
        <f>""</f>
        <v/>
      </c>
      <c r="D12013" s="2" t="str">
        <f>""</f>
        <v/>
      </c>
      <c r="E12013" s="2" t="str">
        <f>""</f>
        <v/>
      </c>
      <c r="F12013" s="2" t="str">
        <f>""</f>
        <v/>
      </c>
      <c r="G12013" s="2" t="str">
        <f>"Controladoria / Custos / Relatórios / Avaliação de Resultados ()"</f>
        <v>Controladoria / Custos / Relatórios / Avaliação de Resultados ()</v>
      </c>
    </row>
    <row r="12014" spans="1:7" x14ac:dyDescent="0.3">
      <c r="A12014" s="1" t="s">
        <v>58</v>
      </c>
      <c r="B12014" s="2" t="str">
        <f>""</f>
        <v/>
      </c>
      <c r="C12014" s="2" t="str">
        <f>""</f>
        <v/>
      </c>
      <c r="D12014" s="2" t="str">
        <f>""</f>
        <v/>
      </c>
      <c r="E12014" s="2" t="str">
        <f>""</f>
        <v/>
      </c>
      <c r="F12014" s="2" t="str">
        <f>""</f>
        <v/>
      </c>
      <c r="G12014" s="2" t="str">
        <f>"Controladoria / Custos / Relatórios / Custos das Acomodações ()"</f>
        <v>Controladoria / Custos / Relatórios / Custos das Acomodações ()</v>
      </c>
    </row>
    <row r="12015" spans="1:7" x14ac:dyDescent="0.3">
      <c r="A12015" s="1" t="s">
        <v>58</v>
      </c>
      <c r="B12015" s="2" t="str">
        <f>""</f>
        <v/>
      </c>
      <c r="C12015" s="2" t="str">
        <f>""</f>
        <v/>
      </c>
      <c r="D12015" s="2" t="str">
        <f>""</f>
        <v/>
      </c>
      <c r="E12015" s="2" t="str">
        <f>""</f>
        <v/>
      </c>
      <c r="F12015" s="2" t="str">
        <f>""</f>
        <v/>
      </c>
      <c r="G12015" s="2" t="str">
        <f>"Controladoria / Custos / Relatórios / Centro Cirúrgico ()"</f>
        <v>Controladoria / Custos / Relatórios / Centro Cirúrgico ()</v>
      </c>
    </row>
    <row r="12016" spans="1:7" x14ac:dyDescent="0.3">
      <c r="A12016" s="1" t="s">
        <v>58</v>
      </c>
      <c r="B12016" s="2" t="str">
        <f>""</f>
        <v/>
      </c>
      <c r="C12016" s="2" t="str">
        <f>""</f>
        <v/>
      </c>
      <c r="D12016" s="2" t="str">
        <f>""</f>
        <v/>
      </c>
      <c r="E12016" s="2" t="str">
        <f>""</f>
        <v/>
      </c>
      <c r="F12016" s="2" t="str">
        <f>""</f>
        <v/>
      </c>
      <c r="G12016" s="2" t="str">
        <f>"Controladoria / Custos / Relatórios / Paciente ()"</f>
        <v>Controladoria / Custos / Relatórios / Paciente ()</v>
      </c>
    </row>
    <row r="12017" spans="1:7" x14ac:dyDescent="0.3">
      <c r="A12017" s="1" t="s">
        <v>58</v>
      </c>
      <c r="B12017" s="2" t="str">
        <f>""</f>
        <v/>
      </c>
      <c r="C12017" s="2" t="str">
        <f>""</f>
        <v/>
      </c>
      <c r="D12017" s="2" t="str">
        <f>""</f>
        <v/>
      </c>
      <c r="E12017" s="2" t="str">
        <f>""</f>
        <v/>
      </c>
      <c r="F12017" s="2" t="str">
        <f>""</f>
        <v/>
      </c>
      <c r="G12017" s="2" t="str">
        <f>"Controladoria / Custos / Relatórios / Análise de Resultado dos Atendimentos ()"</f>
        <v>Controladoria / Custos / Relatórios / Análise de Resultado dos Atendimentos ()</v>
      </c>
    </row>
    <row r="12018" spans="1:7" x14ac:dyDescent="0.3">
      <c r="A12018" s="1" t="s">
        <v>58</v>
      </c>
      <c r="B12018" s="2" t="str">
        <f>""</f>
        <v/>
      </c>
      <c r="C12018" s="2" t="str">
        <f>""</f>
        <v/>
      </c>
      <c r="D12018" s="2" t="str">
        <f>""</f>
        <v/>
      </c>
      <c r="E12018" s="2" t="str">
        <f>""</f>
        <v/>
      </c>
      <c r="F12018" s="2" t="str">
        <f>""</f>
        <v/>
      </c>
      <c r="G12018" s="2" t="str">
        <f>"Controladoria / Custos / Relatórios / Análise do Tratamento do Atendimento ()"</f>
        <v>Controladoria / Custos / Relatórios / Análise do Tratamento do Atendimento ()</v>
      </c>
    </row>
    <row r="12019" spans="1:7" x14ac:dyDescent="0.3">
      <c r="A12019" s="1" t="s">
        <v>58</v>
      </c>
      <c r="B12019" s="2" t="str">
        <f>""</f>
        <v/>
      </c>
      <c r="C12019" s="2" t="str">
        <f>""</f>
        <v/>
      </c>
      <c r="D12019" s="2" t="str">
        <f>""</f>
        <v/>
      </c>
      <c r="E12019" s="2" t="str">
        <f>""</f>
        <v/>
      </c>
      <c r="F12019" s="2" t="str">
        <f>""</f>
        <v/>
      </c>
      <c r="G12019" s="2" t="str">
        <f>"Controladoria / Custos / Relatórios / Análise da Margem de Contribuição dos Atendimentos ()"</f>
        <v>Controladoria / Custos / Relatórios / Análise da Margem de Contribuição dos Atendimentos ()</v>
      </c>
    </row>
    <row r="12020" spans="1:7" x14ac:dyDescent="0.3">
      <c r="A12020" s="1" t="s">
        <v>58</v>
      </c>
      <c r="B12020" s="2" t="str">
        <f>""</f>
        <v/>
      </c>
      <c r="C12020" s="2" t="str">
        <f>""</f>
        <v/>
      </c>
      <c r="D12020" s="2" t="str">
        <f>""</f>
        <v/>
      </c>
      <c r="E12020" s="2" t="str">
        <f>""</f>
        <v/>
      </c>
      <c r="F12020" s="2" t="str">
        <f>""</f>
        <v/>
      </c>
      <c r="G12020" s="2" t="str">
        <f>"Controladoria / Custos / Relatórios / Indicadores  ()"</f>
        <v>Controladoria / Custos / Relatórios / Indicadores  ()</v>
      </c>
    </row>
    <row r="12021" spans="1:7" x14ac:dyDescent="0.3">
      <c r="A12021" s="1" t="s">
        <v>58</v>
      </c>
      <c r="B12021" s="2" t="str">
        <f>""</f>
        <v/>
      </c>
      <c r="C12021" s="2" t="str">
        <f>""</f>
        <v/>
      </c>
      <c r="D12021" s="2" t="str">
        <f>""</f>
        <v/>
      </c>
      <c r="E12021" s="2" t="str">
        <f>""</f>
        <v/>
      </c>
      <c r="F12021" s="2" t="str">
        <f>""</f>
        <v/>
      </c>
      <c r="G12021" s="2" t="str">
        <f>"Controladoria / Custos / Consultas / Cotas ()"</f>
        <v>Controladoria / Custos / Consultas / Cotas ()</v>
      </c>
    </row>
    <row r="12022" spans="1:7" x14ac:dyDescent="0.3">
      <c r="A12022" s="1" t="s">
        <v>58</v>
      </c>
      <c r="B12022" s="2" t="str">
        <f>""</f>
        <v/>
      </c>
      <c r="C12022" s="2" t="str">
        <f>""</f>
        <v/>
      </c>
      <c r="D12022" s="2" t="str">
        <f>""</f>
        <v/>
      </c>
      <c r="E12022" s="2" t="str">
        <f>""</f>
        <v/>
      </c>
      <c r="F12022" s="2" t="str">
        <f>""</f>
        <v/>
      </c>
      <c r="G12022" s="2" t="str">
        <f>"Controladoria / Custos / Configurações / Estoque ()"</f>
        <v>Controladoria / Custos / Configurações / Estoque ()</v>
      </c>
    </row>
    <row r="12023" spans="1:7" x14ac:dyDescent="0.3">
      <c r="A12023" s="1" t="s">
        <v>58</v>
      </c>
      <c r="B12023" s="2" t="str">
        <f>""</f>
        <v/>
      </c>
      <c r="C12023" s="2" t="str">
        <f>""</f>
        <v/>
      </c>
      <c r="D12023" s="2" t="str">
        <f>""</f>
        <v/>
      </c>
      <c r="E12023" s="2" t="str">
        <f>""</f>
        <v/>
      </c>
      <c r="F12023" s="2" t="str">
        <f>""</f>
        <v/>
      </c>
      <c r="G12023" s="2" t="str">
        <f>"Controladoria / Custos / Configurações / Faturamento ()"</f>
        <v>Controladoria / Custos / Configurações / Faturamento ()</v>
      </c>
    </row>
    <row r="12024" spans="1:7" x14ac:dyDescent="0.3">
      <c r="A12024" s="1" t="s">
        <v>58</v>
      </c>
      <c r="B12024" s="2" t="str">
        <f>""</f>
        <v/>
      </c>
      <c r="C12024" s="2" t="str">
        <f>""</f>
        <v/>
      </c>
      <c r="D12024" s="2" t="str">
        <f>""</f>
        <v/>
      </c>
      <c r="E12024" s="2" t="str">
        <f>""</f>
        <v/>
      </c>
      <c r="F12024" s="2" t="str">
        <f>""</f>
        <v/>
      </c>
      <c r="G12024" s="2" t="str">
        <f>"Controladoria / Custos / Configurações / Custos Variáveis ()"</f>
        <v>Controladoria / Custos / Configurações / Custos Variáveis ()</v>
      </c>
    </row>
    <row r="12025" spans="1:7" x14ac:dyDescent="0.3">
      <c r="A12025" s="1" t="s">
        <v>58</v>
      </c>
      <c r="B12025" s="2" t="str">
        <f>""</f>
        <v/>
      </c>
      <c r="C12025" s="2" t="str">
        <f>""</f>
        <v/>
      </c>
      <c r="D12025" s="2" t="str">
        <f>""</f>
        <v/>
      </c>
      <c r="E12025" s="2" t="str">
        <f>""</f>
        <v/>
      </c>
      <c r="F12025" s="2" t="str">
        <f>""</f>
        <v/>
      </c>
      <c r="G12025" s="2" t="str">
        <f>"Controladoria / Custos / Configurações / Lançamentos ()"</f>
        <v>Controladoria / Custos / Configurações / Lançamentos ()</v>
      </c>
    </row>
    <row r="12026" spans="1:7" x14ac:dyDescent="0.3">
      <c r="A12026" s="1" t="s">
        <v>58</v>
      </c>
      <c r="B12026" s="2" t="str">
        <f>""</f>
        <v/>
      </c>
      <c r="C12026" s="2" t="str">
        <f>""</f>
        <v/>
      </c>
      <c r="D12026" s="2" t="str">
        <f>""</f>
        <v/>
      </c>
      <c r="E12026" s="2" t="str">
        <f>""</f>
        <v/>
      </c>
      <c r="F12026" s="2" t="str">
        <f>""</f>
        <v/>
      </c>
      <c r="G12026" s="2" t="str">
        <f>"Controladoria / Custos / Configurações / Importação do arquivo ()"</f>
        <v>Controladoria / Custos / Configurações / Importação do arquivo ()</v>
      </c>
    </row>
    <row r="12027" spans="1:7" x14ac:dyDescent="0.3">
      <c r="A12027" s="1" t="s">
        <v>58</v>
      </c>
      <c r="B12027" s="2" t="str">
        <f>""</f>
        <v/>
      </c>
      <c r="C12027" s="2" t="str">
        <f>""</f>
        <v/>
      </c>
      <c r="D12027" s="2" t="str">
        <f>""</f>
        <v/>
      </c>
      <c r="E12027" s="2" t="str">
        <f>""</f>
        <v/>
      </c>
      <c r="F12027" s="2" t="str">
        <f>""</f>
        <v/>
      </c>
      <c r="G12027" s="2" t="str">
        <f>"Outros / Administração do Sistema / Ajuda / Sobre o MV 2000i ()"</f>
        <v>Outros / Administração do Sistema / Ajuda / Sobre o MV 2000i ()</v>
      </c>
    </row>
    <row r="12028" spans="1:7" x14ac:dyDescent="0.3">
      <c r="A12028" s="1" t="s">
        <v>58</v>
      </c>
      <c r="B12028" s="2" t="str">
        <f>""</f>
        <v/>
      </c>
      <c r="C12028" s="2" t="str">
        <f>""</f>
        <v/>
      </c>
      <c r="D12028" s="2" t="str">
        <f>""</f>
        <v/>
      </c>
      <c r="E12028" s="2" t="str">
        <f>""</f>
        <v/>
      </c>
      <c r="F12028" s="2" t="str">
        <f>""</f>
        <v/>
      </c>
      <c r="G12028" s="2" t="str">
        <f>"Outros / Administração do Sistema / Ajuda / Tradução Contextual ()"</f>
        <v>Outros / Administração do Sistema / Ajuda / Tradução Contextual ()</v>
      </c>
    </row>
    <row r="12029" spans="1:7" x14ac:dyDescent="0.3">
      <c r="A12029" s="1" t="s">
        <v>58</v>
      </c>
      <c r="B12029" s="2" t="str">
        <f>""</f>
        <v/>
      </c>
      <c r="C12029" s="2" t="str">
        <f>""</f>
        <v/>
      </c>
      <c r="D12029" s="2" t="str">
        <f>""</f>
        <v/>
      </c>
      <c r="E12029" s="2" t="str">
        <f>""</f>
        <v/>
      </c>
      <c r="F12029" s="2" t="str">
        <f>""</f>
        <v/>
      </c>
      <c r="G12029" s="2" t="str">
        <f>"Outros / Administração do Sistema / Multi - Idiomas / Manutenção de Idiomas ()"</f>
        <v>Outros / Administração do Sistema / Multi - Idiomas / Manutenção de Idiomas ()</v>
      </c>
    </row>
    <row r="12030" spans="1:7" x14ac:dyDescent="0.3">
      <c r="A12030" s="1" t="s">
        <v>58</v>
      </c>
      <c r="B12030" s="2" t="str">
        <f>""</f>
        <v/>
      </c>
      <c r="C12030" s="2" t="str">
        <f>""</f>
        <v/>
      </c>
      <c r="D12030" s="2" t="str">
        <f>""</f>
        <v/>
      </c>
      <c r="E12030" s="2" t="str">
        <f>""</f>
        <v/>
      </c>
      <c r="F12030" s="2" t="str">
        <f>""</f>
        <v/>
      </c>
      <c r="G12030" s="2" t="str">
        <f>"Outros / Administração do Sistema / Multi - Idiomas / Tabelas ()"</f>
        <v>Outros / Administração do Sistema / Multi - Idiomas / Tabelas ()</v>
      </c>
    </row>
    <row r="12031" spans="1:7" x14ac:dyDescent="0.3">
      <c r="A12031" s="1" t="s">
        <v>58</v>
      </c>
      <c r="B12031" s="2" t="str">
        <f>""</f>
        <v/>
      </c>
      <c r="C12031" s="2" t="str">
        <f>""</f>
        <v/>
      </c>
      <c r="D12031" s="2" t="str">
        <f>""</f>
        <v/>
      </c>
      <c r="E12031" s="2" t="str">
        <f>""</f>
        <v/>
      </c>
      <c r="F12031" s="2" t="str">
        <f>""</f>
        <v/>
      </c>
      <c r="G12031" s="2" t="str">
        <f>"Outros / Administração do Sistema / Multi - Idiomas / Arquivos de Propriedades ()"</f>
        <v>Outros / Administração do Sistema / Multi - Idiomas / Arquivos de Propriedades ()</v>
      </c>
    </row>
    <row r="12032" spans="1:7" x14ac:dyDescent="0.3">
      <c r="A12032" s="1" t="s">
        <v>58</v>
      </c>
      <c r="B12032" s="2" t="str">
        <f>""</f>
        <v/>
      </c>
      <c r="C12032" s="2" t="str">
        <f>""</f>
        <v/>
      </c>
      <c r="D12032" s="2" t="str">
        <f>""</f>
        <v/>
      </c>
      <c r="E12032" s="2" t="str">
        <f>""</f>
        <v/>
      </c>
      <c r="F12032" s="2" t="str">
        <f>""</f>
        <v/>
      </c>
      <c r="G12032" s="2" t="s">
        <v>10</v>
      </c>
    </row>
    <row r="12033" spans="1:7" x14ac:dyDescent="0.3">
      <c r="A12033" s="1" t="s">
        <v>58</v>
      </c>
      <c r="B12033" s="2" t="str">
        <f>""</f>
        <v/>
      </c>
      <c r="C12033" s="2" t="str">
        <f>""</f>
        <v/>
      </c>
      <c r="D12033" s="2" t="str">
        <f>""</f>
        <v/>
      </c>
      <c r="E12033" s="2" t="str">
        <f>""</f>
        <v/>
      </c>
      <c r="F12033" s="2" t="str">
        <f>""</f>
        <v/>
      </c>
      <c r="G12033" s="2" t="s">
        <v>10</v>
      </c>
    </row>
    <row r="12034" spans="1:7" x14ac:dyDescent="0.3">
      <c r="A12034" s="1" t="s">
        <v>58</v>
      </c>
      <c r="B12034" s="2" t="str">
        <f>""</f>
        <v/>
      </c>
      <c r="C12034" s="2" t="str">
        <f>""</f>
        <v/>
      </c>
      <c r="D12034" s="2" t="str">
        <f>""</f>
        <v/>
      </c>
      <c r="E12034" s="2" t="str">
        <f>""</f>
        <v/>
      </c>
      <c r="F12034" s="2" t="str">
        <f>""</f>
        <v/>
      </c>
      <c r="G12034" s="2" t="s">
        <v>10</v>
      </c>
    </row>
    <row r="12035" spans="1:7" x14ac:dyDescent="0.3">
      <c r="A12035" s="1" t="s">
        <v>58</v>
      </c>
      <c r="B12035" s="2" t="str">
        <f>""</f>
        <v/>
      </c>
      <c r="C12035" s="2" t="str">
        <f>""</f>
        <v/>
      </c>
      <c r="D12035" s="2" t="str">
        <f>""</f>
        <v/>
      </c>
      <c r="E12035" s="2" t="str">
        <f>""</f>
        <v/>
      </c>
      <c r="F12035" s="2" t="str">
        <f>""</f>
        <v/>
      </c>
      <c r="G12035" s="2" t="s">
        <v>10</v>
      </c>
    </row>
    <row r="12036" spans="1:7" x14ac:dyDescent="0.3">
      <c r="A12036" s="1" t="s">
        <v>58</v>
      </c>
      <c r="B12036" s="2" t="str">
        <f>""</f>
        <v/>
      </c>
      <c r="C12036" s="2" t="str">
        <f>""</f>
        <v/>
      </c>
      <c r="D12036" s="2" t="str">
        <f>""</f>
        <v/>
      </c>
      <c r="E12036" s="2" t="str">
        <f>""</f>
        <v/>
      </c>
      <c r="F12036" s="2" t="str">
        <f>""</f>
        <v/>
      </c>
      <c r="G12036" s="2" t="s">
        <v>10</v>
      </c>
    </row>
    <row r="12037" spans="1:7" x14ac:dyDescent="0.3">
      <c r="A12037" s="1" t="s">
        <v>58</v>
      </c>
      <c r="B12037" s="2" t="str">
        <f>""</f>
        <v/>
      </c>
      <c r="C12037" s="2" t="str">
        <f>""</f>
        <v/>
      </c>
      <c r="D12037" s="2" t="str">
        <f>""</f>
        <v/>
      </c>
      <c r="E12037" s="2" t="str">
        <f>""</f>
        <v/>
      </c>
      <c r="F12037" s="2" t="str">
        <f>""</f>
        <v/>
      </c>
      <c r="G12037" s="2" t="s">
        <v>10</v>
      </c>
    </row>
    <row r="12038" spans="1:7" x14ac:dyDescent="0.3">
      <c r="A12038" s="1" t="s">
        <v>58</v>
      </c>
      <c r="B12038" s="2" t="str">
        <f>""</f>
        <v/>
      </c>
      <c r="C12038" s="2" t="str">
        <f>""</f>
        <v/>
      </c>
      <c r="D12038" s="2" t="str">
        <f>""</f>
        <v/>
      </c>
      <c r="E12038" s="2" t="str">
        <f>""</f>
        <v/>
      </c>
      <c r="F12038" s="2" t="str">
        <f>""</f>
        <v/>
      </c>
      <c r="G12038" s="2" t="str">
        <f>"Atendimento / Centro Cirúrgico e Obstétrico ()"</f>
        <v>Atendimento / Centro Cirúrgico e Obstétrico ()</v>
      </c>
    </row>
    <row r="12039" spans="1:7" x14ac:dyDescent="0.3">
      <c r="A12039" s="1" t="s">
        <v>58</v>
      </c>
      <c r="B12039" s="2" t="str">
        <f>""</f>
        <v/>
      </c>
      <c r="C12039" s="2" t="str">
        <f>""</f>
        <v/>
      </c>
      <c r="D12039" s="2" t="str">
        <f>""</f>
        <v/>
      </c>
      <c r="E12039" s="2" t="str">
        <f>""</f>
        <v/>
      </c>
      <c r="F12039" s="2" t="str">
        <f>""</f>
        <v/>
      </c>
      <c r="G12039" s="2" t="str">
        <f>"Atendimento / Centro Cirúrgico e Obstétrico / Solicitações ()"</f>
        <v>Atendimento / Centro Cirúrgico e Obstétrico / Solicitações ()</v>
      </c>
    </row>
    <row r="12040" spans="1:7" x14ac:dyDescent="0.3">
      <c r="A12040" s="1" t="s">
        <v>58</v>
      </c>
      <c r="B12040" s="2" t="str">
        <f>""</f>
        <v/>
      </c>
      <c r="C12040" s="2" t="str">
        <f>""</f>
        <v/>
      </c>
      <c r="D12040" s="2" t="str">
        <f>""</f>
        <v/>
      </c>
      <c r="E12040" s="2" t="str">
        <f>""</f>
        <v/>
      </c>
      <c r="F12040" s="2" t="str">
        <f>""</f>
        <v/>
      </c>
      <c r="G12040" s="2" t="str">
        <f>"Atendimento / Centro Cirúrgico e Obstétrico / Tabelas ()"</f>
        <v>Atendimento / Centro Cirúrgico e Obstétrico / Tabelas ()</v>
      </c>
    </row>
    <row r="12041" spans="1:7" x14ac:dyDescent="0.3">
      <c r="A12041" s="1" t="s">
        <v>58</v>
      </c>
      <c r="B12041" s="2" t="str">
        <f>""</f>
        <v/>
      </c>
      <c r="C12041" s="2" t="str">
        <f>""</f>
        <v/>
      </c>
      <c r="D12041" s="2" t="str">
        <f>""</f>
        <v/>
      </c>
      <c r="E12041" s="2" t="str">
        <f>""</f>
        <v/>
      </c>
      <c r="F12041" s="2" t="str">
        <f>""</f>
        <v/>
      </c>
      <c r="G12041" s="2" t="str">
        <f>"Atendimento / Centro Cirúrgico e Obstétrico / Consultas ()"</f>
        <v>Atendimento / Centro Cirúrgico e Obstétrico / Consultas ()</v>
      </c>
    </row>
    <row r="12042" spans="1:7" x14ac:dyDescent="0.3">
      <c r="A12042" s="1" t="s">
        <v>58</v>
      </c>
      <c r="B12042" s="2" t="str">
        <f>""</f>
        <v/>
      </c>
      <c r="C12042" s="2" t="str">
        <f>""</f>
        <v/>
      </c>
      <c r="D12042" s="2" t="str">
        <f>""</f>
        <v/>
      </c>
      <c r="E12042" s="2" t="str">
        <f>""</f>
        <v/>
      </c>
      <c r="F12042" s="2" t="str">
        <f>""</f>
        <v/>
      </c>
      <c r="G12042" s="2" t="str">
        <f>"Atendimento / Centro Cirúrgico e Obstétrico / Configurações ()"</f>
        <v>Atendimento / Centro Cirúrgico e Obstétrico / Configurações ()</v>
      </c>
    </row>
    <row r="12043" spans="1:7" x14ac:dyDescent="0.3">
      <c r="A12043" s="1" t="s">
        <v>58</v>
      </c>
      <c r="B12043" s="2" t="str">
        <f>""</f>
        <v/>
      </c>
      <c r="C12043" s="2" t="str">
        <f>""</f>
        <v/>
      </c>
      <c r="D12043" s="2" t="str">
        <f>""</f>
        <v/>
      </c>
      <c r="E12043" s="2" t="str">
        <f>""</f>
        <v/>
      </c>
      <c r="F12043" s="2" t="str">
        <f>""</f>
        <v/>
      </c>
      <c r="G12043" s="2" t="str">
        <f>"Atendimento / Centro Cirúrgico e Obstétrico / Relatórios ()"</f>
        <v>Atendimento / Centro Cirúrgico e Obstétrico / Relatórios ()</v>
      </c>
    </row>
    <row r="12044" spans="1:7" x14ac:dyDescent="0.3">
      <c r="A12044" s="1" t="s">
        <v>58</v>
      </c>
      <c r="B12044" s="2" t="str">
        <f>""</f>
        <v/>
      </c>
      <c r="C12044" s="2" t="str">
        <f>""</f>
        <v/>
      </c>
      <c r="D12044" s="2" t="str">
        <f>""</f>
        <v/>
      </c>
      <c r="E12044" s="2" t="str">
        <f>""</f>
        <v/>
      </c>
      <c r="F12044" s="2" t="str">
        <f>""</f>
        <v/>
      </c>
      <c r="G12044" s="2" t="str">
        <f>"Atendimento / Internação / Atendimento / Alta / Efetivação ()"</f>
        <v>Atendimento / Internação / Atendimento / Alta / Efetivação ()</v>
      </c>
    </row>
    <row r="12045" spans="1:7" x14ac:dyDescent="0.3">
      <c r="A12045" s="1" t="s">
        <v>58</v>
      </c>
      <c r="B12045" s="2" t="str">
        <f>""</f>
        <v/>
      </c>
      <c r="C12045" s="2" t="str">
        <f>""</f>
        <v/>
      </c>
      <c r="D12045" s="2" t="str">
        <f>""</f>
        <v/>
      </c>
      <c r="E12045" s="2" t="str">
        <f>""</f>
        <v/>
      </c>
      <c r="F12045" s="2" t="str">
        <f>""</f>
        <v/>
      </c>
      <c r="G12045" s="2" t="str">
        <f>"Atendimento / Internação / Atendimento / Alta / Cancelamento ()"</f>
        <v>Atendimento / Internação / Atendimento / Alta / Cancelamento ()</v>
      </c>
    </row>
    <row r="12046" spans="1:7" x14ac:dyDescent="0.3">
      <c r="A12046" s="1" t="s">
        <v>58</v>
      </c>
      <c r="B12046" s="2" t="str">
        <f>""</f>
        <v/>
      </c>
      <c r="C12046" s="2" t="str">
        <f>""</f>
        <v/>
      </c>
      <c r="D12046" s="2" t="str">
        <f>""</f>
        <v/>
      </c>
      <c r="E12046" s="2" t="str">
        <f>""</f>
        <v/>
      </c>
      <c r="F12046" s="2" t="str">
        <f>""</f>
        <v/>
      </c>
      <c r="G12046" s="2" t="str">
        <f>"Diagnóstico e Terapia / Diagnóstico por Imagem ()"</f>
        <v>Diagnóstico e Terapia / Diagnóstico por Imagem ()</v>
      </c>
    </row>
    <row r="12047" spans="1:7" x14ac:dyDescent="0.3">
      <c r="A12047" s="1" t="s">
        <v>58</v>
      </c>
      <c r="B12047" s="2" t="str">
        <f>""</f>
        <v/>
      </c>
      <c r="C12047" s="2" t="str">
        <f>""</f>
        <v/>
      </c>
      <c r="D12047" s="2" t="str">
        <f>""</f>
        <v/>
      </c>
      <c r="E12047" s="2" t="str">
        <f>""</f>
        <v/>
      </c>
      <c r="F12047" s="2" t="str">
        <f>""</f>
        <v/>
      </c>
      <c r="G12047" s="2" t="str">
        <f>"Diagnóstico e Terapia / Diagnóstico por Imagem / Atendimentos ()"</f>
        <v>Diagnóstico e Terapia / Diagnóstico por Imagem / Atendimentos ()</v>
      </c>
    </row>
    <row r="12048" spans="1:7" x14ac:dyDescent="0.3">
      <c r="A12048" s="1" t="s">
        <v>58</v>
      </c>
      <c r="B12048" s="2" t="str">
        <f>""</f>
        <v/>
      </c>
      <c r="C12048" s="2" t="str">
        <f>""</f>
        <v/>
      </c>
      <c r="D12048" s="2" t="str">
        <f>""</f>
        <v/>
      </c>
      <c r="E12048" s="2" t="str">
        <f>""</f>
        <v/>
      </c>
      <c r="F12048" s="2" t="str">
        <f>""</f>
        <v/>
      </c>
      <c r="G12048" s="2" t="str">
        <f>"Diagnóstico e Terapia / Diagnóstico por Imagem / Agendamentos ()"</f>
        <v>Diagnóstico e Terapia / Diagnóstico por Imagem / Agendamentos ()</v>
      </c>
    </row>
    <row r="12049" spans="1:7" x14ac:dyDescent="0.3">
      <c r="A12049" s="1" t="s">
        <v>58</v>
      </c>
      <c r="B12049" s="2" t="str">
        <f>""</f>
        <v/>
      </c>
      <c r="C12049" s="2" t="str">
        <f>""</f>
        <v/>
      </c>
      <c r="D12049" s="2" t="str">
        <f>""</f>
        <v/>
      </c>
      <c r="E12049" s="2" t="str">
        <f>""</f>
        <v/>
      </c>
      <c r="F12049" s="2" t="str">
        <f>""</f>
        <v/>
      </c>
      <c r="G12049" s="2" t="str">
        <f>"Diagnóstico e Terapia / Diagnóstico por Imagem / Tabelas ()"</f>
        <v>Diagnóstico e Terapia / Diagnóstico por Imagem / Tabelas ()</v>
      </c>
    </row>
    <row r="12050" spans="1:7" x14ac:dyDescent="0.3">
      <c r="A12050" s="1" t="s">
        <v>58</v>
      </c>
      <c r="B12050" s="2" t="str">
        <f>""</f>
        <v/>
      </c>
      <c r="C12050" s="2" t="str">
        <f>""</f>
        <v/>
      </c>
      <c r="D12050" s="2" t="str">
        <f>""</f>
        <v/>
      </c>
      <c r="E12050" s="2" t="str">
        <f>""</f>
        <v/>
      </c>
      <c r="F12050" s="2" t="str">
        <f>""</f>
        <v/>
      </c>
      <c r="G12050" s="2" t="str">
        <f>"Diagnóstico e Terapia / Diagnóstico por Imagem / Consultas ()"</f>
        <v>Diagnóstico e Terapia / Diagnóstico por Imagem / Consultas ()</v>
      </c>
    </row>
    <row r="12051" spans="1:7" x14ac:dyDescent="0.3">
      <c r="A12051" s="1" t="s">
        <v>58</v>
      </c>
      <c r="B12051" s="2" t="str">
        <f>""</f>
        <v/>
      </c>
      <c r="C12051" s="2" t="str">
        <f>""</f>
        <v/>
      </c>
      <c r="D12051" s="2" t="str">
        <f>""</f>
        <v/>
      </c>
      <c r="E12051" s="2" t="str">
        <f>""</f>
        <v/>
      </c>
      <c r="F12051" s="2" t="str">
        <f>""</f>
        <v/>
      </c>
      <c r="G12051" s="2" t="str">
        <f>"Diagnóstico e Terapia / Diagnóstico por Imagem / Configurações ()"</f>
        <v>Diagnóstico e Terapia / Diagnóstico por Imagem / Configurações ()</v>
      </c>
    </row>
    <row r="12052" spans="1:7" x14ac:dyDescent="0.3">
      <c r="A12052" s="1" t="s">
        <v>58</v>
      </c>
      <c r="B12052" s="2" t="str">
        <f>""</f>
        <v/>
      </c>
      <c r="C12052" s="2" t="str">
        <f>""</f>
        <v/>
      </c>
      <c r="D12052" s="2" t="str">
        <f>""</f>
        <v/>
      </c>
      <c r="E12052" s="2" t="str">
        <f>""</f>
        <v/>
      </c>
      <c r="F12052" s="2" t="str">
        <f>""</f>
        <v/>
      </c>
      <c r="G12052" s="2" t="str">
        <f>"Diagnóstico e Terapia / Diagnóstico por Imagem / Relatórios ()"</f>
        <v>Diagnóstico e Terapia / Diagnóstico por Imagem / Relatórios ()</v>
      </c>
    </row>
    <row r="12053" spans="1:7" x14ac:dyDescent="0.3">
      <c r="A12053" s="1" t="s">
        <v>58</v>
      </c>
      <c r="B12053" s="2" t="str">
        <f>""</f>
        <v/>
      </c>
      <c r="C12053" s="2" t="str">
        <f>""</f>
        <v/>
      </c>
      <c r="D12053" s="2" t="str">
        <f>""</f>
        <v/>
      </c>
      <c r="E12053" s="2" t="str">
        <f>""</f>
        <v/>
      </c>
      <c r="F12053" s="2" t="str">
        <f>""</f>
        <v/>
      </c>
      <c r="G12053" s="2" t="str">
        <f>"Diagnóstico e Terapia / Diagnóstico por Imagem / Atendimentos / Exclusões ()"</f>
        <v>Diagnóstico e Terapia / Diagnóstico por Imagem / Atendimentos / Exclusões ()</v>
      </c>
    </row>
    <row r="12054" spans="1:7" x14ac:dyDescent="0.3">
      <c r="A12054" s="1" t="s">
        <v>58</v>
      </c>
      <c r="B12054" s="2" t="str">
        <f>""</f>
        <v/>
      </c>
      <c r="C12054" s="2" t="str">
        <f>""</f>
        <v/>
      </c>
      <c r="D12054" s="2" t="str">
        <f>""</f>
        <v/>
      </c>
      <c r="E12054" s="2" t="str">
        <f>""</f>
        <v/>
      </c>
      <c r="F12054" s="2" t="str">
        <f>""</f>
        <v/>
      </c>
      <c r="G12054" s="2" t="str">
        <f>"Diagnóstico e Terapia / Diagnóstico por Imagem / Relatórios / Tabelas ()"</f>
        <v>Diagnóstico e Terapia / Diagnóstico por Imagem / Relatórios / Tabelas ()</v>
      </c>
    </row>
    <row r="12055" spans="1:7" x14ac:dyDescent="0.3">
      <c r="A12055" s="1" t="s">
        <v>58</v>
      </c>
      <c r="B12055" s="2" t="str">
        <f>""</f>
        <v/>
      </c>
      <c r="C12055" s="2" t="str">
        <f>""</f>
        <v/>
      </c>
      <c r="D12055" s="2" t="str">
        <f>""</f>
        <v/>
      </c>
      <c r="E12055" s="2" t="str">
        <f>""</f>
        <v/>
      </c>
      <c r="F12055" s="2" t="str">
        <f>""</f>
        <v/>
      </c>
      <c r="G12055" s="2" t="str">
        <f>"Diagnóstico e Terapia / Diagnóstico por Imagem / Relatórios / Agendamentos ()"</f>
        <v>Diagnóstico e Terapia / Diagnóstico por Imagem / Relatórios / Agendamentos ()</v>
      </c>
    </row>
    <row r="12056" spans="1:7" x14ac:dyDescent="0.3">
      <c r="A12056" s="1" t="s">
        <v>58</v>
      </c>
      <c r="B12056" s="2" t="str">
        <f>""</f>
        <v/>
      </c>
      <c r="C12056" s="2" t="str">
        <f>""</f>
        <v/>
      </c>
      <c r="D12056" s="2" t="str">
        <f>""</f>
        <v/>
      </c>
      <c r="E12056" s="2" t="str">
        <f>""</f>
        <v/>
      </c>
      <c r="F12056" s="2" t="str">
        <f>""</f>
        <v/>
      </c>
      <c r="G12056" s="2" t="str">
        <f>"Diagnóstico e Terapia / Diagnóstico por Imagem / Relatórios / Operacionais ()"</f>
        <v>Diagnóstico e Terapia / Diagnóstico por Imagem / Relatórios / Operacionais ()</v>
      </c>
    </row>
    <row r="12057" spans="1:7" x14ac:dyDescent="0.3">
      <c r="A12057" s="1" t="s">
        <v>58</v>
      </c>
      <c r="B12057" s="2" t="str">
        <f>""</f>
        <v/>
      </c>
      <c r="C12057" s="2" t="str">
        <f>""</f>
        <v/>
      </c>
      <c r="D12057" s="2" t="str">
        <f>""</f>
        <v/>
      </c>
      <c r="E12057" s="2" t="str">
        <f>""</f>
        <v/>
      </c>
      <c r="F12057" s="2" t="str">
        <f>""</f>
        <v/>
      </c>
      <c r="G12057" s="2" t="str">
        <f>"Diagnóstico e Terapia / Diagnóstico por Imagem / Relatórios / Administrativos ()"</f>
        <v>Diagnóstico e Terapia / Diagnóstico por Imagem / Relatórios / Administrativos ()</v>
      </c>
    </row>
    <row r="12058" spans="1:7" x14ac:dyDescent="0.3">
      <c r="A12058" s="1" t="s">
        <v>58</v>
      </c>
      <c r="B12058" s="2" t="str">
        <f>""</f>
        <v/>
      </c>
      <c r="C12058" s="2" t="str">
        <f>""</f>
        <v/>
      </c>
      <c r="D12058" s="2" t="str">
        <f>""</f>
        <v/>
      </c>
      <c r="E12058" s="2" t="str">
        <f>""</f>
        <v/>
      </c>
      <c r="F12058" s="2" t="str">
        <f>""</f>
        <v/>
      </c>
      <c r="G12058" s="2" t="str">
        <f>"Diagnóstico e Terapia / Diagnóstico por Imagem / Relatórios / Estatísticos ()"</f>
        <v>Diagnóstico e Terapia / Diagnóstico por Imagem / Relatórios / Estatísticos ()</v>
      </c>
    </row>
    <row r="12059" spans="1:7" x14ac:dyDescent="0.3">
      <c r="A12059" s="1" t="s">
        <v>58</v>
      </c>
      <c r="B12059" s="2" t="str">
        <f>""</f>
        <v/>
      </c>
      <c r="C12059" s="2" t="str">
        <f>""</f>
        <v/>
      </c>
      <c r="D12059" s="2" t="str">
        <f>""</f>
        <v/>
      </c>
      <c r="E12059" s="2" t="str">
        <f>""</f>
        <v/>
      </c>
      <c r="F12059" s="2" t="str">
        <f>""</f>
        <v/>
      </c>
      <c r="G12059" s="2" t="str">
        <f>"Diagnóstico e Terapia / Diagnóstico por Imagem / Relatórios / Gastos ()"</f>
        <v>Diagnóstico e Terapia / Diagnóstico por Imagem / Relatórios / Gastos ()</v>
      </c>
    </row>
    <row r="12060" spans="1:7" x14ac:dyDescent="0.3">
      <c r="A12060" s="1" t="s">
        <v>58</v>
      </c>
      <c r="B12060" s="2" t="str">
        <f>""</f>
        <v/>
      </c>
      <c r="C12060" s="2" t="str">
        <f>""</f>
        <v/>
      </c>
      <c r="D12060" s="2" t="str">
        <f>""</f>
        <v/>
      </c>
      <c r="E12060" s="2" t="str">
        <f>""</f>
        <v/>
      </c>
      <c r="F12060" s="2" t="str">
        <f>""</f>
        <v/>
      </c>
      <c r="G12060" s="2" t="str">
        <f>"MVSaude / Vendas / Internação / Relatórios / Estatísticos / Atendimentos ()"</f>
        <v>MVSaude / Vendas / Internação / Relatórios / Estatísticos / Atendimentos ()</v>
      </c>
    </row>
    <row r="12061" spans="1:7" x14ac:dyDescent="0.3">
      <c r="A12061" s="1" t="s">
        <v>58</v>
      </c>
      <c r="B12061" s="2" t="str">
        <f>""</f>
        <v/>
      </c>
      <c r="C12061" s="2" t="str">
        <f>""</f>
        <v/>
      </c>
      <c r="D12061" s="2" t="str">
        <f>""</f>
        <v/>
      </c>
      <c r="E12061" s="2" t="str">
        <f>""</f>
        <v/>
      </c>
      <c r="F12061" s="2" t="str">
        <f>""</f>
        <v/>
      </c>
      <c r="G12061" s="2" t="str">
        <f>"MVSaude / Vendas / Internação / Relatórios / Estatísticos / Internações ()"</f>
        <v>MVSaude / Vendas / Internação / Relatórios / Estatísticos / Internações ()</v>
      </c>
    </row>
    <row r="12062" spans="1:7" x14ac:dyDescent="0.3">
      <c r="A12062" s="1" t="s">
        <v>58</v>
      </c>
      <c r="B12062" s="2" t="str">
        <f>""</f>
        <v/>
      </c>
      <c r="C12062" s="2" t="str">
        <f>""</f>
        <v/>
      </c>
      <c r="D12062" s="2" t="str">
        <f>""</f>
        <v/>
      </c>
      <c r="E12062" s="2" t="str">
        <f>""</f>
        <v/>
      </c>
      <c r="F12062" s="2" t="str">
        <f>""</f>
        <v/>
      </c>
      <c r="G12062" s="2" t="str">
        <f>"MVSaude / Vendas / Internação / Relatórios / Estatísticos / Procedimentos ()"</f>
        <v>MVSaude / Vendas / Internação / Relatórios / Estatísticos / Procedimentos ()</v>
      </c>
    </row>
    <row r="12063" spans="1:7" x14ac:dyDescent="0.3">
      <c r="A12063" s="1" t="s">
        <v>58</v>
      </c>
      <c r="B12063" s="2" t="str">
        <f>""</f>
        <v/>
      </c>
      <c r="C12063" s="2" t="str">
        <f>""</f>
        <v/>
      </c>
      <c r="D12063" s="2" t="str">
        <f>""</f>
        <v/>
      </c>
      <c r="E12063" s="2" t="str">
        <f>""</f>
        <v/>
      </c>
      <c r="F12063" s="2" t="str">
        <f>""</f>
        <v/>
      </c>
      <c r="G12063" s="2" t="str">
        <f>"MVSaude / Vendas / Internação / Relatórios / Estatísticos / Hospitalar ()"</f>
        <v>MVSaude / Vendas / Internação / Relatórios / Estatísticos / Hospitalar ()</v>
      </c>
    </row>
    <row r="12064" spans="1:7" x14ac:dyDescent="0.3">
      <c r="A12064" s="1" t="s">
        <v>58</v>
      </c>
      <c r="B12064" s="2" t="str">
        <f>""</f>
        <v/>
      </c>
      <c r="C12064" s="2" t="str">
        <f>""</f>
        <v/>
      </c>
      <c r="D12064" s="2" t="str">
        <f>""</f>
        <v/>
      </c>
      <c r="E12064" s="2" t="str">
        <f>""</f>
        <v/>
      </c>
      <c r="F12064" s="2" t="str">
        <f>""</f>
        <v/>
      </c>
      <c r="G12064" s="2" t="str">
        <f>"MVSaude / Vendas / Internação / Relatórios / Estatísticos / Óbitos ()"</f>
        <v>MVSaude / Vendas / Internação / Relatórios / Estatísticos / Óbitos ()</v>
      </c>
    </row>
    <row r="12065" spans="1:7" x14ac:dyDescent="0.3">
      <c r="A12065" s="1" t="s">
        <v>58</v>
      </c>
      <c r="B12065" s="2" t="str">
        <f>""</f>
        <v/>
      </c>
      <c r="C12065" s="2" t="str">
        <f>""</f>
        <v/>
      </c>
      <c r="D12065" s="2" t="str">
        <f>""</f>
        <v/>
      </c>
      <c r="E12065" s="2" t="str">
        <f>""</f>
        <v/>
      </c>
      <c r="F12065" s="2" t="str">
        <f>""</f>
        <v/>
      </c>
      <c r="G12065" s="2" t="str">
        <f>"MVSaude / Vendas / Internação / Relatórios / Internados ()"</f>
        <v>MVSaude / Vendas / Internação / Relatórios / Internados ()</v>
      </c>
    </row>
    <row r="12066" spans="1:7" x14ac:dyDescent="0.3">
      <c r="A12066" s="1" t="s">
        <v>58</v>
      </c>
      <c r="B12066" s="2" t="str">
        <f>""</f>
        <v/>
      </c>
      <c r="C12066" s="2" t="str">
        <f>""</f>
        <v/>
      </c>
      <c r="D12066" s="2" t="str">
        <f>""</f>
        <v/>
      </c>
      <c r="E12066" s="2" t="str">
        <f>""</f>
        <v/>
      </c>
      <c r="F12066" s="2" t="str">
        <f>""</f>
        <v/>
      </c>
      <c r="G12066" s="2" t="str">
        <f>"MVSaude / Vendas / Internação / Relatórios / Movimentação ()"</f>
        <v>MVSaude / Vendas / Internação / Relatórios / Movimentação ()</v>
      </c>
    </row>
    <row r="12067" spans="1:7" x14ac:dyDescent="0.3">
      <c r="A12067" s="1" t="s">
        <v>58</v>
      </c>
      <c r="B12067" s="2" t="str">
        <f>""</f>
        <v/>
      </c>
      <c r="C12067" s="2" t="str">
        <f>""</f>
        <v/>
      </c>
      <c r="D12067" s="2" t="str">
        <f>""</f>
        <v/>
      </c>
      <c r="E12067" s="2" t="str">
        <f>""</f>
        <v/>
      </c>
      <c r="F12067" s="2" t="str">
        <f>""</f>
        <v/>
      </c>
      <c r="G12067" s="2" t="str">
        <f>"MVSaude / Vendas / Internação / Relatórios / AIH ()"</f>
        <v>MVSaude / Vendas / Internação / Relatórios / AIH ()</v>
      </c>
    </row>
    <row r="12068" spans="1:7" x14ac:dyDescent="0.3">
      <c r="A12068" s="1" t="s">
        <v>58</v>
      </c>
      <c r="B12068" s="2" t="str">
        <f>""</f>
        <v/>
      </c>
      <c r="C12068" s="2" t="str">
        <f>""</f>
        <v/>
      </c>
      <c r="D12068" s="2" t="str">
        <f>""</f>
        <v/>
      </c>
      <c r="E12068" s="2" t="str">
        <f>""</f>
        <v/>
      </c>
      <c r="F12068" s="2" t="str">
        <f>""</f>
        <v/>
      </c>
      <c r="G12068" s="2" t="str">
        <f>"Outros / Administração do Sistema / Multi - Idiomas / Manutenção de Idiomas / Geral ()"</f>
        <v>Outros / Administração do Sistema / Multi - Idiomas / Manutenção de Idiomas / Geral ()</v>
      </c>
    </row>
    <row r="12069" spans="1:7" x14ac:dyDescent="0.3">
      <c r="A12069" s="1" t="s">
        <v>58</v>
      </c>
      <c r="B12069" s="2" t="str">
        <f>""</f>
        <v/>
      </c>
      <c r="C12069" s="2" t="str">
        <f>""</f>
        <v/>
      </c>
      <c r="D12069" s="2" t="str">
        <f>""</f>
        <v/>
      </c>
      <c r="E12069" s="2" t="str">
        <f>""</f>
        <v/>
      </c>
      <c r="F12069" s="2" t="str">
        <f>""</f>
        <v/>
      </c>
      <c r="G12069" s="2" t="str">
        <f>"Outros / Administração do Sistema / Multi - Idiomas / Manutenção de Idiomas / Exportação de Script ()"</f>
        <v>Outros / Administração do Sistema / Multi - Idiomas / Manutenção de Idiomas / Exportação de Script ()</v>
      </c>
    </row>
    <row r="12070" spans="1:7" x14ac:dyDescent="0.3">
      <c r="A12070" s="1" t="s">
        <v>58</v>
      </c>
      <c r="B12070" s="2" t="str">
        <f>""</f>
        <v/>
      </c>
      <c r="C12070" s="2" t="str">
        <f>""</f>
        <v/>
      </c>
      <c r="D12070" s="2" t="str">
        <f>""</f>
        <v/>
      </c>
      <c r="E12070" s="2" t="str">
        <f>""</f>
        <v/>
      </c>
      <c r="F12070" s="2" t="str">
        <f>""</f>
        <v/>
      </c>
      <c r="G12070" s="2" t="str">
        <f>"Controladoria / Contabilidade ()"</f>
        <v>Controladoria / Contabilidade ()</v>
      </c>
    </row>
    <row r="12071" spans="1:7" x14ac:dyDescent="0.3">
      <c r="A12071" s="1" t="s">
        <v>58</v>
      </c>
      <c r="B12071" s="2" t="str">
        <f>""</f>
        <v/>
      </c>
      <c r="C12071" s="2" t="str">
        <f>""</f>
        <v/>
      </c>
      <c r="D12071" s="2" t="str">
        <f>""</f>
        <v/>
      </c>
      <c r="E12071" s="2" t="str">
        <f>""</f>
        <v/>
      </c>
      <c r="F12071" s="2" t="str">
        <f>""</f>
        <v/>
      </c>
      <c r="G12071" s="2" t="str">
        <f>"Controladoria / Contabilidade / Lançamentos ()"</f>
        <v>Controladoria / Contabilidade / Lançamentos ()</v>
      </c>
    </row>
    <row r="12072" spans="1:7" x14ac:dyDescent="0.3">
      <c r="A12072" s="1" t="s">
        <v>58</v>
      </c>
      <c r="B12072" s="2" t="str">
        <f>""</f>
        <v/>
      </c>
      <c r="C12072" s="2" t="str">
        <f>""</f>
        <v/>
      </c>
      <c r="D12072" s="2" t="str">
        <f>""</f>
        <v/>
      </c>
      <c r="E12072" s="2" t="str">
        <f>""</f>
        <v/>
      </c>
      <c r="F12072" s="2" t="str">
        <f>""</f>
        <v/>
      </c>
      <c r="G12072" s="2" t="str">
        <f>"Controladoria / Contabilidade / Consultas ()"</f>
        <v>Controladoria / Contabilidade / Consultas ()</v>
      </c>
    </row>
    <row r="12073" spans="1:7" x14ac:dyDescent="0.3">
      <c r="A12073" s="1" t="s">
        <v>58</v>
      </c>
      <c r="B12073" s="2" t="str">
        <f>""</f>
        <v/>
      </c>
      <c r="C12073" s="2" t="str">
        <f>""</f>
        <v/>
      </c>
      <c r="D12073" s="2" t="str">
        <f>""</f>
        <v/>
      </c>
      <c r="E12073" s="2" t="str">
        <f>""</f>
        <v/>
      </c>
      <c r="F12073" s="2" t="str">
        <f>""</f>
        <v/>
      </c>
      <c r="G12073" s="2" t="str">
        <f>"Controladoria / Contabilidade / Liberação de Movimentações ()"</f>
        <v>Controladoria / Contabilidade / Liberação de Movimentações ()</v>
      </c>
    </row>
    <row r="12074" spans="1:7" x14ac:dyDescent="0.3">
      <c r="A12074" s="1" t="s">
        <v>58</v>
      </c>
      <c r="B12074" s="2" t="str">
        <f>""</f>
        <v/>
      </c>
      <c r="C12074" s="2" t="str">
        <f>""</f>
        <v/>
      </c>
      <c r="D12074" s="2" t="str">
        <f>""</f>
        <v/>
      </c>
      <c r="E12074" s="2" t="str">
        <f>""</f>
        <v/>
      </c>
      <c r="F12074" s="2" t="str">
        <f>""</f>
        <v/>
      </c>
      <c r="G12074" s="2" t="str">
        <f>"Controladoria / Contabilidade / Exportação ()"</f>
        <v>Controladoria / Contabilidade / Exportação ()</v>
      </c>
    </row>
    <row r="12075" spans="1:7" x14ac:dyDescent="0.3">
      <c r="A12075" s="1" t="s">
        <v>58</v>
      </c>
      <c r="B12075" s="2" t="str">
        <f>""</f>
        <v/>
      </c>
      <c r="C12075" s="2" t="str">
        <f>""</f>
        <v/>
      </c>
      <c r="D12075" s="2" t="str">
        <f>""</f>
        <v/>
      </c>
      <c r="E12075" s="2" t="str">
        <f>""</f>
        <v/>
      </c>
      <c r="F12075" s="2" t="str">
        <f>""</f>
        <v/>
      </c>
      <c r="G12075" s="2" t="str">
        <f>"Controladoria / Contabilidade / Relatórios ()"</f>
        <v>Controladoria / Contabilidade / Relatórios ()</v>
      </c>
    </row>
    <row r="12076" spans="1:7" x14ac:dyDescent="0.3">
      <c r="A12076" s="1" t="s">
        <v>58</v>
      </c>
      <c r="B12076" s="2" t="str">
        <f>""</f>
        <v/>
      </c>
      <c r="C12076" s="2" t="str">
        <f>""</f>
        <v/>
      </c>
      <c r="D12076" s="2" t="str">
        <f>""</f>
        <v/>
      </c>
      <c r="E12076" s="2" t="str">
        <f>""</f>
        <v/>
      </c>
      <c r="F12076" s="2" t="str">
        <f>""</f>
        <v/>
      </c>
      <c r="G12076" s="2" t="str">
        <f>"Controladoria / Contabilidade / Tabelas ()"</f>
        <v>Controladoria / Contabilidade / Tabelas ()</v>
      </c>
    </row>
    <row r="12077" spans="1:7" x14ac:dyDescent="0.3">
      <c r="A12077" s="1" t="s">
        <v>58</v>
      </c>
      <c r="B12077" s="2" t="str">
        <f>""</f>
        <v/>
      </c>
      <c r="C12077" s="2" t="str">
        <f>""</f>
        <v/>
      </c>
      <c r="D12077" s="2" t="str">
        <f>""</f>
        <v/>
      </c>
      <c r="E12077" s="2" t="str">
        <f>""</f>
        <v/>
      </c>
      <c r="F12077" s="2" t="str">
        <f>""</f>
        <v/>
      </c>
      <c r="G12077" s="2" t="str">
        <f>"Controladoria / Contabilidade / Configuração ()"</f>
        <v>Controladoria / Contabilidade / Configuração ()</v>
      </c>
    </row>
    <row r="12078" spans="1:7" x14ac:dyDescent="0.3">
      <c r="A12078" s="1" t="s">
        <v>58</v>
      </c>
      <c r="B12078" s="2" t="str">
        <f>""</f>
        <v/>
      </c>
      <c r="C12078" s="2" t="str">
        <f>""</f>
        <v/>
      </c>
      <c r="D12078" s="2" t="str">
        <f>""</f>
        <v/>
      </c>
      <c r="E12078" s="2" t="str">
        <f>""</f>
        <v/>
      </c>
      <c r="F12078" s="2" t="str">
        <f>""</f>
        <v/>
      </c>
      <c r="G12078" s="2" t="str">
        <f>"Controladoria / Contabilidade / Relatórios / Tabelas ()"</f>
        <v>Controladoria / Contabilidade / Relatórios / Tabelas ()</v>
      </c>
    </row>
    <row r="12079" spans="1:7" x14ac:dyDescent="0.3">
      <c r="A12079" s="1" t="s">
        <v>58</v>
      </c>
      <c r="B12079" s="2" t="str">
        <f>""</f>
        <v/>
      </c>
      <c r="C12079" s="2" t="str">
        <f>""</f>
        <v/>
      </c>
      <c r="D12079" s="2" t="str">
        <f>""</f>
        <v/>
      </c>
      <c r="E12079" s="2" t="str">
        <f>""</f>
        <v/>
      </c>
      <c r="F12079" s="2" t="str">
        <f>""</f>
        <v/>
      </c>
      <c r="G12079" s="2" t="str">
        <f>"Controladoria / Contabilidade / Relatórios / Demonstrativos Contábeis ()"</f>
        <v>Controladoria / Contabilidade / Relatórios / Demonstrativos Contábeis ()</v>
      </c>
    </row>
    <row r="12080" spans="1:7" x14ac:dyDescent="0.3">
      <c r="A12080" s="1" t="s">
        <v>58</v>
      </c>
      <c r="B12080" s="2" t="str">
        <f>""</f>
        <v/>
      </c>
      <c r="C12080" s="2" t="str">
        <f>""</f>
        <v/>
      </c>
      <c r="D12080" s="2" t="str">
        <f>""</f>
        <v/>
      </c>
      <c r="E12080" s="2" t="str">
        <f>""</f>
        <v/>
      </c>
      <c r="F12080" s="2" t="str">
        <f>""</f>
        <v/>
      </c>
      <c r="G12080" s="2" t="str">
        <f>"Controladoria / Contabilidade / Relatórios / Razão ()"</f>
        <v>Controladoria / Contabilidade / Relatórios / Razão ()</v>
      </c>
    </row>
    <row r="12081" spans="1:7" x14ac:dyDescent="0.3">
      <c r="A12081" s="1" t="s">
        <v>58</v>
      </c>
      <c r="B12081" s="2" t="str">
        <f>""</f>
        <v/>
      </c>
      <c r="C12081" s="2" t="str">
        <f>""</f>
        <v/>
      </c>
      <c r="D12081" s="2" t="str">
        <f>""</f>
        <v/>
      </c>
      <c r="E12081" s="2" t="str">
        <f>""</f>
        <v/>
      </c>
      <c r="F12081" s="2" t="str">
        <f>""</f>
        <v/>
      </c>
      <c r="G12081" s="2" t="str">
        <f>"Controladoria / Contabilidade / Relatórios / Balancete ()"</f>
        <v>Controladoria / Contabilidade / Relatórios / Balancete ()</v>
      </c>
    </row>
    <row r="12082" spans="1:7" x14ac:dyDescent="0.3">
      <c r="A12082" s="1" t="s">
        <v>58</v>
      </c>
      <c r="B12082" s="2" t="str">
        <f>""</f>
        <v/>
      </c>
      <c r="C12082" s="2" t="str">
        <f>""</f>
        <v/>
      </c>
      <c r="D12082" s="2" t="str">
        <f>""</f>
        <v/>
      </c>
      <c r="E12082" s="2" t="str">
        <f>""</f>
        <v/>
      </c>
      <c r="F12082" s="2" t="str">
        <f>""</f>
        <v/>
      </c>
      <c r="G12082" s="2" t="str">
        <f>"Controladoria / Contabilidade / Relatórios / Orçamento ()"</f>
        <v>Controladoria / Contabilidade / Relatórios / Orçamento ()</v>
      </c>
    </row>
    <row r="12083" spans="1:7" x14ac:dyDescent="0.3">
      <c r="A12083" s="1" t="s">
        <v>58</v>
      </c>
      <c r="B12083" s="2" t="str">
        <f>""</f>
        <v/>
      </c>
      <c r="C12083" s="2" t="str">
        <f>""</f>
        <v/>
      </c>
      <c r="D12083" s="2" t="str">
        <f>""</f>
        <v/>
      </c>
      <c r="E12083" s="2" t="str">
        <f>""</f>
        <v/>
      </c>
      <c r="F12083" s="2" t="str">
        <f>""</f>
        <v/>
      </c>
      <c r="G12083" s="2" t="str">
        <f>"Controladoria / Contabilidade / Relatórios / Auditoria ()"</f>
        <v>Controladoria / Contabilidade / Relatórios / Auditoria ()</v>
      </c>
    </row>
    <row r="12084" spans="1:7" x14ac:dyDescent="0.3">
      <c r="A12084" s="1" t="s">
        <v>58</v>
      </c>
      <c r="B12084" s="2" t="str">
        <f>""</f>
        <v/>
      </c>
      <c r="C12084" s="2" t="str">
        <f>""</f>
        <v/>
      </c>
      <c r="D12084" s="2" t="str">
        <f>""</f>
        <v/>
      </c>
      <c r="E12084" s="2" t="str">
        <f>""</f>
        <v/>
      </c>
      <c r="F12084" s="2" t="str">
        <f>""</f>
        <v/>
      </c>
      <c r="G12084" s="2" t="str">
        <f>"Controladoria / Contabilidade / Relatórios / Custos ()"</f>
        <v>Controladoria / Contabilidade / Relatórios / Custos ()</v>
      </c>
    </row>
    <row r="12085" spans="1:7" x14ac:dyDescent="0.3">
      <c r="A12085" s="1" t="s">
        <v>58</v>
      </c>
      <c r="B12085" s="2" t="str">
        <f>""</f>
        <v/>
      </c>
      <c r="C12085" s="2" t="str">
        <f>""</f>
        <v/>
      </c>
      <c r="D12085" s="2" t="str">
        <f>""</f>
        <v/>
      </c>
      <c r="E12085" s="2" t="str">
        <f>""</f>
        <v/>
      </c>
      <c r="F12085" s="2" t="str">
        <f>""</f>
        <v/>
      </c>
      <c r="G12085" s="2" t="str">
        <f>"Controladoria / Contabilidade / Relatórios / Receita ()"</f>
        <v>Controladoria / Contabilidade / Relatórios / Receita ()</v>
      </c>
    </row>
    <row r="12086" spans="1:7" x14ac:dyDescent="0.3">
      <c r="A12086" s="1" t="s">
        <v>58</v>
      </c>
      <c r="B12086" s="2" t="str">
        <f>""</f>
        <v/>
      </c>
      <c r="C12086" s="2" t="str">
        <f>""</f>
        <v/>
      </c>
      <c r="D12086" s="2" t="str">
        <f>""</f>
        <v/>
      </c>
      <c r="E12086" s="2" t="str">
        <f>""</f>
        <v/>
      </c>
      <c r="F12086" s="2" t="str">
        <f>""</f>
        <v/>
      </c>
      <c r="G12086" s="2" t="str">
        <f>"Controladoria / Contabilidade / Tabelas / Plano Contábil ()"</f>
        <v>Controladoria / Contabilidade / Tabelas / Plano Contábil ()</v>
      </c>
    </row>
    <row r="12087" spans="1:7" x14ac:dyDescent="0.3">
      <c r="A12087" s="1" t="s">
        <v>58</v>
      </c>
      <c r="B12087" s="2" t="str">
        <f>""</f>
        <v/>
      </c>
      <c r="C12087" s="2" t="str">
        <f>""</f>
        <v/>
      </c>
      <c r="D12087" s="2" t="str">
        <f>""</f>
        <v/>
      </c>
      <c r="E12087" s="2" t="str">
        <f>""</f>
        <v/>
      </c>
      <c r="F12087" s="2" t="str">
        <f>""</f>
        <v/>
      </c>
      <c r="G12087" s="2" t="str">
        <f>"Controladoria / Contabilidade / Tabelas / Termos ()"</f>
        <v>Controladoria / Contabilidade / Tabelas / Termos ()</v>
      </c>
    </row>
    <row r="12088" spans="1:7" x14ac:dyDescent="0.3">
      <c r="A12088" s="1" t="s">
        <v>58</v>
      </c>
      <c r="B12088" s="2" t="str">
        <f>""</f>
        <v/>
      </c>
      <c r="C12088" s="2" t="str">
        <f>""</f>
        <v/>
      </c>
      <c r="D12088" s="2" t="str">
        <f>""</f>
        <v/>
      </c>
      <c r="E12088" s="2" t="str">
        <f>""</f>
        <v/>
      </c>
      <c r="F12088" s="2" t="str">
        <f>""</f>
        <v/>
      </c>
      <c r="G12088" s="2" t="str">
        <f>"Controladoria / Contabilidade / Tabelas / Orçamento - Competência ()"</f>
        <v>Controladoria / Contabilidade / Tabelas / Orçamento - Competência ()</v>
      </c>
    </row>
    <row r="12089" spans="1:7" x14ac:dyDescent="0.3">
      <c r="A12089" s="1" t="s">
        <v>58</v>
      </c>
      <c r="B12089" s="2" t="str">
        <f>""</f>
        <v/>
      </c>
      <c r="C12089" s="2" t="str">
        <f>""</f>
        <v/>
      </c>
      <c r="D12089" s="2" t="str">
        <f>""</f>
        <v/>
      </c>
      <c r="E12089" s="2" t="str">
        <f>""</f>
        <v/>
      </c>
      <c r="F12089" s="2" t="str">
        <f>""</f>
        <v/>
      </c>
      <c r="G12089" s="2" t="str">
        <f>"Controladoria / Contabilidade / Tabelas / Gerenciais ()"</f>
        <v>Controladoria / Contabilidade / Tabelas / Gerenciais ()</v>
      </c>
    </row>
    <row r="12090" spans="1:7" x14ac:dyDescent="0.3">
      <c r="A12090" s="1" t="s">
        <v>58</v>
      </c>
      <c r="B12090" s="2" t="str">
        <f>""</f>
        <v/>
      </c>
      <c r="C12090" s="2" t="str">
        <f>""</f>
        <v/>
      </c>
      <c r="D12090" s="2" t="str">
        <f>""</f>
        <v/>
      </c>
      <c r="E12090" s="2" t="str">
        <f>""</f>
        <v/>
      </c>
      <c r="F12090" s="2" t="str">
        <f>""</f>
        <v/>
      </c>
      <c r="G12090" s="2" t="str">
        <f>"Controladoria / Contabilidade / Lançamentos / Lotes ()"</f>
        <v>Controladoria / Contabilidade / Lançamentos / Lotes ()</v>
      </c>
    </row>
    <row r="12091" spans="1:7" x14ac:dyDescent="0.3">
      <c r="A12091" s="1" t="s">
        <v>58</v>
      </c>
      <c r="B12091" s="2" t="str">
        <f>""</f>
        <v/>
      </c>
      <c r="C12091" s="2" t="str">
        <f>""</f>
        <v/>
      </c>
      <c r="D12091" s="2" t="str">
        <f>""</f>
        <v/>
      </c>
      <c r="E12091" s="2" t="str">
        <f>""</f>
        <v/>
      </c>
      <c r="F12091" s="2" t="str">
        <f>""</f>
        <v/>
      </c>
      <c r="G12091" s="2" t="str">
        <f>"Controladoria / Contabilidade / Consultas / Gerenciais ()"</f>
        <v>Controladoria / Contabilidade / Consultas / Gerenciais ()</v>
      </c>
    </row>
    <row r="12092" spans="1:7" x14ac:dyDescent="0.3">
      <c r="A12092" s="1" t="s">
        <v>58</v>
      </c>
      <c r="B12092" s="2" t="str">
        <f>""</f>
        <v/>
      </c>
      <c r="C12092" s="2" t="str">
        <f>""</f>
        <v/>
      </c>
      <c r="D12092" s="2" t="str">
        <f>""</f>
        <v/>
      </c>
      <c r="E12092" s="2" t="str">
        <f>""</f>
        <v/>
      </c>
      <c r="F12092" s="2" t="str">
        <f>""</f>
        <v/>
      </c>
      <c r="G12092" s="2" t="str">
        <f>"Controladoria / Contabilidade / Liberação de Movimentações / Estoque ()"</f>
        <v>Controladoria / Contabilidade / Liberação de Movimentações / Estoque ()</v>
      </c>
    </row>
    <row r="12093" spans="1:7" x14ac:dyDescent="0.3">
      <c r="A12093" s="1" t="s">
        <v>58</v>
      </c>
      <c r="B12093" s="2" t="str">
        <f>""</f>
        <v/>
      </c>
      <c r="C12093" s="2" t="str">
        <f>""</f>
        <v/>
      </c>
      <c r="D12093" s="2" t="str">
        <f>""</f>
        <v/>
      </c>
      <c r="E12093" s="2" t="str">
        <f>""</f>
        <v/>
      </c>
      <c r="F12093" s="2" t="str">
        <f>""</f>
        <v/>
      </c>
      <c r="G12093" s="2" t="str">
        <f>"Controladoria / Contabilidade / Liberação de Movimentações / Específica ()"</f>
        <v>Controladoria / Contabilidade / Liberação de Movimentações / Específica ()</v>
      </c>
    </row>
    <row r="12094" spans="1:7" x14ac:dyDescent="0.3">
      <c r="A12094" s="1" t="s">
        <v>58</v>
      </c>
      <c r="B12094" s="2" t="str">
        <f>""</f>
        <v/>
      </c>
      <c r="C12094" s="2" t="str">
        <f>""</f>
        <v/>
      </c>
      <c r="D12094" s="2" t="str">
        <f>""</f>
        <v/>
      </c>
      <c r="E12094" s="2" t="str">
        <f>""</f>
        <v/>
      </c>
      <c r="F12094" s="2" t="str">
        <f>""</f>
        <v/>
      </c>
      <c r="G12094" s="2" t="str">
        <f>"Controladoria / Contabilidade / Configuração / Convênio ()"</f>
        <v>Controladoria / Contabilidade / Configuração / Convênio ()</v>
      </c>
    </row>
    <row r="12095" spans="1:7" x14ac:dyDescent="0.3">
      <c r="A12095" s="1" t="s">
        <v>58</v>
      </c>
      <c r="B12095" s="2" t="str">
        <f>""</f>
        <v/>
      </c>
      <c r="C12095" s="2" t="str">
        <f>""</f>
        <v/>
      </c>
      <c r="D12095" s="2" t="str">
        <f>""</f>
        <v/>
      </c>
      <c r="E12095" s="2" t="str">
        <f>""</f>
        <v/>
      </c>
      <c r="F12095" s="2" t="str">
        <f>""</f>
        <v/>
      </c>
      <c r="G12095" s="2" t="str">
        <f>"Controladoria / Contabilidade / Configuração / Estoque ()"</f>
        <v>Controladoria / Contabilidade / Configuração / Estoque ()</v>
      </c>
    </row>
    <row r="12096" spans="1:7" x14ac:dyDescent="0.3">
      <c r="A12096" s="1" t="s">
        <v>58</v>
      </c>
      <c r="B12096" s="2" t="str">
        <f>""</f>
        <v/>
      </c>
      <c r="C12096" s="2" t="str">
        <f>""</f>
        <v/>
      </c>
      <c r="D12096" s="2" t="str">
        <f>""</f>
        <v/>
      </c>
      <c r="E12096" s="2" t="str">
        <f>""</f>
        <v/>
      </c>
      <c r="F12096" s="2" t="str">
        <f>""</f>
        <v/>
      </c>
      <c r="G12096" s="2" t="str">
        <f>"Controladoria / Contabilidade / Configuração / Financeiro ()"</f>
        <v>Controladoria / Contabilidade / Configuração / Financeiro ()</v>
      </c>
    </row>
    <row r="12097" spans="1:7" x14ac:dyDescent="0.3">
      <c r="A12097" s="1" t="s">
        <v>58</v>
      </c>
      <c r="B12097" s="2" t="str">
        <f>""</f>
        <v/>
      </c>
      <c r="C12097" s="2" t="str">
        <f>""</f>
        <v/>
      </c>
      <c r="D12097" s="2" t="str">
        <f>""</f>
        <v/>
      </c>
      <c r="E12097" s="2" t="str">
        <f>""</f>
        <v/>
      </c>
      <c r="F12097" s="2" t="str">
        <f>""</f>
        <v/>
      </c>
      <c r="G12097" s="2" t="str">
        <f>"Controladoria / Contabilidade / Relatórios / Custos / Custo Sintético ()"</f>
        <v>Controladoria / Contabilidade / Relatórios / Custos / Custo Sintético ()</v>
      </c>
    </row>
    <row r="12098" spans="1:7" x14ac:dyDescent="0.3">
      <c r="A12098" s="1" t="s">
        <v>58</v>
      </c>
      <c r="B12098" s="2" t="str">
        <f>""</f>
        <v/>
      </c>
      <c r="C12098" s="2" t="str">
        <f>""</f>
        <v/>
      </c>
      <c r="D12098" s="2" t="str">
        <f>""</f>
        <v/>
      </c>
      <c r="E12098" s="2" t="str">
        <f>""</f>
        <v/>
      </c>
      <c r="F12098" s="2" t="str">
        <f>""</f>
        <v/>
      </c>
      <c r="G12098" s="2" t="str">
        <f>"Controladoria / Contabilidade / Relatórios / Custos / Conta de Resultado ()"</f>
        <v>Controladoria / Contabilidade / Relatórios / Custos / Conta de Resultado ()</v>
      </c>
    </row>
    <row r="12099" spans="1:7" x14ac:dyDescent="0.3">
      <c r="A12099" s="1" t="s">
        <v>58</v>
      </c>
      <c r="B12099" s="2" t="str">
        <f>""</f>
        <v/>
      </c>
      <c r="C12099" s="2" t="str">
        <f>""</f>
        <v/>
      </c>
      <c r="D12099" s="2" t="str">
        <f>""</f>
        <v/>
      </c>
      <c r="E12099" s="2" t="str">
        <f>""</f>
        <v/>
      </c>
      <c r="F12099" s="2" t="str">
        <f>""</f>
        <v/>
      </c>
      <c r="G12099" s="2" t="str">
        <f>"Controladoria / Contabilidade / Exportação / Geração IN 86 ()"</f>
        <v>Controladoria / Contabilidade / Exportação / Geração IN 86 ()</v>
      </c>
    </row>
    <row r="12100" spans="1:7" x14ac:dyDescent="0.3">
      <c r="A12100" s="1" t="s">
        <v>58</v>
      </c>
      <c r="B12100" s="2" t="str">
        <f>""</f>
        <v/>
      </c>
      <c r="C12100" s="2" t="str">
        <f>""</f>
        <v/>
      </c>
      <c r="D12100" s="2" t="str">
        <f>""</f>
        <v/>
      </c>
      <c r="E12100" s="2" t="str">
        <f>""</f>
        <v/>
      </c>
      <c r="F12100" s="2" t="str">
        <f>""</f>
        <v/>
      </c>
      <c r="G12100" s="2" t="str">
        <f>"Outros / Administração do Sistema / Ajuda / Ajuda do MV 2000i     F1 ()"</f>
        <v>Outros / Administração do Sistema / Ajuda / Ajuda do MV 2000i     F1 ()</v>
      </c>
    </row>
    <row r="12101" spans="1:7" x14ac:dyDescent="0.3">
      <c r="A12101" s="1" t="s">
        <v>58</v>
      </c>
      <c r="B12101" s="2" t="str">
        <f>""</f>
        <v/>
      </c>
      <c r="C12101" s="2" t="str">
        <f>""</f>
        <v/>
      </c>
      <c r="D12101" s="2" t="str">
        <f>""</f>
        <v/>
      </c>
      <c r="E12101" s="2" t="str">
        <f>""</f>
        <v/>
      </c>
      <c r="F12101" s="2" t="str">
        <f>""</f>
        <v/>
      </c>
      <c r="G12101" s="2" t="str">
        <f>"Outros / Administração do Sistema / Ajuda / Novidades desta versão ()"</f>
        <v>Outros / Administração do Sistema / Ajuda / Novidades desta versão ()</v>
      </c>
    </row>
    <row r="12102" spans="1:7" x14ac:dyDescent="0.3">
      <c r="A12102" s="1" t="s">
        <v>58</v>
      </c>
      <c r="B12102" s="2" t="str">
        <f>""</f>
        <v/>
      </c>
      <c r="C12102" s="2" t="str">
        <f>""</f>
        <v/>
      </c>
      <c r="D12102" s="2" t="str">
        <f>""</f>
        <v/>
      </c>
      <c r="E12102" s="2" t="str">
        <f>""</f>
        <v/>
      </c>
      <c r="F12102" s="2" t="str">
        <f>""</f>
        <v/>
      </c>
      <c r="G12102" s="2" t="str">
        <f>"Outros / Administração do Sistema / Ajuda / MV News ()"</f>
        <v>Outros / Administração do Sistema / Ajuda / MV News ()</v>
      </c>
    </row>
    <row r="12103" spans="1:7" x14ac:dyDescent="0.3">
      <c r="A12103" s="1" t="s">
        <v>58</v>
      </c>
      <c r="B12103" s="2" t="str">
        <f>""</f>
        <v/>
      </c>
      <c r="C12103" s="2" t="str">
        <f>""</f>
        <v/>
      </c>
      <c r="D12103" s="2" t="str">
        <f>""</f>
        <v/>
      </c>
      <c r="E12103" s="2" t="str">
        <f>""</f>
        <v/>
      </c>
      <c r="F12103" s="2" t="str">
        <f>""</f>
        <v/>
      </c>
      <c r="G12103" s="2" t="str">
        <f>"Materiais e Logística / Farmácia / Movimentação / Solicitação de Compra ()"</f>
        <v>Materiais e Logística / Farmácia / Movimentação / Solicitação de Compra ()</v>
      </c>
    </row>
    <row r="12104" spans="1:7" x14ac:dyDescent="0.3">
      <c r="A12104" s="1" t="s">
        <v>58</v>
      </c>
      <c r="B12104" s="2" t="str">
        <f>""</f>
        <v/>
      </c>
      <c r="C12104" s="2" t="str">
        <f>""</f>
        <v/>
      </c>
      <c r="D12104" s="2" t="str">
        <f>""</f>
        <v/>
      </c>
      <c r="E12104" s="2" t="str">
        <f>""</f>
        <v/>
      </c>
      <c r="F12104" s="2" t="str">
        <f>""</f>
        <v/>
      </c>
      <c r="G12104" s="2" t="str">
        <f>"Materiais e Logística / Farmácia / Movimentação / Solicitação de Materiais ()"</f>
        <v>Materiais e Logística / Farmácia / Movimentação / Solicitação de Materiais ()</v>
      </c>
    </row>
    <row r="12105" spans="1:7" x14ac:dyDescent="0.3">
      <c r="A12105" s="1" t="s">
        <v>58</v>
      </c>
      <c r="B12105" s="2" t="str">
        <f>""</f>
        <v/>
      </c>
      <c r="C12105" s="2" t="str">
        <f>""</f>
        <v/>
      </c>
      <c r="D12105" s="2" t="str">
        <f>""</f>
        <v/>
      </c>
      <c r="E12105" s="2" t="str">
        <f>""</f>
        <v/>
      </c>
      <c r="F12105" s="2" t="str">
        <f>""</f>
        <v/>
      </c>
      <c r="G12105" s="2" t="str">
        <f>"Atendimento / Urgência e Emergência ()"</f>
        <v>Atendimento / Urgência e Emergência ()</v>
      </c>
    </row>
    <row r="12106" spans="1:7" x14ac:dyDescent="0.3">
      <c r="A12106" s="1" t="s">
        <v>58</v>
      </c>
      <c r="B12106" s="2" t="str">
        <f>""</f>
        <v/>
      </c>
      <c r="C12106" s="2" t="str">
        <f>""</f>
        <v/>
      </c>
      <c r="D12106" s="2" t="str">
        <f>""</f>
        <v/>
      </c>
      <c r="E12106" s="2" t="str">
        <f>""</f>
        <v/>
      </c>
      <c r="F12106" s="2" t="str">
        <f>""</f>
        <v/>
      </c>
      <c r="G12106" s="2" t="str">
        <f>"Atendimento / Urgência e Emergência / Atendimento ()"</f>
        <v>Atendimento / Urgência e Emergência / Atendimento ()</v>
      </c>
    </row>
    <row r="12107" spans="1:7" x14ac:dyDescent="0.3">
      <c r="A12107" s="1" t="s">
        <v>58</v>
      </c>
      <c r="B12107" s="2" t="str">
        <f>""</f>
        <v/>
      </c>
      <c r="C12107" s="2" t="str">
        <f>""</f>
        <v/>
      </c>
      <c r="D12107" s="2" t="str">
        <f>""</f>
        <v/>
      </c>
      <c r="E12107" s="2" t="str">
        <f>""</f>
        <v/>
      </c>
      <c r="F12107" s="2" t="str">
        <f>""</f>
        <v/>
      </c>
      <c r="G12107" s="2" t="str">
        <f>"Atendimento / Urgência e Emergência / Tabelas ()"</f>
        <v>Atendimento / Urgência e Emergência / Tabelas ()</v>
      </c>
    </row>
    <row r="12108" spans="1:7" x14ac:dyDescent="0.3">
      <c r="A12108" s="1" t="s">
        <v>58</v>
      </c>
      <c r="B12108" s="2" t="str">
        <f>""</f>
        <v/>
      </c>
      <c r="C12108" s="2" t="str">
        <f>""</f>
        <v/>
      </c>
      <c r="D12108" s="2" t="str">
        <f>""</f>
        <v/>
      </c>
      <c r="E12108" s="2" t="str">
        <f>""</f>
        <v/>
      </c>
      <c r="F12108" s="2" t="str">
        <f>""</f>
        <v/>
      </c>
      <c r="G12108" s="2" t="str">
        <f>"Atendimento / Urgência e Emergência / Consultas ()"</f>
        <v>Atendimento / Urgência e Emergência / Consultas ()</v>
      </c>
    </row>
    <row r="12109" spans="1:7" x14ac:dyDescent="0.3">
      <c r="A12109" s="1" t="s">
        <v>58</v>
      </c>
      <c r="B12109" s="2" t="str">
        <f>""</f>
        <v/>
      </c>
      <c r="C12109" s="2" t="str">
        <f>""</f>
        <v/>
      </c>
      <c r="D12109" s="2" t="str">
        <f>""</f>
        <v/>
      </c>
      <c r="E12109" s="2" t="str">
        <f>""</f>
        <v/>
      </c>
      <c r="F12109" s="2" t="str">
        <f>""</f>
        <v/>
      </c>
      <c r="G12109" s="2" t="str">
        <f>"Atendimento / Urgência e Emergência / Faturamento ()"</f>
        <v>Atendimento / Urgência e Emergência / Faturamento ()</v>
      </c>
    </row>
    <row r="12110" spans="1:7" x14ac:dyDescent="0.3">
      <c r="A12110" s="1" t="s">
        <v>58</v>
      </c>
      <c r="B12110" s="2" t="str">
        <f>""</f>
        <v/>
      </c>
      <c r="C12110" s="2" t="str">
        <f>""</f>
        <v/>
      </c>
      <c r="D12110" s="2" t="str">
        <f>""</f>
        <v/>
      </c>
      <c r="E12110" s="2" t="str">
        <f>""</f>
        <v/>
      </c>
      <c r="F12110" s="2" t="str">
        <f>""</f>
        <v/>
      </c>
      <c r="G12110" s="2" t="str">
        <f>"Atendimento / Urgência e Emergência / Configurações ()"</f>
        <v>Atendimento / Urgência e Emergência / Configurações ()</v>
      </c>
    </row>
    <row r="12111" spans="1:7" x14ac:dyDescent="0.3">
      <c r="A12111" s="1" t="s">
        <v>58</v>
      </c>
      <c r="B12111" s="2" t="str">
        <f>""</f>
        <v/>
      </c>
      <c r="C12111" s="2" t="str">
        <f>""</f>
        <v/>
      </c>
      <c r="D12111" s="2" t="str">
        <f>""</f>
        <v/>
      </c>
      <c r="E12111" s="2" t="str">
        <f>""</f>
        <v/>
      </c>
      <c r="F12111" s="2" t="str">
        <f>""</f>
        <v/>
      </c>
      <c r="G12111" s="2" t="str">
        <f>"Atendimento / Urgência e Emergência / Relatórios ()"</f>
        <v>Atendimento / Urgência e Emergência / Relatórios ()</v>
      </c>
    </row>
    <row r="12112" spans="1:7" x14ac:dyDescent="0.3">
      <c r="A12112" s="1" t="s">
        <v>58</v>
      </c>
      <c r="B12112" s="2" t="str">
        <f>""</f>
        <v/>
      </c>
      <c r="C12112" s="2" t="str">
        <f>""</f>
        <v/>
      </c>
      <c r="D12112" s="2" t="str">
        <f>""</f>
        <v/>
      </c>
      <c r="E12112" s="2" t="str">
        <f>""</f>
        <v/>
      </c>
      <c r="F12112" s="2" t="str">
        <f>""</f>
        <v/>
      </c>
      <c r="G12112" s="2" t="str">
        <f>"Atendimento / Urgência e Emergência / Atendimento / Diagnóstico do Atendimento ()"</f>
        <v>Atendimento / Urgência e Emergência / Atendimento / Diagnóstico do Atendimento ()</v>
      </c>
    </row>
    <row r="12113" spans="1:7" x14ac:dyDescent="0.3">
      <c r="A12113" s="1" t="s">
        <v>58</v>
      </c>
      <c r="B12113" s="2" t="str">
        <f>""</f>
        <v/>
      </c>
      <c r="C12113" s="2" t="str">
        <f>""</f>
        <v/>
      </c>
      <c r="D12113" s="2" t="str">
        <f>""</f>
        <v/>
      </c>
      <c r="E12113" s="2" t="str">
        <f>""</f>
        <v/>
      </c>
      <c r="F12113" s="2" t="str">
        <f>""</f>
        <v/>
      </c>
      <c r="G12113" s="2" t="str">
        <f>"Atendimento / Urgência e Emergência / Atendimento / Observação ()"</f>
        <v>Atendimento / Urgência e Emergência / Atendimento / Observação ()</v>
      </c>
    </row>
    <row r="12114" spans="1:7" x14ac:dyDescent="0.3">
      <c r="A12114" s="1" t="s">
        <v>58</v>
      </c>
      <c r="B12114" s="2" t="str">
        <f>""</f>
        <v/>
      </c>
      <c r="C12114" s="2" t="str">
        <f>""</f>
        <v/>
      </c>
      <c r="D12114" s="2" t="str">
        <f>""</f>
        <v/>
      </c>
      <c r="E12114" s="2" t="str">
        <f>""</f>
        <v/>
      </c>
      <c r="F12114" s="2" t="str">
        <f>""</f>
        <v/>
      </c>
      <c r="G12114" s="2" t="str">
        <f>"Atendimento / Urgência e Emergência / Relatórios / Declarações ()"</f>
        <v>Atendimento / Urgência e Emergência / Relatórios / Declarações ()</v>
      </c>
    </row>
    <row r="12115" spans="1:7" x14ac:dyDescent="0.3">
      <c r="A12115" s="1" t="s">
        <v>58</v>
      </c>
      <c r="B12115" s="2" t="str">
        <f>""</f>
        <v/>
      </c>
      <c r="C12115" s="2" t="str">
        <f>""</f>
        <v/>
      </c>
      <c r="D12115" s="2" t="str">
        <f>""</f>
        <v/>
      </c>
      <c r="E12115" s="2" t="str">
        <f>""</f>
        <v/>
      </c>
      <c r="F12115" s="2" t="str">
        <f>""</f>
        <v/>
      </c>
      <c r="G12115" s="2" t="str">
        <f>"Atendimento / Urgência e Emergência / Relatórios / Tabelas ()"</f>
        <v>Atendimento / Urgência e Emergência / Relatórios / Tabelas ()</v>
      </c>
    </row>
    <row r="12116" spans="1:7" x14ac:dyDescent="0.3">
      <c r="A12116" s="1" t="s">
        <v>58</v>
      </c>
      <c r="B12116" s="2" t="str">
        <f>""</f>
        <v/>
      </c>
      <c r="C12116" s="2" t="str">
        <f>""</f>
        <v/>
      </c>
      <c r="D12116" s="2" t="str">
        <f>""</f>
        <v/>
      </c>
      <c r="E12116" s="2" t="str">
        <f>""</f>
        <v/>
      </c>
      <c r="F12116" s="2" t="str">
        <f>""</f>
        <v/>
      </c>
      <c r="G12116" s="2" t="str">
        <f>"Atendimento / Urgência e Emergência / Relatórios / Operacionais ()"</f>
        <v>Atendimento / Urgência e Emergência / Relatórios / Operacionais ()</v>
      </c>
    </row>
    <row r="12117" spans="1:7" x14ac:dyDescent="0.3">
      <c r="A12117" s="1" t="s">
        <v>58</v>
      </c>
      <c r="B12117" s="2" t="str">
        <f>""</f>
        <v/>
      </c>
      <c r="C12117" s="2" t="str">
        <f>""</f>
        <v/>
      </c>
      <c r="D12117" s="2" t="str">
        <f>""</f>
        <v/>
      </c>
      <c r="E12117" s="2" t="str">
        <f>""</f>
        <v/>
      </c>
      <c r="F12117" s="2" t="str">
        <f>""</f>
        <v/>
      </c>
      <c r="G12117" s="2" t="str">
        <f>"Atendimento / Urgência e Emergência / Relatórios / Faturamento ()"</f>
        <v>Atendimento / Urgência e Emergência / Relatórios / Faturamento ()</v>
      </c>
    </row>
    <row r="12118" spans="1:7" x14ac:dyDescent="0.3">
      <c r="A12118" s="1" t="s">
        <v>58</v>
      </c>
      <c r="B12118" s="2" t="str">
        <f>""</f>
        <v/>
      </c>
      <c r="C12118" s="2" t="str">
        <f>""</f>
        <v/>
      </c>
      <c r="D12118" s="2" t="str">
        <f>""</f>
        <v/>
      </c>
      <c r="E12118" s="2" t="str">
        <f>""</f>
        <v/>
      </c>
      <c r="F12118" s="2" t="str">
        <f>""</f>
        <v/>
      </c>
      <c r="G12118" s="2" t="str">
        <f>"Atendimento / Urgência e Emergência / Relatórios / Administrativos ()"</f>
        <v>Atendimento / Urgência e Emergência / Relatórios / Administrativos ()</v>
      </c>
    </row>
    <row r="12119" spans="1:7" x14ac:dyDescent="0.3">
      <c r="A12119" s="1" t="s">
        <v>58</v>
      </c>
      <c r="B12119" s="2" t="str">
        <f>""</f>
        <v/>
      </c>
      <c r="C12119" s="2" t="str">
        <f>""</f>
        <v/>
      </c>
      <c r="D12119" s="2" t="str">
        <f>""</f>
        <v/>
      </c>
      <c r="E12119" s="2" t="str">
        <f>""</f>
        <v/>
      </c>
      <c r="F12119" s="2" t="str">
        <f>""</f>
        <v/>
      </c>
      <c r="G12119" s="2" t="str">
        <f>"Atendimento / Urgência e Emergência / Relatórios / Estatísticos ()"</f>
        <v>Atendimento / Urgência e Emergência / Relatórios / Estatísticos ()</v>
      </c>
    </row>
    <row r="12120" spans="1:7" x14ac:dyDescent="0.3">
      <c r="A12120" s="1" t="s">
        <v>58</v>
      </c>
      <c r="B12120" s="2" t="str">
        <f>""</f>
        <v/>
      </c>
      <c r="C12120" s="2" t="str">
        <f>""</f>
        <v/>
      </c>
      <c r="D12120" s="2" t="str">
        <f>""</f>
        <v/>
      </c>
      <c r="E12120" s="2" t="str">
        <f>""</f>
        <v/>
      </c>
      <c r="F12120" s="2" t="str">
        <f>""</f>
        <v/>
      </c>
      <c r="G12120" s="2" t="str">
        <f>"Atendimento / Urgência e Emergência / Relatórios / Gerenciais ()"</f>
        <v>Atendimento / Urgência e Emergência / Relatórios / Gerenciais ()</v>
      </c>
    </row>
    <row r="12121" spans="1:7" x14ac:dyDescent="0.3">
      <c r="A12121" s="1" t="s">
        <v>58</v>
      </c>
      <c r="B12121" s="2" t="str">
        <f>""</f>
        <v/>
      </c>
      <c r="C12121" s="2" t="str">
        <f>""</f>
        <v/>
      </c>
      <c r="D12121" s="2" t="str">
        <f>""</f>
        <v/>
      </c>
      <c r="E12121" s="2" t="str">
        <f>""</f>
        <v/>
      </c>
      <c r="F12121" s="2" t="str">
        <f>""</f>
        <v/>
      </c>
      <c r="G12121" s="2" t="str">
        <f>"Atendimento / Urgência e Emergência / Relatórios / Gráficos ()"</f>
        <v>Atendimento / Urgência e Emergência / Relatórios / Gráficos ()</v>
      </c>
    </row>
    <row r="12122" spans="1:7" x14ac:dyDescent="0.3">
      <c r="A12122" s="1" t="s">
        <v>58</v>
      </c>
      <c r="B12122" s="2" t="str">
        <f>""</f>
        <v/>
      </c>
      <c r="C12122" s="2" t="str">
        <f>""</f>
        <v/>
      </c>
      <c r="D12122" s="2" t="str">
        <f>""</f>
        <v/>
      </c>
      <c r="E12122" s="2" t="str">
        <f>""</f>
        <v/>
      </c>
      <c r="F12122" s="2" t="str">
        <f>""</f>
        <v/>
      </c>
      <c r="G12122" s="2" t="str">
        <f>"Atendimento / Urgência e Emergência / Relatórios / Estoque ()"</f>
        <v>Atendimento / Urgência e Emergência / Relatórios / Estoque ()</v>
      </c>
    </row>
    <row r="12123" spans="1:7" x14ac:dyDescent="0.3">
      <c r="A12123" s="1" t="s">
        <v>58</v>
      </c>
      <c r="B12123" s="2" t="str">
        <f>""</f>
        <v/>
      </c>
      <c r="C12123" s="2" t="str">
        <f>""</f>
        <v/>
      </c>
      <c r="D12123" s="2" t="str">
        <f>""</f>
        <v/>
      </c>
      <c r="E12123" s="2" t="str">
        <f>""</f>
        <v/>
      </c>
      <c r="F12123" s="2" t="str">
        <f>""</f>
        <v/>
      </c>
      <c r="G12123" s="2" t="str">
        <f>"Atendimento / Urgência e Emergência / Relatórios / Estatísticos / Atendimentos por ()"</f>
        <v>Atendimento / Urgência e Emergência / Relatórios / Estatísticos / Atendimentos por ()</v>
      </c>
    </row>
    <row r="12124" spans="1:7" x14ac:dyDescent="0.3">
      <c r="A12124" s="1" t="s">
        <v>58</v>
      </c>
      <c r="B12124" s="2" t="str">
        <f>""</f>
        <v/>
      </c>
      <c r="C12124" s="2" t="str">
        <f>""</f>
        <v/>
      </c>
      <c r="D12124" s="2" t="str">
        <f>""</f>
        <v/>
      </c>
      <c r="E12124" s="2" t="str">
        <f>""</f>
        <v/>
      </c>
      <c r="F12124" s="2" t="str">
        <f>""</f>
        <v/>
      </c>
      <c r="G12124" s="2" t="str">
        <f>"Controladoria / Custos / Relatórios / Paciente / Resultado por Atendimento  ()"</f>
        <v>Controladoria / Custos / Relatórios / Paciente / Resultado por Atendimento  ()</v>
      </c>
    </row>
    <row r="12125" spans="1:7" x14ac:dyDescent="0.3">
      <c r="A12125" s="1" t="s">
        <v>58</v>
      </c>
      <c r="B12125" s="2" t="str">
        <f>""</f>
        <v/>
      </c>
      <c r="C12125" s="2" t="str">
        <f>""</f>
        <v/>
      </c>
      <c r="D12125" s="2" t="str">
        <f>""</f>
        <v/>
      </c>
      <c r="E12125" s="2" t="str">
        <f>""</f>
        <v/>
      </c>
      <c r="F12125" s="2" t="str">
        <f>""</f>
        <v/>
      </c>
      <c r="G12125" s="2" t="str">
        <f>"Controladoria / Custos / Importação / Centro Custo / Item Produção ()"</f>
        <v>Controladoria / Custos / Importação / Centro Custo / Item Produção ()</v>
      </c>
    </row>
    <row r="12126" spans="1:7" x14ac:dyDescent="0.3">
      <c r="A12126" s="1" t="s">
        <v>58</v>
      </c>
      <c r="B12126" s="2" t="str">
        <f>""</f>
        <v/>
      </c>
      <c r="C12126" s="2" t="str">
        <f>""</f>
        <v/>
      </c>
      <c r="D12126" s="2" t="str">
        <f>""</f>
        <v/>
      </c>
      <c r="E12126" s="2" t="str">
        <f>""</f>
        <v/>
      </c>
      <c r="F12126" s="2" t="str">
        <f>""</f>
        <v/>
      </c>
      <c r="G12126" s="2" t="str">
        <f>"Controladoria / Custos / Importação / Dw Plano Saúde ()"</f>
        <v>Controladoria / Custos / Importação / Dw Plano Saúde ()</v>
      </c>
    </row>
    <row r="12127" spans="1:7" x14ac:dyDescent="0.3">
      <c r="A12127" s="1" t="s">
        <v>58</v>
      </c>
      <c r="B12127" s="2" t="str">
        <f>""</f>
        <v/>
      </c>
      <c r="C12127" s="2" t="str">
        <f>""</f>
        <v/>
      </c>
      <c r="D12127" s="2" t="str">
        <f>""</f>
        <v/>
      </c>
      <c r="E12127" s="2" t="str">
        <f>""</f>
        <v/>
      </c>
      <c r="F12127" s="2" t="str">
        <f>""</f>
        <v/>
      </c>
      <c r="G12127" s="2" t="str">
        <f>"MVSaude / Relatórios / Gerenciais / Estatisticos ()"</f>
        <v>MVSaude / Relatórios / Gerenciais / Estatisticos ()</v>
      </c>
    </row>
    <row r="12128" spans="1:7" x14ac:dyDescent="0.3">
      <c r="A12128" s="1" t="s">
        <v>58</v>
      </c>
      <c r="B12128" s="2" t="str">
        <f>""</f>
        <v/>
      </c>
      <c r="C12128" s="2" t="str">
        <f>""</f>
        <v/>
      </c>
      <c r="D12128" s="2" t="str">
        <f>""</f>
        <v/>
      </c>
      <c r="E12128" s="2" t="str">
        <f>""</f>
        <v/>
      </c>
      <c r="F12128" s="2" t="str">
        <f>""</f>
        <v/>
      </c>
      <c r="G12128" s="2" t="str">
        <f>"MVSaude / Relatórios / Gerenciais / Faturamento ()"</f>
        <v>MVSaude / Relatórios / Gerenciais / Faturamento ()</v>
      </c>
    </row>
    <row r="12129" spans="1:7" x14ac:dyDescent="0.3">
      <c r="A12129" s="1" t="s">
        <v>58</v>
      </c>
      <c r="B12129" s="2" t="str">
        <f>""</f>
        <v/>
      </c>
      <c r="C12129" s="2" t="str">
        <f>""</f>
        <v/>
      </c>
      <c r="D12129" s="2" t="str">
        <f>""</f>
        <v/>
      </c>
      <c r="E12129" s="2" t="str">
        <f>""</f>
        <v/>
      </c>
      <c r="F12129" s="2" t="str">
        <f>""</f>
        <v/>
      </c>
      <c r="G12129" s="2" t="str">
        <f>"MVSaude / Relatórios / Gerenciais / Sinistralidade ()"</f>
        <v>MVSaude / Relatórios / Gerenciais / Sinistralidade ()</v>
      </c>
    </row>
    <row r="12130" spans="1:7" x14ac:dyDescent="0.3">
      <c r="A12130" s="1" t="s">
        <v>58</v>
      </c>
      <c r="B12130" s="2" t="str">
        <f>""</f>
        <v/>
      </c>
      <c r="C12130" s="2" t="str">
        <f>""</f>
        <v/>
      </c>
      <c r="D12130" s="2" t="str">
        <f>""</f>
        <v/>
      </c>
      <c r="E12130" s="2" t="str">
        <f>""</f>
        <v/>
      </c>
      <c r="F12130" s="2" t="str">
        <f>""</f>
        <v/>
      </c>
      <c r="G12130" s="2" t="str">
        <f>"Atendimento / Ambulatório / Consultas / Agendamentos ()"</f>
        <v>Atendimento / Ambulatório / Consultas / Agendamentos ()</v>
      </c>
    </row>
    <row r="12131" spans="1:7" x14ac:dyDescent="0.3">
      <c r="A12131" s="1" t="s">
        <v>58</v>
      </c>
      <c r="B12131" s="2" t="str">
        <f>""</f>
        <v/>
      </c>
      <c r="C12131" s="2" t="str">
        <f>""</f>
        <v/>
      </c>
      <c r="D12131" s="2" t="str">
        <f>""</f>
        <v/>
      </c>
      <c r="E12131" s="2" t="str">
        <f>""</f>
        <v/>
      </c>
      <c r="F12131" s="2" t="str">
        <f>""</f>
        <v/>
      </c>
      <c r="G12131" s="2" t="str">
        <f>"Atendimento / Internação / Relatórios / Operacionais / Altas / Lista de Altas Previstas para o Perído ()"</f>
        <v>Atendimento / Internação / Relatórios / Operacionais / Altas / Lista de Altas Previstas para o Perído ()</v>
      </c>
    </row>
    <row r="12132" spans="1:7" x14ac:dyDescent="0.3">
      <c r="A12132" s="1" t="s">
        <v>58</v>
      </c>
      <c r="B12132" s="2" t="str">
        <f>""</f>
        <v/>
      </c>
      <c r="C12132" s="2" t="str">
        <f>""</f>
        <v/>
      </c>
      <c r="D12132" s="2" t="str">
        <f>""</f>
        <v/>
      </c>
      <c r="E12132" s="2" t="str">
        <f>""</f>
        <v/>
      </c>
      <c r="F12132" s="2" t="str">
        <f>""</f>
        <v/>
      </c>
      <c r="G12132" s="2" t="str">
        <f>"Atendimento / Internação / Consultas / Pacientes Internados ()"</f>
        <v>Atendimento / Internação / Consultas / Pacientes Internados ()</v>
      </c>
    </row>
    <row r="12133" spans="1:7" x14ac:dyDescent="0.3">
      <c r="A12133" s="1" t="s">
        <v>58</v>
      </c>
      <c r="B12133" s="2" t="str">
        <f>""</f>
        <v/>
      </c>
      <c r="C12133" s="2" t="str">
        <f>""</f>
        <v/>
      </c>
      <c r="D12133" s="2" t="str">
        <f>""</f>
        <v/>
      </c>
      <c r="E12133" s="2" t="str">
        <f>""</f>
        <v/>
      </c>
      <c r="F12133" s="2" t="str">
        <f>""</f>
        <v/>
      </c>
      <c r="G12133" s="2" t="str">
        <f>"Atendimento / Internação / Consultas / Estatísticas de Produção ()"</f>
        <v>Atendimento / Internação / Consultas / Estatísticas de Produção ()</v>
      </c>
    </row>
    <row r="12134" spans="1:7" x14ac:dyDescent="0.3">
      <c r="A12134" s="1" t="s">
        <v>58</v>
      </c>
      <c r="B12134" s="2" t="str">
        <f>""</f>
        <v/>
      </c>
      <c r="C12134" s="2" t="str">
        <f>""</f>
        <v/>
      </c>
      <c r="D12134" s="2" t="str">
        <f>""</f>
        <v/>
      </c>
      <c r="E12134" s="2" t="str">
        <f>""</f>
        <v/>
      </c>
      <c r="F12134" s="2" t="str">
        <f>""</f>
        <v/>
      </c>
      <c r="G12134" s="2" t="str">
        <f>"Faturamento / Faturamento Ambulatorial SUS (BPA e APAC) / Relatórios / Tabelas ()"</f>
        <v>Faturamento / Faturamento Ambulatorial SUS (BPA e APAC) / Relatórios / Tabelas ()</v>
      </c>
    </row>
    <row r="12135" spans="1:7" x14ac:dyDescent="0.3">
      <c r="A12135" s="1" t="s">
        <v>58</v>
      </c>
      <c r="B12135" s="2" t="str">
        <f>""</f>
        <v/>
      </c>
      <c r="C12135" s="2" t="str">
        <f>""</f>
        <v/>
      </c>
      <c r="D12135" s="2" t="str">
        <f>""</f>
        <v/>
      </c>
      <c r="E12135" s="2" t="str">
        <f>""</f>
        <v/>
      </c>
      <c r="F12135" s="2" t="str">
        <f>""</f>
        <v/>
      </c>
      <c r="G12135" s="2" t="str">
        <f>"Faturamento / Faturamento Ambulatorial SUS (BPA e APAC) / Relatórios / Operacionais ()"</f>
        <v>Faturamento / Faturamento Ambulatorial SUS (BPA e APAC) / Relatórios / Operacionais ()</v>
      </c>
    </row>
    <row r="12136" spans="1:7" x14ac:dyDescent="0.3">
      <c r="A12136" s="1" t="s">
        <v>58</v>
      </c>
      <c r="B12136" s="2" t="str">
        <f>""</f>
        <v/>
      </c>
      <c r="C12136" s="2" t="str">
        <f>""</f>
        <v/>
      </c>
      <c r="D12136" s="2" t="str">
        <f>""</f>
        <v/>
      </c>
      <c r="E12136" s="2" t="str">
        <f>""</f>
        <v/>
      </c>
      <c r="F12136" s="2" t="str">
        <f>""</f>
        <v/>
      </c>
      <c r="G12136" s="2" t="str">
        <f>"Materiais e Logística / Almoxarifado / Tabelas / Tabela TIPI ()"</f>
        <v>Materiais e Logística / Almoxarifado / Tabelas / Tabela TIPI ()</v>
      </c>
    </row>
    <row r="12137" spans="1:7" x14ac:dyDescent="0.3">
      <c r="A12137" s="1" t="s">
        <v>58</v>
      </c>
      <c r="B12137" s="2" t="str">
        <f>""</f>
        <v/>
      </c>
      <c r="C12137" s="2" t="str">
        <f>""</f>
        <v/>
      </c>
      <c r="D12137" s="2" t="str">
        <f>""</f>
        <v/>
      </c>
      <c r="E12137" s="2" t="str">
        <f>""</f>
        <v/>
      </c>
      <c r="F12137" s="2" t="str">
        <f>""</f>
        <v/>
      </c>
      <c r="G12137" s="2" t="str">
        <f>"Serviços de Apoio / Movimentação de Documentos / Solicitações ()"</f>
        <v>Serviços de Apoio / Movimentação de Documentos / Solicitações ()</v>
      </c>
    </row>
    <row r="12138" spans="1:7" x14ac:dyDescent="0.3">
      <c r="A12138" s="1" t="s">
        <v>58</v>
      </c>
      <c r="B12138" s="2" t="str">
        <f>""</f>
        <v/>
      </c>
      <c r="C12138" s="2" t="str">
        <f>""</f>
        <v/>
      </c>
      <c r="D12138" s="2" t="str">
        <f>""</f>
        <v/>
      </c>
      <c r="E12138" s="2" t="str">
        <f>""</f>
        <v/>
      </c>
      <c r="F12138" s="2" t="str">
        <f>""</f>
        <v/>
      </c>
      <c r="G12138" s="2" t="str">
        <f>"Serviços de Apoio / Movimentação de Documentos / Solicitações / Pasta Parcial ()"</f>
        <v>Serviços de Apoio / Movimentação de Documentos / Solicitações / Pasta Parcial ()</v>
      </c>
    </row>
    <row r="12139" spans="1:7" x14ac:dyDescent="0.3">
      <c r="A12139" s="1" t="s">
        <v>58</v>
      </c>
      <c r="B12139" s="2" t="str">
        <f>""</f>
        <v/>
      </c>
      <c r="C12139" s="2" t="str">
        <f>""</f>
        <v/>
      </c>
      <c r="D12139" s="2" t="str">
        <f>""</f>
        <v/>
      </c>
      <c r="E12139" s="2" t="str">
        <f>""</f>
        <v/>
      </c>
      <c r="F12139" s="2" t="str">
        <f>""</f>
        <v/>
      </c>
      <c r="G12139" s="2" t="str">
        <f>"Serviços de Apoio / Movimentação de Documentos / Consultas / Pastas Parciais ()"</f>
        <v>Serviços de Apoio / Movimentação de Documentos / Consultas / Pastas Parciais ()</v>
      </c>
    </row>
    <row r="12140" spans="1:7" x14ac:dyDescent="0.3">
      <c r="A12140" s="1" t="s">
        <v>58</v>
      </c>
      <c r="B12140" s="2" t="str">
        <f>""</f>
        <v/>
      </c>
      <c r="C12140" s="2" t="str">
        <f>""</f>
        <v/>
      </c>
      <c r="D12140" s="2" t="str">
        <f>""</f>
        <v/>
      </c>
      <c r="E12140" s="2" t="str">
        <f>""</f>
        <v/>
      </c>
      <c r="F12140" s="2" t="str">
        <f>""</f>
        <v/>
      </c>
      <c r="G12140" s="2" t="str">
        <f>"Controladoria / Custos / Importação / Atividades ()"</f>
        <v>Controladoria / Custos / Importação / Atividades ()</v>
      </c>
    </row>
    <row r="12141" spans="1:7" x14ac:dyDescent="0.3">
      <c r="A12141" s="1" t="s">
        <v>58</v>
      </c>
      <c r="B12141" s="2" t="str">
        <f>""</f>
        <v/>
      </c>
      <c r="C12141" s="2" t="str">
        <f>""</f>
        <v/>
      </c>
      <c r="D12141" s="2" t="str">
        <f>""</f>
        <v/>
      </c>
      <c r="E12141" s="2" t="str">
        <f>""</f>
        <v/>
      </c>
      <c r="F12141" s="2" t="str">
        <f>""</f>
        <v/>
      </c>
      <c r="G12141" s="2" t="str">
        <f>"MVSaude / Relatórios / Cadastros ()"</f>
        <v>MVSaude / Relatórios / Cadastros ()</v>
      </c>
    </row>
    <row r="12142" spans="1:7" x14ac:dyDescent="0.3">
      <c r="A12142" s="1" t="s">
        <v>58</v>
      </c>
      <c r="B12142" s="2" t="str">
        <f>""</f>
        <v/>
      </c>
      <c r="C12142" s="2" t="str">
        <f>""</f>
        <v/>
      </c>
      <c r="D12142" s="2" t="str">
        <f>""</f>
        <v/>
      </c>
      <c r="E12142" s="2" t="str">
        <f>""</f>
        <v/>
      </c>
      <c r="F12142" s="2" t="str">
        <f>""</f>
        <v/>
      </c>
      <c r="G12142" s="2" t="str">
        <f>"MVSaude / Relatórios / Tabelas / Faturamento ()"</f>
        <v>MVSaude / Relatórios / Tabelas / Faturamento ()</v>
      </c>
    </row>
    <row r="12143" spans="1:7" x14ac:dyDescent="0.3">
      <c r="A12143" s="1" t="s">
        <v>58</v>
      </c>
      <c r="B12143" s="2" t="str">
        <f>""</f>
        <v/>
      </c>
      <c r="C12143" s="2" t="str">
        <f>""</f>
        <v/>
      </c>
      <c r="D12143" s="2" t="str">
        <f>""</f>
        <v/>
      </c>
      <c r="E12143" s="2" t="str">
        <f>""</f>
        <v/>
      </c>
      <c r="F12143" s="2" t="str">
        <f>""</f>
        <v/>
      </c>
      <c r="G12143" s="2" t="str">
        <f>"Materiais e Logística / Patrimônio / Gerenciamento ()"</f>
        <v>Materiais e Logística / Patrimônio / Gerenciamento ()</v>
      </c>
    </row>
    <row r="12144" spans="1:7" x14ac:dyDescent="0.3">
      <c r="A12144" s="1" t="s">
        <v>58</v>
      </c>
      <c r="B12144" s="2" t="str">
        <f>""</f>
        <v/>
      </c>
      <c r="C12144" s="2" t="str">
        <f>""</f>
        <v/>
      </c>
      <c r="D12144" s="2" t="str">
        <f>""</f>
        <v/>
      </c>
      <c r="E12144" s="2" t="str">
        <f>""</f>
        <v/>
      </c>
      <c r="F12144" s="2" t="str">
        <f>""</f>
        <v/>
      </c>
      <c r="G12144" s="2" t="str">
        <f>"Controladoria / Contabilidade / Exportação / Geração MANAD ()"</f>
        <v>Controladoria / Contabilidade / Exportação / Geração MANAD ()</v>
      </c>
    </row>
    <row r="12145" spans="1:7" x14ac:dyDescent="0.3">
      <c r="A12145" s="1" t="s">
        <v>58</v>
      </c>
      <c r="B12145" s="2" t="str">
        <f>""</f>
        <v/>
      </c>
      <c r="C12145" s="2" t="str">
        <f>""</f>
        <v/>
      </c>
      <c r="D12145" s="2" t="str">
        <f>""</f>
        <v/>
      </c>
      <c r="E12145" s="2" t="str">
        <f>""</f>
        <v/>
      </c>
      <c r="F12145" s="2" t="str">
        <f>""</f>
        <v/>
      </c>
      <c r="G12145" s="2" t="str">
        <f>"Controladoria / Contabilidade / Exportação / DIOPS ()"</f>
        <v>Controladoria / Contabilidade / Exportação / DIOPS ()</v>
      </c>
    </row>
    <row r="12146" spans="1:7" x14ac:dyDescent="0.3">
      <c r="A12146" s="1" t="s">
        <v>58</v>
      </c>
      <c r="B12146" s="2" t="str">
        <f>""</f>
        <v/>
      </c>
      <c r="C12146" s="2" t="str">
        <f>""</f>
        <v/>
      </c>
      <c r="D12146" s="2" t="str">
        <f>""</f>
        <v/>
      </c>
      <c r="E12146" s="2" t="str">
        <f>""</f>
        <v/>
      </c>
      <c r="F12146" s="2" t="str">
        <f>""</f>
        <v/>
      </c>
      <c r="G12146" s="2" t="str">
        <f>"Faturamento / Faturamento Ambulatorial SUS (BPA e APAC) / Tabelas / Geral ()"</f>
        <v>Faturamento / Faturamento Ambulatorial SUS (BPA e APAC) / Tabelas / Geral ()</v>
      </c>
    </row>
    <row r="12147" spans="1:7" x14ac:dyDescent="0.3">
      <c r="A12147" s="1" t="s">
        <v>58</v>
      </c>
      <c r="B12147" s="2" t="str">
        <f>""</f>
        <v/>
      </c>
      <c r="C12147" s="2" t="str">
        <f>""</f>
        <v/>
      </c>
      <c r="D12147" s="2" t="str">
        <f>""</f>
        <v/>
      </c>
      <c r="E12147" s="2" t="str">
        <f>""</f>
        <v/>
      </c>
      <c r="F12147" s="2" t="str">
        <f>""</f>
        <v/>
      </c>
      <c r="G12147" s="2" t="str">
        <f>"Controladoria / Repasse Médico / Repasse / Alteração ()"</f>
        <v>Controladoria / Repasse Médico / Repasse / Alteração ()</v>
      </c>
    </row>
    <row r="12148" spans="1:7" x14ac:dyDescent="0.3">
      <c r="A12148" s="1" t="s">
        <v>58</v>
      </c>
      <c r="B12148" s="2" t="str">
        <f>""</f>
        <v/>
      </c>
      <c r="C12148" s="2" t="str">
        <f>""</f>
        <v/>
      </c>
      <c r="D12148" s="2" t="str">
        <f>""</f>
        <v/>
      </c>
      <c r="E12148" s="2" t="str">
        <f>""</f>
        <v/>
      </c>
      <c r="F12148" s="2" t="str">
        <f>""</f>
        <v/>
      </c>
      <c r="G12148" s="2" t="str">
        <f>"Faturamento / Auditoria e Controle de Recursos de Glosas / Relatórios / Personalizados ()"</f>
        <v>Faturamento / Auditoria e Controle de Recursos de Glosas / Relatórios / Personalizados ()</v>
      </c>
    </row>
    <row r="12149" spans="1:7" x14ac:dyDescent="0.3">
      <c r="A12149" s="1" t="s">
        <v>58</v>
      </c>
      <c r="B12149" s="2" t="str">
        <f>""</f>
        <v/>
      </c>
      <c r="C12149" s="2" t="str">
        <f>""</f>
        <v/>
      </c>
      <c r="D12149" s="2" t="str">
        <f>""</f>
        <v/>
      </c>
      <c r="E12149" s="2" t="str">
        <f>""</f>
        <v/>
      </c>
      <c r="F12149" s="2" t="str">
        <f>""</f>
        <v/>
      </c>
      <c r="G12149" s="2" t="str">
        <f>"Serviços de Apoio / Serviço Atendimento Cliente / Serviço Social ()"</f>
        <v>Serviços de Apoio / Serviço Atendimento Cliente / Serviço Social ()</v>
      </c>
    </row>
    <row r="12150" spans="1:7" x14ac:dyDescent="0.3">
      <c r="A12150" s="1" t="s">
        <v>58</v>
      </c>
      <c r="B12150" s="2" t="str">
        <f>""</f>
        <v/>
      </c>
      <c r="C12150" s="2" t="str">
        <f>""</f>
        <v/>
      </c>
      <c r="D12150" s="2" t="str">
        <f>""</f>
        <v/>
      </c>
      <c r="E12150" s="2" t="str">
        <f>""</f>
        <v/>
      </c>
      <c r="F12150" s="2" t="str">
        <f>""</f>
        <v/>
      </c>
      <c r="G12150" s="2" t="str">
        <f>"Atendimento / Urgência e Emergência / Atendimento / Manutenção do Depósito de Pagamento Antecipado ()"</f>
        <v>Atendimento / Urgência e Emergência / Atendimento / Manutenção do Depósito de Pagamento Antecipado ()</v>
      </c>
    </row>
    <row r="12151" spans="1:7" x14ac:dyDescent="0.3">
      <c r="A12151" s="1" t="s">
        <v>58</v>
      </c>
      <c r="B12151" s="2" t="str">
        <f>""</f>
        <v/>
      </c>
      <c r="C12151" s="2" t="str">
        <f>""</f>
        <v/>
      </c>
      <c r="D12151" s="2" t="str">
        <f>""</f>
        <v/>
      </c>
      <c r="E12151" s="2" t="str">
        <f>""</f>
        <v/>
      </c>
      <c r="F12151" s="2" t="str">
        <f>""</f>
        <v/>
      </c>
      <c r="G12151" s="2" t="str">
        <f>"Diagnóstico e Terapia / Diagnóstico por Imagem / Atendimentos / Manutenção depósito pagamento antecipado ()"</f>
        <v>Diagnóstico e Terapia / Diagnóstico por Imagem / Atendimentos / Manutenção depósito pagamento antecipado ()</v>
      </c>
    </row>
    <row r="12152" spans="1:7" x14ac:dyDescent="0.3">
      <c r="A12152" s="1" t="s">
        <v>58</v>
      </c>
      <c r="B12152" s="2" t="str">
        <f>""</f>
        <v/>
      </c>
      <c r="C12152" s="2" t="str">
        <f>""</f>
        <v/>
      </c>
      <c r="D12152" s="2" t="str">
        <f>""</f>
        <v/>
      </c>
      <c r="E12152" s="2" t="str">
        <f>""</f>
        <v/>
      </c>
      <c r="F12152" s="2" t="str">
        <f>""</f>
        <v/>
      </c>
      <c r="G12152" s="2" t="str">
        <f>"Atendimento / Internação Domiciliar (Home Care) / Enfermagem / Tabelas ()"</f>
        <v>Atendimento / Internação Domiciliar (Home Care) / Enfermagem / Tabelas ()</v>
      </c>
    </row>
    <row r="12153" spans="1:7" x14ac:dyDescent="0.3">
      <c r="A12153" s="1" t="s">
        <v>58</v>
      </c>
      <c r="B12153" s="2" t="str">
        <f>""</f>
        <v/>
      </c>
      <c r="C12153" s="2" t="str">
        <f>""</f>
        <v/>
      </c>
      <c r="D12153" s="2" t="str">
        <f>""</f>
        <v/>
      </c>
      <c r="E12153" s="2" t="str">
        <f>""</f>
        <v/>
      </c>
      <c r="F12153" s="2" t="str">
        <f>""</f>
        <v/>
      </c>
      <c r="G12153" s="2" t="str">
        <f>"Serviços de Apoio / Central de Materiais Esterilizados / Relatórios / Tabelas ()"</f>
        <v>Serviços de Apoio / Central de Materiais Esterilizados / Relatórios / Tabelas ()</v>
      </c>
    </row>
    <row r="12154" spans="1:7" x14ac:dyDescent="0.3">
      <c r="A12154" s="1" t="s">
        <v>58</v>
      </c>
      <c r="B12154" s="2" t="str">
        <f>""</f>
        <v/>
      </c>
      <c r="C12154" s="2" t="str">
        <f>""</f>
        <v/>
      </c>
      <c r="D12154" s="2" t="str">
        <f>""</f>
        <v/>
      </c>
      <c r="E12154" s="2" t="str">
        <f>""</f>
        <v/>
      </c>
      <c r="F12154" s="2" t="str">
        <f>""</f>
        <v/>
      </c>
      <c r="G12154" s="2" t="str">
        <f>"Serviços de Apoio / Central de Materiais Esterilizados / Relatórios / Solicitações ()"</f>
        <v>Serviços de Apoio / Central de Materiais Esterilizados / Relatórios / Solicitações ()</v>
      </c>
    </row>
    <row r="12155" spans="1:7" x14ac:dyDescent="0.3">
      <c r="A12155" s="1" t="s">
        <v>58</v>
      </c>
      <c r="B12155" s="2" t="str">
        <f>""</f>
        <v/>
      </c>
      <c r="C12155" s="2" t="str">
        <f>""</f>
        <v/>
      </c>
      <c r="D12155" s="2" t="str">
        <f>""</f>
        <v/>
      </c>
      <c r="E12155" s="2" t="str">
        <f>""</f>
        <v/>
      </c>
      <c r="F12155" s="2" t="str">
        <f>""</f>
        <v/>
      </c>
      <c r="G12155" s="2" t="str">
        <f>"Serviços de Apoio / Central de Materiais Esterilizados / Relatórios / Listagens ()"</f>
        <v>Serviços de Apoio / Central de Materiais Esterilizados / Relatórios / Listagens ()</v>
      </c>
    </row>
    <row r="12156" spans="1:7" x14ac:dyDescent="0.3">
      <c r="A12156" s="1" t="s">
        <v>58</v>
      </c>
      <c r="B12156" s="2" t="str">
        <f>""</f>
        <v/>
      </c>
      <c r="C12156" s="2" t="str">
        <f>""</f>
        <v/>
      </c>
      <c r="D12156" s="2" t="str">
        <f>""</f>
        <v/>
      </c>
      <c r="E12156" s="2" t="str">
        <f>""</f>
        <v/>
      </c>
      <c r="F12156" s="2" t="str">
        <f>""</f>
        <v/>
      </c>
      <c r="G12156" s="2" t="str">
        <f>"Serviços de Apoio / Central de Materiais Esterilizados / Relatórios / Movimentações ()"</f>
        <v>Serviços de Apoio / Central de Materiais Esterilizados / Relatórios / Movimentações ()</v>
      </c>
    </row>
    <row r="12157" spans="1:7" x14ac:dyDescent="0.3">
      <c r="A12157" s="1" t="s">
        <v>58</v>
      </c>
      <c r="B12157" s="2" t="str">
        <f>""</f>
        <v/>
      </c>
      <c r="C12157" s="2" t="str">
        <f>""</f>
        <v/>
      </c>
      <c r="D12157" s="2" t="str">
        <f>""</f>
        <v/>
      </c>
      <c r="E12157" s="2" t="str">
        <f>""</f>
        <v/>
      </c>
      <c r="F12157" s="2" t="str">
        <f>""</f>
        <v/>
      </c>
      <c r="G12157" s="2" t="str">
        <f>"Serviços de Apoio / Central de Materiais Esterilizados / Relatórios / Gerencial ()"</f>
        <v>Serviços de Apoio / Central de Materiais Esterilizados / Relatórios / Gerencial ()</v>
      </c>
    </row>
    <row r="12158" spans="1:7" x14ac:dyDescent="0.3">
      <c r="A12158" s="1" t="s">
        <v>58</v>
      </c>
      <c r="B12158" s="2" t="str">
        <f>""</f>
        <v/>
      </c>
      <c r="C12158" s="2" t="str">
        <f>""</f>
        <v/>
      </c>
      <c r="D12158" s="2" t="str">
        <f>""</f>
        <v/>
      </c>
      <c r="E12158" s="2" t="str">
        <f>""</f>
        <v/>
      </c>
      <c r="F12158" s="2" t="str">
        <f>""</f>
        <v/>
      </c>
      <c r="G12158" s="2" t="str">
        <f>"Materiais e Logística / Compras ()"</f>
        <v>Materiais e Logística / Compras ()</v>
      </c>
    </row>
    <row r="12159" spans="1:7" x14ac:dyDescent="0.3">
      <c r="A12159" s="1" t="s">
        <v>58</v>
      </c>
      <c r="B12159" s="2" t="str">
        <f>""</f>
        <v/>
      </c>
      <c r="C12159" s="2" t="str">
        <f>""</f>
        <v/>
      </c>
      <c r="D12159" s="2" t="str">
        <f>""</f>
        <v/>
      </c>
      <c r="E12159" s="2" t="str">
        <f>""</f>
        <v/>
      </c>
      <c r="F12159" s="2" t="str">
        <f>""</f>
        <v/>
      </c>
      <c r="G12159" s="2" t="str">
        <f>"Materiais e Logística / Compras / Compras ()"</f>
        <v>Materiais e Logística / Compras / Compras ()</v>
      </c>
    </row>
    <row r="12160" spans="1:7" x14ac:dyDescent="0.3">
      <c r="A12160" s="1" t="s">
        <v>58</v>
      </c>
      <c r="B12160" s="2" t="str">
        <f>""</f>
        <v/>
      </c>
      <c r="C12160" s="2" t="str">
        <f>""</f>
        <v/>
      </c>
      <c r="D12160" s="2" t="str">
        <f>""</f>
        <v/>
      </c>
      <c r="E12160" s="2" t="str">
        <f>""</f>
        <v/>
      </c>
      <c r="F12160" s="2" t="str">
        <f>""</f>
        <v/>
      </c>
      <c r="G12160" s="2" t="str">
        <f>"Materiais e Logística / Compras / Tabelas ()"</f>
        <v>Materiais e Logística / Compras / Tabelas ()</v>
      </c>
    </row>
    <row r="12161" spans="1:7" x14ac:dyDescent="0.3">
      <c r="A12161" s="1" t="s">
        <v>58</v>
      </c>
      <c r="B12161" s="2" t="str">
        <f>""</f>
        <v/>
      </c>
      <c r="C12161" s="2" t="str">
        <f>""</f>
        <v/>
      </c>
      <c r="D12161" s="2" t="str">
        <f>""</f>
        <v/>
      </c>
      <c r="E12161" s="2" t="str">
        <f>""</f>
        <v/>
      </c>
      <c r="F12161" s="2" t="str">
        <f>""</f>
        <v/>
      </c>
      <c r="G12161" s="2" t="str">
        <f>"Materiais e Logística / Compras / Catálogo ()"</f>
        <v>Materiais e Logística / Compras / Catálogo ()</v>
      </c>
    </row>
    <row r="12162" spans="1:7" x14ac:dyDescent="0.3">
      <c r="A12162" s="1" t="s">
        <v>58</v>
      </c>
      <c r="B12162" s="2" t="str">
        <f>""</f>
        <v/>
      </c>
      <c r="C12162" s="2" t="str">
        <f>""</f>
        <v/>
      </c>
      <c r="D12162" s="2" t="str">
        <f>""</f>
        <v/>
      </c>
      <c r="E12162" s="2" t="str">
        <f>""</f>
        <v/>
      </c>
      <c r="F12162" s="2" t="str">
        <f>""</f>
        <v/>
      </c>
      <c r="G12162" s="2" t="str">
        <f>"Materiais e Logística / Compras / Consultas ()"</f>
        <v>Materiais e Logística / Compras / Consultas ()</v>
      </c>
    </row>
    <row r="12163" spans="1:7" x14ac:dyDescent="0.3">
      <c r="A12163" s="1" t="s">
        <v>58</v>
      </c>
      <c r="B12163" s="2" t="str">
        <f>""</f>
        <v/>
      </c>
      <c r="C12163" s="2" t="str">
        <f>""</f>
        <v/>
      </c>
      <c r="D12163" s="2" t="str">
        <f>""</f>
        <v/>
      </c>
      <c r="E12163" s="2" t="str">
        <f>""</f>
        <v/>
      </c>
      <c r="F12163" s="2" t="str">
        <f>""</f>
        <v/>
      </c>
      <c r="G12163" s="2" t="str">
        <f>"Materiais e Logística / Compras / Configuração ()"</f>
        <v>Materiais e Logística / Compras / Configuração ()</v>
      </c>
    </row>
    <row r="12164" spans="1:7" x14ac:dyDescent="0.3">
      <c r="A12164" s="1" t="s">
        <v>58</v>
      </c>
      <c r="B12164" s="2" t="str">
        <f>""</f>
        <v/>
      </c>
      <c r="C12164" s="2" t="str">
        <f>""</f>
        <v/>
      </c>
      <c r="D12164" s="2" t="str">
        <f>""</f>
        <v/>
      </c>
      <c r="E12164" s="2" t="str">
        <f>""</f>
        <v/>
      </c>
      <c r="F12164" s="2" t="str">
        <f>""</f>
        <v/>
      </c>
      <c r="G12164" s="2" t="str">
        <f>"Materiais e Logística / Compras / Integração ()"</f>
        <v>Materiais e Logística / Compras / Integração ()</v>
      </c>
    </row>
    <row r="12165" spans="1:7" x14ac:dyDescent="0.3">
      <c r="A12165" s="1" t="s">
        <v>58</v>
      </c>
      <c r="B12165" s="2" t="str">
        <f>""</f>
        <v/>
      </c>
      <c r="C12165" s="2" t="str">
        <f>""</f>
        <v/>
      </c>
      <c r="D12165" s="2" t="str">
        <f>""</f>
        <v/>
      </c>
      <c r="E12165" s="2" t="str">
        <f>""</f>
        <v/>
      </c>
      <c r="F12165" s="2" t="str">
        <f>""</f>
        <v/>
      </c>
      <c r="G12165" s="2" t="str">
        <f>"Materiais e Logística / Compras / Importação ()"</f>
        <v>Materiais e Logística / Compras / Importação ()</v>
      </c>
    </row>
    <row r="12166" spans="1:7" x14ac:dyDescent="0.3">
      <c r="A12166" s="1" t="s">
        <v>58</v>
      </c>
      <c r="B12166" s="2" t="str">
        <f>""</f>
        <v/>
      </c>
      <c r="C12166" s="2" t="str">
        <f>""</f>
        <v/>
      </c>
      <c r="D12166" s="2" t="str">
        <f>""</f>
        <v/>
      </c>
      <c r="E12166" s="2" t="str">
        <f>""</f>
        <v/>
      </c>
      <c r="F12166" s="2" t="str">
        <f>""</f>
        <v/>
      </c>
      <c r="G12166" s="2" t="str">
        <f>"Materiais e Logística / Compras / Relatórios ()"</f>
        <v>Materiais e Logística / Compras / Relatórios ()</v>
      </c>
    </row>
    <row r="12167" spans="1:7" x14ac:dyDescent="0.3">
      <c r="A12167" s="1" t="s">
        <v>58</v>
      </c>
      <c r="B12167" s="2" t="str">
        <f>""</f>
        <v/>
      </c>
      <c r="C12167" s="2" t="str">
        <f>""</f>
        <v/>
      </c>
      <c r="D12167" s="2" t="str">
        <f>""</f>
        <v/>
      </c>
      <c r="E12167" s="2" t="str">
        <f>""</f>
        <v/>
      </c>
      <c r="F12167" s="2" t="str">
        <f>""</f>
        <v/>
      </c>
      <c r="G12167" s="2" t="str">
        <f>"Serviços de Apoio / Central de Materiais Esterilizados / Movimentações ()"</f>
        <v>Serviços de Apoio / Central de Materiais Esterilizados / Movimentações ()</v>
      </c>
    </row>
    <row r="12168" spans="1:7" x14ac:dyDescent="0.3">
      <c r="A12168" s="1" t="s">
        <v>58</v>
      </c>
      <c r="B12168" s="2" t="str">
        <f>""</f>
        <v/>
      </c>
      <c r="C12168" s="2" t="str">
        <f>""</f>
        <v/>
      </c>
      <c r="D12168" s="2" t="str">
        <f>""</f>
        <v/>
      </c>
      <c r="E12168" s="2" t="str">
        <f>""</f>
        <v/>
      </c>
      <c r="F12168" s="2" t="str">
        <f>""</f>
        <v/>
      </c>
      <c r="G12168" s="2" t="str">
        <f>"Serviços de Apoio / Central de Materiais Esterilizados / Movimentações / Arsenal ()"</f>
        <v>Serviços de Apoio / Central de Materiais Esterilizados / Movimentações / Arsenal ()</v>
      </c>
    </row>
    <row r="12169" spans="1:7" x14ac:dyDescent="0.3">
      <c r="A12169" s="1" t="s">
        <v>58</v>
      </c>
      <c r="B12169" s="2" t="str">
        <f>""</f>
        <v/>
      </c>
      <c r="C12169" s="2" t="str">
        <f>""</f>
        <v/>
      </c>
      <c r="D12169" s="2" t="str">
        <f>""</f>
        <v/>
      </c>
      <c r="E12169" s="2" t="str">
        <f>""</f>
        <v/>
      </c>
      <c r="F12169" s="2" t="str">
        <f>""</f>
        <v/>
      </c>
      <c r="G12169" s="2" t="str">
        <f>"Materiais e Logística / Compras / Tabelas / Certificação ISO ()"</f>
        <v>Materiais e Logística / Compras / Tabelas / Certificação ISO ()</v>
      </c>
    </row>
    <row r="12170" spans="1:7" x14ac:dyDescent="0.3">
      <c r="A12170" s="1" t="s">
        <v>58</v>
      </c>
      <c r="B12170" s="2" t="str">
        <f>""</f>
        <v/>
      </c>
      <c r="C12170" s="2" t="str">
        <f>""</f>
        <v/>
      </c>
      <c r="D12170" s="2" t="str">
        <f>""</f>
        <v/>
      </c>
      <c r="E12170" s="2" t="str">
        <f>""</f>
        <v/>
      </c>
      <c r="F12170" s="2" t="str">
        <f>""</f>
        <v/>
      </c>
      <c r="G12170" s="2" t="str">
        <f>"Materiais e Logística / Compras / Tabelas / Licitação ()"</f>
        <v>Materiais e Logística / Compras / Tabelas / Licitação ()</v>
      </c>
    </row>
    <row r="12171" spans="1:7" x14ac:dyDescent="0.3">
      <c r="A12171" s="1" t="s">
        <v>58</v>
      </c>
      <c r="B12171" s="2" t="str">
        <f>""</f>
        <v/>
      </c>
      <c r="C12171" s="2" t="str">
        <f>""</f>
        <v/>
      </c>
      <c r="D12171" s="2" t="str">
        <f>""</f>
        <v/>
      </c>
      <c r="E12171" s="2" t="str">
        <f>""</f>
        <v/>
      </c>
      <c r="F12171" s="2" t="str">
        <f>""</f>
        <v/>
      </c>
      <c r="G12171" s="2" t="str">
        <f>"Materiais e Logística / Compras / Compras / Solicitação de Compras ()"</f>
        <v>Materiais e Logística / Compras / Compras / Solicitação de Compras ()</v>
      </c>
    </row>
    <row r="12172" spans="1:7" x14ac:dyDescent="0.3">
      <c r="A12172" s="1" t="s">
        <v>58</v>
      </c>
      <c r="B12172" s="2" t="str">
        <f>""</f>
        <v/>
      </c>
      <c r="C12172" s="2" t="str">
        <f>""</f>
        <v/>
      </c>
      <c r="D12172" s="2" t="str">
        <f>""</f>
        <v/>
      </c>
      <c r="E12172" s="2" t="str">
        <f>""</f>
        <v/>
      </c>
      <c r="F12172" s="2" t="str">
        <f>""</f>
        <v/>
      </c>
      <c r="G12172" s="2" t="str">
        <f>"Materiais e Logística / Compras / Compras / Coleta de Preços (Licitação) ()"</f>
        <v>Materiais e Logística / Compras / Compras / Coleta de Preços (Licitação) ()</v>
      </c>
    </row>
    <row r="12173" spans="1:7" x14ac:dyDescent="0.3">
      <c r="A12173" s="1" t="s">
        <v>58</v>
      </c>
      <c r="B12173" s="2" t="str">
        <f>""</f>
        <v/>
      </c>
      <c r="C12173" s="2" t="str">
        <f>""</f>
        <v/>
      </c>
      <c r="D12173" s="2" t="str">
        <f>""</f>
        <v/>
      </c>
      <c r="E12173" s="2" t="str">
        <f>""</f>
        <v/>
      </c>
      <c r="F12173" s="2" t="str">
        <f>""</f>
        <v/>
      </c>
      <c r="G12173" s="2" t="str">
        <f>"Materiais e Logística / Compras / Compras / Ordem de Compra ()"</f>
        <v>Materiais e Logística / Compras / Compras / Ordem de Compra ()</v>
      </c>
    </row>
    <row r="12174" spans="1:7" x14ac:dyDescent="0.3">
      <c r="A12174" s="1" t="s">
        <v>58</v>
      </c>
      <c r="B12174" s="2" t="str">
        <f>""</f>
        <v/>
      </c>
      <c r="C12174" s="2" t="str">
        <f>""</f>
        <v/>
      </c>
      <c r="D12174" s="2" t="str">
        <f>""</f>
        <v/>
      </c>
      <c r="E12174" s="2" t="str">
        <f>""</f>
        <v/>
      </c>
      <c r="F12174" s="2" t="str">
        <f>""</f>
        <v/>
      </c>
      <c r="G12174" s="2" t="str">
        <f>"Materiais e Logística / Compras / Compras / Contratos ()"</f>
        <v>Materiais e Logística / Compras / Compras / Contratos ()</v>
      </c>
    </row>
    <row r="12175" spans="1:7" x14ac:dyDescent="0.3">
      <c r="A12175" s="1" t="s">
        <v>58</v>
      </c>
      <c r="B12175" s="2" t="str">
        <f>""</f>
        <v/>
      </c>
      <c r="C12175" s="2" t="str">
        <f>""</f>
        <v/>
      </c>
      <c r="D12175" s="2" t="str">
        <f>""</f>
        <v/>
      </c>
      <c r="E12175" s="2" t="str">
        <f>""</f>
        <v/>
      </c>
      <c r="F12175" s="2" t="str">
        <f>""</f>
        <v/>
      </c>
      <c r="G12175" s="2" t="str">
        <f>"Materiais e Logística / Compras / Personalizados ()"</f>
        <v>Materiais e Logística / Compras / Personalizados ()</v>
      </c>
    </row>
    <row r="12176" spans="1:7" x14ac:dyDescent="0.3">
      <c r="A12176" s="1" t="s">
        <v>58</v>
      </c>
      <c r="B12176" s="2" t="str">
        <f>""</f>
        <v/>
      </c>
      <c r="C12176" s="2" t="str">
        <f>""</f>
        <v/>
      </c>
      <c r="D12176" s="2" t="str">
        <f>""</f>
        <v/>
      </c>
      <c r="E12176" s="2" t="str">
        <f>""</f>
        <v/>
      </c>
      <c r="F12176" s="2" t="str">
        <f>""</f>
        <v/>
      </c>
      <c r="G12176" s="2" t="str">
        <f>"Materiais e Logística / Compras / Relatórios / Tabelas ()"</f>
        <v>Materiais e Logística / Compras / Relatórios / Tabelas ()</v>
      </c>
    </row>
    <row r="12177" spans="1:7" x14ac:dyDescent="0.3">
      <c r="A12177" s="1" t="s">
        <v>58</v>
      </c>
      <c r="B12177" s="2" t="str">
        <f>""</f>
        <v/>
      </c>
      <c r="C12177" s="2" t="str">
        <f>""</f>
        <v/>
      </c>
      <c r="D12177" s="2" t="str">
        <f>""</f>
        <v/>
      </c>
      <c r="E12177" s="2" t="str">
        <f>""</f>
        <v/>
      </c>
      <c r="F12177" s="2" t="str">
        <f>""</f>
        <v/>
      </c>
      <c r="G12177" s="2" t="str">
        <f>"Materiais e Logística / Compras / Relatórios / Catálogo ()"</f>
        <v>Materiais e Logística / Compras / Relatórios / Catálogo ()</v>
      </c>
    </row>
    <row r="12178" spans="1:7" x14ac:dyDescent="0.3">
      <c r="A12178" s="1" t="s">
        <v>58</v>
      </c>
      <c r="B12178" s="2" t="str">
        <f>""</f>
        <v/>
      </c>
      <c r="C12178" s="2" t="str">
        <f>""</f>
        <v/>
      </c>
      <c r="D12178" s="2" t="str">
        <f>""</f>
        <v/>
      </c>
      <c r="E12178" s="2" t="str">
        <f>""</f>
        <v/>
      </c>
      <c r="F12178" s="2" t="str">
        <f>""</f>
        <v/>
      </c>
      <c r="G12178" s="2" t="str">
        <f>"Materiais e Logística / Compras / Relatórios / Solicitações ()"</f>
        <v>Materiais e Logística / Compras / Relatórios / Solicitações ()</v>
      </c>
    </row>
    <row r="12179" spans="1:7" x14ac:dyDescent="0.3">
      <c r="A12179" s="1" t="s">
        <v>58</v>
      </c>
      <c r="B12179" s="2" t="str">
        <f>""</f>
        <v/>
      </c>
      <c r="C12179" s="2" t="str">
        <f>""</f>
        <v/>
      </c>
      <c r="D12179" s="2" t="str">
        <f>""</f>
        <v/>
      </c>
      <c r="E12179" s="2" t="str">
        <f>""</f>
        <v/>
      </c>
      <c r="F12179" s="2" t="str">
        <f>""</f>
        <v/>
      </c>
      <c r="G12179" s="2" t="str">
        <f>"Materiais e Logística / Compras / Relatórios / Coleta de Preços ()"</f>
        <v>Materiais e Logística / Compras / Relatórios / Coleta de Preços ()</v>
      </c>
    </row>
    <row r="12180" spans="1:7" x14ac:dyDescent="0.3">
      <c r="A12180" s="1" t="s">
        <v>58</v>
      </c>
      <c r="B12180" s="2" t="str">
        <f>""</f>
        <v/>
      </c>
      <c r="C12180" s="2" t="str">
        <f>""</f>
        <v/>
      </c>
      <c r="D12180" s="2" t="str">
        <f>""</f>
        <v/>
      </c>
      <c r="E12180" s="2" t="str">
        <f>""</f>
        <v/>
      </c>
      <c r="F12180" s="2" t="str">
        <f>""</f>
        <v/>
      </c>
      <c r="G12180" s="2" t="str">
        <f>"Materiais e Logística / Compras / Relatórios / Ordem de Compra ()"</f>
        <v>Materiais e Logística / Compras / Relatórios / Ordem de Compra ()</v>
      </c>
    </row>
    <row r="12181" spans="1:7" x14ac:dyDescent="0.3">
      <c r="A12181" s="1" t="s">
        <v>58</v>
      </c>
      <c r="B12181" s="2" t="str">
        <f>""</f>
        <v/>
      </c>
      <c r="C12181" s="2" t="str">
        <f>""</f>
        <v/>
      </c>
      <c r="D12181" s="2" t="str">
        <f>""</f>
        <v/>
      </c>
      <c r="E12181" s="2" t="str">
        <f>""</f>
        <v/>
      </c>
      <c r="F12181" s="2" t="str">
        <f>""</f>
        <v/>
      </c>
      <c r="G12181" s="2" t="str">
        <f>"Materiais e Logística / Compras / Relatórios / Operacionais ()"</f>
        <v>Materiais e Logística / Compras / Relatórios / Operacionais ()</v>
      </c>
    </row>
    <row r="12182" spans="1:7" x14ac:dyDescent="0.3">
      <c r="A12182" s="1" t="s">
        <v>58</v>
      </c>
      <c r="B12182" s="2" t="str">
        <f>""</f>
        <v/>
      </c>
      <c r="C12182" s="2" t="str">
        <f>""</f>
        <v/>
      </c>
      <c r="D12182" s="2" t="str">
        <f>""</f>
        <v/>
      </c>
      <c r="E12182" s="2" t="str">
        <f>""</f>
        <v/>
      </c>
      <c r="F12182" s="2" t="str">
        <f>""</f>
        <v/>
      </c>
      <c r="G12182" s="2" t="str">
        <f>"Materiais e Logística / Compras / Relatórios / Administrativos ()"</f>
        <v>Materiais e Logística / Compras / Relatórios / Administrativos ()</v>
      </c>
    </row>
    <row r="12183" spans="1:7" x14ac:dyDescent="0.3">
      <c r="A12183" s="1" t="s">
        <v>58</v>
      </c>
      <c r="B12183" s="2" t="str">
        <f>""</f>
        <v/>
      </c>
      <c r="C12183" s="2" t="str">
        <f>""</f>
        <v/>
      </c>
      <c r="D12183" s="2" t="str">
        <f>""</f>
        <v/>
      </c>
      <c r="E12183" s="2" t="str">
        <f>""</f>
        <v/>
      </c>
      <c r="F12183" s="2" t="str">
        <f>""</f>
        <v/>
      </c>
      <c r="G12183" s="2" t="str">
        <f>"Materiais e Logística / Compras / Relatórios / Gerenciais ()"</f>
        <v>Materiais e Logística / Compras / Relatórios / Gerenciais ()</v>
      </c>
    </row>
    <row r="12184" spans="1:7" x14ac:dyDescent="0.3">
      <c r="A12184" s="1" t="s">
        <v>58</v>
      </c>
      <c r="B12184" s="2" t="str">
        <f>""</f>
        <v/>
      </c>
      <c r="C12184" s="2" t="str">
        <f>""</f>
        <v/>
      </c>
      <c r="D12184" s="2" t="str">
        <f>""</f>
        <v/>
      </c>
      <c r="E12184" s="2" t="str">
        <f>""</f>
        <v/>
      </c>
      <c r="F12184" s="2" t="str">
        <f>""</f>
        <v/>
      </c>
      <c r="G12184" s="2" t="str">
        <f>"Materiais e Logística / Compras / Relatórios / Tabelas / Licitação ()"</f>
        <v>Materiais e Logística / Compras / Relatórios / Tabelas / Licitação ()</v>
      </c>
    </row>
    <row r="12185" spans="1:7" x14ac:dyDescent="0.3">
      <c r="A12185" s="1" t="s">
        <v>58</v>
      </c>
      <c r="B12185" s="2" t="str">
        <f>""</f>
        <v/>
      </c>
      <c r="C12185" s="2" t="str">
        <f>""</f>
        <v/>
      </c>
      <c r="D12185" s="2" t="str">
        <f>""</f>
        <v/>
      </c>
      <c r="E12185" s="2" t="str">
        <f>""</f>
        <v/>
      </c>
      <c r="F12185" s="2" t="str">
        <f>""</f>
        <v/>
      </c>
      <c r="G12185" s="2" t="str">
        <f>"Outros / Controle de Contribuinte Voluntário ()"</f>
        <v>Outros / Controle de Contribuinte Voluntário ()</v>
      </c>
    </row>
    <row r="12186" spans="1:7" x14ac:dyDescent="0.3">
      <c r="A12186" s="1" t="s">
        <v>58</v>
      </c>
      <c r="B12186" s="2" t="str">
        <f>""</f>
        <v/>
      </c>
      <c r="C12186" s="2" t="str">
        <f>""</f>
        <v/>
      </c>
      <c r="D12186" s="2" t="str">
        <f>""</f>
        <v/>
      </c>
      <c r="E12186" s="2" t="str">
        <f>""</f>
        <v/>
      </c>
      <c r="F12186" s="2" t="str">
        <f>""</f>
        <v/>
      </c>
      <c r="G12186" s="2" t="str">
        <f>"Outros / Controle de Contribuinte Voluntário / Agendamentos ()"</f>
        <v>Outros / Controle de Contribuinte Voluntário / Agendamentos ()</v>
      </c>
    </row>
    <row r="12187" spans="1:7" x14ac:dyDescent="0.3">
      <c r="A12187" s="1" t="s">
        <v>58</v>
      </c>
      <c r="B12187" s="2" t="str">
        <f>""</f>
        <v/>
      </c>
      <c r="C12187" s="2" t="str">
        <f>""</f>
        <v/>
      </c>
      <c r="D12187" s="2" t="str">
        <f>""</f>
        <v/>
      </c>
      <c r="E12187" s="2" t="str">
        <f>""</f>
        <v/>
      </c>
      <c r="F12187" s="2" t="str">
        <f>""</f>
        <v/>
      </c>
      <c r="G12187" s="2" t="str">
        <f>"Outros / Controle de Contribuinte Voluntário / Consultas ()"</f>
        <v>Outros / Controle de Contribuinte Voluntário / Consultas ()</v>
      </c>
    </row>
    <row r="12188" spans="1:7" x14ac:dyDescent="0.3">
      <c r="A12188" s="1" t="s">
        <v>58</v>
      </c>
      <c r="B12188" s="2" t="str">
        <f>""</f>
        <v/>
      </c>
      <c r="C12188" s="2" t="str">
        <f>""</f>
        <v/>
      </c>
      <c r="D12188" s="2" t="str">
        <f>""</f>
        <v/>
      </c>
      <c r="E12188" s="2" t="str">
        <f>""</f>
        <v/>
      </c>
      <c r="F12188" s="2" t="str">
        <f>""</f>
        <v/>
      </c>
      <c r="G12188" s="2" t="str">
        <f>"Outros / Controle de Contribuinte Voluntário / Configurações ()"</f>
        <v>Outros / Controle de Contribuinte Voluntário / Configurações ()</v>
      </c>
    </row>
    <row r="12189" spans="1:7" x14ac:dyDescent="0.3">
      <c r="A12189" s="1" t="s">
        <v>58</v>
      </c>
      <c r="B12189" s="2" t="str">
        <f>""</f>
        <v/>
      </c>
      <c r="C12189" s="2" t="str">
        <f>""</f>
        <v/>
      </c>
      <c r="D12189" s="2" t="str">
        <f>""</f>
        <v/>
      </c>
      <c r="E12189" s="2" t="str">
        <f>""</f>
        <v/>
      </c>
      <c r="F12189" s="2" t="str">
        <f>""</f>
        <v/>
      </c>
      <c r="G12189" s="2" t="str">
        <f>"Outros / Controle de Contribuinte Voluntário / Tabelas ()"</f>
        <v>Outros / Controle de Contribuinte Voluntário / Tabelas ()</v>
      </c>
    </row>
    <row r="12190" spans="1:7" x14ac:dyDescent="0.3">
      <c r="A12190" s="1" t="s">
        <v>58</v>
      </c>
      <c r="B12190" s="2" t="str">
        <f>""</f>
        <v/>
      </c>
      <c r="C12190" s="2" t="str">
        <f>""</f>
        <v/>
      </c>
      <c r="D12190" s="2" t="str">
        <f>""</f>
        <v/>
      </c>
      <c r="E12190" s="2" t="str">
        <f>""</f>
        <v/>
      </c>
      <c r="F12190" s="2" t="str">
        <f>""</f>
        <v/>
      </c>
      <c r="G12190" s="2" t="str">
        <f>"Outros / Controle de Contribuinte Voluntário / Relatórios ()"</f>
        <v>Outros / Controle de Contribuinte Voluntário / Relatórios ()</v>
      </c>
    </row>
    <row r="12191" spans="1:7" x14ac:dyDescent="0.3">
      <c r="A12191" s="1" t="s">
        <v>58</v>
      </c>
      <c r="B12191" s="2" t="str">
        <f>""</f>
        <v/>
      </c>
      <c r="C12191" s="2" t="str">
        <f>""</f>
        <v/>
      </c>
      <c r="D12191" s="2" t="str">
        <f>""</f>
        <v/>
      </c>
      <c r="E12191" s="2" t="str">
        <f>""</f>
        <v/>
      </c>
      <c r="F12191" s="2" t="str">
        <f>""</f>
        <v/>
      </c>
      <c r="G12191" s="2" t="str">
        <f>"Outros / Controle de Contribuinte Voluntário / Consultas / Agendamentos ()"</f>
        <v>Outros / Controle de Contribuinte Voluntário / Consultas / Agendamentos ()</v>
      </c>
    </row>
    <row r="12192" spans="1:7" x14ac:dyDescent="0.3">
      <c r="A12192" s="1" t="s">
        <v>58</v>
      </c>
      <c r="B12192" s="2" t="str">
        <f>""</f>
        <v/>
      </c>
      <c r="C12192" s="2" t="str">
        <f>""</f>
        <v/>
      </c>
      <c r="D12192" s="2" t="str">
        <f>""</f>
        <v/>
      </c>
      <c r="E12192" s="2" t="str">
        <f>""</f>
        <v/>
      </c>
      <c r="F12192" s="2" t="str">
        <f>""</f>
        <v/>
      </c>
      <c r="G12192" s="2" t="str">
        <f>"Outros / Controle de Contribuinte Voluntário / Consultas / Ordens de Serviço ()"</f>
        <v>Outros / Controle de Contribuinte Voluntário / Consultas / Ordens de Serviço ()</v>
      </c>
    </row>
    <row r="12193" spans="1:7" x14ac:dyDescent="0.3">
      <c r="A12193" s="1" t="s">
        <v>58</v>
      </c>
      <c r="B12193" s="2" t="str">
        <f>""</f>
        <v/>
      </c>
      <c r="C12193" s="2" t="str">
        <f>""</f>
        <v/>
      </c>
      <c r="D12193" s="2" t="str">
        <f>""</f>
        <v/>
      </c>
      <c r="E12193" s="2" t="str">
        <f>""</f>
        <v/>
      </c>
      <c r="F12193" s="2" t="str">
        <f>""</f>
        <v/>
      </c>
      <c r="G12193" s="2" t="str">
        <f>"Outros / Controle de Contribuinte Voluntário / Consultas / Procedimentos CBHPM ()"</f>
        <v>Outros / Controle de Contribuinte Voluntário / Consultas / Procedimentos CBHPM ()</v>
      </c>
    </row>
    <row r="12194" spans="1:7" x14ac:dyDescent="0.3">
      <c r="A12194" s="1" t="s">
        <v>58</v>
      </c>
      <c r="B12194" s="2" t="str">
        <f>""</f>
        <v/>
      </c>
      <c r="C12194" s="2" t="str">
        <f>""</f>
        <v/>
      </c>
      <c r="D12194" s="2" t="str">
        <f>""</f>
        <v/>
      </c>
      <c r="E12194" s="2" t="str">
        <f>""</f>
        <v/>
      </c>
      <c r="F12194" s="2" t="str">
        <f>""</f>
        <v/>
      </c>
      <c r="G12194" s="2" t="str">
        <f>"Outros / Controle de Contribuinte Voluntário / Consultas / Consulta de Evoluções Administrativas ()"</f>
        <v>Outros / Controle de Contribuinte Voluntário / Consultas / Consulta de Evoluções Administrativas ()</v>
      </c>
    </row>
    <row r="12195" spans="1:7" x14ac:dyDescent="0.3">
      <c r="A12195" s="1" t="s">
        <v>58</v>
      </c>
      <c r="B12195" s="2" t="str">
        <f>""</f>
        <v/>
      </c>
      <c r="C12195" s="2" t="str">
        <f>""</f>
        <v/>
      </c>
      <c r="D12195" s="2" t="str">
        <f>""</f>
        <v/>
      </c>
      <c r="E12195" s="2" t="str">
        <f>""</f>
        <v/>
      </c>
      <c r="F12195" s="2" t="str">
        <f>""</f>
        <v/>
      </c>
      <c r="G12195" s="2" t="str">
        <f>"Outros / Controle de Contribuinte Voluntário / Tabelas / Prestadores ()"</f>
        <v>Outros / Controle de Contribuinte Voluntário / Tabelas / Prestadores ()</v>
      </c>
    </row>
    <row r="12196" spans="1:7" x14ac:dyDescent="0.3">
      <c r="A12196" s="1" t="s">
        <v>58</v>
      </c>
      <c r="B12196" s="2" t="str">
        <f>""</f>
        <v/>
      </c>
      <c r="C12196" s="2" t="str">
        <f>""</f>
        <v/>
      </c>
      <c r="D12196" s="2" t="str">
        <f>""</f>
        <v/>
      </c>
      <c r="E12196" s="2" t="str">
        <f>""</f>
        <v/>
      </c>
      <c r="F12196" s="2" t="str">
        <f>""</f>
        <v/>
      </c>
      <c r="G12196" s="2" t="str">
        <f>"Outros / Controle de Contribuinte Voluntário / Tabelas / Pacientes ()"</f>
        <v>Outros / Controle de Contribuinte Voluntário / Tabelas / Pacientes ()</v>
      </c>
    </row>
    <row r="12197" spans="1:7" x14ac:dyDescent="0.3">
      <c r="A12197" s="1" t="s">
        <v>58</v>
      </c>
      <c r="B12197" s="2" t="str">
        <f>""</f>
        <v/>
      </c>
      <c r="C12197" s="2" t="str">
        <f>""</f>
        <v/>
      </c>
      <c r="D12197" s="2" t="str">
        <f>""</f>
        <v/>
      </c>
      <c r="E12197" s="2" t="str">
        <f>""</f>
        <v/>
      </c>
      <c r="F12197" s="2" t="str">
        <f>""</f>
        <v/>
      </c>
      <c r="G12197" s="2" t="str">
        <f>"Outros / Controle de Contribuinte Voluntário / Configurações / Mudança de Senha ()"</f>
        <v>Outros / Controle de Contribuinte Voluntário / Configurações / Mudança de Senha ()</v>
      </c>
    </row>
    <row r="12198" spans="1:7" x14ac:dyDescent="0.3">
      <c r="A12198" s="1" t="s">
        <v>58</v>
      </c>
      <c r="B12198" s="2" t="str">
        <f>""</f>
        <v/>
      </c>
      <c r="C12198" s="2" t="str">
        <f>""</f>
        <v/>
      </c>
      <c r="D12198" s="2" t="str">
        <f>""</f>
        <v/>
      </c>
      <c r="E12198" s="2" t="str">
        <f>""</f>
        <v/>
      </c>
      <c r="F12198" s="2" t="str">
        <f>""</f>
        <v/>
      </c>
      <c r="G12198" s="2" t="str">
        <f>"Outros / Controle de Contribuinte Voluntário / Relatórios / Personalisados ()"</f>
        <v>Outros / Controle de Contribuinte Voluntário / Relatórios / Personalisados ()</v>
      </c>
    </row>
    <row r="12199" spans="1:7" x14ac:dyDescent="0.3">
      <c r="A12199" s="1" t="s">
        <v>58</v>
      </c>
      <c r="B12199" s="2" t="str">
        <f>""</f>
        <v/>
      </c>
      <c r="C12199" s="2" t="str">
        <f>""</f>
        <v/>
      </c>
      <c r="D12199" s="2" t="str">
        <f>""</f>
        <v/>
      </c>
      <c r="E12199" s="2" t="str">
        <f>""</f>
        <v/>
      </c>
      <c r="F12199" s="2" t="str">
        <f>""</f>
        <v/>
      </c>
      <c r="G12199" s="2" t="str">
        <f>"Outros / Controle de Contribuinte Voluntário / Relatórios / Operacionais ()"</f>
        <v>Outros / Controle de Contribuinte Voluntário / Relatórios / Operacionais ()</v>
      </c>
    </row>
    <row r="12200" spans="1:7" x14ac:dyDescent="0.3">
      <c r="A12200" s="1" t="s">
        <v>58</v>
      </c>
      <c r="B12200" s="2" t="str">
        <f>""</f>
        <v/>
      </c>
      <c r="C12200" s="2" t="str">
        <f>""</f>
        <v/>
      </c>
      <c r="D12200" s="2" t="str">
        <f>""</f>
        <v/>
      </c>
      <c r="E12200" s="2" t="str">
        <f>""</f>
        <v/>
      </c>
      <c r="F12200" s="2" t="str">
        <f>""</f>
        <v/>
      </c>
      <c r="G12200" s="2" t="str">
        <f>"Outros / Controle de Contribuinte Voluntário / Relatórios / Operacionais / Repasse por Médico ()"</f>
        <v>Outros / Controle de Contribuinte Voluntário / Relatórios / Operacionais / Repasse por Médico ()</v>
      </c>
    </row>
    <row r="12201" spans="1:7" x14ac:dyDescent="0.3">
      <c r="A12201" s="1" t="s">
        <v>58</v>
      </c>
      <c r="B12201" s="2" t="str">
        <f>""</f>
        <v/>
      </c>
      <c r="C12201" s="2" t="str">
        <f>""</f>
        <v/>
      </c>
      <c r="D12201" s="2" t="str">
        <f>""</f>
        <v/>
      </c>
      <c r="E12201" s="2" t="str">
        <f>""</f>
        <v/>
      </c>
      <c r="F12201" s="2" t="str">
        <f>""</f>
        <v/>
      </c>
      <c r="G12201" s="2" t="str">
        <f>"Atendimento / Central de Agendamento ()"</f>
        <v>Atendimento / Central de Agendamento ()</v>
      </c>
    </row>
    <row r="12202" spans="1:7" x14ac:dyDescent="0.3">
      <c r="A12202" s="1" t="s">
        <v>58</v>
      </c>
      <c r="B12202" s="2" t="str">
        <f>""</f>
        <v/>
      </c>
      <c r="C12202" s="2" t="str">
        <f>""</f>
        <v/>
      </c>
      <c r="D12202" s="2" t="str">
        <f>""</f>
        <v/>
      </c>
      <c r="E12202" s="2" t="str">
        <f>""</f>
        <v/>
      </c>
      <c r="F12202" s="2" t="str">
        <f>""</f>
        <v/>
      </c>
      <c r="G12202" s="2" t="str">
        <f>"Atendimento / Central de Agendamento / Atendimentos ()"</f>
        <v>Atendimento / Central de Agendamento / Atendimentos ()</v>
      </c>
    </row>
    <row r="12203" spans="1:7" x14ac:dyDescent="0.3">
      <c r="A12203" s="1" t="s">
        <v>58</v>
      </c>
      <c r="B12203" s="2" t="str">
        <f>""</f>
        <v/>
      </c>
      <c r="C12203" s="2" t="str">
        <f>""</f>
        <v/>
      </c>
      <c r="D12203" s="2" t="str">
        <f>""</f>
        <v/>
      </c>
      <c r="E12203" s="2" t="str">
        <f>""</f>
        <v/>
      </c>
      <c r="F12203" s="2" t="str">
        <f>""</f>
        <v/>
      </c>
      <c r="G12203" s="2" t="str">
        <f>"Atendimento / Central de Agendamento / Agendamentos ()"</f>
        <v>Atendimento / Central de Agendamento / Agendamentos ()</v>
      </c>
    </row>
    <row r="12204" spans="1:7" x14ac:dyDescent="0.3">
      <c r="A12204" s="1" t="s">
        <v>58</v>
      </c>
      <c r="B12204" s="2" t="str">
        <f>""</f>
        <v/>
      </c>
      <c r="C12204" s="2" t="str">
        <f>""</f>
        <v/>
      </c>
      <c r="D12204" s="2" t="str">
        <f>""</f>
        <v/>
      </c>
      <c r="E12204" s="2" t="str">
        <f>""</f>
        <v/>
      </c>
      <c r="F12204" s="2" t="str">
        <f>""</f>
        <v/>
      </c>
      <c r="G12204" s="2" t="str">
        <f>"Atendimento / Central de Agendamento / Tabelas ()"</f>
        <v>Atendimento / Central de Agendamento / Tabelas ()</v>
      </c>
    </row>
    <row r="12205" spans="1:7" x14ac:dyDescent="0.3">
      <c r="A12205" s="1" t="s">
        <v>58</v>
      </c>
      <c r="B12205" s="2" t="str">
        <f>""</f>
        <v/>
      </c>
      <c r="C12205" s="2" t="str">
        <f>""</f>
        <v/>
      </c>
      <c r="D12205" s="2" t="str">
        <f>""</f>
        <v/>
      </c>
      <c r="E12205" s="2" t="str">
        <f>""</f>
        <v/>
      </c>
      <c r="F12205" s="2" t="str">
        <f>""</f>
        <v/>
      </c>
      <c r="G12205" s="2" t="str">
        <f>"Atendimento / Central de Agendamento / Consultas ()"</f>
        <v>Atendimento / Central de Agendamento / Consultas ()</v>
      </c>
    </row>
    <row r="12206" spans="1:7" x14ac:dyDescent="0.3">
      <c r="A12206" s="1" t="s">
        <v>58</v>
      </c>
      <c r="B12206" s="2" t="str">
        <f>""</f>
        <v/>
      </c>
      <c r="C12206" s="2" t="str">
        <f>""</f>
        <v/>
      </c>
      <c r="D12206" s="2" t="str">
        <f>""</f>
        <v/>
      </c>
      <c r="E12206" s="2" t="str">
        <f>""</f>
        <v/>
      </c>
      <c r="F12206" s="2" t="str">
        <f>""</f>
        <v/>
      </c>
      <c r="G12206" s="2" t="str">
        <f>"Atendimento / Central de Agendamento / Configurações ()"</f>
        <v>Atendimento / Central de Agendamento / Configurações ()</v>
      </c>
    </row>
    <row r="12207" spans="1:7" x14ac:dyDescent="0.3">
      <c r="A12207" s="1" t="s">
        <v>58</v>
      </c>
      <c r="B12207" s="2" t="str">
        <f>""</f>
        <v/>
      </c>
      <c r="C12207" s="2" t="str">
        <f>""</f>
        <v/>
      </c>
      <c r="D12207" s="2" t="str">
        <f>""</f>
        <v/>
      </c>
      <c r="E12207" s="2" t="str">
        <f>""</f>
        <v/>
      </c>
      <c r="F12207" s="2" t="str">
        <f>""</f>
        <v/>
      </c>
      <c r="G12207" s="2" t="str">
        <f>"Atendimento / Central de Agendamento / Relatórios ()"</f>
        <v>Atendimento / Central de Agendamento / Relatórios ()</v>
      </c>
    </row>
    <row r="12208" spans="1:7" x14ac:dyDescent="0.3">
      <c r="A12208" s="1" t="s">
        <v>58</v>
      </c>
      <c r="B12208" s="2" t="str">
        <f>""</f>
        <v/>
      </c>
      <c r="C12208" s="2" t="str">
        <f>""</f>
        <v/>
      </c>
      <c r="D12208" s="2" t="str">
        <f>""</f>
        <v/>
      </c>
      <c r="E12208" s="2" t="str">
        <f>""</f>
        <v/>
      </c>
      <c r="F12208" s="2" t="str">
        <f>""</f>
        <v/>
      </c>
      <c r="G12208" s="2" t="str">
        <f>"Atendimento / Central de Agendamento / Agendamentos / Manutenção de Escalas/Agendas ()"</f>
        <v>Atendimento / Central de Agendamento / Agendamentos / Manutenção de Escalas/Agendas ()</v>
      </c>
    </row>
    <row r="12209" spans="1:7" x14ac:dyDescent="0.3">
      <c r="A12209" s="1" t="s">
        <v>58</v>
      </c>
      <c r="B12209" s="2" t="str">
        <f>""</f>
        <v/>
      </c>
      <c r="C12209" s="2" t="str">
        <f>""</f>
        <v/>
      </c>
      <c r="D12209" s="2" t="str">
        <f>""</f>
        <v/>
      </c>
      <c r="E12209" s="2" t="str">
        <f>""</f>
        <v/>
      </c>
      <c r="F12209" s="2" t="str">
        <f>""</f>
        <v/>
      </c>
      <c r="G12209" s="2" t="str">
        <f>"Atendimento / Central de Agendamento / Relatórios / Tabelas ()"</f>
        <v>Atendimento / Central de Agendamento / Relatórios / Tabelas ()</v>
      </c>
    </row>
    <row r="12210" spans="1:7" x14ac:dyDescent="0.3">
      <c r="A12210" s="1" t="s">
        <v>58</v>
      </c>
      <c r="B12210" s="2" t="str">
        <f>""</f>
        <v/>
      </c>
      <c r="C12210" s="2" t="str">
        <f>""</f>
        <v/>
      </c>
      <c r="D12210" s="2" t="str">
        <f>""</f>
        <v/>
      </c>
      <c r="E12210" s="2" t="str">
        <f>""</f>
        <v/>
      </c>
      <c r="F12210" s="2" t="str">
        <f>""</f>
        <v/>
      </c>
      <c r="G12210" s="2" t="str">
        <f>"Atendimento / Central de Agendamento / Relatórios / Agendamentos ()"</f>
        <v>Atendimento / Central de Agendamento / Relatórios / Agendamentos ()</v>
      </c>
    </row>
    <row r="12211" spans="1:7" x14ac:dyDescent="0.3">
      <c r="A12211" s="1" t="s">
        <v>58</v>
      </c>
      <c r="B12211" s="2" t="str">
        <f>""</f>
        <v/>
      </c>
      <c r="C12211" s="2" t="str">
        <f>""</f>
        <v/>
      </c>
      <c r="D12211" s="2" t="str">
        <f>""</f>
        <v/>
      </c>
      <c r="E12211" s="2" t="str">
        <f>""</f>
        <v/>
      </c>
      <c r="F12211" s="2" t="str">
        <f>""</f>
        <v/>
      </c>
      <c r="G12211" s="2" t="str">
        <f>"Atendimento / Central de Agendamento / Relatórios / Operacionais ()"</f>
        <v>Atendimento / Central de Agendamento / Relatórios / Operacionais ()</v>
      </c>
    </row>
    <row r="12212" spans="1:7" x14ac:dyDescent="0.3">
      <c r="A12212" s="1" t="s">
        <v>58</v>
      </c>
      <c r="B12212" s="2" t="str">
        <f>""</f>
        <v/>
      </c>
      <c r="C12212" s="2" t="str">
        <f>""</f>
        <v/>
      </c>
      <c r="D12212" s="2" t="str">
        <f>""</f>
        <v/>
      </c>
      <c r="E12212" s="2" t="str">
        <f>""</f>
        <v/>
      </c>
      <c r="F12212" s="2" t="str">
        <f>""</f>
        <v/>
      </c>
      <c r="G12212" s="2" t="str">
        <f>"Serviços de Apoio / Manutenção / Configuração ()"</f>
        <v>Serviços de Apoio / Manutenção / Configuração ()</v>
      </c>
    </row>
    <row r="12213" spans="1:7" x14ac:dyDescent="0.3">
      <c r="A12213" s="1" t="s">
        <v>58</v>
      </c>
      <c r="B12213" s="2" t="str">
        <f>""</f>
        <v/>
      </c>
      <c r="C12213" s="2" t="str">
        <f>""</f>
        <v/>
      </c>
      <c r="D12213" s="2" t="str">
        <f>""</f>
        <v/>
      </c>
      <c r="E12213" s="2" t="str">
        <f>""</f>
        <v/>
      </c>
      <c r="F12213" s="2" t="str">
        <f>""</f>
        <v/>
      </c>
      <c r="G12213" s="2" t="str">
        <f>"Serviços de Apoio / Manutenção / Solicitações ()"</f>
        <v>Serviços de Apoio / Manutenção / Solicitações ()</v>
      </c>
    </row>
    <row r="12214" spans="1:7" x14ac:dyDescent="0.3">
      <c r="A12214" s="1" t="s">
        <v>58</v>
      </c>
      <c r="B12214" s="2" t="str">
        <f>""</f>
        <v/>
      </c>
      <c r="C12214" s="2" t="str">
        <f>""</f>
        <v/>
      </c>
      <c r="D12214" s="2" t="str">
        <f>""</f>
        <v/>
      </c>
      <c r="E12214" s="2" t="str">
        <f>""</f>
        <v/>
      </c>
      <c r="F12214" s="2" t="str">
        <f>""</f>
        <v/>
      </c>
      <c r="G12214" s="2" t="str">
        <f>"Serviços de Apoio / Manutenção / Relatórios ()"</f>
        <v>Serviços de Apoio / Manutenção / Relatórios ()</v>
      </c>
    </row>
    <row r="12215" spans="1:7" x14ac:dyDescent="0.3">
      <c r="A12215" s="1" t="s">
        <v>58</v>
      </c>
      <c r="B12215" s="2" t="str">
        <f>""</f>
        <v/>
      </c>
      <c r="C12215" s="2" t="str">
        <f>""</f>
        <v/>
      </c>
      <c r="D12215" s="2" t="str">
        <f>""</f>
        <v/>
      </c>
      <c r="E12215" s="2" t="str">
        <f>""</f>
        <v/>
      </c>
      <c r="F12215" s="2" t="str">
        <f>""</f>
        <v/>
      </c>
      <c r="G12215" s="2" t="str">
        <f>"Serviços de Apoio / Manutenção / Personalizados ()"</f>
        <v>Serviços de Apoio / Manutenção / Personalizados ()</v>
      </c>
    </row>
    <row r="12216" spans="1:7" x14ac:dyDescent="0.3">
      <c r="A12216" s="1" t="s">
        <v>58</v>
      </c>
      <c r="B12216" s="2" t="str">
        <f>""</f>
        <v/>
      </c>
      <c r="C12216" s="2" t="str">
        <f>""</f>
        <v/>
      </c>
      <c r="D12216" s="2" t="str">
        <f>""</f>
        <v/>
      </c>
      <c r="E12216" s="2" t="str">
        <f>""</f>
        <v/>
      </c>
      <c r="F12216" s="2" t="str">
        <f>""</f>
        <v/>
      </c>
      <c r="G12216" s="2" t="str">
        <f>"Serviços de Apoio / Manutenção / Relatórios / Tabelas ()"</f>
        <v>Serviços de Apoio / Manutenção / Relatórios / Tabelas ()</v>
      </c>
    </row>
    <row r="12217" spans="1:7" x14ac:dyDescent="0.3">
      <c r="A12217" s="1" t="s">
        <v>58</v>
      </c>
      <c r="B12217" s="2" t="str">
        <f>""</f>
        <v/>
      </c>
      <c r="C12217" s="2" t="str">
        <f>""</f>
        <v/>
      </c>
      <c r="D12217" s="2" t="str">
        <f>""</f>
        <v/>
      </c>
      <c r="E12217" s="2" t="str">
        <f>""</f>
        <v/>
      </c>
      <c r="F12217" s="2" t="str">
        <f>""</f>
        <v/>
      </c>
      <c r="G12217" s="2" t="str">
        <f>"Serviços de Apoio / Manutenção / Relatórios / Ordem Servico ()"</f>
        <v>Serviços de Apoio / Manutenção / Relatórios / Ordem Servico ()</v>
      </c>
    </row>
    <row r="12218" spans="1:7" x14ac:dyDescent="0.3">
      <c r="A12218" s="1" t="s">
        <v>58</v>
      </c>
      <c r="B12218" s="2" t="str">
        <f>""</f>
        <v/>
      </c>
      <c r="C12218" s="2" t="str">
        <f>""</f>
        <v/>
      </c>
      <c r="D12218" s="2" t="str">
        <f>""</f>
        <v/>
      </c>
      <c r="E12218" s="2" t="str">
        <f>""</f>
        <v/>
      </c>
      <c r="F12218" s="2" t="str">
        <f>""</f>
        <v/>
      </c>
      <c r="G12218" s="2" t="str">
        <f>"Serviços de Apoio / Manutenção / Relatórios / Serviços ()"</f>
        <v>Serviços de Apoio / Manutenção / Relatórios / Serviços ()</v>
      </c>
    </row>
    <row r="12219" spans="1:7" x14ac:dyDescent="0.3">
      <c r="A12219" s="1" t="s">
        <v>58</v>
      </c>
      <c r="B12219" s="2" t="str">
        <f>""</f>
        <v/>
      </c>
      <c r="C12219" s="2" t="str">
        <f>""</f>
        <v/>
      </c>
      <c r="D12219" s="2" t="str">
        <f>""</f>
        <v/>
      </c>
      <c r="E12219" s="2" t="str">
        <f>""</f>
        <v/>
      </c>
      <c r="F12219" s="2" t="str">
        <f>""</f>
        <v/>
      </c>
      <c r="G12219" s="2" t="str">
        <f>"Serviços de Apoio / Manutenção / Relatórios / Gerenciais ()"</f>
        <v>Serviços de Apoio / Manutenção / Relatórios / Gerenciais ()</v>
      </c>
    </row>
    <row r="12220" spans="1:7" x14ac:dyDescent="0.3">
      <c r="A12220" s="1" t="s">
        <v>58</v>
      </c>
      <c r="B12220" s="2" t="str">
        <f>""</f>
        <v/>
      </c>
      <c r="C12220" s="2" t="str">
        <f>""</f>
        <v/>
      </c>
      <c r="D12220" s="2" t="str">
        <f>""</f>
        <v/>
      </c>
      <c r="E12220" s="2" t="str">
        <f>""</f>
        <v/>
      </c>
      <c r="F12220" s="2" t="str">
        <f>""</f>
        <v/>
      </c>
      <c r="G12220" s="2" t="str">
        <f>"Serviços de Apoio / Manutenção / Relatórios / Contratos de Manutenção ()"</f>
        <v>Serviços de Apoio / Manutenção / Relatórios / Contratos de Manutenção ()</v>
      </c>
    </row>
    <row r="12221" spans="1:7" x14ac:dyDescent="0.3">
      <c r="A12221" s="1" t="s">
        <v>58</v>
      </c>
      <c r="B12221" s="2" t="str">
        <f>""</f>
        <v/>
      </c>
      <c r="C12221" s="2" t="str">
        <f>""</f>
        <v/>
      </c>
      <c r="D12221" s="2" t="str">
        <f>""</f>
        <v/>
      </c>
      <c r="E12221" s="2" t="str">
        <f>""</f>
        <v/>
      </c>
      <c r="F12221" s="2" t="str">
        <f>""</f>
        <v/>
      </c>
      <c r="G12221" s="2" t="str">
        <f>"Serviços de Apoio / Manutenção / Consultas / Cotas ()"</f>
        <v>Serviços de Apoio / Manutenção / Consultas / Cotas ()</v>
      </c>
    </row>
    <row r="12222" spans="1:7" x14ac:dyDescent="0.3">
      <c r="A12222" s="1" t="s">
        <v>58</v>
      </c>
      <c r="B12222" s="2" t="str">
        <f>""</f>
        <v/>
      </c>
      <c r="C12222" s="2" t="str">
        <f>""</f>
        <v/>
      </c>
      <c r="D12222" s="2" t="str">
        <f>""</f>
        <v/>
      </c>
      <c r="E12222" s="2" t="str">
        <f>""</f>
        <v/>
      </c>
      <c r="F12222" s="2" t="str">
        <f>""</f>
        <v/>
      </c>
      <c r="G12222" s="2" t="str">
        <f>"Serviços de Apoio / Manutenção / Configuração / Mudança de Senha ()"</f>
        <v>Serviços de Apoio / Manutenção / Configuração / Mudança de Senha ()</v>
      </c>
    </row>
    <row r="12223" spans="1:7" x14ac:dyDescent="0.3">
      <c r="A12223" s="1" t="s">
        <v>58</v>
      </c>
      <c r="B12223" s="2" t="str">
        <f>""</f>
        <v/>
      </c>
      <c r="C12223" s="2" t="str">
        <f>""</f>
        <v/>
      </c>
      <c r="D12223" s="2" t="str">
        <f>""</f>
        <v/>
      </c>
      <c r="E12223" s="2" t="str">
        <f>""</f>
        <v/>
      </c>
      <c r="F12223" s="2" t="str">
        <f>""</f>
        <v/>
      </c>
      <c r="G12223" s="2" t="str">
        <f>"Materiais e Logística / Patrimônio / Depreciação ()"</f>
        <v>Materiais e Logística / Patrimônio / Depreciação ()</v>
      </c>
    </row>
    <row r="12224" spans="1:7" x14ac:dyDescent="0.3">
      <c r="A12224" s="1" t="s">
        <v>58</v>
      </c>
      <c r="B12224" s="2" t="str">
        <f>""</f>
        <v/>
      </c>
      <c r="C12224" s="2" t="str">
        <f>""</f>
        <v/>
      </c>
      <c r="D12224" s="2" t="str">
        <f>""</f>
        <v/>
      </c>
      <c r="E12224" s="2" t="str">
        <f>""</f>
        <v/>
      </c>
      <c r="F12224" s="2" t="str">
        <f>""</f>
        <v/>
      </c>
      <c r="G12224" s="2" t="str">
        <f>"Materiais e Logística / Patrimônio / Inventário ()"</f>
        <v>Materiais e Logística / Patrimônio / Inventário ()</v>
      </c>
    </row>
    <row r="12225" spans="1:7" x14ac:dyDescent="0.3">
      <c r="A12225" s="1" t="s">
        <v>58</v>
      </c>
      <c r="B12225" s="2" t="str">
        <f>""</f>
        <v/>
      </c>
      <c r="C12225" s="2" t="str">
        <f>""</f>
        <v/>
      </c>
      <c r="D12225" s="2" t="str">
        <f>""</f>
        <v/>
      </c>
      <c r="E12225" s="2" t="str">
        <f>""</f>
        <v/>
      </c>
      <c r="F12225" s="2" t="str">
        <f>""</f>
        <v/>
      </c>
      <c r="G12225" s="2" t="str">
        <f>"Materiais e Logística / Patrimônio / Solicitações ()"</f>
        <v>Materiais e Logística / Patrimônio / Solicitações ()</v>
      </c>
    </row>
    <row r="12226" spans="1:7" x14ac:dyDescent="0.3">
      <c r="A12226" s="1" t="s">
        <v>58</v>
      </c>
      <c r="B12226" s="2" t="str">
        <f>""</f>
        <v/>
      </c>
      <c r="C12226" s="2" t="str">
        <f>""</f>
        <v/>
      </c>
      <c r="D12226" s="2" t="str">
        <f>""</f>
        <v/>
      </c>
      <c r="E12226" s="2" t="str">
        <f>""</f>
        <v/>
      </c>
      <c r="F12226" s="2" t="str">
        <f>""</f>
        <v/>
      </c>
      <c r="G12226" s="2" t="str">
        <f>"Materiais e Logística / Patrimônio / Tabelas ()"</f>
        <v>Materiais e Logística / Patrimônio / Tabelas ()</v>
      </c>
    </row>
    <row r="12227" spans="1:7" x14ac:dyDescent="0.3">
      <c r="A12227" s="1" t="s">
        <v>58</v>
      </c>
      <c r="B12227" s="2" t="str">
        <f>""</f>
        <v/>
      </c>
      <c r="C12227" s="2" t="str">
        <f>""</f>
        <v/>
      </c>
      <c r="D12227" s="2" t="str">
        <f>""</f>
        <v/>
      </c>
      <c r="E12227" s="2" t="str">
        <f>""</f>
        <v/>
      </c>
      <c r="F12227" s="2" t="str">
        <f>""</f>
        <v/>
      </c>
      <c r="G12227" s="2" t="str">
        <f>"Materiais e Logística / Patrimônio / Consultas ()"</f>
        <v>Materiais e Logística / Patrimônio / Consultas ()</v>
      </c>
    </row>
    <row r="12228" spans="1:7" x14ac:dyDescent="0.3">
      <c r="A12228" s="1" t="s">
        <v>58</v>
      </c>
      <c r="B12228" s="2" t="str">
        <f>""</f>
        <v/>
      </c>
      <c r="C12228" s="2" t="str">
        <f>""</f>
        <v/>
      </c>
      <c r="D12228" s="2" t="str">
        <f>""</f>
        <v/>
      </c>
      <c r="E12228" s="2" t="str">
        <f>""</f>
        <v/>
      </c>
      <c r="F12228" s="2" t="str">
        <f>""</f>
        <v/>
      </c>
      <c r="G12228" s="2" t="str">
        <f>"Materiais e Logística / Patrimônio / Configuração ()"</f>
        <v>Materiais e Logística / Patrimônio / Configuração ()</v>
      </c>
    </row>
    <row r="12229" spans="1:7" x14ac:dyDescent="0.3">
      <c r="A12229" s="1" t="s">
        <v>58</v>
      </c>
      <c r="B12229" s="2" t="str">
        <f>""</f>
        <v/>
      </c>
      <c r="C12229" s="2" t="str">
        <f>""</f>
        <v/>
      </c>
      <c r="D12229" s="2" t="str">
        <f>""</f>
        <v/>
      </c>
      <c r="E12229" s="2" t="str">
        <f>""</f>
        <v/>
      </c>
      <c r="F12229" s="2" t="str">
        <f>""</f>
        <v/>
      </c>
      <c r="G12229" s="2" t="str">
        <f>"Materiais e Logística / Patrimônio / Relatórios ()"</f>
        <v>Materiais e Logística / Patrimônio / Relatórios ()</v>
      </c>
    </row>
    <row r="12230" spans="1:7" x14ac:dyDescent="0.3">
      <c r="A12230" s="1" t="s">
        <v>58</v>
      </c>
      <c r="B12230" s="2" t="str">
        <f>""</f>
        <v/>
      </c>
      <c r="C12230" s="2" t="str">
        <f>""</f>
        <v/>
      </c>
      <c r="D12230" s="2" t="str">
        <f>""</f>
        <v/>
      </c>
      <c r="E12230" s="2" t="str">
        <f>""</f>
        <v/>
      </c>
      <c r="F12230" s="2" t="str">
        <f>""</f>
        <v/>
      </c>
      <c r="G12230" s="2" t="str">
        <f>"Materiais e Logística / Patrimônio / Relatórios / Tabelas ()"</f>
        <v>Materiais e Logística / Patrimônio / Relatórios / Tabelas ()</v>
      </c>
    </row>
    <row r="12231" spans="1:7" x14ac:dyDescent="0.3">
      <c r="A12231" s="1" t="s">
        <v>58</v>
      </c>
      <c r="B12231" s="2" t="str">
        <f>""</f>
        <v/>
      </c>
      <c r="C12231" s="2" t="str">
        <f>""</f>
        <v/>
      </c>
      <c r="D12231" s="2" t="str">
        <f>""</f>
        <v/>
      </c>
      <c r="E12231" s="2" t="str">
        <f>""</f>
        <v/>
      </c>
      <c r="F12231" s="2" t="str">
        <f>""</f>
        <v/>
      </c>
      <c r="G12231" s="2" t="str">
        <f>"Materiais e Logística / Patrimônio / Relatórios / Operacionais ()"</f>
        <v>Materiais e Logística / Patrimônio / Relatórios / Operacionais ()</v>
      </c>
    </row>
    <row r="12232" spans="1:7" x14ac:dyDescent="0.3">
      <c r="A12232" s="1" t="s">
        <v>58</v>
      </c>
      <c r="B12232" s="2" t="str">
        <f>""</f>
        <v/>
      </c>
      <c r="C12232" s="2" t="str">
        <f>""</f>
        <v/>
      </c>
      <c r="D12232" s="2" t="str">
        <f>""</f>
        <v/>
      </c>
      <c r="E12232" s="2" t="str">
        <f>""</f>
        <v/>
      </c>
      <c r="F12232" s="2" t="str">
        <f>""</f>
        <v/>
      </c>
      <c r="G12232" s="2" t="str">
        <f>"Materiais e Logística / Patrimônio / Relatórios / Gerenciais ()"</f>
        <v>Materiais e Logística / Patrimônio / Relatórios / Gerenciais ()</v>
      </c>
    </row>
    <row r="12233" spans="1:7" x14ac:dyDescent="0.3">
      <c r="A12233" s="1" t="s">
        <v>58</v>
      </c>
      <c r="B12233" s="2" t="str">
        <f>""</f>
        <v/>
      </c>
      <c r="C12233" s="2" t="str">
        <f>""</f>
        <v/>
      </c>
      <c r="D12233" s="2" t="str">
        <f>""</f>
        <v/>
      </c>
      <c r="E12233" s="2" t="str">
        <f>""</f>
        <v/>
      </c>
      <c r="F12233" s="2" t="str">
        <f>""</f>
        <v/>
      </c>
      <c r="G12233" s="2" t="str">
        <f>"Materiais e Logística / Patrimônio / Relatórios / Inventário ()"</f>
        <v>Materiais e Logística / Patrimônio / Relatórios / Inventário ()</v>
      </c>
    </row>
    <row r="12234" spans="1:7" x14ac:dyDescent="0.3">
      <c r="A12234" s="1" t="s">
        <v>58</v>
      </c>
      <c r="B12234" s="2" t="str">
        <f>""</f>
        <v/>
      </c>
      <c r="C12234" s="2" t="str">
        <f>""</f>
        <v/>
      </c>
      <c r="D12234" s="2" t="str">
        <f>""</f>
        <v/>
      </c>
      <c r="E12234" s="2" t="str">
        <f>""</f>
        <v/>
      </c>
      <c r="F12234" s="2" t="str">
        <f>""</f>
        <v/>
      </c>
      <c r="G12234" s="2" t="str">
        <f>"Serviços de Apoio / Lavanderia e Rouparia ()"</f>
        <v>Serviços de Apoio / Lavanderia e Rouparia ()</v>
      </c>
    </row>
    <row r="12235" spans="1:7" x14ac:dyDescent="0.3">
      <c r="A12235" s="1" t="s">
        <v>58</v>
      </c>
      <c r="B12235" s="2" t="str">
        <f>""</f>
        <v/>
      </c>
      <c r="C12235" s="2" t="str">
        <f>""</f>
        <v/>
      </c>
      <c r="D12235" s="2" t="str">
        <f>""</f>
        <v/>
      </c>
      <c r="E12235" s="2" t="str">
        <f>""</f>
        <v/>
      </c>
      <c r="F12235" s="2" t="str">
        <f>""</f>
        <v/>
      </c>
      <c r="G12235" s="2" t="str">
        <f>"Serviços de Apoio / Lavanderia e Rouparia / Movimentações ()"</f>
        <v>Serviços de Apoio / Lavanderia e Rouparia / Movimentações ()</v>
      </c>
    </row>
    <row r="12236" spans="1:7" x14ac:dyDescent="0.3">
      <c r="A12236" s="1" t="s">
        <v>58</v>
      </c>
      <c r="B12236" s="2" t="str">
        <f>""</f>
        <v/>
      </c>
      <c r="C12236" s="2" t="str">
        <f>""</f>
        <v/>
      </c>
      <c r="D12236" s="2" t="str">
        <f>""</f>
        <v/>
      </c>
      <c r="E12236" s="2" t="str">
        <f>""</f>
        <v/>
      </c>
      <c r="F12236" s="2" t="str">
        <f>""</f>
        <v/>
      </c>
      <c r="G12236" s="2" t="str">
        <f>"Serviços de Apoio / Lavanderia e Rouparia / Consultas ()"</f>
        <v>Serviços de Apoio / Lavanderia e Rouparia / Consultas ()</v>
      </c>
    </row>
    <row r="12237" spans="1:7" x14ac:dyDescent="0.3">
      <c r="A12237" s="1" t="s">
        <v>58</v>
      </c>
      <c r="B12237" s="2" t="str">
        <f>""</f>
        <v/>
      </c>
      <c r="C12237" s="2" t="str">
        <f>""</f>
        <v/>
      </c>
      <c r="D12237" s="2" t="str">
        <f>""</f>
        <v/>
      </c>
      <c r="E12237" s="2" t="str">
        <f>""</f>
        <v/>
      </c>
      <c r="F12237" s="2" t="str">
        <f>""</f>
        <v/>
      </c>
      <c r="G12237" s="2" t="str">
        <f>"Serviços de Apoio / Lavanderia e Rouparia / Solicitações ()"</f>
        <v>Serviços de Apoio / Lavanderia e Rouparia / Solicitações ()</v>
      </c>
    </row>
    <row r="12238" spans="1:7" x14ac:dyDescent="0.3">
      <c r="A12238" s="1" t="s">
        <v>58</v>
      </c>
      <c r="B12238" s="2" t="str">
        <f>""</f>
        <v/>
      </c>
      <c r="C12238" s="2" t="str">
        <f>""</f>
        <v/>
      </c>
      <c r="D12238" s="2" t="str">
        <f>""</f>
        <v/>
      </c>
      <c r="E12238" s="2" t="str">
        <f>""</f>
        <v/>
      </c>
      <c r="F12238" s="2" t="str">
        <f>""</f>
        <v/>
      </c>
      <c r="G12238" s="2" t="str">
        <f>"Serviços de Apoio / Lavanderia e Rouparia / Tabelas ()"</f>
        <v>Serviços de Apoio / Lavanderia e Rouparia / Tabelas ()</v>
      </c>
    </row>
    <row r="12239" spans="1:7" x14ac:dyDescent="0.3">
      <c r="A12239" s="1" t="s">
        <v>58</v>
      </c>
      <c r="B12239" s="2" t="str">
        <f>""</f>
        <v/>
      </c>
      <c r="C12239" s="2" t="str">
        <f>""</f>
        <v/>
      </c>
      <c r="D12239" s="2" t="str">
        <f>""</f>
        <v/>
      </c>
      <c r="E12239" s="2" t="str">
        <f>""</f>
        <v/>
      </c>
      <c r="F12239" s="2" t="str">
        <f>""</f>
        <v/>
      </c>
      <c r="G12239" s="2" t="str">
        <f>"Serviços de Apoio / Lavanderia e Rouparia / Configurações ()"</f>
        <v>Serviços de Apoio / Lavanderia e Rouparia / Configurações ()</v>
      </c>
    </row>
    <row r="12240" spans="1:7" x14ac:dyDescent="0.3">
      <c r="A12240" s="1" t="s">
        <v>58</v>
      </c>
      <c r="B12240" s="2" t="str">
        <f>""</f>
        <v/>
      </c>
      <c r="C12240" s="2" t="str">
        <f>""</f>
        <v/>
      </c>
      <c r="D12240" s="2" t="str">
        <f>""</f>
        <v/>
      </c>
      <c r="E12240" s="2" t="str">
        <f>""</f>
        <v/>
      </c>
      <c r="F12240" s="2" t="str">
        <f>""</f>
        <v/>
      </c>
      <c r="G12240" s="2" t="str">
        <f>"Serviços de Apoio / Lavanderia e Rouparia / Relatórios ()"</f>
        <v>Serviços de Apoio / Lavanderia e Rouparia / Relatórios ()</v>
      </c>
    </row>
    <row r="12241" spans="1:7" x14ac:dyDescent="0.3">
      <c r="A12241" s="1" t="s">
        <v>58</v>
      </c>
      <c r="B12241" s="2" t="str">
        <f>""</f>
        <v/>
      </c>
      <c r="C12241" s="2" t="str">
        <f>""</f>
        <v/>
      </c>
      <c r="D12241" s="2" t="str">
        <f>""</f>
        <v/>
      </c>
      <c r="E12241" s="2" t="str">
        <f>""</f>
        <v/>
      </c>
      <c r="F12241" s="2" t="str">
        <f>""</f>
        <v/>
      </c>
      <c r="G12241" s="2" t="str">
        <f>"Serviços de Apoio / Manutenção / Ordem Serviço ()"</f>
        <v>Serviços de Apoio / Manutenção / Ordem Serviço ()</v>
      </c>
    </row>
    <row r="12242" spans="1:7" x14ac:dyDescent="0.3">
      <c r="A12242" s="1" t="s">
        <v>58</v>
      </c>
      <c r="B12242" s="2" t="str">
        <f>""</f>
        <v/>
      </c>
      <c r="C12242" s="2" t="str">
        <f>""</f>
        <v/>
      </c>
      <c r="D12242" s="2" t="str">
        <f>""</f>
        <v/>
      </c>
      <c r="E12242" s="2" t="str">
        <f>""</f>
        <v/>
      </c>
      <c r="F12242" s="2" t="str">
        <f>""</f>
        <v/>
      </c>
      <c r="G12242" s="2" t="str">
        <f>"Serviços de Apoio / Manutenção / Consultas ()"</f>
        <v>Serviços de Apoio / Manutenção / Consultas ()</v>
      </c>
    </row>
    <row r="12243" spans="1:7" x14ac:dyDescent="0.3">
      <c r="A12243" s="1" t="s">
        <v>58</v>
      </c>
      <c r="B12243" s="2" t="str">
        <f>""</f>
        <v/>
      </c>
      <c r="C12243" s="2" t="str">
        <f>""</f>
        <v/>
      </c>
      <c r="D12243" s="2" t="str">
        <f>""</f>
        <v/>
      </c>
      <c r="E12243" s="2" t="str">
        <f>""</f>
        <v/>
      </c>
      <c r="F12243" s="2" t="str">
        <f>""</f>
        <v/>
      </c>
      <c r="G12243" s="2" t="str">
        <f>"Serviços de Apoio / Manutenção / Tabelas ()"</f>
        <v>Serviços de Apoio / Manutenção / Tabelas ()</v>
      </c>
    </row>
    <row r="12244" spans="1:7" x14ac:dyDescent="0.3">
      <c r="A12244" s="1" t="s">
        <v>58</v>
      </c>
      <c r="B12244" s="2" t="str">
        <f>""</f>
        <v/>
      </c>
      <c r="C12244" s="2" t="str">
        <f>""</f>
        <v/>
      </c>
      <c r="D12244" s="2" t="str">
        <f>""</f>
        <v/>
      </c>
      <c r="E12244" s="2" t="str">
        <f>""</f>
        <v/>
      </c>
      <c r="F12244" s="2" t="str">
        <f>""</f>
        <v/>
      </c>
      <c r="G12244" s="2" t="str">
        <f>"Materiais e Logística / Compras / Integração / Exportação ()"</f>
        <v>Materiais e Logística / Compras / Integração / Exportação ()</v>
      </c>
    </row>
    <row r="12245" spans="1:7" x14ac:dyDescent="0.3">
      <c r="A12245" s="1" t="s">
        <v>58</v>
      </c>
      <c r="B12245" s="2" t="str">
        <f>""</f>
        <v/>
      </c>
      <c r="C12245" s="2" t="str">
        <f>""</f>
        <v/>
      </c>
      <c r="D12245" s="2" t="str">
        <f>""</f>
        <v/>
      </c>
      <c r="E12245" s="2" t="str">
        <f>""</f>
        <v/>
      </c>
      <c r="F12245" s="2" t="str">
        <f>""</f>
        <v/>
      </c>
      <c r="G12245" s="2" t="str">
        <f>"Materiais e Logística / Compras / Integração / Importação ()"</f>
        <v>Materiais e Logística / Compras / Integração / Importação ()</v>
      </c>
    </row>
    <row r="12246" spans="1:7" x14ac:dyDescent="0.3">
      <c r="A12246" s="1" t="s">
        <v>58</v>
      </c>
      <c r="B12246" s="2" t="str">
        <f>""</f>
        <v/>
      </c>
      <c r="C12246" s="2" t="str">
        <f>""</f>
        <v/>
      </c>
      <c r="D12246" s="2" t="str">
        <f>""</f>
        <v/>
      </c>
      <c r="E12246" s="2" t="str">
        <f>""</f>
        <v/>
      </c>
      <c r="F12246" s="2" t="str">
        <f>""</f>
        <v/>
      </c>
      <c r="G12246" s="2" t="str">
        <f>"Materiais e Logística / Almoxarifado / Movimentações ()"</f>
        <v>Materiais e Logística / Almoxarifado / Movimentações ()</v>
      </c>
    </row>
    <row r="12247" spans="1:7" x14ac:dyDescent="0.3">
      <c r="A12247" s="1" t="s">
        <v>58</v>
      </c>
      <c r="B12247" s="2" t="str">
        <f>""</f>
        <v/>
      </c>
      <c r="C12247" s="2" t="str">
        <f>""</f>
        <v/>
      </c>
      <c r="D12247" s="2" t="str">
        <f>""</f>
        <v/>
      </c>
      <c r="E12247" s="2" t="str">
        <f>""</f>
        <v/>
      </c>
      <c r="F12247" s="2" t="str">
        <f>""</f>
        <v/>
      </c>
      <c r="G12247" s="2" t="str">
        <f>"Materiais e Logística / Almoxarifado / Solicitações ()"</f>
        <v>Materiais e Logística / Almoxarifado / Solicitações ()</v>
      </c>
    </row>
    <row r="12248" spans="1:7" x14ac:dyDescent="0.3">
      <c r="A12248" s="1" t="s">
        <v>58</v>
      </c>
      <c r="B12248" s="2" t="str">
        <f>""</f>
        <v/>
      </c>
      <c r="C12248" s="2" t="str">
        <f>""</f>
        <v/>
      </c>
      <c r="D12248" s="2" t="str">
        <f>""</f>
        <v/>
      </c>
      <c r="E12248" s="2" t="str">
        <f>""</f>
        <v/>
      </c>
      <c r="F12248" s="2" t="str">
        <f>""</f>
        <v/>
      </c>
      <c r="G12248" s="2" t="str">
        <f>"Materiais e Logística / Almoxarifado / Tabelas ()"</f>
        <v>Materiais e Logística / Almoxarifado / Tabelas ()</v>
      </c>
    </row>
    <row r="12249" spans="1:7" x14ac:dyDescent="0.3">
      <c r="A12249" s="1" t="s">
        <v>58</v>
      </c>
      <c r="B12249" s="2" t="str">
        <f>""</f>
        <v/>
      </c>
      <c r="C12249" s="2" t="str">
        <f>""</f>
        <v/>
      </c>
      <c r="D12249" s="2" t="str">
        <f>""</f>
        <v/>
      </c>
      <c r="E12249" s="2" t="str">
        <f>""</f>
        <v/>
      </c>
      <c r="F12249" s="2" t="str">
        <f>""</f>
        <v/>
      </c>
      <c r="G12249" s="2" t="str">
        <f>"Materiais e Logística / Almoxarifado / Inventário ()"</f>
        <v>Materiais e Logística / Almoxarifado / Inventário ()</v>
      </c>
    </row>
    <row r="12250" spans="1:7" x14ac:dyDescent="0.3">
      <c r="A12250" s="1" t="s">
        <v>58</v>
      </c>
      <c r="B12250" s="2" t="str">
        <f>""</f>
        <v/>
      </c>
      <c r="C12250" s="2" t="str">
        <f>""</f>
        <v/>
      </c>
      <c r="D12250" s="2" t="str">
        <f>""</f>
        <v/>
      </c>
      <c r="E12250" s="2" t="str">
        <f>""</f>
        <v/>
      </c>
      <c r="F12250" s="2" t="str">
        <f>""</f>
        <v/>
      </c>
      <c r="G12250" s="2" t="str">
        <f>"Materiais e Logística / Almoxarifado / Intercâmbio ()"</f>
        <v>Materiais e Logística / Almoxarifado / Intercâmbio ()</v>
      </c>
    </row>
    <row r="12251" spans="1:7" x14ac:dyDescent="0.3">
      <c r="A12251" s="1" t="s">
        <v>58</v>
      </c>
      <c r="B12251" s="2" t="str">
        <f>""</f>
        <v/>
      </c>
      <c r="C12251" s="2" t="str">
        <f>""</f>
        <v/>
      </c>
      <c r="D12251" s="2" t="str">
        <f>""</f>
        <v/>
      </c>
      <c r="E12251" s="2" t="str">
        <f>""</f>
        <v/>
      </c>
      <c r="F12251" s="2" t="str">
        <f>""</f>
        <v/>
      </c>
      <c r="G12251" s="2" t="str">
        <f>"Materiais e Logística / Almoxarifado / Configurações ()"</f>
        <v>Materiais e Logística / Almoxarifado / Configurações ()</v>
      </c>
    </row>
    <row r="12252" spans="1:7" x14ac:dyDescent="0.3">
      <c r="A12252" s="1" t="s">
        <v>58</v>
      </c>
      <c r="B12252" s="2" t="str">
        <f>""</f>
        <v/>
      </c>
      <c r="C12252" s="2" t="str">
        <f>""</f>
        <v/>
      </c>
      <c r="D12252" s="2" t="str">
        <f>""</f>
        <v/>
      </c>
      <c r="E12252" s="2" t="str">
        <f>""</f>
        <v/>
      </c>
      <c r="F12252" s="2" t="str">
        <f>""</f>
        <v/>
      </c>
      <c r="G12252" s="2" t="str">
        <f>"Materiais e Logística / Almoxarifado / Cálculos ()"</f>
        <v>Materiais e Logística / Almoxarifado / Cálculos ()</v>
      </c>
    </row>
    <row r="12253" spans="1:7" x14ac:dyDescent="0.3">
      <c r="A12253" s="1" t="s">
        <v>58</v>
      </c>
      <c r="B12253" s="2" t="str">
        <f>""</f>
        <v/>
      </c>
      <c r="C12253" s="2" t="str">
        <f>""</f>
        <v/>
      </c>
      <c r="D12253" s="2" t="str">
        <f>""</f>
        <v/>
      </c>
      <c r="E12253" s="2" t="str">
        <f>""</f>
        <v/>
      </c>
      <c r="F12253" s="2" t="str">
        <f>""</f>
        <v/>
      </c>
      <c r="G12253" s="2" t="str">
        <f>"Materiais e Logística / Almoxarifado / Relatórios ()"</f>
        <v>Materiais e Logística / Almoxarifado / Relatórios ()</v>
      </c>
    </row>
    <row r="12254" spans="1:7" x14ac:dyDescent="0.3">
      <c r="A12254" s="1" t="s">
        <v>58</v>
      </c>
      <c r="B12254" s="2" t="str">
        <f>""</f>
        <v/>
      </c>
      <c r="C12254" s="2" t="str">
        <f>""</f>
        <v/>
      </c>
      <c r="D12254" s="2" t="str">
        <f>""</f>
        <v/>
      </c>
      <c r="E12254" s="2" t="str">
        <f>""</f>
        <v/>
      </c>
      <c r="F12254" s="2" t="str">
        <f>""</f>
        <v/>
      </c>
      <c r="G12254" s="2" t="str">
        <f>"Materiais e Logística / Almoxarifado / Tabelas / Gerais ()"</f>
        <v>Materiais e Logística / Almoxarifado / Tabelas / Gerais ()</v>
      </c>
    </row>
    <row r="12255" spans="1:7" x14ac:dyDescent="0.3">
      <c r="A12255" s="1" t="s">
        <v>58</v>
      </c>
      <c r="B12255" s="2" t="str">
        <f>""</f>
        <v/>
      </c>
      <c r="C12255" s="2" t="str">
        <f>""</f>
        <v/>
      </c>
      <c r="D12255" s="2" t="str">
        <f>""</f>
        <v/>
      </c>
      <c r="E12255" s="2" t="str">
        <f>""</f>
        <v/>
      </c>
      <c r="F12255" s="2" t="str">
        <f>""</f>
        <v/>
      </c>
      <c r="G12255" s="2" t="str">
        <f>"Materiais e Logística / Almoxarifado / Tabelas / Padronização e Portaria ()"</f>
        <v>Materiais e Logística / Almoxarifado / Tabelas / Padronização e Portaria ()</v>
      </c>
    </row>
    <row r="12256" spans="1:7" x14ac:dyDescent="0.3">
      <c r="A12256" s="1" t="s">
        <v>58</v>
      </c>
      <c r="B12256" s="2" t="str">
        <f>""</f>
        <v/>
      </c>
      <c r="C12256" s="2" t="str">
        <f>""</f>
        <v/>
      </c>
      <c r="D12256" s="2" t="str">
        <f>""</f>
        <v/>
      </c>
      <c r="E12256" s="2" t="str">
        <f>""</f>
        <v/>
      </c>
      <c r="F12256" s="2" t="str">
        <f>""</f>
        <v/>
      </c>
      <c r="G12256" s="2" t="str">
        <f>"Atendimento / Central de Agendamento / Relatórios / Operacionais / Internações ()"</f>
        <v>Atendimento / Central de Agendamento / Relatórios / Operacionais / Internações ()</v>
      </c>
    </row>
    <row r="12257" spans="1:7" x14ac:dyDescent="0.3">
      <c r="A12257" s="1" t="s">
        <v>58</v>
      </c>
      <c r="B12257" s="2" t="str">
        <f>""</f>
        <v/>
      </c>
      <c r="C12257" s="2" t="str">
        <f>""</f>
        <v/>
      </c>
      <c r="D12257" s="2" t="str">
        <f>""</f>
        <v/>
      </c>
      <c r="E12257" s="2" t="str">
        <f>""</f>
        <v/>
      </c>
      <c r="F12257" s="2" t="str">
        <f>""</f>
        <v/>
      </c>
      <c r="G12257" s="2" t="str">
        <f>"Atendimento / Central de Agendamento / Relatórios / Agendamentos / Pacientes Agendados ()"</f>
        <v>Atendimento / Central de Agendamento / Relatórios / Agendamentos / Pacientes Agendados ()</v>
      </c>
    </row>
    <row r="12258" spans="1:7" x14ac:dyDescent="0.3">
      <c r="A12258" s="1" t="s">
        <v>58</v>
      </c>
      <c r="B12258" s="2" t="str">
        <f>""</f>
        <v/>
      </c>
      <c r="C12258" s="2" t="str">
        <f>""</f>
        <v/>
      </c>
      <c r="D12258" s="2" t="str">
        <f>""</f>
        <v/>
      </c>
      <c r="E12258" s="2" t="str">
        <f>""</f>
        <v/>
      </c>
      <c r="F12258" s="2" t="str">
        <f>""</f>
        <v/>
      </c>
      <c r="G12258" s="2" t="str">
        <f>"Apoio a TI / Gestão de Usuários ()"</f>
        <v>Apoio a TI / Gestão de Usuários ()</v>
      </c>
    </row>
    <row r="12259" spans="1:7" x14ac:dyDescent="0.3">
      <c r="A12259" s="1" t="s">
        <v>58</v>
      </c>
      <c r="B12259" s="2" t="str">
        <f>""</f>
        <v/>
      </c>
      <c r="C12259" s="2" t="str">
        <f>""</f>
        <v/>
      </c>
      <c r="D12259" s="2" t="str">
        <f>""</f>
        <v/>
      </c>
      <c r="E12259" s="2" t="str">
        <f>""</f>
        <v/>
      </c>
      <c r="F12259" s="2" t="str">
        <f>""</f>
        <v/>
      </c>
      <c r="G12259" s="2" t="str">
        <f>"Apoio a TI / Gestão de Usuários / Administração do Sistema ()"</f>
        <v>Apoio a TI / Gestão de Usuários / Administração do Sistema ()</v>
      </c>
    </row>
    <row r="12260" spans="1:7" x14ac:dyDescent="0.3">
      <c r="A12260" s="1" t="s">
        <v>58</v>
      </c>
      <c r="B12260" s="2" t="str">
        <f>""</f>
        <v/>
      </c>
      <c r="C12260" s="2" t="str">
        <f>""</f>
        <v/>
      </c>
      <c r="D12260" s="2" t="str">
        <f>""</f>
        <v/>
      </c>
      <c r="E12260" s="2" t="str">
        <f>""</f>
        <v/>
      </c>
      <c r="F12260" s="2" t="str">
        <f>""</f>
        <v/>
      </c>
      <c r="G12260" s="2" t="str">
        <f>"Apoio a TI / Gestão de Usuários / Autorização ()"</f>
        <v>Apoio a TI / Gestão de Usuários / Autorização ()</v>
      </c>
    </row>
    <row r="12261" spans="1:7" x14ac:dyDescent="0.3">
      <c r="A12261" s="1" t="s">
        <v>58</v>
      </c>
      <c r="B12261" s="2" t="str">
        <f>""</f>
        <v/>
      </c>
      <c r="C12261" s="2" t="str">
        <f>""</f>
        <v/>
      </c>
      <c r="D12261" s="2" t="str">
        <f>""</f>
        <v/>
      </c>
      <c r="E12261" s="2" t="str">
        <f>""</f>
        <v/>
      </c>
      <c r="F12261" s="2" t="str">
        <f>""</f>
        <v/>
      </c>
      <c r="G12261" s="2" t="str">
        <f>"Apoio a TI / Gestão de Usuários / Configurações de Acesso ()"</f>
        <v>Apoio a TI / Gestão de Usuários / Configurações de Acesso ()</v>
      </c>
    </row>
    <row r="12262" spans="1:7" x14ac:dyDescent="0.3">
      <c r="A12262" s="1" t="s">
        <v>58</v>
      </c>
      <c r="B12262" s="2" t="str">
        <f>""</f>
        <v/>
      </c>
      <c r="C12262" s="2" t="str">
        <f>""</f>
        <v/>
      </c>
      <c r="D12262" s="2" t="str">
        <f>""</f>
        <v/>
      </c>
      <c r="E12262" s="2" t="str">
        <f>""</f>
        <v/>
      </c>
      <c r="F12262" s="2" t="str">
        <f>""</f>
        <v/>
      </c>
      <c r="G12262" s="2" t="str">
        <f>"Apoio a TI / Gestão de Usuários / Tabelas ()"</f>
        <v>Apoio a TI / Gestão de Usuários / Tabelas ()</v>
      </c>
    </row>
    <row r="12263" spans="1:7" x14ac:dyDescent="0.3">
      <c r="A12263" s="1" t="s">
        <v>58</v>
      </c>
      <c r="B12263" s="2" t="str">
        <f>""</f>
        <v/>
      </c>
      <c r="C12263" s="2" t="str">
        <f>""</f>
        <v/>
      </c>
      <c r="D12263" s="2" t="str">
        <f>""</f>
        <v/>
      </c>
      <c r="E12263" s="2" t="str">
        <f>""</f>
        <v/>
      </c>
      <c r="F12263" s="2" t="str">
        <f>""</f>
        <v/>
      </c>
      <c r="G12263" s="2" t="str">
        <f>"Apoio a TI / Gestão de Usuários / Mensagens ()"</f>
        <v>Apoio a TI / Gestão de Usuários / Mensagens ()</v>
      </c>
    </row>
    <row r="12264" spans="1:7" x14ac:dyDescent="0.3">
      <c r="A12264" s="1" t="s">
        <v>58</v>
      </c>
      <c r="B12264" s="2" t="str">
        <f>""</f>
        <v/>
      </c>
      <c r="C12264" s="2" t="str">
        <f>""</f>
        <v/>
      </c>
      <c r="D12264" s="2" t="str">
        <f>""</f>
        <v/>
      </c>
      <c r="E12264" s="2" t="str">
        <f>""</f>
        <v/>
      </c>
      <c r="F12264" s="2" t="str">
        <f>""</f>
        <v/>
      </c>
      <c r="G12264" s="2" t="str">
        <f>"Apoio a TI / Gestão de Usuários / Relatórios ()"</f>
        <v>Apoio a TI / Gestão de Usuários / Relatórios ()</v>
      </c>
    </row>
    <row r="12265" spans="1:7" x14ac:dyDescent="0.3">
      <c r="A12265" s="1" t="s">
        <v>58</v>
      </c>
      <c r="B12265" s="2" t="str">
        <f>""</f>
        <v/>
      </c>
      <c r="C12265" s="2" t="str">
        <f>""</f>
        <v/>
      </c>
      <c r="D12265" s="2" t="str">
        <f>""</f>
        <v/>
      </c>
      <c r="E12265" s="2" t="str">
        <f>""</f>
        <v/>
      </c>
      <c r="F12265" s="2" t="str">
        <f>""</f>
        <v/>
      </c>
      <c r="G12265" s="2" t="str">
        <f>"Apoio a TI / Gestão de Usuários / Relatórios / Auditoria de Tabelas ()"</f>
        <v>Apoio a TI / Gestão de Usuários / Relatórios / Auditoria de Tabelas ()</v>
      </c>
    </row>
    <row r="12266" spans="1:7" x14ac:dyDescent="0.3">
      <c r="A12266" s="1" t="s">
        <v>58</v>
      </c>
      <c r="B12266" s="2" t="str">
        <f>""</f>
        <v/>
      </c>
      <c r="C12266" s="2" t="str">
        <f>""</f>
        <v/>
      </c>
      <c r="D12266" s="2" t="str">
        <f>""</f>
        <v/>
      </c>
      <c r="E12266" s="2" t="str">
        <f>""</f>
        <v/>
      </c>
      <c r="F12266" s="2" t="str">
        <f>""</f>
        <v/>
      </c>
      <c r="G12266" s="2" t="str">
        <f>"Apoio a TI / Gestão de Usuários / Administração do Sistema / Auditoria ()"</f>
        <v>Apoio a TI / Gestão de Usuários / Administração do Sistema / Auditoria ()</v>
      </c>
    </row>
    <row r="12267" spans="1:7" x14ac:dyDescent="0.3">
      <c r="A12267" s="1" t="s">
        <v>58</v>
      </c>
      <c r="B12267" s="2" t="str">
        <f>""</f>
        <v/>
      </c>
      <c r="C12267" s="2" t="str">
        <f>""</f>
        <v/>
      </c>
      <c r="D12267" s="2" t="str">
        <f>""</f>
        <v/>
      </c>
      <c r="E12267" s="2" t="str">
        <f>""</f>
        <v/>
      </c>
      <c r="F12267" s="2" t="str">
        <f>""</f>
        <v/>
      </c>
      <c r="G12267" s="2" t="str">
        <f>"Apoio a TI / Gestão de Usuários / Administração do Sistema / Auditoria / Ligar / Desligar ()"</f>
        <v>Apoio a TI / Gestão de Usuários / Administração do Sistema / Auditoria / Ligar / Desligar ()</v>
      </c>
    </row>
    <row r="12268" spans="1:7" x14ac:dyDescent="0.3">
      <c r="A12268" s="1" t="s">
        <v>58</v>
      </c>
      <c r="B12268" s="2" t="str">
        <f>""</f>
        <v/>
      </c>
      <c r="C12268" s="2" t="str">
        <f>""</f>
        <v/>
      </c>
      <c r="D12268" s="2" t="str">
        <f>""</f>
        <v/>
      </c>
      <c r="E12268" s="2" t="str">
        <f>""</f>
        <v/>
      </c>
      <c r="F12268" s="2" t="str">
        <f>""</f>
        <v/>
      </c>
      <c r="G12268" s="2" t="str">
        <f>"Apoio a TI / Gestão de Usuários / Administração do Sistema / Auditoria / Consultas ()"</f>
        <v>Apoio a TI / Gestão de Usuários / Administração do Sistema / Auditoria / Consultas ()</v>
      </c>
    </row>
    <row r="12269" spans="1:7" x14ac:dyDescent="0.3">
      <c r="A12269" s="1" t="s">
        <v>58</v>
      </c>
      <c r="B12269" s="2" t="str">
        <f>""</f>
        <v/>
      </c>
      <c r="C12269" s="2" t="str">
        <f>""</f>
        <v/>
      </c>
      <c r="D12269" s="2" t="str">
        <f>""</f>
        <v/>
      </c>
      <c r="E12269" s="2" t="str">
        <f>""</f>
        <v/>
      </c>
      <c r="F12269" s="2" t="str">
        <f>""</f>
        <v/>
      </c>
      <c r="G12269" s="2" t="str">
        <f>"Apoio a TI / Gestão de Usuários / Administração do Sistema / Auditoria / Relatórios ()"</f>
        <v>Apoio a TI / Gestão de Usuários / Administração do Sistema / Auditoria / Relatórios ()</v>
      </c>
    </row>
    <row r="12270" spans="1:7" x14ac:dyDescent="0.3">
      <c r="A12270" s="1" t="s">
        <v>58</v>
      </c>
      <c r="B12270" s="2" t="str">
        <f>""</f>
        <v/>
      </c>
      <c r="C12270" s="2" t="str">
        <f>""</f>
        <v/>
      </c>
      <c r="D12270" s="2" t="str">
        <f>""</f>
        <v/>
      </c>
      <c r="E12270" s="2" t="str">
        <f>""</f>
        <v/>
      </c>
      <c r="F12270" s="2" t="str">
        <f>""</f>
        <v/>
      </c>
      <c r="G12270" s="2" t="str">
        <f>"Apoio a TI / Gestão de Usuários / Administração do Sistema / Integração / Integração Datasul ()"</f>
        <v>Apoio a TI / Gestão de Usuários / Administração do Sistema / Integração / Integração Datasul ()</v>
      </c>
    </row>
    <row r="12271" spans="1:7" x14ac:dyDescent="0.3">
      <c r="A12271" s="1" t="s">
        <v>58</v>
      </c>
      <c r="B12271" s="2" t="str">
        <f>""</f>
        <v/>
      </c>
      <c r="C12271" s="2" t="str">
        <f>""</f>
        <v/>
      </c>
      <c r="D12271" s="2" t="str">
        <f>""</f>
        <v/>
      </c>
      <c r="E12271" s="2" t="str">
        <f>""</f>
        <v/>
      </c>
      <c r="F12271" s="2" t="str">
        <f>""</f>
        <v/>
      </c>
      <c r="G12271" s="2" t="str">
        <f>"Serviços de Apoio / Higienização ()"</f>
        <v>Serviços de Apoio / Higienização ()</v>
      </c>
    </row>
    <row r="12272" spans="1:7" x14ac:dyDescent="0.3">
      <c r="A12272" s="1" t="s">
        <v>58</v>
      </c>
      <c r="B12272" s="2" t="str">
        <f>""</f>
        <v/>
      </c>
      <c r="C12272" s="2" t="str">
        <f>""</f>
        <v/>
      </c>
      <c r="D12272" s="2" t="str">
        <f>""</f>
        <v/>
      </c>
      <c r="E12272" s="2" t="str">
        <f>""</f>
        <v/>
      </c>
      <c r="F12272" s="2" t="str">
        <f>""</f>
        <v/>
      </c>
      <c r="G12272" s="2" t="str">
        <f>"Serviços de Apoio / Higienização / Atendimentos ()"</f>
        <v>Serviços de Apoio / Higienização / Atendimentos ()</v>
      </c>
    </row>
    <row r="12273" spans="1:7" x14ac:dyDescent="0.3">
      <c r="A12273" s="1" t="s">
        <v>58</v>
      </c>
      <c r="B12273" s="2" t="str">
        <f>""</f>
        <v/>
      </c>
      <c r="C12273" s="2" t="str">
        <f>""</f>
        <v/>
      </c>
      <c r="D12273" s="2" t="str">
        <f>""</f>
        <v/>
      </c>
      <c r="E12273" s="2" t="str">
        <f>""</f>
        <v/>
      </c>
      <c r="F12273" s="2" t="str">
        <f>""</f>
        <v/>
      </c>
      <c r="G12273" s="2" t="str">
        <f>"Serviços de Apoio / Higienização / Tabelas ()"</f>
        <v>Serviços de Apoio / Higienização / Tabelas ()</v>
      </c>
    </row>
    <row r="12274" spans="1:7" x14ac:dyDescent="0.3">
      <c r="A12274" s="1" t="s">
        <v>58</v>
      </c>
      <c r="B12274" s="2" t="str">
        <f>""</f>
        <v/>
      </c>
      <c r="C12274" s="2" t="str">
        <f>""</f>
        <v/>
      </c>
      <c r="D12274" s="2" t="str">
        <f>""</f>
        <v/>
      </c>
      <c r="E12274" s="2" t="str">
        <f>""</f>
        <v/>
      </c>
      <c r="F12274" s="2" t="str">
        <f>""</f>
        <v/>
      </c>
      <c r="G12274" s="2" t="str">
        <f>"Serviços de Apoio / Higienização / Configuração ()"</f>
        <v>Serviços de Apoio / Higienização / Configuração ()</v>
      </c>
    </row>
    <row r="12275" spans="1:7" x14ac:dyDescent="0.3">
      <c r="A12275" s="1" t="s">
        <v>58</v>
      </c>
      <c r="B12275" s="2" t="str">
        <f>""</f>
        <v/>
      </c>
      <c r="C12275" s="2" t="str">
        <f>""</f>
        <v/>
      </c>
      <c r="D12275" s="2" t="str">
        <f>""</f>
        <v/>
      </c>
      <c r="E12275" s="2" t="str">
        <f>""</f>
        <v/>
      </c>
      <c r="F12275" s="2" t="str">
        <f>""</f>
        <v/>
      </c>
      <c r="G12275" s="2" t="str">
        <f>"Serviços de Apoio / Higienização / Relatórios ()"</f>
        <v>Serviços de Apoio / Higienização / Relatórios ()</v>
      </c>
    </row>
    <row r="12276" spans="1:7" x14ac:dyDescent="0.3">
      <c r="A12276" s="1" t="s">
        <v>58</v>
      </c>
      <c r="B12276" s="2" t="str">
        <f>""</f>
        <v/>
      </c>
      <c r="C12276" s="2" t="str">
        <f>""</f>
        <v/>
      </c>
      <c r="D12276" s="2" t="str">
        <f>""</f>
        <v/>
      </c>
      <c r="E12276" s="2" t="str">
        <f>""</f>
        <v/>
      </c>
      <c r="F12276" s="2" t="str">
        <f>""</f>
        <v/>
      </c>
      <c r="G12276" s="2" t="str">
        <f>"Serviços de Apoio / Higienização / Relatórios / Administrativos ()"</f>
        <v>Serviços de Apoio / Higienização / Relatórios / Administrativos ()</v>
      </c>
    </row>
    <row r="12277" spans="1:7" x14ac:dyDescent="0.3">
      <c r="A12277" s="1" t="s">
        <v>58</v>
      </c>
      <c r="B12277" s="2" t="str">
        <f>""</f>
        <v/>
      </c>
      <c r="C12277" s="2" t="str">
        <f>""</f>
        <v/>
      </c>
      <c r="D12277" s="2" t="str">
        <f>""</f>
        <v/>
      </c>
      <c r="E12277" s="2" t="str">
        <f>""</f>
        <v/>
      </c>
      <c r="F12277" s="2" t="str">
        <f>""</f>
        <v/>
      </c>
      <c r="G12277" s="2" t="str">
        <f>"Serviços de Apoio / Higienização / Relatórios / Operacionais ()"</f>
        <v>Serviços de Apoio / Higienização / Relatórios / Operacionais ()</v>
      </c>
    </row>
    <row r="12278" spans="1:7" x14ac:dyDescent="0.3">
      <c r="A12278" s="1" t="s">
        <v>58</v>
      </c>
      <c r="B12278" s="2" t="str">
        <f>""</f>
        <v/>
      </c>
      <c r="C12278" s="2" t="str">
        <f>""</f>
        <v/>
      </c>
      <c r="D12278" s="2" t="str">
        <f>""</f>
        <v/>
      </c>
      <c r="E12278" s="2" t="str">
        <f>""</f>
        <v/>
      </c>
      <c r="F12278" s="2" t="str">
        <f>""</f>
        <v/>
      </c>
      <c r="G12278" s="2" t="str">
        <f>"Serviços de Apoio / Lavanderia e Rouparia / Consultas / Solicitação de Compras ()"</f>
        <v>Serviços de Apoio / Lavanderia e Rouparia / Consultas / Solicitação de Compras ()</v>
      </c>
    </row>
    <row r="12279" spans="1:7" x14ac:dyDescent="0.3">
      <c r="A12279" s="1" t="s">
        <v>58</v>
      </c>
      <c r="B12279" s="2" t="str">
        <f>""</f>
        <v/>
      </c>
      <c r="C12279" s="2" t="str">
        <f>""</f>
        <v/>
      </c>
      <c r="D12279" s="2" t="str">
        <f>""</f>
        <v/>
      </c>
      <c r="E12279" s="2" t="str">
        <f>""</f>
        <v/>
      </c>
      <c r="F12279" s="2" t="str">
        <f>""</f>
        <v/>
      </c>
      <c r="G12279" s="2" t="str">
        <f>"Serviços de Apoio / Lavanderia e Rouparia / Consultas / Solicitações Pendentes ()"</f>
        <v>Serviços de Apoio / Lavanderia e Rouparia / Consultas / Solicitações Pendentes ()</v>
      </c>
    </row>
    <row r="12280" spans="1:7" x14ac:dyDescent="0.3">
      <c r="A12280" s="1" t="s">
        <v>58</v>
      </c>
      <c r="B12280" s="2" t="str">
        <f>""</f>
        <v/>
      </c>
      <c r="C12280" s="2" t="str">
        <f>""</f>
        <v/>
      </c>
      <c r="D12280" s="2" t="str">
        <f>""</f>
        <v/>
      </c>
      <c r="E12280" s="2" t="str">
        <f>""</f>
        <v/>
      </c>
      <c r="F12280" s="2" t="str">
        <f>""</f>
        <v/>
      </c>
      <c r="G12280" s="2" t="str">
        <f>"Serviços de Apoio / Lavanderia e Rouparia / Consultas / Ordens de Compras ()"</f>
        <v>Serviços de Apoio / Lavanderia e Rouparia / Consultas / Ordens de Compras ()</v>
      </c>
    </row>
    <row r="12281" spans="1:7" x14ac:dyDescent="0.3">
      <c r="A12281" s="1" t="s">
        <v>58</v>
      </c>
      <c r="B12281" s="2" t="str">
        <f>""</f>
        <v/>
      </c>
      <c r="C12281" s="2" t="str">
        <f>""</f>
        <v/>
      </c>
      <c r="D12281" s="2" t="str">
        <f>""</f>
        <v/>
      </c>
      <c r="E12281" s="2" t="str">
        <f>""</f>
        <v/>
      </c>
      <c r="F12281" s="2" t="str">
        <f>""</f>
        <v/>
      </c>
      <c r="G12281" s="2" t="str">
        <f>"Serviços de Apoio / Lavanderia e Rouparia / Relatórios / Tabelas ()"</f>
        <v>Serviços de Apoio / Lavanderia e Rouparia / Relatórios / Tabelas ()</v>
      </c>
    </row>
    <row r="12282" spans="1:7" x14ac:dyDescent="0.3">
      <c r="A12282" s="1" t="s">
        <v>58</v>
      </c>
      <c r="B12282" s="2" t="str">
        <f>""</f>
        <v/>
      </c>
      <c r="C12282" s="2" t="str">
        <f>""</f>
        <v/>
      </c>
      <c r="D12282" s="2" t="str">
        <f>""</f>
        <v/>
      </c>
      <c r="E12282" s="2" t="str">
        <f>""</f>
        <v/>
      </c>
      <c r="F12282" s="2" t="str">
        <f>""</f>
        <v/>
      </c>
      <c r="G12282" s="2" t="str">
        <f>"Serviços de Apoio / Lavanderia e Rouparia / Relatórios / Operacionais ()"</f>
        <v>Serviços de Apoio / Lavanderia e Rouparia / Relatórios / Operacionais ()</v>
      </c>
    </row>
    <row r="12283" spans="1:7" x14ac:dyDescent="0.3">
      <c r="A12283" s="1" t="s">
        <v>58</v>
      </c>
      <c r="B12283" s="2" t="str">
        <f>""</f>
        <v/>
      </c>
      <c r="C12283" s="2" t="str">
        <f>""</f>
        <v/>
      </c>
      <c r="D12283" s="2" t="str">
        <f>""</f>
        <v/>
      </c>
      <c r="E12283" s="2" t="str">
        <f>""</f>
        <v/>
      </c>
      <c r="F12283" s="2" t="str">
        <f>""</f>
        <v/>
      </c>
      <c r="G12283" s="2" t="str">
        <f>"Serviços de Apoio / Lavanderia e Rouparia / Relatórios / Administrativos ()"</f>
        <v>Serviços de Apoio / Lavanderia e Rouparia / Relatórios / Administrativos ()</v>
      </c>
    </row>
    <row r="12284" spans="1:7" x14ac:dyDescent="0.3">
      <c r="A12284" s="1" t="s">
        <v>58</v>
      </c>
      <c r="B12284" s="2" t="str">
        <f>""</f>
        <v/>
      </c>
      <c r="C12284" s="2" t="str">
        <f>""</f>
        <v/>
      </c>
      <c r="D12284" s="2" t="str">
        <f>""</f>
        <v/>
      </c>
      <c r="E12284" s="2" t="str">
        <f>""</f>
        <v/>
      </c>
      <c r="F12284" s="2" t="str">
        <f>""</f>
        <v/>
      </c>
      <c r="G12284" s="2" t="str">
        <f>"Serviços de Apoio / Lavanderia e Rouparia / Relatórios / Operacionais / Saída para Setor ()"</f>
        <v>Serviços de Apoio / Lavanderia e Rouparia / Relatórios / Operacionais / Saída para Setor ()</v>
      </c>
    </row>
    <row r="12285" spans="1:7" x14ac:dyDescent="0.3">
      <c r="A12285" s="1" t="s">
        <v>58</v>
      </c>
      <c r="B12285" s="2" t="str">
        <f>""</f>
        <v/>
      </c>
      <c r="C12285" s="2" t="str">
        <f>""</f>
        <v/>
      </c>
      <c r="D12285" s="2" t="str">
        <f>""</f>
        <v/>
      </c>
      <c r="E12285" s="2" t="str">
        <f>""</f>
        <v/>
      </c>
      <c r="F12285" s="2" t="str">
        <f>""</f>
        <v/>
      </c>
      <c r="G12285" s="2" t="str">
        <f>"Serviços de Apoio / Lavanderia e Rouparia / Relatórios / Operacionais / Lavanderia Saída ()"</f>
        <v>Serviços de Apoio / Lavanderia e Rouparia / Relatórios / Operacionais / Lavanderia Saída ()</v>
      </c>
    </row>
    <row r="12286" spans="1:7" x14ac:dyDescent="0.3">
      <c r="A12286" s="1" t="s">
        <v>58</v>
      </c>
      <c r="B12286" s="2" t="str">
        <f>""</f>
        <v/>
      </c>
      <c r="C12286" s="2" t="str">
        <f>""</f>
        <v/>
      </c>
      <c r="D12286" s="2" t="str">
        <f>""</f>
        <v/>
      </c>
      <c r="E12286" s="2" t="str">
        <f>""</f>
        <v/>
      </c>
      <c r="F12286" s="2" t="str">
        <f>""</f>
        <v/>
      </c>
      <c r="G12286" s="2" t="str">
        <f>"Serviços de Apoio / Lavanderia e Rouparia / Relatórios / Operacionais / Lavanderia Entrada ()"</f>
        <v>Serviços de Apoio / Lavanderia e Rouparia / Relatórios / Operacionais / Lavanderia Entrada ()</v>
      </c>
    </row>
    <row r="12287" spans="1:7" x14ac:dyDescent="0.3">
      <c r="A12287" s="1" t="s">
        <v>58</v>
      </c>
      <c r="B12287" s="2" t="str">
        <f>""</f>
        <v/>
      </c>
      <c r="C12287" s="2" t="str">
        <f>""</f>
        <v/>
      </c>
      <c r="D12287" s="2" t="str">
        <f>""</f>
        <v/>
      </c>
      <c r="E12287" s="2" t="str">
        <f>""</f>
        <v/>
      </c>
      <c r="F12287" s="2" t="str">
        <f>""</f>
        <v/>
      </c>
      <c r="G12287" s="2" t="str">
        <f>"Serviços de Apoio / Lavanderia e Rouparia / Relatórios / Administrativos / Produção de Saída ()"</f>
        <v>Serviços de Apoio / Lavanderia e Rouparia / Relatórios / Administrativos / Produção de Saída ()</v>
      </c>
    </row>
    <row r="12288" spans="1:7" x14ac:dyDescent="0.3">
      <c r="A12288" s="1" t="s">
        <v>58</v>
      </c>
      <c r="B12288" s="2" t="str">
        <f>""</f>
        <v/>
      </c>
      <c r="C12288" s="2" t="str">
        <f>""</f>
        <v/>
      </c>
      <c r="D12288" s="2" t="str">
        <f>""</f>
        <v/>
      </c>
      <c r="E12288" s="2" t="str">
        <f>""</f>
        <v/>
      </c>
      <c r="F12288" s="2" t="str">
        <f>""</f>
        <v/>
      </c>
      <c r="G12288" s="2" t="str">
        <f>"Serviços de Apoio / Lavanderia e Rouparia / Relatórios / Administrativos / Produção de Entrada ()"</f>
        <v>Serviços de Apoio / Lavanderia e Rouparia / Relatórios / Administrativos / Produção de Entrada ()</v>
      </c>
    </row>
    <row r="12289" spans="1:7" x14ac:dyDescent="0.3">
      <c r="A12289" s="1" t="s">
        <v>58</v>
      </c>
      <c r="B12289" s="2" t="str">
        <f>""</f>
        <v/>
      </c>
      <c r="C12289" s="2" t="str">
        <f>""</f>
        <v/>
      </c>
      <c r="D12289" s="2" t="str">
        <f>""</f>
        <v/>
      </c>
      <c r="E12289" s="2" t="str">
        <f>""</f>
        <v/>
      </c>
      <c r="F12289" s="2" t="str">
        <f>""</f>
        <v/>
      </c>
      <c r="G12289" s="2" t="str">
        <f>"Serviços de Apoio / Serviço Arquivo Médico ()"</f>
        <v>Serviços de Apoio / Serviço Arquivo Médico ()</v>
      </c>
    </row>
    <row r="12290" spans="1:7" x14ac:dyDescent="0.3">
      <c r="A12290" s="1" t="s">
        <v>58</v>
      </c>
      <c r="B12290" s="2" t="str">
        <f>""</f>
        <v/>
      </c>
      <c r="C12290" s="2" t="str">
        <f>""</f>
        <v/>
      </c>
      <c r="D12290" s="2" t="str">
        <f>""</f>
        <v/>
      </c>
      <c r="E12290" s="2" t="str">
        <f>""</f>
        <v/>
      </c>
      <c r="F12290" s="2" t="str">
        <f>""</f>
        <v/>
      </c>
      <c r="G12290" s="2" t="str">
        <f>"Serviços de Apoio / Serviço Arquivo Médico / SAME ()"</f>
        <v>Serviços de Apoio / Serviço Arquivo Médico / SAME ()</v>
      </c>
    </row>
    <row r="12291" spans="1:7" x14ac:dyDescent="0.3">
      <c r="A12291" s="1" t="s">
        <v>58</v>
      </c>
      <c r="B12291" s="2" t="str">
        <f>""</f>
        <v/>
      </c>
      <c r="C12291" s="2" t="str">
        <f>""</f>
        <v/>
      </c>
      <c r="D12291" s="2" t="str">
        <f>""</f>
        <v/>
      </c>
      <c r="E12291" s="2" t="str">
        <f>""</f>
        <v/>
      </c>
      <c r="F12291" s="2" t="str">
        <f>""</f>
        <v/>
      </c>
      <c r="G12291" s="2" t="str">
        <f>"Serviços de Apoio / Serviço Arquivo Médico / Pacientes ()"</f>
        <v>Serviços de Apoio / Serviço Arquivo Médico / Pacientes ()</v>
      </c>
    </row>
    <row r="12292" spans="1:7" x14ac:dyDescent="0.3">
      <c r="A12292" s="1" t="s">
        <v>58</v>
      </c>
      <c r="B12292" s="2" t="str">
        <f>""</f>
        <v/>
      </c>
      <c r="C12292" s="2" t="str">
        <f>""</f>
        <v/>
      </c>
      <c r="D12292" s="2" t="str">
        <f>""</f>
        <v/>
      </c>
      <c r="E12292" s="2" t="str">
        <f>""</f>
        <v/>
      </c>
      <c r="F12292" s="2" t="str">
        <f>""</f>
        <v/>
      </c>
      <c r="G12292" s="2" t="str">
        <f>"Serviços de Apoio / Serviço Arquivo Médico / Tabelas ()"</f>
        <v>Serviços de Apoio / Serviço Arquivo Médico / Tabelas ()</v>
      </c>
    </row>
    <row r="12293" spans="1:7" x14ac:dyDescent="0.3">
      <c r="A12293" s="1" t="s">
        <v>58</v>
      </c>
      <c r="B12293" s="2" t="str">
        <f>""</f>
        <v/>
      </c>
      <c r="C12293" s="2" t="str">
        <f>""</f>
        <v/>
      </c>
      <c r="D12293" s="2" t="str">
        <f>""</f>
        <v/>
      </c>
      <c r="E12293" s="2" t="str">
        <f>""</f>
        <v/>
      </c>
      <c r="F12293" s="2" t="str">
        <f>""</f>
        <v/>
      </c>
      <c r="G12293" s="2" t="str">
        <f>"Serviços de Apoio / Serviço Arquivo Médico / Consultas ()"</f>
        <v>Serviços de Apoio / Serviço Arquivo Médico / Consultas ()</v>
      </c>
    </row>
    <row r="12294" spans="1:7" x14ac:dyDescent="0.3">
      <c r="A12294" s="1" t="s">
        <v>58</v>
      </c>
      <c r="B12294" s="2" t="str">
        <f>""</f>
        <v/>
      </c>
      <c r="C12294" s="2" t="str">
        <f>""</f>
        <v/>
      </c>
      <c r="D12294" s="2" t="str">
        <f>""</f>
        <v/>
      </c>
      <c r="E12294" s="2" t="str">
        <f>""</f>
        <v/>
      </c>
      <c r="F12294" s="2" t="str">
        <f>""</f>
        <v/>
      </c>
      <c r="G12294" s="2" t="str">
        <f>"Serviços de Apoio / Serviço Arquivo Médico / Configurações ()"</f>
        <v>Serviços de Apoio / Serviço Arquivo Médico / Configurações ()</v>
      </c>
    </row>
    <row r="12295" spans="1:7" x14ac:dyDescent="0.3">
      <c r="A12295" s="1" t="s">
        <v>58</v>
      </c>
      <c r="B12295" s="2" t="str">
        <f>""</f>
        <v/>
      </c>
      <c r="C12295" s="2" t="str">
        <f>""</f>
        <v/>
      </c>
      <c r="D12295" s="2" t="str">
        <f>""</f>
        <v/>
      </c>
      <c r="E12295" s="2" t="str">
        <f>""</f>
        <v/>
      </c>
      <c r="F12295" s="2" t="str">
        <f>""</f>
        <v/>
      </c>
      <c r="G12295" s="2" t="str">
        <f>"Serviços de Apoio / Serviço Arquivo Médico / Relatórios ()"</f>
        <v>Serviços de Apoio / Serviço Arquivo Médico / Relatórios ()</v>
      </c>
    </row>
    <row r="12296" spans="1:7" x14ac:dyDescent="0.3">
      <c r="A12296" s="1" t="s">
        <v>58</v>
      </c>
      <c r="B12296" s="2" t="str">
        <f>""</f>
        <v/>
      </c>
      <c r="C12296" s="2" t="str">
        <f>""</f>
        <v/>
      </c>
      <c r="D12296" s="2" t="str">
        <f>""</f>
        <v/>
      </c>
      <c r="E12296" s="2" t="str">
        <f>""</f>
        <v/>
      </c>
      <c r="F12296" s="2" t="str">
        <f>""</f>
        <v/>
      </c>
      <c r="G12296" s="2" t="str">
        <f>"Serviços de Apoio / Serviço Arquivo Médico / SAME / Recebimento de Documentos ()"</f>
        <v>Serviços de Apoio / Serviço Arquivo Médico / SAME / Recebimento de Documentos ()</v>
      </c>
    </row>
    <row r="12297" spans="1:7" x14ac:dyDescent="0.3">
      <c r="A12297" s="1" t="s">
        <v>58</v>
      </c>
      <c r="B12297" s="2" t="str">
        <f>""</f>
        <v/>
      </c>
      <c r="C12297" s="2" t="str">
        <f>""</f>
        <v/>
      </c>
      <c r="D12297" s="2" t="str">
        <f>""</f>
        <v/>
      </c>
      <c r="E12297" s="2" t="str">
        <f>""</f>
        <v/>
      </c>
      <c r="F12297" s="2" t="str">
        <f>""</f>
        <v/>
      </c>
      <c r="G12297" s="2" t="str">
        <f>"Serviços de Apoio / Serviço Arquivo Médico / SAME / Transferência de Pastas ()"</f>
        <v>Serviços de Apoio / Serviço Arquivo Médico / SAME / Transferência de Pastas ()</v>
      </c>
    </row>
    <row r="12298" spans="1:7" x14ac:dyDescent="0.3">
      <c r="A12298" s="1" t="s">
        <v>58</v>
      </c>
      <c r="B12298" s="2" t="str">
        <f>""</f>
        <v/>
      </c>
      <c r="C12298" s="2" t="str">
        <f>""</f>
        <v/>
      </c>
      <c r="D12298" s="2" t="str">
        <f>""</f>
        <v/>
      </c>
      <c r="E12298" s="2" t="str">
        <f>""</f>
        <v/>
      </c>
      <c r="F12298" s="2" t="str">
        <f>""</f>
        <v/>
      </c>
      <c r="G12298" s="2" t="str">
        <f>"Serviços de Apoio / Serviço Arquivo Médico / SAME / Pastas Parciais ()"</f>
        <v>Serviços de Apoio / Serviço Arquivo Médico / SAME / Pastas Parciais ()</v>
      </c>
    </row>
    <row r="12299" spans="1:7" x14ac:dyDescent="0.3">
      <c r="A12299" s="1" t="s">
        <v>58</v>
      </c>
      <c r="B12299" s="2" t="str">
        <f>""</f>
        <v/>
      </c>
      <c r="C12299" s="2" t="str">
        <f>""</f>
        <v/>
      </c>
      <c r="D12299" s="2" t="str">
        <f>""</f>
        <v/>
      </c>
      <c r="E12299" s="2" t="str">
        <f>""</f>
        <v/>
      </c>
      <c r="F12299" s="2" t="str">
        <f>""</f>
        <v/>
      </c>
      <c r="G12299" s="2" t="str">
        <f>"Serviços de Apoio / Serviço Arquivo Médico / Relatórios / Tabelas ()"</f>
        <v>Serviços de Apoio / Serviço Arquivo Médico / Relatórios / Tabelas ()</v>
      </c>
    </row>
    <row r="12300" spans="1:7" x14ac:dyDescent="0.3">
      <c r="A12300" s="1" t="s">
        <v>58</v>
      </c>
      <c r="B12300" s="2" t="str">
        <f>""</f>
        <v/>
      </c>
      <c r="C12300" s="2" t="str">
        <f>""</f>
        <v/>
      </c>
      <c r="D12300" s="2" t="str">
        <f>""</f>
        <v/>
      </c>
      <c r="E12300" s="2" t="str">
        <f>""</f>
        <v/>
      </c>
      <c r="F12300" s="2" t="str">
        <f>""</f>
        <v/>
      </c>
      <c r="G12300" s="2" t="str">
        <f>"Serviços de Apoio / Serviço Arquivo Médico / Relatórios / Administrativos ()"</f>
        <v>Serviços de Apoio / Serviço Arquivo Médico / Relatórios / Administrativos ()</v>
      </c>
    </row>
    <row r="12301" spans="1:7" x14ac:dyDescent="0.3">
      <c r="A12301" s="1" t="s">
        <v>58</v>
      </c>
      <c r="B12301" s="2" t="str">
        <f>""</f>
        <v/>
      </c>
      <c r="C12301" s="2" t="str">
        <f>""</f>
        <v/>
      </c>
      <c r="D12301" s="2" t="str">
        <f>""</f>
        <v/>
      </c>
      <c r="E12301" s="2" t="str">
        <f>""</f>
        <v/>
      </c>
      <c r="F12301" s="2" t="str">
        <f>""</f>
        <v/>
      </c>
      <c r="G12301" s="2" t="str">
        <f>"Serviços de Apoio / Serviço Arquivo Médico / Relatórios / Operacionais ()"</f>
        <v>Serviços de Apoio / Serviço Arquivo Médico / Relatórios / Operacionais ()</v>
      </c>
    </row>
    <row r="12302" spans="1:7" x14ac:dyDescent="0.3">
      <c r="A12302" s="1" t="s">
        <v>58</v>
      </c>
      <c r="B12302" s="2" t="str">
        <f>""</f>
        <v/>
      </c>
      <c r="C12302" s="2" t="str">
        <f>""</f>
        <v/>
      </c>
      <c r="D12302" s="2" t="str">
        <f>""</f>
        <v/>
      </c>
      <c r="E12302" s="2" t="str">
        <f>""</f>
        <v/>
      </c>
      <c r="F12302" s="2" t="str">
        <f>""</f>
        <v/>
      </c>
      <c r="G12302" s="2" t="str">
        <f>"Serviços de Apoio / Serviço Arquivo Médico / Relatórios / Estatísticos ()"</f>
        <v>Serviços de Apoio / Serviço Arquivo Médico / Relatórios / Estatísticos ()</v>
      </c>
    </row>
    <row r="12303" spans="1:7" x14ac:dyDescent="0.3">
      <c r="A12303" s="1" t="s">
        <v>58</v>
      </c>
      <c r="B12303" s="2" t="str">
        <f>""</f>
        <v/>
      </c>
      <c r="C12303" s="2" t="str">
        <f>""</f>
        <v/>
      </c>
      <c r="D12303" s="2" t="str">
        <f>""</f>
        <v/>
      </c>
      <c r="E12303" s="2" t="str">
        <f>""</f>
        <v/>
      </c>
      <c r="F12303" s="2" t="str">
        <f>""</f>
        <v/>
      </c>
      <c r="G12303" s="2" t="str">
        <f>"Serviços de Apoio / Serviço Arquivo Médico / Relatórios / Tabelas / Ocorrências ()"</f>
        <v>Serviços de Apoio / Serviço Arquivo Médico / Relatórios / Tabelas / Ocorrências ()</v>
      </c>
    </row>
    <row r="12304" spans="1:7" x14ac:dyDescent="0.3">
      <c r="A12304" s="1" t="s">
        <v>58</v>
      </c>
      <c r="B12304" s="2" t="str">
        <f>""</f>
        <v/>
      </c>
      <c r="C12304" s="2" t="str">
        <f>""</f>
        <v/>
      </c>
      <c r="D12304" s="2" t="str">
        <f>""</f>
        <v/>
      </c>
      <c r="E12304" s="2" t="str">
        <f>""</f>
        <v/>
      </c>
      <c r="F12304" s="2" t="str">
        <f>""</f>
        <v/>
      </c>
      <c r="G12304" s="2" t="str">
        <f>"Serviços de Apoio / Serviço Arquivo Médico / Relatórios / Operacionais / Altas ()"</f>
        <v>Serviços de Apoio / Serviço Arquivo Médico / Relatórios / Operacionais / Altas ()</v>
      </c>
    </row>
    <row r="12305" spans="1:7" x14ac:dyDescent="0.3">
      <c r="A12305" s="1" t="s">
        <v>58</v>
      </c>
      <c r="B12305" s="2" t="str">
        <f>""</f>
        <v/>
      </c>
      <c r="C12305" s="2" t="str">
        <f>""</f>
        <v/>
      </c>
      <c r="D12305" s="2" t="str">
        <f>""</f>
        <v/>
      </c>
      <c r="E12305" s="2" t="str">
        <f>""</f>
        <v/>
      </c>
      <c r="F12305" s="2" t="str">
        <f>""</f>
        <v/>
      </c>
      <c r="G12305" s="2" t="str">
        <f>"Serviços de Apoio / Serviço Arquivo Médico / Relatórios / Operacionais / Atendimentos ()"</f>
        <v>Serviços de Apoio / Serviço Arquivo Médico / Relatórios / Operacionais / Atendimentos ()</v>
      </c>
    </row>
    <row r="12306" spans="1:7" x14ac:dyDescent="0.3">
      <c r="A12306" s="1" t="s">
        <v>58</v>
      </c>
      <c r="B12306" s="2" t="str">
        <f>""</f>
        <v/>
      </c>
      <c r="C12306" s="2" t="str">
        <f>""</f>
        <v/>
      </c>
      <c r="D12306" s="2" t="str">
        <f>""</f>
        <v/>
      </c>
      <c r="E12306" s="2" t="str">
        <f>""</f>
        <v/>
      </c>
      <c r="F12306" s="2" t="str">
        <f>""</f>
        <v/>
      </c>
      <c r="G12306" s="2" t="str">
        <f>"Serviços de Apoio / Serviço Arquivo Médico / Relatórios / Operacionais / Pacientes ()"</f>
        <v>Serviços de Apoio / Serviço Arquivo Médico / Relatórios / Operacionais / Pacientes ()</v>
      </c>
    </row>
    <row r="12307" spans="1:7" x14ac:dyDescent="0.3">
      <c r="A12307" s="1" t="s">
        <v>58</v>
      </c>
      <c r="B12307" s="2" t="str">
        <f>""</f>
        <v/>
      </c>
      <c r="C12307" s="2" t="str">
        <f>""</f>
        <v/>
      </c>
      <c r="D12307" s="2" t="str">
        <f>""</f>
        <v/>
      </c>
      <c r="E12307" s="2" t="str">
        <f>""</f>
        <v/>
      </c>
      <c r="F12307" s="2" t="str">
        <f>""</f>
        <v/>
      </c>
      <c r="G12307" s="2" t="str">
        <f>"Serviços de Apoio / Serviço Arquivo Médico / Relatórios / Operacionais / Manutenção Depósito Antecipado ()"</f>
        <v>Serviços de Apoio / Serviço Arquivo Médico / Relatórios / Operacionais / Manutenção Depósito Antecipado ()</v>
      </c>
    </row>
    <row r="12308" spans="1:7" x14ac:dyDescent="0.3">
      <c r="A12308" s="1" t="s">
        <v>58</v>
      </c>
      <c r="B12308" s="2" t="str">
        <f>""</f>
        <v/>
      </c>
      <c r="C12308" s="2" t="str">
        <f>""</f>
        <v/>
      </c>
      <c r="D12308" s="2" t="str">
        <f>""</f>
        <v/>
      </c>
      <c r="E12308" s="2" t="str">
        <f>""</f>
        <v/>
      </c>
      <c r="F12308" s="2" t="str">
        <f>""</f>
        <v/>
      </c>
      <c r="G12308" s="2" t="str">
        <f>"Serviços de Apoio / Serviço Arquivo Médico / Relatórios / Administrativos / Documentos  ()"</f>
        <v>Serviços de Apoio / Serviço Arquivo Médico / Relatórios / Administrativos / Documentos  ()</v>
      </c>
    </row>
    <row r="12309" spans="1:7" x14ac:dyDescent="0.3">
      <c r="A12309" s="1" t="s">
        <v>58</v>
      </c>
      <c r="B12309" s="2" t="str">
        <f>""</f>
        <v/>
      </c>
      <c r="C12309" s="2" t="str">
        <f>""</f>
        <v/>
      </c>
      <c r="D12309" s="2" t="str">
        <f>""</f>
        <v/>
      </c>
      <c r="E12309" s="2" t="str">
        <f>""</f>
        <v/>
      </c>
      <c r="F12309" s="2" t="str">
        <f>""</f>
        <v/>
      </c>
      <c r="G12309" s="2" t="str">
        <f>"Serviços de Apoio / Serviço Arquivo Médico / Relatórios / Estatísticos / Cid ()"</f>
        <v>Serviços de Apoio / Serviço Arquivo Médico / Relatórios / Estatísticos / Cid ()</v>
      </c>
    </row>
    <row r="12310" spans="1:7" x14ac:dyDescent="0.3">
      <c r="A12310" s="1" t="s">
        <v>58</v>
      </c>
      <c r="B12310" s="2" t="str">
        <f>""</f>
        <v/>
      </c>
      <c r="C12310" s="2" t="str">
        <f>""</f>
        <v/>
      </c>
      <c r="D12310" s="2" t="str">
        <f>""</f>
        <v/>
      </c>
      <c r="E12310" s="2" t="str">
        <f>""</f>
        <v/>
      </c>
      <c r="F12310" s="2" t="str">
        <f>""</f>
        <v/>
      </c>
      <c r="G12310" s="2" t="str">
        <f>"Serviços de Apoio / Serviço Arquivo Médico / Relatórios / Estatísticos / Atendimentos ()"</f>
        <v>Serviços de Apoio / Serviço Arquivo Médico / Relatórios / Estatísticos / Atendimentos ()</v>
      </c>
    </row>
    <row r="12311" spans="1:7" x14ac:dyDescent="0.3">
      <c r="A12311" s="1" t="s">
        <v>58</v>
      </c>
      <c r="B12311" s="2" t="str">
        <f>""</f>
        <v/>
      </c>
      <c r="C12311" s="2" t="str">
        <f>""</f>
        <v/>
      </c>
      <c r="D12311" s="2" t="str">
        <f>""</f>
        <v/>
      </c>
      <c r="E12311" s="2" t="str">
        <f>""</f>
        <v/>
      </c>
      <c r="F12311" s="2" t="str">
        <f>""</f>
        <v/>
      </c>
      <c r="G12311" s="2" t="str">
        <f>"Serviços de Apoio / Serviço Arquivo Médico / Relatórios / Estatísticos / Internações ()"</f>
        <v>Serviços de Apoio / Serviço Arquivo Médico / Relatórios / Estatísticos / Internações ()</v>
      </c>
    </row>
    <row r="12312" spans="1:7" x14ac:dyDescent="0.3">
      <c r="A12312" s="1" t="s">
        <v>58</v>
      </c>
      <c r="B12312" s="2" t="str">
        <f>""</f>
        <v/>
      </c>
      <c r="C12312" s="2" t="str">
        <f>""</f>
        <v/>
      </c>
      <c r="D12312" s="2" t="str">
        <f>""</f>
        <v/>
      </c>
      <c r="E12312" s="2" t="str">
        <f>""</f>
        <v/>
      </c>
      <c r="F12312" s="2" t="str">
        <f>""</f>
        <v/>
      </c>
      <c r="G12312" s="2" t="str">
        <f>"Serviços de Apoio / Serviço Arquivo Médico / Relatórios / Estatísticos / Hospitalar ()"</f>
        <v>Serviços de Apoio / Serviço Arquivo Médico / Relatórios / Estatísticos / Hospitalar ()</v>
      </c>
    </row>
    <row r="12313" spans="1:7" x14ac:dyDescent="0.3">
      <c r="A12313" s="1" t="s">
        <v>58</v>
      </c>
      <c r="B12313" s="2" t="str">
        <f>""</f>
        <v/>
      </c>
      <c r="C12313" s="2" t="str">
        <f>""</f>
        <v/>
      </c>
      <c r="D12313" s="2" t="str">
        <f>""</f>
        <v/>
      </c>
      <c r="E12313" s="2" t="str">
        <f>""</f>
        <v/>
      </c>
      <c r="F12313" s="2" t="str">
        <f>""</f>
        <v/>
      </c>
      <c r="G12313" s="2" t="str">
        <f>"Materiais e Logística / Patrimônio / Consultas / Cotas ()"</f>
        <v>Materiais e Logística / Patrimônio / Consultas / Cotas ()</v>
      </c>
    </row>
    <row r="12314" spans="1:7" x14ac:dyDescent="0.3">
      <c r="A12314" s="1" t="s">
        <v>58</v>
      </c>
      <c r="B12314" s="2" t="str">
        <f>""</f>
        <v/>
      </c>
      <c r="C12314" s="2" t="str">
        <f>""</f>
        <v/>
      </c>
      <c r="D12314" s="2" t="str">
        <f>""</f>
        <v/>
      </c>
      <c r="E12314" s="2" t="str">
        <f>""</f>
        <v/>
      </c>
      <c r="F12314" s="2" t="str">
        <f>""</f>
        <v/>
      </c>
      <c r="G12314" s="2" t="str">
        <f>"Materiais e Logística / Almoxarifado / Consultas / Consumos ()"</f>
        <v>Materiais e Logística / Almoxarifado / Consultas / Consumos ()</v>
      </c>
    </row>
    <row r="12315" spans="1:7" x14ac:dyDescent="0.3">
      <c r="A12315" s="1" t="s">
        <v>58</v>
      </c>
      <c r="B12315" s="2" t="str">
        <f>""</f>
        <v/>
      </c>
      <c r="C12315" s="2" t="str">
        <f>""</f>
        <v/>
      </c>
      <c r="D12315" s="2" t="str">
        <f>""</f>
        <v/>
      </c>
      <c r="E12315" s="2" t="str">
        <f>""</f>
        <v/>
      </c>
      <c r="F12315" s="2" t="str">
        <f>""</f>
        <v/>
      </c>
      <c r="G12315" s="2" t="str">
        <f>"Materiais e Logística / Almoxarifado / Consultas / Estoques dos Produtos ()"</f>
        <v>Materiais e Logística / Almoxarifado / Consultas / Estoques dos Produtos ()</v>
      </c>
    </row>
    <row r="12316" spans="1:7" x14ac:dyDescent="0.3">
      <c r="A12316" s="1" t="s">
        <v>58</v>
      </c>
      <c r="B12316" s="2" t="str">
        <f>""</f>
        <v/>
      </c>
      <c r="C12316" s="2" t="str">
        <f>""</f>
        <v/>
      </c>
      <c r="D12316" s="2" t="str">
        <f>""</f>
        <v/>
      </c>
      <c r="E12316" s="2" t="str">
        <f>""</f>
        <v/>
      </c>
      <c r="F12316" s="2" t="str">
        <f>""</f>
        <v/>
      </c>
      <c r="G12316" s="2" t="str">
        <f>"Materiais e Logística / Almoxarifado / Consultas / Padronização ()"</f>
        <v>Materiais e Logística / Almoxarifado / Consultas / Padronização ()</v>
      </c>
    </row>
    <row r="12317" spans="1:7" x14ac:dyDescent="0.3">
      <c r="A12317" s="1" t="s">
        <v>58</v>
      </c>
      <c r="B12317" s="2" t="str">
        <f>""</f>
        <v/>
      </c>
      <c r="C12317" s="2" t="str">
        <f>""</f>
        <v/>
      </c>
      <c r="D12317" s="2" t="str">
        <f>""</f>
        <v/>
      </c>
      <c r="E12317" s="2" t="str">
        <f>""</f>
        <v/>
      </c>
      <c r="F12317" s="2" t="str">
        <f>""</f>
        <v/>
      </c>
      <c r="G12317" s="2" t="str">
        <f>"Materiais e Logística / Almoxarifado / Movimentações / Entradas ()"</f>
        <v>Materiais e Logística / Almoxarifado / Movimentações / Entradas ()</v>
      </c>
    </row>
    <row r="12318" spans="1:7" x14ac:dyDescent="0.3">
      <c r="A12318" s="1" t="s">
        <v>58</v>
      </c>
      <c r="B12318" s="2" t="str">
        <f>""</f>
        <v/>
      </c>
      <c r="C12318" s="2" t="str">
        <f>""</f>
        <v/>
      </c>
      <c r="D12318" s="2" t="str">
        <f>""</f>
        <v/>
      </c>
      <c r="E12318" s="2" t="str">
        <f>""</f>
        <v/>
      </c>
      <c r="F12318" s="2" t="str">
        <f>""</f>
        <v/>
      </c>
      <c r="G12318" s="2" t="str">
        <f>"Materiais e Logística / Almoxarifado / Movimentações / Saída de Produtos ()"</f>
        <v>Materiais e Logística / Almoxarifado / Movimentações / Saída de Produtos ()</v>
      </c>
    </row>
    <row r="12319" spans="1:7" x14ac:dyDescent="0.3">
      <c r="A12319" s="1" t="s">
        <v>58</v>
      </c>
      <c r="B12319" s="2" t="str">
        <f>""</f>
        <v/>
      </c>
      <c r="C12319" s="2" t="str">
        <f>""</f>
        <v/>
      </c>
      <c r="D12319" s="2" t="str">
        <f>""</f>
        <v/>
      </c>
      <c r="E12319" s="2" t="str">
        <f>""</f>
        <v/>
      </c>
      <c r="F12319" s="2" t="str">
        <f>""</f>
        <v/>
      </c>
      <c r="G12319" s="2" t="str">
        <f>"Materiais e Logística / Almoxarifado / Movimentações / Devoluções ()"</f>
        <v>Materiais e Logística / Almoxarifado / Movimentações / Devoluções ()</v>
      </c>
    </row>
    <row r="12320" spans="1:7" x14ac:dyDescent="0.3">
      <c r="A12320" s="1" t="s">
        <v>58</v>
      </c>
      <c r="B12320" s="2" t="str">
        <f>""</f>
        <v/>
      </c>
      <c r="C12320" s="2" t="str">
        <f>""</f>
        <v/>
      </c>
      <c r="D12320" s="2" t="str">
        <f>""</f>
        <v/>
      </c>
      <c r="E12320" s="2" t="str">
        <f>""</f>
        <v/>
      </c>
      <c r="F12320" s="2" t="str">
        <f>""</f>
        <v/>
      </c>
      <c r="G12320" s="2" t="str">
        <f>"Materiais e Logística / Almoxarifado / Movimentações / Movimentação entre empresas ()"</f>
        <v>Materiais e Logística / Almoxarifado / Movimentações / Movimentação entre empresas ()</v>
      </c>
    </row>
    <row r="12321" spans="1:7" x14ac:dyDescent="0.3">
      <c r="A12321" s="1" t="s">
        <v>58</v>
      </c>
      <c r="B12321" s="2" t="str">
        <f>""</f>
        <v/>
      </c>
      <c r="C12321" s="2" t="str">
        <f>""</f>
        <v/>
      </c>
      <c r="D12321" s="2" t="str">
        <f>""</f>
        <v/>
      </c>
      <c r="E12321" s="2" t="str">
        <f>""</f>
        <v/>
      </c>
      <c r="F12321" s="2" t="str">
        <f>""</f>
        <v/>
      </c>
      <c r="G12321" s="2" t="str">
        <f>"Materiais e Logística / Almoxarifado / Movimentações / Produção de Kits ()"</f>
        <v>Materiais e Logística / Almoxarifado / Movimentações / Produção de Kits ()</v>
      </c>
    </row>
    <row r="12322" spans="1:7" x14ac:dyDescent="0.3">
      <c r="A12322" s="1" t="s">
        <v>58</v>
      </c>
      <c r="B12322" s="2" t="str">
        <f>""</f>
        <v/>
      </c>
      <c r="C12322" s="2" t="str">
        <f>""</f>
        <v/>
      </c>
      <c r="D12322" s="2" t="str">
        <f>""</f>
        <v/>
      </c>
      <c r="E12322" s="2" t="str">
        <f>""</f>
        <v/>
      </c>
      <c r="F12322" s="2" t="str">
        <f>""</f>
        <v/>
      </c>
      <c r="G12322" s="2" t="str">
        <f>"Materiais e Logística / Almoxarifado / Relatórios / Tabelas ()"</f>
        <v>Materiais e Logística / Almoxarifado / Relatórios / Tabelas ()</v>
      </c>
    </row>
    <row r="12323" spans="1:7" x14ac:dyDescent="0.3">
      <c r="A12323" s="1" t="s">
        <v>58</v>
      </c>
      <c r="B12323" s="2" t="str">
        <f>""</f>
        <v/>
      </c>
      <c r="C12323" s="2" t="str">
        <f>""</f>
        <v/>
      </c>
      <c r="D12323" s="2" t="str">
        <f>""</f>
        <v/>
      </c>
      <c r="E12323" s="2" t="str">
        <f>""</f>
        <v/>
      </c>
      <c r="F12323" s="2" t="str">
        <f>""</f>
        <v/>
      </c>
      <c r="G12323" s="2" t="str">
        <f>"Materiais e Logística / Almoxarifado / Relatórios / Listagens ()"</f>
        <v>Materiais e Logística / Almoxarifado / Relatórios / Listagens ()</v>
      </c>
    </row>
    <row r="12324" spans="1:7" x14ac:dyDescent="0.3">
      <c r="A12324" s="1" t="s">
        <v>58</v>
      </c>
      <c r="B12324" s="2" t="str">
        <f>""</f>
        <v/>
      </c>
      <c r="C12324" s="2" t="str">
        <f>""</f>
        <v/>
      </c>
      <c r="D12324" s="2" t="str">
        <f>""</f>
        <v/>
      </c>
      <c r="E12324" s="2" t="str">
        <f>""</f>
        <v/>
      </c>
      <c r="F12324" s="2" t="str">
        <f>""</f>
        <v/>
      </c>
      <c r="G12324" s="2" t="str">
        <f>"Materiais e Logística / Almoxarifado / Relatórios / Contagem ()"</f>
        <v>Materiais e Logística / Almoxarifado / Relatórios / Contagem ()</v>
      </c>
    </row>
    <row r="12325" spans="1:7" x14ac:dyDescent="0.3">
      <c r="A12325" s="1" t="s">
        <v>58</v>
      </c>
      <c r="B12325" s="2" t="str">
        <f>""</f>
        <v/>
      </c>
      <c r="C12325" s="2" t="str">
        <f>""</f>
        <v/>
      </c>
      <c r="D12325" s="2" t="str">
        <f>""</f>
        <v/>
      </c>
      <c r="E12325" s="2" t="str">
        <f>""</f>
        <v/>
      </c>
      <c r="F12325" s="2" t="str">
        <f>""</f>
        <v/>
      </c>
      <c r="G12325" s="2" t="str">
        <f>"Materiais e Logística / Almoxarifado / Relatórios / Portarias ()"</f>
        <v>Materiais e Logística / Almoxarifado / Relatórios / Portarias ()</v>
      </c>
    </row>
    <row r="12326" spans="1:7" x14ac:dyDescent="0.3">
      <c r="A12326" s="1" t="s">
        <v>58</v>
      </c>
      <c r="B12326" s="2" t="str">
        <f>""</f>
        <v/>
      </c>
      <c r="C12326" s="2" t="str">
        <f>""</f>
        <v/>
      </c>
      <c r="D12326" s="2" t="str">
        <f>""</f>
        <v/>
      </c>
      <c r="E12326" s="2" t="str">
        <f>""</f>
        <v/>
      </c>
      <c r="F12326" s="2" t="str">
        <f>""</f>
        <v/>
      </c>
      <c r="G12326" s="2" t="str">
        <f>"Materiais e Logística / Almoxarifado / Relatórios / Solicitações do Compras ()"</f>
        <v>Materiais e Logística / Almoxarifado / Relatórios / Solicitações do Compras ()</v>
      </c>
    </row>
    <row r="12327" spans="1:7" x14ac:dyDescent="0.3">
      <c r="A12327" s="1" t="s">
        <v>58</v>
      </c>
      <c r="B12327" s="2" t="str">
        <f>""</f>
        <v/>
      </c>
      <c r="C12327" s="2" t="str">
        <f>""</f>
        <v/>
      </c>
      <c r="D12327" s="2" t="str">
        <f>""</f>
        <v/>
      </c>
      <c r="E12327" s="2" t="str">
        <f>""</f>
        <v/>
      </c>
      <c r="F12327" s="2" t="str">
        <f>""</f>
        <v/>
      </c>
      <c r="G12327" s="2" t="str">
        <f>"Materiais e Logística / Almoxarifado / Relatórios / Operacionais ()"</f>
        <v>Materiais e Logística / Almoxarifado / Relatórios / Operacionais ()</v>
      </c>
    </row>
    <row r="12328" spans="1:7" x14ac:dyDescent="0.3">
      <c r="A12328" s="1" t="s">
        <v>58</v>
      </c>
      <c r="B12328" s="2" t="str">
        <f>""</f>
        <v/>
      </c>
      <c r="C12328" s="2" t="str">
        <f>""</f>
        <v/>
      </c>
      <c r="D12328" s="2" t="str">
        <f>""</f>
        <v/>
      </c>
      <c r="E12328" s="2" t="str">
        <f>""</f>
        <v/>
      </c>
      <c r="F12328" s="2" t="str">
        <f>""</f>
        <v/>
      </c>
      <c r="G12328" s="2" t="str">
        <f>"Materiais e Logística / Almoxarifado / Relatórios / Preço ()"</f>
        <v>Materiais e Logística / Almoxarifado / Relatórios / Preço ()</v>
      </c>
    </row>
    <row r="12329" spans="1:7" x14ac:dyDescent="0.3">
      <c r="A12329" s="1" t="s">
        <v>58</v>
      </c>
      <c r="B12329" s="2" t="str">
        <f>""</f>
        <v/>
      </c>
      <c r="C12329" s="2" t="str">
        <f>""</f>
        <v/>
      </c>
      <c r="D12329" s="2" t="str">
        <f>""</f>
        <v/>
      </c>
      <c r="E12329" s="2" t="str">
        <f>""</f>
        <v/>
      </c>
      <c r="F12329" s="2" t="str">
        <f>""</f>
        <v/>
      </c>
      <c r="G12329" s="2" t="str">
        <f>"Materiais e Logística / Almoxarifado / Relatórios / Estatísticas ()"</f>
        <v>Materiais e Logística / Almoxarifado / Relatórios / Estatísticas ()</v>
      </c>
    </row>
    <row r="12330" spans="1:7" x14ac:dyDescent="0.3">
      <c r="A12330" s="1" t="s">
        <v>58</v>
      </c>
      <c r="B12330" s="2" t="str">
        <f>""</f>
        <v/>
      </c>
      <c r="C12330" s="2" t="str">
        <f>""</f>
        <v/>
      </c>
      <c r="D12330" s="2" t="str">
        <f>""</f>
        <v/>
      </c>
      <c r="E12330" s="2" t="str">
        <f>""</f>
        <v/>
      </c>
      <c r="F12330" s="2" t="str">
        <f>""</f>
        <v/>
      </c>
      <c r="G12330" s="2" t="str">
        <f>"Materiais e Logística / Almoxarifado / Relatórios / Administrativos ()"</f>
        <v>Materiais e Logística / Almoxarifado / Relatórios / Administrativos ()</v>
      </c>
    </row>
    <row r="12331" spans="1:7" x14ac:dyDescent="0.3">
      <c r="A12331" s="1" t="s">
        <v>58</v>
      </c>
      <c r="B12331" s="2" t="str">
        <f>""</f>
        <v/>
      </c>
      <c r="C12331" s="2" t="str">
        <f>""</f>
        <v/>
      </c>
      <c r="D12331" s="2" t="str">
        <f>""</f>
        <v/>
      </c>
      <c r="E12331" s="2" t="str">
        <f>""</f>
        <v/>
      </c>
      <c r="F12331" s="2" t="str">
        <f>""</f>
        <v/>
      </c>
      <c r="G12331" s="2" t="str">
        <f>"Materiais e Logística / Almoxarifado / Relatórios / Contábeis ()"</f>
        <v>Materiais e Logística / Almoxarifado / Relatórios / Contábeis ()</v>
      </c>
    </row>
    <row r="12332" spans="1:7" x14ac:dyDescent="0.3">
      <c r="A12332" s="1" t="s">
        <v>58</v>
      </c>
      <c r="B12332" s="2" t="str">
        <f>""</f>
        <v/>
      </c>
      <c r="C12332" s="2" t="str">
        <f>""</f>
        <v/>
      </c>
      <c r="D12332" s="2" t="str">
        <f>""</f>
        <v/>
      </c>
      <c r="E12332" s="2" t="str">
        <f>""</f>
        <v/>
      </c>
      <c r="F12332" s="2" t="str">
        <f>""</f>
        <v/>
      </c>
      <c r="G12332" s="2" t="str">
        <f>"Materiais e Logística / Almoxarifado / Relatórios / Gerenciais ()"</f>
        <v>Materiais e Logística / Almoxarifado / Relatórios / Gerenciais ()</v>
      </c>
    </row>
    <row r="12333" spans="1:7" x14ac:dyDescent="0.3">
      <c r="A12333" s="1" t="s">
        <v>58</v>
      </c>
      <c r="B12333" s="2" t="str">
        <f>""</f>
        <v/>
      </c>
      <c r="C12333" s="2" t="str">
        <f>""</f>
        <v/>
      </c>
      <c r="D12333" s="2" t="str">
        <f>""</f>
        <v/>
      </c>
      <c r="E12333" s="2" t="str">
        <f>""</f>
        <v/>
      </c>
      <c r="F12333" s="2" t="str">
        <f>""</f>
        <v/>
      </c>
      <c r="G12333" s="2" t="str">
        <f>"Materiais e Logística / Almoxarifado / Relatórios / Operacionais / Documento de Entradas e Entradas de Produtos ()"</f>
        <v>Materiais e Logística / Almoxarifado / Relatórios / Operacionais / Documento de Entradas e Entradas de Produtos ()</v>
      </c>
    </row>
    <row r="12334" spans="1:7" x14ac:dyDescent="0.3">
      <c r="A12334" s="1" t="s">
        <v>58</v>
      </c>
      <c r="B12334" s="2" t="str">
        <f>""</f>
        <v/>
      </c>
      <c r="C12334" s="2" t="str">
        <f>""</f>
        <v/>
      </c>
      <c r="D12334" s="2" t="str">
        <f>""</f>
        <v/>
      </c>
      <c r="E12334" s="2" t="str">
        <f>""</f>
        <v/>
      </c>
      <c r="F12334" s="2" t="str">
        <f>""</f>
        <v/>
      </c>
      <c r="G12334" s="2" t="str">
        <f>"Materiais e Logística / Almoxarifado / Relatórios / Operacionais / Movimentações de Emprestimos ()"</f>
        <v>Materiais e Logística / Almoxarifado / Relatórios / Operacionais / Movimentações de Emprestimos ()</v>
      </c>
    </row>
    <row r="12335" spans="1:7" x14ac:dyDescent="0.3">
      <c r="A12335" s="1" t="s">
        <v>58</v>
      </c>
      <c r="B12335" s="2" t="str">
        <f>""</f>
        <v/>
      </c>
      <c r="C12335" s="2" t="str">
        <f>""</f>
        <v/>
      </c>
      <c r="D12335" s="2" t="str">
        <f>""</f>
        <v/>
      </c>
      <c r="E12335" s="2" t="str">
        <f>""</f>
        <v/>
      </c>
      <c r="F12335" s="2" t="str">
        <f>""</f>
        <v/>
      </c>
      <c r="G12335" s="2" t="s">
        <v>23</v>
      </c>
    </row>
    <row r="12336" spans="1:7" x14ac:dyDescent="0.3">
      <c r="A12336" s="1" t="s">
        <v>58</v>
      </c>
      <c r="B12336" s="2" t="str">
        <f>""</f>
        <v/>
      </c>
      <c r="C12336" s="2" t="str">
        <f>""</f>
        <v/>
      </c>
      <c r="D12336" s="2" t="str">
        <f>""</f>
        <v/>
      </c>
      <c r="E12336" s="2" t="str">
        <f>""</f>
        <v/>
      </c>
      <c r="F12336" s="2" t="str">
        <f>""</f>
        <v/>
      </c>
      <c r="G12336" s="2" t="str">
        <f>"Materiais e Logística / Almoxarifado / Relatórios / Operacionais / Consumo das Movimentações ()"</f>
        <v>Materiais e Logística / Almoxarifado / Relatórios / Operacionais / Consumo das Movimentações ()</v>
      </c>
    </row>
    <row r="12337" spans="1:7" x14ac:dyDescent="0.3">
      <c r="A12337" s="1" t="s">
        <v>58</v>
      </c>
      <c r="B12337" s="2" t="str">
        <f>""</f>
        <v/>
      </c>
      <c r="C12337" s="2" t="str">
        <f>""</f>
        <v/>
      </c>
      <c r="D12337" s="2" t="str">
        <f>""</f>
        <v/>
      </c>
      <c r="E12337" s="2" t="str">
        <f>""</f>
        <v/>
      </c>
      <c r="F12337" s="2" t="str">
        <f>""</f>
        <v/>
      </c>
      <c r="G12337" s="2" t="str">
        <f>"Materiais e Logística / Almoxarifado / Relatórios / Operacionais / Análise do Custo Médio dos Produtos ()"</f>
        <v>Materiais e Logística / Almoxarifado / Relatórios / Operacionais / Análise do Custo Médio dos Produtos ()</v>
      </c>
    </row>
    <row r="12338" spans="1:7" x14ac:dyDescent="0.3">
      <c r="A12338" s="1" t="s">
        <v>58</v>
      </c>
      <c r="B12338" s="2" t="str">
        <f>""</f>
        <v/>
      </c>
      <c r="C12338" s="2" t="str">
        <f>""</f>
        <v/>
      </c>
      <c r="D12338" s="2" t="str">
        <f>""</f>
        <v/>
      </c>
      <c r="E12338" s="2" t="str">
        <f>""</f>
        <v/>
      </c>
      <c r="F12338" s="2" t="str">
        <f>""</f>
        <v/>
      </c>
      <c r="G12338" s="2" t="str">
        <f>"Controladoria / Contabilidade / Exportação / Escrituração Contábil Digital (SPED) ()"</f>
        <v>Controladoria / Contabilidade / Exportação / Escrituração Contábil Digital (SPED) ()</v>
      </c>
    </row>
    <row r="12339" spans="1:7" x14ac:dyDescent="0.3">
      <c r="A12339" s="1" t="s">
        <v>58</v>
      </c>
      <c r="B12339" s="2" t="str">
        <f>""</f>
        <v/>
      </c>
      <c r="C12339" s="2" t="str">
        <f>""</f>
        <v/>
      </c>
      <c r="D12339" s="2" t="str">
        <f>""</f>
        <v/>
      </c>
      <c r="E12339" s="2" t="str">
        <f>""</f>
        <v/>
      </c>
      <c r="F12339" s="2" t="str">
        <f>""</f>
        <v/>
      </c>
      <c r="G12339" s="2" t="str">
        <f>"Faturamento / Auditoria e Controle de Recursos de Glosas ()"</f>
        <v>Faturamento / Auditoria e Controle de Recursos de Glosas ()</v>
      </c>
    </row>
    <row r="12340" spans="1:7" x14ac:dyDescent="0.3">
      <c r="A12340" s="1" t="s">
        <v>58</v>
      </c>
      <c r="B12340" s="2" t="str">
        <f>""</f>
        <v/>
      </c>
      <c r="C12340" s="2" t="str">
        <f>""</f>
        <v/>
      </c>
      <c r="D12340" s="2" t="str">
        <f>""</f>
        <v/>
      </c>
      <c r="E12340" s="2" t="str">
        <f>""</f>
        <v/>
      </c>
      <c r="F12340" s="2" t="str">
        <f>""</f>
        <v/>
      </c>
      <c r="G12340" s="2" t="str">
        <f>"Faturamento / Auditoria e Controle de Recursos de Glosas / Lançamentos  ()"</f>
        <v>Faturamento / Auditoria e Controle de Recursos de Glosas / Lançamentos  ()</v>
      </c>
    </row>
    <row r="12341" spans="1:7" x14ac:dyDescent="0.3">
      <c r="A12341" s="1" t="s">
        <v>58</v>
      </c>
      <c r="B12341" s="2" t="str">
        <f>""</f>
        <v/>
      </c>
      <c r="C12341" s="2" t="str">
        <f>""</f>
        <v/>
      </c>
      <c r="D12341" s="2" t="str">
        <f>""</f>
        <v/>
      </c>
      <c r="E12341" s="2" t="str">
        <f>""</f>
        <v/>
      </c>
      <c r="F12341" s="2" t="str">
        <f>""</f>
        <v/>
      </c>
      <c r="G12341" s="2" t="str">
        <f>"Faturamento / Auditoria e Controle de Recursos de Glosas / Tabelas ()"</f>
        <v>Faturamento / Auditoria e Controle de Recursos de Glosas / Tabelas ()</v>
      </c>
    </row>
    <row r="12342" spans="1:7" x14ac:dyDescent="0.3">
      <c r="A12342" s="1" t="s">
        <v>58</v>
      </c>
      <c r="B12342" s="2" t="str">
        <f>""</f>
        <v/>
      </c>
      <c r="C12342" s="2" t="str">
        <f>""</f>
        <v/>
      </c>
      <c r="D12342" s="2" t="str">
        <f>""</f>
        <v/>
      </c>
      <c r="E12342" s="2" t="str">
        <f>""</f>
        <v/>
      </c>
      <c r="F12342" s="2" t="str">
        <f>""</f>
        <v/>
      </c>
      <c r="G12342" s="2" t="str">
        <f>"Faturamento / Auditoria e Controle de Recursos de Glosas / Configurações ()"</f>
        <v>Faturamento / Auditoria e Controle de Recursos de Glosas / Configurações ()</v>
      </c>
    </row>
    <row r="12343" spans="1:7" x14ac:dyDescent="0.3">
      <c r="A12343" s="1" t="s">
        <v>58</v>
      </c>
      <c r="B12343" s="2" t="str">
        <f>""</f>
        <v/>
      </c>
      <c r="C12343" s="2" t="str">
        <f>""</f>
        <v/>
      </c>
      <c r="D12343" s="2" t="str">
        <f>""</f>
        <v/>
      </c>
      <c r="E12343" s="2" t="str">
        <f>""</f>
        <v/>
      </c>
      <c r="F12343" s="2" t="str">
        <f>""</f>
        <v/>
      </c>
      <c r="G12343" s="2" t="str">
        <f>"Faturamento / Auditoria e Controle de Recursos de Glosas / Relatórios ()"</f>
        <v>Faturamento / Auditoria e Controle de Recursos de Glosas / Relatórios ()</v>
      </c>
    </row>
    <row r="12344" spans="1:7" x14ac:dyDescent="0.3">
      <c r="A12344" s="1" t="s">
        <v>58</v>
      </c>
      <c r="B12344" s="2" t="str">
        <f>""</f>
        <v/>
      </c>
      <c r="C12344" s="2" t="str">
        <f>""</f>
        <v/>
      </c>
      <c r="D12344" s="2" t="str">
        <f>""</f>
        <v/>
      </c>
      <c r="E12344" s="2" t="str">
        <f>""</f>
        <v/>
      </c>
      <c r="F12344" s="2" t="str">
        <f>""</f>
        <v/>
      </c>
      <c r="G12344" s="2" t="str">
        <f>"Faturamento / Auditoria e Controle de Recursos de Glosas / Tabelas / Gerais ()"</f>
        <v>Faturamento / Auditoria e Controle de Recursos de Glosas / Tabelas / Gerais ()</v>
      </c>
    </row>
    <row r="12345" spans="1:7" x14ac:dyDescent="0.3">
      <c r="A12345" s="1" t="s">
        <v>58</v>
      </c>
      <c r="B12345" s="2" t="str">
        <f>""</f>
        <v/>
      </c>
      <c r="C12345" s="2" t="str">
        <f>""</f>
        <v/>
      </c>
      <c r="D12345" s="2" t="str">
        <f>""</f>
        <v/>
      </c>
      <c r="E12345" s="2" t="str">
        <f>""</f>
        <v/>
      </c>
      <c r="F12345" s="2" t="str">
        <f>""</f>
        <v/>
      </c>
      <c r="G12345" s="2" t="str">
        <f>"Faturamento / Auditoria e Controle de Recursos de Glosas / Relatórios / Tabelas ()"</f>
        <v>Faturamento / Auditoria e Controle de Recursos de Glosas / Relatórios / Tabelas ()</v>
      </c>
    </row>
    <row r="12346" spans="1:7" x14ac:dyDescent="0.3">
      <c r="A12346" s="1" t="s">
        <v>58</v>
      </c>
      <c r="B12346" s="2" t="str">
        <f>""</f>
        <v/>
      </c>
      <c r="C12346" s="2" t="str">
        <f>""</f>
        <v/>
      </c>
      <c r="D12346" s="2" t="str">
        <f>""</f>
        <v/>
      </c>
      <c r="E12346" s="2" t="str">
        <f>""</f>
        <v/>
      </c>
      <c r="F12346" s="2" t="str">
        <f>""</f>
        <v/>
      </c>
      <c r="G12346" s="2" t="str">
        <f>"Faturamento / Auditoria e Controle de Recursos de Glosas / Relatórios / Operacionais ()"</f>
        <v>Faturamento / Auditoria e Controle de Recursos de Glosas / Relatórios / Operacionais ()</v>
      </c>
    </row>
    <row r="12347" spans="1:7" x14ac:dyDescent="0.3">
      <c r="A12347" s="1" t="s">
        <v>58</v>
      </c>
      <c r="B12347" s="2" t="str">
        <f>""</f>
        <v/>
      </c>
      <c r="C12347" s="2" t="str">
        <f>""</f>
        <v/>
      </c>
      <c r="D12347" s="2" t="str">
        <f>""</f>
        <v/>
      </c>
      <c r="E12347" s="2" t="str">
        <f>""</f>
        <v/>
      </c>
      <c r="F12347" s="2" t="str">
        <f>""</f>
        <v/>
      </c>
      <c r="G12347" s="2" t="str">
        <f>"Faturamento / Auditoria e Controle de Recursos de Glosas / Relatórios / Fatura ()"</f>
        <v>Faturamento / Auditoria e Controle de Recursos de Glosas / Relatórios / Fatura ()</v>
      </c>
    </row>
    <row r="12348" spans="1:7" x14ac:dyDescent="0.3">
      <c r="A12348" s="1" t="s">
        <v>58</v>
      </c>
      <c r="B12348" s="2" t="str">
        <f>""</f>
        <v/>
      </c>
      <c r="C12348" s="2" t="str">
        <f>""</f>
        <v/>
      </c>
      <c r="D12348" s="2" t="str">
        <f>""</f>
        <v/>
      </c>
      <c r="E12348" s="2" t="str">
        <f>""</f>
        <v/>
      </c>
      <c r="F12348" s="2" t="str">
        <f>""</f>
        <v/>
      </c>
      <c r="G12348" s="2" t="str">
        <f>"Faturamento / Auditoria e Controle de Recursos de Glosas / Relatórios / Administrativos ()"</f>
        <v>Faturamento / Auditoria e Controle de Recursos de Glosas / Relatórios / Administrativos ()</v>
      </c>
    </row>
    <row r="12349" spans="1:7" x14ac:dyDescent="0.3">
      <c r="A12349" s="1" t="s">
        <v>58</v>
      </c>
      <c r="B12349" s="2" t="str">
        <f>""</f>
        <v/>
      </c>
      <c r="C12349" s="2" t="str">
        <f>""</f>
        <v/>
      </c>
      <c r="D12349" s="2" t="str">
        <f>""</f>
        <v/>
      </c>
      <c r="E12349" s="2" t="str">
        <f>""</f>
        <v/>
      </c>
      <c r="F12349" s="2" t="str">
        <f>""</f>
        <v/>
      </c>
      <c r="G12349" s="2" t="str">
        <f>"Faturamento / Auditoria e Controle de Recursos de Glosas / Relatórios / Gerenciais ()"</f>
        <v>Faturamento / Auditoria e Controle de Recursos de Glosas / Relatórios / Gerenciais ()</v>
      </c>
    </row>
    <row r="12350" spans="1:7" x14ac:dyDescent="0.3">
      <c r="A12350" s="1" t="s">
        <v>58</v>
      </c>
      <c r="B12350" s="2" t="str">
        <f>""</f>
        <v/>
      </c>
      <c r="C12350" s="2" t="str">
        <f>""</f>
        <v/>
      </c>
      <c r="D12350" s="2" t="str">
        <f>""</f>
        <v/>
      </c>
      <c r="E12350" s="2" t="str">
        <f>""</f>
        <v/>
      </c>
      <c r="F12350" s="2" t="str">
        <f>""</f>
        <v/>
      </c>
      <c r="G12350" s="2" t="str">
        <f>"Faturamento / Auditoria e Controle de Recursos de Glosas / Relatórios / Administrativos / Glosas ()"</f>
        <v>Faturamento / Auditoria e Controle de Recursos de Glosas / Relatórios / Administrativos / Glosas ()</v>
      </c>
    </row>
    <row r="12351" spans="1:7" x14ac:dyDescent="0.3">
      <c r="A12351" s="1" t="s">
        <v>58</v>
      </c>
      <c r="B12351" s="2" t="str">
        <f>""</f>
        <v/>
      </c>
      <c r="C12351" s="2" t="str">
        <f>""</f>
        <v/>
      </c>
      <c r="D12351" s="2" t="str">
        <f>""</f>
        <v/>
      </c>
      <c r="E12351" s="2" t="str">
        <f>""</f>
        <v/>
      </c>
      <c r="F12351" s="2" t="str">
        <f>""</f>
        <v/>
      </c>
      <c r="G12351" s="2" t="str">
        <f>"Faturamento / Auditoria e Controle de Recursos de Glosas / Relatórios / Gerenciais / Análise Evolutiva de Receitas ()"</f>
        <v>Faturamento / Auditoria e Controle de Recursos de Glosas / Relatórios / Gerenciais / Análise Evolutiva de Receitas ()</v>
      </c>
    </row>
    <row r="12352" spans="1:7" x14ac:dyDescent="0.3">
      <c r="A12352" s="1" t="s">
        <v>58</v>
      </c>
      <c r="B12352" s="2" t="str">
        <f>""</f>
        <v/>
      </c>
      <c r="C12352" s="2" t="str">
        <f>""</f>
        <v/>
      </c>
      <c r="D12352" s="2" t="str">
        <f>""</f>
        <v/>
      </c>
      <c r="E12352" s="2" t="str">
        <f>""</f>
        <v/>
      </c>
      <c r="F12352" s="2" t="str">
        <f>""</f>
        <v/>
      </c>
      <c r="G12352" s="2" t="str">
        <f>"Faturamento / Auditoria e Controle de Recursos de Glosas / Relatórios / Gerenciais / Auditoria de Contas ()"</f>
        <v>Faturamento / Auditoria e Controle de Recursos de Glosas / Relatórios / Gerenciais / Auditoria de Contas ()</v>
      </c>
    </row>
    <row r="12353" spans="1:7" x14ac:dyDescent="0.3">
      <c r="A12353" s="1" t="s">
        <v>58</v>
      </c>
      <c r="B12353" s="2" t="str">
        <f>""</f>
        <v/>
      </c>
      <c r="C12353" s="2" t="str">
        <f>""</f>
        <v/>
      </c>
      <c r="D12353" s="2" t="str">
        <f>""</f>
        <v/>
      </c>
      <c r="E12353" s="2" t="str">
        <f>""</f>
        <v/>
      </c>
      <c r="F12353" s="2" t="str">
        <f>""</f>
        <v/>
      </c>
      <c r="G12353" s="2" t="str">
        <f>"Faturamento / Auditoria e Controle de Recursos de Glosas / Relatórios / Tabelas / Cobranças e Tabelas ()"</f>
        <v>Faturamento / Auditoria e Controle de Recursos de Glosas / Relatórios / Tabelas / Cobranças e Tabelas ()</v>
      </c>
    </row>
    <row r="12354" spans="1:7" x14ac:dyDescent="0.3">
      <c r="A12354" s="1" t="s">
        <v>58</v>
      </c>
      <c r="B12354" s="2" t="str">
        <f>""</f>
        <v/>
      </c>
      <c r="C12354" s="2" t="str">
        <f>""</f>
        <v/>
      </c>
      <c r="D12354" s="2" t="str">
        <f>""</f>
        <v/>
      </c>
      <c r="E12354" s="2" t="str">
        <f>""</f>
        <v/>
      </c>
      <c r="F12354" s="2" t="str">
        <f>""</f>
        <v/>
      </c>
      <c r="G12354" s="2" t="str">
        <f>"Faturamento / Auditoria e Controle de Recursos de Glosas / Relatórios / Tabelas / Formas de Apresentação ()"</f>
        <v>Faturamento / Auditoria e Controle de Recursos de Glosas / Relatórios / Tabelas / Formas de Apresentação ()</v>
      </c>
    </row>
    <row r="12355" spans="1:7" x14ac:dyDescent="0.3">
      <c r="A12355" s="1" t="s">
        <v>58</v>
      </c>
      <c r="B12355" s="2" t="str">
        <f>""</f>
        <v/>
      </c>
      <c r="C12355" s="2" t="str">
        <f>""</f>
        <v/>
      </c>
      <c r="D12355" s="2" t="str">
        <f>""</f>
        <v/>
      </c>
      <c r="E12355" s="2" t="str">
        <f>""</f>
        <v/>
      </c>
      <c r="F12355" s="2" t="str">
        <f>""</f>
        <v/>
      </c>
      <c r="G12355" s="2" t="str">
        <f>"Faturamento / Auditoria e Controle de Recursos de Glosas / Relatórios / Tabelas / Gerais ()"</f>
        <v>Faturamento / Auditoria e Controle de Recursos de Glosas / Relatórios / Tabelas / Gerais ()</v>
      </c>
    </row>
    <row r="12356" spans="1:7" x14ac:dyDescent="0.3">
      <c r="A12356" s="1" t="s">
        <v>58</v>
      </c>
      <c r="B12356" s="2" t="str">
        <f>""</f>
        <v/>
      </c>
      <c r="C12356" s="2" t="str">
        <f>""</f>
        <v/>
      </c>
      <c r="D12356" s="2" t="str">
        <f>""</f>
        <v/>
      </c>
      <c r="E12356" s="2" t="str">
        <f>""</f>
        <v/>
      </c>
      <c r="F12356" s="2" t="str">
        <f>""</f>
        <v/>
      </c>
      <c r="G12356" s="2" t="str">
        <f>"Faturamento / Auditoria e Controle de Recursos de Glosas / Relatórios / Tabelas / Tabela de Valores ()"</f>
        <v>Faturamento / Auditoria e Controle de Recursos de Glosas / Relatórios / Tabelas / Tabela de Valores ()</v>
      </c>
    </row>
    <row r="12357" spans="1:7" x14ac:dyDescent="0.3">
      <c r="A12357" s="1" t="s">
        <v>58</v>
      </c>
      <c r="B12357" s="2" t="str">
        <f>""</f>
        <v/>
      </c>
      <c r="C12357" s="2" t="str">
        <f>""</f>
        <v/>
      </c>
      <c r="D12357" s="2" t="str">
        <f>""</f>
        <v/>
      </c>
      <c r="E12357" s="2" t="str">
        <f>""</f>
        <v/>
      </c>
      <c r="F12357" s="2" t="str">
        <f>""</f>
        <v/>
      </c>
      <c r="G12357" s="2" t="str">
        <f>"Faturamento / Auditoria e Controle de Recursos de Glosas / Relatórios / Tabelas / Configuração ()"</f>
        <v>Faturamento / Auditoria e Controle de Recursos de Glosas / Relatórios / Tabelas / Configuração ()</v>
      </c>
    </row>
    <row r="12358" spans="1:7" x14ac:dyDescent="0.3">
      <c r="A12358" s="1" t="s">
        <v>58</v>
      </c>
      <c r="B12358" s="2" t="str">
        <f>""</f>
        <v/>
      </c>
      <c r="C12358" s="2" t="str">
        <f>""</f>
        <v/>
      </c>
      <c r="D12358" s="2" t="str">
        <f>""</f>
        <v/>
      </c>
      <c r="E12358" s="2" t="str">
        <f>""</f>
        <v/>
      </c>
      <c r="F12358" s="2" t="str">
        <f>""</f>
        <v/>
      </c>
      <c r="G12358" s="2" t="str">
        <f>"Faturamento / Auditoria e Controle de Recursos de Glosas / Relatórios / Tabelas / Cobranças e Tabelas / Regras ()"</f>
        <v>Faturamento / Auditoria e Controle de Recursos de Glosas / Relatórios / Tabelas / Cobranças e Tabelas / Regras ()</v>
      </c>
    </row>
    <row r="12359" spans="1:7" x14ac:dyDescent="0.3">
      <c r="A12359" s="1" t="s">
        <v>58</v>
      </c>
      <c r="B12359" s="2" t="str">
        <f>""</f>
        <v/>
      </c>
      <c r="C12359" s="2" t="str">
        <f>""</f>
        <v/>
      </c>
      <c r="D12359" s="2" t="str">
        <f>""</f>
        <v/>
      </c>
      <c r="E12359" s="2" t="str">
        <f>""</f>
        <v/>
      </c>
      <c r="F12359" s="2" t="str">
        <f>""</f>
        <v/>
      </c>
      <c r="G12359" s="2" t="str">
        <f>"Faturamento / Auditoria e Controle de Recursos de Glosas / Relatórios / Tabelas / Gerais / Convênios e Planos ()"</f>
        <v>Faturamento / Auditoria e Controle de Recursos de Glosas / Relatórios / Tabelas / Gerais / Convênios e Planos ()</v>
      </c>
    </row>
    <row r="12360" spans="1:7" x14ac:dyDescent="0.3">
      <c r="A12360" s="1" t="s">
        <v>58</v>
      </c>
      <c r="B12360" s="2" t="str">
        <f>""</f>
        <v/>
      </c>
      <c r="C12360" s="2" t="str">
        <f>""</f>
        <v/>
      </c>
      <c r="D12360" s="2" t="str">
        <f>""</f>
        <v/>
      </c>
      <c r="E12360" s="2" t="str">
        <f>""</f>
        <v/>
      </c>
      <c r="F12360" s="2" t="str">
        <f>""</f>
        <v/>
      </c>
      <c r="G12360" s="2" t="str">
        <f>"Serviços de Apoio / Diretoria Clinica ()"</f>
        <v>Serviços de Apoio / Diretoria Clinica ()</v>
      </c>
    </row>
    <row r="12361" spans="1:7" x14ac:dyDescent="0.3">
      <c r="A12361" s="1" t="s">
        <v>58</v>
      </c>
      <c r="B12361" s="2" t="str">
        <f>""</f>
        <v/>
      </c>
      <c r="C12361" s="2" t="str">
        <f>""</f>
        <v/>
      </c>
      <c r="D12361" s="2" t="str">
        <f>""</f>
        <v/>
      </c>
      <c r="E12361" s="2" t="str">
        <f>""</f>
        <v/>
      </c>
      <c r="F12361" s="2" t="str">
        <f>""</f>
        <v/>
      </c>
      <c r="G12361" s="2" t="str">
        <f>"Serviços de Apoio / Diretoria Clinica / Tabelas ()"</f>
        <v>Serviços de Apoio / Diretoria Clinica / Tabelas ()</v>
      </c>
    </row>
    <row r="12362" spans="1:7" x14ac:dyDescent="0.3">
      <c r="A12362" s="1" t="s">
        <v>58</v>
      </c>
      <c r="B12362" s="2" t="str">
        <f>""</f>
        <v/>
      </c>
      <c r="C12362" s="2" t="str">
        <f>""</f>
        <v/>
      </c>
      <c r="D12362" s="2" t="str">
        <f>""</f>
        <v/>
      </c>
      <c r="E12362" s="2" t="str">
        <f>""</f>
        <v/>
      </c>
      <c r="F12362" s="2" t="str">
        <f>""</f>
        <v/>
      </c>
      <c r="G12362" s="2" t="str">
        <f>"Serviços de Apoio / Diretoria Clinica / Importações ()"</f>
        <v>Serviços de Apoio / Diretoria Clinica / Importações ()</v>
      </c>
    </row>
    <row r="12363" spans="1:7" x14ac:dyDescent="0.3">
      <c r="A12363" s="1" t="s">
        <v>58</v>
      </c>
      <c r="B12363" s="2" t="str">
        <f>""</f>
        <v/>
      </c>
      <c r="C12363" s="2" t="str">
        <f>""</f>
        <v/>
      </c>
      <c r="D12363" s="2" t="str">
        <f>""</f>
        <v/>
      </c>
      <c r="E12363" s="2" t="str">
        <f>""</f>
        <v/>
      </c>
      <c r="F12363" s="2" t="str">
        <f>""</f>
        <v/>
      </c>
      <c r="G12363" s="2" t="str">
        <f>"Serviços de Apoio / Diretoria Clinica / Configurações ()"</f>
        <v>Serviços de Apoio / Diretoria Clinica / Configurações ()</v>
      </c>
    </row>
    <row r="12364" spans="1:7" x14ac:dyDescent="0.3">
      <c r="A12364" s="1" t="s">
        <v>58</v>
      </c>
      <c r="B12364" s="2" t="str">
        <f>""</f>
        <v/>
      </c>
      <c r="C12364" s="2" t="str">
        <f>""</f>
        <v/>
      </c>
      <c r="D12364" s="2" t="str">
        <f>""</f>
        <v/>
      </c>
      <c r="E12364" s="2" t="str">
        <f>""</f>
        <v/>
      </c>
      <c r="F12364" s="2" t="str">
        <f>""</f>
        <v/>
      </c>
      <c r="G12364" s="2" t="str">
        <f>"Serviços de Apoio / Diretoria Clinica / Consulta ()"</f>
        <v>Serviços de Apoio / Diretoria Clinica / Consulta ()</v>
      </c>
    </row>
    <row r="12365" spans="1:7" x14ac:dyDescent="0.3">
      <c r="A12365" s="1" t="s">
        <v>58</v>
      </c>
      <c r="B12365" s="2" t="str">
        <f>""</f>
        <v/>
      </c>
      <c r="C12365" s="2" t="str">
        <f>""</f>
        <v/>
      </c>
      <c r="D12365" s="2" t="str">
        <f>""</f>
        <v/>
      </c>
      <c r="E12365" s="2" t="str">
        <f>""</f>
        <v/>
      </c>
      <c r="F12365" s="2" t="str">
        <f>""</f>
        <v/>
      </c>
      <c r="G12365" s="2" t="str">
        <f>"Serviços de Apoio / Diretoria Clinica / Tabelas / SAS ()"</f>
        <v>Serviços de Apoio / Diretoria Clinica / Tabelas / SAS ()</v>
      </c>
    </row>
    <row r="12366" spans="1:7" x14ac:dyDescent="0.3">
      <c r="A12366" s="1" t="s">
        <v>58</v>
      </c>
      <c r="B12366" s="2" t="str">
        <f>""</f>
        <v/>
      </c>
      <c r="C12366" s="2" t="str">
        <f>""</f>
        <v/>
      </c>
      <c r="D12366" s="2" t="str">
        <f>""</f>
        <v/>
      </c>
      <c r="E12366" s="2" t="str">
        <f>""</f>
        <v/>
      </c>
      <c r="F12366" s="2" t="str">
        <f>""</f>
        <v/>
      </c>
      <c r="G12366" s="2" t="str">
        <f>"Serviços de Apoio / Diretoria Clinica / Relatórios / Tabelas ()"</f>
        <v>Serviços de Apoio / Diretoria Clinica / Relatórios / Tabelas ()</v>
      </c>
    </row>
    <row r="12367" spans="1:7" x14ac:dyDescent="0.3">
      <c r="A12367" s="1" t="s">
        <v>58</v>
      </c>
      <c r="B12367" s="2" t="str">
        <f>""</f>
        <v/>
      </c>
      <c r="C12367" s="2" t="str">
        <f>""</f>
        <v/>
      </c>
      <c r="D12367" s="2" t="str">
        <f>""</f>
        <v/>
      </c>
      <c r="E12367" s="2" t="str">
        <f>""</f>
        <v/>
      </c>
      <c r="F12367" s="2" t="str">
        <f>""</f>
        <v/>
      </c>
      <c r="G12367" s="2" t="str">
        <f>"Serviços de Apoio / Diretoria Clinica / Relatórios / Ocorrências ()"</f>
        <v>Serviços de Apoio / Diretoria Clinica / Relatórios / Ocorrências ()</v>
      </c>
    </row>
    <row r="12368" spans="1:7" x14ac:dyDescent="0.3">
      <c r="A12368" s="1" t="s">
        <v>58</v>
      </c>
      <c r="B12368" s="2" t="str">
        <f>""</f>
        <v/>
      </c>
      <c r="C12368" s="2" t="str">
        <f>""</f>
        <v/>
      </c>
      <c r="D12368" s="2" t="str">
        <f>""</f>
        <v/>
      </c>
      <c r="E12368" s="2" t="str">
        <f>""</f>
        <v/>
      </c>
      <c r="F12368" s="2" t="str">
        <f>""</f>
        <v/>
      </c>
      <c r="G12368" s="2" t="str">
        <f>"Serviços de Apoio / Diretoria Clinica / Relatórios / Operacionais ()"</f>
        <v>Serviços de Apoio / Diretoria Clinica / Relatórios / Operacionais ()</v>
      </c>
    </row>
    <row r="12369" spans="1:7" x14ac:dyDescent="0.3">
      <c r="A12369" s="1" t="s">
        <v>58</v>
      </c>
      <c r="B12369" s="2" t="str">
        <f>""</f>
        <v/>
      </c>
      <c r="C12369" s="2" t="str">
        <f>""</f>
        <v/>
      </c>
      <c r="D12369" s="2" t="str">
        <f>""</f>
        <v/>
      </c>
      <c r="E12369" s="2" t="str">
        <f>""</f>
        <v/>
      </c>
      <c r="F12369" s="2" t="str">
        <f>""</f>
        <v/>
      </c>
      <c r="G12369" s="2" t="str">
        <f>"Outros / Administração do Sistema ()"</f>
        <v>Outros / Administração do Sistema ()</v>
      </c>
    </row>
    <row r="12370" spans="1:7" x14ac:dyDescent="0.3">
      <c r="A12370" s="1" t="s">
        <v>58</v>
      </c>
      <c r="B12370" s="2" t="str">
        <f>""</f>
        <v/>
      </c>
      <c r="C12370" s="2" t="str">
        <f>""</f>
        <v/>
      </c>
      <c r="D12370" s="2" t="str">
        <f>""</f>
        <v/>
      </c>
      <c r="E12370" s="2" t="str">
        <f>""</f>
        <v/>
      </c>
      <c r="F12370" s="2" t="str">
        <f>""</f>
        <v/>
      </c>
      <c r="G12370" s="2" t="str">
        <f>"Outros / Administração do Sistema / Geral ()"</f>
        <v>Outros / Administração do Sistema / Geral ()</v>
      </c>
    </row>
    <row r="12371" spans="1:7" x14ac:dyDescent="0.3">
      <c r="A12371" s="1" t="s">
        <v>58</v>
      </c>
      <c r="B12371" s="2" t="str">
        <f>""</f>
        <v/>
      </c>
      <c r="C12371" s="2" t="str">
        <f>""</f>
        <v/>
      </c>
      <c r="D12371" s="2" t="str">
        <f>""</f>
        <v/>
      </c>
      <c r="E12371" s="2" t="str">
        <f>""</f>
        <v/>
      </c>
      <c r="F12371" s="2" t="str">
        <f>""</f>
        <v/>
      </c>
      <c r="G12371" s="2" t="str">
        <f>"Outros / Administração do Sistema / Aplicador de Script ()"</f>
        <v>Outros / Administração do Sistema / Aplicador de Script ()</v>
      </c>
    </row>
    <row r="12372" spans="1:7" x14ac:dyDescent="0.3">
      <c r="A12372" s="1" t="s">
        <v>58</v>
      </c>
      <c r="B12372" s="2" t="str">
        <f>""</f>
        <v/>
      </c>
      <c r="C12372" s="2" t="str">
        <f>""</f>
        <v/>
      </c>
      <c r="D12372" s="2" t="str">
        <f>""</f>
        <v/>
      </c>
      <c r="E12372" s="2" t="str">
        <f>""</f>
        <v/>
      </c>
      <c r="F12372" s="2" t="str">
        <f>""</f>
        <v/>
      </c>
      <c r="G12372" s="2" t="str">
        <f>"Outros / Administração do Sistema / Comparador de Esquemas ()"</f>
        <v>Outros / Administração do Sistema / Comparador de Esquemas ()</v>
      </c>
    </row>
    <row r="12373" spans="1:7" x14ac:dyDescent="0.3">
      <c r="A12373" s="1" t="s">
        <v>58</v>
      </c>
      <c r="B12373" s="2" t="str">
        <f>""</f>
        <v/>
      </c>
      <c r="C12373" s="2" t="str">
        <f>""</f>
        <v/>
      </c>
      <c r="D12373" s="2" t="str">
        <f>""</f>
        <v/>
      </c>
      <c r="E12373" s="2" t="str">
        <f>""</f>
        <v/>
      </c>
      <c r="F12373" s="2" t="str">
        <f>""</f>
        <v/>
      </c>
      <c r="G12373" s="2" t="str">
        <f>"Outros / Administração do Sistema / Regras de Negócio ()"</f>
        <v>Outros / Administração do Sistema / Regras de Negócio ()</v>
      </c>
    </row>
    <row r="12374" spans="1:7" x14ac:dyDescent="0.3">
      <c r="A12374" s="1" t="s">
        <v>58</v>
      </c>
      <c r="B12374" s="2" t="str">
        <f>""</f>
        <v/>
      </c>
      <c r="C12374" s="2" t="str">
        <f>""</f>
        <v/>
      </c>
      <c r="D12374" s="2" t="str">
        <f>""</f>
        <v/>
      </c>
      <c r="E12374" s="2" t="str">
        <f>""</f>
        <v/>
      </c>
      <c r="F12374" s="2" t="str">
        <f>""</f>
        <v/>
      </c>
      <c r="G12374" s="2" t="str">
        <f>"Outros / Administração do Sistema / Multi - Idiomas ()"</f>
        <v>Outros / Administração do Sistema / Multi - Idiomas ()</v>
      </c>
    </row>
    <row r="12375" spans="1:7" x14ac:dyDescent="0.3">
      <c r="A12375" s="1" t="s">
        <v>58</v>
      </c>
      <c r="B12375" s="2" t="str">
        <f>""</f>
        <v/>
      </c>
      <c r="C12375" s="2" t="str">
        <f>""</f>
        <v/>
      </c>
      <c r="D12375" s="2" t="str">
        <f>""</f>
        <v/>
      </c>
      <c r="E12375" s="2" t="str">
        <f>""</f>
        <v/>
      </c>
      <c r="F12375" s="2" t="str">
        <f>""</f>
        <v/>
      </c>
      <c r="G12375" s="2" t="str">
        <f>"Outros / Administração do Sistema / Ajuda ()"</f>
        <v>Outros / Administração do Sistema / Ajuda ()</v>
      </c>
    </row>
    <row r="12376" spans="1:7" x14ac:dyDescent="0.3">
      <c r="A12376" s="1" t="s">
        <v>58</v>
      </c>
      <c r="B12376" s="2" t="str">
        <f>""</f>
        <v/>
      </c>
      <c r="C12376" s="2" t="str">
        <f>""</f>
        <v/>
      </c>
      <c r="D12376" s="2" t="str">
        <f>""</f>
        <v/>
      </c>
      <c r="E12376" s="2" t="str">
        <f>""</f>
        <v/>
      </c>
      <c r="F12376" s="2" t="str">
        <f>""</f>
        <v/>
      </c>
      <c r="G12376" s="2" t="str">
        <f>"Outros / Administração do Sistema / Aplicador de Script / Execução de Scripts ()"</f>
        <v>Outros / Administração do Sistema / Aplicador de Script / Execução de Scripts ()</v>
      </c>
    </row>
    <row r="12377" spans="1:7" x14ac:dyDescent="0.3">
      <c r="A12377" s="1" t="s">
        <v>58</v>
      </c>
      <c r="B12377" s="2" t="str">
        <f>""</f>
        <v/>
      </c>
      <c r="C12377" s="2" t="str">
        <f>""</f>
        <v/>
      </c>
      <c r="D12377" s="2" t="str">
        <f>""</f>
        <v/>
      </c>
      <c r="E12377" s="2" t="str">
        <f>""</f>
        <v/>
      </c>
      <c r="F12377" s="2" t="str">
        <f>""</f>
        <v/>
      </c>
      <c r="G12377" s="2" t="str">
        <f>"Outros / Administração do Sistema / Comparador de Esquemas / Fechamento de Versao ()"</f>
        <v>Outros / Administração do Sistema / Comparador de Esquemas / Fechamento de Versao ()</v>
      </c>
    </row>
    <row r="12378" spans="1:7" x14ac:dyDescent="0.3">
      <c r="A12378" s="1" t="s">
        <v>58</v>
      </c>
      <c r="B12378" s="2" t="str">
        <f>""</f>
        <v/>
      </c>
      <c r="C12378" s="2" t="str">
        <f>""</f>
        <v/>
      </c>
      <c r="D12378" s="2" t="str">
        <f>""</f>
        <v/>
      </c>
      <c r="E12378" s="2" t="str">
        <f>""</f>
        <v/>
      </c>
      <c r="F12378" s="2" t="str">
        <f>""</f>
        <v/>
      </c>
      <c r="G12378" s="2" t="str">
        <f>"Outros / Administração do Sistema / Comparador de Esquemas / Cadastro de Excessões ()"</f>
        <v>Outros / Administração do Sistema / Comparador de Esquemas / Cadastro de Excessões ()</v>
      </c>
    </row>
    <row r="12379" spans="1:7" x14ac:dyDescent="0.3">
      <c r="A12379" s="1" t="s">
        <v>58</v>
      </c>
      <c r="B12379" s="2" t="str">
        <f>""</f>
        <v/>
      </c>
      <c r="C12379" s="2" t="str">
        <f>""</f>
        <v/>
      </c>
      <c r="D12379" s="2" t="str">
        <f>""</f>
        <v/>
      </c>
      <c r="E12379" s="2" t="str">
        <f>""</f>
        <v/>
      </c>
      <c r="F12379" s="2" t="str">
        <f>""</f>
        <v/>
      </c>
      <c r="G12379" s="2" t="str">
        <f>"Outros / Administração do Sistema / Geral / Status de DBLINK ()"</f>
        <v>Outros / Administração do Sistema / Geral / Status de DBLINK ()</v>
      </c>
    </row>
    <row r="12380" spans="1:7" x14ac:dyDescent="0.3">
      <c r="A12380" s="1" t="s">
        <v>58</v>
      </c>
      <c r="B12380" s="2" t="str">
        <f>""</f>
        <v/>
      </c>
      <c r="C12380" s="2" t="str">
        <f>""</f>
        <v/>
      </c>
      <c r="D12380" s="2" t="str">
        <f>""</f>
        <v/>
      </c>
      <c r="E12380" s="2" t="str">
        <f>""</f>
        <v/>
      </c>
      <c r="F12380" s="2" t="str">
        <f>""</f>
        <v/>
      </c>
      <c r="G12380" s="2" t="str">
        <f>"Outros / Administração do Sistema / Regras de Negócio / Regra de Validação e Repositório ()"</f>
        <v>Outros / Administração do Sistema / Regras de Negócio / Regra de Validação e Repositório ()</v>
      </c>
    </row>
    <row r="12381" spans="1:7" x14ac:dyDescent="0.3">
      <c r="A12381" s="1" t="s">
        <v>58</v>
      </c>
      <c r="B12381" s="2" t="str">
        <f>""</f>
        <v/>
      </c>
      <c r="C12381" s="2" t="str">
        <f>""</f>
        <v/>
      </c>
      <c r="D12381" s="2" t="str">
        <f>""</f>
        <v/>
      </c>
      <c r="E12381" s="2" t="str">
        <f>""</f>
        <v/>
      </c>
      <c r="F12381" s="2" t="str">
        <f>""</f>
        <v/>
      </c>
      <c r="G12381" s="2" t="str">
        <f>"Outros / Administração do Sistema / Regras de Negócio / Importação de Dados ()"</f>
        <v>Outros / Administração do Sistema / Regras de Negócio / Importação de Dados ()</v>
      </c>
    </row>
    <row r="12382" spans="1:7" x14ac:dyDescent="0.3">
      <c r="A12382" s="1" t="s">
        <v>58</v>
      </c>
      <c r="B12382" s="2" t="str">
        <f>""</f>
        <v/>
      </c>
      <c r="C12382" s="2" t="str">
        <f>""</f>
        <v/>
      </c>
      <c r="D12382" s="2" t="str">
        <f>""</f>
        <v/>
      </c>
      <c r="E12382" s="2" t="str">
        <f>""</f>
        <v/>
      </c>
      <c r="F12382" s="2" t="str">
        <f>""</f>
        <v/>
      </c>
      <c r="G12382" s="2" t="str">
        <f>"Outros / Administração do Sistema / Regras de Negócio / Exportação de Dados ()"</f>
        <v>Outros / Administração do Sistema / Regras de Negócio / Exportação de Dados ()</v>
      </c>
    </row>
    <row r="12383" spans="1:7" x14ac:dyDescent="0.3">
      <c r="A12383" s="1" t="s">
        <v>58</v>
      </c>
      <c r="B12383" s="2" t="str">
        <f>""</f>
        <v/>
      </c>
      <c r="C12383" s="2" t="str">
        <f>""</f>
        <v/>
      </c>
      <c r="D12383" s="2" t="str">
        <f>""</f>
        <v/>
      </c>
      <c r="E12383" s="2" t="str">
        <f>""</f>
        <v/>
      </c>
      <c r="F12383" s="2" t="str">
        <f>""</f>
        <v/>
      </c>
      <c r="G12383" s="2" t="str">
        <f>"MVSaude / Atendimento / Autorizações de Guias / Internação / Relatórios / Internados ()"</f>
        <v>MVSaude / Atendimento / Autorizações de Guias / Internação / Relatórios / Internados ()</v>
      </c>
    </row>
    <row r="12384" spans="1:7" x14ac:dyDescent="0.3">
      <c r="A12384" s="1" t="s">
        <v>58</v>
      </c>
      <c r="B12384" s="2" t="str">
        <f>""</f>
        <v/>
      </c>
      <c r="C12384" s="2" t="str">
        <f>""</f>
        <v/>
      </c>
      <c r="D12384" s="2" t="str">
        <f>""</f>
        <v/>
      </c>
      <c r="E12384" s="2" t="str">
        <f>""</f>
        <v/>
      </c>
      <c r="F12384" s="2" t="str">
        <f>""</f>
        <v/>
      </c>
      <c r="G12384" s="2" t="str">
        <f>"Atendimento / Centro Cirúrgico e Obstétrico / Relatórios / Tabelas ()"</f>
        <v>Atendimento / Centro Cirúrgico e Obstétrico / Relatórios / Tabelas ()</v>
      </c>
    </row>
    <row r="12385" spans="1:7" x14ac:dyDescent="0.3">
      <c r="A12385" s="1" t="s">
        <v>58</v>
      </c>
      <c r="B12385" s="2" t="str">
        <f>""</f>
        <v/>
      </c>
      <c r="C12385" s="2" t="str">
        <f>""</f>
        <v/>
      </c>
      <c r="D12385" s="2" t="str">
        <f>""</f>
        <v/>
      </c>
      <c r="E12385" s="2" t="str">
        <f>""</f>
        <v/>
      </c>
      <c r="F12385" s="2" t="str">
        <f>""</f>
        <v/>
      </c>
      <c r="G12385" s="2" t="str">
        <f>"Atendimento / Centro Cirúrgico e Obstétrico / Relatórios / Operacionais ()"</f>
        <v>Atendimento / Centro Cirúrgico e Obstétrico / Relatórios / Operacionais ()</v>
      </c>
    </row>
    <row r="12386" spans="1:7" x14ac:dyDescent="0.3">
      <c r="A12386" s="1" t="s">
        <v>58</v>
      </c>
      <c r="B12386" s="2" t="str">
        <f>""</f>
        <v/>
      </c>
      <c r="C12386" s="2" t="str">
        <f>""</f>
        <v/>
      </c>
      <c r="D12386" s="2" t="str">
        <f>""</f>
        <v/>
      </c>
      <c r="E12386" s="2" t="str">
        <f>""</f>
        <v/>
      </c>
      <c r="F12386" s="2" t="str">
        <f>""</f>
        <v/>
      </c>
      <c r="G12386" s="2" t="str">
        <f>"Atendimento / Centro Cirúrgico e Obstétrico / Relatórios / Estatísticos ()"</f>
        <v>Atendimento / Centro Cirúrgico e Obstétrico / Relatórios / Estatísticos ()</v>
      </c>
    </row>
    <row r="12387" spans="1:7" x14ac:dyDescent="0.3">
      <c r="A12387" s="1" t="s">
        <v>58</v>
      </c>
      <c r="B12387" s="2" t="str">
        <f>""</f>
        <v/>
      </c>
      <c r="C12387" s="2" t="str">
        <f>""</f>
        <v/>
      </c>
      <c r="D12387" s="2" t="str">
        <f>""</f>
        <v/>
      </c>
      <c r="E12387" s="2" t="str">
        <f>""</f>
        <v/>
      </c>
      <c r="F12387" s="2" t="str">
        <f>""</f>
        <v/>
      </c>
      <c r="G12387" s="2" t="str">
        <f>"Atendimento / Centro Cirúrgico e Obstétrico / Relatórios / Administrativos ()"</f>
        <v>Atendimento / Centro Cirúrgico e Obstétrico / Relatórios / Administrativos ()</v>
      </c>
    </row>
    <row r="12388" spans="1:7" x14ac:dyDescent="0.3">
      <c r="A12388" s="1" t="s">
        <v>58</v>
      </c>
      <c r="B12388" s="2" t="str">
        <f>""</f>
        <v/>
      </c>
      <c r="C12388" s="2" t="str">
        <f>""</f>
        <v/>
      </c>
      <c r="D12388" s="2" t="str">
        <f>""</f>
        <v/>
      </c>
      <c r="E12388" s="2" t="str">
        <f>""</f>
        <v/>
      </c>
      <c r="F12388" s="2" t="str">
        <f>""</f>
        <v/>
      </c>
      <c r="G12388" s="2" t="str">
        <f>"Atendimento / Centro Cirúrgico e Obstétrico / Relatórios / Gerenciais ()"</f>
        <v>Atendimento / Centro Cirúrgico e Obstétrico / Relatórios / Gerenciais ()</v>
      </c>
    </row>
    <row r="12389" spans="1:7" x14ac:dyDescent="0.3">
      <c r="A12389" s="1" t="s">
        <v>58</v>
      </c>
      <c r="B12389" s="2" t="str">
        <f>""</f>
        <v/>
      </c>
      <c r="C12389" s="2" t="str">
        <f>""</f>
        <v/>
      </c>
      <c r="D12389" s="2" t="str">
        <f>""</f>
        <v/>
      </c>
      <c r="E12389" s="2" t="str">
        <f>""</f>
        <v/>
      </c>
      <c r="F12389" s="2" t="str">
        <f>""</f>
        <v/>
      </c>
      <c r="G12389" s="2" t="str">
        <f>"Atendimento / Centro Cirúrgico e Obstétrico / Relatórios / Tabelas ()"</f>
        <v>Atendimento / Centro Cirúrgico e Obstétrico / Relatórios / Tabelas ()</v>
      </c>
    </row>
    <row r="12390" spans="1:7" x14ac:dyDescent="0.3">
      <c r="A12390" s="1" t="s">
        <v>58</v>
      </c>
      <c r="B12390" s="2" t="str">
        <f>""</f>
        <v/>
      </c>
      <c r="C12390" s="2" t="str">
        <f>""</f>
        <v/>
      </c>
      <c r="D12390" s="2" t="str">
        <f>""</f>
        <v/>
      </c>
      <c r="E12390" s="2" t="str">
        <f>""</f>
        <v/>
      </c>
      <c r="F12390" s="2" t="str">
        <f>""</f>
        <v/>
      </c>
      <c r="G12390" s="2" t="str">
        <f>"Atendimento / Centro Cirúrgico e Obstétrico / Relatórios / Operacionais ()"</f>
        <v>Atendimento / Centro Cirúrgico e Obstétrico / Relatórios / Operacionais ()</v>
      </c>
    </row>
    <row r="12391" spans="1:7" x14ac:dyDescent="0.3">
      <c r="A12391" s="1" t="s">
        <v>58</v>
      </c>
      <c r="B12391" s="2" t="str">
        <f>""</f>
        <v/>
      </c>
      <c r="C12391" s="2" t="str">
        <f>""</f>
        <v/>
      </c>
      <c r="D12391" s="2" t="str">
        <f>""</f>
        <v/>
      </c>
      <c r="E12391" s="2" t="str">
        <f>""</f>
        <v/>
      </c>
      <c r="F12391" s="2" t="str">
        <f>""</f>
        <v/>
      </c>
      <c r="G12391" s="2" t="str">
        <f>"MVSaude / Atendimento / Autorizações de Guias / Internação / Relatórios / Movimentação ()"</f>
        <v>MVSaude / Atendimento / Autorizações de Guias / Internação / Relatórios / Movimentação ()</v>
      </c>
    </row>
    <row r="12392" spans="1:7" x14ac:dyDescent="0.3">
      <c r="A12392" s="1" t="s">
        <v>58</v>
      </c>
      <c r="B12392" s="2" t="str">
        <f>""</f>
        <v/>
      </c>
      <c r="C12392" s="2" t="str">
        <f>""</f>
        <v/>
      </c>
      <c r="D12392" s="2" t="str">
        <f>""</f>
        <v/>
      </c>
      <c r="E12392" s="2" t="str">
        <f>""</f>
        <v/>
      </c>
      <c r="F12392" s="2" t="str">
        <f>""</f>
        <v/>
      </c>
      <c r="G12392" s="2" t="str">
        <f>"Atendimento / Centro Cirúrgico e Obstétrico / Relatórios / Operacionais / Agenda ()"</f>
        <v>Atendimento / Centro Cirúrgico e Obstétrico / Relatórios / Operacionais / Agenda ()</v>
      </c>
    </row>
    <row r="12393" spans="1:7" x14ac:dyDescent="0.3">
      <c r="A12393" s="1" t="s">
        <v>58</v>
      </c>
      <c r="B12393" s="2" t="str">
        <f>""</f>
        <v/>
      </c>
      <c r="C12393" s="2" t="str">
        <f>""</f>
        <v/>
      </c>
      <c r="D12393" s="2" t="str">
        <f>""</f>
        <v/>
      </c>
      <c r="E12393" s="2" t="str">
        <f>""</f>
        <v/>
      </c>
      <c r="F12393" s="2" t="str">
        <f>""</f>
        <v/>
      </c>
      <c r="G12393" s="2" t="str">
        <f>"MVSaude / Atendimento / Autorizações de Guias / Internação / Relatórios / AIH ()"</f>
        <v>MVSaude / Atendimento / Autorizações de Guias / Internação / Relatórios / AIH ()</v>
      </c>
    </row>
    <row r="12394" spans="1:7" x14ac:dyDescent="0.3">
      <c r="A12394" s="1" t="s">
        <v>58</v>
      </c>
      <c r="B12394" s="2" t="str">
        <f>""</f>
        <v/>
      </c>
      <c r="C12394" s="2" t="str">
        <f>""</f>
        <v/>
      </c>
      <c r="D12394" s="2" t="str">
        <f>""</f>
        <v/>
      </c>
      <c r="E12394" s="2" t="str">
        <f>""</f>
        <v/>
      </c>
      <c r="F12394" s="2" t="str">
        <f>""</f>
        <v/>
      </c>
      <c r="G12394" s="2" t="str">
        <f>"MVSaude / Vendas / Internação ()"</f>
        <v>MVSaude / Vendas / Internação ()</v>
      </c>
    </row>
    <row r="12395" spans="1:7" x14ac:dyDescent="0.3">
      <c r="A12395" s="1" t="s">
        <v>58</v>
      </c>
      <c r="B12395" s="2" t="str">
        <f>""</f>
        <v/>
      </c>
      <c r="C12395" s="2" t="str">
        <f>""</f>
        <v/>
      </c>
      <c r="D12395" s="2" t="str">
        <f>""</f>
        <v/>
      </c>
      <c r="E12395" s="2" t="str">
        <f>""</f>
        <v/>
      </c>
      <c r="F12395" s="2" t="str">
        <f>""</f>
        <v/>
      </c>
      <c r="G12395" s="2" t="str">
        <f>"MVSaude / Vendas / Internação / Atendimento ()"</f>
        <v>MVSaude / Vendas / Internação / Atendimento ()</v>
      </c>
    </row>
    <row r="12396" spans="1:7" x14ac:dyDescent="0.3">
      <c r="A12396" s="1" t="s">
        <v>58</v>
      </c>
      <c r="B12396" s="2" t="str">
        <f>""</f>
        <v/>
      </c>
      <c r="C12396" s="2" t="str">
        <f>""</f>
        <v/>
      </c>
      <c r="D12396" s="2" t="str">
        <f>""</f>
        <v/>
      </c>
      <c r="E12396" s="2" t="str">
        <f>""</f>
        <v/>
      </c>
      <c r="F12396" s="2" t="str">
        <f>""</f>
        <v/>
      </c>
      <c r="G12396" s="2" t="str">
        <f>"Atendimento / Centro Cirúrgico e Obstétrico / Relatórios / Estatísticos ()"</f>
        <v>Atendimento / Centro Cirúrgico e Obstétrico / Relatórios / Estatísticos ()</v>
      </c>
    </row>
    <row r="12397" spans="1:7" x14ac:dyDescent="0.3">
      <c r="A12397" s="1" t="s">
        <v>58</v>
      </c>
      <c r="B12397" s="2" t="str">
        <f>""</f>
        <v/>
      </c>
      <c r="C12397" s="2" t="str">
        <f>""</f>
        <v/>
      </c>
      <c r="D12397" s="2" t="str">
        <f>""</f>
        <v/>
      </c>
      <c r="E12397" s="2" t="str">
        <f>""</f>
        <v/>
      </c>
      <c r="F12397" s="2" t="str">
        <f>""</f>
        <v/>
      </c>
      <c r="G12397" s="2" t="str">
        <f>"Atendimento / Centro Cirúrgico e Obstétrico / Relatórios / Administrativos ()"</f>
        <v>Atendimento / Centro Cirúrgico e Obstétrico / Relatórios / Administrativos ()</v>
      </c>
    </row>
    <row r="12398" spans="1:7" x14ac:dyDescent="0.3">
      <c r="A12398" s="1" t="s">
        <v>58</v>
      </c>
      <c r="B12398" s="2" t="str">
        <f>""</f>
        <v/>
      </c>
      <c r="C12398" s="2" t="str">
        <f>""</f>
        <v/>
      </c>
      <c r="D12398" s="2" t="str">
        <f>""</f>
        <v/>
      </c>
      <c r="E12398" s="2" t="str">
        <f>""</f>
        <v/>
      </c>
      <c r="F12398" s="2" t="str">
        <f>""</f>
        <v/>
      </c>
      <c r="G12398" s="2" t="str">
        <f>"Atendimento / Centro Cirúrgico e Obstétrico / Relatórios / Gerenciais ()"</f>
        <v>Atendimento / Centro Cirúrgico e Obstétrico / Relatórios / Gerenciais ()</v>
      </c>
    </row>
    <row r="12399" spans="1:7" x14ac:dyDescent="0.3">
      <c r="A12399" s="1" t="s">
        <v>58</v>
      </c>
      <c r="B12399" s="2" t="str">
        <f>""</f>
        <v/>
      </c>
      <c r="C12399" s="2" t="str">
        <f>""</f>
        <v/>
      </c>
      <c r="D12399" s="2" t="str">
        <f>""</f>
        <v/>
      </c>
      <c r="E12399" s="2" t="str">
        <f>""</f>
        <v/>
      </c>
      <c r="F12399" s="2" t="str">
        <f>""</f>
        <v/>
      </c>
      <c r="G12399" s="2" t="str">
        <f>"Diagnóstico e Terapia / Diagnóstico por Imagem / Relatórios / Operacionais / Exames Solicitados ()"</f>
        <v>Diagnóstico e Terapia / Diagnóstico por Imagem / Relatórios / Operacionais / Exames Solicitados ()</v>
      </c>
    </row>
    <row r="12400" spans="1:7" x14ac:dyDescent="0.3">
      <c r="A12400" s="1" t="s">
        <v>58</v>
      </c>
      <c r="B12400" s="2" t="str">
        <f>""</f>
        <v/>
      </c>
      <c r="C12400" s="2" t="str">
        <f>""</f>
        <v/>
      </c>
      <c r="D12400" s="2" t="str">
        <f>""</f>
        <v/>
      </c>
      <c r="E12400" s="2" t="str">
        <f>""</f>
        <v/>
      </c>
      <c r="F12400" s="2" t="str">
        <f>""</f>
        <v/>
      </c>
      <c r="G12400" s="2" t="str">
        <f>"Diagnóstico e Terapia / Diagnóstico por Imagem / Relatórios / Operacionais / Exames Realizados ()"</f>
        <v>Diagnóstico e Terapia / Diagnóstico por Imagem / Relatórios / Operacionais / Exames Realizados ()</v>
      </c>
    </row>
    <row r="12401" spans="1:7" x14ac:dyDescent="0.3">
      <c r="A12401" s="1" t="s">
        <v>58</v>
      </c>
      <c r="B12401" s="2" t="str">
        <f>""</f>
        <v/>
      </c>
      <c r="C12401" s="2" t="str">
        <f>""</f>
        <v/>
      </c>
      <c r="D12401" s="2" t="str">
        <f>""</f>
        <v/>
      </c>
      <c r="E12401" s="2" t="str">
        <f>""</f>
        <v/>
      </c>
      <c r="F12401" s="2" t="str">
        <f>""</f>
        <v/>
      </c>
      <c r="G12401" s="2" t="str">
        <f>"Faturamento / Faturamento SUS - Siscolo / Relatórios / Tabelas ()"</f>
        <v>Faturamento / Faturamento SUS - Siscolo / Relatórios / Tabelas ()</v>
      </c>
    </row>
    <row r="12402" spans="1:7" x14ac:dyDescent="0.3">
      <c r="A12402" s="1" t="s">
        <v>58</v>
      </c>
      <c r="B12402" s="2" t="str">
        <f>""</f>
        <v/>
      </c>
      <c r="C12402" s="2" t="str">
        <f>""</f>
        <v/>
      </c>
      <c r="D12402" s="2" t="str">
        <f>""</f>
        <v/>
      </c>
      <c r="E12402" s="2" t="str">
        <f>""</f>
        <v/>
      </c>
      <c r="F12402" s="2" t="str">
        <f>""</f>
        <v/>
      </c>
      <c r="G12402" s="2" t="str">
        <f>"Faturamento / Faturamento SUS - Siscolo / Relatórios / Operacionais ()"</f>
        <v>Faturamento / Faturamento SUS - Siscolo / Relatórios / Operacionais ()</v>
      </c>
    </row>
    <row r="12403" spans="1:7" x14ac:dyDescent="0.3">
      <c r="A12403" s="1" t="s">
        <v>58</v>
      </c>
      <c r="B12403" s="2" t="str">
        <f>""</f>
        <v/>
      </c>
      <c r="C12403" s="2" t="str">
        <f>""</f>
        <v/>
      </c>
      <c r="D12403" s="2" t="str">
        <f>""</f>
        <v/>
      </c>
      <c r="E12403" s="2" t="str">
        <f>""</f>
        <v/>
      </c>
      <c r="F12403" s="2" t="str">
        <f>""</f>
        <v/>
      </c>
      <c r="G12403" s="2" t="str">
        <f>"Faturamento / Faturamento SUS - Siscolo / Relatórios / Administrativos ()"</f>
        <v>Faturamento / Faturamento SUS - Siscolo / Relatórios / Administrativos ()</v>
      </c>
    </row>
    <row r="12404" spans="1:7" x14ac:dyDescent="0.3">
      <c r="A12404" s="1" t="s">
        <v>58</v>
      </c>
      <c r="B12404" s="2" t="str">
        <f>""</f>
        <v/>
      </c>
      <c r="C12404" s="2" t="str">
        <f>""</f>
        <v/>
      </c>
      <c r="D12404" s="2" t="str">
        <f>""</f>
        <v/>
      </c>
      <c r="E12404" s="2" t="str">
        <f>""</f>
        <v/>
      </c>
      <c r="F12404" s="2" t="str">
        <f>""</f>
        <v/>
      </c>
      <c r="G12404" s="2" t="str">
        <f>"Faturamento / Faturamento SUS - Siscolo / Relatórios / Gerenciais ()"</f>
        <v>Faturamento / Faturamento SUS - Siscolo / Relatórios / Gerenciais ()</v>
      </c>
    </row>
    <row r="12405" spans="1:7" x14ac:dyDescent="0.3">
      <c r="A12405" s="1" t="s">
        <v>58</v>
      </c>
      <c r="B12405" s="2" t="str">
        <f>""</f>
        <v/>
      </c>
      <c r="C12405" s="2" t="str">
        <f>""</f>
        <v/>
      </c>
      <c r="D12405" s="2" t="str">
        <f>""</f>
        <v/>
      </c>
      <c r="E12405" s="2" t="str">
        <f>""</f>
        <v/>
      </c>
      <c r="F12405" s="2" t="str">
        <f>""</f>
        <v/>
      </c>
      <c r="G12405" s="2" t="str">
        <f>"Diagnóstico e Terapia / Diagnóstico por Imagem / Relatórios / Estatísticos / Exames ()"</f>
        <v>Diagnóstico e Terapia / Diagnóstico por Imagem / Relatórios / Estatísticos / Exames ()</v>
      </c>
    </row>
    <row r="12406" spans="1:7" x14ac:dyDescent="0.3">
      <c r="A12406" s="1" t="s">
        <v>58</v>
      </c>
      <c r="B12406" s="2" t="str">
        <f>""</f>
        <v/>
      </c>
      <c r="C12406" s="2" t="str">
        <f>""</f>
        <v/>
      </c>
      <c r="D12406" s="2" t="str">
        <f>""</f>
        <v/>
      </c>
      <c r="E12406" s="2" t="str">
        <f>""</f>
        <v/>
      </c>
      <c r="F12406" s="2" t="str">
        <f>""</f>
        <v/>
      </c>
      <c r="G12406" s="2" t="str">
        <f>"Diagnóstico e Terapia / Diagnóstico por Imagem / Relatórios / Gastos / Faturamento de Exames por Convênio ()"</f>
        <v>Diagnóstico e Terapia / Diagnóstico por Imagem / Relatórios / Gastos / Faturamento de Exames por Convênio ()</v>
      </c>
    </row>
    <row r="12407" spans="1:7" x14ac:dyDescent="0.3">
      <c r="A12407" s="1" t="s">
        <v>58</v>
      </c>
      <c r="B12407" s="2" t="str">
        <f>""</f>
        <v/>
      </c>
      <c r="C12407" s="2" t="str">
        <f>""</f>
        <v/>
      </c>
      <c r="D12407" s="2" t="str">
        <f>""</f>
        <v/>
      </c>
      <c r="E12407" s="2" t="str">
        <f>""</f>
        <v/>
      </c>
      <c r="F12407" s="2" t="str">
        <f>""</f>
        <v/>
      </c>
      <c r="G12407" s="2" t="str">
        <f>"Faturamento / Faturamento SUS - Siscolo / Relatórios / Operacionais / Relatório de Exames do Hospital ()"</f>
        <v>Faturamento / Faturamento SUS - Siscolo / Relatórios / Operacionais / Relatório de Exames do Hospital ()</v>
      </c>
    </row>
    <row r="12408" spans="1:7" x14ac:dyDescent="0.3">
      <c r="A12408" s="1" t="s">
        <v>58</v>
      </c>
      <c r="B12408" s="2" t="str">
        <f>""</f>
        <v/>
      </c>
      <c r="C12408" s="2" t="str">
        <f>""</f>
        <v/>
      </c>
      <c r="D12408" s="2" t="str">
        <f>""</f>
        <v/>
      </c>
      <c r="E12408" s="2" t="str">
        <f>""</f>
        <v/>
      </c>
      <c r="F12408" s="2" t="str">
        <f>""</f>
        <v/>
      </c>
      <c r="G12408" s="2" t="str">
        <f>"MVSaude / Vendas / Internação / Relatórios / Estatísticos ()"</f>
        <v>MVSaude / Vendas / Internação / Relatórios / Estatísticos ()</v>
      </c>
    </row>
    <row r="12409" spans="1:7" x14ac:dyDescent="0.3">
      <c r="A12409" s="1" t="s">
        <v>58</v>
      </c>
      <c r="B12409" s="2" t="str">
        <f>""</f>
        <v/>
      </c>
      <c r="C12409" s="2" t="str">
        <f>""</f>
        <v/>
      </c>
      <c r="D12409" s="2" t="str">
        <f>""</f>
        <v/>
      </c>
      <c r="E12409" s="2" t="str">
        <f>""</f>
        <v/>
      </c>
      <c r="F12409" s="2" t="str">
        <f>""</f>
        <v/>
      </c>
      <c r="G12409" s="2" t="str">
        <f>"MVSaude / Vendas / Internação / Relatórios / Estatísticos / Cid ()"</f>
        <v>MVSaude / Vendas / Internação / Relatórios / Estatísticos / Cid ()</v>
      </c>
    </row>
    <row r="12410" spans="1:7" x14ac:dyDescent="0.3">
      <c r="A12410" s="1" t="s">
        <v>58</v>
      </c>
      <c r="B12410" s="2" t="str">
        <f>""</f>
        <v/>
      </c>
      <c r="C12410" s="2" t="str">
        <f>""</f>
        <v/>
      </c>
      <c r="D12410" s="2" t="str">
        <f>""</f>
        <v/>
      </c>
      <c r="E12410" s="2" t="str">
        <f>""</f>
        <v/>
      </c>
      <c r="F12410" s="2" t="str">
        <f>""</f>
        <v/>
      </c>
      <c r="G12410" s="2" t="str">
        <f>"Atendimento / Internação Domiciliar (Home Care) / Consultas / Registro de Alterações ()"</f>
        <v>Atendimento / Internação Domiciliar (Home Care) / Consultas / Registro de Alterações ()</v>
      </c>
    </row>
    <row r="12411" spans="1:7" x14ac:dyDescent="0.3">
      <c r="A12411" s="1" t="s">
        <v>58</v>
      </c>
      <c r="B12411" s="2" t="str">
        <f>""</f>
        <v/>
      </c>
      <c r="C12411" s="2" t="str">
        <f>""</f>
        <v/>
      </c>
      <c r="D12411" s="2" t="str">
        <f>""</f>
        <v/>
      </c>
      <c r="E12411" s="2" t="str">
        <f>""</f>
        <v/>
      </c>
      <c r="F12411" s="2" t="str">
        <f>""</f>
        <v/>
      </c>
      <c r="G12411" s="2" t="str">
        <f>"Serviços de Apoio / Laprod / Amostras ()"</f>
        <v>Serviços de Apoio / Laprod / Amostras ()</v>
      </c>
    </row>
    <row r="12412" spans="1:7" x14ac:dyDescent="0.3">
      <c r="A12412" s="1" t="s">
        <v>58</v>
      </c>
      <c r="B12412" s="2" t="str">
        <f>""</f>
        <v/>
      </c>
      <c r="C12412" s="2" t="str">
        <f>""</f>
        <v/>
      </c>
      <c r="D12412" s="2" t="str">
        <f>""</f>
        <v/>
      </c>
      <c r="E12412" s="2" t="str">
        <f>""</f>
        <v/>
      </c>
      <c r="F12412" s="2" t="str">
        <f>""</f>
        <v/>
      </c>
      <c r="G12412" s="2" t="str">
        <f>"Serviços de Apoio / Laprod / Solicitações ()"</f>
        <v>Serviços de Apoio / Laprod / Solicitações ()</v>
      </c>
    </row>
    <row r="12413" spans="1:7" x14ac:dyDescent="0.3">
      <c r="A12413" s="1" t="s">
        <v>58</v>
      </c>
      <c r="B12413" s="2" t="str">
        <f>""</f>
        <v/>
      </c>
      <c r="C12413" s="2" t="str">
        <f>""</f>
        <v/>
      </c>
      <c r="D12413" s="2" t="str">
        <f>""</f>
        <v/>
      </c>
      <c r="E12413" s="2" t="str">
        <f>""</f>
        <v/>
      </c>
      <c r="F12413" s="2" t="str">
        <f>""</f>
        <v/>
      </c>
      <c r="G12413" s="2" t="str">
        <f>"Serviços de Apoio / Laprod / Relatórios ()"</f>
        <v>Serviços de Apoio / Laprod / Relatórios ()</v>
      </c>
    </row>
    <row r="12414" spans="1:7" x14ac:dyDescent="0.3">
      <c r="A12414" s="1" t="s">
        <v>58</v>
      </c>
      <c r="B12414" s="2" t="str">
        <f>""</f>
        <v/>
      </c>
      <c r="C12414" s="2" t="str">
        <f>""</f>
        <v/>
      </c>
      <c r="D12414" s="2" t="str">
        <f>""</f>
        <v/>
      </c>
      <c r="E12414" s="2" t="str">
        <f>""</f>
        <v/>
      </c>
      <c r="F12414" s="2" t="str">
        <f>""</f>
        <v/>
      </c>
      <c r="G12414" s="2" t="s">
        <v>10</v>
      </c>
    </row>
    <row r="12415" spans="1:7" x14ac:dyDescent="0.3">
      <c r="A12415" s="1" t="s">
        <v>58</v>
      </c>
      <c r="B12415" s="2" t="str">
        <f>""</f>
        <v/>
      </c>
      <c r="C12415" s="2" t="str">
        <f>""</f>
        <v/>
      </c>
      <c r="D12415" s="2" t="str">
        <f>""</f>
        <v/>
      </c>
      <c r="E12415" s="2" t="str">
        <f>""</f>
        <v/>
      </c>
      <c r="F12415" s="2" t="str">
        <f>""</f>
        <v/>
      </c>
      <c r="G12415" s="2" t="str">
        <f>"Faturamento / Faturamento de Convênios e Particulares / Tabelas / Cobranças e Tabelas / Itens de Checagem (Auditoria) ()"</f>
        <v>Faturamento / Faturamento de Convênios e Particulares / Tabelas / Cobranças e Tabelas / Itens de Checagem (Auditoria) ()</v>
      </c>
    </row>
    <row r="12416" spans="1:7" x14ac:dyDescent="0.3">
      <c r="A12416" s="1" t="s">
        <v>58</v>
      </c>
      <c r="B12416" s="2" t="str">
        <f>""</f>
        <v/>
      </c>
      <c r="C12416" s="2" t="str">
        <f>""</f>
        <v/>
      </c>
      <c r="D12416" s="2" t="str">
        <f>""</f>
        <v/>
      </c>
      <c r="E12416" s="2" t="str">
        <f>""</f>
        <v/>
      </c>
      <c r="F12416" s="2" t="str">
        <f>""</f>
        <v/>
      </c>
      <c r="G12416" s="2" t="str">
        <f>"Atendimento / Central de Agendamento / Agendamentos / Oncologia ()"</f>
        <v>Atendimento / Central de Agendamento / Agendamentos / Oncologia ()</v>
      </c>
    </row>
    <row r="12417" spans="1:7" x14ac:dyDescent="0.3">
      <c r="A12417" s="1" t="s">
        <v>58</v>
      </c>
      <c r="B12417" s="2" t="str">
        <f>""</f>
        <v/>
      </c>
      <c r="C12417" s="2" t="str">
        <f>""</f>
        <v/>
      </c>
      <c r="D12417" s="2" t="str">
        <f>""</f>
        <v/>
      </c>
      <c r="E12417" s="2" t="str">
        <f>""</f>
        <v/>
      </c>
      <c r="F12417" s="2" t="str">
        <f>""</f>
        <v/>
      </c>
      <c r="G12417" s="2" t="str">
        <f>"Faturamento / Faturamento de Internação SUS (AIH) / Relatórios / Tabelas ()"</f>
        <v>Faturamento / Faturamento de Internação SUS (AIH) / Relatórios / Tabelas ()</v>
      </c>
    </row>
    <row r="12418" spans="1:7" x14ac:dyDescent="0.3">
      <c r="A12418" s="1" t="s">
        <v>58</v>
      </c>
      <c r="B12418" s="2" t="str">
        <f>""</f>
        <v/>
      </c>
      <c r="C12418" s="2" t="str">
        <f>""</f>
        <v/>
      </c>
      <c r="D12418" s="2" t="str">
        <f>""</f>
        <v/>
      </c>
      <c r="E12418" s="2" t="str">
        <f>""</f>
        <v/>
      </c>
      <c r="F12418" s="2" t="str">
        <f>""</f>
        <v/>
      </c>
      <c r="G12418" s="2" t="str">
        <f>"Faturamento / Faturamento Ambulatorial SUS (BPA e APAC) / Relatórios ()"</f>
        <v>Faturamento / Faturamento Ambulatorial SUS (BPA e APAC) / Relatórios ()</v>
      </c>
    </row>
    <row r="12419" spans="1:7" x14ac:dyDescent="0.3">
      <c r="A12419" s="1" t="s">
        <v>58</v>
      </c>
      <c r="B12419" s="2" t="str">
        <f>""</f>
        <v/>
      </c>
      <c r="C12419" s="2" t="str">
        <f>""</f>
        <v/>
      </c>
      <c r="D12419" s="2" t="str">
        <f>""</f>
        <v/>
      </c>
      <c r="E12419" s="2" t="str">
        <f>""</f>
        <v/>
      </c>
      <c r="F12419" s="2" t="str">
        <f>""</f>
        <v/>
      </c>
      <c r="G12419" s="2" t="str">
        <f>"Faturamento / Faturamento de Internação SUS (AIH) / Relatórios ()"</f>
        <v>Faturamento / Faturamento de Internação SUS (AIH) / Relatórios ()</v>
      </c>
    </row>
    <row r="12420" spans="1:7" x14ac:dyDescent="0.3">
      <c r="A12420" s="1" t="s">
        <v>58</v>
      </c>
      <c r="B12420" s="2" t="str">
        <f>""</f>
        <v/>
      </c>
      <c r="C12420" s="2" t="str">
        <f>""</f>
        <v/>
      </c>
      <c r="D12420" s="2" t="str">
        <f>""</f>
        <v/>
      </c>
      <c r="E12420" s="2" t="str">
        <f>""</f>
        <v/>
      </c>
      <c r="F12420" s="2" t="str">
        <f>""</f>
        <v/>
      </c>
      <c r="G12420" s="2" t="str">
        <f>"Faturamento / Faturamento de Internação SUS (AIH) / Relatórios / Operacionais ()"</f>
        <v>Faturamento / Faturamento de Internação SUS (AIH) / Relatórios / Operacionais ()</v>
      </c>
    </row>
    <row r="12421" spans="1:7" x14ac:dyDescent="0.3">
      <c r="A12421" s="1" t="s">
        <v>58</v>
      </c>
      <c r="B12421" s="2" t="str">
        <f>""</f>
        <v/>
      </c>
      <c r="C12421" s="2" t="str">
        <f>""</f>
        <v/>
      </c>
      <c r="D12421" s="2" t="str">
        <f>""</f>
        <v/>
      </c>
      <c r="E12421" s="2" t="str">
        <f>""</f>
        <v/>
      </c>
      <c r="F12421" s="2" t="str">
        <f>""</f>
        <v/>
      </c>
      <c r="G12421" s="2" t="str">
        <f>"Faturamento / Faturamento Ambulatorial SUS (BPA e APAC) / Relatórios / Gerenciais ()"</f>
        <v>Faturamento / Faturamento Ambulatorial SUS (BPA e APAC) / Relatórios / Gerenciais ()</v>
      </c>
    </row>
    <row r="12422" spans="1:7" x14ac:dyDescent="0.3">
      <c r="A12422" s="1" t="s">
        <v>58</v>
      </c>
      <c r="B12422" s="2" t="str">
        <f>""</f>
        <v/>
      </c>
      <c r="C12422" s="2" t="str">
        <f>""</f>
        <v/>
      </c>
      <c r="D12422" s="2" t="str">
        <f>""</f>
        <v/>
      </c>
      <c r="E12422" s="2" t="str">
        <f>""</f>
        <v/>
      </c>
      <c r="F12422" s="2" t="str">
        <f>""</f>
        <v/>
      </c>
      <c r="G12422" s="2" t="str">
        <f>"Faturamento / Faturamento Ambulatorial SUS (BPA e APAC) / Relatórios / APAC ()"</f>
        <v>Faturamento / Faturamento Ambulatorial SUS (BPA e APAC) / Relatórios / APAC ()</v>
      </c>
    </row>
    <row r="12423" spans="1:7" x14ac:dyDescent="0.3">
      <c r="A12423" s="1" t="s">
        <v>58</v>
      </c>
      <c r="B12423" s="2" t="str">
        <f>""</f>
        <v/>
      </c>
      <c r="C12423" s="2" t="str">
        <f>""</f>
        <v/>
      </c>
      <c r="D12423" s="2" t="str">
        <f>""</f>
        <v/>
      </c>
      <c r="E12423" s="2" t="str">
        <f>""</f>
        <v/>
      </c>
      <c r="F12423" s="2" t="str">
        <f>""</f>
        <v/>
      </c>
      <c r="G12423" s="2" t="str">
        <f>"Controladoria / Contabilidade / Relatórios / Demonstrativos Contábeis / LALUR ()"</f>
        <v>Controladoria / Contabilidade / Relatórios / Demonstrativos Contábeis / LALUR ()</v>
      </c>
    </row>
    <row r="12424" spans="1:7" x14ac:dyDescent="0.3">
      <c r="A12424" s="1" t="s">
        <v>58</v>
      </c>
      <c r="B12424" s="2" t="str">
        <f>""</f>
        <v/>
      </c>
      <c r="C12424" s="2" t="str">
        <f>""</f>
        <v/>
      </c>
      <c r="D12424" s="2" t="str">
        <f>""</f>
        <v/>
      </c>
      <c r="E12424" s="2" t="str">
        <f>""</f>
        <v/>
      </c>
      <c r="F12424" s="2" t="str">
        <f>""</f>
        <v/>
      </c>
      <c r="G12424" s="2" t="str">
        <f>"Serviços de Apoio / Laprod / Relatórios / Estatísticos ()"</f>
        <v>Serviços de Apoio / Laprod / Relatórios / Estatísticos ()</v>
      </c>
    </row>
    <row r="12425" spans="1:7" x14ac:dyDescent="0.3">
      <c r="A12425" s="1" t="s">
        <v>58</v>
      </c>
      <c r="B12425" s="2" t="str">
        <f>""</f>
        <v/>
      </c>
      <c r="C12425" s="2" t="str">
        <f>""</f>
        <v/>
      </c>
      <c r="D12425" s="2" t="str">
        <f>""</f>
        <v/>
      </c>
      <c r="E12425" s="2" t="str">
        <f>""</f>
        <v/>
      </c>
      <c r="F12425" s="2" t="str">
        <f>""</f>
        <v/>
      </c>
      <c r="G12425" s="2" t="str">
        <f>"Faturamento / Faturamento de Internação SUS (AIH) / Lançamentos / ACH ()"</f>
        <v>Faturamento / Faturamento de Internação SUS (AIH) / Lançamentos / ACH ()</v>
      </c>
    </row>
    <row r="12426" spans="1:7" x14ac:dyDescent="0.3">
      <c r="A12426" s="1" t="s">
        <v>58</v>
      </c>
      <c r="B12426" s="2" t="str">
        <f>""</f>
        <v/>
      </c>
      <c r="C12426" s="2" t="str">
        <f>""</f>
        <v/>
      </c>
      <c r="D12426" s="2" t="str">
        <f>""</f>
        <v/>
      </c>
      <c r="E12426" s="2" t="str">
        <f>""</f>
        <v/>
      </c>
      <c r="F12426" s="2" t="str">
        <f>""</f>
        <v/>
      </c>
      <c r="G12426" s="2" t="str">
        <f>"Faturamento / Faturamento de Internação SUS (AIH) / Relatórios / Cadastrais ()"</f>
        <v>Faturamento / Faturamento de Internação SUS (AIH) / Relatórios / Cadastrais ()</v>
      </c>
    </row>
    <row r="12427" spans="1:7" x14ac:dyDescent="0.3">
      <c r="A12427" s="1" t="s">
        <v>58</v>
      </c>
      <c r="B12427" s="2" t="str">
        <f>""</f>
        <v/>
      </c>
      <c r="C12427" s="2" t="str">
        <f>""</f>
        <v/>
      </c>
      <c r="D12427" s="2" t="str">
        <f>""</f>
        <v/>
      </c>
      <c r="E12427" s="2" t="str">
        <f>""</f>
        <v/>
      </c>
      <c r="F12427" s="2" t="str">
        <f>""</f>
        <v/>
      </c>
      <c r="G12427" s="2" t="str">
        <f>"Faturamento / Faturamento de Internação SUS (AIH) / Relatórios / Gerenciais ()"</f>
        <v>Faturamento / Faturamento de Internação SUS (AIH) / Relatórios / Gerenciais ()</v>
      </c>
    </row>
    <row r="12428" spans="1:7" x14ac:dyDescent="0.3">
      <c r="A12428" s="1" t="s">
        <v>58</v>
      </c>
      <c r="B12428" s="2" t="str">
        <f>""</f>
        <v/>
      </c>
      <c r="C12428" s="2" t="str">
        <f>""</f>
        <v/>
      </c>
      <c r="D12428" s="2" t="str">
        <f>""</f>
        <v/>
      </c>
      <c r="E12428" s="2" t="str">
        <f>""</f>
        <v/>
      </c>
      <c r="F12428" s="2" t="str">
        <f>""</f>
        <v/>
      </c>
      <c r="G12428" s="2" t="str">
        <f>"Faturamento / Faturamento de Internação SUS (AIH) / Tabelas / Guias ()"</f>
        <v>Faturamento / Faturamento de Internação SUS (AIH) / Tabelas / Guias ()</v>
      </c>
    </row>
    <row r="12429" spans="1:7" x14ac:dyDescent="0.3">
      <c r="A12429" s="1" t="s">
        <v>58</v>
      </c>
      <c r="B12429" s="2" t="str">
        <f>""</f>
        <v/>
      </c>
      <c r="C12429" s="2" t="str">
        <f>""</f>
        <v/>
      </c>
      <c r="D12429" s="2" t="str">
        <f>""</f>
        <v/>
      </c>
      <c r="E12429" s="2" t="str">
        <f>""</f>
        <v/>
      </c>
      <c r="F12429" s="2" t="str">
        <f>""</f>
        <v/>
      </c>
      <c r="G12429" s="2" t="str">
        <f>"Materiais e Logística / Almoxarifado / Tabelas / Tabela NCM ()"</f>
        <v>Materiais e Logística / Almoxarifado / Tabelas / Tabela NCM ()</v>
      </c>
    </row>
    <row r="12430" spans="1:7" x14ac:dyDescent="0.3">
      <c r="A12430" s="1" t="s">
        <v>58</v>
      </c>
      <c r="B12430" s="2" t="str">
        <f>""</f>
        <v/>
      </c>
      <c r="C12430" s="2" t="str">
        <f>""</f>
        <v/>
      </c>
      <c r="D12430" s="2" t="str">
        <f>""</f>
        <v/>
      </c>
      <c r="E12430" s="2" t="str">
        <f>""</f>
        <v/>
      </c>
      <c r="F12430" s="2" t="str">
        <f>""</f>
        <v/>
      </c>
      <c r="G12430" s="2" t="str">
        <f>"Faturamento / Faturamento de Convênios e Particulares / Importações / Importação CBHPM ()"</f>
        <v>Faturamento / Faturamento de Convênios e Particulares / Importações / Importação CBHPM ()</v>
      </c>
    </row>
    <row r="12431" spans="1:7" x14ac:dyDescent="0.3">
      <c r="A12431" s="1" t="s">
        <v>58</v>
      </c>
      <c r="B12431" s="2" t="str">
        <f>""</f>
        <v/>
      </c>
      <c r="C12431" s="2" t="str">
        <f>""</f>
        <v/>
      </c>
      <c r="D12431" s="2" t="str">
        <f>""</f>
        <v/>
      </c>
      <c r="E12431" s="2" t="str">
        <f>""</f>
        <v/>
      </c>
      <c r="F12431" s="2" t="str">
        <f>""</f>
        <v/>
      </c>
      <c r="G12431" s="2" t="str">
        <f>"Diagnóstico e Terapia / Laboratório de Análises Clínicas / Coleta / Rastreamento de Amostras ()"</f>
        <v>Diagnóstico e Terapia / Laboratório de Análises Clínicas / Coleta / Rastreamento de Amostras ()</v>
      </c>
    </row>
    <row r="12432" spans="1:7" x14ac:dyDescent="0.3">
      <c r="A12432" s="1" t="s">
        <v>58</v>
      </c>
      <c r="B12432" s="2" t="str">
        <f>""</f>
        <v/>
      </c>
      <c r="C12432" s="2" t="str">
        <f>""</f>
        <v/>
      </c>
      <c r="D12432" s="2" t="str">
        <f>""</f>
        <v/>
      </c>
      <c r="E12432" s="2" t="str">
        <f>""</f>
        <v/>
      </c>
      <c r="F12432" s="2" t="str">
        <f>""</f>
        <v/>
      </c>
      <c r="G12432" s="2" t="str">
        <f>"Faturamento / Faturamento Ambulatorial SUS (BPA e APAC) / Tabelas / Guias ()"</f>
        <v>Faturamento / Faturamento Ambulatorial SUS (BPA e APAC) / Tabelas / Guias ()</v>
      </c>
    </row>
    <row r="12433" spans="1:7" x14ac:dyDescent="0.3">
      <c r="A12433" s="1" t="s">
        <v>58</v>
      </c>
      <c r="B12433" s="2" t="str">
        <f>""</f>
        <v/>
      </c>
      <c r="C12433" s="2" t="str">
        <f>""</f>
        <v/>
      </c>
      <c r="D12433" s="2" t="str">
        <f>""</f>
        <v/>
      </c>
      <c r="E12433" s="2" t="str">
        <f>""</f>
        <v/>
      </c>
      <c r="F12433" s="2" t="str">
        <f>""</f>
        <v/>
      </c>
      <c r="G12433" s="2" t="str">
        <f>"Faturamento / Faturamento de Internação SUS (AIH) / Tabelas / SCNES ()"</f>
        <v>Faturamento / Faturamento de Internação SUS (AIH) / Tabelas / SCNES ()</v>
      </c>
    </row>
    <row r="12434" spans="1:7" x14ac:dyDescent="0.3">
      <c r="A12434" s="1" t="s">
        <v>58</v>
      </c>
      <c r="B12434" s="2" t="str">
        <f>""</f>
        <v/>
      </c>
      <c r="C12434" s="2" t="str">
        <f>""</f>
        <v/>
      </c>
      <c r="D12434" s="2" t="str">
        <f>""</f>
        <v/>
      </c>
      <c r="E12434" s="2" t="str">
        <f>""</f>
        <v/>
      </c>
      <c r="F12434" s="2" t="str">
        <f>""</f>
        <v/>
      </c>
      <c r="G12434" s="2" t="str">
        <f>"Faturamento / Faturamento de Internação SUS (AIH) / Tabelas / SCNES / Processa XML ()"</f>
        <v>Faturamento / Faturamento de Internação SUS (AIH) / Tabelas / SCNES / Processa XML ()</v>
      </c>
    </row>
    <row r="12435" spans="1:7" x14ac:dyDescent="0.3">
      <c r="A12435" s="1" t="s">
        <v>58</v>
      </c>
      <c r="B12435" s="2" t="str">
        <f>""</f>
        <v/>
      </c>
      <c r="C12435" s="2" t="str">
        <f>""</f>
        <v/>
      </c>
      <c r="D12435" s="2" t="str">
        <f>""</f>
        <v/>
      </c>
      <c r="E12435" s="2" t="str">
        <f>""</f>
        <v/>
      </c>
      <c r="F12435" s="2" t="str">
        <f>""</f>
        <v/>
      </c>
      <c r="G12435" s="2" t="str">
        <f>"Faturamento / Faturamento de Internação SUS (AIH) / Tabelas / SCNES / Consulta ()"</f>
        <v>Faturamento / Faturamento de Internação SUS (AIH) / Tabelas / SCNES / Consulta ()</v>
      </c>
    </row>
    <row r="12436" spans="1:7" x14ac:dyDescent="0.3">
      <c r="A12436" s="1" t="s">
        <v>58</v>
      </c>
      <c r="B12436" s="2" t="str">
        <f>""</f>
        <v/>
      </c>
      <c r="C12436" s="2" t="str">
        <f>""</f>
        <v/>
      </c>
      <c r="D12436" s="2" t="str">
        <f>""</f>
        <v/>
      </c>
      <c r="E12436" s="2" t="str">
        <f>""</f>
        <v/>
      </c>
      <c r="F12436" s="2" t="str">
        <f>""</f>
        <v/>
      </c>
      <c r="G12436" s="2" t="str">
        <f>"Faturamento / Faturamento de Internação SUS (AIH) / Tabelas / SCNES / Consulta / Prestadores ()"</f>
        <v>Faturamento / Faturamento de Internação SUS (AIH) / Tabelas / SCNES / Consulta / Prestadores ()</v>
      </c>
    </row>
    <row r="12437" spans="1:7" x14ac:dyDescent="0.3">
      <c r="A12437" s="1" t="s">
        <v>58</v>
      </c>
      <c r="B12437" s="2" t="str">
        <f>""</f>
        <v/>
      </c>
      <c r="C12437" s="2" t="str">
        <f>""</f>
        <v/>
      </c>
      <c r="D12437" s="2" t="str">
        <f>""</f>
        <v/>
      </c>
      <c r="E12437" s="2" t="str">
        <f>""</f>
        <v/>
      </c>
      <c r="F12437" s="2" t="str">
        <f>""</f>
        <v/>
      </c>
      <c r="G12437" s="2" t="str">
        <f>"Faturamento / Faturamento de Internação SUS (AIH) / Tabelas / SCNES / Consulta / Gerais ()"</f>
        <v>Faturamento / Faturamento de Internação SUS (AIH) / Tabelas / SCNES / Consulta / Gerais ()</v>
      </c>
    </row>
    <row r="12438" spans="1:7" x14ac:dyDescent="0.3">
      <c r="A12438" s="1" t="s">
        <v>58</v>
      </c>
      <c r="B12438" s="2" t="str">
        <f>""</f>
        <v/>
      </c>
      <c r="C12438" s="2" t="str">
        <f>""</f>
        <v/>
      </c>
      <c r="D12438" s="2" t="str">
        <f>""</f>
        <v/>
      </c>
      <c r="E12438" s="2" t="str">
        <f>""</f>
        <v/>
      </c>
      <c r="F12438" s="2" t="str">
        <f>""</f>
        <v/>
      </c>
      <c r="G12438" s="2" t="str">
        <f>"Faturamento / Faturamento de Internação SUS (AIH) / Tabelas / SCNES / Configuração ()"</f>
        <v>Faturamento / Faturamento de Internação SUS (AIH) / Tabelas / SCNES / Configuração ()</v>
      </c>
    </row>
    <row r="12439" spans="1:7" x14ac:dyDescent="0.3">
      <c r="A12439" s="1" t="s">
        <v>58</v>
      </c>
      <c r="B12439" s="2" t="str">
        <f>""</f>
        <v/>
      </c>
      <c r="C12439" s="2" t="str">
        <f>""</f>
        <v/>
      </c>
      <c r="D12439" s="2" t="str">
        <f>""</f>
        <v/>
      </c>
      <c r="E12439" s="2" t="str">
        <f>""</f>
        <v/>
      </c>
      <c r="F12439" s="2" t="str">
        <f>""</f>
        <v/>
      </c>
      <c r="G12439" s="2" t="str">
        <f>"Faturamento / Faturamento de Internação SUS (AIH) / Tabelas / SCNES / Relatórios ()"</f>
        <v>Faturamento / Faturamento de Internação SUS (AIH) / Tabelas / SCNES / Relatórios ()</v>
      </c>
    </row>
    <row r="12440" spans="1:7" x14ac:dyDescent="0.3">
      <c r="A12440" s="1" t="s">
        <v>58</v>
      </c>
      <c r="B12440" s="2" t="str">
        <f>""</f>
        <v/>
      </c>
      <c r="C12440" s="2" t="str">
        <f>""</f>
        <v/>
      </c>
      <c r="D12440" s="2" t="str">
        <f>""</f>
        <v/>
      </c>
      <c r="E12440" s="2" t="str">
        <f>""</f>
        <v/>
      </c>
      <c r="F12440" s="2" t="str">
        <f>""</f>
        <v/>
      </c>
      <c r="G12440" s="2" t="str">
        <f>"Faturamento / Faturamento de Internação SUS (AIH) / Tabelas / Fornecedores ()"</f>
        <v>Faturamento / Faturamento de Internação SUS (AIH) / Tabelas / Fornecedores ()</v>
      </c>
    </row>
    <row r="12441" spans="1:7" x14ac:dyDescent="0.3">
      <c r="A12441" s="1" t="s">
        <v>58</v>
      </c>
      <c r="B12441" s="2" t="str">
        <f>""</f>
        <v/>
      </c>
      <c r="C12441" s="2" t="str">
        <f>""</f>
        <v/>
      </c>
      <c r="D12441" s="2" t="str">
        <f>""</f>
        <v/>
      </c>
      <c r="E12441" s="2" t="str">
        <f>""</f>
        <v/>
      </c>
      <c r="F12441" s="2" t="str">
        <f>""</f>
        <v/>
      </c>
      <c r="G12441" s="2" t="str">
        <f>"Faturamento / Faturamento de Internação SUS (AIH) / Tabelas / FPO (Controle Orçamentário) ()"</f>
        <v>Faturamento / Faturamento de Internação SUS (AIH) / Tabelas / FPO (Controle Orçamentário) ()</v>
      </c>
    </row>
    <row r="12442" spans="1:7" x14ac:dyDescent="0.3">
      <c r="A12442" s="1" t="s">
        <v>58</v>
      </c>
      <c r="B12442" s="2" t="str">
        <f>""</f>
        <v/>
      </c>
      <c r="C12442" s="2" t="str">
        <f>""</f>
        <v/>
      </c>
      <c r="D12442" s="2" t="str">
        <f>""</f>
        <v/>
      </c>
      <c r="E12442" s="2" t="str">
        <f>""</f>
        <v/>
      </c>
      <c r="F12442" s="2" t="str">
        <f>""</f>
        <v/>
      </c>
      <c r="G12442" s="2" t="str">
        <f>"Faturamento / Faturamento Ambulatorial SUS (BPA e APAC) / Tabelas / Setores ()"</f>
        <v>Faturamento / Faturamento Ambulatorial SUS (BPA e APAC) / Tabelas / Setores ()</v>
      </c>
    </row>
    <row r="12443" spans="1:7" x14ac:dyDescent="0.3">
      <c r="A12443" s="1" t="s">
        <v>58</v>
      </c>
      <c r="B12443" s="2" t="str">
        <f>""</f>
        <v/>
      </c>
      <c r="C12443" s="2" t="str">
        <f>""</f>
        <v/>
      </c>
      <c r="D12443" s="2" t="str">
        <f>""</f>
        <v/>
      </c>
      <c r="E12443" s="2" t="str">
        <f>""</f>
        <v/>
      </c>
      <c r="F12443" s="2" t="str">
        <f>""</f>
        <v/>
      </c>
      <c r="G12443" s="2" t="str">
        <f>"Faturamento / Faturamento de Internação SUS (AIH) / Tabelas / Setores ()"</f>
        <v>Faturamento / Faturamento de Internação SUS (AIH) / Tabelas / Setores ()</v>
      </c>
    </row>
    <row r="12444" spans="1:7" x14ac:dyDescent="0.3">
      <c r="A12444" s="1" t="s">
        <v>58</v>
      </c>
      <c r="B12444" s="2" t="str">
        <f>""</f>
        <v/>
      </c>
      <c r="C12444" s="2" t="str">
        <f>""</f>
        <v/>
      </c>
      <c r="D12444" s="2" t="str">
        <f>""</f>
        <v/>
      </c>
      <c r="E12444" s="2" t="str">
        <f>""</f>
        <v/>
      </c>
      <c r="F12444" s="2" t="str">
        <f>""</f>
        <v/>
      </c>
      <c r="G12444" s="2" t="str">
        <f>"Faturamento / Faturamento Ambulatorial SUS (BPA e APAC) / Tabelas / Setores / Configurações ()"</f>
        <v>Faturamento / Faturamento Ambulatorial SUS (BPA e APAC) / Tabelas / Setores / Configurações ()</v>
      </c>
    </row>
    <row r="12445" spans="1:7" x14ac:dyDescent="0.3">
      <c r="A12445" s="1" t="s">
        <v>58</v>
      </c>
      <c r="B12445" s="2" t="str">
        <f>""</f>
        <v/>
      </c>
      <c r="C12445" s="2" t="str">
        <f>""</f>
        <v/>
      </c>
      <c r="D12445" s="2" t="str">
        <f>""</f>
        <v/>
      </c>
      <c r="E12445" s="2" t="str">
        <f>""</f>
        <v/>
      </c>
      <c r="F12445" s="2" t="str">
        <f>""</f>
        <v/>
      </c>
      <c r="G12445" s="2" t="str">
        <f>"Faturamento / Faturamento de Internação SUS (AIH) / Tabelas / Setores / Configurações ()"</f>
        <v>Faturamento / Faturamento de Internação SUS (AIH) / Tabelas / Setores / Configurações ()</v>
      </c>
    </row>
    <row r="12446" spans="1:7" x14ac:dyDescent="0.3">
      <c r="A12446" s="1" t="s">
        <v>58</v>
      </c>
      <c r="B12446" s="2" t="str">
        <f>""</f>
        <v/>
      </c>
      <c r="C12446" s="2" t="str">
        <f>""</f>
        <v/>
      </c>
      <c r="D12446" s="2" t="str">
        <f>""</f>
        <v/>
      </c>
      <c r="E12446" s="2" t="str">
        <f>""</f>
        <v/>
      </c>
      <c r="F12446" s="2" t="str">
        <f>""</f>
        <v/>
      </c>
      <c r="G12446" s="2" t="str">
        <f>"Clínica e Assistencial / Gerenciamento de Unidades / Solicitação por Turno ()"</f>
        <v>Clínica e Assistencial / Gerenciamento de Unidades / Solicitação por Turno ()</v>
      </c>
    </row>
    <row r="12447" spans="1:7" x14ac:dyDescent="0.3">
      <c r="A12447" s="1" t="s">
        <v>58</v>
      </c>
      <c r="B12447" s="2" t="str">
        <f>""</f>
        <v/>
      </c>
      <c r="C12447" s="2" t="str">
        <f>""</f>
        <v/>
      </c>
      <c r="D12447" s="2" t="str">
        <f>""</f>
        <v/>
      </c>
      <c r="E12447" s="2" t="str">
        <f>""</f>
        <v/>
      </c>
      <c r="F12447" s="2" t="str">
        <f>""</f>
        <v/>
      </c>
      <c r="G12447" s="2" t="str">
        <f>"Clínica e Assistencial / Gerenciamento de Unidades / Enfermagem / Preparação de medicamentos ()"</f>
        <v>Clínica e Assistencial / Gerenciamento de Unidades / Enfermagem / Preparação de medicamentos ()</v>
      </c>
    </row>
    <row r="12448" spans="1:7" x14ac:dyDescent="0.3">
      <c r="A12448" s="1" t="s">
        <v>58</v>
      </c>
      <c r="B12448" s="2" t="str">
        <f>""</f>
        <v/>
      </c>
      <c r="C12448" s="2" t="str">
        <f>""</f>
        <v/>
      </c>
      <c r="D12448" s="2" t="str">
        <f>""</f>
        <v/>
      </c>
      <c r="E12448" s="2" t="str">
        <f>""</f>
        <v/>
      </c>
      <c r="F12448" s="2" t="str">
        <f>""</f>
        <v/>
      </c>
      <c r="G12448" s="2" t="str">
        <f>"Clínica e Assistencial / Gerenciamento de Unidades / Configuração / Tabelas / PEP / Dialisadores ()"</f>
        <v>Clínica e Assistencial / Gerenciamento de Unidades / Configuração / Tabelas / PEP / Dialisadores ()</v>
      </c>
    </row>
    <row r="12449" spans="1:7" x14ac:dyDescent="0.3">
      <c r="A12449" s="1" t="s">
        <v>58</v>
      </c>
      <c r="B12449" s="2" t="str">
        <f>""</f>
        <v/>
      </c>
      <c r="C12449" s="2" t="str">
        <f>""</f>
        <v/>
      </c>
      <c r="D12449" s="2" t="str">
        <f>""</f>
        <v/>
      </c>
      <c r="E12449" s="2" t="str">
        <f>""</f>
        <v/>
      </c>
      <c r="F12449" s="2" t="str">
        <f>""</f>
        <v/>
      </c>
      <c r="G12449" s="2" t="str">
        <f>"Faturamento / Faturamento de Convênios e Particulares / Lançamentos / Controle TISS ()"</f>
        <v>Faturamento / Faturamento de Convênios e Particulares / Lançamentos / Controle TISS ()</v>
      </c>
    </row>
    <row r="12450" spans="1:7" x14ac:dyDescent="0.3">
      <c r="A12450" s="1" t="s">
        <v>58</v>
      </c>
      <c r="B12450" s="2" t="str">
        <f>""</f>
        <v/>
      </c>
      <c r="C12450" s="2" t="str">
        <f>""</f>
        <v/>
      </c>
      <c r="D12450" s="2" t="str">
        <f>""</f>
        <v/>
      </c>
      <c r="E12450" s="2" t="str">
        <f>""</f>
        <v/>
      </c>
      <c r="F12450" s="2" t="str">
        <f>""</f>
        <v/>
      </c>
      <c r="G12450" s="2" t="str">
        <f>"Faturamento / Faturamento de Convênios e Particulares / Tabelas / Faturamento Cruzado ()"</f>
        <v>Faturamento / Faturamento de Convênios e Particulares / Tabelas / Faturamento Cruzado ()</v>
      </c>
    </row>
    <row r="12451" spans="1:7" x14ac:dyDescent="0.3">
      <c r="A12451" s="1" t="s">
        <v>58</v>
      </c>
      <c r="B12451" s="2" t="str">
        <f>""</f>
        <v/>
      </c>
      <c r="C12451" s="2" t="str">
        <f>""</f>
        <v/>
      </c>
      <c r="D12451" s="2" t="str">
        <f>""</f>
        <v/>
      </c>
      <c r="E12451" s="2" t="str">
        <f>""</f>
        <v/>
      </c>
      <c r="F12451" s="2" t="str">
        <f>""</f>
        <v/>
      </c>
      <c r="G12451" s="2" t="str">
        <f>"Faturamento / Faturamento de Internação SUS (AIH) / Tabelas / Gerais ()"</f>
        <v>Faturamento / Faturamento de Internação SUS (AIH) / Tabelas / Gerais ()</v>
      </c>
    </row>
    <row r="12452" spans="1:7" x14ac:dyDescent="0.3">
      <c r="A12452" s="1" t="s">
        <v>58</v>
      </c>
      <c r="B12452" s="2" t="str">
        <f>""</f>
        <v/>
      </c>
      <c r="C12452" s="2" t="str">
        <f>""</f>
        <v/>
      </c>
      <c r="D12452" s="2" t="str">
        <f>""</f>
        <v/>
      </c>
      <c r="E12452" s="2" t="str">
        <f>""</f>
        <v/>
      </c>
      <c r="F12452" s="2" t="str">
        <f>""</f>
        <v/>
      </c>
      <c r="G12452" s="2" t="str">
        <f>"Faturamento / Faturamento de Internação SUS (AIH) / Tabelas / Prestadores ()"</f>
        <v>Faturamento / Faturamento de Internação SUS (AIH) / Tabelas / Prestadores ()</v>
      </c>
    </row>
    <row r="12453" spans="1:7" x14ac:dyDescent="0.3">
      <c r="A12453" s="1" t="s">
        <v>58</v>
      </c>
      <c r="B12453" s="2" t="str">
        <f>""</f>
        <v/>
      </c>
      <c r="C12453" s="2" t="str">
        <f>""</f>
        <v/>
      </c>
      <c r="D12453" s="2" t="str">
        <f>""</f>
        <v/>
      </c>
      <c r="E12453" s="2" t="str">
        <f>""</f>
        <v/>
      </c>
      <c r="F12453" s="2" t="str">
        <f>""</f>
        <v/>
      </c>
      <c r="G12453" s="2" t="str">
        <f>"Faturamento / Faturamento de Internação SUS (AIH) / Tabelas / Procedimentos ()"</f>
        <v>Faturamento / Faturamento de Internação SUS (AIH) / Tabelas / Procedimentos ()</v>
      </c>
    </row>
    <row r="12454" spans="1:7" x14ac:dyDescent="0.3">
      <c r="A12454" s="1" t="s">
        <v>58</v>
      </c>
      <c r="B12454" s="2" t="str">
        <f>""</f>
        <v/>
      </c>
      <c r="C12454" s="2" t="str">
        <f>""</f>
        <v/>
      </c>
      <c r="D12454" s="2" t="str">
        <f>""</f>
        <v/>
      </c>
      <c r="E12454" s="2" t="str">
        <f>""</f>
        <v/>
      </c>
      <c r="F12454" s="2" t="str">
        <f>""</f>
        <v/>
      </c>
      <c r="G12454" s="2" t="str">
        <f>"Faturamento / Faturamento de Internação SUS (AIH) / Tabelas / Laudos ()"</f>
        <v>Faturamento / Faturamento de Internação SUS (AIH) / Tabelas / Laudos ()</v>
      </c>
    </row>
    <row r="12455" spans="1:7" x14ac:dyDescent="0.3">
      <c r="A12455" s="1" t="s">
        <v>58</v>
      </c>
      <c r="B12455" s="2" t="str">
        <f>""</f>
        <v/>
      </c>
      <c r="C12455" s="2" t="str">
        <f>""</f>
        <v/>
      </c>
      <c r="D12455" s="2" t="str">
        <f>""</f>
        <v/>
      </c>
      <c r="E12455" s="2" t="str">
        <f>""</f>
        <v/>
      </c>
      <c r="F12455" s="2" t="str">
        <f>""</f>
        <v/>
      </c>
      <c r="G12455" s="2" t="s">
        <v>10</v>
      </c>
    </row>
    <row r="12456" spans="1:7" x14ac:dyDescent="0.3">
      <c r="A12456" s="1" t="s">
        <v>58</v>
      </c>
      <c r="B12456" s="2" t="str">
        <f>""</f>
        <v/>
      </c>
      <c r="C12456" s="2" t="str">
        <f>""</f>
        <v/>
      </c>
      <c r="D12456" s="2" t="str">
        <f>""</f>
        <v/>
      </c>
      <c r="E12456" s="2" t="str">
        <f>""</f>
        <v/>
      </c>
      <c r="F12456" s="2" t="str">
        <f>""</f>
        <v/>
      </c>
      <c r="G12456" s="2" t="str">
        <f>"Faturamento Distribuído de Convênios e Particulares ()"</f>
        <v>Faturamento Distribuído de Convênios e Particulares ()</v>
      </c>
    </row>
    <row r="12457" spans="1:7" x14ac:dyDescent="0.3">
      <c r="A12457" s="1" t="s">
        <v>58</v>
      </c>
      <c r="B12457" s="2" t="str">
        <f>""</f>
        <v/>
      </c>
      <c r="C12457" s="2" t="str">
        <f>""</f>
        <v/>
      </c>
      <c r="D12457" s="2" t="str">
        <f>""</f>
        <v/>
      </c>
      <c r="E12457" s="2" t="str">
        <f>""</f>
        <v/>
      </c>
      <c r="F12457" s="2" t="str">
        <f>""</f>
        <v/>
      </c>
      <c r="G12457" s="2" t="str">
        <f>"Faturamento Distribuído de Convênios e Particulares / Lançamentos ()"</f>
        <v>Faturamento Distribuído de Convênios e Particulares / Lançamentos ()</v>
      </c>
    </row>
    <row r="12458" spans="1:7" x14ac:dyDescent="0.3">
      <c r="A12458" s="1" t="s">
        <v>58</v>
      </c>
      <c r="B12458" s="2" t="str">
        <f>""</f>
        <v/>
      </c>
      <c r="C12458" s="2" t="str">
        <f>""</f>
        <v/>
      </c>
      <c r="D12458" s="2" t="str">
        <f>""</f>
        <v/>
      </c>
      <c r="E12458" s="2" t="str">
        <f>""</f>
        <v/>
      </c>
      <c r="F12458" s="2" t="str">
        <f>""</f>
        <v/>
      </c>
      <c r="G12458" s="2" t="str">
        <f>"Faturamento Distribuído de Convênios e Particulares / Configurações ()"</f>
        <v>Faturamento Distribuído de Convênios e Particulares / Configurações ()</v>
      </c>
    </row>
    <row r="12459" spans="1:7" x14ac:dyDescent="0.3">
      <c r="A12459" s="1" t="s">
        <v>58</v>
      </c>
      <c r="B12459" s="2" t="str">
        <f>""</f>
        <v/>
      </c>
      <c r="C12459" s="2" t="str">
        <f>""</f>
        <v/>
      </c>
      <c r="D12459" s="2" t="str">
        <f>""</f>
        <v/>
      </c>
      <c r="E12459" s="2" t="str">
        <f>""</f>
        <v/>
      </c>
      <c r="F12459" s="2" t="str">
        <f>""</f>
        <v/>
      </c>
      <c r="G12459" s="2" t="str">
        <f>"Faturamento Distribuído de Convênios e Particulares / Lançamentos / Conta Hospitalar ()"</f>
        <v>Faturamento Distribuído de Convênios e Particulares / Lançamentos / Conta Hospitalar ()</v>
      </c>
    </row>
    <row r="12460" spans="1:7" x14ac:dyDescent="0.3">
      <c r="A12460" s="1" t="s">
        <v>58</v>
      </c>
      <c r="B12460" s="2" t="str">
        <f>""</f>
        <v/>
      </c>
      <c r="C12460" s="2" t="str">
        <f>""</f>
        <v/>
      </c>
      <c r="D12460" s="2" t="str">
        <f>""</f>
        <v/>
      </c>
      <c r="E12460" s="2" t="str">
        <f>""</f>
        <v/>
      </c>
      <c r="F12460" s="2" t="str">
        <f>""</f>
        <v/>
      </c>
      <c r="G12460" s="2" t="str">
        <f>"Faturamento / Faturamento de Convênios e Particulares / Lançamentos / Nota Fiscal Eletronica ()"</f>
        <v>Faturamento / Faturamento de Convênios e Particulares / Lançamentos / Nota Fiscal Eletronica ()</v>
      </c>
    </row>
    <row r="12461" spans="1:7" x14ac:dyDescent="0.3">
      <c r="A12461" s="1" t="s">
        <v>58</v>
      </c>
      <c r="B12461" s="2" t="str">
        <f>""</f>
        <v/>
      </c>
      <c r="C12461" s="2" t="str">
        <f>""</f>
        <v/>
      </c>
      <c r="D12461" s="2" t="str">
        <f>""</f>
        <v/>
      </c>
      <c r="E12461" s="2" t="str">
        <f>""</f>
        <v/>
      </c>
      <c r="F12461" s="2" t="str">
        <f>""</f>
        <v/>
      </c>
      <c r="G12461" s="2" t="str">
        <f>"Atendimento / Ambulatório / Faturamento ()"</f>
        <v>Atendimento / Ambulatório / Faturamento ()</v>
      </c>
    </row>
    <row r="12462" spans="1:7" x14ac:dyDescent="0.3">
      <c r="A12462" s="1" t="s">
        <v>58</v>
      </c>
      <c r="B12462" s="2" t="str">
        <f>""</f>
        <v/>
      </c>
      <c r="C12462" s="2" t="str">
        <f>""</f>
        <v/>
      </c>
      <c r="D12462" s="2" t="str">
        <f>""</f>
        <v/>
      </c>
      <c r="E12462" s="2" t="str">
        <f>""</f>
        <v/>
      </c>
      <c r="F12462" s="2" t="str">
        <f>""</f>
        <v/>
      </c>
      <c r="G12462" s="2" t="str">
        <f>"Diagnóstico e Terapia / Diagnóstico por Imagem / Faturamento ()"</f>
        <v>Diagnóstico e Terapia / Diagnóstico por Imagem / Faturamento ()</v>
      </c>
    </row>
    <row r="12463" spans="1:7" x14ac:dyDescent="0.3">
      <c r="A12463" s="1" t="s">
        <v>58</v>
      </c>
      <c r="B12463" s="2" t="str">
        <f>""</f>
        <v/>
      </c>
      <c r="C12463" s="2" t="str">
        <f>""</f>
        <v/>
      </c>
      <c r="D12463" s="2" t="str">
        <f>""</f>
        <v/>
      </c>
      <c r="E12463" s="2" t="str">
        <f>""</f>
        <v/>
      </c>
      <c r="F12463" s="2" t="str">
        <f>""</f>
        <v/>
      </c>
      <c r="G12463" s="2" t="str">
        <f>"Diagnóstico e Terapia / Laboratório de Análises Clínicas / Faturamento ()"</f>
        <v>Diagnóstico e Terapia / Laboratório de Análises Clínicas / Faturamento ()</v>
      </c>
    </row>
    <row r="12464" spans="1:7" x14ac:dyDescent="0.3">
      <c r="A12464" s="1" t="s">
        <v>58</v>
      </c>
      <c r="B12464" s="2" t="str">
        <f>""</f>
        <v/>
      </c>
      <c r="C12464" s="2" t="str">
        <f>""</f>
        <v/>
      </c>
      <c r="D12464" s="2" t="str">
        <f>""</f>
        <v/>
      </c>
      <c r="E12464" s="2" t="str">
        <f>""</f>
        <v/>
      </c>
      <c r="F12464" s="2" t="str">
        <f>""</f>
        <v/>
      </c>
      <c r="G12464" s="2" t="str">
        <f>"Controladoria / Caixa / Faturamento ()"</f>
        <v>Controladoria / Caixa / Faturamento ()</v>
      </c>
    </row>
    <row r="12465" spans="1:7" x14ac:dyDescent="0.3">
      <c r="A12465" s="1" t="s">
        <v>58</v>
      </c>
      <c r="B12465" s="2" t="str">
        <f>""</f>
        <v/>
      </c>
      <c r="C12465" s="2" t="str">
        <f>""</f>
        <v/>
      </c>
      <c r="D12465" s="2" t="str">
        <f>""</f>
        <v/>
      </c>
      <c r="E12465" s="2" t="str">
        <f>""</f>
        <v/>
      </c>
      <c r="F12465" s="2" t="str">
        <f>""</f>
        <v/>
      </c>
      <c r="G12465" s="2" t="str">
        <f>"Atendimento / Central de Agendamento / Tabelas / Turmas ()"</f>
        <v>Atendimento / Central de Agendamento / Tabelas / Turmas ()</v>
      </c>
    </row>
    <row r="12466" spans="1:7" x14ac:dyDescent="0.3">
      <c r="A12466" s="1" t="s">
        <v>58</v>
      </c>
      <c r="B12466" s="2" t="str">
        <f>""</f>
        <v/>
      </c>
      <c r="C12466" s="2" t="str">
        <f>""</f>
        <v/>
      </c>
      <c r="D12466" s="2" t="str">
        <f>""</f>
        <v/>
      </c>
      <c r="E12466" s="2" t="str">
        <f>""</f>
        <v/>
      </c>
      <c r="F12466" s="2" t="str">
        <f>""</f>
        <v/>
      </c>
      <c r="G12466" s="2" t="str">
        <f>"Atendimento / Urgência e Emergência / Personalizados ()"</f>
        <v>Atendimento / Urgência e Emergência / Personalizados ()</v>
      </c>
    </row>
    <row r="12467" spans="1:7" x14ac:dyDescent="0.3">
      <c r="A12467" s="1" t="s">
        <v>58</v>
      </c>
      <c r="B12467" s="2" t="str">
        <f>""</f>
        <v/>
      </c>
      <c r="C12467" s="2" t="str">
        <f>""</f>
        <v/>
      </c>
      <c r="D12467" s="2" t="str">
        <f>""</f>
        <v/>
      </c>
      <c r="E12467" s="2" t="str">
        <f>""</f>
        <v/>
      </c>
      <c r="F12467" s="2" t="str">
        <f>""</f>
        <v/>
      </c>
      <c r="G12467" s="2" t="str">
        <f>"Atendimento / Urgência e Emergência / Personalizados / Cadastro e Óbito ()"</f>
        <v>Atendimento / Urgência e Emergência / Personalizados / Cadastro e Óbito ()</v>
      </c>
    </row>
    <row r="12468" spans="1:7" x14ac:dyDescent="0.3">
      <c r="A12468" s="1" t="s">
        <v>58</v>
      </c>
      <c r="B12468" s="2" t="str">
        <f>""</f>
        <v/>
      </c>
      <c r="C12468" s="2" t="str">
        <f>""</f>
        <v/>
      </c>
      <c r="D12468" s="2" t="str">
        <f>""</f>
        <v/>
      </c>
      <c r="E12468" s="2" t="str">
        <f>""</f>
        <v/>
      </c>
      <c r="F12468" s="2" t="str">
        <f>""</f>
        <v/>
      </c>
      <c r="G12468" s="2" t="str">
        <f>"MVSaude / Atendimento / Call Center ()"</f>
        <v>MVSaude / Atendimento / Call Center ()</v>
      </c>
    </row>
    <row r="12469" spans="1:7" x14ac:dyDescent="0.3">
      <c r="A12469" s="1" t="s">
        <v>58</v>
      </c>
      <c r="B12469" s="2" t="str">
        <f>""</f>
        <v/>
      </c>
      <c r="C12469" s="2" t="str">
        <f>""</f>
        <v/>
      </c>
      <c r="D12469" s="2" t="str">
        <f>""</f>
        <v/>
      </c>
      <c r="E12469" s="2" t="str">
        <f>""</f>
        <v/>
      </c>
      <c r="F12469" s="2" t="str">
        <f>""</f>
        <v/>
      </c>
      <c r="G12469" s="2" t="str">
        <f>"Faturamento / Faturamento de Internação SUS (AIH) / Relatórios / Gerenciais / Previsão de Receita ()"</f>
        <v>Faturamento / Faturamento de Internação SUS (AIH) / Relatórios / Gerenciais / Previsão de Receita ()</v>
      </c>
    </row>
    <row r="12470" spans="1:7" x14ac:dyDescent="0.3">
      <c r="A12470" s="1" t="s">
        <v>58</v>
      </c>
      <c r="B12470" s="2" t="str">
        <f>""</f>
        <v/>
      </c>
      <c r="C12470" s="2" t="str">
        <f>""</f>
        <v/>
      </c>
      <c r="D12470" s="2" t="str">
        <f>""</f>
        <v/>
      </c>
      <c r="E12470" s="2" t="str">
        <f>""</f>
        <v/>
      </c>
      <c r="F12470" s="2" t="str">
        <f>""</f>
        <v/>
      </c>
      <c r="G12470" s="2" t="str">
        <f>"Faturamento / Faturamento de Internação SUS (AIH) / Relatórios / Gerenciais / Produtividade por Prestador ()"</f>
        <v>Faturamento / Faturamento de Internação SUS (AIH) / Relatórios / Gerenciais / Produtividade por Prestador ()</v>
      </c>
    </row>
    <row r="12471" spans="1:7" x14ac:dyDescent="0.3">
      <c r="A12471" s="1" t="s">
        <v>58</v>
      </c>
      <c r="B12471" s="2" t="str">
        <f>""</f>
        <v/>
      </c>
      <c r="C12471" s="2" t="str">
        <f>""</f>
        <v/>
      </c>
      <c r="D12471" s="2" t="str">
        <f>""</f>
        <v/>
      </c>
      <c r="E12471" s="2" t="str">
        <f>""</f>
        <v/>
      </c>
      <c r="F12471" s="2" t="str">
        <f>""</f>
        <v/>
      </c>
      <c r="G12471" s="2" t="str">
        <f>"Faturamento / Faturamento de Internação SUS (AIH) / Relatórios / Gerenciais / Motivos de Alta ()"</f>
        <v>Faturamento / Faturamento de Internação SUS (AIH) / Relatórios / Gerenciais / Motivos de Alta ()</v>
      </c>
    </row>
    <row r="12472" spans="1:7" x14ac:dyDescent="0.3">
      <c r="A12472" s="1" t="s">
        <v>58</v>
      </c>
      <c r="B12472" s="2" t="str">
        <f>""</f>
        <v/>
      </c>
      <c r="C12472" s="2" t="str">
        <f>""</f>
        <v/>
      </c>
      <c r="D12472" s="2" t="str">
        <f>""</f>
        <v/>
      </c>
      <c r="E12472" s="2" t="str">
        <f>""</f>
        <v/>
      </c>
      <c r="F12472" s="2" t="str">
        <f>""</f>
        <v/>
      </c>
      <c r="G12472" s="2" t="str">
        <f>"Faturamento / Auditoria e Controle de Recursos de Glosas / Relatórios / Administrativos / Justificativa / Motivo / Recurso de Glosa ()"</f>
        <v>Faturamento / Auditoria e Controle de Recursos de Glosas / Relatórios / Administrativos / Justificativa / Motivo / Recurso de Glosa ()</v>
      </c>
    </row>
    <row r="12473" spans="1:7" x14ac:dyDescent="0.3">
      <c r="A12473" s="1" t="s">
        <v>58</v>
      </c>
      <c r="B12473" s="2" t="str">
        <f>""</f>
        <v/>
      </c>
      <c r="C12473" s="2" t="str">
        <f>""</f>
        <v/>
      </c>
      <c r="D12473" s="2" t="str">
        <f>""</f>
        <v/>
      </c>
      <c r="E12473" s="2" t="str">
        <f>""</f>
        <v/>
      </c>
      <c r="F12473" s="2" t="str">
        <f>""</f>
        <v/>
      </c>
      <c r="G12473" s="2" t="str">
        <f>"MVSaude / Relatórios / Administrativos / Cancelamento da Guia / Cancelamento x Guia ()"</f>
        <v>MVSaude / Relatórios / Administrativos / Cancelamento da Guia / Cancelamento x Guia ()</v>
      </c>
    </row>
    <row r="12474" spans="1:7" x14ac:dyDescent="0.3">
      <c r="A12474" s="1" t="s">
        <v>58</v>
      </c>
      <c r="B12474" s="2" t="str">
        <f>""</f>
        <v/>
      </c>
      <c r="C12474" s="2" t="str">
        <f>""</f>
        <v/>
      </c>
      <c r="D12474" s="2" t="str">
        <f>""</f>
        <v/>
      </c>
      <c r="E12474" s="2" t="str">
        <f>""</f>
        <v/>
      </c>
      <c r="F12474" s="2" t="str">
        <f>""</f>
        <v/>
      </c>
      <c r="G12474" s="2" t="str">
        <f>"MVSaude / Relatórios / Administrativos / Cancelamento da Guia / Cancelamento x Prestador ()"</f>
        <v>MVSaude / Relatórios / Administrativos / Cancelamento da Guia / Cancelamento x Prestador ()</v>
      </c>
    </row>
    <row r="12475" spans="1:7" x14ac:dyDescent="0.3">
      <c r="A12475" s="1" t="s">
        <v>58</v>
      </c>
      <c r="B12475" s="2" t="str">
        <f>""</f>
        <v/>
      </c>
      <c r="C12475" s="2" t="str">
        <f>""</f>
        <v/>
      </c>
      <c r="D12475" s="2" t="str">
        <f>""</f>
        <v/>
      </c>
      <c r="E12475" s="2" t="str">
        <f>""</f>
        <v/>
      </c>
      <c r="F12475" s="2" t="str">
        <f>""</f>
        <v/>
      </c>
      <c r="G12475" s="2" t="str">
        <f>"MVSaude / Relatórios / Administrativos / Cancelamento da Guia / Cancelamento x Usuario ()"</f>
        <v>MVSaude / Relatórios / Administrativos / Cancelamento da Guia / Cancelamento x Usuario ()</v>
      </c>
    </row>
    <row r="12476" spans="1:7" x14ac:dyDescent="0.3">
      <c r="A12476" s="1" t="s">
        <v>58</v>
      </c>
      <c r="B12476" s="2" t="str">
        <f>""</f>
        <v/>
      </c>
      <c r="C12476" s="2" t="str">
        <f>""</f>
        <v/>
      </c>
      <c r="D12476" s="2" t="str">
        <f>""</f>
        <v/>
      </c>
      <c r="E12476" s="2" t="str">
        <f>""</f>
        <v/>
      </c>
      <c r="F12476" s="2" t="str">
        <f>""</f>
        <v/>
      </c>
      <c r="G12476" s="2" t="str">
        <f>"MVSaude / Relatórios / Administrativos / Mensalidades / Pre - Pagamento ()"</f>
        <v>MVSaude / Relatórios / Administrativos / Mensalidades / Pre - Pagamento ()</v>
      </c>
    </row>
    <row r="12477" spans="1:7" x14ac:dyDescent="0.3">
      <c r="A12477" s="1" t="s">
        <v>58</v>
      </c>
      <c r="B12477" s="2" t="str">
        <f>""</f>
        <v/>
      </c>
      <c r="C12477" s="2" t="str">
        <f>""</f>
        <v/>
      </c>
      <c r="D12477" s="2" t="str">
        <f>""</f>
        <v/>
      </c>
      <c r="E12477" s="2" t="str">
        <f>""</f>
        <v/>
      </c>
      <c r="F12477" s="2" t="str">
        <f>""</f>
        <v/>
      </c>
      <c r="G12477" s="2" t="str">
        <f>"MVSaude / Relatórios / Administrativos / Mensalidades / Custo Operacional ()"</f>
        <v>MVSaude / Relatórios / Administrativos / Mensalidades / Custo Operacional ()</v>
      </c>
    </row>
    <row r="12478" spans="1:7" x14ac:dyDescent="0.3">
      <c r="A12478" s="1" t="s">
        <v>58</v>
      </c>
      <c r="B12478" s="2" t="str">
        <f>""</f>
        <v/>
      </c>
      <c r="C12478" s="2" t="str">
        <f>""</f>
        <v/>
      </c>
      <c r="D12478" s="2" t="str">
        <f>""</f>
        <v/>
      </c>
      <c r="E12478" s="2" t="str">
        <f>""</f>
        <v/>
      </c>
      <c r="F12478" s="2" t="str">
        <f>""</f>
        <v/>
      </c>
      <c r="G12478" s="2" t="str">
        <f>"MVSaude / Relatórios / Atendimentos / SAC ()"</f>
        <v>MVSaude / Relatórios / Atendimentos / SAC ()</v>
      </c>
    </row>
    <row r="12479" spans="1:7" x14ac:dyDescent="0.3">
      <c r="A12479" s="1" t="s">
        <v>58</v>
      </c>
      <c r="B12479" s="2" t="str">
        <f>""</f>
        <v/>
      </c>
      <c r="C12479" s="2" t="str">
        <f>""</f>
        <v/>
      </c>
      <c r="D12479" s="2" t="str">
        <f>""</f>
        <v/>
      </c>
      <c r="E12479" s="2" t="str">
        <f>""</f>
        <v/>
      </c>
      <c r="F12479" s="2" t="str">
        <f>""</f>
        <v/>
      </c>
      <c r="G12479" s="2" t="str">
        <f>"MVSaude / Relatórios / Contas Médicas / Repasse dos Prestadores ()"</f>
        <v>MVSaude / Relatórios / Contas Médicas / Repasse dos Prestadores ()</v>
      </c>
    </row>
    <row r="12480" spans="1:7" x14ac:dyDescent="0.3">
      <c r="A12480" s="1" t="s">
        <v>58</v>
      </c>
      <c r="B12480" s="2" t="str">
        <f>""</f>
        <v/>
      </c>
      <c r="C12480" s="2" t="str">
        <f>""</f>
        <v/>
      </c>
      <c r="D12480" s="2" t="str">
        <f>""</f>
        <v/>
      </c>
      <c r="E12480" s="2" t="str">
        <f>""</f>
        <v/>
      </c>
      <c r="F12480" s="2" t="str">
        <f>""</f>
        <v/>
      </c>
      <c r="G12480" s="2" t="str">
        <f>"Controladoria / Controle de Cotas ()"</f>
        <v>Controladoria / Controle de Cotas ()</v>
      </c>
    </row>
    <row r="12481" spans="1:7" x14ac:dyDescent="0.3">
      <c r="A12481" s="1" t="s">
        <v>58</v>
      </c>
      <c r="B12481" s="2" t="str">
        <f>""</f>
        <v/>
      </c>
      <c r="C12481" s="2" t="str">
        <f>""</f>
        <v/>
      </c>
      <c r="D12481" s="2" t="str">
        <f>""</f>
        <v/>
      </c>
      <c r="E12481" s="2" t="str">
        <f>""</f>
        <v/>
      </c>
      <c r="F12481" s="2" t="str">
        <f>""</f>
        <v/>
      </c>
      <c r="G12481" s="2" t="str">
        <f>"Materiais e Logística / Compras / Integração / Bionexo ()"</f>
        <v>Materiais e Logística / Compras / Integração / Bionexo ()</v>
      </c>
    </row>
    <row r="12482" spans="1:7" x14ac:dyDescent="0.3">
      <c r="A12482" s="1" t="s">
        <v>58</v>
      </c>
      <c r="B12482" s="2" t="str">
        <f>""</f>
        <v/>
      </c>
      <c r="C12482" s="2" t="str">
        <f>""</f>
        <v/>
      </c>
      <c r="D12482" s="2" t="str">
        <f>""</f>
        <v/>
      </c>
      <c r="E12482" s="2" t="str">
        <f>""</f>
        <v/>
      </c>
      <c r="F12482" s="2" t="str">
        <f>""</f>
        <v/>
      </c>
      <c r="G12482" s="2" t="str">
        <f>"Materiais e Logística / Almoxarifado / Personalizados ()"</f>
        <v>Materiais e Logística / Almoxarifado / Personalizados ()</v>
      </c>
    </row>
    <row r="12483" spans="1:7" x14ac:dyDescent="0.3">
      <c r="A12483" s="1" t="s">
        <v>58</v>
      </c>
      <c r="B12483" s="2" t="str">
        <f>""</f>
        <v/>
      </c>
      <c r="C12483" s="2" t="str">
        <f>""</f>
        <v/>
      </c>
      <c r="D12483" s="2" t="str">
        <f>""</f>
        <v/>
      </c>
      <c r="E12483" s="2" t="str">
        <f>""</f>
        <v/>
      </c>
      <c r="F12483" s="2" t="str">
        <f>""</f>
        <v/>
      </c>
      <c r="G12483" s="2" t="str">
        <f>"Serviços de Apoio / Laprod / Relatórios / Tabelas ()"</f>
        <v>Serviços de Apoio / Laprod / Relatórios / Tabelas ()</v>
      </c>
    </row>
    <row r="12484" spans="1:7" x14ac:dyDescent="0.3">
      <c r="A12484" s="1" t="s">
        <v>58</v>
      </c>
      <c r="B12484" s="2" t="str">
        <f>""</f>
        <v/>
      </c>
      <c r="C12484" s="2" t="str">
        <f>""</f>
        <v/>
      </c>
      <c r="D12484" s="2" t="str">
        <f>""</f>
        <v/>
      </c>
      <c r="E12484" s="2" t="str">
        <f>""</f>
        <v/>
      </c>
      <c r="F12484" s="2" t="str">
        <f>""</f>
        <v/>
      </c>
      <c r="G12484" s="2" t="str">
        <f>"Serviços de Apoio / Laprod / Relatórios / Operacionais ()"</f>
        <v>Serviços de Apoio / Laprod / Relatórios / Operacionais ()</v>
      </c>
    </row>
    <row r="12485" spans="1:7" x14ac:dyDescent="0.3">
      <c r="A12485" s="1" t="s">
        <v>58</v>
      </c>
      <c r="B12485" s="2" t="str">
        <f>""</f>
        <v/>
      </c>
      <c r="C12485" s="2" t="str">
        <f>""</f>
        <v/>
      </c>
      <c r="D12485" s="2" t="str">
        <f>""</f>
        <v/>
      </c>
      <c r="E12485" s="2" t="str">
        <f>""</f>
        <v/>
      </c>
      <c r="F12485" s="2" t="str">
        <f>""</f>
        <v/>
      </c>
      <c r="G12485" s="2" t="str">
        <f>"Atendimento / Central de Agendamento / Agendamentos / Turmas ()"</f>
        <v>Atendimento / Central de Agendamento / Agendamentos / Turmas ()</v>
      </c>
    </row>
    <row r="12486" spans="1:7" x14ac:dyDescent="0.3">
      <c r="A12486" s="1" t="s">
        <v>58</v>
      </c>
      <c r="B12486" s="2" t="str">
        <f>""</f>
        <v/>
      </c>
      <c r="C12486" s="2" t="str">
        <f>""</f>
        <v/>
      </c>
      <c r="D12486" s="2" t="str">
        <f>""</f>
        <v/>
      </c>
      <c r="E12486" s="2" t="str">
        <f>""</f>
        <v/>
      </c>
      <c r="F12486" s="2" t="str">
        <f>""</f>
        <v/>
      </c>
      <c r="G12486" s="2" t="str">
        <f>"Serviços de Apoio / Global / Configurações / Autorizador eletronico ()"</f>
        <v>Serviços de Apoio / Global / Configurações / Autorizador eletronico ()</v>
      </c>
    </row>
    <row r="12487" spans="1:7" x14ac:dyDescent="0.3">
      <c r="A12487" s="1" t="s">
        <v>58</v>
      </c>
      <c r="B12487" s="2" t="str">
        <f>""</f>
        <v/>
      </c>
      <c r="C12487" s="2" t="str">
        <f>""</f>
        <v/>
      </c>
      <c r="D12487" s="2" t="str">
        <f>""</f>
        <v/>
      </c>
      <c r="E12487" s="2" t="str">
        <f>""</f>
        <v/>
      </c>
      <c r="F12487" s="2" t="str">
        <f>""</f>
        <v/>
      </c>
      <c r="G12487" s="2" t="str">
        <f>"Controladoria / Controle de Cotas / Consultas / Cotas ()"</f>
        <v>Controladoria / Controle de Cotas / Consultas / Cotas ()</v>
      </c>
    </row>
    <row r="12488" spans="1:7" x14ac:dyDescent="0.3">
      <c r="A12488" s="1" t="s">
        <v>58</v>
      </c>
      <c r="B12488" s="2" t="str">
        <f>""</f>
        <v/>
      </c>
      <c r="C12488" s="2" t="str">
        <f>""</f>
        <v/>
      </c>
      <c r="D12488" s="2" t="str">
        <f>""</f>
        <v/>
      </c>
      <c r="E12488" s="2" t="str">
        <f>""</f>
        <v/>
      </c>
      <c r="F12488" s="2" t="str">
        <f>""</f>
        <v/>
      </c>
      <c r="G12488" s="2" t="str">
        <f>"Faturamento Distribuído de Convênios e Particulares / Lançamentos / Conta Ambulatorial ()"</f>
        <v>Faturamento Distribuído de Convênios e Particulares / Lançamentos / Conta Ambulatorial ()</v>
      </c>
    </row>
    <row r="12489" spans="1:7" x14ac:dyDescent="0.3">
      <c r="A12489" s="1" t="s">
        <v>58</v>
      </c>
      <c r="B12489" s="2" t="str">
        <f>""</f>
        <v/>
      </c>
      <c r="C12489" s="2" t="str">
        <f>""</f>
        <v/>
      </c>
      <c r="D12489" s="2" t="str">
        <f>""</f>
        <v/>
      </c>
      <c r="E12489" s="2" t="str">
        <f>""</f>
        <v/>
      </c>
      <c r="F12489" s="2" t="str">
        <f>""</f>
        <v/>
      </c>
      <c r="G12489" s="2" t="str">
        <f>"Faturamento / Faturamento de Internação SUS (AIH) / Tabelas / Contratualização ()"</f>
        <v>Faturamento / Faturamento de Internação SUS (AIH) / Tabelas / Contratualização ()</v>
      </c>
    </row>
    <row r="12490" spans="1:7" x14ac:dyDescent="0.3">
      <c r="A12490" s="1" t="s">
        <v>58</v>
      </c>
      <c r="B12490" s="2" t="str">
        <f>""</f>
        <v/>
      </c>
      <c r="C12490" s="2" t="str">
        <f>""</f>
        <v/>
      </c>
      <c r="D12490" s="2" t="str">
        <f>""</f>
        <v/>
      </c>
      <c r="E12490" s="2" t="str">
        <f>""</f>
        <v/>
      </c>
      <c r="F12490" s="2" t="str">
        <f>""</f>
        <v/>
      </c>
      <c r="G12490" s="2" t="str">
        <f>"Faturamento / Faturamento Ambulatorial SUS (BPA e APAC) / Lançamentos / APAC / Glosa APAC ()"</f>
        <v>Faturamento / Faturamento Ambulatorial SUS (BPA e APAC) / Lançamentos / APAC / Glosa APAC ()</v>
      </c>
    </row>
    <row r="12491" spans="1:7" x14ac:dyDescent="0.3">
      <c r="A12491" s="1" t="s">
        <v>58</v>
      </c>
      <c r="B12491" s="2" t="str">
        <f>""</f>
        <v/>
      </c>
      <c r="C12491" s="2" t="str">
        <f>""</f>
        <v/>
      </c>
      <c r="D12491" s="2" t="str">
        <f>""</f>
        <v/>
      </c>
      <c r="E12491" s="2" t="str">
        <f>""</f>
        <v/>
      </c>
      <c r="F12491" s="2" t="str">
        <f>""</f>
        <v/>
      </c>
      <c r="G12491" s="2" t="str">
        <f>"MVSaude / Vendas ()"</f>
        <v>MVSaude / Vendas ()</v>
      </c>
    </row>
    <row r="12492" spans="1:7" x14ac:dyDescent="0.3">
      <c r="A12492" s="1" t="s">
        <v>58</v>
      </c>
      <c r="B12492" s="2" t="str">
        <f>""</f>
        <v/>
      </c>
      <c r="C12492" s="2" t="str">
        <f>""</f>
        <v/>
      </c>
      <c r="D12492" s="2" t="str">
        <f>""</f>
        <v/>
      </c>
      <c r="E12492" s="2" t="str">
        <f>""</f>
        <v/>
      </c>
      <c r="F12492" s="2" t="str">
        <f>""</f>
        <v/>
      </c>
      <c r="G12492" s="2" t="str">
        <f>"MVSaude / Cadastros ()"</f>
        <v>MVSaude / Cadastros ()</v>
      </c>
    </row>
    <row r="12493" spans="1:7" x14ac:dyDescent="0.3">
      <c r="A12493" s="1" t="s">
        <v>58</v>
      </c>
      <c r="B12493" s="2" t="str">
        <f>""</f>
        <v/>
      </c>
      <c r="C12493" s="2" t="str">
        <f>""</f>
        <v/>
      </c>
      <c r="D12493" s="2" t="str">
        <f>""</f>
        <v/>
      </c>
      <c r="E12493" s="2" t="str">
        <f>""</f>
        <v/>
      </c>
      <c r="F12493" s="2" t="str">
        <f>""</f>
        <v/>
      </c>
      <c r="G12493" s="2" t="str">
        <f>"MVSaude / Faturamento ()"</f>
        <v>MVSaude / Faturamento ()</v>
      </c>
    </row>
    <row r="12494" spans="1:7" x14ac:dyDescent="0.3">
      <c r="A12494" s="1" t="s">
        <v>58</v>
      </c>
      <c r="B12494" s="2" t="str">
        <f>""</f>
        <v/>
      </c>
      <c r="C12494" s="2" t="str">
        <f>""</f>
        <v/>
      </c>
      <c r="D12494" s="2" t="str">
        <f>""</f>
        <v/>
      </c>
      <c r="E12494" s="2" t="str">
        <f>""</f>
        <v/>
      </c>
      <c r="F12494" s="2" t="str">
        <f>""</f>
        <v/>
      </c>
      <c r="G12494" s="2" t="str">
        <f>"MVSaude / Contas Médicas ()"</f>
        <v>MVSaude / Contas Médicas ()</v>
      </c>
    </row>
    <row r="12495" spans="1:7" x14ac:dyDescent="0.3">
      <c r="A12495" s="1" t="s">
        <v>58</v>
      </c>
      <c r="B12495" s="2" t="str">
        <f>""</f>
        <v/>
      </c>
      <c r="C12495" s="2" t="str">
        <f>""</f>
        <v/>
      </c>
      <c r="D12495" s="2" t="str">
        <f>""</f>
        <v/>
      </c>
      <c r="E12495" s="2" t="str">
        <f>""</f>
        <v/>
      </c>
      <c r="F12495" s="2" t="str">
        <f>""</f>
        <v/>
      </c>
      <c r="G12495" s="2" t="str">
        <f>"MVSaude / ANS ()"</f>
        <v>MVSaude / ANS ()</v>
      </c>
    </row>
    <row r="12496" spans="1:7" x14ac:dyDescent="0.3">
      <c r="A12496" s="1" t="s">
        <v>58</v>
      </c>
      <c r="B12496" s="2" t="str">
        <f>""</f>
        <v/>
      </c>
      <c r="C12496" s="2" t="str">
        <f>""</f>
        <v/>
      </c>
      <c r="D12496" s="2" t="str">
        <f>""</f>
        <v/>
      </c>
      <c r="E12496" s="2" t="str">
        <f>""</f>
        <v/>
      </c>
      <c r="F12496" s="2" t="str">
        <f>""</f>
        <v/>
      </c>
      <c r="G12496" s="2" t="str">
        <f>"MVSaude / Solicitações ()"</f>
        <v>MVSaude / Solicitações ()</v>
      </c>
    </row>
    <row r="12497" spans="1:7" x14ac:dyDescent="0.3">
      <c r="A12497" s="1" t="s">
        <v>58</v>
      </c>
      <c r="B12497" s="2" t="str">
        <f>""</f>
        <v/>
      </c>
      <c r="C12497" s="2" t="str">
        <f>""</f>
        <v/>
      </c>
      <c r="D12497" s="2" t="str">
        <f>""</f>
        <v/>
      </c>
      <c r="E12497" s="2" t="str">
        <f>""</f>
        <v/>
      </c>
      <c r="F12497" s="2" t="str">
        <f>""</f>
        <v/>
      </c>
      <c r="G12497" s="2" t="str">
        <f>"MVSaude / Configurações ()"</f>
        <v>MVSaude / Configurações ()</v>
      </c>
    </row>
    <row r="12498" spans="1:7" x14ac:dyDescent="0.3">
      <c r="A12498" s="1" t="s">
        <v>58</v>
      </c>
      <c r="B12498" s="2" t="str">
        <f>""</f>
        <v/>
      </c>
      <c r="C12498" s="2" t="str">
        <f>""</f>
        <v/>
      </c>
      <c r="D12498" s="2" t="str">
        <f>""</f>
        <v/>
      </c>
      <c r="E12498" s="2" t="str">
        <f>""</f>
        <v/>
      </c>
      <c r="F12498" s="2" t="str">
        <f>""</f>
        <v/>
      </c>
      <c r="G12498" s="2" t="str">
        <f>"MVSaude / Consultas ()"</f>
        <v>MVSaude / Consultas ()</v>
      </c>
    </row>
    <row r="12499" spans="1:7" x14ac:dyDescent="0.3">
      <c r="A12499" s="1" t="s">
        <v>58</v>
      </c>
      <c r="B12499" s="2" t="str">
        <f>""</f>
        <v/>
      </c>
      <c r="C12499" s="2" t="str">
        <f>""</f>
        <v/>
      </c>
      <c r="D12499" s="2" t="str">
        <f>""</f>
        <v/>
      </c>
      <c r="E12499" s="2" t="str">
        <f>""</f>
        <v/>
      </c>
      <c r="F12499" s="2" t="str">
        <f>""</f>
        <v/>
      </c>
      <c r="G12499" s="2" t="str">
        <f>"MVSaude / Relatórios ()"</f>
        <v>MVSaude / Relatórios ()</v>
      </c>
    </row>
    <row r="12500" spans="1:7" x14ac:dyDescent="0.3">
      <c r="A12500" s="1" t="s">
        <v>58</v>
      </c>
      <c r="B12500" s="2" t="str">
        <f>""</f>
        <v/>
      </c>
      <c r="C12500" s="2" t="str">
        <f>""</f>
        <v/>
      </c>
      <c r="D12500" s="2" t="str">
        <f>""</f>
        <v/>
      </c>
      <c r="E12500" s="2" t="str">
        <f>""</f>
        <v/>
      </c>
      <c r="F12500" s="2" t="str">
        <f>""</f>
        <v/>
      </c>
      <c r="G12500" s="2" t="str">
        <f>"MVSaude ()"</f>
        <v>MVSaude ()</v>
      </c>
    </row>
    <row r="12501" spans="1:7" x14ac:dyDescent="0.3">
      <c r="A12501" s="1" t="s">
        <v>58</v>
      </c>
      <c r="B12501" s="2" t="str">
        <f>""</f>
        <v/>
      </c>
      <c r="C12501" s="2" t="str">
        <f>""</f>
        <v/>
      </c>
      <c r="D12501" s="2" t="str">
        <f>""</f>
        <v/>
      </c>
      <c r="E12501" s="2" t="str">
        <f>""</f>
        <v/>
      </c>
      <c r="F12501" s="2" t="str">
        <f>""</f>
        <v/>
      </c>
      <c r="G12501" s="2" t="str">
        <f>"MVSaude / Atendimento ()"</f>
        <v>MVSaude / Atendimento ()</v>
      </c>
    </row>
    <row r="12502" spans="1:7" x14ac:dyDescent="0.3">
      <c r="A12502" s="1" t="s">
        <v>58</v>
      </c>
      <c r="B12502" s="2" t="str">
        <f>""</f>
        <v/>
      </c>
      <c r="C12502" s="2" t="str">
        <f>""</f>
        <v/>
      </c>
      <c r="D12502" s="2" t="str">
        <f>""</f>
        <v/>
      </c>
      <c r="E12502" s="2" t="str">
        <f>""</f>
        <v/>
      </c>
      <c r="F12502" s="2" t="str">
        <f>""</f>
        <v/>
      </c>
      <c r="G12502" s="2" t="str">
        <f>"Diagnóstico e Terapia ()"</f>
        <v>Diagnóstico e Terapia ()</v>
      </c>
    </row>
    <row r="12503" spans="1:7" x14ac:dyDescent="0.3">
      <c r="A12503" s="1" t="s">
        <v>58</v>
      </c>
      <c r="B12503" s="2" t="str">
        <f>""</f>
        <v/>
      </c>
      <c r="C12503" s="2" t="str">
        <f>""</f>
        <v/>
      </c>
      <c r="D12503" s="2" t="str">
        <f>""</f>
        <v/>
      </c>
      <c r="E12503" s="2" t="str">
        <f>""</f>
        <v/>
      </c>
      <c r="F12503" s="2" t="str">
        <f>""</f>
        <v/>
      </c>
      <c r="G12503" s="2" t="str">
        <f>"Faturamento ()"</f>
        <v>Faturamento ()</v>
      </c>
    </row>
    <row r="12504" spans="1:7" x14ac:dyDescent="0.3">
      <c r="A12504" s="1" t="s">
        <v>58</v>
      </c>
      <c r="B12504" s="2" t="str">
        <f>""</f>
        <v/>
      </c>
      <c r="C12504" s="2" t="str">
        <f>""</f>
        <v/>
      </c>
      <c r="D12504" s="2" t="str">
        <f>""</f>
        <v/>
      </c>
      <c r="E12504" s="2" t="str">
        <f>""</f>
        <v/>
      </c>
      <c r="F12504" s="2" t="str">
        <f>""</f>
        <v/>
      </c>
      <c r="G12504" s="2" t="str">
        <f>"Controladoria ()"</f>
        <v>Controladoria ()</v>
      </c>
    </row>
    <row r="12505" spans="1:7" x14ac:dyDescent="0.3">
      <c r="A12505" s="1" t="s">
        <v>58</v>
      </c>
      <c r="B12505" s="2" t="str">
        <f>""</f>
        <v/>
      </c>
      <c r="C12505" s="2" t="str">
        <f>""</f>
        <v/>
      </c>
      <c r="D12505" s="2" t="str">
        <f>""</f>
        <v/>
      </c>
      <c r="E12505" s="2" t="str">
        <f>""</f>
        <v/>
      </c>
      <c r="F12505" s="2" t="str">
        <f>""</f>
        <v/>
      </c>
      <c r="G12505" s="2" t="str">
        <f>"Serviços de Apoio ()"</f>
        <v>Serviços de Apoio ()</v>
      </c>
    </row>
    <row r="12506" spans="1:7" x14ac:dyDescent="0.3">
      <c r="A12506" s="1" t="s">
        <v>58</v>
      </c>
      <c r="B12506" s="2" t="str">
        <f>""</f>
        <v/>
      </c>
      <c r="C12506" s="2" t="str">
        <f>""</f>
        <v/>
      </c>
      <c r="D12506" s="2" t="str">
        <f>""</f>
        <v/>
      </c>
      <c r="E12506" s="2" t="str">
        <f>""</f>
        <v/>
      </c>
      <c r="F12506" s="2" t="str">
        <f>""</f>
        <v/>
      </c>
      <c r="G12506" s="2" t="str">
        <f>"Apoio a TI ()"</f>
        <v>Apoio a TI ()</v>
      </c>
    </row>
    <row r="12507" spans="1:7" x14ac:dyDescent="0.3">
      <c r="A12507" s="1" t="s">
        <v>58</v>
      </c>
      <c r="B12507" s="2" t="str">
        <f>""</f>
        <v/>
      </c>
      <c r="C12507" s="2" t="str">
        <f>""</f>
        <v/>
      </c>
      <c r="D12507" s="2" t="str">
        <f>""</f>
        <v/>
      </c>
      <c r="E12507" s="2" t="str">
        <f>""</f>
        <v/>
      </c>
      <c r="F12507" s="2" t="str">
        <f>""</f>
        <v/>
      </c>
      <c r="G12507" s="2" t="str">
        <f>"Outros ()"</f>
        <v>Outros ()</v>
      </c>
    </row>
    <row r="12508" spans="1:7" x14ac:dyDescent="0.3">
      <c r="A12508" s="1" t="s">
        <v>58</v>
      </c>
      <c r="B12508" s="2" t="str">
        <f>""</f>
        <v/>
      </c>
      <c r="C12508" s="2" t="str">
        <f>""</f>
        <v/>
      </c>
      <c r="D12508" s="2" t="str">
        <f>""</f>
        <v/>
      </c>
      <c r="E12508" s="2" t="str">
        <f>""</f>
        <v/>
      </c>
      <c r="F12508" s="2" t="str">
        <f>""</f>
        <v/>
      </c>
      <c r="G12508" s="2" t="str">
        <f>"Materiais e Logística / Farmácia ()"</f>
        <v>Materiais e Logística / Farmácia ()</v>
      </c>
    </row>
    <row r="12509" spans="1:7" x14ac:dyDescent="0.3">
      <c r="A12509" s="1" t="s">
        <v>58</v>
      </c>
      <c r="B12509" s="2" t="str">
        <f>""</f>
        <v/>
      </c>
      <c r="C12509" s="2" t="str">
        <f>""</f>
        <v/>
      </c>
      <c r="D12509" s="2" t="str">
        <f>""</f>
        <v/>
      </c>
      <c r="E12509" s="2" t="str">
        <f>""</f>
        <v/>
      </c>
      <c r="F12509" s="2" t="str">
        <f>""</f>
        <v/>
      </c>
      <c r="G12509" s="2" t="str">
        <f>"Materiais e Logística / Patrimônio ()"</f>
        <v>Materiais e Logística / Patrimônio ()</v>
      </c>
    </row>
    <row r="12510" spans="1:7" x14ac:dyDescent="0.3">
      <c r="A12510" s="1" t="s">
        <v>58</v>
      </c>
      <c r="B12510" s="2" t="str">
        <f>""</f>
        <v/>
      </c>
      <c r="C12510" s="2" t="str">
        <f>""</f>
        <v/>
      </c>
      <c r="D12510" s="2" t="str">
        <f>""</f>
        <v/>
      </c>
      <c r="E12510" s="2" t="str">
        <f>""</f>
        <v/>
      </c>
      <c r="F12510" s="2" t="str">
        <f>""</f>
        <v/>
      </c>
      <c r="G12510" s="2" t="str">
        <f>"Controladoria / Controle de Cotas / Solicitações ()"</f>
        <v>Controladoria / Controle de Cotas / Solicitações ()</v>
      </c>
    </row>
    <row r="12511" spans="1:7" x14ac:dyDescent="0.3">
      <c r="A12511" s="1" t="s">
        <v>58</v>
      </c>
      <c r="B12511" s="2" t="str">
        <f>""</f>
        <v/>
      </c>
      <c r="C12511" s="2" t="str">
        <f>""</f>
        <v/>
      </c>
      <c r="D12511" s="2" t="str">
        <f>""</f>
        <v/>
      </c>
      <c r="E12511" s="2" t="str">
        <f>""</f>
        <v/>
      </c>
      <c r="F12511" s="2" t="str">
        <f>""</f>
        <v/>
      </c>
      <c r="G12511" s="2" t="str">
        <f>"Controladoria / Controle de Cotas / Tabelas ()"</f>
        <v>Controladoria / Controle de Cotas / Tabelas ()</v>
      </c>
    </row>
    <row r="12512" spans="1:7" x14ac:dyDescent="0.3">
      <c r="A12512" s="1" t="s">
        <v>58</v>
      </c>
      <c r="B12512" s="2" t="str">
        <f>""</f>
        <v/>
      </c>
      <c r="C12512" s="2" t="str">
        <f>""</f>
        <v/>
      </c>
      <c r="D12512" s="2" t="str">
        <f>""</f>
        <v/>
      </c>
      <c r="E12512" s="2" t="str">
        <f>""</f>
        <v/>
      </c>
      <c r="F12512" s="2" t="str">
        <f>""</f>
        <v/>
      </c>
      <c r="G12512" s="2" t="str">
        <f>"Controladoria / Controle de Cotas / Relatórios ()"</f>
        <v>Controladoria / Controle de Cotas / Relatórios ()</v>
      </c>
    </row>
    <row r="12513" spans="1:7" x14ac:dyDescent="0.3">
      <c r="A12513" s="1" t="s">
        <v>58</v>
      </c>
      <c r="B12513" s="2" t="str">
        <f>""</f>
        <v/>
      </c>
      <c r="C12513" s="2" t="str">
        <f>""</f>
        <v/>
      </c>
      <c r="D12513" s="2" t="str">
        <f>""</f>
        <v/>
      </c>
      <c r="E12513" s="2" t="str">
        <f>""</f>
        <v/>
      </c>
      <c r="F12513" s="2" t="str">
        <f>""</f>
        <v/>
      </c>
      <c r="G12513" s="2" t="str">
        <f>"Controladoria / Controle de Cotas / Configuração ()"</f>
        <v>Controladoria / Controle de Cotas / Configuração ()</v>
      </c>
    </row>
    <row r="12514" spans="1:7" x14ac:dyDescent="0.3">
      <c r="A12514" s="1" t="s">
        <v>58</v>
      </c>
      <c r="B12514" s="2" t="str">
        <f>""</f>
        <v/>
      </c>
      <c r="C12514" s="2" t="str">
        <f>""</f>
        <v/>
      </c>
      <c r="D12514" s="2" t="str">
        <f>""</f>
        <v/>
      </c>
      <c r="E12514" s="2" t="str">
        <f>""</f>
        <v/>
      </c>
      <c r="F12514" s="2" t="str">
        <f>""</f>
        <v/>
      </c>
      <c r="G12514" s="2" t="str">
        <f>"Controladoria / Controle de Cotas / Cotas / Competência ()"</f>
        <v>Controladoria / Controle de Cotas / Cotas / Competência ()</v>
      </c>
    </row>
    <row r="12515" spans="1:7" x14ac:dyDescent="0.3">
      <c r="A12515" s="1" t="s">
        <v>58</v>
      </c>
      <c r="B12515" s="2" t="str">
        <f>""</f>
        <v/>
      </c>
      <c r="C12515" s="2" t="str">
        <f>""</f>
        <v/>
      </c>
      <c r="D12515" s="2" t="str">
        <f>""</f>
        <v/>
      </c>
      <c r="E12515" s="2" t="str">
        <f>""</f>
        <v/>
      </c>
      <c r="F12515" s="2" t="str">
        <f>""</f>
        <v/>
      </c>
      <c r="G12515" s="2" t="str">
        <f>"Controladoria / Controle de Cotas / Cotas / Autorização de Cota ()"</f>
        <v>Controladoria / Controle de Cotas / Cotas / Autorização de Cota ()</v>
      </c>
    </row>
    <row r="12516" spans="1:7" x14ac:dyDescent="0.3">
      <c r="A12516" s="1" t="s">
        <v>58</v>
      </c>
      <c r="B12516" s="2" t="str">
        <f>""</f>
        <v/>
      </c>
      <c r="C12516" s="2" t="str">
        <f>""</f>
        <v/>
      </c>
      <c r="D12516" s="2" t="str">
        <f>""</f>
        <v/>
      </c>
      <c r="E12516" s="2" t="str">
        <f>""</f>
        <v/>
      </c>
      <c r="F12516" s="2" t="str">
        <f>""</f>
        <v/>
      </c>
      <c r="G12516" s="2" t="str">
        <f>"Controladoria / Controle de Cotas / Cotas ()"</f>
        <v>Controladoria / Controle de Cotas / Cotas ()</v>
      </c>
    </row>
    <row r="12517" spans="1:7" x14ac:dyDescent="0.3">
      <c r="A12517" s="1" t="s">
        <v>58</v>
      </c>
      <c r="B12517" s="2" t="str">
        <f>""</f>
        <v/>
      </c>
      <c r="C12517" s="2" t="str">
        <f>""</f>
        <v/>
      </c>
      <c r="D12517" s="2" t="str">
        <f>""</f>
        <v/>
      </c>
      <c r="E12517" s="2" t="str">
        <f>""</f>
        <v/>
      </c>
      <c r="F12517" s="2" t="str">
        <f>""</f>
        <v/>
      </c>
      <c r="G12517" s="2" t="str">
        <f>"Controladoria / Controle de Cotas / Consultas ()"</f>
        <v>Controladoria / Controle de Cotas / Consultas ()</v>
      </c>
    </row>
    <row r="12518" spans="1:7" x14ac:dyDescent="0.3">
      <c r="A12518" s="1" t="s">
        <v>58</v>
      </c>
      <c r="B12518" s="2" t="str">
        <f>""</f>
        <v/>
      </c>
      <c r="C12518" s="2" t="str">
        <f>""</f>
        <v/>
      </c>
      <c r="D12518" s="2" t="str">
        <f>""</f>
        <v/>
      </c>
      <c r="E12518" s="2" t="str">
        <f>""</f>
        <v/>
      </c>
      <c r="F12518" s="2" t="str">
        <f>""</f>
        <v/>
      </c>
      <c r="G12518" s="2" t="str">
        <f>"Controladoria / Controle de Cotas / Relatórios / Tabelas ()"</f>
        <v>Controladoria / Controle de Cotas / Relatórios / Tabelas ()</v>
      </c>
    </row>
    <row r="12519" spans="1:7" x14ac:dyDescent="0.3">
      <c r="A12519" s="1" t="s">
        <v>58</v>
      </c>
      <c r="B12519" s="2" t="str">
        <f>""</f>
        <v/>
      </c>
      <c r="C12519" s="2" t="str">
        <f>""</f>
        <v/>
      </c>
      <c r="D12519" s="2" t="str">
        <f>""</f>
        <v/>
      </c>
      <c r="E12519" s="2" t="str">
        <f>""</f>
        <v/>
      </c>
      <c r="F12519" s="2" t="str">
        <f>""</f>
        <v/>
      </c>
      <c r="G12519" s="2" t="str">
        <f>"Serviços de Apoio / Nutrição e Dietética / Personalizados ()"</f>
        <v>Serviços de Apoio / Nutrição e Dietética / Personalizados ()</v>
      </c>
    </row>
    <row r="12520" spans="1:7" x14ac:dyDescent="0.3">
      <c r="A12520" s="1" t="s">
        <v>58</v>
      </c>
      <c r="B12520" s="2" t="str">
        <f>""</f>
        <v/>
      </c>
      <c r="C12520" s="2" t="str">
        <f>""</f>
        <v/>
      </c>
      <c r="D12520" s="2" t="str">
        <f>""</f>
        <v/>
      </c>
      <c r="E12520" s="2" t="str">
        <f>""</f>
        <v/>
      </c>
      <c r="F12520" s="2" t="str">
        <f>""</f>
        <v/>
      </c>
      <c r="G12520" s="2" t="str">
        <f>"Controladoria / Repasse Médico / Repasse Virtual ()"</f>
        <v>Controladoria / Repasse Médico / Repasse Virtual ()</v>
      </c>
    </row>
    <row r="12521" spans="1:7" x14ac:dyDescent="0.3">
      <c r="A12521" s="1" t="s">
        <v>58</v>
      </c>
      <c r="B12521" s="2" t="str">
        <f>""</f>
        <v/>
      </c>
      <c r="C12521" s="2" t="str">
        <f>""</f>
        <v/>
      </c>
      <c r="D12521" s="2" t="str">
        <f>""</f>
        <v/>
      </c>
      <c r="E12521" s="2" t="str">
        <f>""</f>
        <v/>
      </c>
      <c r="F12521" s="2" t="str">
        <f>""</f>
        <v/>
      </c>
      <c r="G12521" s="2" t="str">
        <f>"Controladoria / Contabilidade / Personalizados ()"</f>
        <v>Controladoria / Contabilidade / Personalizados ()</v>
      </c>
    </row>
    <row r="12522" spans="1:7" x14ac:dyDescent="0.3">
      <c r="A12522" s="1" t="s">
        <v>58</v>
      </c>
      <c r="B12522" s="2" t="str">
        <f>""</f>
        <v/>
      </c>
      <c r="C12522" s="2" t="str">
        <f>""</f>
        <v/>
      </c>
      <c r="D12522" s="2" t="str">
        <f>""</f>
        <v/>
      </c>
      <c r="E12522" s="2" t="str">
        <f>""</f>
        <v/>
      </c>
      <c r="F12522" s="2" t="str">
        <f>""</f>
        <v/>
      </c>
      <c r="G12522" s="2" t="str">
        <f>"Controladoria / Repasse Médico / Repasse Virtual / Repasse ()"</f>
        <v>Controladoria / Repasse Médico / Repasse Virtual / Repasse ()</v>
      </c>
    </row>
    <row r="12523" spans="1:7" x14ac:dyDescent="0.3">
      <c r="A12523" s="1" t="s">
        <v>58</v>
      </c>
      <c r="B12523" s="2" t="str">
        <f>""</f>
        <v/>
      </c>
      <c r="C12523" s="2" t="str">
        <f>""</f>
        <v/>
      </c>
      <c r="D12523" s="2" t="str">
        <f>""</f>
        <v/>
      </c>
      <c r="E12523" s="2" t="str">
        <f>""</f>
        <v/>
      </c>
      <c r="F12523" s="2" t="str">
        <f>""</f>
        <v/>
      </c>
      <c r="G12523" s="2" t="str">
        <f>"Controladoria / Repasse Médico / Repasse Virtual / Repasse / Geração ()"</f>
        <v>Controladoria / Repasse Médico / Repasse Virtual / Repasse / Geração ()</v>
      </c>
    </row>
    <row r="12524" spans="1:7" x14ac:dyDescent="0.3">
      <c r="A12524" s="1" t="s">
        <v>58</v>
      </c>
      <c r="B12524" s="2" t="str">
        <f>""</f>
        <v/>
      </c>
      <c r="C12524" s="2" t="str">
        <f>""</f>
        <v/>
      </c>
      <c r="D12524" s="2" t="str">
        <f>""</f>
        <v/>
      </c>
      <c r="E12524" s="2" t="str">
        <f>""</f>
        <v/>
      </c>
      <c r="F12524" s="2" t="str">
        <f>""</f>
        <v/>
      </c>
      <c r="G12524" s="2" t="str">
        <f>"Controladoria / Repasse Médico / Repasse Virtual / Tabelas ()"</f>
        <v>Controladoria / Repasse Médico / Repasse Virtual / Tabelas ()</v>
      </c>
    </row>
    <row r="12525" spans="1:7" x14ac:dyDescent="0.3">
      <c r="A12525" s="1" t="s">
        <v>58</v>
      </c>
      <c r="B12525" s="2" t="str">
        <f>""</f>
        <v/>
      </c>
      <c r="C12525" s="2" t="str">
        <f>""</f>
        <v/>
      </c>
      <c r="D12525" s="2" t="str">
        <f>""</f>
        <v/>
      </c>
      <c r="E12525" s="2" t="str">
        <f>""</f>
        <v/>
      </c>
      <c r="F12525" s="2" t="str">
        <f>""</f>
        <v/>
      </c>
      <c r="G12525" s="2" t="str">
        <f>"Controladoria / Repasse Médico / Repasse Virtual / Tabelas / Regras ()"</f>
        <v>Controladoria / Repasse Médico / Repasse Virtual / Tabelas / Regras ()</v>
      </c>
    </row>
    <row r="12526" spans="1:7" x14ac:dyDescent="0.3">
      <c r="A12526" s="1" t="s">
        <v>58</v>
      </c>
      <c r="B12526" s="2" t="str">
        <f>""</f>
        <v/>
      </c>
      <c r="C12526" s="2" t="str">
        <f>""</f>
        <v/>
      </c>
      <c r="D12526" s="2" t="str">
        <f>""</f>
        <v/>
      </c>
      <c r="E12526" s="2" t="str">
        <f>""</f>
        <v/>
      </c>
      <c r="F12526" s="2" t="str">
        <f>""</f>
        <v/>
      </c>
      <c r="G12526" s="2" t="str">
        <f>"Controladoria / Repasse Médico / Repasse Virtual / Consultas ()"</f>
        <v>Controladoria / Repasse Médico / Repasse Virtual / Consultas ()</v>
      </c>
    </row>
    <row r="12527" spans="1:7" x14ac:dyDescent="0.3">
      <c r="A12527" s="1" t="s">
        <v>58</v>
      </c>
      <c r="B12527" s="2" t="str">
        <f>""</f>
        <v/>
      </c>
      <c r="C12527" s="2" t="str">
        <f>""</f>
        <v/>
      </c>
      <c r="D12527" s="2" t="str">
        <f>""</f>
        <v/>
      </c>
      <c r="E12527" s="2" t="str">
        <f>""</f>
        <v/>
      </c>
      <c r="F12527" s="2" t="str">
        <f>""</f>
        <v/>
      </c>
      <c r="G12527" s="2" t="str">
        <f>"Serviços de Apoio / Laprod ()"</f>
        <v>Serviços de Apoio / Laprod ()</v>
      </c>
    </row>
    <row r="12528" spans="1:7" x14ac:dyDescent="0.3">
      <c r="A12528" s="1" t="s">
        <v>58</v>
      </c>
      <c r="B12528" s="2" t="str">
        <f>""</f>
        <v/>
      </c>
      <c r="C12528" s="2" t="str">
        <f>""</f>
        <v/>
      </c>
      <c r="D12528" s="2" t="str">
        <f>""</f>
        <v/>
      </c>
      <c r="E12528" s="2" t="str">
        <f>""</f>
        <v/>
      </c>
      <c r="F12528" s="2" t="str">
        <f>""</f>
        <v/>
      </c>
      <c r="G12528" s="2" t="str">
        <f>"Serviços de Apoio / Laprod / Tabelas ()"</f>
        <v>Serviços de Apoio / Laprod / Tabelas ()</v>
      </c>
    </row>
    <row r="12529" spans="1:7" x14ac:dyDescent="0.3">
      <c r="A12529" s="1" t="s">
        <v>58</v>
      </c>
      <c r="B12529" s="2" t="str">
        <f>""</f>
        <v/>
      </c>
      <c r="C12529" s="2" t="str">
        <f>""</f>
        <v/>
      </c>
      <c r="D12529" s="2" t="str">
        <f>""</f>
        <v/>
      </c>
      <c r="E12529" s="2" t="str">
        <f>""</f>
        <v/>
      </c>
      <c r="F12529" s="2" t="str">
        <f>""</f>
        <v/>
      </c>
      <c r="G12529" s="2" t="str">
        <f>"Serviços de Apoio / Laprod / Configurações ()"</f>
        <v>Serviços de Apoio / Laprod / Configurações ()</v>
      </c>
    </row>
    <row r="12530" spans="1:7" x14ac:dyDescent="0.3">
      <c r="A12530" s="1" t="s">
        <v>58</v>
      </c>
      <c r="B12530" s="2" t="str">
        <f>""</f>
        <v/>
      </c>
      <c r="C12530" s="2" t="str">
        <f>""</f>
        <v/>
      </c>
      <c r="D12530" s="2" t="str">
        <f>""</f>
        <v/>
      </c>
      <c r="E12530" s="2" t="str">
        <f>""</f>
        <v/>
      </c>
      <c r="F12530" s="2" t="str">
        <f>""</f>
        <v/>
      </c>
      <c r="G12530" s="2" t="str">
        <f>"Serviços de Apoio / Laprod / Configurações / Layouts do Laudo ()"</f>
        <v>Serviços de Apoio / Laprod / Configurações / Layouts do Laudo ()</v>
      </c>
    </row>
    <row r="12531" spans="1:7" x14ac:dyDescent="0.3">
      <c r="A12531" s="1" t="s">
        <v>58</v>
      </c>
      <c r="B12531" s="2" t="str">
        <f>""</f>
        <v/>
      </c>
      <c r="C12531" s="2" t="str">
        <f>""</f>
        <v/>
      </c>
      <c r="D12531" s="2" t="str">
        <f>""</f>
        <v/>
      </c>
      <c r="E12531" s="2" t="str">
        <f>""</f>
        <v/>
      </c>
      <c r="F12531" s="2" t="str">
        <f>""</f>
        <v/>
      </c>
      <c r="G12531" s="2" t="str">
        <f>"Serviços de Apoio / Laprod / Consultas ()"</f>
        <v>Serviços de Apoio / Laprod / Consultas ()</v>
      </c>
    </row>
    <row r="12532" spans="1:7" x14ac:dyDescent="0.3">
      <c r="A12532" s="1" t="s">
        <v>58</v>
      </c>
      <c r="B12532" s="2" t="str">
        <f>""</f>
        <v/>
      </c>
      <c r="C12532" s="2" t="str">
        <f>""</f>
        <v/>
      </c>
      <c r="D12532" s="2" t="str">
        <f>""</f>
        <v/>
      </c>
      <c r="E12532" s="2" t="str">
        <f>""</f>
        <v/>
      </c>
      <c r="F12532" s="2" t="str">
        <f>""</f>
        <v/>
      </c>
      <c r="G12532" s="2" t="str">
        <f>"Atendimento / Internação / Consultas / Registros de Alterações ()"</f>
        <v>Atendimento / Internação / Consultas / Registros de Alterações ()</v>
      </c>
    </row>
    <row r="12533" spans="1:7" x14ac:dyDescent="0.3">
      <c r="A12533" s="1" t="s">
        <v>58</v>
      </c>
      <c r="B12533" s="2" t="str">
        <f>""</f>
        <v/>
      </c>
      <c r="C12533" s="2" t="str">
        <f>""</f>
        <v/>
      </c>
      <c r="D12533" s="2" t="str">
        <f>""</f>
        <v/>
      </c>
      <c r="E12533" s="2" t="str">
        <f>""</f>
        <v/>
      </c>
      <c r="F12533" s="2" t="str">
        <f>""</f>
        <v/>
      </c>
      <c r="G12533" s="2" t="str">
        <f>"Faturamento / Faturamento de Internação SUS (AIH) ()"</f>
        <v>Faturamento / Faturamento de Internação SUS (AIH) ()</v>
      </c>
    </row>
    <row r="12534" spans="1:7" x14ac:dyDescent="0.3">
      <c r="A12534" s="1" t="s">
        <v>58</v>
      </c>
      <c r="B12534" s="2" t="str">
        <f>""</f>
        <v/>
      </c>
      <c r="C12534" s="2" t="str">
        <f>""</f>
        <v/>
      </c>
      <c r="D12534" s="2" t="str">
        <f>""</f>
        <v/>
      </c>
      <c r="E12534" s="2" t="str">
        <f>""</f>
        <v/>
      </c>
      <c r="F12534" s="2" t="str">
        <f>""</f>
        <v/>
      </c>
      <c r="G12534" s="2" t="str">
        <f>"Faturamento / Faturamento Ambulatorial SUS (BPA e APAC) ()"</f>
        <v>Faturamento / Faturamento Ambulatorial SUS (BPA e APAC) ()</v>
      </c>
    </row>
    <row r="12535" spans="1:7" x14ac:dyDescent="0.3">
      <c r="A12535" s="1" t="s">
        <v>58</v>
      </c>
      <c r="B12535" s="2" t="str">
        <f>""</f>
        <v/>
      </c>
      <c r="C12535" s="2" t="str">
        <f>""</f>
        <v/>
      </c>
      <c r="D12535" s="2" t="str">
        <f>""</f>
        <v/>
      </c>
      <c r="E12535" s="2" t="str">
        <f>""</f>
        <v/>
      </c>
      <c r="F12535" s="2" t="str">
        <f>""</f>
        <v/>
      </c>
      <c r="G12535" s="2" t="str">
        <f>"Faturamento / Faturamento SUS - Siscolo ()"</f>
        <v>Faturamento / Faturamento SUS - Siscolo ()</v>
      </c>
    </row>
    <row r="12536" spans="1:7" x14ac:dyDescent="0.3">
      <c r="A12536" s="1" t="s">
        <v>58</v>
      </c>
      <c r="B12536" s="2" t="str">
        <f>""</f>
        <v/>
      </c>
      <c r="C12536" s="2" t="str">
        <f>""</f>
        <v/>
      </c>
      <c r="D12536" s="2" t="str">
        <f>""</f>
        <v/>
      </c>
      <c r="E12536" s="2" t="str">
        <f>""</f>
        <v/>
      </c>
      <c r="F12536" s="2" t="str">
        <f>""</f>
        <v/>
      </c>
      <c r="G12536" s="2" t="str">
        <f>"Faturamento / Faturamento de Internação SUS (AIH) / Lançamentos ()"</f>
        <v>Faturamento / Faturamento de Internação SUS (AIH) / Lançamentos ()</v>
      </c>
    </row>
    <row r="12537" spans="1:7" x14ac:dyDescent="0.3">
      <c r="A12537" s="1" t="s">
        <v>58</v>
      </c>
      <c r="B12537" s="2" t="str">
        <f>""</f>
        <v/>
      </c>
      <c r="C12537" s="2" t="str">
        <f>""</f>
        <v/>
      </c>
      <c r="D12537" s="2" t="str">
        <f>""</f>
        <v/>
      </c>
      <c r="E12537" s="2" t="str">
        <f>""</f>
        <v/>
      </c>
      <c r="F12537" s="2" t="str">
        <f>""</f>
        <v/>
      </c>
      <c r="G12537" s="2" t="str">
        <f>"Faturamento / Faturamento de Internação SUS (AIH) / Tabelas ()"</f>
        <v>Faturamento / Faturamento de Internação SUS (AIH) / Tabelas ()</v>
      </c>
    </row>
    <row r="12538" spans="1:7" x14ac:dyDescent="0.3">
      <c r="A12538" s="1" t="s">
        <v>58</v>
      </c>
      <c r="B12538" s="2" t="str">
        <f>""</f>
        <v/>
      </c>
      <c r="C12538" s="2" t="str">
        <f>""</f>
        <v/>
      </c>
      <c r="D12538" s="2" t="str">
        <f>""</f>
        <v/>
      </c>
      <c r="E12538" s="2" t="str">
        <f>""</f>
        <v/>
      </c>
      <c r="F12538" s="2" t="str">
        <f>""</f>
        <v/>
      </c>
      <c r="G12538" s="2" t="str">
        <f>"Faturamento / Faturamento de Internação SUS (AIH) / Consultas ()"</f>
        <v>Faturamento / Faturamento de Internação SUS (AIH) / Consultas ()</v>
      </c>
    </row>
    <row r="12539" spans="1:7" x14ac:dyDescent="0.3">
      <c r="A12539" s="1" t="s">
        <v>58</v>
      </c>
      <c r="B12539" s="2" t="str">
        <f>""</f>
        <v/>
      </c>
      <c r="C12539" s="2" t="str">
        <f>""</f>
        <v/>
      </c>
      <c r="D12539" s="2" t="str">
        <f>""</f>
        <v/>
      </c>
      <c r="E12539" s="2" t="str">
        <f>""</f>
        <v/>
      </c>
      <c r="F12539" s="2" t="str">
        <f>""</f>
        <v/>
      </c>
      <c r="G12539" s="2" t="str">
        <f>"Atendimento ()"</f>
        <v>Atendimento ()</v>
      </c>
    </row>
    <row r="12540" spans="1:7" x14ac:dyDescent="0.3">
      <c r="A12540" s="1" t="s">
        <v>58</v>
      </c>
      <c r="B12540" s="2" t="str">
        <f>""</f>
        <v/>
      </c>
      <c r="C12540" s="2" t="str">
        <f>""</f>
        <v/>
      </c>
      <c r="D12540" s="2" t="str">
        <f>""</f>
        <v/>
      </c>
      <c r="E12540" s="2" t="str">
        <f>""</f>
        <v/>
      </c>
      <c r="F12540" s="2" t="str">
        <f>""</f>
        <v/>
      </c>
      <c r="G12540" s="2" t="str">
        <f>"Faturamento / Faturamento de Internação SUS (AIH) / Configurações ()"</f>
        <v>Faturamento / Faturamento de Internação SUS (AIH) / Configurações ()</v>
      </c>
    </row>
    <row r="12541" spans="1:7" x14ac:dyDescent="0.3">
      <c r="A12541" s="1" t="s">
        <v>58</v>
      </c>
      <c r="B12541" s="2" t="str">
        <f>""</f>
        <v/>
      </c>
      <c r="C12541" s="2" t="str">
        <f>""</f>
        <v/>
      </c>
      <c r="D12541" s="2" t="str">
        <f>""</f>
        <v/>
      </c>
      <c r="E12541" s="2" t="str">
        <f>""</f>
        <v/>
      </c>
      <c r="F12541" s="2" t="str">
        <f>""</f>
        <v/>
      </c>
      <c r="G12541" s="2" t="str">
        <f>"Materiais e Logística ()"</f>
        <v>Materiais e Logística ()</v>
      </c>
    </row>
    <row r="12542" spans="1:7" x14ac:dyDescent="0.3">
      <c r="A12542" s="1" t="s">
        <v>58</v>
      </c>
      <c r="B12542" s="2" t="str">
        <f>""</f>
        <v/>
      </c>
      <c r="C12542" s="2" t="str">
        <f>""</f>
        <v/>
      </c>
      <c r="D12542" s="2" t="str">
        <f>""</f>
        <v/>
      </c>
      <c r="E12542" s="2" t="str">
        <f>""</f>
        <v/>
      </c>
      <c r="F12542" s="2" t="str">
        <f>""</f>
        <v/>
      </c>
      <c r="G12542" s="2" t="str">
        <f>"Faturamento / Faturamento de Internação SUS (AIH) / Lançamentos / Laudos Médicos ()"</f>
        <v>Faturamento / Faturamento de Internação SUS (AIH) / Lançamentos / Laudos Médicos ()</v>
      </c>
    </row>
    <row r="12543" spans="1:7" x14ac:dyDescent="0.3">
      <c r="A12543" s="1" t="s">
        <v>58</v>
      </c>
      <c r="B12543" s="2" t="str">
        <f>""</f>
        <v/>
      </c>
      <c r="C12543" s="2" t="str">
        <f>""</f>
        <v/>
      </c>
      <c r="D12543" s="2" t="str">
        <f>""</f>
        <v/>
      </c>
      <c r="E12543" s="2" t="str">
        <f>""</f>
        <v/>
      </c>
      <c r="F12543" s="2" t="str">
        <f>""</f>
        <v/>
      </c>
      <c r="G12543" s="2" t="str">
        <f>"Faturamento / Faturamento Ambulatorial SUS (BPA e APAC) / Lançamentos / APAC ()"</f>
        <v>Faturamento / Faturamento Ambulatorial SUS (BPA e APAC) / Lançamentos / APAC ()</v>
      </c>
    </row>
    <row r="12544" spans="1:7" x14ac:dyDescent="0.3">
      <c r="A12544" s="1" t="s">
        <v>58</v>
      </c>
      <c r="B12544" s="2" t="str">
        <f>""</f>
        <v/>
      </c>
      <c r="C12544" s="2" t="str">
        <f>""</f>
        <v/>
      </c>
      <c r="D12544" s="2" t="str">
        <f>""</f>
        <v/>
      </c>
      <c r="E12544" s="2" t="str">
        <f>""</f>
        <v/>
      </c>
      <c r="F12544" s="2" t="str">
        <f>""</f>
        <v/>
      </c>
      <c r="G12544" s="2" t="str">
        <f>"Faturamento / Faturamento Ambulatorial SUS (BPA e APAC) / Lançamentos ()"</f>
        <v>Faturamento / Faturamento Ambulatorial SUS (BPA e APAC) / Lançamentos ()</v>
      </c>
    </row>
    <row r="12545" spans="1:7" x14ac:dyDescent="0.3">
      <c r="A12545" s="1" t="s">
        <v>58</v>
      </c>
      <c r="B12545" s="2" t="str">
        <f>""</f>
        <v/>
      </c>
      <c r="C12545" s="2" t="str">
        <f>""</f>
        <v/>
      </c>
      <c r="D12545" s="2" t="str">
        <f>""</f>
        <v/>
      </c>
      <c r="E12545" s="2" t="str">
        <f>""</f>
        <v/>
      </c>
      <c r="F12545" s="2" t="str">
        <f>""</f>
        <v/>
      </c>
      <c r="G12545" s="2" t="str">
        <f>"Faturamento / Faturamento Ambulatorial SUS (BPA e APAC) / Lançamentos / BPA ()"</f>
        <v>Faturamento / Faturamento Ambulatorial SUS (BPA e APAC) / Lançamentos / BPA ()</v>
      </c>
    </row>
    <row r="12546" spans="1:7" x14ac:dyDescent="0.3">
      <c r="A12546" s="1" t="s">
        <v>58</v>
      </c>
      <c r="B12546" s="2" t="str">
        <f>""</f>
        <v/>
      </c>
      <c r="C12546" s="2" t="str">
        <f>""</f>
        <v/>
      </c>
      <c r="D12546" s="2" t="str">
        <f>""</f>
        <v/>
      </c>
      <c r="E12546" s="2" t="str">
        <f>""</f>
        <v/>
      </c>
      <c r="F12546" s="2" t="str">
        <f>""</f>
        <v/>
      </c>
      <c r="G12546" s="2" t="str">
        <f>"Faturamento / Faturamento Ambulatorial SUS (BPA e APAC) / Lançamentos / SISMAMA ()"</f>
        <v>Faturamento / Faturamento Ambulatorial SUS (BPA e APAC) / Lançamentos / SISMAMA ()</v>
      </c>
    </row>
    <row r="12547" spans="1:7" x14ac:dyDescent="0.3">
      <c r="A12547" s="1" t="s">
        <v>58</v>
      </c>
      <c r="B12547" s="2" t="str">
        <f>""</f>
        <v/>
      </c>
      <c r="C12547" s="2" t="str">
        <f>""</f>
        <v/>
      </c>
      <c r="D12547" s="2" t="str">
        <f>""</f>
        <v/>
      </c>
      <c r="E12547" s="2" t="str">
        <f>""</f>
        <v/>
      </c>
      <c r="F12547" s="2" t="str">
        <f>""</f>
        <v/>
      </c>
      <c r="G12547" s="2" t="str">
        <f>"Apoio a TI / Gestão de Usuários / Configurações de Acesso / Acessos Gerais ()"</f>
        <v>Apoio a TI / Gestão de Usuários / Configurações de Acesso / Acessos Gerais ()</v>
      </c>
    </row>
    <row r="12548" spans="1:7" x14ac:dyDescent="0.3">
      <c r="A12548" s="1" t="s">
        <v>58</v>
      </c>
      <c r="B12548" s="2" t="str">
        <f>""</f>
        <v/>
      </c>
      <c r="C12548" s="2" t="str">
        <f>""</f>
        <v/>
      </c>
      <c r="D12548" s="2" t="str">
        <f>""</f>
        <v/>
      </c>
      <c r="E12548" s="2" t="str">
        <f>""</f>
        <v/>
      </c>
      <c r="F12548" s="2" t="str">
        <f>""</f>
        <v/>
      </c>
      <c r="G12548" s="2" t="str">
        <f>"Apoio a TI / Gestão de Usuários / Configurações de Acesso / Acessos Central Agendamento ()"</f>
        <v>Apoio a TI / Gestão de Usuários / Configurações de Acesso / Acessos Central Agendamento ()</v>
      </c>
    </row>
    <row r="12549" spans="1:7" x14ac:dyDescent="0.3">
      <c r="A12549" s="1" t="s">
        <v>58</v>
      </c>
      <c r="B12549" s="2" t="str">
        <f>""</f>
        <v/>
      </c>
      <c r="C12549" s="2" t="str">
        <f>""</f>
        <v/>
      </c>
      <c r="D12549" s="2" t="str">
        <f>""</f>
        <v/>
      </c>
      <c r="E12549" s="2" t="str">
        <f>""</f>
        <v/>
      </c>
      <c r="F12549" s="2" t="str">
        <f>""</f>
        <v/>
      </c>
      <c r="G12549" s="2" t="str">
        <f>"Apoio a TI / Gestão de Usuários / Configurações de Acesso / Acessos Suprimentos ()"</f>
        <v>Apoio a TI / Gestão de Usuários / Configurações de Acesso / Acessos Suprimentos ()</v>
      </c>
    </row>
    <row r="12550" spans="1:7" x14ac:dyDescent="0.3">
      <c r="A12550" s="1" t="s">
        <v>58</v>
      </c>
      <c r="B12550" s="2" t="str">
        <f>""</f>
        <v/>
      </c>
      <c r="C12550" s="2" t="str">
        <f>""</f>
        <v/>
      </c>
      <c r="D12550" s="2" t="str">
        <f>""</f>
        <v/>
      </c>
      <c r="E12550" s="2" t="str">
        <f>""</f>
        <v/>
      </c>
      <c r="F12550" s="2" t="str">
        <f>""</f>
        <v/>
      </c>
      <c r="G12550" s="2" t="str">
        <f>"Apoio a TI / Gestão de Usuários / Configurações de Acesso / Acessos Controladoria ()"</f>
        <v>Apoio a TI / Gestão de Usuários / Configurações de Acesso / Acessos Controladoria ()</v>
      </c>
    </row>
    <row r="12551" spans="1:7" x14ac:dyDescent="0.3">
      <c r="A12551" s="1" t="s">
        <v>58</v>
      </c>
      <c r="B12551" s="2" t="str">
        <f>""</f>
        <v/>
      </c>
      <c r="C12551" s="2" t="str">
        <f>""</f>
        <v/>
      </c>
      <c r="D12551" s="2" t="str">
        <f>""</f>
        <v/>
      </c>
      <c r="E12551" s="2" t="str">
        <f>""</f>
        <v/>
      </c>
      <c r="F12551" s="2" t="str">
        <f>""</f>
        <v/>
      </c>
      <c r="G12551" s="2" t="str">
        <f>"Apoio a TI / Gestão de Usuários / Configurações de Acesso / Acessos Faturamento ()"</f>
        <v>Apoio a TI / Gestão de Usuários / Configurações de Acesso / Acessos Faturamento ()</v>
      </c>
    </row>
    <row r="12552" spans="1:7" x14ac:dyDescent="0.3">
      <c r="A12552" s="1" t="s">
        <v>58</v>
      </c>
      <c r="B12552" s="2" t="str">
        <f>""</f>
        <v/>
      </c>
      <c r="C12552" s="2" t="str">
        <f>""</f>
        <v/>
      </c>
      <c r="D12552" s="2" t="str">
        <f>""</f>
        <v/>
      </c>
      <c r="E12552" s="2" t="str">
        <f>""</f>
        <v/>
      </c>
      <c r="F12552" s="2" t="str">
        <f>""</f>
        <v/>
      </c>
      <c r="G12552" s="2" t="str">
        <f>"Faturamento / Comunicação de Inf. Hosp. e Amb. (CIHA) ()"</f>
        <v>Faturamento / Comunicação de Inf. Hosp. e Amb. (CIHA) ()</v>
      </c>
    </row>
    <row r="12553" spans="1:7" x14ac:dyDescent="0.3">
      <c r="A12553" s="1" t="s">
        <v>58</v>
      </c>
      <c r="B12553" s="2" t="str">
        <f>""</f>
        <v/>
      </c>
      <c r="C12553" s="2" t="str">
        <f>""</f>
        <v/>
      </c>
      <c r="D12553" s="2" t="str">
        <f>""</f>
        <v/>
      </c>
      <c r="E12553" s="2" t="str">
        <f>""</f>
        <v/>
      </c>
      <c r="F12553" s="2" t="str">
        <f>""</f>
        <v/>
      </c>
      <c r="G12553" s="2" t="str">
        <f>"Faturamento / Comunicação de Inf. Hosp. e Amb. (CIHA) / Geração ()"</f>
        <v>Faturamento / Comunicação de Inf. Hosp. e Amb. (CIHA) / Geração ()</v>
      </c>
    </row>
    <row r="12554" spans="1:7" x14ac:dyDescent="0.3">
      <c r="A12554" s="1" t="s">
        <v>58</v>
      </c>
      <c r="B12554" s="2" t="str">
        <f>""</f>
        <v/>
      </c>
      <c r="C12554" s="2" t="str">
        <f>""</f>
        <v/>
      </c>
      <c r="D12554" s="2" t="str">
        <f>""</f>
        <v/>
      </c>
      <c r="E12554" s="2" t="str">
        <f>""</f>
        <v/>
      </c>
      <c r="F12554" s="2" t="str">
        <f>""</f>
        <v/>
      </c>
      <c r="G12554" s="2" t="str">
        <f>"Faturamento / Comunicação de Inf. Hosp. e Amb. (CIHA) / Tabelas ()"</f>
        <v>Faturamento / Comunicação de Inf. Hosp. e Amb. (CIHA) / Tabelas ()</v>
      </c>
    </row>
    <row r="12555" spans="1:7" x14ac:dyDescent="0.3">
      <c r="A12555" s="1" t="s">
        <v>58</v>
      </c>
      <c r="B12555" s="2" t="str">
        <f>""</f>
        <v/>
      </c>
      <c r="C12555" s="2" t="str">
        <f>""</f>
        <v/>
      </c>
      <c r="D12555" s="2" t="str">
        <f>""</f>
        <v/>
      </c>
      <c r="E12555" s="2" t="str">
        <f>""</f>
        <v/>
      </c>
      <c r="F12555" s="2" t="str">
        <f>""</f>
        <v/>
      </c>
      <c r="G12555" s="2" t="str">
        <f>"Faturamento / Comunicação de Inf. Hosp. e Amb. (CIHA) / Configurações ()"</f>
        <v>Faturamento / Comunicação de Inf. Hosp. e Amb. (CIHA) / Configurações ()</v>
      </c>
    </row>
    <row r="12556" spans="1:7" x14ac:dyDescent="0.3">
      <c r="A12556" s="1" t="s">
        <v>58</v>
      </c>
      <c r="B12556" s="2" t="str">
        <f>""</f>
        <v/>
      </c>
      <c r="C12556" s="2" t="str">
        <f>""</f>
        <v/>
      </c>
      <c r="D12556" s="2" t="str">
        <f>""</f>
        <v/>
      </c>
      <c r="E12556" s="2" t="str">
        <f>""</f>
        <v/>
      </c>
      <c r="F12556" s="2" t="str">
        <f>""</f>
        <v/>
      </c>
      <c r="G12556" s="2" t="str">
        <f>"Faturamento / Comunicação de Inf. Hosp. e Amb. (CIHA) / Relatórios ()"</f>
        <v>Faturamento / Comunicação de Inf. Hosp. e Amb. (CIHA) / Relatórios ()</v>
      </c>
    </row>
    <row r="12557" spans="1:7" x14ac:dyDescent="0.3">
      <c r="A12557" s="1" t="s">
        <v>58</v>
      </c>
      <c r="B12557" s="2" t="str">
        <f>""</f>
        <v/>
      </c>
      <c r="C12557" s="2" t="str">
        <f>""</f>
        <v/>
      </c>
      <c r="D12557" s="2" t="str">
        <f>""</f>
        <v/>
      </c>
      <c r="E12557" s="2" t="str">
        <f>""</f>
        <v/>
      </c>
      <c r="F12557" s="2" t="str">
        <f>""</f>
        <v/>
      </c>
      <c r="G12557" s="2" t="str">
        <f>"Faturamento / Comunicação de Inf. Hosp. e Amb. (CIHA) / Tabelas / Geral ()"</f>
        <v>Faturamento / Comunicação de Inf. Hosp. e Amb. (CIHA) / Tabelas / Geral ()</v>
      </c>
    </row>
    <row r="12558" spans="1:7" x14ac:dyDescent="0.3">
      <c r="A12558" s="1" t="s">
        <v>58</v>
      </c>
      <c r="B12558" s="2" t="str">
        <f>""</f>
        <v/>
      </c>
      <c r="C12558" s="2" t="str">
        <f>""</f>
        <v/>
      </c>
      <c r="D12558" s="2" t="str">
        <f>""</f>
        <v/>
      </c>
      <c r="E12558" s="2" t="str">
        <f>""</f>
        <v/>
      </c>
      <c r="F12558" s="2" t="str">
        <f>""</f>
        <v/>
      </c>
      <c r="G12558" s="2" t="str">
        <f>"Faturamento / Comunicação de Inf. Hosp. e Amb. (CIHA) / Relatórios / Tabelas ()"</f>
        <v>Faturamento / Comunicação de Inf. Hosp. e Amb. (CIHA) / Relatórios / Tabelas ()</v>
      </c>
    </row>
    <row r="12559" spans="1:7" x14ac:dyDescent="0.3">
      <c r="A12559" s="1" t="s">
        <v>58</v>
      </c>
      <c r="B12559" s="2" t="str">
        <f>""</f>
        <v/>
      </c>
      <c r="C12559" s="2" t="str">
        <f>""</f>
        <v/>
      </c>
      <c r="D12559" s="2" t="str">
        <f>""</f>
        <v/>
      </c>
      <c r="E12559" s="2" t="str">
        <f>""</f>
        <v/>
      </c>
      <c r="F12559" s="2" t="str">
        <f>""</f>
        <v/>
      </c>
      <c r="G12559" s="2" t="str">
        <f>"Faturamento / Comunicação de Inf. Hosp. e Amb. (CIHA) / Relatórios / Consistência ()"</f>
        <v>Faturamento / Comunicação de Inf. Hosp. e Amb. (CIHA) / Relatórios / Consistência ()</v>
      </c>
    </row>
    <row r="12560" spans="1:7" x14ac:dyDescent="0.3">
      <c r="A12560" s="1" t="s">
        <v>58</v>
      </c>
      <c r="B12560" s="2" t="str">
        <f>""</f>
        <v/>
      </c>
      <c r="C12560" s="2" t="str">
        <f>""</f>
        <v/>
      </c>
      <c r="D12560" s="2" t="str">
        <f>""</f>
        <v/>
      </c>
      <c r="E12560" s="2" t="str">
        <f>""</f>
        <v/>
      </c>
      <c r="F12560" s="2" t="str">
        <f>""</f>
        <v/>
      </c>
      <c r="G12560" s="2" t="str">
        <f>"Controladoria / Contabilidade / Exportação / SPED Fiscal ()"</f>
        <v>Controladoria / Contabilidade / Exportação / SPED Fiscal ()</v>
      </c>
    </row>
    <row r="12561" spans="1:7" x14ac:dyDescent="0.3">
      <c r="A12561" s="1" t="s">
        <v>58</v>
      </c>
      <c r="B12561" s="2" t="str">
        <f>""</f>
        <v/>
      </c>
      <c r="C12561" s="2" t="str">
        <f>""</f>
        <v/>
      </c>
      <c r="D12561" s="2" t="str">
        <f>""</f>
        <v/>
      </c>
      <c r="E12561" s="2" t="str">
        <f>""</f>
        <v/>
      </c>
      <c r="F12561" s="2" t="str">
        <f>""</f>
        <v/>
      </c>
      <c r="G12561" s="2" t="str">
        <f>"Faturamento / Comunicação de Inf. Hosp. e Amb. (CIHA) / Relatórios / Gerenciais ()"</f>
        <v>Faturamento / Comunicação de Inf. Hosp. e Amb. (CIHA) / Relatórios / Gerenciais ()</v>
      </c>
    </row>
    <row r="12562" spans="1:7" x14ac:dyDescent="0.3">
      <c r="A12562" s="1" t="s">
        <v>58</v>
      </c>
      <c r="B12562" s="2" t="str">
        <f>""</f>
        <v/>
      </c>
      <c r="C12562" s="2" t="str">
        <f>""</f>
        <v/>
      </c>
      <c r="D12562" s="2" t="str">
        <f>""</f>
        <v/>
      </c>
      <c r="E12562" s="2" t="str">
        <f>""</f>
        <v/>
      </c>
      <c r="F12562" s="2" t="str">
        <f>""</f>
        <v/>
      </c>
      <c r="G12562" s="2" t="str">
        <f>"Faturamento / Comunicação de Inf. Hosp. e Amb. (CIHA) / Relatórios / Gerenciais / Produção ()"</f>
        <v>Faturamento / Comunicação de Inf. Hosp. e Amb. (CIHA) / Relatórios / Gerenciais / Produção ()</v>
      </c>
    </row>
    <row r="12563" spans="1:7" x14ac:dyDescent="0.3">
      <c r="A12563" s="1" t="s">
        <v>58</v>
      </c>
      <c r="B12563" s="2" t="str">
        <f>""</f>
        <v/>
      </c>
      <c r="C12563" s="2" t="str">
        <f>""</f>
        <v/>
      </c>
      <c r="D12563" s="2" t="str">
        <f>""</f>
        <v/>
      </c>
      <c r="E12563" s="2" t="str">
        <f>""</f>
        <v/>
      </c>
      <c r="F12563" s="2" t="str">
        <f>""</f>
        <v/>
      </c>
      <c r="G12563" s="2" t="str">
        <f>"Faturamento / Comunicação de Inf. Hosp. e Amb. (CIHA) / Relatórios / Gerenciais / Produção / Detalhe da Produção ()"</f>
        <v>Faturamento / Comunicação de Inf. Hosp. e Amb. (CIHA) / Relatórios / Gerenciais / Produção / Detalhe da Produção ()</v>
      </c>
    </row>
    <row r="12564" spans="1:7" x14ac:dyDescent="0.3">
      <c r="A12564" s="1" t="s">
        <v>58</v>
      </c>
      <c r="B12564" s="2" t="str">
        <f>""</f>
        <v/>
      </c>
      <c r="C12564" s="2" t="str">
        <f>""</f>
        <v/>
      </c>
      <c r="D12564" s="2" t="str">
        <f>""</f>
        <v/>
      </c>
      <c r="E12564" s="2" t="str">
        <f>""</f>
        <v/>
      </c>
      <c r="F12564" s="2" t="str">
        <f>""</f>
        <v/>
      </c>
      <c r="G12564" s="2" t="str">
        <f>"Apoio a TI / Auditoria de Tabelas ()"</f>
        <v>Apoio a TI / Auditoria de Tabelas ()</v>
      </c>
    </row>
    <row r="12565" spans="1:7" x14ac:dyDescent="0.3">
      <c r="A12565" s="1" t="s">
        <v>58</v>
      </c>
      <c r="B12565" s="2" t="str">
        <f>""</f>
        <v/>
      </c>
      <c r="C12565" s="2" t="str">
        <f>""</f>
        <v/>
      </c>
      <c r="D12565" s="2" t="str">
        <f>""</f>
        <v/>
      </c>
      <c r="E12565" s="2" t="str">
        <f>""</f>
        <v/>
      </c>
      <c r="F12565" s="2" t="str">
        <f>""</f>
        <v/>
      </c>
      <c r="G12565" s="2" t="str">
        <f>"Materiais e Logística / Compras / Integração / Mercado Eletrônico ()"</f>
        <v>Materiais e Logística / Compras / Integração / Mercado Eletrônico ()</v>
      </c>
    </row>
    <row r="12566" spans="1:7" x14ac:dyDescent="0.3">
      <c r="A12566" s="1" t="s">
        <v>58</v>
      </c>
      <c r="B12566" s="2" t="str">
        <f>""</f>
        <v/>
      </c>
      <c r="C12566" s="2" t="str">
        <f>""</f>
        <v/>
      </c>
      <c r="D12566" s="2" t="str">
        <f>""</f>
        <v/>
      </c>
      <c r="E12566" s="2" t="str">
        <f>""</f>
        <v/>
      </c>
      <c r="F12566" s="2" t="str">
        <f>""</f>
        <v/>
      </c>
      <c r="G12566" s="2" t="str">
        <f>"Materiais e Logística / Compras / Integração / Mercado Eletrônico ()"</f>
        <v>Materiais e Logística / Compras / Integração / Mercado Eletrônico ()</v>
      </c>
    </row>
    <row r="12567" spans="1:7" x14ac:dyDescent="0.3">
      <c r="A12567" s="1" t="s">
        <v>58</v>
      </c>
      <c r="B12567" s="2" t="str">
        <f>""</f>
        <v/>
      </c>
      <c r="C12567" s="2" t="str">
        <f>""</f>
        <v/>
      </c>
      <c r="D12567" s="2" t="str">
        <f>""</f>
        <v/>
      </c>
      <c r="E12567" s="2" t="str">
        <f>""</f>
        <v/>
      </c>
      <c r="F12567" s="2" t="str">
        <f>""</f>
        <v/>
      </c>
      <c r="G12567" s="2" t="str">
        <f>"Materiais e Logística / Compras / Integração / Mercado Eletrônico ()"</f>
        <v>Materiais e Logística / Compras / Integração / Mercado Eletrônico ()</v>
      </c>
    </row>
    <row r="12568" spans="1:7" x14ac:dyDescent="0.3">
      <c r="A12568" s="1" t="s">
        <v>58</v>
      </c>
      <c r="B12568" s="2" t="str">
        <f>""</f>
        <v/>
      </c>
      <c r="C12568" s="2" t="str">
        <f>""</f>
        <v/>
      </c>
      <c r="D12568" s="2" t="str">
        <f>""</f>
        <v/>
      </c>
      <c r="E12568" s="2" t="str">
        <f>""</f>
        <v/>
      </c>
      <c r="F12568" s="2" t="str">
        <f>""</f>
        <v/>
      </c>
      <c r="G12568" s="2" t="str">
        <f>"Materiais e Logística / Almoxarifado / Configurações / Unitarização ()"</f>
        <v>Materiais e Logística / Almoxarifado / Configurações / Unitarização ()</v>
      </c>
    </row>
    <row r="12569" spans="1:7" x14ac:dyDescent="0.3">
      <c r="A12569" s="1" t="s">
        <v>58</v>
      </c>
      <c r="B12569" s="2" t="str">
        <f>""</f>
        <v/>
      </c>
      <c r="C12569" s="2" t="str">
        <f>""</f>
        <v/>
      </c>
      <c r="D12569" s="2" t="str">
        <f>""</f>
        <v/>
      </c>
      <c r="E12569" s="2" t="str">
        <f>""</f>
        <v/>
      </c>
      <c r="F12569" s="2" t="str">
        <f>""</f>
        <v/>
      </c>
      <c r="G12569" s="2" t="str">
        <f>"Serviços de Apoio / Manutenção / Planos ()"</f>
        <v>Serviços de Apoio / Manutenção / Planos ()</v>
      </c>
    </row>
    <row r="12570" spans="1:7" x14ac:dyDescent="0.3">
      <c r="A12570" s="1" t="s">
        <v>58</v>
      </c>
      <c r="B12570" s="2" t="str">
        <f>""</f>
        <v/>
      </c>
      <c r="C12570" s="2" t="str">
        <f>""</f>
        <v/>
      </c>
      <c r="D12570" s="2" t="str">
        <f>""</f>
        <v/>
      </c>
      <c r="E12570" s="2" t="str">
        <f>""</f>
        <v/>
      </c>
      <c r="F12570" s="2" t="str">
        <f>""</f>
        <v/>
      </c>
      <c r="G12570" s="2" t="str">
        <f>"Serviços de Apoio / Manutenção / Relatórios / Engenharia e Manutenção ()"</f>
        <v>Serviços de Apoio / Manutenção / Relatórios / Engenharia e Manutenção ()</v>
      </c>
    </row>
    <row r="12571" spans="1:7" x14ac:dyDescent="0.3">
      <c r="A12571" s="1" t="s">
        <v>58</v>
      </c>
      <c r="B12571" s="2" t="str">
        <f>""</f>
        <v/>
      </c>
      <c r="C12571" s="2" t="str">
        <f>""</f>
        <v/>
      </c>
      <c r="D12571" s="2" t="str">
        <f>""</f>
        <v/>
      </c>
      <c r="E12571" s="2" t="str">
        <f>""</f>
        <v/>
      </c>
      <c r="F12571" s="2" t="str">
        <f>""</f>
        <v/>
      </c>
      <c r="G12571" s="2" t="str">
        <f>"Serviços de Apoio / Manutenção / Planos ()"</f>
        <v>Serviços de Apoio / Manutenção / Planos ()</v>
      </c>
    </row>
    <row r="12572" spans="1:7" x14ac:dyDescent="0.3">
      <c r="A12572" s="1" t="s">
        <v>58</v>
      </c>
      <c r="B12572" s="2" t="str">
        <f>""</f>
        <v/>
      </c>
      <c r="C12572" s="2" t="str">
        <f>""</f>
        <v/>
      </c>
      <c r="D12572" s="2" t="str">
        <f>""</f>
        <v/>
      </c>
      <c r="E12572" s="2" t="str">
        <f>""</f>
        <v/>
      </c>
      <c r="F12572" s="2" t="str">
        <f>""</f>
        <v/>
      </c>
      <c r="G12572" s="2" t="str">
        <f>"Serviços de Apoio / Manutenção / Relatórios / Engenharia e Manutenção ()"</f>
        <v>Serviços de Apoio / Manutenção / Relatórios / Engenharia e Manutenção ()</v>
      </c>
    </row>
    <row r="12573" spans="1:7" x14ac:dyDescent="0.3">
      <c r="A12573" s="1" t="s">
        <v>58</v>
      </c>
      <c r="B12573" s="2" t="str">
        <f>""</f>
        <v/>
      </c>
      <c r="C12573" s="2" t="str">
        <f>""</f>
        <v/>
      </c>
      <c r="D12573" s="2" t="str">
        <f>""</f>
        <v/>
      </c>
      <c r="E12573" s="2" t="str">
        <f>""</f>
        <v/>
      </c>
      <c r="F12573" s="2" t="str">
        <f>""</f>
        <v/>
      </c>
      <c r="G12573" s="2" t="str">
        <f>"Serviços de Apoio / Manutenção / Planos ()"</f>
        <v>Serviços de Apoio / Manutenção / Planos ()</v>
      </c>
    </row>
    <row r="12574" spans="1:7" x14ac:dyDescent="0.3">
      <c r="A12574" s="1" t="s">
        <v>58</v>
      </c>
      <c r="B12574" s="2" t="str">
        <f>""</f>
        <v/>
      </c>
      <c r="C12574" s="2" t="str">
        <f>""</f>
        <v/>
      </c>
      <c r="D12574" s="2" t="str">
        <f>""</f>
        <v/>
      </c>
      <c r="E12574" s="2" t="str">
        <f>""</f>
        <v/>
      </c>
      <c r="F12574" s="2" t="str">
        <f>""</f>
        <v/>
      </c>
      <c r="G12574" s="2" t="str">
        <f>"Serviços de Apoio / Manutenção / Relatórios / Engenharia e Manutenção ()"</f>
        <v>Serviços de Apoio / Manutenção / Relatórios / Engenharia e Manutenção ()</v>
      </c>
    </row>
    <row r="12575" spans="1:7" x14ac:dyDescent="0.3">
      <c r="A12575" s="1" t="s">
        <v>58</v>
      </c>
      <c r="B12575" s="2" t="str">
        <f>""</f>
        <v/>
      </c>
      <c r="C12575" s="2" t="str">
        <f>""</f>
        <v/>
      </c>
      <c r="D12575" s="2" t="str">
        <f>""</f>
        <v/>
      </c>
      <c r="E12575" s="2" t="str">
        <f>""</f>
        <v/>
      </c>
      <c r="F12575" s="2" t="str">
        <f>""</f>
        <v/>
      </c>
      <c r="G12575" s="2" t="str">
        <f>"Faturamento / Faturamento de Internação SUS (AIH) / Tabelas / Guias ()"</f>
        <v>Faturamento / Faturamento de Internação SUS (AIH) / Tabelas / Guias ()</v>
      </c>
    </row>
    <row r="12576" spans="1:7" x14ac:dyDescent="0.3">
      <c r="A12576" s="1" t="s">
        <v>58</v>
      </c>
      <c r="B12576" s="2" t="str">
        <f>""</f>
        <v/>
      </c>
      <c r="C12576" s="2" t="str">
        <f>""</f>
        <v/>
      </c>
      <c r="D12576" s="2" t="str">
        <f>""</f>
        <v/>
      </c>
      <c r="E12576" s="2" t="str">
        <f>""</f>
        <v/>
      </c>
      <c r="F12576" s="2" t="str">
        <f>""</f>
        <v/>
      </c>
      <c r="G12576" s="2" t="str">
        <f>"Faturamento / Faturamento Ambulatorial SUS (BPA e APAC) / Lançamentos / SISCAN ()"</f>
        <v>Faturamento / Faturamento Ambulatorial SUS (BPA e APAC) / Lançamentos / SISCAN ()</v>
      </c>
    </row>
    <row r="12577" spans="1:7" x14ac:dyDescent="0.3">
      <c r="A12577" s="1" t="s">
        <v>58</v>
      </c>
      <c r="B12577" s="2" t="str">
        <f>""</f>
        <v/>
      </c>
      <c r="C12577" s="2" t="str">
        <f>""</f>
        <v/>
      </c>
      <c r="D12577" s="2" t="str">
        <f>""</f>
        <v/>
      </c>
      <c r="E12577" s="2" t="str">
        <f>""</f>
        <v/>
      </c>
      <c r="F12577" s="2" t="str">
        <f>""</f>
        <v/>
      </c>
      <c r="G12577" s="2" t="str">
        <f>"Faturamento / Faturamento de Internação SUS (AIH) / Tabelas / Guias ()"</f>
        <v>Faturamento / Faturamento de Internação SUS (AIH) / Tabelas / Guias ()</v>
      </c>
    </row>
    <row r="12578" spans="1:7" x14ac:dyDescent="0.3">
      <c r="A12578" s="1" t="s">
        <v>58</v>
      </c>
      <c r="B12578" s="2" t="str">
        <f>""</f>
        <v/>
      </c>
      <c r="C12578" s="2" t="str">
        <f>""</f>
        <v/>
      </c>
      <c r="D12578" s="2" t="str">
        <f>""</f>
        <v/>
      </c>
      <c r="E12578" s="2" t="str">
        <f>""</f>
        <v/>
      </c>
      <c r="F12578" s="2" t="str">
        <f>""</f>
        <v/>
      </c>
      <c r="G12578" s="2" t="str">
        <f>"Materiais e Logística / Compras / Integração / Mercado Eletrônico ()"</f>
        <v>Materiais e Logística / Compras / Integração / Mercado Eletrônico ()</v>
      </c>
    </row>
    <row r="12579" spans="1:7" x14ac:dyDescent="0.3">
      <c r="A12579" s="1" t="s">
        <v>58</v>
      </c>
      <c r="B12579" s="2" t="str">
        <f>""</f>
        <v/>
      </c>
      <c r="C12579" s="2" t="str">
        <f>""</f>
        <v/>
      </c>
      <c r="D12579" s="2" t="str">
        <f>""</f>
        <v/>
      </c>
      <c r="E12579" s="2" t="str">
        <f>""</f>
        <v/>
      </c>
      <c r="F12579" s="2" t="str">
        <f>""</f>
        <v/>
      </c>
      <c r="G12579" s="2" t="str">
        <f>"Materiais e Logística / Almoxarifado / Configurações / Unitarização ()"</f>
        <v>Materiais e Logística / Almoxarifado / Configurações / Unitarização ()</v>
      </c>
    </row>
    <row r="12580" spans="1:7" x14ac:dyDescent="0.3">
      <c r="A12580" s="1" t="s">
        <v>58</v>
      </c>
      <c r="B12580" s="2" t="str">
        <f>""</f>
        <v/>
      </c>
      <c r="C12580" s="2" t="str">
        <f>""</f>
        <v/>
      </c>
      <c r="D12580" s="2" t="str">
        <f>""</f>
        <v/>
      </c>
      <c r="E12580" s="2" t="str">
        <f>""</f>
        <v/>
      </c>
      <c r="F12580" s="2" t="str">
        <f>""</f>
        <v/>
      </c>
      <c r="G12580" s="2" t="str">
        <f>"Clínica e Assistencial / Controle de Infecção Hospitalar / Relatórios / Estatísticos ()"</f>
        <v>Clínica e Assistencial / Controle de Infecção Hospitalar / Relatórios / Estatísticos ()</v>
      </c>
    </row>
    <row r="12581" spans="1:7" x14ac:dyDescent="0.3">
      <c r="A12581" s="1" t="s">
        <v>58</v>
      </c>
      <c r="B12581" s="2" t="str">
        <f>""</f>
        <v/>
      </c>
      <c r="C12581" s="2" t="str">
        <f>""</f>
        <v/>
      </c>
      <c r="D12581" s="2" t="str">
        <f>""</f>
        <v/>
      </c>
      <c r="E12581" s="2" t="str">
        <f>""</f>
        <v/>
      </c>
      <c r="F12581" s="2" t="str">
        <f>""</f>
        <v/>
      </c>
      <c r="G12581" s="2" t="str">
        <f>"Clínica e Assistencial / Controle de Infecção Hospitalar / Relatórios / Estatísticos / Cirurgias Realizadas no Período ()"</f>
        <v>Clínica e Assistencial / Controle de Infecção Hospitalar / Relatórios / Estatísticos / Cirurgias Realizadas no Período ()</v>
      </c>
    </row>
    <row r="12582" spans="1:7" x14ac:dyDescent="0.3">
      <c r="A12582" s="1" t="s">
        <v>58</v>
      </c>
      <c r="B12582" s="2" t="str">
        <f>""</f>
        <v/>
      </c>
      <c r="C12582" s="2" t="str">
        <f>""</f>
        <v/>
      </c>
      <c r="D12582" s="2" t="str">
        <f>""</f>
        <v/>
      </c>
      <c r="E12582" s="2" t="str">
        <f>""</f>
        <v/>
      </c>
      <c r="F12582" s="2" t="str">
        <f>""</f>
        <v/>
      </c>
      <c r="G12582" s="2" t="str">
        <f>"Clínica e Assistencial / Controle de Infecção Hospitalar / Relatórios / Indicadores Gerais ()"</f>
        <v>Clínica e Assistencial / Controle de Infecção Hospitalar / Relatórios / Indicadores Gerais ()</v>
      </c>
    </row>
    <row r="12583" spans="1:7" x14ac:dyDescent="0.3">
      <c r="A12583" s="1" t="s">
        <v>58</v>
      </c>
      <c r="B12583" s="2" t="str">
        <f>""</f>
        <v/>
      </c>
      <c r="C12583" s="2" t="str">
        <f>""</f>
        <v/>
      </c>
      <c r="D12583" s="2" t="str">
        <f>""</f>
        <v/>
      </c>
      <c r="E12583" s="2" t="str">
        <f>""</f>
        <v/>
      </c>
      <c r="F12583" s="2" t="str">
        <f>""</f>
        <v/>
      </c>
      <c r="G12583" s="2" t="str">
        <f>"Clínica e Assistencial / Controle de Infecção Hospitalar / Relatórios / Gerenciais ()"</f>
        <v>Clínica e Assistencial / Controle de Infecção Hospitalar / Relatórios / Gerenciais ()</v>
      </c>
    </row>
    <row r="12584" spans="1:7" x14ac:dyDescent="0.3">
      <c r="A12584" s="1" t="s">
        <v>58</v>
      </c>
      <c r="B12584" s="2" t="str">
        <f>""</f>
        <v/>
      </c>
      <c r="C12584" s="2" t="str">
        <f>""</f>
        <v/>
      </c>
      <c r="D12584" s="2" t="str">
        <f>""</f>
        <v/>
      </c>
      <c r="E12584" s="2" t="str">
        <f>""</f>
        <v/>
      </c>
      <c r="F12584" s="2" t="str">
        <f>""</f>
        <v/>
      </c>
      <c r="G12584" s="2" t="str">
        <f>"Clínica e Assistencial / Controle de Infecção Hospitalar / Relatórios / Gerenciais / Comparativos ()"</f>
        <v>Clínica e Assistencial / Controle de Infecção Hospitalar / Relatórios / Gerenciais / Comparativos ()</v>
      </c>
    </row>
    <row r="12585" spans="1:7" x14ac:dyDescent="0.3">
      <c r="A12585" s="1" t="s">
        <v>58</v>
      </c>
      <c r="B12585" s="2" t="str">
        <f>""</f>
        <v/>
      </c>
      <c r="C12585" s="2" t="str">
        <f>""</f>
        <v/>
      </c>
      <c r="D12585" s="2" t="str">
        <f>""</f>
        <v/>
      </c>
      <c r="E12585" s="2" t="str">
        <f>""</f>
        <v/>
      </c>
      <c r="F12585" s="2" t="str">
        <f>""</f>
        <v/>
      </c>
      <c r="G12585" s="2" t="str">
        <f>"Clínica e Assistencial / Controle de Infecção Hospitalar / Configurações ()"</f>
        <v>Clínica e Assistencial / Controle de Infecção Hospitalar / Configurações ()</v>
      </c>
    </row>
    <row r="12586" spans="1:7" x14ac:dyDescent="0.3">
      <c r="A12586" s="1" t="s">
        <v>58</v>
      </c>
      <c r="B12586" s="2" t="str">
        <f>""</f>
        <v/>
      </c>
      <c r="C12586" s="2" t="str">
        <f>""</f>
        <v/>
      </c>
      <c r="D12586" s="2" t="str">
        <f>""</f>
        <v/>
      </c>
      <c r="E12586" s="2" t="str">
        <f>""</f>
        <v/>
      </c>
      <c r="F12586" s="2" t="str">
        <f>""</f>
        <v/>
      </c>
      <c r="G12586" s="2" t="str">
        <f>"Clínica e Assistencial / Controle de Infecção Hospitalar / Produção ()"</f>
        <v>Clínica e Assistencial / Controle de Infecção Hospitalar / Produção ()</v>
      </c>
    </row>
    <row r="12587" spans="1:7" x14ac:dyDescent="0.3">
      <c r="A12587" s="1" t="s">
        <v>58</v>
      </c>
      <c r="B12587" s="2" t="str">
        <f>""</f>
        <v/>
      </c>
      <c r="C12587" s="2" t="str">
        <f>""</f>
        <v/>
      </c>
      <c r="D12587" s="2" t="str">
        <f>""</f>
        <v/>
      </c>
      <c r="E12587" s="2" t="str">
        <f>""</f>
        <v/>
      </c>
      <c r="F12587" s="2" t="str">
        <f>""</f>
        <v/>
      </c>
      <c r="G12587" s="2" t="str">
        <f>"Clínica e Assistencial / Controle de Infecção Hospitalar / Exceções ()"</f>
        <v>Clínica e Assistencial / Controle de Infecção Hospitalar / Exceções ()</v>
      </c>
    </row>
    <row r="12588" spans="1:7" x14ac:dyDescent="0.3">
      <c r="A12588" s="1" t="s">
        <v>58</v>
      </c>
      <c r="B12588" s="2" t="str">
        <f>""</f>
        <v/>
      </c>
      <c r="C12588" s="2" t="str">
        <f>""</f>
        <v/>
      </c>
      <c r="D12588" s="2" t="str">
        <f>""</f>
        <v/>
      </c>
      <c r="E12588" s="2" t="str">
        <f>""</f>
        <v/>
      </c>
      <c r="F12588" s="2" t="str">
        <f>""</f>
        <v/>
      </c>
      <c r="G12588" s="2" t="str">
        <f>"Faturamento / Faturamento de Convênios e Particulares / Lançamentos / Serviços Tiss ()"</f>
        <v>Faturamento / Faturamento de Convênios e Particulares / Lançamentos / Serviços Tiss ()</v>
      </c>
    </row>
    <row r="12589" spans="1:7" x14ac:dyDescent="0.3">
      <c r="A12589" s="1" t="s">
        <v>58</v>
      </c>
      <c r="B12589" s="2" t="str">
        <f>""</f>
        <v/>
      </c>
      <c r="C12589" s="2" t="str">
        <f>""</f>
        <v/>
      </c>
      <c r="D12589" s="2" t="str">
        <f>""</f>
        <v/>
      </c>
      <c r="E12589" s="2" t="str">
        <f>""</f>
        <v/>
      </c>
      <c r="F12589" s="2" t="str">
        <f>""</f>
        <v/>
      </c>
      <c r="G12589" s="2" t="str">
        <f>"Controladoria / Gestão de Contratos ()"</f>
        <v>Controladoria / Gestão de Contratos ()</v>
      </c>
    </row>
    <row r="12590" spans="1:7" x14ac:dyDescent="0.3">
      <c r="A12590" s="1" t="s">
        <v>58</v>
      </c>
      <c r="B12590" s="2" t="str">
        <f>""</f>
        <v/>
      </c>
      <c r="C12590" s="2" t="str">
        <f>""</f>
        <v/>
      </c>
      <c r="D12590" s="2" t="str">
        <f>""</f>
        <v/>
      </c>
      <c r="E12590" s="2" t="str">
        <f>""</f>
        <v/>
      </c>
      <c r="F12590" s="2" t="str">
        <f>""</f>
        <v/>
      </c>
      <c r="G12590" s="2" t="str">
        <f>"Controladoria / Fiscal ()"</f>
        <v>Controladoria / Fiscal ()</v>
      </c>
    </row>
    <row r="12591" spans="1:7" x14ac:dyDescent="0.3">
      <c r="A12591" s="1" t="s">
        <v>58</v>
      </c>
      <c r="B12591" s="2" t="str">
        <f>""</f>
        <v/>
      </c>
      <c r="C12591" s="2" t="str">
        <f>""</f>
        <v/>
      </c>
      <c r="D12591" s="2" t="str">
        <f>""</f>
        <v/>
      </c>
      <c r="E12591" s="2" t="str">
        <f>""</f>
        <v/>
      </c>
      <c r="F12591" s="2" t="str">
        <f>""</f>
        <v/>
      </c>
      <c r="G12591" s="2" t="str">
        <f>"Controladoria / Fiscal / Tabelas ()"</f>
        <v>Controladoria / Fiscal / Tabelas ()</v>
      </c>
    </row>
    <row r="12592" spans="1:7" x14ac:dyDescent="0.3">
      <c r="A12592" s="1" t="s">
        <v>58</v>
      </c>
      <c r="B12592" s="2" t="str">
        <f>""</f>
        <v/>
      </c>
      <c r="C12592" s="2" t="str">
        <f>""</f>
        <v/>
      </c>
      <c r="D12592" s="2" t="str">
        <f>""</f>
        <v/>
      </c>
      <c r="E12592" s="2" t="str">
        <f>""</f>
        <v/>
      </c>
      <c r="F12592" s="2" t="str">
        <f>""</f>
        <v/>
      </c>
      <c r="G12592" s="2" t="str">
        <f>"Controladoria / Fiscal / Movimentação ()"</f>
        <v>Controladoria / Fiscal / Movimentação ()</v>
      </c>
    </row>
    <row r="12593" spans="1:7" x14ac:dyDescent="0.3">
      <c r="A12593" s="1" t="s">
        <v>58</v>
      </c>
      <c r="B12593" s="2" t="str">
        <f>""</f>
        <v/>
      </c>
      <c r="C12593" s="2" t="str">
        <f>""</f>
        <v/>
      </c>
      <c r="D12593" s="2" t="str">
        <f>""</f>
        <v/>
      </c>
      <c r="E12593" s="2" t="str">
        <f>""</f>
        <v/>
      </c>
      <c r="F12593" s="2" t="str">
        <f>""</f>
        <v/>
      </c>
      <c r="G12593" s="2" t="str">
        <f>"Controladoria / Fiscal / Consultas ()"</f>
        <v>Controladoria / Fiscal / Consultas ()</v>
      </c>
    </row>
    <row r="12594" spans="1:7" x14ac:dyDescent="0.3">
      <c r="A12594" s="1" t="s">
        <v>58</v>
      </c>
      <c r="B12594" s="2" t="str">
        <f>""</f>
        <v/>
      </c>
      <c r="C12594" s="2" t="str">
        <f>""</f>
        <v/>
      </c>
      <c r="D12594" s="2" t="str">
        <f>""</f>
        <v/>
      </c>
      <c r="E12594" s="2" t="str">
        <f>""</f>
        <v/>
      </c>
      <c r="F12594" s="2" t="str">
        <f>""</f>
        <v/>
      </c>
      <c r="G12594" s="2" t="str">
        <f>"Controladoria / Fiscal / Geração ()"</f>
        <v>Controladoria / Fiscal / Geração ()</v>
      </c>
    </row>
    <row r="12595" spans="1:7" x14ac:dyDescent="0.3">
      <c r="A12595" s="1" t="s">
        <v>58</v>
      </c>
      <c r="B12595" s="2" t="str">
        <f>""</f>
        <v/>
      </c>
      <c r="C12595" s="2" t="str">
        <f>""</f>
        <v/>
      </c>
      <c r="D12595" s="2" t="str">
        <f>""</f>
        <v/>
      </c>
      <c r="E12595" s="2" t="str">
        <f>""</f>
        <v/>
      </c>
      <c r="F12595" s="2" t="str">
        <f>""</f>
        <v/>
      </c>
      <c r="G12595" s="2" t="str">
        <f>"Controladoria / Fiscal / Relatórios ()"</f>
        <v>Controladoria / Fiscal / Relatórios ()</v>
      </c>
    </row>
    <row r="12596" spans="1:7" x14ac:dyDescent="0.3">
      <c r="A12596" s="1" t="s">
        <v>58</v>
      </c>
      <c r="B12596" s="2" t="str">
        <f>""</f>
        <v/>
      </c>
      <c r="C12596" s="2" t="str">
        <f>""</f>
        <v/>
      </c>
      <c r="D12596" s="2" t="str">
        <f>""</f>
        <v/>
      </c>
      <c r="E12596" s="2" t="str">
        <f>""</f>
        <v/>
      </c>
      <c r="F12596" s="2" t="str">
        <f>""</f>
        <v/>
      </c>
      <c r="G12596" s="2" t="str">
        <f>"Controladoria / Fiscal / Geração / Arquivos Exportação ()"</f>
        <v>Controladoria / Fiscal / Geração / Arquivos Exportação ()</v>
      </c>
    </row>
    <row r="12597" spans="1:7" x14ac:dyDescent="0.3">
      <c r="A12597" s="1" t="s">
        <v>58</v>
      </c>
      <c r="B12597" s="2" t="str">
        <f>""</f>
        <v/>
      </c>
      <c r="C12597" s="2" t="str">
        <f>""</f>
        <v/>
      </c>
      <c r="D12597" s="2" t="str">
        <f>""</f>
        <v/>
      </c>
      <c r="E12597" s="2" t="str">
        <f>""</f>
        <v/>
      </c>
      <c r="F12597" s="2" t="str">
        <f>""</f>
        <v/>
      </c>
      <c r="G12597" s="2" t="str">
        <f>"Controladoria / Fiscal / Geração / DIRF ()"</f>
        <v>Controladoria / Fiscal / Geração / DIRF ()</v>
      </c>
    </row>
    <row r="12598" spans="1:7" x14ac:dyDescent="0.3">
      <c r="A12598" s="1" t="s">
        <v>58</v>
      </c>
      <c r="B12598" s="2" t="str">
        <f>""</f>
        <v/>
      </c>
      <c r="C12598" s="2" t="str">
        <f>""</f>
        <v/>
      </c>
      <c r="D12598" s="2" t="str">
        <f>""</f>
        <v/>
      </c>
      <c r="E12598" s="2" t="str">
        <f>""</f>
        <v/>
      </c>
      <c r="F12598" s="2" t="str">
        <f>""</f>
        <v/>
      </c>
      <c r="G12598" s="2" t="str">
        <f>"Controladoria / Fiscal / Geração / DMED ()"</f>
        <v>Controladoria / Fiscal / Geração / DMED ()</v>
      </c>
    </row>
    <row r="12599" spans="1:7" x14ac:dyDescent="0.3">
      <c r="A12599" s="1" t="s">
        <v>58</v>
      </c>
      <c r="B12599" s="2" t="str">
        <f>""</f>
        <v/>
      </c>
      <c r="C12599" s="2" t="str">
        <f>""</f>
        <v/>
      </c>
      <c r="D12599" s="2" t="str">
        <f>""</f>
        <v/>
      </c>
      <c r="E12599" s="2" t="str">
        <f>""</f>
        <v/>
      </c>
      <c r="F12599" s="2" t="str">
        <f>""</f>
        <v/>
      </c>
      <c r="G12599" s="2" t="str">
        <f>"Controladoria / Fiscal / Geração / SPEDs ()"</f>
        <v>Controladoria / Fiscal / Geração / SPEDs ()</v>
      </c>
    </row>
    <row r="12600" spans="1:7" x14ac:dyDescent="0.3">
      <c r="A12600" s="1" t="s">
        <v>58</v>
      </c>
      <c r="B12600" s="2" t="str">
        <f>""</f>
        <v/>
      </c>
      <c r="C12600" s="2" t="str">
        <f>""</f>
        <v/>
      </c>
      <c r="D12600" s="2" t="str">
        <f>""</f>
        <v/>
      </c>
      <c r="E12600" s="2" t="str">
        <f>""</f>
        <v/>
      </c>
      <c r="F12600" s="2" t="str">
        <f>""</f>
        <v/>
      </c>
      <c r="G12600" s="2" t="str">
        <f>"Controladoria / Fiscal / Geração / SISCOSERV ()"</f>
        <v>Controladoria / Fiscal / Geração / SISCOSERV ()</v>
      </c>
    </row>
    <row r="12601" spans="1:7" x14ac:dyDescent="0.3">
      <c r="A12601" s="1" t="s">
        <v>58</v>
      </c>
      <c r="B12601" s="2" t="str">
        <f>""</f>
        <v/>
      </c>
      <c r="C12601" s="2" t="str">
        <f>""</f>
        <v/>
      </c>
      <c r="D12601" s="2" t="str">
        <f>""</f>
        <v/>
      </c>
      <c r="E12601" s="2" t="str">
        <f>""</f>
        <v/>
      </c>
      <c r="F12601" s="2" t="str">
        <f>""</f>
        <v/>
      </c>
      <c r="G12601" s="2" t="str">
        <f>"Controladoria / Fiscal / Geração / Geração IN 86 ()"</f>
        <v>Controladoria / Fiscal / Geração / Geração IN 86 ()</v>
      </c>
    </row>
    <row r="12602" spans="1:7" x14ac:dyDescent="0.3">
      <c r="A12602" s="1" t="s">
        <v>58</v>
      </c>
      <c r="B12602" s="2" t="str">
        <f>""</f>
        <v/>
      </c>
      <c r="C12602" s="2" t="str">
        <f>""</f>
        <v/>
      </c>
      <c r="D12602" s="2" t="str">
        <f>""</f>
        <v/>
      </c>
      <c r="E12602" s="2" t="str">
        <f>""</f>
        <v/>
      </c>
      <c r="F12602" s="2" t="str">
        <f>""</f>
        <v/>
      </c>
      <c r="G12602" s="2" t="str">
        <f>"Controladoria / Fiscal / Relatórios / Contábeis ()"</f>
        <v>Controladoria / Fiscal / Relatórios / Contábeis ()</v>
      </c>
    </row>
    <row r="12603" spans="1:7" x14ac:dyDescent="0.3">
      <c r="A12603" s="1" t="s">
        <v>58</v>
      </c>
      <c r="B12603" s="2" t="str">
        <f>""</f>
        <v/>
      </c>
      <c r="C12603" s="2" t="str">
        <f>""</f>
        <v/>
      </c>
      <c r="D12603" s="2" t="str">
        <f>""</f>
        <v/>
      </c>
      <c r="E12603" s="2" t="str">
        <f>""</f>
        <v/>
      </c>
      <c r="F12603" s="2" t="str">
        <f>""</f>
        <v/>
      </c>
      <c r="G12603" s="2" t="str">
        <f>"Controladoria / Fiscal / Geração / SPEDs / SPED ECD ()"</f>
        <v>Controladoria / Fiscal / Geração / SPEDs / SPED ECD ()</v>
      </c>
    </row>
    <row r="12604" spans="1:7" x14ac:dyDescent="0.3">
      <c r="A12604" s="1" t="s">
        <v>58</v>
      </c>
      <c r="B12604" s="2" t="str">
        <f>""</f>
        <v/>
      </c>
      <c r="C12604" s="2" t="str">
        <f>""</f>
        <v/>
      </c>
      <c r="D12604" s="2" t="str">
        <f>""</f>
        <v/>
      </c>
      <c r="E12604" s="2" t="str">
        <f>""</f>
        <v/>
      </c>
      <c r="F12604" s="2" t="str">
        <f>""</f>
        <v/>
      </c>
      <c r="G12604" s="2" t="str">
        <f>"Controladoria / Fiscal / Geração / SPEDs / SPED ECF ()"</f>
        <v>Controladoria / Fiscal / Geração / SPEDs / SPED ECF ()</v>
      </c>
    </row>
    <row r="12605" spans="1:7" x14ac:dyDescent="0.3">
      <c r="A12605" s="1" t="s">
        <v>58</v>
      </c>
      <c r="B12605" s="2" t="str">
        <f>""</f>
        <v/>
      </c>
      <c r="C12605" s="2" t="str">
        <f>""</f>
        <v/>
      </c>
      <c r="D12605" s="2" t="str">
        <f>""</f>
        <v/>
      </c>
      <c r="E12605" s="2" t="str">
        <f>""</f>
        <v/>
      </c>
      <c r="F12605" s="2" t="str">
        <f>""</f>
        <v/>
      </c>
      <c r="G12605" s="2" t="str">
        <f>"Clínica e Assistencial / Gerenciamento de Unidades / Configuração / Tabelas / PEP / Oncologia ()"</f>
        <v>Clínica e Assistencial / Gerenciamento de Unidades / Configuração / Tabelas / PEP / Oncologia ()</v>
      </c>
    </row>
    <row r="12606" spans="1:7" x14ac:dyDescent="0.3">
      <c r="A12606" s="1" t="s">
        <v>58</v>
      </c>
      <c r="B12606" s="2" t="str">
        <f>""</f>
        <v/>
      </c>
      <c r="C12606" s="2" t="str">
        <f>""</f>
        <v/>
      </c>
      <c r="D12606" s="2" t="str">
        <f>""</f>
        <v/>
      </c>
      <c r="E12606" s="2" t="str">
        <f>""</f>
        <v/>
      </c>
      <c r="F12606" s="2" t="str">
        <f>""</f>
        <v/>
      </c>
      <c r="G12606" s="2" t="str">
        <f>"Controladoria / Orçamento Corporativo ()"</f>
        <v>Controladoria / Orçamento Corporativo ()</v>
      </c>
    </row>
    <row r="12607" spans="1:7" x14ac:dyDescent="0.3">
      <c r="A12607" s="1" t="s">
        <v>58</v>
      </c>
      <c r="B12607" s="2" t="str">
        <f>""</f>
        <v/>
      </c>
      <c r="C12607" s="2" t="str">
        <f>""</f>
        <v/>
      </c>
      <c r="D12607" s="2" t="str">
        <f>""</f>
        <v/>
      </c>
      <c r="E12607" s="2" t="str">
        <f>""</f>
        <v/>
      </c>
      <c r="F12607" s="2" t="str">
        <f>""</f>
        <v/>
      </c>
      <c r="G12607" s="2" t="str">
        <f>"Clínica e Assistencial / Gerenciamento de Unidades / Assistência Domiciliar ()"</f>
        <v>Clínica e Assistencial / Gerenciamento de Unidades / Assistência Domiciliar ()</v>
      </c>
    </row>
    <row r="12608" spans="1:7" x14ac:dyDescent="0.3">
      <c r="A12608" s="1" t="s">
        <v>58</v>
      </c>
      <c r="B12608" s="2" t="str">
        <f>""</f>
        <v/>
      </c>
      <c r="C12608" s="2" t="str">
        <f>""</f>
        <v/>
      </c>
      <c r="D12608" s="2" t="str">
        <f>""</f>
        <v/>
      </c>
      <c r="E12608" s="2" t="str">
        <f>""</f>
        <v/>
      </c>
      <c r="F12608" s="2" t="str">
        <f>""</f>
        <v/>
      </c>
      <c r="G12608" s="2" t="str">
        <f>"Clínica e Assistencial / Gerenciamento de Unidades / Assistência Domiciliar / Tabelas ()"</f>
        <v>Clínica e Assistencial / Gerenciamento de Unidades / Assistência Domiciliar / Tabelas ()</v>
      </c>
    </row>
    <row r="12609" spans="1:7" x14ac:dyDescent="0.3">
      <c r="A12609" s="1" t="s">
        <v>58</v>
      </c>
      <c r="B12609" s="2" t="str">
        <f>""</f>
        <v/>
      </c>
      <c r="C12609" s="2" t="str">
        <f>""</f>
        <v/>
      </c>
      <c r="D12609" s="2" t="str">
        <f>""</f>
        <v/>
      </c>
      <c r="E12609" s="2" t="str">
        <f>""</f>
        <v/>
      </c>
      <c r="F12609" s="2" t="str">
        <f>""</f>
        <v/>
      </c>
      <c r="G12609" s="2" t="str">
        <f>"Clínica e Assistencial / Gerenciamento de Unidades / Configuração / Tabelas / PEP / Prontuário Protegido ()"</f>
        <v>Clínica e Assistencial / Gerenciamento de Unidades / Configuração / Tabelas / PEP / Prontuário Protegido ()</v>
      </c>
    </row>
    <row r="12610" spans="1:7" x14ac:dyDescent="0.3">
      <c r="A12610" s="1" t="s">
        <v>58</v>
      </c>
      <c r="B12610" s="2" t="str">
        <f>""</f>
        <v/>
      </c>
      <c r="C12610" s="2" t="str">
        <f>""</f>
        <v/>
      </c>
      <c r="D12610" s="2" t="str">
        <f>""</f>
        <v/>
      </c>
      <c r="E12610" s="2" t="str">
        <f>""</f>
        <v/>
      </c>
      <c r="F12610" s="2" t="str">
        <f>""</f>
        <v/>
      </c>
      <c r="G12610" s="2" t="str">
        <f>"Controladoria / Contabilidade / Exportação / SPED EFD - REINF ()"</f>
        <v>Controladoria / Contabilidade / Exportação / SPED EFD - REINF ()</v>
      </c>
    </row>
    <row r="12611" spans="1:7" x14ac:dyDescent="0.3">
      <c r="A12611" s="1" t="s">
        <v>58</v>
      </c>
      <c r="B12611" s="2" t="str">
        <f>""</f>
        <v/>
      </c>
      <c r="C12611" s="2" t="str">
        <f>""</f>
        <v/>
      </c>
      <c r="D12611" s="2" t="str">
        <f>""</f>
        <v/>
      </c>
      <c r="E12611" s="2" t="str">
        <f>""</f>
        <v/>
      </c>
      <c r="F12611" s="2" t="str">
        <f>""</f>
        <v/>
      </c>
      <c r="G12611" s="2" t="str">
        <f>"Clínica e Assistencial / Gerenciamento de Unidades / Assistência Domiciliar / Relatórios ()"</f>
        <v>Clínica e Assistencial / Gerenciamento de Unidades / Assistência Domiciliar / Relatórios ()</v>
      </c>
    </row>
    <row r="12612" spans="1:7" x14ac:dyDescent="0.3">
      <c r="A12612" s="1" t="s">
        <v>58</v>
      </c>
      <c r="B12612" s="2" t="str">
        <f>""</f>
        <v/>
      </c>
      <c r="C12612" s="2" t="str">
        <f>""</f>
        <v/>
      </c>
      <c r="D12612" s="2" t="str">
        <f>""</f>
        <v/>
      </c>
      <c r="E12612" s="2" t="str">
        <f>""</f>
        <v/>
      </c>
      <c r="F12612" s="2" t="str">
        <f>""</f>
        <v/>
      </c>
      <c r="G12612" s="2" t="str">
        <f>"Clínica e Assistencial / Gerenciamento de Unidades / Configuração / Tabelas / PEP / Oncologia ()"</f>
        <v>Clínica e Assistencial / Gerenciamento de Unidades / Configuração / Tabelas / PEP / Oncologia ()</v>
      </c>
    </row>
    <row r="12613" spans="1:7" x14ac:dyDescent="0.3">
      <c r="A12613" s="1" t="s">
        <v>58</v>
      </c>
      <c r="B12613" s="2" t="str">
        <f>""</f>
        <v/>
      </c>
      <c r="C12613" s="2" t="str">
        <f>""</f>
        <v/>
      </c>
      <c r="D12613" s="2" t="str">
        <f>""</f>
        <v/>
      </c>
      <c r="E12613" s="2" t="str">
        <f>""</f>
        <v/>
      </c>
      <c r="F12613" s="2" t="str">
        <f>""</f>
        <v/>
      </c>
      <c r="G12613" s="2" t="str">
        <f>"Controladoria / Central de Aprovações ()"</f>
        <v>Controladoria / Central de Aprovações ()</v>
      </c>
    </row>
    <row r="12614" spans="1:7" x14ac:dyDescent="0.3">
      <c r="A12614" s="1" t="s">
        <v>58</v>
      </c>
      <c r="B12614" s="2" t="str">
        <f>""</f>
        <v/>
      </c>
      <c r="C12614" s="2" t="str">
        <f>""</f>
        <v/>
      </c>
      <c r="D12614" s="2" t="str">
        <f>""</f>
        <v/>
      </c>
      <c r="E12614" s="2" t="str">
        <f>""</f>
        <v/>
      </c>
      <c r="F12614" s="2" t="str">
        <f>""</f>
        <v/>
      </c>
      <c r="G12614" s="2" t="str">
        <f>"Controladoria / Central de Aprovações / Configurações ()"</f>
        <v>Controladoria / Central de Aprovações / Configurações ()</v>
      </c>
    </row>
    <row r="12615" spans="1:7" x14ac:dyDescent="0.3">
      <c r="A12615" s="1" t="s">
        <v>58</v>
      </c>
      <c r="B12615" s="2" t="str">
        <f>""</f>
        <v/>
      </c>
      <c r="C12615" s="2" t="str">
        <f>""</f>
        <v/>
      </c>
      <c r="D12615" s="2" t="str">
        <f>""</f>
        <v/>
      </c>
      <c r="E12615" s="2" t="str">
        <f>""</f>
        <v/>
      </c>
      <c r="F12615" s="2" t="str">
        <f>""</f>
        <v/>
      </c>
      <c r="G12615" s="2" t="str">
        <f>"Controladoria / Central de Aprovações / Demandas Entregues ()"</f>
        <v>Controladoria / Central de Aprovações / Demandas Entregues ()</v>
      </c>
    </row>
    <row r="12616" spans="1:7" x14ac:dyDescent="0.3">
      <c r="A12616" s="1" t="s">
        <v>58</v>
      </c>
      <c r="B12616" s="2" t="str">
        <f>""</f>
        <v/>
      </c>
      <c r="C12616" s="2" t="str">
        <f>""</f>
        <v/>
      </c>
      <c r="D12616" s="2" t="str">
        <f>""</f>
        <v/>
      </c>
      <c r="E12616" s="2" t="str">
        <f>""</f>
        <v/>
      </c>
      <c r="F12616" s="2" t="str">
        <f>""</f>
        <v/>
      </c>
      <c r="G12616" s="2" t="str">
        <f>"Clínica e Assistencial / Gerenciamento de Unidades / Configuração / Tabelas / PEP / Prontuário VIP ()"</f>
        <v>Clínica e Assistencial / Gerenciamento de Unidades / Configuração / Tabelas / PEP / Prontuário VIP ()</v>
      </c>
    </row>
    <row r="12617" spans="1:7" x14ac:dyDescent="0.3">
      <c r="A12617" s="1" t="s">
        <v>58</v>
      </c>
      <c r="B12617" s="2" t="str">
        <f>""</f>
        <v/>
      </c>
      <c r="C12617" s="2" t="str">
        <f>""</f>
        <v/>
      </c>
      <c r="D12617" s="2" t="str">
        <f>""</f>
        <v/>
      </c>
      <c r="E12617" s="2" t="str">
        <f>""</f>
        <v/>
      </c>
      <c r="F12617" s="2" t="str">
        <f>""</f>
        <v/>
      </c>
      <c r="G12617" s="2" t="str">
        <f>"Controladoria / Tesouraria / Relatórios / Recibos ()"</f>
        <v>Controladoria / Tesouraria / Relatórios / Recibos ()</v>
      </c>
    </row>
    <row r="12618" spans="1:7" x14ac:dyDescent="0.3">
      <c r="A12618" s="1" t="s">
        <v>58</v>
      </c>
      <c r="B12618" s="2" t="str">
        <f>""</f>
        <v/>
      </c>
      <c r="C12618" s="2" t="str">
        <f>""</f>
        <v/>
      </c>
      <c r="D12618" s="2" t="str">
        <f>""</f>
        <v/>
      </c>
      <c r="E12618" s="2" t="str">
        <f>""</f>
        <v/>
      </c>
      <c r="F12618" s="2" t="str">
        <f>""</f>
        <v/>
      </c>
      <c r="G12618" s="2" t="str">
        <f>"Materiais e Logística / Compras / Importação / Importação de Ordens de Compras ()"</f>
        <v>Materiais e Logística / Compras / Importação / Importação de Ordens de Compras ()</v>
      </c>
    </row>
    <row r="12619" spans="1:7" x14ac:dyDescent="0.3">
      <c r="A12619" s="1" t="s">
        <v>58</v>
      </c>
      <c r="B12619" s="2" t="str">
        <f>""</f>
        <v/>
      </c>
      <c r="C12619" s="2" t="str">
        <f>""</f>
        <v/>
      </c>
      <c r="D12619" s="2" t="str">
        <f>""</f>
        <v/>
      </c>
      <c r="E12619" s="2" t="str">
        <f>""</f>
        <v/>
      </c>
      <c r="F12619" s="2" t="str">
        <f>""</f>
        <v/>
      </c>
      <c r="G12619" s="2" t="str">
        <f>"Clínica e Assistencial / Gerenciamento de Unidades / Consultas / Evoluções do Paciente ()"</f>
        <v>Clínica e Assistencial / Gerenciamento de Unidades / Consultas / Evoluções do Paciente ()</v>
      </c>
    </row>
    <row r="12620" spans="1:7" x14ac:dyDescent="0.3">
      <c r="A12620" s="1" t="s">
        <v>58</v>
      </c>
      <c r="B12620" s="2" t="str">
        <f>""</f>
        <v/>
      </c>
      <c r="C12620" s="2" t="str">
        <f>""</f>
        <v/>
      </c>
      <c r="D12620" s="2" t="str">
        <f>""</f>
        <v/>
      </c>
      <c r="E12620" s="2" t="str">
        <f>""</f>
        <v/>
      </c>
      <c r="F12620" s="2" t="str">
        <f>""</f>
        <v/>
      </c>
      <c r="G12620" s="2" t="str">
        <f>"Faturamento / Auditoria e Controle de Recursos de Glosas / Consultas ()"</f>
        <v>Faturamento / Auditoria e Controle de Recursos de Glosas / Consultas ()</v>
      </c>
    </row>
    <row r="12621" spans="1:7" x14ac:dyDescent="0.3">
      <c r="A12621" s="1" t="s">
        <v>58</v>
      </c>
      <c r="B12621" s="2" t="str">
        <f>""</f>
        <v/>
      </c>
      <c r="C12621" s="2" t="str">
        <f>""</f>
        <v/>
      </c>
      <c r="D12621" s="2" t="str">
        <f>""</f>
        <v/>
      </c>
      <c r="E12621" s="2" t="str">
        <f>""</f>
        <v/>
      </c>
      <c r="F12621" s="2" t="str">
        <f>""</f>
        <v/>
      </c>
      <c r="G12621" s="2" t="str">
        <f>"Relatórios ()"</f>
        <v>Relatórios ()</v>
      </c>
    </row>
    <row r="12622" spans="1:7" x14ac:dyDescent="0.3">
      <c r="A12622" s="1" t="s">
        <v>58</v>
      </c>
      <c r="B12622" s="2" t="str">
        <f>""</f>
        <v/>
      </c>
      <c r="C12622" s="2" t="str">
        <f>""</f>
        <v/>
      </c>
      <c r="D12622" s="2" t="str">
        <f>""</f>
        <v/>
      </c>
      <c r="E12622" s="2" t="str">
        <f>""</f>
        <v/>
      </c>
      <c r="F12622" s="2" t="str">
        <f>""</f>
        <v/>
      </c>
      <c r="G12622" s="2" t="str">
        <f>"Faturamento / Faturamento de Convênios e Particulares / Lançamentos / Controle de Guias ()"</f>
        <v>Faturamento / Faturamento de Convênios e Particulares / Lançamentos / Controle de Guias ()</v>
      </c>
    </row>
    <row r="12623" spans="1:7" x14ac:dyDescent="0.3">
      <c r="A12623" s="1" t="s">
        <v>58</v>
      </c>
      <c r="B12623" s="2" t="str">
        <f>""</f>
        <v/>
      </c>
      <c r="C12623" s="2" t="str">
        <f>""</f>
        <v/>
      </c>
      <c r="D12623" s="2" t="str">
        <f>""</f>
        <v/>
      </c>
      <c r="E12623" s="2" t="str">
        <f>""</f>
        <v/>
      </c>
      <c r="F12623" s="2" t="str">
        <f>""</f>
        <v/>
      </c>
      <c r="G12623" s="2" t="str">
        <f>"Faturamento / Faturamento de Convênios e Particulares / Guias ()"</f>
        <v>Faturamento / Faturamento de Convênios e Particulares / Guias ()</v>
      </c>
    </row>
    <row r="12624" spans="1:7" x14ac:dyDescent="0.3">
      <c r="A12624" s="1" t="s">
        <v>58</v>
      </c>
      <c r="B12624" s="2" t="str">
        <f>""</f>
        <v/>
      </c>
      <c r="C12624" s="2" t="str">
        <f>""</f>
        <v/>
      </c>
      <c r="D12624" s="2" t="str">
        <f>""</f>
        <v/>
      </c>
      <c r="E12624" s="2" t="str">
        <f>""</f>
        <v/>
      </c>
      <c r="F12624" s="2" t="str">
        <f>""</f>
        <v/>
      </c>
      <c r="G12624" s="2" t="str">
        <f>"Controladoria / Repasse Médico / Repasse / Gestão Repasse de Plantão por Setor ()"</f>
        <v>Controladoria / Repasse Médico / Repasse / Gestão Repasse de Plantão por Setor ()</v>
      </c>
    </row>
    <row r="12625" spans="1:7" x14ac:dyDescent="0.3">
      <c r="A12625" s="1" t="s">
        <v>58</v>
      </c>
      <c r="B12625" s="2" t="str">
        <f>""</f>
        <v/>
      </c>
      <c r="C12625" s="2" t="str">
        <f>""</f>
        <v/>
      </c>
      <c r="D12625" s="2" t="str">
        <f>""</f>
        <v/>
      </c>
      <c r="E12625" s="2" t="str">
        <f>""</f>
        <v/>
      </c>
      <c r="F12625" s="2" t="str">
        <f>""</f>
        <v/>
      </c>
      <c r="G12625" s="2" t="str">
        <f>"Controladoria / Repasse Médico / Tabelas / Regras  / Remuneração Variável ()"</f>
        <v>Controladoria / Repasse Médico / Tabelas / Regras  / Remuneração Variável ()</v>
      </c>
    </row>
    <row r="12626" spans="1:7" x14ac:dyDescent="0.3">
      <c r="A12626" s="1" t="s">
        <v>58</v>
      </c>
      <c r="B12626" s="2" t="str">
        <f>""</f>
        <v/>
      </c>
      <c r="C12626" s="2" t="str">
        <f>""</f>
        <v/>
      </c>
      <c r="D12626" s="2" t="str">
        <f>""</f>
        <v/>
      </c>
      <c r="E12626" s="2" t="str">
        <f>""</f>
        <v/>
      </c>
      <c r="F12626" s="2" t="str">
        <f>""</f>
        <v/>
      </c>
      <c r="G12626" s="2" t="str">
        <f>"Faturamento / Faturamento de Convênios e Particulares / Lançamentos / Conta Ambulatorial / Unificação ()"</f>
        <v>Faturamento / Faturamento de Convênios e Particulares / Lançamentos / Conta Ambulatorial / Unificação ()</v>
      </c>
    </row>
    <row r="12627" spans="1:7" x14ac:dyDescent="0.3">
      <c r="A12627" s="1" t="s">
        <v>58</v>
      </c>
      <c r="B12627" s="2" t="str">
        <f>""</f>
        <v/>
      </c>
      <c r="C12627" s="2" t="str">
        <f>""</f>
        <v/>
      </c>
      <c r="D12627" s="2" t="str">
        <f>""</f>
        <v/>
      </c>
      <c r="E12627" s="2" t="str">
        <f>""</f>
        <v/>
      </c>
      <c r="F12627" s="2" t="str">
        <f>""</f>
        <v/>
      </c>
      <c r="G12627" s="2" t="str">
        <f>"Unificação ()"</f>
        <v>Unificação ()</v>
      </c>
    </row>
    <row r="12628" spans="1:7" x14ac:dyDescent="0.3">
      <c r="A12628" s="1" t="s">
        <v>58</v>
      </c>
      <c r="B12628" s="2" t="str">
        <f>""</f>
        <v/>
      </c>
      <c r="C12628" s="2" t="str">
        <f>""</f>
        <v/>
      </c>
      <c r="D12628" s="2" t="str">
        <f>""</f>
        <v/>
      </c>
      <c r="E12628" s="2" t="str">
        <f>""</f>
        <v/>
      </c>
      <c r="F12628" s="2" t="str">
        <f>""</f>
        <v/>
      </c>
      <c r="G12628" s="2" t="str">
        <f>"Materiais e Logística / Almoxarifado / Tabelas / Produção ()"</f>
        <v>Materiais e Logística / Almoxarifado / Tabelas / Produção ()</v>
      </c>
    </row>
    <row r="12629" spans="1:7" x14ac:dyDescent="0.3">
      <c r="A12629" s="1" t="s">
        <v>58</v>
      </c>
      <c r="B12629" s="2" t="str">
        <f>""</f>
        <v/>
      </c>
      <c r="C12629" s="2" t="str">
        <f>""</f>
        <v/>
      </c>
      <c r="D12629" s="2" t="str">
        <f>""</f>
        <v/>
      </c>
      <c r="E12629" s="2" t="str">
        <f>""</f>
        <v/>
      </c>
      <c r="F12629" s="2" t="str">
        <f>""</f>
        <v/>
      </c>
      <c r="G12629" s="2" t="str">
        <f>"Atendimento / Centro Cirúrgico e Obstétrico / Centro Cirúrgico / Lançamentos ()"</f>
        <v>Atendimento / Centro Cirúrgico e Obstétrico / Centro Cirúrgico / Lançamentos ()</v>
      </c>
    </row>
    <row r="12630" spans="1:7" x14ac:dyDescent="0.3">
      <c r="A12630" s="1" t="s">
        <v>58</v>
      </c>
      <c r="B12630" s="2" t="str">
        <f>""</f>
        <v/>
      </c>
      <c r="C12630" s="2" t="str">
        <f>""</f>
        <v/>
      </c>
      <c r="D12630" s="2" t="str">
        <f>""</f>
        <v/>
      </c>
      <c r="E12630" s="2" t="str">
        <f>""</f>
        <v/>
      </c>
      <c r="F12630" s="2" t="str">
        <f>""</f>
        <v/>
      </c>
      <c r="G12630" s="2" t="str">
        <f>"Atendimento / Centro Cirúrgico e Obstétrico / Centro Cirúrgico / Documentos do Centro Cirúrgico ()"</f>
        <v>Atendimento / Centro Cirúrgico e Obstétrico / Centro Cirúrgico / Documentos do Centro Cirúrgico ()</v>
      </c>
    </row>
    <row r="12631" spans="1:7" x14ac:dyDescent="0.3">
      <c r="A12631" s="1" t="s">
        <v>58</v>
      </c>
      <c r="B12631" s="2" t="str">
        <f>""</f>
        <v/>
      </c>
      <c r="C12631" s="2" t="str">
        <f>""</f>
        <v/>
      </c>
      <c r="D12631" s="2" t="str">
        <f>""</f>
        <v/>
      </c>
      <c r="E12631" s="2" t="str">
        <f>""</f>
        <v/>
      </c>
      <c r="F12631" s="2" t="str">
        <f>""</f>
        <v/>
      </c>
      <c r="G12631" s="2" t="str">
        <f>"Controladoria / Custos / Configurações / Faturamento / Convênio/Particular ()"</f>
        <v>Controladoria / Custos / Configurações / Faturamento / Convênio/Particular ()</v>
      </c>
    </row>
    <row r="12632" spans="1:7" x14ac:dyDescent="0.3">
      <c r="A12632" s="1" t="s">
        <v>58</v>
      </c>
      <c r="B12632" s="2" t="str">
        <f>""</f>
        <v/>
      </c>
      <c r="C12632" s="2" t="str">
        <f>""</f>
        <v/>
      </c>
      <c r="D12632" s="2" t="str">
        <f>""</f>
        <v/>
      </c>
      <c r="E12632" s="2" t="str">
        <f>""</f>
        <v/>
      </c>
      <c r="F12632" s="2" t="str">
        <f>""</f>
        <v/>
      </c>
      <c r="G12632" s="2" t="str">
        <f>"Controladoria / Custos / Configurações / Faturamento / Ambulatorial SUS ()"</f>
        <v>Controladoria / Custos / Configurações / Faturamento / Ambulatorial SUS ()</v>
      </c>
    </row>
    <row r="12633" spans="1:7" x14ac:dyDescent="0.3">
      <c r="A12633" s="1" t="s">
        <v>58</v>
      </c>
      <c r="B12633" s="2" t="str">
        <f>""</f>
        <v/>
      </c>
      <c r="C12633" s="2" t="str">
        <f>""</f>
        <v/>
      </c>
      <c r="D12633" s="2" t="str">
        <f>""</f>
        <v/>
      </c>
      <c r="E12633" s="2" t="str">
        <f>""</f>
        <v/>
      </c>
      <c r="F12633" s="2" t="str">
        <f>""</f>
        <v/>
      </c>
      <c r="G12633" s="2" t="str">
        <f>"Controladoria / Custos / IV-Demonstração de Custos Auxiliares ()"</f>
        <v>Controladoria / Custos / IV-Demonstração de Custos Auxiliares ()</v>
      </c>
    </row>
    <row r="12634" spans="1:7" x14ac:dyDescent="0.3">
      <c r="A12634" s="1" t="s">
        <v>58</v>
      </c>
      <c r="B12634" s="2" t="str">
        <f>""</f>
        <v/>
      </c>
      <c r="C12634" s="2" t="str">
        <f>""</f>
        <v/>
      </c>
      <c r="D12634" s="2" t="str">
        <f>""</f>
        <v/>
      </c>
      <c r="E12634" s="2" t="str">
        <f>""</f>
        <v/>
      </c>
      <c r="F12634" s="2" t="str">
        <f>""</f>
        <v/>
      </c>
      <c r="G12634" s="2" t="str">
        <f>"Controladoria / Repasse Médico ()"</f>
        <v>Controladoria / Repasse Médico ()</v>
      </c>
    </row>
    <row r="12635" spans="1:7" x14ac:dyDescent="0.3">
      <c r="A12635" s="1" t="s">
        <v>58</v>
      </c>
      <c r="B12635" s="2" t="str">
        <f>""</f>
        <v/>
      </c>
      <c r="C12635" s="2" t="str">
        <f>""</f>
        <v/>
      </c>
      <c r="D12635" s="2" t="str">
        <f>""</f>
        <v/>
      </c>
      <c r="E12635" s="2" t="str">
        <f>""</f>
        <v/>
      </c>
      <c r="F12635" s="2" t="str">
        <f>""</f>
        <v/>
      </c>
      <c r="G12635" s="2" t="str">
        <f>"Controladoria / Repasse Médico / Repasse ()"</f>
        <v>Controladoria / Repasse Médico / Repasse ()</v>
      </c>
    </row>
    <row r="12636" spans="1:7" x14ac:dyDescent="0.3">
      <c r="A12636" s="1" t="s">
        <v>58</v>
      </c>
      <c r="B12636" s="2" t="str">
        <f>""</f>
        <v/>
      </c>
      <c r="C12636" s="2" t="str">
        <f>""</f>
        <v/>
      </c>
      <c r="D12636" s="2" t="str">
        <f>""</f>
        <v/>
      </c>
      <c r="E12636" s="2" t="str">
        <f>""</f>
        <v/>
      </c>
      <c r="F12636" s="2" t="str">
        <f>""</f>
        <v/>
      </c>
      <c r="G12636" s="2" t="str">
        <f>"Controladoria / Repasse Médico / Tabelas ()"</f>
        <v>Controladoria / Repasse Médico / Tabelas ()</v>
      </c>
    </row>
    <row r="12637" spans="1:7" x14ac:dyDescent="0.3">
      <c r="A12637" s="1" t="s">
        <v>58</v>
      </c>
      <c r="B12637" s="2" t="str">
        <f>""</f>
        <v/>
      </c>
      <c r="C12637" s="2" t="str">
        <f>""</f>
        <v/>
      </c>
      <c r="D12637" s="2" t="str">
        <f>""</f>
        <v/>
      </c>
      <c r="E12637" s="2" t="str">
        <f>""</f>
        <v/>
      </c>
      <c r="F12637" s="2" t="str">
        <f>""</f>
        <v/>
      </c>
      <c r="G12637" s="2" t="str">
        <f>"Controladoria / Repasse Médico / Configurações ()"</f>
        <v>Controladoria / Repasse Médico / Configurações ()</v>
      </c>
    </row>
    <row r="12638" spans="1:7" x14ac:dyDescent="0.3">
      <c r="A12638" s="1" t="s">
        <v>58</v>
      </c>
      <c r="B12638" s="2" t="str">
        <f>""</f>
        <v/>
      </c>
      <c r="C12638" s="2" t="str">
        <f>""</f>
        <v/>
      </c>
      <c r="D12638" s="2" t="str">
        <f>""</f>
        <v/>
      </c>
      <c r="E12638" s="2" t="str">
        <f>""</f>
        <v/>
      </c>
      <c r="F12638" s="2" t="str">
        <f>""</f>
        <v/>
      </c>
      <c r="G12638" s="2" t="str">
        <f>"Controladoria / Repasse Médico / Consultas ()"</f>
        <v>Controladoria / Repasse Médico / Consultas ()</v>
      </c>
    </row>
    <row r="12639" spans="1:7" x14ac:dyDescent="0.3">
      <c r="A12639" s="1" t="s">
        <v>58</v>
      </c>
      <c r="B12639" s="2" t="str">
        <f>""</f>
        <v/>
      </c>
      <c r="C12639" s="2" t="str">
        <f>""</f>
        <v/>
      </c>
      <c r="D12639" s="2" t="str">
        <f>""</f>
        <v/>
      </c>
      <c r="E12639" s="2" t="str">
        <f>""</f>
        <v/>
      </c>
      <c r="F12639" s="2" t="str">
        <f>""</f>
        <v/>
      </c>
      <c r="G12639" s="2" t="str">
        <f>"Controladoria / Repasse Médico / Relatórios ()"</f>
        <v>Controladoria / Repasse Médico / Relatórios ()</v>
      </c>
    </row>
    <row r="12640" spans="1:7" x14ac:dyDescent="0.3">
      <c r="A12640" s="1" t="s">
        <v>58</v>
      </c>
      <c r="B12640" s="2" t="str">
        <f>""</f>
        <v/>
      </c>
      <c r="C12640" s="2" t="str">
        <f>""</f>
        <v/>
      </c>
      <c r="D12640" s="2" t="str">
        <f>""</f>
        <v/>
      </c>
      <c r="E12640" s="2" t="str">
        <f>""</f>
        <v/>
      </c>
      <c r="F12640" s="2" t="str">
        <f>""</f>
        <v/>
      </c>
      <c r="G12640" s="2" t="str">
        <f>"Controladoria / Repasse Médico / Tabelas / Regras  ()"</f>
        <v>Controladoria / Repasse Médico / Tabelas / Regras  ()</v>
      </c>
    </row>
    <row r="12641" spans="1:7" x14ac:dyDescent="0.3">
      <c r="A12641" s="1" t="s">
        <v>58</v>
      </c>
      <c r="B12641" s="2" t="str">
        <f>""</f>
        <v/>
      </c>
      <c r="C12641" s="2" t="str">
        <f>""</f>
        <v/>
      </c>
      <c r="D12641" s="2" t="str">
        <f>""</f>
        <v/>
      </c>
      <c r="E12641" s="2" t="str">
        <f>""</f>
        <v/>
      </c>
      <c r="F12641" s="2" t="str">
        <f>""</f>
        <v/>
      </c>
      <c r="G12641" s="2" t="str">
        <f>"Controladoria / Repasse Médico / Repasse / Geração ()"</f>
        <v>Controladoria / Repasse Médico / Repasse / Geração ()</v>
      </c>
    </row>
    <row r="12642" spans="1:7" x14ac:dyDescent="0.3">
      <c r="A12642" s="1" t="s">
        <v>58</v>
      </c>
      <c r="B12642" s="2" t="str">
        <f>""</f>
        <v/>
      </c>
      <c r="C12642" s="2" t="str">
        <f>""</f>
        <v/>
      </c>
      <c r="D12642" s="2" t="str">
        <f>""</f>
        <v/>
      </c>
      <c r="E12642" s="2" t="str">
        <f>""</f>
        <v/>
      </c>
      <c r="F12642" s="2" t="str">
        <f>""</f>
        <v/>
      </c>
      <c r="G12642" s="2" t="str">
        <f>"Controladoria / Repasse Médico / Relatórios / Tabelas ()"</f>
        <v>Controladoria / Repasse Médico / Relatórios / Tabelas ()</v>
      </c>
    </row>
    <row r="12643" spans="1:7" x14ac:dyDescent="0.3">
      <c r="A12643" s="1" t="s">
        <v>58</v>
      </c>
      <c r="B12643" s="2" t="str">
        <f>""</f>
        <v/>
      </c>
      <c r="C12643" s="2" t="str">
        <f>""</f>
        <v/>
      </c>
      <c r="D12643" s="2" t="str">
        <f>""</f>
        <v/>
      </c>
      <c r="E12643" s="2" t="str">
        <f>""</f>
        <v/>
      </c>
      <c r="F12643" s="2" t="str">
        <f>""</f>
        <v/>
      </c>
      <c r="G12643" s="2" t="str">
        <f>"Controladoria / Repasse Médico / Relatórios / Operacionais ()"</f>
        <v>Controladoria / Repasse Médico / Relatórios / Operacionais ()</v>
      </c>
    </row>
    <row r="12644" spans="1:7" x14ac:dyDescent="0.3">
      <c r="A12644" s="1" t="s">
        <v>58</v>
      </c>
      <c r="B12644" s="2" t="str">
        <f>""</f>
        <v/>
      </c>
      <c r="C12644" s="2" t="str">
        <f>""</f>
        <v/>
      </c>
      <c r="D12644" s="2" t="str">
        <f>""</f>
        <v/>
      </c>
      <c r="E12644" s="2" t="str">
        <f>""</f>
        <v/>
      </c>
      <c r="F12644" s="2" t="str">
        <f>""</f>
        <v/>
      </c>
      <c r="G12644" s="2" t="str">
        <f>"Controladoria / Repasse Médico / Relatórios / Administrativos ()"</f>
        <v>Controladoria / Repasse Médico / Relatórios / Administrativos ()</v>
      </c>
    </row>
    <row r="12645" spans="1:7" x14ac:dyDescent="0.3">
      <c r="A12645" s="1" t="s">
        <v>58</v>
      </c>
      <c r="B12645" s="2" t="str">
        <f>""</f>
        <v/>
      </c>
      <c r="C12645" s="2" t="str">
        <f>""</f>
        <v/>
      </c>
      <c r="D12645" s="2" t="str">
        <f>""</f>
        <v/>
      </c>
      <c r="E12645" s="2" t="str">
        <f>""</f>
        <v/>
      </c>
      <c r="F12645" s="2" t="str">
        <f>""</f>
        <v/>
      </c>
      <c r="G12645" s="2" t="str">
        <f>"Controladoria / Repasse Médico / Relatórios / Gerenciais ()"</f>
        <v>Controladoria / Repasse Médico / Relatórios / Gerenciais ()</v>
      </c>
    </row>
    <row r="12646" spans="1:7" x14ac:dyDescent="0.3">
      <c r="A12646" s="1" t="s">
        <v>58</v>
      </c>
      <c r="B12646" s="2" t="str">
        <f>""</f>
        <v/>
      </c>
      <c r="C12646" s="2" t="str">
        <f>""</f>
        <v/>
      </c>
      <c r="D12646" s="2" t="str">
        <f>""</f>
        <v/>
      </c>
      <c r="E12646" s="2" t="str">
        <f>""</f>
        <v/>
      </c>
      <c r="F12646" s="2" t="str">
        <f>""</f>
        <v/>
      </c>
      <c r="G12646" s="2" t="str">
        <f>"Controladoria / Repasse Médico / Relatórios / Administrativos / Repasse por Remessa ()"</f>
        <v>Controladoria / Repasse Médico / Relatórios / Administrativos / Repasse por Remessa ()</v>
      </c>
    </row>
    <row r="12647" spans="1:7" x14ac:dyDescent="0.3">
      <c r="A12647" s="1" t="s">
        <v>58</v>
      </c>
      <c r="B12647" s="2" t="str">
        <f>""</f>
        <v/>
      </c>
      <c r="C12647" s="2" t="str">
        <f>""</f>
        <v/>
      </c>
      <c r="D12647" s="2" t="str">
        <f>""</f>
        <v/>
      </c>
      <c r="E12647" s="2" t="str">
        <f>""</f>
        <v/>
      </c>
      <c r="F12647" s="2" t="str">
        <f>""</f>
        <v/>
      </c>
      <c r="G12647" s="2" t="str">
        <f>"Controladoria / Custos / Configurações / Mudança de senha ()"</f>
        <v>Controladoria / Custos / Configurações / Mudança de senha ()</v>
      </c>
    </row>
    <row r="12648" spans="1:7" x14ac:dyDescent="0.3">
      <c r="A12648" s="1" t="s">
        <v>58</v>
      </c>
      <c r="B12648" s="2" t="str">
        <f>""</f>
        <v/>
      </c>
      <c r="C12648" s="2" t="str">
        <f>""</f>
        <v/>
      </c>
      <c r="D12648" s="2" t="str">
        <f>""</f>
        <v/>
      </c>
      <c r="E12648" s="2" t="str">
        <f>""</f>
        <v/>
      </c>
      <c r="F12648" s="2" t="str">
        <f>""</f>
        <v/>
      </c>
      <c r="G12648" s="2" t="str">
        <f>"Faturamento / Faturamento de Convênios e Particulares / Comercial ()"</f>
        <v>Faturamento / Faturamento de Convênios e Particulares / Comercial ()</v>
      </c>
    </row>
    <row r="12649" spans="1:7" x14ac:dyDescent="0.3">
      <c r="A12649" s="1" t="s">
        <v>58</v>
      </c>
      <c r="B12649" s="2" t="str">
        <f>""</f>
        <v/>
      </c>
      <c r="C12649" s="2" t="str">
        <f>""</f>
        <v/>
      </c>
      <c r="D12649" s="2" t="str">
        <f>""</f>
        <v/>
      </c>
      <c r="E12649" s="2" t="str">
        <f>""</f>
        <v/>
      </c>
      <c r="F12649" s="2" t="str">
        <f>""</f>
        <v/>
      </c>
      <c r="G12649" s="2" t="str">
        <f>"Faturamento / Faturamento de Convênios e Particulares / Importações ()"</f>
        <v>Faturamento / Faturamento de Convênios e Particulares / Importações ()</v>
      </c>
    </row>
    <row r="12650" spans="1:7" x14ac:dyDescent="0.3">
      <c r="A12650" s="1" t="s">
        <v>58</v>
      </c>
      <c r="B12650" s="2" t="str">
        <f>""</f>
        <v/>
      </c>
      <c r="C12650" s="2" t="str">
        <f>""</f>
        <v/>
      </c>
      <c r="D12650" s="2" t="str">
        <f>""</f>
        <v/>
      </c>
      <c r="E12650" s="2" t="str">
        <f>""</f>
        <v/>
      </c>
      <c r="F12650" s="2" t="str">
        <f>""</f>
        <v/>
      </c>
      <c r="G12650" s="2" t="str">
        <f>"Faturamento / Faturamento de Convênios e Particulares / Configurações ()"</f>
        <v>Faturamento / Faturamento de Convênios e Particulares / Configurações ()</v>
      </c>
    </row>
    <row r="12651" spans="1:7" x14ac:dyDescent="0.3">
      <c r="A12651" s="1" t="s">
        <v>58</v>
      </c>
      <c r="B12651" s="2" t="str">
        <f>""</f>
        <v/>
      </c>
      <c r="C12651" s="2" t="str">
        <f>""</f>
        <v/>
      </c>
      <c r="D12651" s="2" t="str">
        <f>""</f>
        <v/>
      </c>
      <c r="E12651" s="2" t="str">
        <f>""</f>
        <v/>
      </c>
      <c r="F12651" s="2" t="str">
        <f>""</f>
        <v/>
      </c>
      <c r="G12651" s="2" t="str">
        <f>"Faturamento / Faturamento de Convênios e Particulares / Consultas ()"</f>
        <v>Faturamento / Faturamento de Convênios e Particulares / Consultas ()</v>
      </c>
    </row>
    <row r="12652" spans="1:7" x14ac:dyDescent="0.3">
      <c r="A12652" s="1" t="s">
        <v>58</v>
      </c>
      <c r="B12652" s="2" t="str">
        <f>""</f>
        <v/>
      </c>
      <c r="C12652" s="2" t="str">
        <f>""</f>
        <v/>
      </c>
      <c r="D12652" s="2" t="str">
        <f>""</f>
        <v/>
      </c>
      <c r="E12652" s="2" t="str">
        <f>""</f>
        <v/>
      </c>
      <c r="F12652" s="2" t="str">
        <f>""</f>
        <v/>
      </c>
      <c r="G12652" s="2" t="str">
        <f>"Faturamento / Faturamento de Convênios e Particulares / Relatórios ()"</f>
        <v>Faturamento / Faturamento de Convênios e Particulares / Relatórios ()</v>
      </c>
    </row>
    <row r="12653" spans="1:7" x14ac:dyDescent="0.3">
      <c r="A12653" s="1" t="s">
        <v>58</v>
      </c>
      <c r="B12653" s="2" t="str">
        <f>""</f>
        <v/>
      </c>
      <c r="C12653" s="2" t="str">
        <f>""</f>
        <v/>
      </c>
      <c r="D12653" s="2" t="str">
        <f>""</f>
        <v/>
      </c>
      <c r="E12653" s="2" t="str">
        <f>""</f>
        <v/>
      </c>
      <c r="F12653" s="2" t="str">
        <f>""</f>
        <v/>
      </c>
      <c r="G12653" s="2" t="str">
        <f>"Faturamento / Faturamento de Convênios e Particulares / Tabelas / Cobranças e Tabelas ()"</f>
        <v>Faturamento / Faturamento de Convênios e Particulares / Tabelas / Cobranças e Tabelas ()</v>
      </c>
    </row>
    <row r="12654" spans="1:7" x14ac:dyDescent="0.3">
      <c r="A12654" s="1" t="s">
        <v>58</v>
      </c>
      <c r="B12654" s="2" t="str">
        <f>""</f>
        <v/>
      </c>
      <c r="C12654" s="2" t="str">
        <f>""</f>
        <v/>
      </c>
      <c r="D12654" s="2" t="str">
        <f>""</f>
        <v/>
      </c>
      <c r="E12654" s="2" t="str">
        <f>""</f>
        <v/>
      </c>
      <c r="F12654" s="2" t="str">
        <f>""</f>
        <v/>
      </c>
      <c r="G12654" s="2" t="str">
        <f>"Faturamento / Faturamento de Convênios e Particulares / Tabelas / Formas de Apresentação ()"</f>
        <v>Faturamento / Faturamento de Convênios e Particulares / Tabelas / Formas de Apresentação ()</v>
      </c>
    </row>
    <row r="12655" spans="1:7" x14ac:dyDescent="0.3">
      <c r="A12655" s="1" t="s">
        <v>58</v>
      </c>
      <c r="B12655" s="2" t="str">
        <f>""</f>
        <v/>
      </c>
      <c r="C12655" s="2" t="str">
        <f>""</f>
        <v/>
      </c>
      <c r="D12655" s="2" t="str">
        <f>""</f>
        <v/>
      </c>
      <c r="E12655" s="2" t="str">
        <f>""</f>
        <v/>
      </c>
      <c r="F12655" s="2" t="str">
        <f>""</f>
        <v/>
      </c>
      <c r="G12655" s="2" t="str">
        <f>"Faturamento / Faturamento de Convênios e Particulares / Tabelas / Gerais ()"</f>
        <v>Faturamento / Faturamento de Convênios e Particulares / Tabelas / Gerais ()</v>
      </c>
    </row>
    <row r="12656" spans="1:7" x14ac:dyDescent="0.3">
      <c r="A12656" s="1" t="s">
        <v>58</v>
      </c>
      <c r="B12656" s="2" t="str">
        <f>""</f>
        <v/>
      </c>
      <c r="C12656" s="2" t="str">
        <f>""</f>
        <v/>
      </c>
      <c r="D12656" s="2" t="str">
        <f>""</f>
        <v/>
      </c>
      <c r="E12656" s="2" t="str">
        <f>""</f>
        <v/>
      </c>
      <c r="F12656" s="2" t="str">
        <f>""</f>
        <v/>
      </c>
      <c r="G12656" s="2" t="str">
        <f>"Faturamento / Faturamento de Convênios e Particulares / Tabelas / Valores dos Procedimentos ()"</f>
        <v>Faturamento / Faturamento de Convênios e Particulares / Tabelas / Valores dos Procedimentos ()</v>
      </c>
    </row>
    <row r="12657" spans="1:7" x14ac:dyDescent="0.3">
      <c r="A12657" s="1" t="s">
        <v>58</v>
      </c>
      <c r="B12657" s="2" t="str">
        <f>""</f>
        <v/>
      </c>
      <c r="C12657" s="2" t="str">
        <f>""</f>
        <v/>
      </c>
      <c r="D12657" s="2" t="str">
        <f>""</f>
        <v/>
      </c>
      <c r="E12657" s="2" t="str">
        <f>""</f>
        <v/>
      </c>
      <c r="F12657" s="2" t="str">
        <f>""</f>
        <v/>
      </c>
      <c r="G12657" s="2" t="str">
        <f>"Faturamento / Faturamento de Convênios e Particulares / Tabelas / Cobranças e Tabelas / Franquias ()"</f>
        <v>Faturamento / Faturamento de Convênios e Particulares / Tabelas / Cobranças e Tabelas / Franquias ()</v>
      </c>
    </row>
    <row r="12658" spans="1:7" x14ac:dyDescent="0.3">
      <c r="A12658" s="1" t="s">
        <v>58</v>
      </c>
      <c r="B12658" s="2" t="str">
        <f>""</f>
        <v/>
      </c>
      <c r="C12658" s="2" t="str">
        <f>""</f>
        <v/>
      </c>
      <c r="D12658" s="2" t="str">
        <f>""</f>
        <v/>
      </c>
      <c r="E12658" s="2" t="str">
        <f>""</f>
        <v/>
      </c>
      <c r="F12658" s="2" t="str">
        <f>""</f>
        <v/>
      </c>
      <c r="G12658" s="2" t="str">
        <f>"Faturamento / Faturamento de Convênios e Particulares / Consultas / Cobranças e Valorizações ()"</f>
        <v>Faturamento / Faturamento de Convênios e Particulares / Consultas / Cobranças e Valorizações ()</v>
      </c>
    </row>
    <row r="12659" spans="1:7" x14ac:dyDescent="0.3">
      <c r="A12659" s="1" t="s">
        <v>58</v>
      </c>
      <c r="B12659" s="2" t="str">
        <f>""</f>
        <v/>
      </c>
      <c r="C12659" s="2" t="str">
        <f>""</f>
        <v/>
      </c>
      <c r="D12659" s="2" t="str">
        <f>""</f>
        <v/>
      </c>
      <c r="E12659" s="2" t="str">
        <f>""</f>
        <v/>
      </c>
      <c r="F12659" s="2" t="str">
        <f>""</f>
        <v/>
      </c>
      <c r="G12659" s="2" t="str">
        <f>"Controladoria / Caixa / Relatórios / Tabelas ()"</f>
        <v>Controladoria / Caixa / Relatórios / Tabelas ()</v>
      </c>
    </row>
    <row r="12660" spans="1:7" x14ac:dyDescent="0.3">
      <c r="A12660" s="1" t="s">
        <v>58</v>
      </c>
      <c r="B12660" s="2" t="str">
        <f>""</f>
        <v/>
      </c>
      <c r="C12660" s="2" t="str">
        <f>""</f>
        <v/>
      </c>
      <c r="D12660" s="2" t="str">
        <f>""</f>
        <v/>
      </c>
      <c r="E12660" s="2" t="str">
        <f>""</f>
        <v/>
      </c>
      <c r="F12660" s="2" t="str">
        <f>""</f>
        <v/>
      </c>
      <c r="G12660" s="2" t="str">
        <f>"Controladoria / Caixa / Relatórios / Auditoria ()"</f>
        <v>Controladoria / Caixa / Relatórios / Auditoria ()</v>
      </c>
    </row>
    <row r="12661" spans="1:7" x14ac:dyDescent="0.3">
      <c r="A12661" s="1" t="s">
        <v>58</v>
      </c>
      <c r="B12661" s="2" t="str">
        <f>""</f>
        <v/>
      </c>
      <c r="C12661" s="2" t="str">
        <f>""</f>
        <v/>
      </c>
      <c r="D12661" s="2" t="str">
        <f>""</f>
        <v/>
      </c>
      <c r="E12661" s="2" t="str">
        <f>""</f>
        <v/>
      </c>
      <c r="F12661" s="2" t="str">
        <f>""</f>
        <v/>
      </c>
      <c r="G12661" s="2" t="str">
        <f>"Atendimento / Ambulatório / Atendimentos / Exclusão ()"</f>
        <v>Atendimento / Ambulatório / Atendimentos / Exclusão ()</v>
      </c>
    </row>
    <row r="12662" spans="1:7" x14ac:dyDescent="0.3">
      <c r="A12662" s="1" t="s">
        <v>58</v>
      </c>
      <c r="B12662" s="2" t="str">
        <f>""</f>
        <v/>
      </c>
      <c r="C12662" s="2" t="str">
        <f>""</f>
        <v/>
      </c>
      <c r="D12662" s="2" t="str">
        <f>""</f>
        <v/>
      </c>
      <c r="E12662" s="2" t="str">
        <f>""</f>
        <v/>
      </c>
      <c r="F12662" s="2" t="str">
        <f>""</f>
        <v/>
      </c>
      <c r="G12662" s="2" t="str">
        <f>"Atendimento / Ambulatório / Relatórios / Tabelas ()"</f>
        <v>Atendimento / Ambulatório / Relatórios / Tabelas ()</v>
      </c>
    </row>
    <row r="12663" spans="1:7" x14ac:dyDescent="0.3">
      <c r="A12663" s="1" t="s">
        <v>58</v>
      </c>
      <c r="B12663" s="2" t="str">
        <f>""</f>
        <v/>
      </c>
      <c r="C12663" s="2" t="str">
        <f>""</f>
        <v/>
      </c>
      <c r="D12663" s="2" t="str">
        <f>""</f>
        <v/>
      </c>
      <c r="E12663" s="2" t="str">
        <f>""</f>
        <v/>
      </c>
      <c r="F12663" s="2" t="str">
        <f>""</f>
        <v/>
      </c>
      <c r="G12663" s="2" t="str">
        <f>"Atendimento / Ambulatório / Relatórios / Agendamentos ()"</f>
        <v>Atendimento / Ambulatório / Relatórios / Agendamentos ()</v>
      </c>
    </row>
    <row r="12664" spans="1:7" x14ac:dyDescent="0.3">
      <c r="A12664" s="1" t="s">
        <v>58</v>
      </c>
      <c r="B12664" s="2" t="str">
        <f>""</f>
        <v/>
      </c>
      <c r="C12664" s="2" t="str">
        <f>""</f>
        <v/>
      </c>
      <c r="D12664" s="2" t="str">
        <f>""</f>
        <v/>
      </c>
      <c r="E12664" s="2" t="str">
        <f>""</f>
        <v/>
      </c>
      <c r="F12664" s="2" t="str">
        <f>""</f>
        <v/>
      </c>
      <c r="G12664" s="2" t="str">
        <f>"Atendimento / Ambulatório / Relatórios / Operacionais ()"</f>
        <v>Atendimento / Ambulatório / Relatórios / Operacionais ()</v>
      </c>
    </row>
    <row r="12665" spans="1:7" x14ac:dyDescent="0.3">
      <c r="A12665" s="1" t="s">
        <v>58</v>
      </c>
      <c r="B12665" s="2" t="str">
        <f>""</f>
        <v/>
      </c>
      <c r="C12665" s="2" t="str">
        <f>""</f>
        <v/>
      </c>
      <c r="D12665" s="2" t="str">
        <f>""</f>
        <v/>
      </c>
      <c r="E12665" s="2" t="str">
        <f>""</f>
        <v/>
      </c>
      <c r="F12665" s="2" t="str">
        <f>""</f>
        <v/>
      </c>
      <c r="G12665" s="2" t="str">
        <f>"Atendimento / Ambulatório / Relatórios / Estatísticos ()"</f>
        <v>Atendimento / Ambulatório / Relatórios / Estatísticos ()</v>
      </c>
    </row>
    <row r="12666" spans="1:7" x14ac:dyDescent="0.3">
      <c r="A12666" s="1" t="s">
        <v>58</v>
      </c>
      <c r="B12666" s="2" t="str">
        <f>""</f>
        <v/>
      </c>
      <c r="C12666" s="2" t="str">
        <f>""</f>
        <v/>
      </c>
      <c r="D12666" s="2" t="str">
        <f>""</f>
        <v/>
      </c>
      <c r="E12666" s="2" t="str">
        <f>""</f>
        <v/>
      </c>
      <c r="F12666" s="2" t="str">
        <f>""</f>
        <v/>
      </c>
      <c r="G12666" s="2" t="str">
        <f>"Atendimento / Ambulatório / Relatórios / Administrativos ()"</f>
        <v>Atendimento / Ambulatório / Relatórios / Administrativos ()</v>
      </c>
    </row>
    <row r="12667" spans="1:7" x14ac:dyDescent="0.3">
      <c r="A12667" s="1" t="s">
        <v>58</v>
      </c>
      <c r="B12667" s="2" t="str">
        <f>""</f>
        <v/>
      </c>
      <c r="C12667" s="2" t="str">
        <f>""</f>
        <v/>
      </c>
      <c r="D12667" s="2" t="str">
        <f>""</f>
        <v/>
      </c>
      <c r="E12667" s="2" t="str">
        <f>""</f>
        <v/>
      </c>
      <c r="F12667" s="2" t="str">
        <f>""</f>
        <v/>
      </c>
      <c r="G12667" s="2" t="str">
        <f>"Atendimento / Ambulatório / Relatórios / Faturamento ()"</f>
        <v>Atendimento / Ambulatório / Relatórios / Faturamento ()</v>
      </c>
    </row>
    <row r="12668" spans="1:7" x14ac:dyDescent="0.3">
      <c r="A12668" s="1" t="s">
        <v>58</v>
      </c>
      <c r="B12668" s="2" t="str">
        <f>""</f>
        <v/>
      </c>
      <c r="C12668" s="2" t="str">
        <f>""</f>
        <v/>
      </c>
      <c r="D12668" s="2" t="str">
        <f>""</f>
        <v/>
      </c>
      <c r="E12668" s="2" t="str">
        <f>""</f>
        <v/>
      </c>
      <c r="F12668" s="2" t="str">
        <f>""</f>
        <v/>
      </c>
      <c r="G12668" s="2" t="str">
        <f>"Atendimento / Ambulatório / Relatórios / Gráficos ()"</f>
        <v>Atendimento / Ambulatório / Relatórios / Gráficos ()</v>
      </c>
    </row>
    <row r="12669" spans="1:7" x14ac:dyDescent="0.3">
      <c r="A12669" s="1" t="s">
        <v>58</v>
      </c>
      <c r="B12669" s="2" t="str">
        <f>""</f>
        <v/>
      </c>
      <c r="C12669" s="2" t="str">
        <f>""</f>
        <v/>
      </c>
      <c r="D12669" s="2" t="str">
        <f>""</f>
        <v/>
      </c>
      <c r="E12669" s="2" t="str">
        <f>""</f>
        <v/>
      </c>
      <c r="F12669" s="2" t="str">
        <f>""</f>
        <v/>
      </c>
      <c r="G12669" s="2" t="s">
        <v>10</v>
      </c>
    </row>
    <row r="12670" spans="1:7" x14ac:dyDescent="0.3">
      <c r="A12670" s="1" t="s">
        <v>58</v>
      </c>
      <c r="B12670" s="2" t="str">
        <f>""</f>
        <v/>
      </c>
      <c r="C12670" s="2" t="str">
        <f>""</f>
        <v/>
      </c>
      <c r="D12670" s="2" t="str">
        <f>""</f>
        <v/>
      </c>
      <c r="E12670" s="2" t="str">
        <f>""</f>
        <v/>
      </c>
      <c r="F12670" s="2" t="str">
        <f>""</f>
        <v/>
      </c>
      <c r="G12670" s="2" t="str">
        <f>"Atendimento / Ambulatório / Relatórios / SUS ()"</f>
        <v>Atendimento / Ambulatório / Relatórios / SUS ()</v>
      </c>
    </row>
    <row r="12671" spans="1:7" x14ac:dyDescent="0.3">
      <c r="A12671" s="1" t="s">
        <v>58</v>
      </c>
      <c r="B12671" s="2" t="str">
        <f>""</f>
        <v/>
      </c>
      <c r="C12671" s="2" t="str">
        <f>""</f>
        <v/>
      </c>
      <c r="D12671" s="2" t="str">
        <f>""</f>
        <v/>
      </c>
      <c r="E12671" s="2" t="str">
        <f>""</f>
        <v/>
      </c>
      <c r="F12671" s="2" t="str">
        <f>""</f>
        <v/>
      </c>
      <c r="G12671" s="2" t="str">
        <f>"Atendimento / Ambulatório / Relatórios / Estoque ()"</f>
        <v>Atendimento / Ambulatório / Relatórios / Estoque ()</v>
      </c>
    </row>
    <row r="12672" spans="1:7" x14ac:dyDescent="0.3">
      <c r="A12672" s="1" t="s">
        <v>58</v>
      </c>
      <c r="B12672" s="2" t="str">
        <f>""</f>
        <v/>
      </c>
      <c r="C12672" s="2" t="str">
        <f>""</f>
        <v/>
      </c>
      <c r="D12672" s="2" t="str">
        <f>""</f>
        <v/>
      </c>
      <c r="E12672" s="2" t="str">
        <f>""</f>
        <v/>
      </c>
      <c r="F12672" s="2" t="str">
        <f>""</f>
        <v/>
      </c>
      <c r="G12672" s="2" t="str">
        <f>"Clínica e Assistencial / Controle de Infecção Hospitalar / Relatórios / Tabelas ()"</f>
        <v>Clínica e Assistencial / Controle de Infecção Hospitalar / Relatórios / Tabelas ()</v>
      </c>
    </row>
    <row r="12673" spans="1:7" x14ac:dyDescent="0.3">
      <c r="A12673" s="1" t="s">
        <v>58</v>
      </c>
      <c r="B12673" s="2" t="str">
        <f>""</f>
        <v/>
      </c>
      <c r="C12673" s="2" t="str">
        <f>""</f>
        <v/>
      </c>
      <c r="D12673" s="2" t="str">
        <f>""</f>
        <v/>
      </c>
      <c r="E12673" s="2" t="str">
        <f>""</f>
        <v/>
      </c>
      <c r="F12673" s="2" t="str">
        <f>""</f>
        <v/>
      </c>
      <c r="G12673" s="2" t="str">
        <f>"Clínica e Assistencial / Controle de Infecção Hospitalar / Relatórios / Operacionais ()"</f>
        <v>Clínica e Assistencial / Controle de Infecção Hospitalar / Relatórios / Operacionais ()</v>
      </c>
    </row>
    <row r="12674" spans="1:7" x14ac:dyDescent="0.3">
      <c r="A12674" s="1" t="s">
        <v>58</v>
      </c>
      <c r="B12674" s="2" t="str">
        <f>""</f>
        <v/>
      </c>
      <c r="C12674" s="2" t="str">
        <f>""</f>
        <v/>
      </c>
      <c r="D12674" s="2" t="str">
        <f>""</f>
        <v/>
      </c>
      <c r="E12674" s="2" t="str">
        <f>""</f>
        <v/>
      </c>
      <c r="F12674" s="2" t="str">
        <f>""</f>
        <v/>
      </c>
      <c r="G12674" s="2" t="str">
        <f>"Clínica e Assistencial / Controle de Infecção Hospitalar / Relatórios / Operacionais / Culturas ()"</f>
        <v>Clínica e Assistencial / Controle de Infecção Hospitalar / Relatórios / Operacionais / Culturas ()</v>
      </c>
    </row>
    <row r="12675" spans="1:7" x14ac:dyDescent="0.3">
      <c r="A12675" s="1" t="s">
        <v>58</v>
      </c>
      <c r="B12675" s="2" t="str">
        <f>""</f>
        <v/>
      </c>
      <c r="C12675" s="2" t="str">
        <f>""</f>
        <v/>
      </c>
      <c r="D12675" s="2" t="str">
        <f>""</f>
        <v/>
      </c>
      <c r="E12675" s="2" t="str">
        <f>""</f>
        <v/>
      </c>
      <c r="F12675" s="2" t="str">
        <f>""</f>
        <v/>
      </c>
      <c r="G12675" s="2" t="str">
        <f>"Faturamento / Faturamento de Convênios e Particulares / Relatórios / Operacionais / Entrega de Geração em Meio Magnético / IPERGS  ()"</f>
        <v>Faturamento / Faturamento de Convênios e Particulares / Relatórios / Operacionais / Entrega de Geração em Meio Magnético / IPERGS  ()</v>
      </c>
    </row>
    <row r="12676" spans="1:7" x14ac:dyDescent="0.3">
      <c r="A12676" s="1" t="s">
        <v>58</v>
      </c>
      <c r="B12676" s="2" t="str">
        <f>""</f>
        <v/>
      </c>
      <c r="C12676" s="2" t="str">
        <f>""</f>
        <v/>
      </c>
      <c r="D12676" s="2" t="str">
        <f>""</f>
        <v/>
      </c>
      <c r="E12676" s="2" t="str">
        <f>""</f>
        <v/>
      </c>
      <c r="F12676" s="2" t="str">
        <f>""</f>
        <v/>
      </c>
      <c r="G12676" s="2" t="str">
        <f>"Faturamento / Faturamento de Convênios e Particulares / Lançamentos / Arquivo Magnético / Envio ()"</f>
        <v>Faturamento / Faturamento de Convênios e Particulares / Lançamentos / Arquivo Magnético / Envio ()</v>
      </c>
    </row>
    <row r="12677" spans="1:7" x14ac:dyDescent="0.3">
      <c r="A12677" s="1" t="s">
        <v>58</v>
      </c>
      <c r="B12677" s="2" t="str">
        <f>""</f>
        <v/>
      </c>
      <c r="C12677" s="2" t="str">
        <f>""</f>
        <v/>
      </c>
      <c r="D12677" s="2" t="str">
        <f>""</f>
        <v/>
      </c>
      <c r="E12677" s="2" t="str">
        <f>""</f>
        <v/>
      </c>
      <c r="F12677" s="2" t="str">
        <f>""</f>
        <v/>
      </c>
      <c r="G12677" s="2" t="str">
        <f>"Faturamento / Faturamento de Convênios e Particulares / Lançamentos / Arquivo Magnético / Envio / Geral ()"</f>
        <v>Faturamento / Faturamento de Convênios e Particulares / Lançamentos / Arquivo Magnético / Envio / Geral ()</v>
      </c>
    </row>
    <row r="12678" spans="1:7" x14ac:dyDescent="0.3">
      <c r="A12678" s="1" t="s">
        <v>58</v>
      </c>
      <c r="B12678" s="2" t="str">
        <f>""</f>
        <v/>
      </c>
      <c r="C12678" s="2" t="str">
        <f>""</f>
        <v/>
      </c>
      <c r="D12678" s="2" t="str">
        <f>""</f>
        <v/>
      </c>
      <c r="E12678" s="2" t="str">
        <f>""</f>
        <v/>
      </c>
      <c r="F12678" s="2" t="str">
        <f>""</f>
        <v/>
      </c>
      <c r="G12678" s="2" t="str">
        <f>"Faturamento / Faturamento de Convênios e Particulares / Lançamentos / Arquivo Magnético / Envio / Padrão ABRAMGE ()"</f>
        <v>Faturamento / Faturamento de Convênios e Particulares / Lançamentos / Arquivo Magnético / Envio / Padrão ABRAMGE ()</v>
      </c>
    </row>
    <row r="12679" spans="1:7" x14ac:dyDescent="0.3">
      <c r="A12679" s="1" t="s">
        <v>58</v>
      </c>
      <c r="B12679" s="2" t="str">
        <f>""</f>
        <v/>
      </c>
      <c r="C12679" s="2" t="str">
        <f>""</f>
        <v/>
      </c>
      <c r="D12679" s="2" t="str">
        <f>""</f>
        <v/>
      </c>
      <c r="E12679" s="2" t="str">
        <f>""</f>
        <v/>
      </c>
      <c r="F12679" s="2" t="str">
        <f>""</f>
        <v/>
      </c>
      <c r="G12679" s="2" t="str">
        <f>"Faturamento / Faturamento de Convênios e Particulares / Lançamentos / Arquivo Magnético / Envio / UNIMEDs ()"</f>
        <v>Faturamento / Faturamento de Convênios e Particulares / Lançamentos / Arquivo Magnético / Envio / UNIMEDs ()</v>
      </c>
    </row>
    <row r="12680" spans="1:7" x14ac:dyDescent="0.3">
      <c r="A12680" s="1" t="s">
        <v>58</v>
      </c>
      <c r="B12680" s="2" t="str">
        <f>""</f>
        <v/>
      </c>
      <c r="C12680" s="2" t="str">
        <f>""</f>
        <v/>
      </c>
      <c r="D12680" s="2" t="str">
        <f>""</f>
        <v/>
      </c>
      <c r="E12680" s="2" t="str">
        <f>""</f>
        <v/>
      </c>
      <c r="F12680" s="2" t="str">
        <f>""</f>
        <v/>
      </c>
      <c r="G12680" s="2" t="str">
        <f>"Faturamento / Faturamento de Convênios e Particulares / Configurações / Geração de Fatura em Meio Magnético / Retorno ()"</f>
        <v>Faturamento / Faturamento de Convênios e Particulares / Configurações / Geração de Fatura em Meio Magnético / Retorno ()</v>
      </c>
    </row>
    <row r="12681" spans="1:7" x14ac:dyDescent="0.3">
      <c r="A12681" s="1" t="s">
        <v>58</v>
      </c>
      <c r="B12681" s="2" t="str">
        <f>""</f>
        <v/>
      </c>
      <c r="C12681" s="2" t="str">
        <f>""</f>
        <v/>
      </c>
      <c r="D12681" s="2" t="str">
        <f>""</f>
        <v/>
      </c>
      <c r="E12681" s="2" t="str">
        <f>""</f>
        <v/>
      </c>
      <c r="F12681" s="2" t="str">
        <f>""</f>
        <v/>
      </c>
      <c r="G12681" s="2" t="str">
        <f>"Controladoria / Intercâmbio Eletrônico de Arquivos ()"</f>
        <v>Controladoria / Intercâmbio Eletrônico de Arquivos ()</v>
      </c>
    </row>
    <row r="12682" spans="1:7" x14ac:dyDescent="0.3">
      <c r="A12682" s="1" t="s">
        <v>58</v>
      </c>
      <c r="B12682" s="2" t="str">
        <f>""</f>
        <v/>
      </c>
      <c r="C12682" s="2" t="str">
        <f>""</f>
        <v/>
      </c>
      <c r="D12682" s="2" t="str">
        <f>""</f>
        <v/>
      </c>
      <c r="E12682" s="2" t="str">
        <f>""</f>
        <v/>
      </c>
      <c r="F12682" s="2" t="str">
        <f>""</f>
        <v/>
      </c>
      <c r="G12682" s="2" t="str">
        <f>"Controladoria / Intercâmbio Eletrônico de Arquivos / Arquivos ()"</f>
        <v>Controladoria / Intercâmbio Eletrônico de Arquivos / Arquivos ()</v>
      </c>
    </row>
    <row r="12683" spans="1:7" x14ac:dyDescent="0.3">
      <c r="A12683" s="1" t="s">
        <v>58</v>
      </c>
      <c r="B12683" s="2" t="str">
        <f>""</f>
        <v/>
      </c>
      <c r="C12683" s="2" t="str">
        <f>""</f>
        <v/>
      </c>
      <c r="D12683" s="2" t="str">
        <f>""</f>
        <v/>
      </c>
      <c r="E12683" s="2" t="str">
        <f>""</f>
        <v/>
      </c>
      <c r="F12683" s="2" t="str">
        <f>""</f>
        <v/>
      </c>
      <c r="G12683" s="2" t="str">
        <f>"Controladoria / Intercâmbio Eletrônico de Arquivos / Tabelas ()"</f>
        <v>Controladoria / Intercâmbio Eletrônico de Arquivos / Tabelas ()</v>
      </c>
    </row>
    <row r="12684" spans="1:7" x14ac:dyDescent="0.3">
      <c r="A12684" s="1" t="s">
        <v>58</v>
      </c>
      <c r="B12684" s="2" t="str">
        <f>""</f>
        <v/>
      </c>
      <c r="C12684" s="2" t="str">
        <f>""</f>
        <v/>
      </c>
      <c r="D12684" s="2" t="str">
        <f>""</f>
        <v/>
      </c>
      <c r="E12684" s="2" t="str">
        <f>""</f>
        <v/>
      </c>
      <c r="F12684" s="2" t="str">
        <f>""</f>
        <v/>
      </c>
      <c r="G12684" s="2" t="str">
        <f>"Controladoria / Intercâmbio Eletrônico de Arquivos / Consultas ()"</f>
        <v>Controladoria / Intercâmbio Eletrônico de Arquivos / Consultas ()</v>
      </c>
    </row>
    <row r="12685" spans="1:7" x14ac:dyDescent="0.3">
      <c r="A12685" s="1" t="s">
        <v>58</v>
      </c>
      <c r="B12685" s="2" t="str">
        <f>""</f>
        <v/>
      </c>
      <c r="C12685" s="2" t="str">
        <f>""</f>
        <v/>
      </c>
      <c r="D12685" s="2" t="str">
        <f>""</f>
        <v/>
      </c>
      <c r="E12685" s="2" t="str">
        <f>""</f>
        <v/>
      </c>
      <c r="F12685" s="2" t="str">
        <f>""</f>
        <v/>
      </c>
      <c r="G12685" s="2" t="str">
        <f>"Controladoria / Intercâmbio Eletrônico de Arquivos / Relatórios ()"</f>
        <v>Controladoria / Intercâmbio Eletrônico de Arquivos / Relatórios ()</v>
      </c>
    </row>
    <row r="12686" spans="1:7" x14ac:dyDescent="0.3">
      <c r="A12686" s="1" t="s">
        <v>58</v>
      </c>
      <c r="B12686" s="2" t="str">
        <f>""</f>
        <v/>
      </c>
      <c r="C12686" s="2" t="str">
        <f>""</f>
        <v/>
      </c>
      <c r="D12686" s="2" t="str">
        <f>""</f>
        <v/>
      </c>
      <c r="E12686" s="2" t="str">
        <f>""</f>
        <v/>
      </c>
      <c r="F12686" s="2" t="str">
        <f>""</f>
        <v/>
      </c>
      <c r="G12686" s="2" t="str">
        <f>"Controladoria / Intercâmbio Eletrônico de Arquivos / Configuração ()"</f>
        <v>Controladoria / Intercâmbio Eletrônico de Arquivos / Configuração ()</v>
      </c>
    </row>
    <row r="12687" spans="1:7" x14ac:dyDescent="0.3">
      <c r="A12687" s="1" t="s">
        <v>58</v>
      </c>
      <c r="B12687" s="2" t="str">
        <f>""</f>
        <v/>
      </c>
      <c r="C12687" s="2" t="str">
        <f>""</f>
        <v/>
      </c>
      <c r="D12687" s="2" t="str">
        <f>""</f>
        <v/>
      </c>
      <c r="E12687" s="2" t="str">
        <f>""</f>
        <v/>
      </c>
      <c r="F12687" s="2" t="str">
        <f>""</f>
        <v/>
      </c>
      <c r="G12687" s="2" t="str">
        <f>"Controladoria / Intercâmbio Eletrônico de Arquivos / Arquivos / Bancos ()"</f>
        <v>Controladoria / Intercâmbio Eletrônico de Arquivos / Arquivos / Bancos ()</v>
      </c>
    </row>
    <row r="12688" spans="1:7" x14ac:dyDescent="0.3">
      <c r="A12688" s="1" t="s">
        <v>58</v>
      </c>
      <c r="B12688" s="2" t="str">
        <f>""</f>
        <v/>
      </c>
      <c r="C12688" s="2" t="str">
        <f>""</f>
        <v/>
      </c>
      <c r="D12688" s="2" t="str">
        <f>""</f>
        <v/>
      </c>
      <c r="E12688" s="2" t="str">
        <f>""</f>
        <v/>
      </c>
      <c r="F12688" s="2" t="str">
        <f>""</f>
        <v/>
      </c>
      <c r="G12688" s="2" t="str">
        <f>"Controladoria / Intercâmbio Eletrônico de Arquivos / Arquivos / Bancos / Remessa ()"</f>
        <v>Controladoria / Intercâmbio Eletrônico de Arquivos / Arquivos / Bancos / Remessa ()</v>
      </c>
    </row>
    <row r="12689" spans="1:7" x14ac:dyDescent="0.3">
      <c r="A12689" s="1" t="s">
        <v>58</v>
      </c>
      <c r="B12689" s="2" t="str">
        <f>""</f>
        <v/>
      </c>
      <c r="C12689" s="2" t="str">
        <f>""</f>
        <v/>
      </c>
      <c r="D12689" s="2" t="str">
        <f>""</f>
        <v/>
      </c>
      <c r="E12689" s="2" t="str">
        <f>""</f>
        <v/>
      </c>
      <c r="F12689" s="2" t="str">
        <f>""</f>
        <v/>
      </c>
      <c r="G12689" s="2" t="str">
        <f>"Controladoria / Intercâmbio Eletrônico de Arquivos / Arquivos / Bancos / Retorno ()"</f>
        <v>Controladoria / Intercâmbio Eletrônico de Arquivos / Arquivos / Bancos / Retorno ()</v>
      </c>
    </row>
    <row r="12690" spans="1:7" x14ac:dyDescent="0.3">
      <c r="A12690" s="1" t="s">
        <v>58</v>
      </c>
      <c r="B12690" s="2" t="str">
        <f>""</f>
        <v/>
      </c>
      <c r="C12690" s="2" t="str">
        <f>""</f>
        <v/>
      </c>
      <c r="D12690" s="2" t="str">
        <f>""</f>
        <v/>
      </c>
      <c r="E12690" s="2" t="str">
        <f>""</f>
        <v/>
      </c>
      <c r="F12690" s="2" t="str">
        <f>""</f>
        <v/>
      </c>
      <c r="G12690" s="2" t="str">
        <f>"Controladoria / Intercâmbio Eletrônico de Arquivos / Relatórios / Pagamentos ()"</f>
        <v>Controladoria / Intercâmbio Eletrônico de Arquivos / Relatórios / Pagamentos ()</v>
      </c>
    </row>
    <row r="12691" spans="1:7" x14ac:dyDescent="0.3">
      <c r="A12691" s="1" t="s">
        <v>58</v>
      </c>
      <c r="B12691" s="2" t="str">
        <f>""</f>
        <v/>
      </c>
      <c r="C12691" s="2" t="str">
        <f>""</f>
        <v/>
      </c>
      <c r="D12691" s="2" t="str">
        <f>""</f>
        <v/>
      </c>
      <c r="E12691" s="2" t="str">
        <f>""</f>
        <v/>
      </c>
      <c r="F12691" s="2" t="str">
        <f>""</f>
        <v/>
      </c>
      <c r="G12691" s="2" t="str">
        <f>"Outros / Financeiro Orgãos Públicos ()"</f>
        <v>Outros / Financeiro Orgãos Públicos ()</v>
      </c>
    </row>
    <row r="12692" spans="1:7" x14ac:dyDescent="0.3">
      <c r="A12692" s="1" t="s">
        <v>58</v>
      </c>
      <c r="B12692" s="2" t="str">
        <f>""</f>
        <v/>
      </c>
      <c r="C12692" s="2" t="str">
        <f>""</f>
        <v/>
      </c>
      <c r="D12692" s="2" t="str">
        <f>""</f>
        <v/>
      </c>
      <c r="E12692" s="2" t="str">
        <f>""</f>
        <v/>
      </c>
      <c r="F12692" s="2" t="str">
        <f>""</f>
        <v/>
      </c>
      <c r="G12692" s="2" t="str">
        <f>"Outros / Financeiro Orgãos Públicos / Lançamentos ()"</f>
        <v>Outros / Financeiro Orgãos Públicos / Lançamentos ()</v>
      </c>
    </row>
    <row r="12693" spans="1:7" x14ac:dyDescent="0.3">
      <c r="A12693" s="1" t="s">
        <v>58</v>
      </c>
      <c r="B12693" s="2" t="str">
        <f>""</f>
        <v/>
      </c>
      <c r="C12693" s="2" t="str">
        <f>""</f>
        <v/>
      </c>
      <c r="D12693" s="2" t="str">
        <f>""</f>
        <v/>
      </c>
      <c r="E12693" s="2" t="str">
        <f>""</f>
        <v/>
      </c>
      <c r="F12693" s="2" t="str">
        <f>""</f>
        <v/>
      </c>
      <c r="G12693" s="2" t="str">
        <f>"Outros / Financeiro Orgãos Públicos / Consultas Orçamentarias ()"</f>
        <v>Outros / Financeiro Orgãos Públicos / Consultas Orçamentarias ()</v>
      </c>
    </row>
    <row r="12694" spans="1:7" x14ac:dyDescent="0.3">
      <c r="A12694" s="1" t="s">
        <v>58</v>
      </c>
      <c r="B12694" s="2" t="str">
        <f>""</f>
        <v/>
      </c>
      <c r="C12694" s="2" t="str">
        <f>""</f>
        <v/>
      </c>
      <c r="D12694" s="2" t="str">
        <f>""</f>
        <v/>
      </c>
      <c r="E12694" s="2" t="str">
        <f>""</f>
        <v/>
      </c>
      <c r="F12694" s="2" t="str">
        <f>""</f>
        <v/>
      </c>
      <c r="G12694" s="2" t="str">
        <f>"Controladoria / Caixa / Caixa ()"</f>
        <v>Controladoria / Caixa / Caixa ()</v>
      </c>
    </row>
    <row r="12695" spans="1:7" x14ac:dyDescent="0.3">
      <c r="A12695" s="1" t="s">
        <v>58</v>
      </c>
      <c r="B12695" s="2" t="str">
        <f>""</f>
        <v/>
      </c>
      <c r="C12695" s="2" t="str">
        <f>""</f>
        <v/>
      </c>
      <c r="D12695" s="2" t="str">
        <f>""</f>
        <v/>
      </c>
      <c r="E12695" s="2" t="str">
        <f>""</f>
        <v/>
      </c>
      <c r="F12695" s="2" t="str">
        <f>""</f>
        <v/>
      </c>
      <c r="G12695" s="2" t="str">
        <f>"Controladoria / Caixa / Documentos ()"</f>
        <v>Controladoria / Caixa / Documentos ()</v>
      </c>
    </row>
    <row r="12696" spans="1:7" x14ac:dyDescent="0.3">
      <c r="A12696" s="1" t="s">
        <v>58</v>
      </c>
      <c r="B12696" s="2" t="str">
        <f>""</f>
        <v/>
      </c>
      <c r="C12696" s="2" t="str">
        <f>""</f>
        <v/>
      </c>
      <c r="D12696" s="2" t="str">
        <f>""</f>
        <v/>
      </c>
      <c r="E12696" s="2" t="str">
        <f>""</f>
        <v/>
      </c>
      <c r="F12696" s="2" t="str">
        <f>""</f>
        <v/>
      </c>
      <c r="G12696" s="2" t="str">
        <f>"Controladoria / Caixa / Tabelas ()"</f>
        <v>Controladoria / Caixa / Tabelas ()</v>
      </c>
    </row>
    <row r="12697" spans="1:7" x14ac:dyDescent="0.3">
      <c r="A12697" s="1" t="s">
        <v>58</v>
      </c>
      <c r="B12697" s="2" t="str">
        <f>""</f>
        <v/>
      </c>
      <c r="C12697" s="2" t="str">
        <f>""</f>
        <v/>
      </c>
      <c r="D12697" s="2" t="str">
        <f>""</f>
        <v/>
      </c>
      <c r="E12697" s="2" t="str">
        <f>""</f>
        <v/>
      </c>
      <c r="F12697" s="2" t="str">
        <f>""</f>
        <v/>
      </c>
      <c r="G12697" s="2" t="str">
        <f>"Controladoria / Caixa / Relatórios ()"</f>
        <v>Controladoria / Caixa / Relatórios ()</v>
      </c>
    </row>
    <row r="12698" spans="1:7" x14ac:dyDescent="0.3">
      <c r="A12698" s="1" t="s">
        <v>58</v>
      </c>
      <c r="B12698" s="2" t="str">
        <f>""</f>
        <v/>
      </c>
      <c r="C12698" s="2" t="str">
        <f>""</f>
        <v/>
      </c>
      <c r="D12698" s="2" t="str">
        <f>""</f>
        <v/>
      </c>
      <c r="E12698" s="2" t="str">
        <f>""</f>
        <v/>
      </c>
      <c r="F12698" s="2" t="str">
        <f>""</f>
        <v/>
      </c>
      <c r="G12698" s="2" t="str">
        <f>"Controladoria / Caixa / Configuração ()"</f>
        <v>Controladoria / Caixa / Configuração ()</v>
      </c>
    </row>
    <row r="12699" spans="1:7" x14ac:dyDescent="0.3">
      <c r="A12699" s="1" t="s">
        <v>58</v>
      </c>
      <c r="B12699" s="2" t="str">
        <f>""</f>
        <v/>
      </c>
      <c r="C12699" s="2" t="str">
        <f>""</f>
        <v/>
      </c>
      <c r="D12699" s="2" t="str">
        <f>""</f>
        <v/>
      </c>
      <c r="E12699" s="2" t="str">
        <f>""</f>
        <v/>
      </c>
      <c r="F12699" s="2" t="str">
        <f>""</f>
        <v/>
      </c>
      <c r="G12699" s="2" t="str">
        <f>"Controladoria / Caixa / Caixa / Movimentação ()"</f>
        <v>Controladoria / Caixa / Caixa / Movimentação ()</v>
      </c>
    </row>
    <row r="12700" spans="1:7" x14ac:dyDescent="0.3">
      <c r="A12700" s="1" t="s">
        <v>58</v>
      </c>
      <c r="B12700" s="2" t="str">
        <f>""</f>
        <v/>
      </c>
      <c r="C12700" s="2" t="str">
        <f>""</f>
        <v/>
      </c>
      <c r="D12700" s="2" t="str">
        <f>""</f>
        <v/>
      </c>
      <c r="E12700" s="2" t="str">
        <f>""</f>
        <v/>
      </c>
      <c r="F12700" s="2" t="str">
        <f>""</f>
        <v/>
      </c>
      <c r="G12700" s="2" t="str">
        <f>"Controladoria / Caixa / Relatórios / Depósito Antecipado ()"</f>
        <v>Controladoria / Caixa / Relatórios / Depósito Antecipado ()</v>
      </c>
    </row>
    <row r="12701" spans="1:7" x14ac:dyDescent="0.3">
      <c r="A12701" s="1" t="s">
        <v>58</v>
      </c>
      <c r="B12701" s="2" t="str">
        <f>""</f>
        <v/>
      </c>
      <c r="C12701" s="2" t="str">
        <f>""</f>
        <v/>
      </c>
      <c r="D12701" s="2" t="str">
        <f>""</f>
        <v/>
      </c>
      <c r="E12701" s="2" t="str">
        <f>""</f>
        <v/>
      </c>
      <c r="F12701" s="2" t="str">
        <f>""</f>
        <v/>
      </c>
      <c r="G12701" s="2" t="str">
        <f>"Faturamento / Faturamento Ambulatorial SUS (BPA e APAC) / Configurações ()"</f>
        <v>Faturamento / Faturamento Ambulatorial SUS (BPA e APAC) / Configurações ()</v>
      </c>
    </row>
    <row r="12702" spans="1:7" x14ac:dyDescent="0.3">
      <c r="A12702" s="1" t="s">
        <v>58</v>
      </c>
      <c r="B12702" s="2" t="str">
        <f>""</f>
        <v/>
      </c>
      <c r="C12702" s="2" t="str">
        <f>""</f>
        <v/>
      </c>
      <c r="D12702" s="2" t="str">
        <f>""</f>
        <v/>
      </c>
      <c r="E12702" s="2" t="str">
        <f>""</f>
        <v/>
      </c>
      <c r="F12702" s="2" t="str">
        <f>""</f>
        <v/>
      </c>
      <c r="G12702" s="2" t="str">
        <f>"Faturamento / Faturamento Ambulatorial SUS (BPA e APAC) / Tabelas ()"</f>
        <v>Faturamento / Faturamento Ambulatorial SUS (BPA e APAC) / Tabelas ()</v>
      </c>
    </row>
    <row r="12703" spans="1:7" x14ac:dyDescent="0.3">
      <c r="A12703" s="1" t="s">
        <v>58</v>
      </c>
      <c r="B12703" s="2" t="str">
        <f>""</f>
        <v/>
      </c>
      <c r="C12703" s="2" t="str">
        <f>""</f>
        <v/>
      </c>
      <c r="D12703" s="2" t="str">
        <f>""</f>
        <v/>
      </c>
      <c r="E12703" s="2" t="str">
        <f>""</f>
        <v/>
      </c>
      <c r="F12703" s="2" t="str">
        <f>""</f>
        <v/>
      </c>
      <c r="G12703" s="2" t="str">
        <f>"Faturamento / Faturamento Ambulatorial SUS (BPA e APAC) / Tabelas / Procedimentos ()"</f>
        <v>Faturamento / Faturamento Ambulatorial SUS (BPA e APAC) / Tabelas / Procedimentos ()</v>
      </c>
    </row>
    <row r="12704" spans="1:7" x14ac:dyDescent="0.3">
      <c r="A12704" s="1" t="s">
        <v>58</v>
      </c>
      <c r="B12704" s="2" t="str">
        <f>""</f>
        <v/>
      </c>
      <c r="C12704" s="2" t="str">
        <f>""</f>
        <v/>
      </c>
      <c r="D12704" s="2" t="str">
        <f>""</f>
        <v/>
      </c>
      <c r="E12704" s="2" t="str">
        <f>""</f>
        <v/>
      </c>
      <c r="F12704" s="2" t="str">
        <f>""</f>
        <v/>
      </c>
      <c r="G12704" s="2" t="str">
        <f>"Faturamento / Faturamento Ambulatorial SUS (BPA e APAC) / Tabelas / Prestadores ()"</f>
        <v>Faturamento / Faturamento Ambulatorial SUS (BPA e APAC) / Tabelas / Prestadores ()</v>
      </c>
    </row>
    <row r="12705" spans="1:7" x14ac:dyDescent="0.3">
      <c r="A12705" s="1" t="s">
        <v>58</v>
      </c>
      <c r="B12705" s="2" t="str">
        <f>""</f>
        <v/>
      </c>
      <c r="C12705" s="2" t="str">
        <f>""</f>
        <v/>
      </c>
      <c r="D12705" s="2" t="str">
        <f>""</f>
        <v/>
      </c>
      <c r="E12705" s="2" t="str">
        <f>""</f>
        <v/>
      </c>
      <c r="F12705" s="2" t="str">
        <f>""</f>
        <v/>
      </c>
      <c r="G12705" s="2" t="str">
        <f>"Faturamento / Faturamento Ambulatorial SUS (BPA e APAC) / Tabelas / APAC ()"</f>
        <v>Faturamento / Faturamento Ambulatorial SUS (BPA e APAC) / Tabelas / APAC ()</v>
      </c>
    </row>
    <row r="12706" spans="1:7" x14ac:dyDescent="0.3">
      <c r="A12706" s="1" t="s">
        <v>58</v>
      </c>
      <c r="B12706" s="2" t="str">
        <f>""</f>
        <v/>
      </c>
      <c r="C12706" s="2" t="str">
        <f>""</f>
        <v/>
      </c>
      <c r="D12706" s="2" t="str">
        <f>""</f>
        <v/>
      </c>
      <c r="E12706" s="2" t="str">
        <f>""</f>
        <v/>
      </c>
      <c r="F12706" s="2" t="str">
        <f>""</f>
        <v/>
      </c>
      <c r="G12706" s="2" t="str">
        <f>"Faturamento / Faturamento Ambulatorial SUS (BPA e APAC) / Tabelas / Unidades Prestadoras de Serviço ()"</f>
        <v>Faturamento / Faturamento Ambulatorial SUS (BPA e APAC) / Tabelas / Unidades Prestadoras de Serviço ()</v>
      </c>
    </row>
    <row r="12707" spans="1:7" x14ac:dyDescent="0.3">
      <c r="A12707" s="1" t="s">
        <v>58</v>
      </c>
      <c r="B12707" s="2" t="str">
        <f>""</f>
        <v/>
      </c>
      <c r="C12707" s="2" t="str">
        <f>""</f>
        <v/>
      </c>
      <c r="D12707" s="2" t="str">
        <f>""</f>
        <v/>
      </c>
      <c r="E12707" s="2" t="str">
        <f>""</f>
        <v/>
      </c>
      <c r="F12707" s="2" t="str">
        <f>""</f>
        <v/>
      </c>
      <c r="G12707" s="2" t="str">
        <f>"Faturamento / Faturamento Ambulatorial SUS (BPA e APAC) / Tabelas / Integrações ()"</f>
        <v>Faturamento / Faturamento Ambulatorial SUS (BPA e APAC) / Tabelas / Integrações ()</v>
      </c>
    </row>
    <row r="12708" spans="1:7" x14ac:dyDescent="0.3">
      <c r="A12708" s="1" t="s">
        <v>58</v>
      </c>
      <c r="B12708" s="2" t="str">
        <f>""</f>
        <v/>
      </c>
      <c r="C12708" s="2" t="str">
        <f>""</f>
        <v/>
      </c>
      <c r="D12708" s="2" t="str">
        <f>""</f>
        <v/>
      </c>
      <c r="E12708" s="2" t="str">
        <f>""</f>
        <v/>
      </c>
      <c r="F12708" s="2" t="str">
        <f>""</f>
        <v/>
      </c>
      <c r="G12708" s="2" t="str">
        <f>"Faturamento / Faturamento Ambulatorial SUS (BPA e APAC) / Consultas ()"</f>
        <v>Faturamento / Faturamento Ambulatorial SUS (BPA e APAC) / Consultas ()</v>
      </c>
    </row>
    <row r="12709" spans="1:7" x14ac:dyDescent="0.3">
      <c r="A12709" s="1" t="s">
        <v>58</v>
      </c>
      <c r="B12709" s="2" t="str">
        <f>""</f>
        <v/>
      </c>
      <c r="C12709" s="2" t="str">
        <f>""</f>
        <v/>
      </c>
      <c r="D12709" s="2" t="str">
        <f>""</f>
        <v/>
      </c>
      <c r="E12709" s="2" t="str">
        <f>""</f>
        <v/>
      </c>
      <c r="F12709" s="2" t="str">
        <f>""</f>
        <v/>
      </c>
      <c r="G12709" s="2" t="str">
        <f>"Faturamento / Faturamento Ambulatorial SUS (BPA e APAC) / Faturamento ()"</f>
        <v>Faturamento / Faturamento Ambulatorial SUS (BPA e APAC) / Faturamento ()</v>
      </c>
    </row>
    <row r="12710" spans="1:7" x14ac:dyDescent="0.3">
      <c r="A12710" s="1" t="s">
        <v>58</v>
      </c>
      <c r="B12710" s="2" t="str">
        <f>""</f>
        <v/>
      </c>
      <c r="C12710" s="2" t="str">
        <f>""</f>
        <v/>
      </c>
      <c r="D12710" s="2" t="str">
        <f>""</f>
        <v/>
      </c>
      <c r="E12710" s="2" t="str">
        <f>""</f>
        <v/>
      </c>
      <c r="F12710" s="2" t="str">
        <f>""</f>
        <v/>
      </c>
      <c r="G12710" s="2" t="str">
        <f>"Faturamento / Faturamento Ambulatorial SUS (BPA e APAC) / Faturamento / Abertura ()"</f>
        <v>Faturamento / Faturamento Ambulatorial SUS (BPA e APAC) / Faturamento / Abertura ()</v>
      </c>
    </row>
    <row r="12711" spans="1:7" x14ac:dyDescent="0.3">
      <c r="A12711" s="1" t="s">
        <v>58</v>
      </c>
      <c r="B12711" s="2" t="str">
        <f>""</f>
        <v/>
      </c>
      <c r="C12711" s="2" t="str">
        <f>""</f>
        <v/>
      </c>
      <c r="D12711" s="2" t="str">
        <f>""</f>
        <v/>
      </c>
      <c r="E12711" s="2" t="str">
        <f>""</f>
        <v/>
      </c>
      <c r="F12711" s="2" t="str">
        <f>""</f>
        <v/>
      </c>
      <c r="G12711" s="2" t="str">
        <f>"Faturamento / Faturamento Ambulatorial SUS (BPA e APAC) / Faturamento / Teto Orçamentário ()"</f>
        <v>Faturamento / Faturamento Ambulatorial SUS (BPA e APAC) / Faturamento / Teto Orçamentário ()</v>
      </c>
    </row>
    <row r="12712" spans="1:7" x14ac:dyDescent="0.3">
      <c r="A12712" s="1" t="s">
        <v>58</v>
      </c>
      <c r="B12712" s="2" t="str">
        <f>""</f>
        <v/>
      </c>
      <c r="C12712" s="2" t="str">
        <f>""</f>
        <v/>
      </c>
      <c r="D12712" s="2" t="str">
        <f>""</f>
        <v/>
      </c>
      <c r="E12712" s="2" t="str">
        <f>""</f>
        <v/>
      </c>
      <c r="F12712" s="2" t="str">
        <f>""</f>
        <v/>
      </c>
      <c r="G12712" s="2" t="str">
        <f>"Faturamento / Faturamento Ambulatorial SUS (BPA e APAC) / Relatórios / Estatísticos ()"</f>
        <v>Faturamento / Faturamento Ambulatorial SUS (BPA e APAC) / Relatórios / Estatísticos ()</v>
      </c>
    </row>
    <row r="12713" spans="1:7" x14ac:dyDescent="0.3">
      <c r="A12713" s="1" t="s">
        <v>58</v>
      </c>
      <c r="B12713" s="2" t="str">
        <f>""</f>
        <v/>
      </c>
      <c r="C12713" s="2" t="str">
        <f>""</f>
        <v/>
      </c>
      <c r="D12713" s="2" t="str">
        <f>""</f>
        <v/>
      </c>
      <c r="E12713" s="2" t="str">
        <f>""</f>
        <v/>
      </c>
      <c r="F12713" s="2" t="str">
        <f>""</f>
        <v/>
      </c>
      <c r="G12713" s="2" t="str">
        <f>"Faturamento / Faturamento Ambulatorial SUS (BPA e APAC) / Relatórios / Gerenciais / Relatório de Coordenadoria ()"</f>
        <v>Faturamento / Faturamento Ambulatorial SUS (BPA e APAC) / Relatórios / Gerenciais / Relatório de Coordenadoria ()</v>
      </c>
    </row>
    <row r="12714" spans="1:7" x14ac:dyDescent="0.3">
      <c r="A12714" s="1" t="s">
        <v>58</v>
      </c>
      <c r="B12714" s="2" t="str">
        <f>""</f>
        <v/>
      </c>
      <c r="C12714" s="2" t="str">
        <f>""</f>
        <v/>
      </c>
      <c r="D12714" s="2" t="str">
        <f>""</f>
        <v/>
      </c>
      <c r="E12714" s="2" t="str">
        <f>""</f>
        <v/>
      </c>
      <c r="F12714" s="2" t="str">
        <f>""</f>
        <v/>
      </c>
      <c r="G12714" s="2" t="str">
        <f>"Diagnóstico e Terapia / Laboratório de Análises Clínicas / Tabelas ()"</f>
        <v>Diagnóstico e Terapia / Laboratório de Análises Clínicas / Tabelas ()</v>
      </c>
    </row>
    <row r="12715" spans="1:7" x14ac:dyDescent="0.3">
      <c r="A12715" s="1" t="s">
        <v>58</v>
      </c>
      <c r="B12715" s="2" t="str">
        <f>""</f>
        <v/>
      </c>
      <c r="C12715" s="2" t="str">
        <f>""</f>
        <v/>
      </c>
      <c r="D12715" s="2" t="str">
        <f>""</f>
        <v/>
      </c>
      <c r="E12715" s="2" t="str">
        <f>""</f>
        <v/>
      </c>
      <c r="F12715" s="2" t="str">
        <f>""</f>
        <v/>
      </c>
      <c r="G12715" s="2" t="str">
        <f>"Diagnóstico e Terapia / Laboratório de Análises Clínicas / Formatação ()"</f>
        <v>Diagnóstico e Terapia / Laboratório de Análises Clínicas / Formatação ()</v>
      </c>
    </row>
    <row r="12716" spans="1:7" x14ac:dyDescent="0.3">
      <c r="A12716" s="1" t="s">
        <v>58</v>
      </c>
      <c r="B12716" s="2" t="str">
        <f>""</f>
        <v/>
      </c>
      <c r="C12716" s="2" t="str">
        <f>""</f>
        <v/>
      </c>
      <c r="D12716" s="2" t="str">
        <f>""</f>
        <v/>
      </c>
      <c r="E12716" s="2" t="str">
        <f>""</f>
        <v/>
      </c>
      <c r="F12716" s="2" t="str">
        <f>""</f>
        <v/>
      </c>
      <c r="G12716" s="2" t="str">
        <f>"Diagnóstico e Terapia / Laboratório de Análises Clínicas / Coleta ()"</f>
        <v>Diagnóstico e Terapia / Laboratório de Análises Clínicas / Coleta ()</v>
      </c>
    </row>
    <row r="12717" spans="1:7" x14ac:dyDescent="0.3">
      <c r="A12717" s="1" t="s">
        <v>58</v>
      </c>
      <c r="B12717" s="2" t="str">
        <f>""</f>
        <v/>
      </c>
      <c r="C12717" s="2" t="str">
        <f>""</f>
        <v/>
      </c>
      <c r="D12717" s="2" t="str">
        <f>""</f>
        <v/>
      </c>
      <c r="E12717" s="2" t="str">
        <f>""</f>
        <v/>
      </c>
      <c r="F12717" s="2" t="str">
        <f>""</f>
        <v/>
      </c>
      <c r="G12717" s="2" t="str">
        <f>"Diagnóstico e Terapia / Laboratório de Análises Clínicas / Consultas ()"</f>
        <v>Diagnóstico e Terapia / Laboratório de Análises Clínicas / Consultas ()</v>
      </c>
    </row>
    <row r="12718" spans="1:7" x14ac:dyDescent="0.3">
      <c r="A12718" s="1" t="s">
        <v>58</v>
      </c>
      <c r="B12718" s="2" t="str">
        <f>""</f>
        <v/>
      </c>
      <c r="C12718" s="2" t="str">
        <f>""</f>
        <v/>
      </c>
      <c r="D12718" s="2" t="str">
        <f>""</f>
        <v/>
      </c>
      <c r="E12718" s="2" t="str">
        <f>""</f>
        <v/>
      </c>
      <c r="F12718" s="2" t="str">
        <f>""</f>
        <v/>
      </c>
      <c r="G12718" s="2" t="str">
        <f>"Diagnóstico e Terapia / Laboratório de Análises Clínicas / Configuração ()"</f>
        <v>Diagnóstico e Terapia / Laboratório de Análises Clínicas / Configuração ()</v>
      </c>
    </row>
    <row r="12719" spans="1:7" x14ac:dyDescent="0.3">
      <c r="A12719" s="1" t="s">
        <v>58</v>
      </c>
      <c r="B12719" s="2" t="str">
        <f>""</f>
        <v/>
      </c>
      <c r="C12719" s="2" t="str">
        <f>""</f>
        <v/>
      </c>
      <c r="D12719" s="2" t="str">
        <f>""</f>
        <v/>
      </c>
      <c r="E12719" s="2" t="str">
        <f>""</f>
        <v/>
      </c>
      <c r="F12719" s="2" t="str">
        <f>""</f>
        <v/>
      </c>
      <c r="G12719" s="2" t="str">
        <f>"Diagnóstico e Terapia / Laboratório de Análises Clínicas / Relatórios ()"</f>
        <v>Diagnóstico e Terapia / Laboratório de Análises Clínicas / Relatórios ()</v>
      </c>
    </row>
    <row r="12720" spans="1:7" x14ac:dyDescent="0.3">
      <c r="A12720" s="1" t="s">
        <v>58</v>
      </c>
      <c r="B12720" s="2" t="str">
        <f>""</f>
        <v/>
      </c>
      <c r="C12720" s="2" t="str">
        <f>""</f>
        <v/>
      </c>
      <c r="D12720" s="2" t="str">
        <f>""</f>
        <v/>
      </c>
      <c r="E12720" s="2" t="str">
        <f>""</f>
        <v/>
      </c>
      <c r="F12720" s="2" t="str">
        <f>""</f>
        <v/>
      </c>
      <c r="G12720" s="2" t="str">
        <f>"Diagnóstico e Terapia / Laboratório de Análises Clínicas / Relatórios / Tabelas ()"</f>
        <v>Diagnóstico e Terapia / Laboratório de Análises Clínicas / Relatórios / Tabelas ()</v>
      </c>
    </row>
    <row r="12721" spans="1:7" x14ac:dyDescent="0.3">
      <c r="A12721" s="1" t="s">
        <v>58</v>
      </c>
      <c r="B12721" s="2" t="str">
        <f>""</f>
        <v/>
      </c>
      <c r="C12721" s="2" t="str">
        <f>""</f>
        <v/>
      </c>
      <c r="D12721" s="2" t="str">
        <f>""</f>
        <v/>
      </c>
      <c r="E12721" s="2" t="str">
        <f>""</f>
        <v/>
      </c>
      <c r="F12721" s="2" t="str">
        <f>""</f>
        <v/>
      </c>
      <c r="G12721" s="2" t="str">
        <f>"Diagnóstico e Terapia / Laboratório de Análises Clínicas / Relatórios / Operacionais ()"</f>
        <v>Diagnóstico e Terapia / Laboratório de Análises Clínicas / Relatórios / Operacionais ()</v>
      </c>
    </row>
    <row r="12722" spans="1:7" x14ac:dyDescent="0.3">
      <c r="A12722" s="1" t="s">
        <v>58</v>
      </c>
      <c r="B12722" s="2" t="str">
        <f>""</f>
        <v/>
      </c>
      <c r="C12722" s="2" t="str">
        <f>""</f>
        <v/>
      </c>
      <c r="D12722" s="2" t="str">
        <f>""</f>
        <v/>
      </c>
      <c r="E12722" s="2" t="str">
        <f>""</f>
        <v/>
      </c>
      <c r="F12722" s="2" t="str">
        <f>""</f>
        <v/>
      </c>
      <c r="G12722" s="2" t="str">
        <f>"Diagnóstico e Terapia / Laboratório de Análises Clínicas / Relatórios / Administrativos ()"</f>
        <v>Diagnóstico e Terapia / Laboratório de Análises Clínicas / Relatórios / Administrativos ()</v>
      </c>
    </row>
    <row r="12723" spans="1:7" x14ac:dyDescent="0.3">
      <c r="A12723" s="1" t="s">
        <v>58</v>
      </c>
      <c r="B12723" s="2" t="str">
        <f>""</f>
        <v/>
      </c>
      <c r="C12723" s="2" t="str">
        <f>""</f>
        <v/>
      </c>
      <c r="D12723" s="2" t="str">
        <f>""</f>
        <v/>
      </c>
      <c r="E12723" s="2" t="str">
        <f>""</f>
        <v/>
      </c>
      <c r="F12723" s="2" t="str">
        <f>""</f>
        <v/>
      </c>
      <c r="G12723" s="2" t="str">
        <f>"Diagnóstico e Terapia / Laboratório de Análises Clínicas / Relatórios / Gerenciais ()"</f>
        <v>Diagnóstico e Terapia / Laboratório de Análises Clínicas / Relatórios / Gerenciais ()</v>
      </c>
    </row>
    <row r="12724" spans="1:7" x14ac:dyDescent="0.3">
      <c r="A12724" s="1" t="s">
        <v>58</v>
      </c>
      <c r="B12724" s="2" t="str">
        <f>""</f>
        <v/>
      </c>
      <c r="C12724" s="2" t="str">
        <f>""</f>
        <v/>
      </c>
      <c r="D12724" s="2" t="str">
        <f>""</f>
        <v/>
      </c>
      <c r="E12724" s="2" t="str">
        <f>""</f>
        <v/>
      </c>
      <c r="F12724" s="2" t="str">
        <f>""</f>
        <v/>
      </c>
      <c r="G12724" s="2" t="str">
        <f>"Diagnóstico e Terapia / Laboratório de Análises Clínicas / Relatórios / Estatisticos ()"</f>
        <v>Diagnóstico e Terapia / Laboratório de Análises Clínicas / Relatórios / Estatisticos ()</v>
      </c>
    </row>
    <row r="12725" spans="1:7" x14ac:dyDescent="0.3">
      <c r="A12725" s="1" t="s">
        <v>58</v>
      </c>
      <c r="B12725" s="2" t="str">
        <f>""</f>
        <v/>
      </c>
      <c r="C12725" s="2" t="str">
        <f>""</f>
        <v/>
      </c>
      <c r="D12725" s="2" t="str">
        <f>""</f>
        <v/>
      </c>
      <c r="E12725" s="2" t="str">
        <f>""</f>
        <v/>
      </c>
      <c r="F12725" s="2" t="str">
        <f>""</f>
        <v/>
      </c>
      <c r="G12725" s="2" t="str">
        <f>"Diagnóstico e Terapia / Laboratório de Análises Clínicas / Relatórios / Gráficos ()"</f>
        <v>Diagnóstico e Terapia / Laboratório de Análises Clínicas / Relatórios / Gráficos ()</v>
      </c>
    </row>
    <row r="12726" spans="1:7" x14ac:dyDescent="0.3">
      <c r="A12726" s="1" t="s">
        <v>58</v>
      </c>
      <c r="B12726" s="2" t="str">
        <f>""</f>
        <v/>
      </c>
      <c r="C12726" s="2" t="str">
        <f>""</f>
        <v/>
      </c>
      <c r="D12726" s="2" t="str">
        <f>""</f>
        <v/>
      </c>
      <c r="E12726" s="2" t="str">
        <f>""</f>
        <v/>
      </c>
      <c r="F12726" s="2" t="str">
        <f>""</f>
        <v/>
      </c>
      <c r="G12726" s="2" t="str">
        <f>"Diagnóstico e Terapia / Laboratório de Análises Clínicas / Tabelas / Cultura ()"</f>
        <v>Diagnóstico e Terapia / Laboratório de Análises Clínicas / Tabelas / Cultura ()</v>
      </c>
    </row>
    <row r="12727" spans="1:7" x14ac:dyDescent="0.3">
      <c r="A12727" s="1" t="s">
        <v>58</v>
      </c>
      <c r="B12727" s="2" t="str">
        <f>""</f>
        <v/>
      </c>
      <c r="C12727" s="2" t="str">
        <f>""</f>
        <v/>
      </c>
      <c r="D12727" s="2" t="str">
        <f>""</f>
        <v/>
      </c>
      <c r="E12727" s="2" t="str">
        <f>""</f>
        <v/>
      </c>
      <c r="F12727" s="2" t="str">
        <f>""</f>
        <v/>
      </c>
      <c r="G12727" s="2" t="str">
        <f>"Diagnóstico e Terapia / Laboratório de Análises Clínicas / Tabelas / Áreas de Entrega e Coleta ()"</f>
        <v>Diagnóstico e Terapia / Laboratório de Análises Clínicas / Tabelas / Áreas de Entrega e Coleta ()</v>
      </c>
    </row>
    <row r="12728" spans="1:7" x14ac:dyDescent="0.3">
      <c r="A12728" s="1" t="s">
        <v>58</v>
      </c>
      <c r="B12728" s="2" t="str">
        <f>""</f>
        <v/>
      </c>
      <c r="C12728" s="2" t="str">
        <f>""</f>
        <v/>
      </c>
      <c r="D12728" s="2" t="str">
        <f>""</f>
        <v/>
      </c>
      <c r="E12728" s="2" t="str">
        <f>""</f>
        <v/>
      </c>
      <c r="F12728" s="2" t="str">
        <f>""</f>
        <v/>
      </c>
      <c r="G12728" s="2" t="str">
        <f>"Diagnóstico e Terapia / Laboratório de Análises Clínicas / Relatórios / Administrativos / Exames Solicitados por ()"</f>
        <v>Diagnóstico e Terapia / Laboratório de Análises Clínicas / Relatórios / Administrativos / Exames Solicitados por ()</v>
      </c>
    </row>
    <row r="12729" spans="1:7" x14ac:dyDescent="0.3">
      <c r="A12729" s="1" t="s">
        <v>58</v>
      </c>
      <c r="B12729" s="2" t="str">
        <f>""</f>
        <v/>
      </c>
      <c r="C12729" s="2" t="str">
        <f>""</f>
        <v/>
      </c>
      <c r="D12729" s="2" t="str">
        <f>""</f>
        <v/>
      </c>
      <c r="E12729" s="2" t="str">
        <f>""</f>
        <v/>
      </c>
      <c r="F12729" s="2" t="str">
        <f>""</f>
        <v/>
      </c>
      <c r="G12729" s="2" t="str">
        <f>"Diagnóstico e Terapia / Laboratório de Análises Clínicas / Relatórios / Administrativos / Exames Realizados ()"</f>
        <v>Diagnóstico e Terapia / Laboratório de Análises Clínicas / Relatórios / Administrativos / Exames Realizados ()</v>
      </c>
    </row>
    <row r="12730" spans="1:7" x14ac:dyDescent="0.3">
      <c r="A12730" s="1" t="s">
        <v>58</v>
      </c>
      <c r="B12730" s="2" t="str">
        <f>""</f>
        <v/>
      </c>
      <c r="C12730" s="2" t="str">
        <f>""</f>
        <v/>
      </c>
      <c r="D12730" s="2" t="str">
        <f>""</f>
        <v/>
      </c>
      <c r="E12730" s="2" t="str">
        <f>""</f>
        <v/>
      </c>
      <c r="F12730" s="2" t="str">
        <f>""</f>
        <v/>
      </c>
      <c r="G12730" s="2" t="str">
        <f>"Diagnóstico e Terapia / Laboratório de Análises Clínicas / Relatórios / Administrativos / Coleta de Materiais ()"</f>
        <v>Diagnóstico e Terapia / Laboratório de Análises Clínicas / Relatórios / Administrativos / Coleta de Materiais ()</v>
      </c>
    </row>
    <row r="12731" spans="1:7" x14ac:dyDescent="0.3">
      <c r="A12731" s="1" t="s">
        <v>58</v>
      </c>
      <c r="B12731" s="2" t="str">
        <f>""</f>
        <v/>
      </c>
      <c r="C12731" s="2" t="str">
        <f>""</f>
        <v/>
      </c>
      <c r="D12731" s="2" t="str">
        <f>""</f>
        <v/>
      </c>
      <c r="E12731" s="2" t="str">
        <f>""</f>
        <v/>
      </c>
      <c r="F12731" s="2" t="str">
        <f>""</f>
        <v/>
      </c>
      <c r="G12731" s="2" t="str">
        <f>"Diagnóstico e Terapia / Laboratório de Análises Clínicas / Relatórios / Estatisticos / Exames por Médicos ()"</f>
        <v>Diagnóstico e Terapia / Laboratório de Análises Clínicas / Relatórios / Estatisticos / Exames por Médicos ()</v>
      </c>
    </row>
    <row r="12732" spans="1:7" x14ac:dyDescent="0.3">
      <c r="A12732" s="1" t="s">
        <v>58</v>
      </c>
      <c r="B12732" s="2" t="str">
        <f>""</f>
        <v/>
      </c>
      <c r="C12732" s="2" t="str">
        <f>""</f>
        <v/>
      </c>
      <c r="D12732" s="2" t="str">
        <f>""</f>
        <v/>
      </c>
      <c r="E12732" s="2" t="str">
        <f>""</f>
        <v/>
      </c>
      <c r="F12732" s="2" t="str">
        <f>""</f>
        <v/>
      </c>
      <c r="G12732" s="2" t="str">
        <f>"Diagnóstico e Terapia / Laboratório de Análises Clínicas ()"</f>
        <v>Diagnóstico e Terapia / Laboratório de Análises Clínicas ()</v>
      </c>
    </row>
    <row r="12733" spans="1:7" x14ac:dyDescent="0.3">
      <c r="A12733" s="1" t="s">
        <v>58</v>
      </c>
      <c r="B12733" s="2" t="str">
        <f>""</f>
        <v/>
      </c>
      <c r="C12733" s="2" t="str">
        <f>""</f>
        <v/>
      </c>
      <c r="D12733" s="2" t="str">
        <f>""</f>
        <v/>
      </c>
      <c r="E12733" s="2" t="str">
        <f>""</f>
        <v/>
      </c>
      <c r="F12733" s="2" t="str">
        <f>""</f>
        <v/>
      </c>
      <c r="G12733" s="2" t="str">
        <f>"Diagnóstico e Terapia / Laboratório de Análises Clínicas / Atendimento ()"</f>
        <v>Diagnóstico e Terapia / Laboratório de Análises Clínicas / Atendimento ()</v>
      </c>
    </row>
    <row r="12734" spans="1:7" x14ac:dyDescent="0.3">
      <c r="A12734" s="1" t="s">
        <v>58</v>
      </c>
      <c r="B12734" s="2" t="str">
        <f>""</f>
        <v/>
      </c>
      <c r="C12734" s="2" t="str">
        <f>""</f>
        <v/>
      </c>
      <c r="D12734" s="2" t="str">
        <f>""</f>
        <v/>
      </c>
      <c r="E12734" s="2" t="str">
        <f>""</f>
        <v/>
      </c>
      <c r="F12734" s="2" t="str">
        <f>""</f>
        <v/>
      </c>
      <c r="G12734" s="2" t="str">
        <f>"Diagnóstico e Terapia / Laboratório de Análises Clínicas / Agendamento ()"</f>
        <v>Diagnóstico e Terapia / Laboratório de Análises Clínicas / Agendamento ()</v>
      </c>
    </row>
    <row r="12735" spans="1:7" x14ac:dyDescent="0.3">
      <c r="A12735" s="1" t="s">
        <v>58</v>
      </c>
      <c r="B12735" s="2" t="str">
        <f>""</f>
        <v/>
      </c>
      <c r="C12735" s="2" t="str">
        <f>""</f>
        <v/>
      </c>
      <c r="D12735" s="2" t="str">
        <f>""</f>
        <v/>
      </c>
      <c r="E12735" s="2" t="str">
        <f>""</f>
        <v/>
      </c>
      <c r="F12735" s="2" t="str">
        <f>""</f>
        <v/>
      </c>
      <c r="G12735" s="2" t="str">
        <f>"Controladoria / Tesouraria ()"</f>
        <v>Controladoria / Tesouraria ()</v>
      </c>
    </row>
    <row r="12736" spans="1:7" x14ac:dyDescent="0.3">
      <c r="A12736" s="1" t="s">
        <v>58</v>
      </c>
      <c r="B12736" s="2" t="str">
        <f>""</f>
        <v/>
      </c>
      <c r="C12736" s="2" t="str">
        <f>""</f>
        <v/>
      </c>
      <c r="D12736" s="2" t="str">
        <f>""</f>
        <v/>
      </c>
      <c r="E12736" s="2" t="str">
        <f>""</f>
        <v/>
      </c>
      <c r="F12736" s="2" t="str">
        <f>""</f>
        <v/>
      </c>
      <c r="G12736" s="2" t="str">
        <f>"Controladoria / Tesouraria / Tesouraria ()"</f>
        <v>Controladoria / Tesouraria / Tesouraria ()</v>
      </c>
    </row>
    <row r="12737" spans="1:7" x14ac:dyDescent="0.3">
      <c r="A12737" s="1" t="s">
        <v>58</v>
      </c>
      <c r="B12737" s="2" t="str">
        <f>""</f>
        <v/>
      </c>
      <c r="C12737" s="2" t="str">
        <f>""</f>
        <v/>
      </c>
      <c r="D12737" s="2" t="str">
        <f>""</f>
        <v/>
      </c>
      <c r="E12737" s="2" t="str">
        <f>""</f>
        <v/>
      </c>
      <c r="F12737" s="2" t="str">
        <f>""</f>
        <v/>
      </c>
      <c r="G12737" s="2" t="str">
        <f>"Controladoria / Tesouraria / Relatórios ()"</f>
        <v>Controladoria / Tesouraria / Relatórios ()</v>
      </c>
    </row>
    <row r="12738" spans="1:7" x14ac:dyDescent="0.3">
      <c r="A12738" s="1" t="s">
        <v>58</v>
      </c>
      <c r="B12738" s="2" t="str">
        <f>""</f>
        <v/>
      </c>
      <c r="C12738" s="2" t="str">
        <f>""</f>
        <v/>
      </c>
      <c r="D12738" s="2" t="str">
        <f>""</f>
        <v/>
      </c>
      <c r="E12738" s="2" t="str">
        <f>""</f>
        <v/>
      </c>
      <c r="F12738" s="2" t="str">
        <f>""</f>
        <v/>
      </c>
      <c r="G12738" s="2" t="str">
        <f>"Atendimento / Ambulatório / Personalizados ()"</f>
        <v>Atendimento / Ambulatório / Personalizados ()</v>
      </c>
    </row>
    <row r="12739" spans="1:7" x14ac:dyDescent="0.3">
      <c r="A12739" s="1" t="s">
        <v>58</v>
      </c>
      <c r="B12739" s="2" t="str">
        <f>""</f>
        <v/>
      </c>
      <c r="C12739" s="2" t="str">
        <f>""</f>
        <v/>
      </c>
      <c r="D12739" s="2" t="str">
        <f>""</f>
        <v/>
      </c>
      <c r="E12739" s="2" t="str">
        <f>""</f>
        <v/>
      </c>
      <c r="F12739" s="2" t="str">
        <f>""</f>
        <v/>
      </c>
      <c r="G12739" s="2" t="str">
        <f>"Controladoria / Tesouraria / Relatórios / Internação ()"</f>
        <v>Controladoria / Tesouraria / Relatórios / Internação ()</v>
      </c>
    </row>
    <row r="12740" spans="1:7" x14ac:dyDescent="0.3">
      <c r="A12740" s="1" t="s">
        <v>58</v>
      </c>
      <c r="B12740" s="2" t="str">
        <f>""</f>
        <v/>
      </c>
      <c r="C12740" s="2" t="str">
        <f>""</f>
        <v/>
      </c>
      <c r="D12740" s="2" t="str">
        <f>""</f>
        <v/>
      </c>
      <c r="E12740" s="2" t="str">
        <f>""</f>
        <v/>
      </c>
      <c r="F12740" s="2" t="str">
        <f>""</f>
        <v/>
      </c>
      <c r="G12740" s="2" t="str">
        <f>"Controladoria / Tesouraria / Relatórios / Urgência / Emergência ()"</f>
        <v>Controladoria / Tesouraria / Relatórios / Urgência / Emergência ()</v>
      </c>
    </row>
    <row r="12741" spans="1:7" x14ac:dyDescent="0.3">
      <c r="A12741" s="1" t="s">
        <v>58</v>
      </c>
      <c r="B12741" s="2" t="str">
        <f>""</f>
        <v/>
      </c>
      <c r="C12741" s="2" t="str">
        <f>""</f>
        <v/>
      </c>
      <c r="D12741" s="2" t="str">
        <f>""</f>
        <v/>
      </c>
      <c r="E12741" s="2" t="str">
        <f>""</f>
        <v/>
      </c>
      <c r="F12741" s="2" t="str">
        <f>""</f>
        <v/>
      </c>
      <c r="G12741" s="2" t="str">
        <f>"Controladoria / Tesouraria / Relatórios / Faturamento ()"</f>
        <v>Controladoria / Tesouraria / Relatórios / Faturamento ()</v>
      </c>
    </row>
    <row r="12742" spans="1:7" x14ac:dyDescent="0.3">
      <c r="A12742" s="1" t="s">
        <v>58</v>
      </c>
      <c r="B12742" s="2" t="str">
        <f>""</f>
        <v/>
      </c>
      <c r="C12742" s="2" t="str">
        <f>""</f>
        <v/>
      </c>
      <c r="D12742" s="2" t="str">
        <f>""</f>
        <v/>
      </c>
      <c r="E12742" s="2" t="str">
        <f>""</f>
        <v/>
      </c>
      <c r="F12742" s="2" t="str">
        <f>""</f>
        <v/>
      </c>
      <c r="G12742" s="2" t="str">
        <f>"Controladoria / Tesouraria / Relatórios / Caixa ()"</f>
        <v>Controladoria / Tesouraria / Relatórios / Caixa ()</v>
      </c>
    </row>
    <row r="12743" spans="1:7" x14ac:dyDescent="0.3">
      <c r="A12743" s="1" t="s">
        <v>58</v>
      </c>
      <c r="B12743" s="2" t="str">
        <f>""</f>
        <v/>
      </c>
      <c r="C12743" s="2" t="str">
        <f>""</f>
        <v/>
      </c>
      <c r="D12743" s="2" t="str">
        <f>""</f>
        <v/>
      </c>
      <c r="E12743" s="2" t="str">
        <f>""</f>
        <v/>
      </c>
      <c r="F12743" s="2" t="str">
        <f>""</f>
        <v/>
      </c>
      <c r="G12743" s="2" t="str">
        <f>"Controladoria / Tesouraria / Relatórios / Personalizado ()"</f>
        <v>Controladoria / Tesouraria / Relatórios / Personalizado ()</v>
      </c>
    </row>
    <row r="12744" spans="1:7" x14ac:dyDescent="0.3">
      <c r="A12744" s="1" t="s">
        <v>58</v>
      </c>
      <c r="B12744" s="2" t="str">
        <f>""</f>
        <v/>
      </c>
      <c r="C12744" s="2" t="str">
        <f>""</f>
        <v/>
      </c>
      <c r="D12744" s="2" t="str">
        <f>""</f>
        <v/>
      </c>
      <c r="E12744" s="2" t="str">
        <f>""</f>
        <v/>
      </c>
      <c r="F12744" s="2" t="str">
        <f>""</f>
        <v/>
      </c>
      <c r="G12744" s="2" t="str">
        <f>"Controladoria / Tesouraria / Relatórios / Financeiro ()"</f>
        <v>Controladoria / Tesouraria / Relatórios / Financeiro ()</v>
      </c>
    </row>
    <row r="12745" spans="1:7" x14ac:dyDescent="0.3">
      <c r="A12745" s="1" t="s">
        <v>58</v>
      </c>
      <c r="B12745" s="2" t="str">
        <f>""</f>
        <v/>
      </c>
      <c r="C12745" s="2" t="str">
        <f>""</f>
        <v/>
      </c>
      <c r="D12745" s="2" t="str">
        <f>""</f>
        <v/>
      </c>
      <c r="E12745" s="2" t="str">
        <f>""</f>
        <v/>
      </c>
      <c r="F12745" s="2" t="str">
        <f>""</f>
        <v/>
      </c>
      <c r="G12745" s="2" t="s">
        <v>10</v>
      </c>
    </row>
    <row r="12746" spans="1:7" x14ac:dyDescent="0.3">
      <c r="A12746" s="1" t="s">
        <v>58</v>
      </c>
      <c r="B12746" s="2" t="str">
        <f>""</f>
        <v/>
      </c>
      <c r="C12746" s="2" t="str">
        <f>""</f>
        <v/>
      </c>
      <c r="D12746" s="2" t="str">
        <f>""</f>
        <v/>
      </c>
      <c r="E12746" s="2" t="str">
        <f>""</f>
        <v/>
      </c>
      <c r="F12746" s="2" t="str">
        <f>""</f>
        <v/>
      </c>
      <c r="G12746" s="2" t="s">
        <v>10</v>
      </c>
    </row>
    <row r="12747" spans="1:7" x14ac:dyDescent="0.3">
      <c r="A12747" s="1" t="s">
        <v>58</v>
      </c>
      <c r="B12747" s="2" t="str">
        <f>""</f>
        <v/>
      </c>
      <c r="C12747" s="2" t="str">
        <f>""</f>
        <v/>
      </c>
      <c r="D12747" s="2" t="str">
        <f>""</f>
        <v/>
      </c>
      <c r="E12747" s="2" t="str">
        <f>""</f>
        <v/>
      </c>
      <c r="F12747" s="2" t="str">
        <f>""</f>
        <v/>
      </c>
      <c r="G12747" s="2" t="s">
        <v>10</v>
      </c>
    </row>
    <row r="12748" spans="1:7" x14ac:dyDescent="0.3">
      <c r="A12748" s="1" t="s">
        <v>58</v>
      </c>
      <c r="B12748" s="2" t="str">
        <f>""</f>
        <v/>
      </c>
      <c r="C12748" s="2" t="str">
        <f>""</f>
        <v/>
      </c>
      <c r="D12748" s="2" t="str">
        <f>""</f>
        <v/>
      </c>
      <c r="E12748" s="2" t="str">
        <f>""</f>
        <v/>
      </c>
      <c r="F12748" s="2" t="str">
        <f>""</f>
        <v/>
      </c>
      <c r="G12748" s="2" t="s">
        <v>10</v>
      </c>
    </row>
    <row r="12749" spans="1:7" x14ac:dyDescent="0.3">
      <c r="A12749" s="1" t="s">
        <v>58</v>
      </c>
      <c r="B12749" s="2" t="str">
        <f>""</f>
        <v/>
      </c>
      <c r="C12749" s="2" t="str">
        <f>""</f>
        <v/>
      </c>
      <c r="D12749" s="2" t="str">
        <f>""</f>
        <v/>
      </c>
      <c r="E12749" s="2" t="str">
        <f>""</f>
        <v/>
      </c>
      <c r="F12749" s="2" t="str">
        <f>""</f>
        <v/>
      </c>
      <c r="G12749" s="2" t="s">
        <v>10</v>
      </c>
    </row>
    <row r="12750" spans="1:7" x14ac:dyDescent="0.3">
      <c r="A12750" s="1" t="s">
        <v>58</v>
      </c>
      <c r="B12750" s="2" t="str">
        <f>""</f>
        <v/>
      </c>
      <c r="C12750" s="2" t="str">
        <f>""</f>
        <v/>
      </c>
      <c r="D12750" s="2" t="str">
        <f>""</f>
        <v/>
      </c>
      <c r="E12750" s="2" t="str">
        <f>""</f>
        <v/>
      </c>
      <c r="F12750" s="2" t="str">
        <f>""</f>
        <v/>
      </c>
      <c r="G12750" s="2" t="s">
        <v>10</v>
      </c>
    </row>
    <row r="12751" spans="1:7" x14ac:dyDescent="0.3">
      <c r="A12751" s="1" t="s">
        <v>58</v>
      </c>
      <c r="B12751" s="2" t="str">
        <f>""</f>
        <v/>
      </c>
      <c r="C12751" s="2" t="str">
        <f>""</f>
        <v/>
      </c>
      <c r="D12751" s="2" t="str">
        <f>""</f>
        <v/>
      </c>
      <c r="E12751" s="2" t="str">
        <f>""</f>
        <v/>
      </c>
      <c r="F12751" s="2" t="str">
        <f>""</f>
        <v/>
      </c>
      <c r="G12751" s="2" t="s">
        <v>10</v>
      </c>
    </row>
    <row r="12752" spans="1:7" x14ac:dyDescent="0.3">
      <c r="A12752" s="1" t="s">
        <v>58</v>
      </c>
      <c r="B12752" s="2" t="str">
        <f>""</f>
        <v/>
      </c>
      <c r="C12752" s="2" t="str">
        <f>""</f>
        <v/>
      </c>
      <c r="D12752" s="2" t="str">
        <f>""</f>
        <v/>
      </c>
      <c r="E12752" s="2" t="str">
        <f>""</f>
        <v/>
      </c>
      <c r="F12752" s="2" t="str">
        <f>""</f>
        <v/>
      </c>
      <c r="G12752" s="2" t="str">
        <f>"Atendimento / Internação ()"</f>
        <v>Atendimento / Internação ()</v>
      </c>
    </row>
    <row r="12753" spans="1:7" x14ac:dyDescent="0.3">
      <c r="A12753" s="1" t="s">
        <v>58</v>
      </c>
      <c r="B12753" s="2" t="str">
        <f>""</f>
        <v/>
      </c>
      <c r="C12753" s="2" t="str">
        <f>""</f>
        <v/>
      </c>
      <c r="D12753" s="2" t="str">
        <f>""</f>
        <v/>
      </c>
      <c r="E12753" s="2" t="str">
        <f>""</f>
        <v/>
      </c>
      <c r="F12753" s="2" t="str">
        <f>""</f>
        <v/>
      </c>
      <c r="G12753" s="2" t="str">
        <f>"Atendimento / Internação / Atendimento ()"</f>
        <v>Atendimento / Internação / Atendimento ()</v>
      </c>
    </row>
    <row r="12754" spans="1:7" x14ac:dyDescent="0.3">
      <c r="A12754" s="1" t="s">
        <v>58</v>
      </c>
      <c r="B12754" s="2" t="str">
        <f>""</f>
        <v/>
      </c>
      <c r="C12754" s="2" t="str">
        <f>""</f>
        <v/>
      </c>
      <c r="D12754" s="2" t="str">
        <f>""</f>
        <v/>
      </c>
      <c r="E12754" s="2" t="str">
        <f>""</f>
        <v/>
      </c>
      <c r="F12754" s="2" t="str">
        <f>""</f>
        <v/>
      </c>
      <c r="G12754" s="2" t="str">
        <f>"Atendimento / Internação / Tabelas ()"</f>
        <v>Atendimento / Internação / Tabelas ()</v>
      </c>
    </row>
    <row r="12755" spans="1:7" x14ac:dyDescent="0.3">
      <c r="A12755" s="1" t="s">
        <v>58</v>
      </c>
      <c r="B12755" s="2" t="str">
        <f>""</f>
        <v/>
      </c>
      <c r="C12755" s="2" t="str">
        <f>""</f>
        <v/>
      </c>
      <c r="D12755" s="2" t="str">
        <f>""</f>
        <v/>
      </c>
      <c r="E12755" s="2" t="str">
        <f>""</f>
        <v/>
      </c>
      <c r="F12755" s="2" t="str">
        <f>""</f>
        <v/>
      </c>
      <c r="G12755" s="2" t="str">
        <f>"Atendimento / Internação / Consultas ()"</f>
        <v>Atendimento / Internação / Consultas ()</v>
      </c>
    </row>
    <row r="12756" spans="1:7" x14ac:dyDescent="0.3">
      <c r="A12756" s="1" t="s">
        <v>58</v>
      </c>
      <c r="B12756" s="2" t="str">
        <f>""</f>
        <v/>
      </c>
      <c r="C12756" s="2" t="str">
        <f>""</f>
        <v/>
      </c>
      <c r="D12756" s="2" t="str">
        <f>""</f>
        <v/>
      </c>
      <c r="E12756" s="2" t="str">
        <f>""</f>
        <v/>
      </c>
      <c r="F12756" s="2" t="str">
        <f>""</f>
        <v/>
      </c>
      <c r="G12756" s="2" t="str">
        <f>"Atendimento / Internação / Configurações ()"</f>
        <v>Atendimento / Internação / Configurações ()</v>
      </c>
    </row>
    <row r="12757" spans="1:7" x14ac:dyDescent="0.3">
      <c r="A12757" s="1" t="s">
        <v>58</v>
      </c>
      <c r="B12757" s="2" t="str">
        <f>""</f>
        <v/>
      </c>
      <c r="C12757" s="2" t="str">
        <f>""</f>
        <v/>
      </c>
      <c r="D12757" s="2" t="str">
        <f>""</f>
        <v/>
      </c>
      <c r="E12757" s="2" t="str">
        <f>""</f>
        <v/>
      </c>
      <c r="F12757" s="2" t="str">
        <f>""</f>
        <v/>
      </c>
      <c r="G12757" s="2" t="str">
        <f>"Atendimento / Internação / Relatórios ()"</f>
        <v>Atendimento / Internação / Relatórios ()</v>
      </c>
    </row>
    <row r="12758" spans="1:7" x14ac:dyDescent="0.3">
      <c r="A12758" s="1" t="s">
        <v>58</v>
      </c>
      <c r="B12758" s="2" t="str">
        <f>""</f>
        <v/>
      </c>
      <c r="C12758" s="2" t="str">
        <f>""</f>
        <v/>
      </c>
      <c r="D12758" s="2" t="str">
        <f>""</f>
        <v/>
      </c>
      <c r="E12758" s="2" t="str">
        <f>""</f>
        <v/>
      </c>
      <c r="F12758" s="2" t="str">
        <f>""</f>
        <v/>
      </c>
      <c r="G12758" s="2" t="str">
        <f>"Atendimento / Internação / Atendimento / Alta ()"</f>
        <v>Atendimento / Internação / Atendimento / Alta ()</v>
      </c>
    </row>
    <row r="12759" spans="1:7" x14ac:dyDescent="0.3">
      <c r="A12759" s="1" t="s">
        <v>58</v>
      </c>
      <c r="B12759" s="2" t="str">
        <f>""</f>
        <v/>
      </c>
      <c r="C12759" s="2" t="str">
        <f>""</f>
        <v/>
      </c>
      <c r="D12759" s="2" t="str">
        <f>""</f>
        <v/>
      </c>
      <c r="E12759" s="2" t="str">
        <f>""</f>
        <v/>
      </c>
      <c r="F12759" s="2" t="str">
        <f>""</f>
        <v/>
      </c>
      <c r="G12759" s="2" t="str">
        <f>"Atendimento / Internação / Atendimento / Transferência de Paciente ()"</f>
        <v>Atendimento / Internação / Atendimento / Transferência de Paciente ()</v>
      </c>
    </row>
    <row r="12760" spans="1:7" x14ac:dyDescent="0.3">
      <c r="A12760" s="1" t="s">
        <v>58</v>
      </c>
      <c r="B12760" s="2" t="str">
        <f>""</f>
        <v/>
      </c>
      <c r="C12760" s="2" t="str">
        <f>""</f>
        <v/>
      </c>
      <c r="D12760" s="2" t="str">
        <f>""</f>
        <v/>
      </c>
      <c r="E12760" s="2" t="str">
        <f>""</f>
        <v/>
      </c>
      <c r="F12760" s="2" t="str">
        <f>""</f>
        <v/>
      </c>
      <c r="G12760" s="2" t="str">
        <f>"Atendimento / Internação / Atendimento / Registros ()"</f>
        <v>Atendimento / Internação / Atendimento / Registros ()</v>
      </c>
    </row>
    <row r="12761" spans="1:7" x14ac:dyDescent="0.3">
      <c r="A12761" s="1" t="s">
        <v>58</v>
      </c>
      <c r="B12761" s="2" t="str">
        <f>""</f>
        <v/>
      </c>
      <c r="C12761" s="2" t="str">
        <f>""</f>
        <v/>
      </c>
      <c r="D12761" s="2" t="str">
        <f>""</f>
        <v/>
      </c>
      <c r="E12761" s="2" t="str">
        <f>""</f>
        <v/>
      </c>
      <c r="F12761" s="2" t="str">
        <f>""</f>
        <v/>
      </c>
      <c r="G12761" s="2" t="str">
        <f>"Atendimento / Internação / Atendimento / Depósito de Pagamento Antecipado ()"</f>
        <v>Atendimento / Internação / Atendimento / Depósito de Pagamento Antecipado ()</v>
      </c>
    </row>
    <row r="12762" spans="1:7" x14ac:dyDescent="0.3">
      <c r="A12762" s="1" t="s">
        <v>58</v>
      </c>
      <c r="B12762" s="2" t="str">
        <f>""</f>
        <v/>
      </c>
      <c r="C12762" s="2" t="str">
        <f>""</f>
        <v/>
      </c>
      <c r="D12762" s="2" t="str">
        <f>""</f>
        <v/>
      </c>
      <c r="E12762" s="2" t="str">
        <f>""</f>
        <v/>
      </c>
      <c r="F12762" s="2" t="str">
        <f>""</f>
        <v/>
      </c>
      <c r="G12762" s="2" t="str">
        <f>"Atendimento / Internação / Atendimento / Pendências do Atendimento ()"</f>
        <v>Atendimento / Internação / Atendimento / Pendências do Atendimento ()</v>
      </c>
    </row>
    <row r="12763" spans="1:7" x14ac:dyDescent="0.3">
      <c r="A12763" s="1" t="s">
        <v>58</v>
      </c>
      <c r="B12763" s="2" t="str">
        <f>""</f>
        <v/>
      </c>
      <c r="C12763" s="2" t="str">
        <f>""</f>
        <v/>
      </c>
      <c r="D12763" s="2" t="str">
        <f>""</f>
        <v/>
      </c>
      <c r="E12763" s="2" t="str">
        <f>""</f>
        <v/>
      </c>
      <c r="F12763" s="2" t="str">
        <f>""</f>
        <v/>
      </c>
      <c r="G12763" s="2" t="str">
        <f>"Atendimento / Internação / Consultas / Painel de Leitos ()"</f>
        <v>Atendimento / Internação / Consultas / Painel de Leitos ()</v>
      </c>
    </row>
    <row r="12764" spans="1:7" x14ac:dyDescent="0.3">
      <c r="A12764" s="1" t="s">
        <v>58</v>
      </c>
      <c r="B12764" s="2" t="str">
        <f>""</f>
        <v/>
      </c>
      <c r="C12764" s="2" t="str">
        <f>""</f>
        <v/>
      </c>
      <c r="D12764" s="2" t="str">
        <f>""</f>
        <v/>
      </c>
      <c r="E12764" s="2" t="str">
        <f>""</f>
        <v/>
      </c>
      <c r="F12764" s="2" t="str">
        <f>""</f>
        <v/>
      </c>
      <c r="G12764" s="2" t="str">
        <f>"Atendimento / Internação / Consultas / Leitos ()"</f>
        <v>Atendimento / Internação / Consultas / Leitos ()</v>
      </c>
    </row>
    <row r="12765" spans="1:7" x14ac:dyDescent="0.3">
      <c r="A12765" s="1" t="s">
        <v>58</v>
      </c>
      <c r="B12765" s="2" t="str">
        <f>""</f>
        <v/>
      </c>
      <c r="C12765" s="2" t="str">
        <f>""</f>
        <v/>
      </c>
      <c r="D12765" s="2" t="str">
        <f>""</f>
        <v/>
      </c>
      <c r="E12765" s="2" t="str">
        <f>""</f>
        <v/>
      </c>
      <c r="F12765" s="2" t="str">
        <f>""</f>
        <v/>
      </c>
      <c r="G12765" s="2" t="str">
        <f>"MVSaude / Atendimento / Autorizações de Guias / Internação / Atendimento / Pendências do Atendimento ()"</f>
        <v>MVSaude / Atendimento / Autorizações de Guias / Internação / Atendimento / Pendências do Atendimento ()</v>
      </c>
    </row>
    <row r="12766" spans="1:7" x14ac:dyDescent="0.3">
      <c r="A12766" s="1" t="s">
        <v>58</v>
      </c>
      <c r="B12766" s="2" t="str">
        <f>""</f>
        <v/>
      </c>
      <c r="C12766" s="2" t="str">
        <f>""</f>
        <v/>
      </c>
      <c r="D12766" s="2" t="str">
        <f>""</f>
        <v/>
      </c>
      <c r="E12766" s="2" t="str">
        <f>""</f>
        <v/>
      </c>
      <c r="F12766" s="2" t="str">
        <f>""</f>
        <v/>
      </c>
      <c r="G12766" s="2" t="str">
        <f>"MVSaude / Atendimento / Autorizações de Guias / Internação / Solicitações ()"</f>
        <v>MVSaude / Atendimento / Autorizações de Guias / Internação / Solicitações ()</v>
      </c>
    </row>
    <row r="12767" spans="1:7" x14ac:dyDescent="0.3">
      <c r="A12767" s="1" t="s">
        <v>58</v>
      </c>
      <c r="B12767" s="2" t="str">
        <f>""</f>
        <v/>
      </c>
      <c r="C12767" s="2" t="str">
        <f>""</f>
        <v/>
      </c>
      <c r="D12767" s="2" t="str">
        <f>""</f>
        <v/>
      </c>
      <c r="E12767" s="2" t="str">
        <f>""</f>
        <v/>
      </c>
      <c r="F12767" s="2" t="str">
        <f>""</f>
        <v/>
      </c>
      <c r="G12767" s="2" t="str">
        <f>"MVSaude / Atendimento / Autorizações de Guias / Internação / Solicitações / Pasta Parcial do Paciente ()"</f>
        <v>MVSaude / Atendimento / Autorizações de Guias / Internação / Solicitações / Pasta Parcial do Paciente ()</v>
      </c>
    </row>
    <row r="12768" spans="1:7" x14ac:dyDescent="0.3">
      <c r="A12768" s="1" t="s">
        <v>58</v>
      </c>
      <c r="B12768" s="2" t="str">
        <f>""</f>
        <v/>
      </c>
      <c r="C12768" s="2" t="str">
        <f>""</f>
        <v/>
      </c>
      <c r="D12768" s="2" t="str">
        <f>""</f>
        <v/>
      </c>
      <c r="E12768" s="2" t="str">
        <f>""</f>
        <v/>
      </c>
      <c r="F12768" s="2" t="str">
        <f>""</f>
        <v/>
      </c>
      <c r="G12768" s="2" t="str">
        <f>"MVSaude / Atendimento / Autorizações de Guias / Internação / Tabelas ()"</f>
        <v>MVSaude / Atendimento / Autorizações de Guias / Internação / Tabelas ()</v>
      </c>
    </row>
    <row r="12769" spans="1:7" x14ac:dyDescent="0.3">
      <c r="A12769" s="1" t="s">
        <v>58</v>
      </c>
      <c r="B12769" s="2" t="str">
        <f>""</f>
        <v/>
      </c>
      <c r="C12769" s="2" t="str">
        <f>""</f>
        <v/>
      </c>
      <c r="D12769" s="2" t="str">
        <f>""</f>
        <v/>
      </c>
      <c r="E12769" s="2" t="str">
        <f>""</f>
        <v/>
      </c>
      <c r="F12769" s="2" t="str">
        <f>""</f>
        <v/>
      </c>
      <c r="G12769" s="2" t="str">
        <f>"MVSaude / Atendimento / Autorizações de Guias / Internação / Tabelas / Procedimentos ()"</f>
        <v>MVSaude / Atendimento / Autorizações de Guias / Internação / Tabelas / Procedimentos ()</v>
      </c>
    </row>
    <row r="12770" spans="1:7" x14ac:dyDescent="0.3">
      <c r="A12770" s="1" t="s">
        <v>58</v>
      </c>
      <c r="B12770" s="2" t="str">
        <f>""</f>
        <v/>
      </c>
      <c r="C12770" s="2" t="str">
        <f>""</f>
        <v/>
      </c>
      <c r="D12770" s="2" t="str">
        <f>""</f>
        <v/>
      </c>
      <c r="E12770" s="2" t="str">
        <f>""</f>
        <v/>
      </c>
      <c r="F12770" s="2" t="str">
        <f>""</f>
        <v/>
      </c>
      <c r="G12770" s="2" t="str">
        <f>"MVSaude / Atendimento / Autorizações de Guias / Internação / Consultas ()"</f>
        <v>MVSaude / Atendimento / Autorizações de Guias / Internação / Consultas ()</v>
      </c>
    </row>
    <row r="12771" spans="1:7" x14ac:dyDescent="0.3">
      <c r="A12771" s="1" t="s">
        <v>58</v>
      </c>
      <c r="B12771" s="2" t="str">
        <f>""</f>
        <v/>
      </c>
      <c r="C12771" s="2" t="str">
        <f>""</f>
        <v/>
      </c>
      <c r="D12771" s="2" t="str">
        <f>""</f>
        <v/>
      </c>
      <c r="E12771" s="2" t="str">
        <f>""</f>
        <v/>
      </c>
      <c r="F12771" s="2" t="str">
        <f>""</f>
        <v/>
      </c>
      <c r="G12771" s="2" t="str">
        <f>"MVSaude / Atendimento / Autorizações de Guias / Internação / Consultas / Painel de Leitos ()"</f>
        <v>MVSaude / Atendimento / Autorizações de Guias / Internação / Consultas / Painel de Leitos ()</v>
      </c>
    </row>
    <row r="12772" spans="1:7" x14ac:dyDescent="0.3">
      <c r="A12772" s="1" t="s">
        <v>58</v>
      </c>
      <c r="B12772" s="2" t="str">
        <f>""</f>
        <v/>
      </c>
      <c r="C12772" s="2" t="str">
        <f>""</f>
        <v/>
      </c>
      <c r="D12772" s="2" t="str">
        <f>""</f>
        <v/>
      </c>
      <c r="E12772" s="2" t="str">
        <f>""</f>
        <v/>
      </c>
      <c r="F12772" s="2" t="str">
        <f>""</f>
        <v/>
      </c>
      <c r="G12772" s="2" t="str">
        <f>"MVSaude / Atendimento / Autorizações de Guias / Internação / Consultas / Leitos ()"</f>
        <v>MVSaude / Atendimento / Autorizações de Guias / Internação / Consultas / Leitos ()</v>
      </c>
    </row>
    <row r="12773" spans="1:7" x14ac:dyDescent="0.3">
      <c r="A12773" s="1" t="s">
        <v>58</v>
      </c>
      <c r="B12773" s="2" t="str">
        <f>""</f>
        <v/>
      </c>
      <c r="C12773" s="2" t="str">
        <f>""</f>
        <v/>
      </c>
      <c r="D12773" s="2" t="str">
        <f>""</f>
        <v/>
      </c>
      <c r="E12773" s="2" t="str">
        <f>""</f>
        <v/>
      </c>
      <c r="F12773" s="2" t="str">
        <f>""</f>
        <v/>
      </c>
      <c r="G12773" s="2" t="str">
        <f>"MVSaude / Atendimento / Autorizações de Guias / Internação / Consultas / Pastas Parciais ()"</f>
        <v>MVSaude / Atendimento / Autorizações de Guias / Internação / Consultas / Pastas Parciais ()</v>
      </c>
    </row>
    <row r="12774" spans="1:7" x14ac:dyDescent="0.3">
      <c r="A12774" s="1" t="s">
        <v>58</v>
      </c>
      <c r="B12774" s="2" t="str">
        <f>""</f>
        <v/>
      </c>
      <c r="C12774" s="2" t="str">
        <f>""</f>
        <v/>
      </c>
      <c r="D12774" s="2" t="str">
        <f>""</f>
        <v/>
      </c>
      <c r="E12774" s="2" t="str">
        <f>""</f>
        <v/>
      </c>
      <c r="F12774" s="2" t="str">
        <f>""</f>
        <v/>
      </c>
      <c r="G12774" s="2" t="str">
        <f>"MVSaude / Atendimento / Autorizações de Guias / Internação / Consultas / Registros de Alterações ()"</f>
        <v>MVSaude / Atendimento / Autorizações de Guias / Internação / Consultas / Registros de Alterações ()</v>
      </c>
    </row>
    <row r="12775" spans="1:7" x14ac:dyDescent="0.3">
      <c r="A12775" s="1" t="s">
        <v>58</v>
      </c>
      <c r="B12775" s="2" t="str">
        <f>""</f>
        <v/>
      </c>
      <c r="C12775" s="2" t="str">
        <f>""</f>
        <v/>
      </c>
      <c r="D12775" s="2" t="str">
        <f>""</f>
        <v/>
      </c>
      <c r="E12775" s="2" t="str">
        <f>""</f>
        <v/>
      </c>
      <c r="F12775" s="2" t="str">
        <f>""</f>
        <v/>
      </c>
      <c r="G12775" s="2" t="str">
        <f>"Faturamento / Faturamento SUS - Siscolo / Lançamentos ()"</f>
        <v>Faturamento / Faturamento SUS - Siscolo / Lançamentos ()</v>
      </c>
    </row>
    <row r="12776" spans="1:7" x14ac:dyDescent="0.3">
      <c r="A12776" s="1" t="s">
        <v>58</v>
      </c>
      <c r="B12776" s="2" t="str">
        <f>""</f>
        <v/>
      </c>
      <c r="C12776" s="2" t="str">
        <f>""</f>
        <v/>
      </c>
      <c r="D12776" s="2" t="str">
        <f>""</f>
        <v/>
      </c>
      <c r="E12776" s="2" t="str">
        <f>""</f>
        <v/>
      </c>
      <c r="F12776" s="2" t="str">
        <f>""</f>
        <v/>
      </c>
      <c r="G12776" s="2" t="str">
        <f>"Faturamento / Faturamento SUS - Siscolo / Tabelas ()"</f>
        <v>Faturamento / Faturamento SUS - Siscolo / Tabelas ()</v>
      </c>
    </row>
    <row r="12777" spans="1:7" x14ac:dyDescent="0.3">
      <c r="A12777" s="1" t="s">
        <v>58</v>
      </c>
      <c r="B12777" s="2" t="str">
        <f>""</f>
        <v/>
      </c>
      <c r="C12777" s="2" t="str">
        <f>""</f>
        <v/>
      </c>
      <c r="D12777" s="2" t="str">
        <f>""</f>
        <v/>
      </c>
      <c r="E12777" s="2" t="str">
        <f>""</f>
        <v/>
      </c>
      <c r="F12777" s="2" t="str">
        <f>""</f>
        <v/>
      </c>
      <c r="G12777" s="2" t="str">
        <f>"MVSaude / Atendimento / Autorizações de Guias / Internação / Consultas / Pacientes Internados ()"</f>
        <v>MVSaude / Atendimento / Autorizações de Guias / Internação / Consultas / Pacientes Internados ()</v>
      </c>
    </row>
    <row r="12778" spans="1:7" x14ac:dyDescent="0.3">
      <c r="A12778" s="1" t="s">
        <v>58</v>
      </c>
      <c r="B12778" s="2" t="str">
        <f>""</f>
        <v/>
      </c>
      <c r="C12778" s="2" t="str">
        <f>""</f>
        <v/>
      </c>
      <c r="D12778" s="2" t="str">
        <f>""</f>
        <v/>
      </c>
      <c r="E12778" s="2" t="str">
        <f>""</f>
        <v/>
      </c>
      <c r="F12778" s="2" t="str">
        <f>""</f>
        <v/>
      </c>
      <c r="G12778" s="2" t="str">
        <f>"Faturamento / Faturamento SUS - Siscolo / Tabelas / Unidades Prestadoras de Serviços ()"</f>
        <v>Faturamento / Faturamento SUS - Siscolo / Tabelas / Unidades Prestadoras de Serviços ()</v>
      </c>
    </row>
    <row r="12779" spans="1:7" x14ac:dyDescent="0.3">
      <c r="A12779" s="1" t="s">
        <v>58</v>
      </c>
      <c r="B12779" s="2" t="str">
        <f>""</f>
        <v/>
      </c>
      <c r="C12779" s="2" t="str">
        <f>""</f>
        <v/>
      </c>
      <c r="D12779" s="2" t="str">
        <f>""</f>
        <v/>
      </c>
      <c r="E12779" s="2" t="str">
        <f>""</f>
        <v/>
      </c>
      <c r="F12779" s="2" t="str">
        <f>""</f>
        <v/>
      </c>
      <c r="G12779" s="2" t="str">
        <f>"Faturamento / Faturamento SUS - Siscolo / Processos / Geração do BPA ()"</f>
        <v>Faturamento / Faturamento SUS - Siscolo / Processos / Geração do BPA ()</v>
      </c>
    </row>
    <row r="12780" spans="1:7" x14ac:dyDescent="0.3">
      <c r="A12780" s="1" t="s">
        <v>58</v>
      </c>
      <c r="B12780" s="2" t="str">
        <f>""</f>
        <v/>
      </c>
      <c r="C12780" s="2" t="str">
        <f>""</f>
        <v/>
      </c>
      <c r="D12780" s="2" t="str">
        <f>""</f>
        <v/>
      </c>
      <c r="E12780" s="2" t="str">
        <f>""</f>
        <v/>
      </c>
      <c r="F12780" s="2" t="str">
        <f>""</f>
        <v/>
      </c>
      <c r="G12780" s="2" t="str">
        <f>"Faturamento / Faturamento SUS - Siscolo / Relatórios ()"</f>
        <v>Faturamento / Faturamento SUS - Siscolo / Relatórios ()</v>
      </c>
    </row>
    <row r="12781" spans="1:7" x14ac:dyDescent="0.3">
      <c r="A12781" s="1" t="s">
        <v>58</v>
      </c>
      <c r="B12781" s="2" t="str">
        <f>""</f>
        <v/>
      </c>
      <c r="C12781" s="2" t="str">
        <f>""</f>
        <v/>
      </c>
      <c r="D12781" s="2" t="str">
        <f>""</f>
        <v/>
      </c>
      <c r="E12781" s="2" t="str">
        <f>""</f>
        <v/>
      </c>
      <c r="F12781" s="2" t="str">
        <f>""</f>
        <v/>
      </c>
      <c r="G12781" s="2" t="str">
        <f>"Faturamento / Faturamento SUS - Siscolo / Configuração ()"</f>
        <v>Faturamento / Faturamento SUS - Siscolo / Configuração ()</v>
      </c>
    </row>
    <row r="12782" spans="1:7" x14ac:dyDescent="0.3">
      <c r="A12782" s="1" t="s">
        <v>58</v>
      </c>
      <c r="B12782" s="2" t="str">
        <f>""</f>
        <v/>
      </c>
      <c r="C12782" s="2" t="str">
        <f>""</f>
        <v/>
      </c>
      <c r="D12782" s="2" t="str">
        <f>""</f>
        <v/>
      </c>
      <c r="E12782" s="2" t="str">
        <f>""</f>
        <v/>
      </c>
      <c r="F12782" s="2" t="str">
        <f>""</f>
        <v/>
      </c>
      <c r="G12782" s="2" t="str">
        <f>"MVSaude / Atendimento / Autorizações de Guias / Internação / Consultas / Guias ()"</f>
        <v>MVSaude / Atendimento / Autorizações de Guias / Internação / Consultas / Guias ()</v>
      </c>
    </row>
    <row r="12783" spans="1:7" x14ac:dyDescent="0.3">
      <c r="A12783" s="1" t="s">
        <v>58</v>
      </c>
      <c r="B12783" s="2" t="str">
        <f>""</f>
        <v/>
      </c>
      <c r="C12783" s="2" t="str">
        <f>""</f>
        <v/>
      </c>
      <c r="D12783" s="2" t="str">
        <f>""</f>
        <v/>
      </c>
      <c r="E12783" s="2" t="str">
        <f>""</f>
        <v/>
      </c>
      <c r="F12783" s="2" t="str">
        <f>""</f>
        <v/>
      </c>
      <c r="G12783" s="2" t="str">
        <f>"MVSaude / Atendimento / Autorizações de Guias / Internação / Consultas / Estatísticas de Produção ()"</f>
        <v>MVSaude / Atendimento / Autorizações de Guias / Internação / Consultas / Estatísticas de Produção ()</v>
      </c>
    </row>
    <row r="12784" spans="1:7" x14ac:dyDescent="0.3">
      <c r="A12784" s="1" t="s">
        <v>58</v>
      </c>
      <c r="B12784" s="2" t="str">
        <f>""</f>
        <v/>
      </c>
      <c r="C12784" s="2" t="str">
        <f>""</f>
        <v/>
      </c>
      <c r="D12784" s="2" t="str">
        <f>""</f>
        <v/>
      </c>
      <c r="E12784" s="2" t="str">
        <f>""</f>
        <v/>
      </c>
      <c r="F12784" s="2" t="str">
        <f>""</f>
        <v/>
      </c>
      <c r="G12784" s="2" t="str">
        <f>"MVSaude / Atendimento / Autorizações de Guias / Internação / Configurações ()"</f>
        <v>MVSaude / Atendimento / Autorizações de Guias / Internação / Configurações ()</v>
      </c>
    </row>
    <row r="12785" spans="1:7" x14ac:dyDescent="0.3">
      <c r="A12785" s="1" t="s">
        <v>58</v>
      </c>
      <c r="B12785" s="2" t="str">
        <f>""</f>
        <v/>
      </c>
      <c r="C12785" s="2" t="str">
        <f>""</f>
        <v/>
      </c>
      <c r="D12785" s="2" t="str">
        <f>""</f>
        <v/>
      </c>
      <c r="E12785" s="2" t="str">
        <f>""</f>
        <v/>
      </c>
      <c r="F12785" s="2" t="str">
        <f>""</f>
        <v/>
      </c>
      <c r="G12785" s="2" t="str">
        <f>"MVSaude / Atendimento / Autorizações de Guias / Internação / Relatórios ()"</f>
        <v>MVSaude / Atendimento / Autorizações de Guias / Internação / Relatórios ()</v>
      </c>
    </row>
    <row r="12786" spans="1:7" x14ac:dyDescent="0.3">
      <c r="A12786" s="1" t="s">
        <v>58</v>
      </c>
      <c r="B12786" s="2" t="str">
        <f>""</f>
        <v/>
      </c>
      <c r="C12786" s="2" t="str">
        <f>""</f>
        <v/>
      </c>
      <c r="D12786" s="2" t="str">
        <f>""</f>
        <v/>
      </c>
      <c r="E12786" s="2" t="str">
        <f>""</f>
        <v/>
      </c>
      <c r="F12786" s="2" t="str">
        <f>""</f>
        <v/>
      </c>
      <c r="G12786" s="2" t="str">
        <f>"MVSaude / Atendimento / Autorizações de Guias / Internação / Relatórios / Declarações e Termos ()"</f>
        <v>MVSaude / Atendimento / Autorizações de Guias / Internação / Relatórios / Declarações e Termos ()</v>
      </c>
    </row>
    <row r="12787" spans="1:7" x14ac:dyDescent="0.3">
      <c r="A12787" s="1" t="s">
        <v>58</v>
      </c>
      <c r="B12787" s="2" t="str">
        <f>""</f>
        <v/>
      </c>
      <c r="C12787" s="2" t="str">
        <f>""</f>
        <v/>
      </c>
      <c r="D12787" s="2" t="str">
        <f>""</f>
        <v/>
      </c>
      <c r="E12787" s="2" t="str">
        <f>""</f>
        <v/>
      </c>
      <c r="F12787" s="2" t="str">
        <f>""</f>
        <v/>
      </c>
      <c r="G12787" s="2" t="str">
        <f>"MVSaude / Atendimento / Autorizações de Guias / Internação / Relatórios / Tabelas ()"</f>
        <v>MVSaude / Atendimento / Autorizações de Guias / Internação / Relatórios / Tabelas ()</v>
      </c>
    </row>
    <row r="12788" spans="1:7" x14ac:dyDescent="0.3">
      <c r="A12788" s="1" t="s">
        <v>58</v>
      </c>
      <c r="B12788" s="2" t="str">
        <f>""</f>
        <v/>
      </c>
      <c r="C12788" s="2" t="str">
        <f>""</f>
        <v/>
      </c>
      <c r="D12788" s="2" t="str">
        <f>""</f>
        <v/>
      </c>
      <c r="E12788" s="2" t="str">
        <f>""</f>
        <v/>
      </c>
      <c r="F12788" s="2" t="str">
        <f>""</f>
        <v/>
      </c>
      <c r="G12788" s="2" t="str">
        <f>"MVSaude / Atendimento / Autorizações de Guias / Internação ()"</f>
        <v>MVSaude / Atendimento / Autorizações de Guias / Internação ()</v>
      </c>
    </row>
    <row r="12789" spans="1:7" x14ac:dyDescent="0.3">
      <c r="A12789" s="1" t="s">
        <v>58</v>
      </c>
      <c r="B12789" s="2" t="str">
        <f>""</f>
        <v/>
      </c>
      <c r="C12789" s="2" t="str">
        <f>""</f>
        <v/>
      </c>
      <c r="D12789" s="2" t="str">
        <f>""</f>
        <v/>
      </c>
      <c r="E12789" s="2" t="str">
        <f>""</f>
        <v/>
      </c>
      <c r="F12789" s="2" t="str">
        <f>""</f>
        <v/>
      </c>
      <c r="G12789" s="2" t="str">
        <f>"MVSaude / Atendimento / Autorizações de Guias / Internação / Atendimento ()"</f>
        <v>MVSaude / Atendimento / Autorizações de Guias / Internação / Atendimento ()</v>
      </c>
    </row>
    <row r="12790" spans="1:7" x14ac:dyDescent="0.3">
      <c r="A12790" s="1" t="s">
        <v>58</v>
      </c>
      <c r="B12790" s="2" t="str">
        <f>""</f>
        <v/>
      </c>
      <c r="C12790" s="2" t="str">
        <f>""</f>
        <v/>
      </c>
      <c r="D12790" s="2" t="str">
        <f>""</f>
        <v/>
      </c>
      <c r="E12790" s="2" t="str">
        <f>""</f>
        <v/>
      </c>
      <c r="F12790" s="2" t="str">
        <f>""</f>
        <v/>
      </c>
      <c r="G12790" s="2" t="str">
        <f>"MVSaude / Atendimento / Autorizações de Guias / Internação / Atendimento / Alta ()"</f>
        <v>MVSaude / Atendimento / Autorizações de Guias / Internação / Atendimento / Alta ()</v>
      </c>
    </row>
    <row r="12791" spans="1:7" x14ac:dyDescent="0.3">
      <c r="A12791" s="1" t="s">
        <v>58</v>
      </c>
      <c r="B12791" s="2" t="str">
        <f>""</f>
        <v/>
      </c>
      <c r="C12791" s="2" t="str">
        <f>""</f>
        <v/>
      </c>
      <c r="D12791" s="2" t="str">
        <f>""</f>
        <v/>
      </c>
      <c r="E12791" s="2" t="str">
        <f>""</f>
        <v/>
      </c>
      <c r="F12791" s="2" t="str">
        <f>""</f>
        <v/>
      </c>
      <c r="G12791" s="2" t="str">
        <f>"MVSaude / Atendimento / Autorizações de Guias / Internação / Atendimento / Alta / Efetivação ()"</f>
        <v>MVSaude / Atendimento / Autorizações de Guias / Internação / Atendimento / Alta / Efetivação ()</v>
      </c>
    </row>
    <row r="12792" spans="1:7" x14ac:dyDescent="0.3">
      <c r="A12792" s="1" t="s">
        <v>58</v>
      </c>
      <c r="B12792" s="2" t="str">
        <f>""</f>
        <v/>
      </c>
      <c r="C12792" s="2" t="str">
        <f>""</f>
        <v/>
      </c>
      <c r="D12792" s="2" t="str">
        <f>""</f>
        <v/>
      </c>
      <c r="E12792" s="2" t="str">
        <f>""</f>
        <v/>
      </c>
      <c r="F12792" s="2" t="str">
        <f>""</f>
        <v/>
      </c>
      <c r="G12792" s="2" t="str">
        <f>"MVSaude / Atendimento / Autorizações de Guias / Internação / Atendimento / Alta / Cancelamento ()"</f>
        <v>MVSaude / Atendimento / Autorizações de Guias / Internação / Atendimento / Alta / Cancelamento ()</v>
      </c>
    </row>
    <row r="12793" spans="1:7" x14ac:dyDescent="0.3">
      <c r="A12793" s="1" t="s">
        <v>58</v>
      </c>
      <c r="B12793" s="2" t="str">
        <f>""</f>
        <v/>
      </c>
      <c r="C12793" s="2" t="str">
        <f>""</f>
        <v/>
      </c>
      <c r="D12793" s="2" t="str">
        <f>""</f>
        <v/>
      </c>
      <c r="E12793" s="2" t="str">
        <f>""</f>
        <v/>
      </c>
      <c r="F12793" s="2" t="str">
        <f>""</f>
        <v/>
      </c>
      <c r="G12793" s="2" t="str">
        <f>"MVSaude / Atendimento / Autorizações de Guias / Internação / Atendimento / Transferência de Paciente ()"</f>
        <v>MVSaude / Atendimento / Autorizações de Guias / Internação / Atendimento / Transferência de Paciente ()</v>
      </c>
    </row>
    <row r="12794" spans="1:7" x14ac:dyDescent="0.3">
      <c r="A12794" s="1" t="s">
        <v>58</v>
      </c>
      <c r="B12794" s="2" t="str">
        <f>""</f>
        <v/>
      </c>
      <c r="C12794" s="2" t="str">
        <f>""</f>
        <v/>
      </c>
      <c r="D12794" s="2" t="str">
        <f>""</f>
        <v/>
      </c>
      <c r="E12794" s="2" t="str">
        <f>""</f>
        <v/>
      </c>
      <c r="F12794" s="2" t="str">
        <f>""</f>
        <v/>
      </c>
      <c r="G12794" s="2" t="str">
        <f>"MVSaude / Atendimento / Autorizações de Guias / Internação / Atendimento / Registros ()"</f>
        <v>MVSaude / Atendimento / Autorizações de Guias / Internação / Atendimento / Registros ()</v>
      </c>
    </row>
    <row r="12795" spans="1:7" x14ac:dyDescent="0.3">
      <c r="A12795" s="1" t="s">
        <v>58</v>
      </c>
      <c r="B12795" s="2" t="str">
        <f>""</f>
        <v/>
      </c>
      <c r="C12795" s="2" t="str">
        <f>""</f>
        <v/>
      </c>
      <c r="D12795" s="2" t="str">
        <f>""</f>
        <v/>
      </c>
      <c r="E12795" s="2" t="str">
        <f>""</f>
        <v/>
      </c>
      <c r="F12795" s="2" t="str">
        <f>""</f>
        <v/>
      </c>
      <c r="G12795" s="2" t="str">
        <f>"MVSaude / Atendimento / Autorizações de Guias / Internação / Atendimento / Depósito de Pagamento Antecipado ()"</f>
        <v>MVSaude / Atendimento / Autorizações de Guias / Internação / Atendimento / Depósito de Pagamento Antecipado ()</v>
      </c>
    </row>
    <row r="12796" spans="1:7" x14ac:dyDescent="0.3">
      <c r="A12796" s="1" t="s">
        <v>58</v>
      </c>
      <c r="B12796" s="2" t="str">
        <f>""</f>
        <v/>
      </c>
      <c r="C12796" s="2" t="str">
        <f>""</f>
        <v/>
      </c>
      <c r="D12796" s="2" t="str">
        <f>""</f>
        <v/>
      </c>
      <c r="E12796" s="2" t="str">
        <f>""</f>
        <v/>
      </c>
      <c r="F12796" s="2" t="str">
        <f>""</f>
        <v/>
      </c>
      <c r="G12796" s="2" t="str">
        <f>"Faturamento / Faturamento SUS - Siscolo / Processos ()"</f>
        <v>Faturamento / Faturamento SUS - Siscolo / Processos ()</v>
      </c>
    </row>
    <row r="12797" spans="1:7" x14ac:dyDescent="0.3">
      <c r="A12797" s="1" t="s">
        <v>58</v>
      </c>
      <c r="B12797" s="2" t="str">
        <f>""</f>
        <v/>
      </c>
      <c r="C12797" s="2" t="str">
        <f>""</f>
        <v/>
      </c>
      <c r="D12797" s="2" t="str">
        <f>""</f>
        <v/>
      </c>
      <c r="E12797" s="2" t="str">
        <f>""</f>
        <v/>
      </c>
      <c r="F12797" s="2" t="str">
        <f>""</f>
        <v/>
      </c>
      <c r="G12797" s="2" t="s">
        <v>10</v>
      </c>
    </row>
    <row r="12798" spans="1:7" x14ac:dyDescent="0.3">
      <c r="A12798" s="1" t="s">
        <v>58</v>
      </c>
      <c r="B12798" s="2" t="str">
        <f>""</f>
        <v/>
      </c>
      <c r="C12798" s="2" t="str">
        <f>""</f>
        <v/>
      </c>
      <c r="D12798" s="2" t="str">
        <f>""</f>
        <v/>
      </c>
      <c r="E12798" s="2" t="str">
        <f>""</f>
        <v/>
      </c>
      <c r="F12798" s="2" t="str">
        <f>""</f>
        <v/>
      </c>
      <c r="G12798" s="2" t="s">
        <v>10</v>
      </c>
    </row>
    <row r="12799" spans="1:7" x14ac:dyDescent="0.3">
      <c r="A12799" s="1" t="s">
        <v>58</v>
      </c>
      <c r="B12799" s="2" t="str">
        <f>""</f>
        <v/>
      </c>
      <c r="C12799" s="2" t="str">
        <f>""</f>
        <v/>
      </c>
      <c r="D12799" s="2" t="str">
        <f>""</f>
        <v/>
      </c>
      <c r="E12799" s="2" t="str">
        <f>""</f>
        <v/>
      </c>
      <c r="F12799" s="2" t="str">
        <f>""</f>
        <v/>
      </c>
      <c r="G12799" s="2" t="s">
        <v>10</v>
      </c>
    </row>
    <row r="12800" spans="1:7" x14ac:dyDescent="0.3">
      <c r="A12800" s="1" t="s">
        <v>58</v>
      </c>
      <c r="B12800" s="2" t="str">
        <f>""</f>
        <v/>
      </c>
      <c r="C12800" s="2" t="str">
        <f>""</f>
        <v/>
      </c>
      <c r="D12800" s="2" t="str">
        <f>""</f>
        <v/>
      </c>
      <c r="E12800" s="2" t="str">
        <f>""</f>
        <v/>
      </c>
      <c r="F12800" s="2" t="str">
        <f>""</f>
        <v/>
      </c>
      <c r="G12800" s="2" t="s">
        <v>10</v>
      </c>
    </row>
    <row r="12801" spans="1:7" x14ac:dyDescent="0.3">
      <c r="A12801" s="1" t="s">
        <v>58</v>
      </c>
      <c r="B12801" s="2" t="str">
        <f>""</f>
        <v/>
      </c>
      <c r="C12801" s="2" t="str">
        <f>""</f>
        <v/>
      </c>
      <c r="D12801" s="2" t="str">
        <f>""</f>
        <v/>
      </c>
      <c r="E12801" s="2" t="str">
        <f>""</f>
        <v/>
      </c>
      <c r="F12801" s="2" t="str">
        <f>""</f>
        <v/>
      </c>
      <c r="G12801" s="2" t="s">
        <v>10</v>
      </c>
    </row>
    <row r="12802" spans="1:7" x14ac:dyDescent="0.3">
      <c r="A12802" s="1" t="s">
        <v>58</v>
      </c>
      <c r="B12802" s="2" t="str">
        <f>""</f>
        <v/>
      </c>
      <c r="C12802" s="2" t="str">
        <f>""</f>
        <v/>
      </c>
      <c r="D12802" s="2" t="str">
        <f>""</f>
        <v/>
      </c>
      <c r="E12802" s="2" t="str">
        <f>""</f>
        <v/>
      </c>
      <c r="F12802" s="2" t="str">
        <f>""</f>
        <v/>
      </c>
      <c r="G12802" s="2" t="s">
        <v>10</v>
      </c>
    </row>
    <row r="12803" spans="1:7" x14ac:dyDescent="0.3">
      <c r="A12803" s="1" t="s">
        <v>58</v>
      </c>
      <c r="B12803" s="2" t="str">
        <f>""</f>
        <v/>
      </c>
      <c r="C12803" s="2" t="str">
        <f>""</f>
        <v/>
      </c>
      <c r="D12803" s="2" t="str">
        <f>""</f>
        <v/>
      </c>
      <c r="E12803" s="2" t="str">
        <f>""</f>
        <v/>
      </c>
      <c r="F12803" s="2" t="str">
        <f>""</f>
        <v/>
      </c>
      <c r="G12803" s="2" t="s">
        <v>10</v>
      </c>
    </row>
    <row r="12804" spans="1:7" x14ac:dyDescent="0.3">
      <c r="A12804" s="1" t="s">
        <v>58</v>
      </c>
      <c r="B12804" s="2" t="str">
        <f>""</f>
        <v/>
      </c>
      <c r="C12804" s="2" t="str">
        <f>""</f>
        <v/>
      </c>
      <c r="D12804" s="2" t="str">
        <f>""</f>
        <v/>
      </c>
      <c r="E12804" s="2" t="str">
        <f>""</f>
        <v/>
      </c>
      <c r="F12804" s="2" t="str">
        <f>""</f>
        <v/>
      </c>
      <c r="G12804" s="2" t="s">
        <v>10</v>
      </c>
    </row>
    <row r="12805" spans="1:7" x14ac:dyDescent="0.3">
      <c r="A12805" s="1" t="s">
        <v>58</v>
      </c>
      <c r="B12805" s="2" t="str">
        <f>""</f>
        <v/>
      </c>
      <c r="C12805" s="2" t="str">
        <f>""</f>
        <v/>
      </c>
      <c r="D12805" s="2" t="str">
        <f>""</f>
        <v/>
      </c>
      <c r="E12805" s="2" t="str">
        <f>""</f>
        <v/>
      </c>
      <c r="F12805" s="2" t="str">
        <f>""</f>
        <v/>
      </c>
      <c r="G12805" s="2" t="s">
        <v>10</v>
      </c>
    </row>
    <row r="12806" spans="1:7" x14ac:dyDescent="0.3">
      <c r="A12806" s="1" t="s">
        <v>58</v>
      </c>
      <c r="B12806" s="2" t="str">
        <f>""</f>
        <v/>
      </c>
      <c r="C12806" s="2" t="str">
        <f>""</f>
        <v/>
      </c>
      <c r="D12806" s="2" t="str">
        <f>""</f>
        <v/>
      </c>
      <c r="E12806" s="2" t="str">
        <f>""</f>
        <v/>
      </c>
      <c r="F12806" s="2" t="str">
        <f>""</f>
        <v/>
      </c>
      <c r="G12806" s="2" t="s">
        <v>10</v>
      </c>
    </row>
    <row r="12807" spans="1:7" x14ac:dyDescent="0.3">
      <c r="A12807" s="1" t="s">
        <v>58</v>
      </c>
      <c r="B12807" s="2" t="str">
        <f>""</f>
        <v/>
      </c>
      <c r="C12807" s="2" t="str">
        <f>""</f>
        <v/>
      </c>
      <c r="D12807" s="2" t="str">
        <f>""</f>
        <v/>
      </c>
      <c r="E12807" s="2" t="str">
        <f>""</f>
        <v/>
      </c>
      <c r="F12807" s="2" t="str">
        <f>""</f>
        <v/>
      </c>
      <c r="G12807" s="2" t="s">
        <v>10</v>
      </c>
    </row>
    <row r="12808" spans="1:7" x14ac:dyDescent="0.3">
      <c r="A12808" s="1" t="s">
        <v>58</v>
      </c>
      <c r="B12808" s="2" t="str">
        <f>""</f>
        <v/>
      </c>
      <c r="C12808" s="2" t="str">
        <f>""</f>
        <v/>
      </c>
      <c r="D12808" s="2" t="str">
        <f>""</f>
        <v/>
      </c>
      <c r="E12808" s="2" t="str">
        <f>""</f>
        <v/>
      </c>
      <c r="F12808" s="2" t="str">
        <f>""</f>
        <v/>
      </c>
      <c r="G12808" s="2" t="s">
        <v>10</v>
      </c>
    </row>
    <row r="12809" spans="1:7" x14ac:dyDescent="0.3">
      <c r="A12809" s="1" t="s">
        <v>58</v>
      </c>
      <c r="B12809" s="2" t="str">
        <f>""</f>
        <v/>
      </c>
      <c r="C12809" s="2" t="str">
        <f>""</f>
        <v/>
      </c>
      <c r="D12809" s="2" t="str">
        <f>""</f>
        <v/>
      </c>
      <c r="E12809" s="2" t="str">
        <f>""</f>
        <v/>
      </c>
      <c r="F12809" s="2" t="str">
        <f>""</f>
        <v/>
      </c>
      <c r="G12809" s="2" t="s">
        <v>10</v>
      </c>
    </row>
    <row r="12810" spans="1:7" x14ac:dyDescent="0.3">
      <c r="A12810" s="1" t="s">
        <v>58</v>
      </c>
      <c r="B12810" s="2" t="str">
        <f>""</f>
        <v/>
      </c>
      <c r="C12810" s="2" t="str">
        <f>""</f>
        <v/>
      </c>
      <c r="D12810" s="2" t="str">
        <f>""</f>
        <v/>
      </c>
      <c r="E12810" s="2" t="str">
        <f>""</f>
        <v/>
      </c>
      <c r="F12810" s="2" t="str">
        <f>""</f>
        <v/>
      </c>
      <c r="G12810" s="2" t="s">
        <v>10</v>
      </c>
    </row>
    <row r="12811" spans="1:7" x14ac:dyDescent="0.3">
      <c r="A12811" s="1" t="s">
        <v>58</v>
      </c>
      <c r="B12811" s="2" t="str">
        <f>""</f>
        <v/>
      </c>
      <c r="C12811" s="2" t="str">
        <f>""</f>
        <v/>
      </c>
      <c r="D12811" s="2" t="str">
        <f>""</f>
        <v/>
      </c>
      <c r="E12811" s="2" t="str">
        <f>""</f>
        <v/>
      </c>
      <c r="F12811" s="2" t="str">
        <f>""</f>
        <v/>
      </c>
      <c r="G12811" s="2" t="s">
        <v>10</v>
      </c>
    </row>
    <row r="12812" spans="1:7" x14ac:dyDescent="0.3">
      <c r="A12812" s="1" t="s">
        <v>58</v>
      </c>
      <c r="B12812" s="2" t="str">
        <f>""</f>
        <v/>
      </c>
      <c r="C12812" s="2" t="str">
        <f>""</f>
        <v/>
      </c>
      <c r="D12812" s="2" t="str">
        <f>""</f>
        <v/>
      </c>
      <c r="E12812" s="2" t="str">
        <f>""</f>
        <v/>
      </c>
      <c r="F12812" s="2" t="str">
        <f>""</f>
        <v/>
      </c>
      <c r="G12812" s="2" t="s">
        <v>10</v>
      </c>
    </row>
    <row r="12813" spans="1:7" x14ac:dyDescent="0.3">
      <c r="A12813" s="1" t="s">
        <v>58</v>
      </c>
      <c r="B12813" s="2" t="str">
        <f>""</f>
        <v/>
      </c>
      <c r="C12813" s="2" t="str">
        <f>""</f>
        <v/>
      </c>
      <c r="D12813" s="2" t="str">
        <f>""</f>
        <v/>
      </c>
      <c r="E12813" s="2" t="str">
        <f>""</f>
        <v/>
      </c>
      <c r="F12813" s="2" t="str">
        <f>""</f>
        <v/>
      </c>
      <c r="G12813" s="2" t="s">
        <v>10</v>
      </c>
    </row>
    <row r="12814" spans="1:7" x14ac:dyDescent="0.3">
      <c r="A12814" s="1" t="s">
        <v>58</v>
      </c>
      <c r="B12814" s="2" t="str">
        <f>""</f>
        <v/>
      </c>
      <c r="C12814" s="2" t="str">
        <f>""</f>
        <v/>
      </c>
      <c r="D12814" s="2" t="str">
        <f>""</f>
        <v/>
      </c>
      <c r="E12814" s="2" t="str">
        <f>""</f>
        <v/>
      </c>
      <c r="F12814" s="2" t="str">
        <f>""</f>
        <v/>
      </c>
      <c r="G12814" s="2" t="s">
        <v>10</v>
      </c>
    </row>
    <row r="12815" spans="1:7" x14ac:dyDescent="0.3">
      <c r="A12815" s="1" t="s">
        <v>58</v>
      </c>
      <c r="B12815" s="2" t="str">
        <f>""</f>
        <v/>
      </c>
      <c r="C12815" s="2" t="str">
        <f>""</f>
        <v/>
      </c>
      <c r="D12815" s="2" t="str">
        <f>""</f>
        <v/>
      </c>
      <c r="E12815" s="2" t="str">
        <f>""</f>
        <v/>
      </c>
      <c r="F12815" s="2" t="str">
        <f>""</f>
        <v/>
      </c>
      <c r="G12815" s="2" t="s">
        <v>10</v>
      </c>
    </row>
    <row r="12816" spans="1:7" x14ac:dyDescent="0.3">
      <c r="A12816" s="1" t="s">
        <v>58</v>
      </c>
      <c r="B12816" s="2" t="str">
        <f>""</f>
        <v/>
      </c>
      <c r="C12816" s="2" t="str">
        <f>""</f>
        <v/>
      </c>
      <c r="D12816" s="2" t="str">
        <f>""</f>
        <v/>
      </c>
      <c r="E12816" s="2" t="str">
        <f>""</f>
        <v/>
      </c>
      <c r="F12816" s="2" t="str">
        <f>""</f>
        <v/>
      </c>
      <c r="G12816" s="2" t="s">
        <v>10</v>
      </c>
    </row>
    <row r="12817" spans="1:7" x14ac:dyDescent="0.3">
      <c r="A12817" s="1" t="s">
        <v>58</v>
      </c>
      <c r="B12817" s="2" t="str">
        <f>""</f>
        <v/>
      </c>
      <c r="C12817" s="2" t="str">
        <f>""</f>
        <v/>
      </c>
      <c r="D12817" s="2" t="str">
        <f>""</f>
        <v/>
      </c>
      <c r="E12817" s="2" t="str">
        <f>""</f>
        <v/>
      </c>
      <c r="F12817" s="2" t="str">
        <f>""</f>
        <v/>
      </c>
      <c r="G12817" s="2" t="s">
        <v>10</v>
      </c>
    </row>
    <row r="12818" spans="1:7" x14ac:dyDescent="0.3">
      <c r="A12818" s="1" t="s">
        <v>58</v>
      </c>
      <c r="B12818" s="2" t="str">
        <f>""</f>
        <v/>
      </c>
      <c r="C12818" s="2" t="str">
        <f>""</f>
        <v/>
      </c>
      <c r="D12818" s="2" t="str">
        <f>""</f>
        <v/>
      </c>
      <c r="E12818" s="2" t="str">
        <f>""</f>
        <v/>
      </c>
      <c r="F12818" s="2" t="str">
        <f>""</f>
        <v/>
      </c>
      <c r="G12818" s="2" t="s">
        <v>10</v>
      </c>
    </row>
    <row r="12819" spans="1:7" x14ac:dyDescent="0.3">
      <c r="A12819" s="1" t="s">
        <v>58</v>
      </c>
      <c r="B12819" s="2" t="str">
        <f>""</f>
        <v/>
      </c>
      <c r="C12819" s="2" t="str">
        <f>""</f>
        <v/>
      </c>
      <c r="D12819" s="2" t="str">
        <f>""</f>
        <v/>
      </c>
      <c r="E12819" s="2" t="str">
        <f>""</f>
        <v/>
      </c>
      <c r="F12819" s="2" t="str">
        <f>""</f>
        <v/>
      </c>
      <c r="G12819" s="2" t="s">
        <v>10</v>
      </c>
    </row>
    <row r="12820" spans="1:7" x14ac:dyDescent="0.3">
      <c r="A12820" s="1" t="s">
        <v>58</v>
      </c>
      <c r="B12820" s="2" t="str">
        <f>""</f>
        <v/>
      </c>
      <c r="C12820" s="2" t="str">
        <f>""</f>
        <v/>
      </c>
      <c r="D12820" s="2" t="str">
        <f>""</f>
        <v/>
      </c>
      <c r="E12820" s="2" t="str">
        <f>""</f>
        <v/>
      </c>
      <c r="F12820" s="2" t="str">
        <f>""</f>
        <v/>
      </c>
      <c r="G12820" s="2" t="s">
        <v>10</v>
      </c>
    </row>
    <row r="12821" spans="1:7" x14ac:dyDescent="0.3">
      <c r="A12821" s="1" t="s">
        <v>58</v>
      </c>
      <c r="B12821" s="2" t="str">
        <f>""</f>
        <v/>
      </c>
      <c r="C12821" s="2" t="str">
        <f>""</f>
        <v/>
      </c>
      <c r="D12821" s="2" t="str">
        <f>""</f>
        <v/>
      </c>
      <c r="E12821" s="2" t="str">
        <f>""</f>
        <v/>
      </c>
      <c r="F12821" s="2" t="str">
        <f>""</f>
        <v/>
      </c>
      <c r="G12821" s="2" t="s">
        <v>10</v>
      </c>
    </row>
    <row r="12822" spans="1:7" x14ac:dyDescent="0.3">
      <c r="A12822" s="1" t="s">
        <v>58</v>
      </c>
      <c r="B12822" s="2" t="str">
        <f>""</f>
        <v/>
      </c>
      <c r="C12822" s="2" t="str">
        <f>""</f>
        <v/>
      </c>
      <c r="D12822" s="2" t="str">
        <f>""</f>
        <v/>
      </c>
      <c r="E12822" s="2" t="str">
        <f>""</f>
        <v/>
      </c>
      <c r="F12822" s="2" t="str">
        <f>""</f>
        <v/>
      </c>
      <c r="G12822" s="2" t="s">
        <v>10</v>
      </c>
    </row>
    <row r="12823" spans="1:7" x14ac:dyDescent="0.3">
      <c r="A12823" s="1" t="s">
        <v>58</v>
      </c>
      <c r="B12823" s="2" t="str">
        <f>""</f>
        <v/>
      </c>
      <c r="C12823" s="2" t="str">
        <f>""</f>
        <v/>
      </c>
      <c r="D12823" s="2" t="str">
        <f>""</f>
        <v/>
      </c>
      <c r="E12823" s="2" t="str">
        <f>""</f>
        <v/>
      </c>
      <c r="F12823" s="2" t="str">
        <f>""</f>
        <v/>
      </c>
      <c r="G12823" s="2" t="s">
        <v>10</v>
      </c>
    </row>
    <row r="12824" spans="1:7" x14ac:dyDescent="0.3">
      <c r="A12824" s="1" t="s">
        <v>58</v>
      </c>
      <c r="B12824" s="2" t="str">
        <f>""</f>
        <v/>
      </c>
      <c r="C12824" s="2" t="str">
        <f>""</f>
        <v/>
      </c>
      <c r="D12824" s="2" t="str">
        <f>""</f>
        <v/>
      </c>
      <c r="E12824" s="2" t="str">
        <f>""</f>
        <v/>
      </c>
      <c r="F12824" s="2" t="str">
        <f>""</f>
        <v/>
      </c>
      <c r="G12824" s="2" t="s">
        <v>10</v>
      </c>
    </row>
    <row r="12825" spans="1:7" x14ac:dyDescent="0.3">
      <c r="A12825" s="1" t="s">
        <v>58</v>
      </c>
      <c r="B12825" s="2" t="str">
        <f>""</f>
        <v/>
      </c>
      <c r="C12825" s="2" t="str">
        <f>""</f>
        <v/>
      </c>
      <c r="D12825" s="2" t="str">
        <f>""</f>
        <v/>
      </c>
      <c r="E12825" s="2" t="str">
        <f>""</f>
        <v/>
      </c>
      <c r="F12825" s="2" t="str">
        <f>""</f>
        <v/>
      </c>
      <c r="G12825" s="2" t="s">
        <v>10</v>
      </c>
    </row>
    <row r="12826" spans="1:7" x14ac:dyDescent="0.3">
      <c r="A12826" s="1" t="s">
        <v>58</v>
      </c>
      <c r="B12826" s="2" t="str">
        <f>""</f>
        <v/>
      </c>
      <c r="C12826" s="2" t="str">
        <f>""</f>
        <v/>
      </c>
      <c r="D12826" s="2" t="str">
        <f>""</f>
        <v/>
      </c>
      <c r="E12826" s="2" t="str">
        <f>""</f>
        <v/>
      </c>
      <c r="F12826" s="2" t="str">
        <f>""</f>
        <v/>
      </c>
      <c r="G12826" s="2" t="s">
        <v>10</v>
      </c>
    </row>
    <row r="12827" spans="1:7" x14ac:dyDescent="0.3">
      <c r="A12827" s="1" t="s">
        <v>58</v>
      </c>
      <c r="B12827" s="2" t="str">
        <f>""</f>
        <v/>
      </c>
      <c r="C12827" s="2" t="str">
        <f>""</f>
        <v/>
      </c>
      <c r="D12827" s="2" t="str">
        <f>""</f>
        <v/>
      </c>
      <c r="E12827" s="2" t="str">
        <f>""</f>
        <v/>
      </c>
      <c r="F12827" s="2" t="str">
        <f>""</f>
        <v/>
      </c>
      <c r="G12827" s="2" t="s">
        <v>10</v>
      </c>
    </row>
    <row r="12828" spans="1:7" x14ac:dyDescent="0.3">
      <c r="A12828" s="1" t="s">
        <v>58</v>
      </c>
      <c r="B12828" s="2" t="str">
        <f>""</f>
        <v/>
      </c>
      <c r="C12828" s="2" t="str">
        <f>""</f>
        <v/>
      </c>
      <c r="D12828" s="2" t="str">
        <f>""</f>
        <v/>
      </c>
      <c r="E12828" s="2" t="str">
        <f>""</f>
        <v/>
      </c>
      <c r="F12828" s="2" t="str">
        <f>""</f>
        <v/>
      </c>
      <c r="G12828" s="2" t="s">
        <v>10</v>
      </c>
    </row>
    <row r="12829" spans="1:7" x14ac:dyDescent="0.3">
      <c r="A12829" s="1" t="s">
        <v>58</v>
      </c>
      <c r="B12829" s="2" t="str">
        <f>""</f>
        <v/>
      </c>
      <c r="C12829" s="2" t="str">
        <f>""</f>
        <v/>
      </c>
      <c r="D12829" s="2" t="str">
        <f>""</f>
        <v/>
      </c>
      <c r="E12829" s="2" t="str">
        <f>""</f>
        <v/>
      </c>
      <c r="F12829" s="2" t="str">
        <f>""</f>
        <v/>
      </c>
      <c r="G12829" s="2" t="s">
        <v>10</v>
      </c>
    </row>
    <row r="12830" spans="1:7" x14ac:dyDescent="0.3">
      <c r="A12830" s="1" t="s">
        <v>58</v>
      </c>
      <c r="B12830" s="2" t="str">
        <f>""</f>
        <v/>
      </c>
      <c r="C12830" s="2" t="str">
        <f>""</f>
        <v/>
      </c>
      <c r="D12830" s="2" t="str">
        <f>""</f>
        <v/>
      </c>
      <c r="E12830" s="2" t="str">
        <f>""</f>
        <v/>
      </c>
      <c r="F12830" s="2" t="str">
        <f>""</f>
        <v/>
      </c>
      <c r="G12830" s="2" t="s">
        <v>10</v>
      </c>
    </row>
    <row r="12831" spans="1:7" x14ac:dyDescent="0.3">
      <c r="A12831" s="1" t="s">
        <v>58</v>
      </c>
      <c r="B12831" s="2" t="str">
        <f>""</f>
        <v/>
      </c>
      <c r="C12831" s="2" t="str">
        <f>""</f>
        <v/>
      </c>
      <c r="D12831" s="2" t="str">
        <f>""</f>
        <v/>
      </c>
      <c r="E12831" s="2" t="str">
        <f>""</f>
        <v/>
      </c>
      <c r="F12831" s="2" t="str">
        <f>""</f>
        <v/>
      </c>
      <c r="G12831" s="2" t="s">
        <v>10</v>
      </c>
    </row>
    <row r="12832" spans="1:7" x14ac:dyDescent="0.3">
      <c r="A12832" s="1" t="s">
        <v>58</v>
      </c>
      <c r="B12832" s="2" t="str">
        <f>""</f>
        <v/>
      </c>
      <c r="C12832" s="2" t="str">
        <f>""</f>
        <v/>
      </c>
      <c r="D12832" s="2" t="str">
        <f>""</f>
        <v/>
      </c>
      <c r="E12832" s="2" t="str">
        <f>""</f>
        <v/>
      </c>
      <c r="F12832" s="2" t="str">
        <f>""</f>
        <v/>
      </c>
      <c r="G12832" s="2" t="str">
        <f>"Atendimento / Internação / Relatórios / Declarações e Termos ()"</f>
        <v>Atendimento / Internação / Relatórios / Declarações e Termos ()</v>
      </c>
    </row>
    <row r="12833" spans="1:7" x14ac:dyDescent="0.3">
      <c r="A12833" s="1" t="s">
        <v>58</v>
      </c>
      <c r="B12833" s="2" t="str">
        <f>""</f>
        <v/>
      </c>
      <c r="C12833" s="2" t="str">
        <f>""</f>
        <v/>
      </c>
      <c r="D12833" s="2" t="str">
        <f>""</f>
        <v/>
      </c>
      <c r="E12833" s="2" t="str">
        <f>""</f>
        <v/>
      </c>
      <c r="F12833" s="2" t="str">
        <f>""</f>
        <v/>
      </c>
      <c r="G12833" s="2" t="str">
        <f>"Atendimento / Internação / Relatórios / Tabelas ()"</f>
        <v>Atendimento / Internação / Relatórios / Tabelas ()</v>
      </c>
    </row>
    <row r="12834" spans="1:7" x14ac:dyDescent="0.3">
      <c r="A12834" s="1" t="s">
        <v>58</v>
      </c>
      <c r="B12834" s="2" t="str">
        <f>""</f>
        <v/>
      </c>
      <c r="C12834" s="2" t="str">
        <f>""</f>
        <v/>
      </c>
      <c r="D12834" s="2" t="str">
        <f>""</f>
        <v/>
      </c>
      <c r="E12834" s="2" t="str">
        <f>""</f>
        <v/>
      </c>
      <c r="F12834" s="2" t="str">
        <f>""</f>
        <v/>
      </c>
      <c r="G12834" s="2" t="str">
        <f>"Atendimento / Internação / Relatórios / Operacionais ()"</f>
        <v>Atendimento / Internação / Relatórios / Operacionais ()</v>
      </c>
    </row>
    <row r="12835" spans="1:7" x14ac:dyDescent="0.3">
      <c r="A12835" s="1" t="s">
        <v>58</v>
      </c>
      <c r="B12835" s="2" t="str">
        <f>""</f>
        <v/>
      </c>
      <c r="C12835" s="2" t="str">
        <f>""</f>
        <v/>
      </c>
      <c r="D12835" s="2" t="str">
        <f>""</f>
        <v/>
      </c>
      <c r="E12835" s="2" t="str">
        <f>""</f>
        <v/>
      </c>
      <c r="F12835" s="2" t="str">
        <f>""</f>
        <v/>
      </c>
      <c r="G12835" s="2" t="str">
        <f>"Atendimento / Internação / Relatórios / Estatísticos ()"</f>
        <v>Atendimento / Internação / Relatórios / Estatísticos ()</v>
      </c>
    </row>
    <row r="12836" spans="1:7" x14ac:dyDescent="0.3">
      <c r="A12836" s="1" t="s">
        <v>58</v>
      </c>
      <c r="B12836" s="2" t="str">
        <f>""</f>
        <v/>
      </c>
      <c r="C12836" s="2" t="str">
        <f>""</f>
        <v/>
      </c>
      <c r="D12836" s="2" t="str">
        <f>""</f>
        <v/>
      </c>
      <c r="E12836" s="2" t="str">
        <f>""</f>
        <v/>
      </c>
      <c r="F12836" s="2" t="str">
        <f>""</f>
        <v/>
      </c>
      <c r="G12836" s="2" t="str">
        <f>"Atendimento / Internação / Relatórios / Internados ()"</f>
        <v>Atendimento / Internação / Relatórios / Internados ()</v>
      </c>
    </row>
    <row r="12837" spans="1:7" x14ac:dyDescent="0.3">
      <c r="A12837" s="1" t="s">
        <v>58</v>
      </c>
      <c r="B12837" s="2" t="str">
        <f>""</f>
        <v/>
      </c>
      <c r="C12837" s="2" t="str">
        <f>""</f>
        <v/>
      </c>
      <c r="D12837" s="2" t="str">
        <f>""</f>
        <v/>
      </c>
      <c r="E12837" s="2" t="str">
        <f>""</f>
        <v/>
      </c>
      <c r="F12837" s="2" t="str">
        <f>""</f>
        <v/>
      </c>
      <c r="G12837" s="2" t="str">
        <f>"Atendimento / Internação / Relatórios / Movimentação ()"</f>
        <v>Atendimento / Internação / Relatórios / Movimentação ()</v>
      </c>
    </row>
    <row r="12838" spans="1:7" x14ac:dyDescent="0.3">
      <c r="A12838" s="1" t="s">
        <v>58</v>
      </c>
      <c r="B12838" s="2" t="str">
        <f>""</f>
        <v/>
      </c>
      <c r="C12838" s="2" t="str">
        <f>""</f>
        <v/>
      </c>
      <c r="D12838" s="2" t="str">
        <f>""</f>
        <v/>
      </c>
      <c r="E12838" s="2" t="str">
        <f>""</f>
        <v/>
      </c>
      <c r="F12838" s="2" t="str">
        <f>""</f>
        <v/>
      </c>
      <c r="G12838" s="2" t="str">
        <f>"Atendimento / Internação / Relatórios / AIH ()"</f>
        <v>Atendimento / Internação / Relatórios / AIH ()</v>
      </c>
    </row>
    <row r="12839" spans="1:7" x14ac:dyDescent="0.3">
      <c r="A12839" s="1" t="s">
        <v>58</v>
      </c>
      <c r="B12839" s="2" t="str">
        <f>""</f>
        <v/>
      </c>
      <c r="C12839" s="2" t="str">
        <f>""</f>
        <v/>
      </c>
      <c r="D12839" s="2" t="str">
        <f>""</f>
        <v/>
      </c>
      <c r="E12839" s="2" t="str">
        <f>""</f>
        <v/>
      </c>
      <c r="F12839" s="2" t="str">
        <f>""</f>
        <v/>
      </c>
      <c r="G12839" s="2" t="str">
        <f>"Atendimento / Internação / Relatórios / Operacionais / Pré-Internações ()"</f>
        <v>Atendimento / Internação / Relatórios / Operacionais / Pré-Internações ()</v>
      </c>
    </row>
    <row r="12840" spans="1:7" x14ac:dyDescent="0.3">
      <c r="A12840" s="1" t="s">
        <v>58</v>
      </c>
      <c r="B12840" s="2" t="str">
        <f>""</f>
        <v/>
      </c>
      <c r="C12840" s="2" t="str">
        <f>""</f>
        <v/>
      </c>
      <c r="D12840" s="2" t="str">
        <f>""</f>
        <v/>
      </c>
      <c r="E12840" s="2" t="str">
        <f>""</f>
        <v/>
      </c>
      <c r="F12840" s="2" t="str">
        <f>""</f>
        <v/>
      </c>
      <c r="G12840" s="2" t="str">
        <f>"Atendimento / Internação / Relatórios / Operacionais / Internações ()"</f>
        <v>Atendimento / Internação / Relatórios / Operacionais / Internações ()</v>
      </c>
    </row>
    <row r="12841" spans="1:7" x14ac:dyDescent="0.3">
      <c r="A12841" s="1" t="s">
        <v>58</v>
      </c>
      <c r="B12841" s="2" t="str">
        <f>""</f>
        <v/>
      </c>
      <c r="C12841" s="2" t="str">
        <f>""</f>
        <v/>
      </c>
      <c r="D12841" s="2" t="str">
        <f>""</f>
        <v/>
      </c>
      <c r="E12841" s="2" t="str">
        <f>""</f>
        <v/>
      </c>
      <c r="F12841" s="2" t="str">
        <f>""</f>
        <v/>
      </c>
      <c r="G12841" s="2" t="str">
        <f>"Atendimento / Internação / Relatórios / Operacionais / Altas ()"</f>
        <v>Atendimento / Internação / Relatórios / Operacionais / Altas ()</v>
      </c>
    </row>
    <row r="12842" spans="1:7" x14ac:dyDescent="0.3">
      <c r="A12842" s="1" t="s">
        <v>58</v>
      </c>
      <c r="B12842" s="2" t="str">
        <f>""</f>
        <v/>
      </c>
      <c r="C12842" s="2" t="str">
        <f>""</f>
        <v/>
      </c>
      <c r="D12842" s="2" t="str">
        <f>""</f>
        <v/>
      </c>
      <c r="E12842" s="2" t="str">
        <f>""</f>
        <v/>
      </c>
      <c r="F12842" s="2" t="str">
        <f>""</f>
        <v/>
      </c>
      <c r="G12842" s="2" t="str">
        <f>"Atendimento / Internação / Relatórios / Operacionais / Atendimentos ()"</f>
        <v>Atendimento / Internação / Relatórios / Operacionais / Atendimentos ()</v>
      </c>
    </row>
    <row r="12843" spans="1:7" x14ac:dyDescent="0.3">
      <c r="A12843" s="1" t="s">
        <v>58</v>
      </c>
      <c r="B12843" s="2" t="str">
        <f>""</f>
        <v/>
      </c>
      <c r="C12843" s="2" t="str">
        <f>""</f>
        <v/>
      </c>
      <c r="D12843" s="2" t="str">
        <f>""</f>
        <v/>
      </c>
      <c r="E12843" s="2" t="str">
        <f>""</f>
        <v/>
      </c>
      <c r="F12843" s="2" t="str">
        <f>""</f>
        <v/>
      </c>
      <c r="G12843" s="2" t="str">
        <f>"Atendimento / Internação / Relatórios / Operacionais / Pacientes ()"</f>
        <v>Atendimento / Internação / Relatórios / Operacionais / Pacientes ()</v>
      </c>
    </row>
    <row r="12844" spans="1:7" x14ac:dyDescent="0.3">
      <c r="A12844" s="1" t="s">
        <v>58</v>
      </c>
      <c r="B12844" s="2" t="str">
        <f>""</f>
        <v/>
      </c>
      <c r="C12844" s="2" t="str">
        <f>""</f>
        <v/>
      </c>
      <c r="D12844" s="2" t="str">
        <f>""</f>
        <v/>
      </c>
      <c r="E12844" s="2" t="str">
        <f>""</f>
        <v/>
      </c>
      <c r="F12844" s="2" t="str">
        <f>""</f>
        <v/>
      </c>
      <c r="G12844" s="2" t="str">
        <f>"Atendimento / Internação / Relatórios / Operacionais / Depósito de Pagamento Antecipado ()"</f>
        <v>Atendimento / Internação / Relatórios / Operacionais / Depósito de Pagamento Antecipado ()</v>
      </c>
    </row>
    <row r="12845" spans="1:7" x14ac:dyDescent="0.3">
      <c r="A12845" s="1" t="s">
        <v>58</v>
      </c>
      <c r="B12845" s="2" t="str">
        <f>""</f>
        <v/>
      </c>
      <c r="C12845" s="2" t="str">
        <f>""</f>
        <v/>
      </c>
      <c r="D12845" s="2" t="str">
        <f>""</f>
        <v/>
      </c>
      <c r="E12845" s="2" t="str">
        <f>""</f>
        <v/>
      </c>
      <c r="F12845" s="2" t="str">
        <f>""</f>
        <v/>
      </c>
      <c r="G12845" s="2" t="str">
        <f>"Atendimento / Internação / Relatórios / Operacionais / Guias ()"</f>
        <v>Atendimento / Internação / Relatórios / Operacionais / Guias ()</v>
      </c>
    </row>
    <row r="12846" spans="1:7" x14ac:dyDescent="0.3">
      <c r="A12846" s="1" t="s">
        <v>58</v>
      </c>
      <c r="B12846" s="2" t="str">
        <f>""</f>
        <v/>
      </c>
      <c r="C12846" s="2" t="str">
        <f>""</f>
        <v/>
      </c>
      <c r="D12846" s="2" t="str">
        <f>""</f>
        <v/>
      </c>
      <c r="E12846" s="2" t="str">
        <f>""</f>
        <v/>
      </c>
      <c r="F12846" s="2" t="str">
        <f>""</f>
        <v/>
      </c>
      <c r="G12846" s="2" t="str">
        <f>"Atendimento / Internação / Relatórios / Estatísticos / Cid ()"</f>
        <v>Atendimento / Internação / Relatórios / Estatísticos / Cid ()</v>
      </c>
    </row>
    <row r="12847" spans="1:7" x14ac:dyDescent="0.3">
      <c r="A12847" s="1" t="s">
        <v>58</v>
      </c>
      <c r="B12847" s="2" t="str">
        <f>""</f>
        <v/>
      </c>
      <c r="C12847" s="2" t="str">
        <f>""</f>
        <v/>
      </c>
      <c r="D12847" s="2" t="str">
        <f>""</f>
        <v/>
      </c>
      <c r="E12847" s="2" t="str">
        <f>""</f>
        <v/>
      </c>
      <c r="F12847" s="2" t="str">
        <f>""</f>
        <v/>
      </c>
      <c r="G12847" s="2" t="str">
        <f>"Atendimento / Internação / Relatórios / Estatísticos / Atendimentos ()"</f>
        <v>Atendimento / Internação / Relatórios / Estatísticos / Atendimentos ()</v>
      </c>
    </row>
    <row r="12848" spans="1:7" x14ac:dyDescent="0.3">
      <c r="A12848" s="1" t="s">
        <v>58</v>
      </c>
      <c r="B12848" s="2" t="str">
        <f>""</f>
        <v/>
      </c>
      <c r="C12848" s="2" t="str">
        <f>""</f>
        <v/>
      </c>
      <c r="D12848" s="2" t="str">
        <f>""</f>
        <v/>
      </c>
      <c r="E12848" s="2" t="str">
        <f>""</f>
        <v/>
      </c>
      <c r="F12848" s="2" t="str">
        <f>""</f>
        <v/>
      </c>
      <c r="G12848" s="2" t="str">
        <f>"Atendimento / Internação / Relatórios / Estatísticos / Internações ()"</f>
        <v>Atendimento / Internação / Relatórios / Estatísticos / Internações ()</v>
      </c>
    </row>
    <row r="12849" spans="1:7" x14ac:dyDescent="0.3">
      <c r="A12849" s="1" t="s">
        <v>58</v>
      </c>
      <c r="B12849" s="2" t="str">
        <f>""</f>
        <v/>
      </c>
      <c r="C12849" s="2" t="str">
        <f>""</f>
        <v/>
      </c>
      <c r="D12849" s="2" t="str">
        <f>""</f>
        <v/>
      </c>
      <c r="E12849" s="2" t="str">
        <f>""</f>
        <v/>
      </c>
      <c r="F12849" s="2" t="str">
        <f>""</f>
        <v/>
      </c>
      <c r="G12849" s="2" t="str">
        <f>"Atendimento / Internação / Relatórios / Estatísticos / Procedimentos ()"</f>
        <v>Atendimento / Internação / Relatórios / Estatísticos / Procedimentos ()</v>
      </c>
    </row>
    <row r="12850" spans="1:7" x14ac:dyDescent="0.3">
      <c r="A12850" s="1" t="s">
        <v>58</v>
      </c>
      <c r="B12850" s="2" t="str">
        <f>""</f>
        <v/>
      </c>
      <c r="C12850" s="2" t="str">
        <f>""</f>
        <v/>
      </c>
      <c r="D12850" s="2" t="str">
        <f>""</f>
        <v/>
      </c>
      <c r="E12850" s="2" t="str">
        <f>""</f>
        <v/>
      </c>
      <c r="F12850" s="2" t="str">
        <f>""</f>
        <v/>
      </c>
      <c r="G12850" s="2" t="str">
        <f>"Atendimento / Internação / Relatórios / Estatísticos / Hospitalar ()"</f>
        <v>Atendimento / Internação / Relatórios / Estatísticos / Hospitalar ()</v>
      </c>
    </row>
    <row r="12851" spans="1:7" x14ac:dyDescent="0.3">
      <c r="A12851" s="1" t="s">
        <v>58</v>
      </c>
      <c r="B12851" s="2" t="str">
        <f>""</f>
        <v/>
      </c>
      <c r="C12851" s="2" t="str">
        <f>""</f>
        <v/>
      </c>
      <c r="D12851" s="2" t="str">
        <f>""</f>
        <v/>
      </c>
      <c r="E12851" s="2" t="str">
        <f>""</f>
        <v/>
      </c>
      <c r="F12851" s="2" t="str">
        <f>""</f>
        <v/>
      </c>
      <c r="G12851" s="2" t="str">
        <f>"Atendimento / Internação / Relatórios / Estatísticos / Óbitos ()"</f>
        <v>Atendimento / Internação / Relatórios / Estatísticos / Óbitos ()</v>
      </c>
    </row>
    <row r="12852" spans="1:7" x14ac:dyDescent="0.3">
      <c r="A12852" s="1" t="s">
        <v>58</v>
      </c>
      <c r="B12852" s="2" t="str">
        <f>""</f>
        <v/>
      </c>
      <c r="C12852" s="2" t="str">
        <f>""</f>
        <v/>
      </c>
      <c r="D12852" s="2" t="str">
        <f>""</f>
        <v/>
      </c>
      <c r="E12852" s="2" t="str">
        <f>""</f>
        <v/>
      </c>
      <c r="F12852" s="2" t="str">
        <f>""</f>
        <v/>
      </c>
      <c r="G12852" s="2" t="str">
        <f>"Faturamento / Faturamento de Convênios e Particulares / Tabelas / Gerais / Classificação Hierarquizada - CBHPM ()"</f>
        <v>Faturamento / Faturamento de Convênios e Particulares / Tabelas / Gerais / Classificação Hierarquizada - CBHPM ()</v>
      </c>
    </row>
    <row r="12853" spans="1:7" x14ac:dyDescent="0.3">
      <c r="A12853" s="1" t="s">
        <v>58</v>
      </c>
      <c r="B12853" s="2" t="str">
        <f>""</f>
        <v/>
      </c>
      <c r="C12853" s="2" t="str">
        <f>""</f>
        <v/>
      </c>
      <c r="D12853" s="2" t="str">
        <f>""</f>
        <v/>
      </c>
      <c r="E12853" s="2" t="str">
        <f>""</f>
        <v/>
      </c>
      <c r="F12853" s="2" t="str">
        <f>""</f>
        <v/>
      </c>
      <c r="G12853" s="2" t="str">
        <f>"Faturamento / Faturamento de Convênios e Particulares / Lançamentos / Conta Hospitalar ()"</f>
        <v>Faturamento / Faturamento de Convênios e Particulares / Lançamentos / Conta Hospitalar ()</v>
      </c>
    </row>
    <row r="12854" spans="1:7" x14ac:dyDescent="0.3">
      <c r="A12854" s="1" t="s">
        <v>58</v>
      </c>
      <c r="B12854" s="2" t="str">
        <f>""</f>
        <v/>
      </c>
      <c r="C12854" s="2" t="str">
        <f>""</f>
        <v/>
      </c>
      <c r="D12854" s="2" t="str">
        <f>""</f>
        <v/>
      </c>
      <c r="E12854" s="2" t="str">
        <f>""</f>
        <v/>
      </c>
      <c r="F12854" s="2" t="str">
        <f>""</f>
        <v/>
      </c>
      <c r="G12854" s="2" t="str">
        <f>"Faturamento / Faturamento de Convênios e Particulares / Lançamentos / Conta Ambulatorial ()"</f>
        <v>Faturamento / Faturamento de Convênios e Particulares / Lançamentos / Conta Ambulatorial ()</v>
      </c>
    </row>
    <row r="12855" spans="1:7" x14ac:dyDescent="0.3">
      <c r="A12855" s="1" t="s">
        <v>58</v>
      </c>
      <c r="B12855" s="2" t="str">
        <f>""</f>
        <v/>
      </c>
      <c r="C12855" s="2" t="str">
        <f>""</f>
        <v/>
      </c>
      <c r="D12855" s="2" t="str">
        <f>""</f>
        <v/>
      </c>
      <c r="E12855" s="2" t="str">
        <f>""</f>
        <v/>
      </c>
      <c r="F12855" s="2" t="str">
        <f>""</f>
        <v/>
      </c>
      <c r="G12855" s="2" t="str">
        <f>"Faturamento / Faturamento de Convênios e Particulares / Lançamentos / Nota Fiscal Eletronica / Layout em TXT ()"</f>
        <v>Faturamento / Faturamento de Convênios e Particulares / Lançamentos / Nota Fiscal Eletronica / Layout em TXT ()</v>
      </c>
    </row>
    <row r="12856" spans="1:7" x14ac:dyDescent="0.3">
      <c r="A12856" s="1" t="s">
        <v>58</v>
      </c>
      <c r="B12856" s="2" t="str">
        <f>""</f>
        <v/>
      </c>
      <c r="C12856" s="2" t="str">
        <f>""</f>
        <v/>
      </c>
      <c r="D12856" s="2" t="str">
        <f>""</f>
        <v/>
      </c>
      <c r="E12856" s="2" t="str">
        <f>""</f>
        <v/>
      </c>
      <c r="F12856" s="2" t="str">
        <f>""</f>
        <v/>
      </c>
      <c r="G12856" s="2" t="str">
        <f>"Faturamento / Faturamento de Convênios e Particulares / Lançamentos / Arquivo Magnético ()"</f>
        <v>Faturamento / Faturamento de Convênios e Particulares / Lançamentos / Arquivo Magnético ()</v>
      </c>
    </row>
    <row r="12857" spans="1:7" x14ac:dyDescent="0.3">
      <c r="A12857" s="1" t="s">
        <v>58</v>
      </c>
      <c r="B12857" s="2" t="str">
        <f>""</f>
        <v/>
      </c>
      <c r="C12857" s="2" t="str">
        <f>""</f>
        <v/>
      </c>
      <c r="D12857" s="2" t="str">
        <f>""</f>
        <v/>
      </c>
      <c r="E12857" s="2" t="str">
        <f>""</f>
        <v/>
      </c>
      <c r="F12857" s="2" t="str">
        <f>""</f>
        <v/>
      </c>
      <c r="G12857" s="2" t="str">
        <f>"Faturamento / Faturamento de Convênios e Particulares / Importações / Importação do SIMPRO ()"</f>
        <v>Faturamento / Faturamento de Convênios e Particulares / Importações / Importação do SIMPRO ()</v>
      </c>
    </row>
    <row r="12858" spans="1:7" x14ac:dyDescent="0.3">
      <c r="A12858" s="1" t="s">
        <v>58</v>
      </c>
      <c r="B12858" s="2" t="str">
        <f>""</f>
        <v/>
      </c>
      <c r="C12858" s="2" t="str">
        <f>""</f>
        <v/>
      </c>
      <c r="D12858" s="2" t="str">
        <f>""</f>
        <v/>
      </c>
      <c r="E12858" s="2" t="str">
        <f>""</f>
        <v/>
      </c>
      <c r="F12858" s="2" t="str">
        <f>""</f>
        <v/>
      </c>
      <c r="G12858" s="2" t="str">
        <f>"Faturamento / Faturamento de Convênios e Particulares / Importações / Importação do IPASGO ()"</f>
        <v>Faturamento / Faturamento de Convênios e Particulares / Importações / Importação do IPASGO ()</v>
      </c>
    </row>
    <row r="12859" spans="1:7" x14ac:dyDescent="0.3">
      <c r="A12859" s="1" t="s">
        <v>58</v>
      </c>
      <c r="B12859" s="2" t="str">
        <f>""</f>
        <v/>
      </c>
      <c r="C12859" s="2" t="str">
        <f>""</f>
        <v/>
      </c>
      <c r="D12859" s="2" t="str">
        <f>""</f>
        <v/>
      </c>
      <c r="E12859" s="2" t="str">
        <f>""</f>
        <v/>
      </c>
      <c r="F12859" s="2" t="str">
        <f>""</f>
        <v/>
      </c>
      <c r="G12859" s="2" t="str">
        <f>"Faturamento / Faturamento de Convênios e Particulares / Importações / Importação BRASINDICE ()"</f>
        <v>Faturamento / Faturamento de Convênios e Particulares / Importações / Importação BRASINDICE ()</v>
      </c>
    </row>
    <row r="12860" spans="1:7" x14ac:dyDescent="0.3">
      <c r="A12860" s="1" t="s">
        <v>58</v>
      </c>
      <c r="B12860" s="2" t="str">
        <f>""</f>
        <v/>
      </c>
      <c r="C12860" s="2" t="str">
        <f>""</f>
        <v/>
      </c>
      <c r="D12860" s="2" t="str">
        <f>""</f>
        <v/>
      </c>
      <c r="E12860" s="2" t="str">
        <f>""</f>
        <v/>
      </c>
      <c r="F12860" s="2" t="str">
        <f>""</f>
        <v/>
      </c>
      <c r="G12860" s="2" t="str">
        <f>"Faturamento / Faturamento de Convênios e Particulares / Personalizados ()"</f>
        <v>Faturamento / Faturamento de Convênios e Particulares / Personalizados ()</v>
      </c>
    </row>
    <row r="12861" spans="1:7" x14ac:dyDescent="0.3">
      <c r="A12861" s="1" t="s">
        <v>58</v>
      </c>
      <c r="B12861" s="2" t="str">
        <f>""</f>
        <v/>
      </c>
      <c r="C12861" s="2" t="str">
        <f>""</f>
        <v/>
      </c>
      <c r="D12861" s="2" t="str">
        <f>""</f>
        <v/>
      </c>
      <c r="E12861" s="2" t="str">
        <f>""</f>
        <v/>
      </c>
      <c r="F12861" s="2" t="str">
        <f>""</f>
        <v/>
      </c>
      <c r="G12861" s="2" t="str">
        <f>"Faturamento / Faturamento de Convênios e Particulares / Relatórios / Tabelas ()"</f>
        <v>Faturamento / Faturamento de Convênios e Particulares / Relatórios / Tabelas ()</v>
      </c>
    </row>
    <row r="12862" spans="1:7" x14ac:dyDescent="0.3">
      <c r="A12862" s="1" t="s">
        <v>58</v>
      </c>
      <c r="B12862" s="2" t="str">
        <f>""</f>
        <v/>
      </c>
      <c r="C12862" s="2" t="str">
        <f>""</f>
        <v/>
      </c>
      <c r="D12862" s="2" t="str">
        <f>""</f>
        <v/>
      </c>
      <c r="E12862" s="2" t="str">
        <f>""</f>
        <v/>
      </c>
      <c r="F12862" s="2" t="str">
        <f>""</f>
        <v/>
      </c>
      <c r="G12862" s="2" t="str">
        <f>"Faturamento / Faturamento de Convênios e Particulares / Relatórios / Operacionais ()"</f>
        <v>Faturamento / Faturamento de Convênios e Particulares / Relatórios / Operacionais ()</v>
      </c>
    </row>
    <row r="12863" spans="1:7" x14ac:dyDescent="0.3">
      <c r="A12863" s="1" t="s">
        <v>58</v>
      </c>
      <c r="B12863" s="2" t="str">
        <f>""</f>
        <v/>
      </c>
      <c r="C12863" s="2" t="str">
        <f>""</f>
        <v/>
      </c>
      <c r="D12863" s="2" t="str">
        <f>""</f>
        <v/>
      </c>
      <c r="E12863" s="2" t="str">
        <f>""</f>
        <v/>
      </c>
      <c r="F12863" s="2" t="str">
        <f>""</f>
        <v/>
      </c>
      <c r="G12863" s="2" t="str">
        <f>"Faturamento / Faturamento de Convênios e Particulares / Relatórios / Fatura ()"</f>
        <v>Faturamento / Faturamento de Convênios e Particulares / Relatórios / Fatura ()</v>
      </c>
    </row>
    <row r="12864" spans="1:7" x14ac:dyDescent="0.3">
      <c r="A12864" s="1" t="s">
        <v>58</v>
      </c>
      <c r="B12864" s="2" t="str">
        <f>""</f>
        <v/>
      </c>
      <c r="C12864" s="2" t="str">
        <f>""</f>
        <v/>
      </c>
      <c r="D12864" s="2" t="str">
        <f>""</f>
        <v/>
      </c>
      <c r="E12864" s="2" t="str">
        <f>""</f>
        <v/>
      </c>
      <c r="F12864" s="2" t="str">
        <f>""</f>
        <v/>
      </c>
      <c r="G12864" s="2" t="str">
        <f>"Faturamento / Faturamento de Convênios e Particulares / Relatórios / Administrativos ()"</f>
        <v>Faturamento / Faturamento de Convênios e Particulares / Relatórios / Administrativos ()</v>
      </c>
    </row>
    <row r="12865" spans="1:7" x14ac:dyDescent="0.3">
      <c r="A12865" s="1" t="s">
        <v>58</v>
      </c>
      <c r="B12865" s="2" t="str">
        <f>""</f>
        <v/>
      </c>
      <c r="C12865" s="2" t="str">
        <f>""</f>
        <v/>
      </c>
      <c r="D12865" s="2" t="str">
        <f>""</f>
        <v/>
      </c>
      <c r="E12865" s="2" t="str">
        <f>""</f>
        <v/>
      </c>
      <c r="F12865" s="2" t="str">
        <f>""</f>
        <v/>
      </c>
      <c r="G12865" s="2" t="str">
        <f>"Faturamento / Faturamento de Convênios e Particulares / Relatórios / Gerenciais ()"</f>
        <v>Faturamento / Faturamento de Convênios e Particulares / Relatórios / Gerenciais ()</v>
      </c>
    </row>
    <row r="12866" spans="1:7" x14ac:dyDescent="0.3">
      <c r="A12866" s="1" t="s">
        <v>58</v>
      </c>
      <c r="B12866" s="2" t="str">
        <f>""</f>
        <v/>
      </c>
      <c r="C12866" s="2" t="str">
        <f>""</f>
        <v/>
      </c>
      <c r="D12866" s="2" t="str">
        <f>""</f>
        <v/>
      </c>
      <c r="E12866" s="2" t="str">
        <f>""</f>
        <v/>
      </c>
      <c r="F12866" s="2" t="str">
        <f>""</f>
        <v/>
      </c>
      <c r="G12866" s="2" t="str">
        <f>"Faturamento / Faturamento de Convênios e Particulares / Relatórios / Tesouraria ()"</f>
        <v>Faturamento / Faturamento de Convênios e Particulares / Relatórios / Tesouraria ()</v>
      </c>
    </row>
    <row r="12867" spans="1:7" x14ac:dyDescent="0.3">
      <c r="A12867" s="1" t="s">
        <v>58</v>
      </c>
      <c r="B12867" s="2" t="str">
        <f>""</f>
        <v/>
      </c>
      <c r="C12867" s="2" t="str">
        <f>""</f>
        <v/>
      </c>
      <c r="D12867" s="2" t="str">
        <f>""</f>
        <v/>
      </c>
      <c r="E12867" s="2" t="str">
        <f>""</f>
        <v/>
      </c>
      <c r="F12867" s="2" t="str">
        <f>""</f>
        <v/>
      </c>
      <c r="G12867" s="2" t="str">
        <f>"Faturamento / Faturamento de Convênios e Particulares / Relatórios / Gerenciais / Receita por Centro de Custo ()"</f>
        <v>Faturamento / Faturamento de Convênios e Particulares / Relatórios / Gerenciais / Receita por Centro de Custo ()</v>
      </c>
    </row>
    <row r="12868" spans="1:7" x14ac:dyDescent="0.3">
      <c r="A12868" s="1" t="s">
        <v>58</v>
      </c>
      <c r="B12868" s="2" t="str">
        <f>""</f>
        <v/>
      </c>
      <c r="C12868" s="2" t="str">
        <f>""</f>
        <v/>
      </c>
      <c r="D12868" s="2" t="str">
        <f>""</f>
        <v/>
      </c>
      <c r="E12868" s="2" t="str">
        <f>""</f>
        <v/>
      </c>
      <c r="F12868" s="2" t="str">
        <f>""</f>
        <v/>
      </c>
      <c r="G12868" s="2" t="str">
        <f>"Faturamento / Faturamento de Convênios e Particulares / Relatórios / Gerenciais / Análise Evolutiva de Receitas ()"</f>
        <v>Faturamento / Faturamento de Convênios e Particulares / Relatórios / Gerenciais / Análise Evolutiva de Receitas ()</v>
      </c>
    </row>
    <row r="12869" spans="1:7" x14ac:dyDescent="0.3">
      <c r="A12869" s="1" t="s">
        <v>58</v>
      </c>
      <c r="B12869" s="2" t="str">
        <f>""</f>
        <v/>
      </c>
      <c r="C12869" s="2" t="str">
        <f>""</f>
        <v/>
      </c>
      <c r="D12869" s="2" t="str">
        <f>""</f>
        <v/>
      </c>
      <c r="E12869" s="2" t="str">
        <f>""</f>
        <v/>
      </c>
      <c r="F12869" s="2" t="str">
        <f>""</f>
        <v/>
      </c>
      <c r="G12869" s="2" t="str">
        <f>"Faturamento / Faturamento de Convênios e Particulares / Relatórios / Gerenciais / Auditoria de Contas ()"</f>
        <v>Faturamento / Faturamento de Convênios e Particulares / Relatórios / Gerenciais / Auditoria de Contas ()</v>
      </c>
    </row>
    <row r="12870" spans="1:7" x14ac:dyDescent="0.3">
      <c r="A12870" s="1" t="s">
        <v>58</v>
      </c>
      <c r="B12870" s="2" t="str">
        <f>""</f>
        <v/>
      </c>
      <c r="C12870" s="2" t="str">
        <f>""</f>
        <v/>
      </c>
      <c r="D12870" s="2" t="str">
        <f>""</f>
        <v/>
      </c>
      <c r="E12870" s="2" t="str">
        <f>""</f>
        <v/>
      </c>
      <c r="F12870" s="2" t="str">
        <f>""</f>
        <v/>
      </c>
      <c r="G12870" s="2" t="str">
        <f>"Faturamento / Faturamento de Convênios e Particulares ()"</f>
        <v>Faturamento / Faturamento de Convênios e Particulares ()</v>
      </c>
    </row>
    <row r="12871" spans="1:7" x14ac:dyDescent="0.3">
      <c r="A12871" s="1" t="s">
        <v>58</v>
      </c>
      <c r="B12871" s="2" t="str">
        <f>""</f>
        <v/>
      </c>
      <c r="C12871" s="2" t="str">
        <f>""</f>
        <v/>
      </c>
      <c r="D12871" s="2" t="str">
        <f>""</f>
        <v/>
      </c>
      <c r="E12871" s="2" t="str">
        <f>""</f>
        <v/>
      </c>
      <c r="F12871" s="2" t="str">
        <f>""</f>
        <v/>
      </c>
      <c r="G12871" s="2" t="str">
        <f>"Faturamento / Faturamento de Convênios e Particulares / Lançamentos ()"</f>
        <v>Faturamento / Faturamento de Convênios e Particulares / Lançamentos ()</v>
      </c>
    </row>
    <row r="12872" spans="1:7" x14ac:dyDescent="0.3">
      <c r="A12872" s="1" t="s">
        <v>58</v>
      </c>
      <c r="B12872" s="2" t="str">
        <f>""</f>
        <v/>
      </c>
      <c r="C12872" s="2" t="str">
        <f>""</f>
        <v/>
      </c>
      <c r="D12872" s="2" t="str">
        <f>""</f>
        <v/>
      </c>
      <c r="E12872" s="2" t="str">
        <f>""</f>
        <v/>
      </c>
      <c r="F12872" s="2" t="str">
        <f>""</f>
        <v/>
      </c>
      <c r="G12872" s="2" t="str">
        <f>"Faturamento / Faturamento de Convênios e Particulares / Solicitações ()"</f>
        <v>Faturamento / Faturamento de Convênios e Particulares / Solicitações ()</v>
      </c>
    </row>
    <row r="12873" spans="1:7" x14ac:dyDescent="0.3">
      <c r="A12873" s="1" t="s">
        <v>58</v>
      </c>
      <c r="B12873" s="2" t="str">
        <f>""</f>
        <v/>
      </c>
      <c r="C12873" s="2" t="str">
        <f>""</f>
        <v/>
      </c>
      <c r="D12873" s="2" t="str">
        <f>""</f>
        <v/>
      </c>
      <c r="E12873" s="2" t="str">
        <f>""</f>
        <v/>
      </c>
      <c r="F12873" s="2" t="str">
        <f>""</f>
        <v/>
      </c>
      <c r="G12873" s="2" t="str">
        <f>"Faturamento / Faturamento de Convênios e Particulares / Tabelas ()"</f>
        <v>Faturamento / Faturamento de Convênios e Particulares / Tabelas ()</v>
      </c>
    </row>
    <row r="12874" spans="1:7" x14ac:dyDescent="0.3">
      <c r="A12874" s="1" t="s">
        <v>58</v>
      </c>
      <c r="B12874" s="2" t="str">
        <f>""</f>
        <v/>
      </c>
      <c r="C12874" s="2" t="str">
        <f>""</f>
        <v/>
      </c>
      <c r="D12874" s="2" t="str">
        <f>""</f>
        <v/>
      </c>
      <c r="E12874" s="2" t="str">
        <f>""</f>
        <v/>
      </c>
      <c r="F12874" s="2" t="str">
        <f>""</f>
        <v/>
      </c>
      <c r="G12874" s="2" t="str">
        <f>"Atendimento / Urgência e Emergência / Relatórios / Operacionais /  Depósito de Pagamento Antecipado ()"</f>
        <v>Atendimento / Urgência e Emergência / Relatórios / Operacionais /  Depósito de Pagamento Antecipado ()</v>
      </c>
    </row>
    <row r="12875" spans="1:7" x14ac:dyDescent="0.3">
      <c r="A12875" s="1" t="s">
        <v>58</v>
      </c>
      <c r="B12875" s="2" t="str">
        <f>""</f>
        <v/>
      </c>
      <c r="C12875" s="2" t="str">
        <f>""</f>
        <v/>
      </c>
      <c r="D12875" s="2" t="str">
        <f>""</f>
        <v/>
      </c>
      <c r="E12875" s="2" t="str">
        <f>""</f>
        <v/>
      </c>
      <c r="F12875" s="2" t="str">
        <f>""</f>
        <v/>
      </c>
      <c r="G12875" s="2" t="str">
        <f>"MVSaude / Vendas / Internação / Solicitações ()"</f>
        <v>MVSaude / Vendas / Internação / Solicitações ()</v>
      </c>
    </row>
    <row r="12876" spans="1:7" x14ac:dyDescent="0.3">
      <c r="A12876" s="1" t="s">
        <v>58</v>
      </c>
      <c r="B12876" s="2" t="str">
        <f>""</f>
        <v/>
      </c>
      <c r="C12876" s="2" t="str">
        <f>""</f>
        <v/>
      </c>
      <c r="D12876" s="2" t="str">
        <f>""</f>
        <v/>
      </c>
      <c r="E12876" s="2" t="str">
        <f>""</f>
        <v/>
      </c>
      <c r="F12876" s="2" t="str">
        <f>""</f>
        <v/>
      </c>
      <c r="G12876" s="2" t="str">
        <f>"MVSaude / Vendas / Internação / Solicitações / Pasta Parcial do Paciente ()"</f>
        <v>MVSaude / Vendas / Internação / Solicitações / Pasta Parcial do Paciente ()</v>
      </c>
    </row>
    <row r="12877" spans="1:7" x14ac:dyDescent="0.3">
      <c r="A12877" s="1" t="s">
        <v>58</v>
      </c>
      <c r="B12877" s="2" t="str">
        <f>""</f>
        <v/>
      </c>
      <c r="C12877" s="2" t="str">
        <f>""</f>
        <v/>
      </c>
      <c r="D12877" s="2" t="str">
        <f>""</f>
        <v/>
      </c>
      <c r="E12877" s="2" t="str">
        <f>""</f>
        <v/>
      </c>
      <c r="F12877" s="2" t="str">
        <f>""</f>
        <v/>
      </c>
      <c r="G12877" s="2" t="str">
        <f>"MVSaude / Vendas / Internação / Tabelas ()"</f>
        <v>MVSaude / Vendas / Internação / Tabelas ()</v>
      </c>
    </row>
    <row r="12878" spans="1:7" x14ac:dyDescent="0.3">
      <c r="A12878" s="1" t="s">
        <v>58</v>
      </c>
      <c r="B12878" s="2" t="str">
        <f>""</f>
        <v/>
      </c>
      <c r="C12878" s="2" t="str">
        <f>""</f>
        <v/>
      </c>
      <c r="D12878" s="2" t="str">
        <f>""</f>
        <v/>
      </c>
      <c r="E12878" s="2" t="str">
        <f>""</f>
        <v/>
      </c>
      <c r="F12878" s="2" t="str">
        <f>""</f>
        <v/>
      </c>
      <c r="G12878" s="2" t="str">
        <f>"MVSaude / Vendas / Internação / Tabelas / Procedimentos ()"</f>
        <v>MVSaude / Vendas / Internação / Tabelas / Procedimentos ()</v>
      </c>
    </row>
    <row r="12879" spans="1:7" x14ac:dyDescent="0.3">
      <c r="A12879" s="1" t="s">
        <v>58</v>
      </c>
      <c r="B12879" s="2" t="str">
        <f>""</f>
        <v/>
      </c>
      <c r="C12879" s="2" t="str">
        <f>""</f>
        <v/>
      </c>
      <c r="D12879" s="2" t="str">
        <f>""</f>
        <v/>
      </c>
      <c r="E12879" s="2" t="str">
        <f>""</f>
        <v/>
      </c>
      <c r="F12879" s="2" t="str">
        <f>""</f>
        <v/>
      </c>
      <c r="G12879" s="2" t="str">
        <f>"MVSaude / Vendas / Internação / Consultas ()"</f>
        <v>MVSaude / Vendas / Internação / Consultas ()</v>
      </c>
    </row>
    <row r="12880" spans="1:7" x14ac:dyDescent="0.3">
      <c r="A12880" s="1" t="s">
        <v>58</v>
      </c>
      <c r="B12880" s="2" t="str">
        <f>""</f>
        <v/>
      </c>
      <c r="C12880" s="2" t="str">
        <f>""</f>
        <v/>
      </c>
      <c r="D12880" s="2" t="str">
        <f>""</f>
        <v/>
      </c>
      <c r="E12880" s="2" t="str">
        <f>""</f>
        <v/>
      </c>
      <c r="F12880" s="2" t="str">
        <f>""</f>
        <v/>
      </c>
      <c r="G12880" s="2" t="str">
        <f>"MVSaude / Vendas / Internação / Consultas / Painel de Leitos ()"</f>
        <v>MVSaude / Vendas / Internação / Consultas / Painel de Leitos ()</v>
      </c>
    </row>
    <row r="12881" spans="1:7" x14ac:dyDescent="0.3">
      <c r="A12881" s="1" t="s">
        <v>58</v>
      </c>
      <c r="B12881" s="2" t="str">
        <f>""</f>
        <v/>
      </c>
      <c r="C12881" s="2" t="str">
        <f>""</f>
        <v/>
      </c>
      <c r="D12881" s="2" t="str">
        <f>""</f>
        <v/>
      </c>
      <c r="E12881" s="2" t="str">
        <f>""</f>
        <v/>
      </c>
      <c r="F12881" s="2" t="str">
        <f>""</f>
        <v/>
      </c>
      <c r="G12881" s="2" t="str">
        <f>"MVSaude / Vendas / Internação / Consultas / Leitos ()"</f>
        <v>MVSaude / Vendas / Internação / Consultas / Leitos ()</v>
      </c>
    </row>
    <row r="12882" spans="1:7" x14ac:dyDescent="0.3">
      <c r="A12882" s="1" t="s">
        <v>58</v>
      </c>
      <c r="B12882" s="2" t="str">
        <f>""</f>
        <v/>
      </c>
      <c r="C12882" s="2" t="str">
        <f>""</f>
        <v/>
      </c>
      <c r="D12882" s="2" t="str">
        <f>""</f>
        <v/>
      </c>
      <c r="E12882" s="2" t="str">
        <f>""</f>
        <v/>
      </c>
      <c r="F12882" s="2" t="str">
        <f>""</f>
        <v/>
      </c>
      <c r="G12882" s="2" t="str">
        <f>"Controladoria / Repasse Médico / Tabelas / Regras  / Terceiros ()"</f>
        <v>Controladoria / Repasse Médico / Tabelas / Regras  / Terceiros ()</v>
      </c>
    </row>
    <row r="12883" spans="1:7" x14ac:dyDescent="0.3">
      <c r="A12883" s="1" t="s">
        <v>58</v>
      </c>
      <c r="B12883" s="2" t="str">
        <f>""</f>
        <v/>
      </c>
      <c r="C12883" s="2" t="str">
        <f>""</f>
        <v/>
      </c>
      <c r="D12883" s="2" t="str">
        <f>""</f>
        <v/>
      </c>
      <c r="E12883" s="2" t="str">
        <f>""</f>
        <v/>
      </c>
      <c r="F12883" s="2" t="str">
        <f>""</f>
        <v/>
      </c>
      <c r="G12883" s="2" t="str">
        <f>"Controladoria / Repasse Médico / Contas à Receber ()"</f>
        <v>Controladoria / Repasse Médico / Contas à Receber ()</v>
      </c>
    </row>
    <row r="12884" spans="1:7" x14ac:dyDescent="0.3">
      <c r="A12884" s="1" t="s">
        <v>58</v>
      </c>
      <c r="B12884" s="2" t="str">
        <f>""</f>
        <v/>
      </c>
      <c r="C12884" s="2" t="str">
        <f>""</f>
        <v/>
      </c>
      <c r="D12884" s="2" t="str">
        <f>""</f>
        <v/>
      </c>
      <c r="E12884" s="2" t="str">
        <f>""</f>
        <v/>
      </c>
      <c r="F12884" s="2" t="str">
        <f>""</f>
        <v/>
      </c>
      <c r="G12884" s="2" t="str">
        <f>"Serviços de Apoio / Movimentação de Documentos ()"</f>
        <v>Serviços de Apoio / Movimentação de Documentos ()</v>
      </c>
    </row>
    <row r="12885" spans="1:7" x14ac:dyDescent="0.3">
      <c r="A12885" s="1" t="s">
        <v>58</v>
      </c>
      <c r="B12885" s="2" t="str">
        <f>""</f>
        <v/>
      </c>
      <c r="C12885" s="2" t="str">
        <f>""</f>
        <v/>
      </c>
      <c r="D12885" s="2" t="str">
        <f>""</f>
        <v/>
      </c>
      <c r="E12885" s="2" t="str">
        <f>""</f>
        <v/>
      </c>
      <c r="F12885" s="2" t="str">
        <f>""</f>
        <v/>
      </c>
      <c r="G12885" s="2" t="str">
        <f>"Serviços de Apoio / Movimentação de Documentos / Manutenção ()"</f>
        <v>Serviços de Apoio / Movimentação de Documentos / Manutenção ()</v>
      </c>
    </row>
    <row r="12886" spans="1:7" x14ac:dyDescent="0.3">
      <c r="A12886" s="1" t="s">
        <v>58</v>
      </c>
      <c r="B12886" s="2" t="str">
        <f>""</f>
        <v/>
      </c>
      <c r="C12886" s="2" t="str">
        <f>""</f>
        <v/>
      </c>
      <c r="D12886" s="2" t="str">
        <f>""</f>
        <v/>
      </c>
      <c r="E12886" s="2" t="str">
        <f>""</f>
        <v/>
      </c>
      <c r="F12886" s="2" t="str">
        <f>""</f>
        <v/>
      </c>
      <c r="G12886" s="2" t="str">
        <f>"Serviços de Apoio / Movimentação de Documentos / Tabelas ()"</f>
        <v>Serviços de Apoio / Movimentação de Documentos / Tabelas ()</v>
      </c>
    </row>
    <row r="12887" spans="1:7" x14ac:dyDescent="0.3">
      <c r="A12887" s="1" t="s">
        <v>58</v>
      </c>
      <c r="B12887" s="2" t="str">
        <f>""</f>
        <v/>
      </c>
      <c r="C12887" s="2" t="str">
        <f>""</f>
        <v/>
      </c>
      <c r="D12887" s="2" t="str">
        <f>""</f>
        <v/>
      </c>
      <c r="E12887" s="2" t="str">
        <f>""</f>
        <v/>
      </c>
      <c r="F12887" s="2" t="str">
        <f>""</f>
        <v/>
      </c>
      <c r="G12887" s="2" t="str">
        <f>"Serviços de Apoio / Movimentação de Documentos / Configurações ()"</f>
        <v>Serviços de Apoio / Movimentação de Documentos / Configurações ()</v>
      </c>
    </row>
    <row r="12888" spans="1:7" x14ac:dyDescent="0.3">
      <c r="A12888" s="1" t="s">
        <v>58</v>
      </c>
      <c r="B12888" s="2" t="str">
        <f>""</f>
        <v/>
      </c>
      <c r="C12888" s="2" t="str">
        <f>""</f>
        <v/>
      </c>
      <c r="D12888" s="2" t="str">
        <f>""</f>
        <v/>
      </c>
      <c r="E12888" s="2" t="str">
        <f>""</f>
        <v/>
      </c>
      <c r="F12888" s="2" t="str">
        <f>""</f>
        <v/>
      </c>
      <c r="G12888" s="2" t="str">
        <f>"Serviços de Apoio / Movimentação de Documentos / Consultas ()"</f>
        <v>Serviços de Apoio / Movimentação de Documentos / Consultas ()</v>
      </c>
    </row>
    <row r="12889" spans="1:7" x14ac:dyDescent="0.3">
      <c r="A12889" s="1" t="s">
        <v>58</v>
      </c>
      <c r="B12889" s="2" t="str">
        <f>""</f>
        <v/>
      </c>
      <c r="C12889" s="2" t="str">
        <f>""</f>
        <v/>
      </c>
      <c r="D12889" s="2" t="str">
        <f>""</f>
        <v/>
      </c>
      <c r="E12889" s="2" t="str">
        <f>""</f>
        <v/>
      </c>
      <c r="F12889" s="2" t="str">
        <f>""</f>
        <v/>
      </c>
      <c r="G12889" s="2" t="str">
        <f>"Serviços de Apoio / Movimentação de Documentos / Relatórios ()"</f>
        <v>Serviços de Apoio / Movimentação de Documentos / Relatórios ()</v>
      </c>
    </row>
    <row r="12890" spans="1:7" x14ac:dyDescent="0.3">
      <c r="A12890" s="1" t="s">
        <v>58</v>
      </c>
      <c r="B12890" s="2" t="str">
        <f>""</f>
        <v/>
      </c>
      <c r="C12890" s="2" t="str">
        <f>""</f>
        <v/>
      </c>
      <c r="D12890" s="2" t="str">
        <f>""</f>
        <v/>
      </c>
      <c r="E12890" s="2" t="str">
        <f>""</f>
        <v/>
      </c>
      <c r="F12890" s="2" t="str">
        <f>""</f>
        <v/>
      </c>
      <c r="G12890" s="2" t="str">
        <f>"Serviços de Apoio / Movimentação de Documentos / Manutenção / Protocolação de Documentos ()"</f>
        <v>Serviços de Apoio / Movimentação de Documentos / Manutenção / Protocolação de Documentos ()</v>
      </c>
    </row>
    <row r="12891" spans="1:7" x14ac:dyDescent="0.3">
      <c r="A12891" s="1" t="s">
        <v>58</v>
      </c>
      <c r="B12891" s="2" t="str">
        <f>""</f>
        <v/>
      </c>
      <c r="C12891" s="2" t="str">
        <f>""</f>
        <v/>
      </c>
      <c r="D12891" s="2" t="str">
        <f>""</f>
        <v/>
      </c>
      <c r="E12891" s="2" t="str">
        <f>""</f>
        <v/>
      </c>
      <c r="F12891" s="2" t="str">
        <f>""</f>
        <v/>
      </c>
      <c r="G12891" s="2" t="str">
        <f>"Serviços de Apoio / Movimentação de Documentos / Relatórios / Tabelas ()"</f>
        <v>Serviços de Apoio / Movimentação de Documentos / Relatórios / Tabelas ()</v>
      </c>
    </row>
    <row r="12892" spans="1:7" x14ac:dyDescent="0.3">
      <c r="A12892" s="1" t="s">
        <v>58</v>
      </c>
      <c r="B12892" s="2" t="str">
        <f>""</f>
        <v/>
      </c>
      <c r="C12892" s="2" t="str">
        <f>""</f>
        <v/>
      </c>
      <c r="D12892" s="2" t="str">
        <f>""</f>
        <v/>
      </c>
      <c r="E12892" s="2" t="str">
        <f>""</f>
        <v/>
      </c>
      <c r="F12892" s="2" t="str">
        <f>""</f>
        <v/>
      </c>
      <c r="G12892" s="2" t="str">
        <f>"Serviços de Apoio / Movimentação de Documentos / Relatórios / Operacionais ()"</f>
        <v>Serviços de Apoio / Movimentação de Documentos / Relatórios / Operacionais ()</v>
      </c>
    </row>
    <row r="12893" spans="1:7" x14ac:dyDescent="0.3">
      <c r="A12893" s="1" t="s">
        <v>58</v>
      </c>
      <c r="B12893" s="2" t="str">
        <f>""</f>
        <v/>
      </c>
      <c r="C12893" s="2" t="str">
        <f>""</f>
        <v/>
      </c>
      <c r="D12893" s="2" t="str">
        <f>""</f>
        <v/>
      </c>
      <c r="E12893" s="2" t="str">
        <f>""</f>
        <v/>
      </c>
      <c r="F12893" s="2" t="str">
        <f>""</f>
        <v/>
      </c>
      <c r="G12893" s="2" t="str">
        <f>"Serviços de Apoio / Movimentação de Documentos / Relatórios / Administrativos ()"</f>
        <v>Serviços de Apoio / Movimentação de Documentos / Relatórios / Administrativos ()</v>
      </c>
    </row>
    <row r="12894" spans="1:7" x14ac:dyDescent="0.3">
      <c r="A12894" s="1" t="s">
        <v>58</v>
      </c>
      <c r="B12894" s="2" t="str">
        <f>""</f>
        <v/>
      </c>
      <c r="C12894" s="2" t="str">
        <f>""</f>
        <v/>
      </c>
      <c r="D12894" s="2" t="str">
        <f>""</f>
        <v/>
      </c>
      <c r="E12894" s="2" t="str">
        <f>""</f>
        <v/>
      </c>
      <c r="F12894" s="2" t="str">
        <f>""</f>
        <v/>
      </c>
      <c r="G12894" s="2" t="str">
        <f>"Serviços de Apoio / Movimentação de Documentos / Relatórios / Gerenciais ()"</f>
        <v>Serviços de Apoio / Movimentação de Documentos / Relatórios / Gerenciais ()</v>
      </c>
    </row>
    <row r="12895" spans="1:7" x14ac:dyDescent="0.3">
      <c r="A12895" s="1" t="s">
        <v>58</v>
      </c>
      <c r="B12895" s="2" t="str">
        <f>""</f>
        <v/>
      </c>
      <c r="C12895" s="2" t="str">
        <f>""</f>
        <v/>
      </c>
      <c r="D12895" s="2" t="str">
        <f>""</f>
        <v/>
      </c>
      <c r="E12895" s="2" t="str">
        <f>""</f>
        <v/>
      </c>
      <c r="F12895" s="2" t="str">
        <f>""</f>
        <v/>
      </c>
      <c r="G12895" s="2" t="str">
        <f>"Diagnóstico e Terapia / Banco de Sangue ()"</f>
        <v>Diagnóstico e Terapia / Banco de Sangue ()</v>
      </c>
    </row>
    <row r="12896" spans="1:7" x14ac:dyDescent="0.3">
      <c r="A12896" s="1" t="s">
        <v>58</v>
      </c>
      <c r="B12896" s="2" t="str">
        <f>""</f>
        <v/>
      </c>
      <c r="C12896" s="2" t="str">
        <f>""</f>
        <v/>
      </c>
      <c r="D12896" s="2" t="str">
        <f>""</f>
        <v/>
      </c>
      <c r="E12896" s="2" t="str">
        <f>""</f>
        <v/>
      </c>
      <c r="F12896" s="2" t="str">
        <f>""</f>
        <v/>
      </c>
      <c r="G12896" s="2" t="str">
        <f>"Diagnóstico e Terapia / Banco de Sangue / Atendimentos ()"</f>
        <v>Diagnóstico e Terapia / Banco de Sangue / Atendimentos ()</v>
      </c>
    </row>
    <row r="12897" spans="1:7" x14ac:dyDescent="0.3">
      <c r="A12897" s="1" t="s">
        <v>58</v>
      </c>
      <c r="B12897" s="2" t="str">
        <f>""</f>
        <v/>
      </c>
      <c r="C12897" s="2" t="str">
        <f>""</f>
        <v/>
      </c>
      <c r="D12897" s="2" t="str">
        <f>""</f>
        <v/>
      </c>
      <c r="E12897" s="2" t="str">
        <f>""</f>
        <v/>
      </c>
      <c r="F12897" s="2" t="str">
        <f>""</f>
        <v/>
      </c>
      <c r="G12897" s="2" t="str">
        <f>"Diagnóstico e Terapia / Banco de Sangue / Tabelas ()"</f>
        <v>Diagnóstico e Terapia / Banco de Sangue / Tabelas ()</v>
      </c>
    </row>
    <row r="12898" spans="1:7" x14ac:dyDescent="0.3">
      <c r="A12898" s="1" t="s">
        <v>58</v>
      </c>
      <c r="B12898" s="2" t="str">
        <f>""</f>
        <v/>
      </c>
      <c r="C12898" s="2" t="str">
        <f>""</f>
        <v/>
      </c>
      <c r="D12898" s="2" t="str">
        <f>""</f>
        <v/>
      </c>
      <c r="E12898" s="2" t="str">
        <f>""</f>
        <v/>
      </c>
      <c r="F12898" s="2" t="str">
        <f>""</f>
        <v/>
      </c>
      <c r="G12898" s="2" t="str">
        <f>"Diagnóstico e Terapia / Banco de Sangue / Consultas ()"</f>
        <v>Diagnóstico e Terapia / Banco de Sangue / Consultas ()</v>
      </c>
    </row>
    <row r="12899" spans="1:7" x14ac:dyDescent="0.3">
      <c r="A12899" s="1" t="s">
        <v>58</v>
      </c>
      <c r="B12899" s="2" t="str">
        <f>""</f>
        <v/>
      </c>
      <c r="C12899" s="2" t="str">
        <f>""</f>
        <v/>
      </c>
      <c r="D12899" s="2" t="str">
        <f>""</f>
        <v/>
      </c>
      <c r="E12899" s="2" t="str">
        <f>""</f>
        <v/>
      </c>
      <c r="F12899" s="2" t="str">
        <f>""</f>
        <v/>
      </c>
      <c r="G12899" s="2" t="str">
        <f>"Diagnóstico e Terapia / Banco de Sangue / Configurações ()"</f>
        <v>Diagnóstico e Terapia / Banco de Sangue / Configurações ()</v>
      </c>
    </row>
    <row r="12900" spans="1:7" x14ac:dyDescent="0.3">
      <c r="A12900" s="1" t="s">
        <v>58</v>
      </c>
      <c r="B12900" s="2" t="str">
        <f>""</f>
        <v/>
      </c>
      <c r="C12900" s="2" t="str">
        <f>""</f>
        <v/>
      </c>
      <c r="D12900" s="2" t="str">
        <f>""</f>
        <v/>
      </c>
      <c r="E12900" s="2" t="str">
        <f>""</f>
        <v/>
      </c>
      <c r="F12900" s="2" t="str">
        <f>""</f>
        <v/>
      </c>
      <c r="G12900" s="2" t="str">
        <f>"Diagnóstico e Terapia / Banco de Sangue / Relatórios ()"</f>
        <v>Diagnóstico e Terapia / Banco de Sangue / Relatórios ()</v>
      </c>
    </row>
    <row r="12901" spans="1:7" x14ac:dyDescent="0.3">
      <c r="A12901" s="1" t="s">
        <v>58</v>
      </c>
      <c r="B12901" s="2" t="str">
        <f>""</f>
        <v/>
      </c>
      <c r="C12901" s="2" t="str">
        <f>""</f>
        <v/>
      </c>
      <c r="D12901" s="2" t="str">
        <f>""</f>
        <v/>
      </c>
      <c r="E12901" s="2" t="str">
        <f>""</f>
        <v/>
      </c>
      <c r="F12901" s="2" t="str">
        <f>""</f>
        <v/>
      </c>
      <c r="G12901" s="2" t="str">
        <f>"Diagnóstico e Terapia / Banco de Sangue / Relatórios / Agenda (Cirurgias) ()"</f>
        <v>Diagnóstico e Terapia / Banco de Sangue / Relatórios / Agenda (Cirurgias) ()</v>
      </c>
    </row>
    <row r="12902" spans="1:7" x14ac:dyDescent="0.3">
      <c r="A12902" s="1" t="s">
        <v>58</v>
      </c>
      <c r="B12902" s="2" t="str">
        <f>""</f>
        <v/>
      </c>
      <c r="C12902" s="2" t="str">
        <f>""</f>
        <v/>
      </c>
      <c r="D12902" s="2" t="str">
        <f>""</f>
        <v/>
      </c>
      <c r="E12902" s="2" t="str">
        <f>""</f>
        <v/>
      </c>
      <c r="F12902" s="2" t="str">
        <f>""</f>
        <v/>
      </c>
      <c r="G12902" s="2" t="str">
        <f>"Controladoria / Repasse Médico / Relatórios / Tabelas / Regras  ()"</f>
        <v>Controladoria / Repasse Médico / Relatórios / Tabelas / Regras  ()</v>
      </c>
    </row>
    <row r="12903" spans="1:7" x14ac:dyDescent="0.3">
      <c r="A12903" s="1" t="s">
        <v>58</v>
      </c>
      <c r="B12903" s="2" t="str">
        <f>""</f>
        <v/>
      </c>
      <c r="C12903" s="2" t="str">
        <f>""</f>
        <v/>
      </c>
      <c r="D12903" s="2" t="str">
        <f>""</f>
        <v/>
      </c>
      <c r="E12903" s="2" t="str">
        <f>""</f>
        <v/>
      </c>
      <c r="F12903" s="2" t="str">
        <f>""</f>
        <v/>
      </c>
      <c r="G12903" s="2" t="str">
        <f>"Faturamento / Faturamento de Convênios e Particulares / Configurações / Geração de Fatura em Meio Magnético ()"</f>
        <v>Faturamento / Faturamento de Convênios e Particulares / Configurações / Geração de Fatura em Meio Magnético ()</v>
      </c>
    </row>
    <row r="12904" spans="1:7" x14ac:dyDescent="0.3">
      <c r="A12904" s="1" t="s">
        <v>58</v>
      </c>
      <c r="B12904" s="2" t="str">
        <f>""</f>
        <v/>
      </c>
      <c r="C12904" s="2" t="str">
        <f>""</f>
        <v/>
      </c>
      <c r="D12904" s="2" t="str">
        <f>""</f>
        <v/>
      </c>
      <c r="E12904" s="2" t="str">
        <f>""</f>
        <v/>
      </c>
      <c r="F12904" s="2" t="str">
        <f>""</f>
        <v/>
      </c>
      <c r="G12904" s="2" t="str">
        <f>"Faturamento / Faturamento de Convênios e Particulares / Consultas / Resumos ()"</f>
        <v>Faturamento / Faturamento de Convênios e Particulares / Consultas / Resumos ()</v>
      </c>
    </row>
    <row r="12905" spans="1:7" x14ac:dyDescent="0.3">
      <c r="A12905" s="1" t="s">
        <v>58</v>
      </c>
      <c r="B12905" s="2" t="str">
        <f>""</f>
        <v/>
      </c>
      <c r="C12905" s="2" t="str">
        <f>""</f>
        <v/>
      </c>
      <c r="D12905" s="2" t="str">
        <f>""</f>
        <v/>
      </c>
      <c r="E12905" s="2" t="str">
        <f>""</f>
        <v/>
      </c>
      <c r="F12905" s="2" t="str">
        <f>""</f>
        <v/>
      </c>
      <c r="G12905" s="2" t="str">
        <f>"Faturamento / Faturamento de Convênios e Particulares / Relatórios / Tabelas / Cobranças e Tabelas ()"</f>
        <v>Faturamento / Faturamento de Convênios e Particulares / Relatórios / Tabelas / Cobranças e Tabelas ()</v>
      </c>
    </row>
    <row r="12906" spans="1:7" x14ac:dyDescent="0.3">
      <c r="A12906" s="1" t="s">
        <v>58</v>
      </c>
      <c r="B12906" s="2" t="str">
        <f>""</f>
        <v/>
      </c>
      <c r="C12906" s="2" t="str">
        <f>""</f>
        <v/>
      </c>
      <c r="D12906" s="2" t="str">
        <f>""</f>
        <v/>
      </c>
      <c r="E12906" s="2" t="str">
        <f>""</f>
        <v/>
      </c>
      <c r="F12906" s="2" t="str">
        <f>""</f>
        <v/>
      </c>
      <c r="G12906" s="2" t="str">
        <f>"Faturamento / Faturamento de Convênios e Particulares / Relatórios / Tabelas / Formas de Apresentação ()"</f>
        <v>Faturamento / Faturamento de Convênios e Particulares / Relatórios / Tabelas / Formas de Apresentação ()</v>
      </c>
    </row>
    <row r="12907" spans="1:7" x14ac:dyDescent="0.3">
      <c r="A12907" s="1" t="s">
        <v>58</v>
      </c>
      <c r="B12907" s="2" t="str">
        <f>""</f>
        <v/>
      </c>
      <c r="C12907" s="2" t="str">
        <f>""</f>
        <v/>
      </c>
      <c r="D12907" s="2" t="str">
        <f>""</f>
        <v/>
      </c>
      <c r="E12907" s="2" t="str">
        <f>""</f>
        <v/>
      </c>
      <c r="F12907" s="2" t="str">
        <f>""</f>
        <v/>
      </c>
      <c r="G12907" s="2" t="str">
        <f>"Faturamento / Faturamento de Convênios e Particulares / Relatórios / Tabelas / Gerais ()"</f>
        <v>Faturamento / Faturamento de Convênios e Particulares / Relatórios / Tabelas / Gerais ()</v>
      </c>
    </row>
    <row r="12908" spans="1:7" x14ac:dyDescent="0.3">
      <c r="A12908" s="1" t="s">
        <v>58</v>
      </c>
      <c r="B12908" s="2" t="str">
        <f>""</f>
        <v/>
      </c>
      <c r="C12908" s="2" t="str">
        <f>""</f>
        <v/>
      </c>
      <c r="D12908" s="2" t="str">
        <f>""</f>
        <v/>
      </c>
      <c r="E12908" s="2" t="str">
        <f>""</f>
        <v/>
      </c>
      <c r="F12908" s="2" t="str">
        <f>""</f>
        <v/>
      </c>
      <c r="G12908" s="2" t="str">
        <f>"Faturamento / Faturamento de Convênios e Particulares / Relatórios / Tabelas / Tabela de Valores ()"</f>
        <v>Faturamento / Faturamento de Convênios e Particulares / Relatórios / Tabelas / Tabela de Valores ()</v>
      </c>
    </row>
    <row r="12909" spans="1:7" x14ac:dyDescent="0.3">
      <c r="A12909" s="1" t="s">
        <v>58</v>
      </c>
      <c r="B12909" s="2" t="str">
        <f>""</f>
        <v/>
      </c>
      <c r="C12909" s="2" t="str">
        <f>""</f>
        <v/>
      </c>
      <c r="D12909" s="2" t="str">
        <f>""</f>
        <v/>
      </c>
      <c r="E12909" s="2" t="str">
        <f>""</f>
        <v/>
      </c>
      <c r="F12909" s="2" t="str">
        <f>""</f>
        <v/>
      </c>
      <c r="G12909" s="2" t="str">
        <f>"Faturamento / Faturamento de Convênios e Particulares / Relatórios / Tabelas / Configuração ()"</f>
        <v>Faturamento / Faturamento de Convênios e Particulares / Relatórios / Tabelas / Configuração ()</v>
      </c>
    </row>
    <row r="12910" spans="1:7" x14ac:dyDescent="0.3">
      <c r="A12910" s="1" t="s">
        <v>58</v>
      </c>
      <c r="B12910" s="2" t="str">
        <f>""</f>
        <v/>
      </c>
      <c r="C12910" s="2" t="str">
        <f>""</f>
        <v/>
      </c>
      <c r="D12910" s="2" t="str">
        <f>""</f>
        <v/>
      </c>
      <c r="E12910" s="2" t="str">
        <f>""</f>
        <v/>
      </c>
      <c r="F12910" s="2" t="str">
        <f>""</f>
        <v/>
      </c>
      <c r="G12910" s="2" t="str">
        <f>"Faturamento / Faturamento de Convênios e Particulares / Relatórios / Tabelas / Cobranças e Tabelas / Regras ()"</f>
        <v>Faturamento / Faturamento de Convênios e Particulares / Relatórios / Tabelas / Cobranças e Tabelas / Regras ()</v>
      </c>
    </row>
    <row r="12911" spans="1:7" x14ac:dyDescent="0.3">
      <c r="A12911" s="1" t="s">
        <v>58</v>
      </c>
      <c r="B12911" s="2" t="str">
        <f>""</f>
        <v/>
      </c>
      <c r="C12911" s="2" t="str">
        <f>""</f>
        <v/>
      </c>
      <c r="D12911" s="2" t="str">
        <f>""</f>
        <v/>
      </c>
      <c r="E12911" s="2" t="str">
        <f>""</f>
        <v/>
      </c>
      <c r="F12911" s="2" t="str">
        <f>""</f>
        <v/>
      </c>
      <c r="G12911" s="2" t="str">
        <f>"Faturamento / Faturamento de Convênios e Particulares / Relatórios / Tabelas / Gerais / Convênios e Planos ()"</f>
        <v>Faturamento / Faturamento de Convênios e Particulares / Relatórios / Tabelas / Gerais / Convênios e Planos ()</v>
      </c>
    </row>
    <row r="12912" spans="1:7" x14ac:dyDescent="0.3">
      <c r="A12912" s="1" t="s">
        <v>58</v>
      </c>
      <c r="B12912" s="2" t="str">
        <f>""</f>
        <v/>
      </c>
      <c r="C12912" s="2" t="str">
        <f>""</f>
        <v/>
      </c>
      <c r="D12912" s="2" t="str">
        <f>""</f>
        <v/>
      </c>
      <c r="E12912" s="2" t="str">
        <f>""</f>
        <v/>
      </c>
      <c r="F12912" s="2" t="str">
        <f>""</f>
        <v/>
      </c>
      <c r="G12912" s="2" t="str">
        <f>"Faturamento / Faturamento de Convênios e Particulares / Relatórios / Tabelas / Gerais / Classificação Hierarquizada - CBHPM ()"</f>
        <v>Faturamento / Faturamento de Convênios e Particulares / Relatórios / Tabelas / Gerais / Classificação Hierarquizada - CBHPM ()</v>
      </c>
    </row>
    <row r="12913" spans="1:7" x14ac:dyDescent="0.3">
      <c r="A12913" s="1" t="s">
        <v>58</v>
      </c>
      <c r="B12913" s="2" t="str">
        <f>""</f>
        <v/>
      </c>
      <c r="C12913" s="2" t="str">
        <f>""</f>
        <v/>
      </c>
      <c r="D12913" s="2" t="str">
        <f>""</f>
        <v/>
      </c>
      <c r="E12913" s="2" t="str">
        <f>""</f>
        <v/>
      </c>
      <c r="F12913" s="2" t="str">
        <f>""</f>
        <v/>
      </c>
      <c r="G12913" s="2" t="str">
        <f>"Faturamento / Faturamento de Convênios e Particulares / Relatórios / Operacionais / Guias ()"</f>
        <v>Faturamento / Faturamento de Convênios e Particulares / Relatórios / Operacionais / Guias ()</v>
      </c>
    </row>
    <row r="12914" spans="1:7" x14ac:dyDescent="0.3">
      <c r="A12914" s="1" t="s">
        <v>58</v>
      </c>
      <c r="B12914" s="2" t="str">
        <f>""</f>
        <v/>
      </c>
      <c r="C12914" s="2" t="str">
        <f>""</f>
        <v/>
      </c>
      <c r="D12914" s="2" t="str">
        <f>""</f>
        <v/>
      </c>
      <c r="E12914" s="2" t="str">
        <f>""</f>
        <v/>
      </c>
      <c r="F12914" s="2" t="str">
        <f>""</f>
        <v/>
      </c>
      <c r="G12914" s="2" t="str">
        <f>"Faturamento / Faturamento de Convênios e Particulares / Relatórios / Operacionais / Entrega de Geração em Meio Magnético ()"</f>
        <v>Faturamento / Faturamento de Convênios e Particulares / Relatórios / Operacionais / Entrega de Geração em Meio Magnético ()</v>
      </c>
    </row>
    <row r="12915" spans="1:7" x14ac:dyDescent="0.3">
      <c r="A12915" s="1" t="s">
        <v>58</v>
      </c>
      <c r="B12915" s="2" t="str">
        <f>""</f>
        <v/>
      </c>
      <c r="C12915" s="2" t="str">
        <f>""</f>
        <v/>
      </c>
      <c r="D12915" s="2" t="str">
        <f>""</f>
        <v/>
      </c>
      <c r="E12915" s="2" t="str">
        <f>""</f>
        <v/>
      </c>
      <c r="F12915" s="2" t="str">
        <f>""</f>
        <v/>
      </c>
      <c r="G12915" s="2" t="str">
        <f>"Faturamento / Faturamento de Convênios e Particulares / Relatórios / Tesouraria / Contas à Receber ()"</f>
        <v>Faturamento / Faturamento de Convênios e Particulares / Relatórios / Tesouraria / Contas à Receber ()</v>
      </c>
    </row>
    <row r="12916" spans="1:7" x14ac:dyDescent="0.3">
      <c r="A12916" s="1" t="s">
        <v>58</v>
      </c>
      <c r="B12916" s="2" t="str">
        <f>""</f>
        <v/>
      </c>
      <c r="C12916" s="2" t="str">
        <f>""</f>
        <v/>
      </c>
      <c r="D12916" s="2" t="str">
        <f>""</f>
        <v/>
      </c>
      <c r="E12916" s="2" t="str">
        <f>""</f>
        <v/>
      </c>
      <c r="F12916" s="2" t="str">
        <f>""</f>
        <v/>
      </c>
      <c r="G12916" s="2" t="str">
        <f>"Faturamento / Faturamento de Convênios e Particulares / Configurações / Geração de Fatura em Meio Magnético / Envio ()"</f>
        <v>Faturamento / Faturamento de Convênios e Particulares / Configurações / Geração de Fatura em Meio Magnético / Envio ()</v>
      </c>
    </row>
    <row r="12917" spans="1:7" x14ac:dyDescent="0.3">
      <c r="A12917" s="1" t="s">
        <v>58</v>
      </c>
      <c r="B12917" s="2" t="str">
        <f>""</f>
        <v/>
      </c>
      <c r="C12917" s="2" t="str">
        <f>""</f>
        <v/>
      </c>
      <c r="D12917" s="2" t="str">
        <f>""</f>
        <v/>
      </c>
      <c r="E12917" s="2" t="str">
        <f>""</f>
        <v/>
      </c>
      <c r="F12917" s="2" t="str">
        <f>""</f>
        <v/>
      </c>
      <c r="G12917" s="2" t="str">
        <f>"MVSaude / Vendas / Internação / Consultas / Pastas Parciais ()"</f>
        <v>MVSaude / Vendas / Internação / Consultas / Pastas Parciais ()</v>
      </c>
    </row>
    <row r="12918" spans="1:7" x14ac:dyDescent="0.3">
      <c r="A12918" s="1" t="s">
        <v>58</v>
      </c>
      <c r="B12918" s="2" t="str">
        <f>""</f>
        <v/>
      </c>
      <c r="C12918" s="2" t="str">
        <f>""</f>
        <v/>
      </c>
      <c r="D12918" s="2" t="str">
        <f>""</f>
        <v/>
      </c>
      <c r="E12918" s="2" t="str">
        <f>""</f>
        <v/>
      </c>
      <c r="F12918" s="2" t="str">
        <f>""</f>
        <v/>
      </c>
      <c r="G12918" s="2" t="str">
        <f>"MVSaude / Vendas / Internação / Consultas / Registros de Alterações ()"</f>
        <v>MVSaude / Vendas / Internação / Consultas / Registros de Alterações ()</v>
      </c>
    </row>
    <row r="12919" spans="1:7" x14ac:dyDescent="0.3">
      <c r="A12919" s="1" t="s">
        <v>58</v>
      </c>
      <c r="B12919" s="2" t="str">
        <f>""</f>
        <v/>
      </c>
      <c r="C12919" s="2" t="str">
        <f>""</f>
        <v/>
      </c>
      <c r="D12919" s="2" t="str">
        <f>""</f>
        <v/>
      </c>
      <c r="E12919" s="2" t="str">
        <f>""</f>
        <v/>
      </c>
      <c r="F12919" s="2" t="str">
        <f>""</f>
        <v/>
      </c>
      <c r="G12919" s="2" t="str">
        <f>"MVSaude / Vendas / Internação / Consultas / Pacientes Internados ()"</f>
        <v>MVSaude / Vendas / Internação / Consultas / Pacientes Internados ()</v>
      </c>
    </row>
    <row r="12920" spans="1:7" x14ac:dyDescent="0.3">
      <c r="A12920" s="1" t="s">
        <v>58</v>
      </c>
      <c r="B12920" s="2" t="str">
        <f>""</f>
        <v/>
      </c>
      <c r="C12920" s="2" t="str">
        <f>""</f>
        <v/>
      </c>
      <c r="D12920" s="2" t="str">
        <f>""</f>
        <v/>
      </c>
      <c r="E12920" s="2" t="str">
        <f>""</f>
        <v/>
      </c>
      <c r="F12920" s="2" t="str">
        <f>""</f>
        <v/>
      </c>
      <c r="G12920" s="2" t="str">
        <f>"MVSaude / Vendas / Internação / Consultas / Guias ()"</f>
        <v>MVSaude / Vendas / Internação / Consultas / Guias ()</v>
      </c>
    </row>
    <row r="12921" spans="1:7" x14ac:dyDescent="0.3">
      <c r="A12921" s="1" t="s">
        <v>58</v>
      </c>
      <c r="B12921" s="2" t="str">
        <f>""</f>
        <v/>
      </c>
      <c r="C12921" s="2" t="str">
        <f>""</f>
        <v/>
      </c>
      <c r="D12921" s="2" t="str">
        <f>""</f>
        <v/>
      </c>
      <c r="E12921" s="2" t="str">
        <f>""</f>
        <v/>
      </c>
      <c r="F12921" s="2" t="str">
        <f>""</f>
        <v/>
      </c>
      <c r="G12921" s="2" t="str">
        <f>"MVSaude / Vendas / Internação / Consultas / Estatísticas de Produção ()"</f>
        <v>MVSaude / Vendas / Internação / Consultas / Estatísticas de Produção ()</v>
      </c>
    </row>
    <row r="12922" spans="1:7" x14ac:dyDescent="0.3">
      <c r="A12922" s="1" t="s">
        <v>58</v>
      </c>
      <c r="B12922" s="2" t="str">
        <f>""</f>
        <v/>
      </c>
      <c r="C12922" s="2" t="str">
        <f>""</f>
        <v/>
      </c>
      <c r="D12922" s="2" t="str">
        <f>""</f>
        <v/>
      </c>
      <c r="E12922" s="2" t="str">
        <f>""</f>
        <v/>
      </c>
      <c r="F12922" s="2" t="str">
        <f>""</f>
        <v/>
      </c>
      <c r="G12922" s="2" t="str">
        <f>"MVSaude / Vendas / Internação / Configurações ()"</f>
        <v>MVSaude / Vendas / Internação / Configurações ()</v>
      </c>
    </row>
    <row r="12923" spans="1:7" x14ac:dyDescent="0.3">
      <c r="A12923" s="1" t="s">
        <v>58</v>
      </c>
      <c r="B12923" s="2" t="str">
        <f>""</f>
        <v/>
      </c>
      <c r="C12923" s="2" t="str">
        <f>""</f>
        <v/>
      </c>
      <c r="D12923" s="2" t="str">
        <f>""</f>
        <v/>
      </c>
      <c r="E12923" s="2" t="str">
        <f>""</f>
        <v/>
      </c>
      <c r="F12923" s="2" t="str">
        <f>""</f>
        <v/>
      </c>
      <c r="G12923" s="2" t="str">
        <f>"MVSaude / Vendas / Internação / Relatórios ()"</f>
        <v>MVSaude / Vendas / Internação / Relatórios ()</v>
      </c>
    </row>
    <row r="12924" spans="1:7" x14ac:dyDescent="0.3">
      <c r="A12924" s="1" t="s">
        <v>58</v>
      </c>
      <c r="B12924" s="2" t="str">
        <f>""</f>
        <v/>
      </c>
      <c r="C12924" s="2" t="str">
        <f>""</f>
        <v/>
      </c>
      <c r="D12924" s="2" t="str">
        <f>""</f>
        <v/>
      </c>
      <c r="E12924" s="2" t="str">
        <f>""</f>
        <v/>
      </c>
      <c r="F12924" s="2" t="str">
        <f>""</f>
        <v/>
      </c>
      <c r="G12924" s="2" t="str">
        <f>"MVSaude / Vendas / Internação / Relatórios / Declarações e Termos ()"</f>
        <v>MVSaude / Vendas / Internação / Relatórios / Declarações e Termos ()</v>
      </c>
    </row>
    <row r="12925" spans="1:7" x14ac:dyDescent="0.3">
      <c r="A12925" s="1" t="s">
        <v>58</v>
      </c>
      <c r="B12925" s="2" t="str">
        <f>""</f>
        <v/>
      </c>
      <c r="C12925" s="2" t="str">
        <f>""</f>
        <v/>
      </c>
      <c r="D12925" s="2" t="str">
        <f>""</f>
        <v/>
      </c>
      <c r="E12925" s="2" t="str">
        <f>""</f>
        <v/>
      </c>
      <c r="F12925" s="2" t="str">
        <f>""</f>
        <v/>
      </c>
      <c r="G12925" s="2" t="str">
        <f>"MVSaude / Vendas / Internação / Relatórios / Tabelas ()"</f>
        <v>MVSaude / Vendas / Internação / Relatórios / Tabelas ()</v>
      </c>
    </row>
    <row r="12926" spans="1:7" x14ac:dyDescent="0.3">
      <c r="A12926" s="1" t="s">
        <v>58</v>
      </c>
      <c r="B12926" s="2" t="str">
        <f>""</f>
        <v/>
      </c>
      <c r="C12926" s="2" t="str">
        <f>""</f>
        <v/>
      </c>
      <c r="D12926" s="2" t="str">
        <f>""</f>
        <v/>
      </c>
      <c r="E12926" s="2" t="str">
        <f>""</f>
        <v/>
      </c>
      <c r="F12926" s="2" t="str">
        <f>""</f>
        <v/>
      </c>
      <c r="G12926" s="2" t="str">
        <f>"MVSaude / Vendas / Internação / Relatórios / Operacionais ()"</f>
        <v>MVSaude / Vendas / Internação / Relatórios / Operacionais ()</v>
      </c>
    </row>
    <row r="12927" spans="1:7" x14ac:dyDescent="0.3">
      <c r="A12927" s="1" t="s">
        <v>58</v>
      </c>
      <c r="B12927" s="2" t="str">
        <f>""</f>
        <v/>
      </c>
      <c r="C12927" s="2" t="str">
        <f>""</f>
        <v/>
      </c>
      <c r="D12927" s="2" t="str">
        <f>""</f>
        <v/>
      </c>
      <c r="E12927" s="2" t="str">
        <f>""</f>
        <v/>
      </c>
      <c r="F12927" s="2" t="str">
        <f>""</f>
        <v/>
      </c>
      <c r="G12927" s="2" t="str">
        <f>"MVSaude / Vendas / Internação / Relatórios / Operacionais / Pré-Internações ()"</f>
        <v>MVSaude / Vendas / Internação / Relatórios / Operacionais / Pré-Internações ()</v>
      </c>
    </row>
    <row r="12928" spans="1:7" x14ac:dyDescent="0.3">
      <c r="A12928" s="1" t="s">
        <v>58</v>
      </c>
      <c r="B12928" s="2" t="str">
        <f>""</f>
        <v/>
      </c>
      <c r="C12928" s="2" t="str">
        <f>""</f>
        <v/>
      </c>
      <c r="D12928" s="2" t="str">
        <f>""</f>
        <v/>
      </c>
      <c r="E12928" s="2" t="str">
        <f>""</f>
        <v/>
      </c>
      <c r="F12928" s="2" t="str">
        <f>""</f>
        <v/>
      </c>
      <c r="G12928" s="2" t="str">
        <f>"MVSaude / Vendas / Internação / Relatórios / Operacionais / Internações ()"</f>
        <v>MVSaude / Vendas / Internação / Relatórios / Operacionais / Internações ()</v>
      </c>
    </row>
    <row r="12929" spans="1:7" x14ac:dyDescent="0.3">
      <c r="A12929" s="1" t="s">
        <v>58</v>
      </c>
      <c r="B12929" s="2" t="str">
        <f>""</f>
        <v/>
      </c>
      <c r="C12929" s="2" t="str">
        <f>""</f>
        <v/>
      </c>
      <c r="D12929" s="2" t="str">
        <f>""</f>
        <v/>
      </c>
      <c r="E12929" s="2" t="str">
        <f>""</f>
        <v/>
      </c>
      <c r="F12929" s="2" t="str">
        <f>""</f>
        <v/>
      </c>
      <c r="G12929" s="2" t="str">
        <f>"MVSaude / Vendas / Internação / Relatórios / Operacionais / Altas ()"</f>
        <v>MVSaude / Vendas / Internação / Relatórios / Operacionais / Altas ()</v>
      </c>
    </row>
    <row r="12930" spans="1:7" x14ac:dyDescent="0.3">
      <c r="A12930" s="1" t="s">
        <v>58</v>
      </c>
      <c r="B12930" s="2" t="str">
        <f>""</f>
        <v/>
      </c>
      <c r="C12930" s="2" t="str">
        <f>""</f>
        <v/>
      </c>
      <c r="D12930" s="2" t="str">
        <f>""</f>
        <v/>
      </c>
      <c r="E12930" s="2" t="str">
        <f>""</f>
        <v/>
      </c>
      <c r="F12930" s="2" t="str">
        <f>""</f>
        <v/>
      </c>
      <c r="G12930" s="2" t="str">
        <f>"MVSaude / Vendas / Internação / Relatórios / Operacionais / Altas / Lista de Altas Previstas para o Perído ()"</f>
        <v>MVSaude / Vendas / Internação / Relatórios / Operacionais / Altas / Lista de Altas Previstas para o Perído ()</v>
      </c>
    </row>
    <row r="12931" spans="1:7" x14ac:dyDescent="0.3">
      <c r="A12931" s="1" t="s">
        <v>58</v>
      </c>
      <c r="B12931" s="2" t="str">
        <f>""</f>
        <v/>
      </c>
      <c r="C12931" s="2" t="str">
        <f>""</f>
        <v/>
      </c>
      <c r="D12931" s="2" t="str">
        <f>""</f>
        <v/>
      </c>
      <c r="E12931" s="2" t="str">
        <f>""</f>
        <v/>
      </c>
      <c r="F12931" s="2" t="str">
        <f>""</f>
        <v/>
      </c>
      <c r="G12931" s="2" t="str">
        <f>"MVSaude / Vendas / Internação / Relatórios / Operacionais / Atendimentos ()"</f>
        <v>MVSaude / Vendas / Internação / Relatórios / Operacionais / Atendimentos ()</v>
      </c>
    </row>
    <row r="12932" spans="1:7" x14ac:dyDescent="0.3">
      <c r="A12932" s="1" t="s">
        <v>58</v>
      </c>
      <c r="B12932" s="2" t="str">
        <f>""</f>
        <v/>
      </c>
      <c r="C12932" s="2" t="str">
        <f>""</f>
        <v/>
      </c>
      <c r="D12932" s="2" t="str">
        <f>""</f>
        <v/>
      </c>
      <c r="E12932" s="2" t="str">
        <f>""</f>
        <v/>
      </c>
      <c r="F12932" s="2" t="str">
        <f>""</f>
        <v/>
      </c>
      <c r="G12932" s="2" t="str">
        <f>"MVSaude / Vendas / Internação / Relatórios / Operacionais / Pacientes ()"</f>
        <v>MVSaude / Vendas / Internação / Relatórios / Operacionais / Pacientes ()</v>
      </c>
    </row>
    <row r="12933" spans="1:7" x14ac:dyDescent="0.3">
      <c r="A12933" s="1" t="s">
        <v>58</v>
      </c>
      <c r="B12933" s="2" t="str">
        <f>""</f>
        <v/>
      </c>
      <c r="C12933" s="2" t="str">
        <f>""</f>
        <v/>
      </c>
      <c r="D12933" s="2" t="str">
        <f>""</f>
        <v/>
      </c>
      <c r="E12933" s="2" t="str">
        <f>""</f>
        <v/>
      </c>
      <c r="F12933" s="2" t="str">
        <f>""</f>
        <v/>
      </c>
      <c r="G12933" s="2" t="str">
        <f>"MVSaude / Vendas / Internação / Relatórios / Operacionais / Depósito de Pagamento Antecipado ()"</f>
        <v>MVSaude / Vendas / Internação / Relatórios / Operacionais / Depósito de Pagamento Antecipado ()</v>
      </c>
    </row>
    <row r="12934" spans="1:7" x14ac:dyDescent="0.3">
      <c r="A12934" s="1" t="s">
        <v>58</v>
      </c>
      <c r="B12934" s="2" t="str">
        <f>""</f>
        <v/>
      </c>
      <c r="C12934" s="2" t="str">
        <f>""</f>
        <v/>
      </c>
      <c r="D12934" s="2" t="str">
        <f>""</f>
        <v/>
      </c>
      <c r="E12934" s="2" t="str">
        <f>""</f>
        <v/>
      </c>
      <c r="F12934" s="2" t="str">
        <f>""</f>
        <v/>
      </c>
      <c r="G12934" s="2" t="str">
        <f>"MVSaude / Vendas / Internação / Relatórios / Operacionais / Guias ()"</f>
        <v>MVSaude / Vendas / Internação / Relatórios / Operacionais / Guias ()</v>
      </c>
    </row>
    <row r="12935" spans="1:7" x14ac:dyDescent="0.3">
      <c r="A12935" s="1" t="s">
        <v>58</v>
      </c>
      <c r="B12935" s="2" t="str">
        <f>""</f>
        <v/>
      </c>
      <c r="C12935" s="2" t="str">
        <f>""</f>
        <v/>
      </c>
      <c r="D12935" s="2" t="str">
        <f>""</f>
        <v/>
      </c>
      <c r="E12935" s="2" t="str">
        <f>""</f>
        <v/>
      </c>
      <c r="F12935" s="2" t="str">
        <f>""</f>
        <v/>
      </c>
      <c r="G12935" s="2" t="str">
        <f>"Atendimento / Ambulatório ()"</f>
        <v>Atendimento / Ambulatório ()</v>
      </c>
    </row>
    <row r="12936" spans="1:7" x14ac:dyDescent="0.3">
      <c r="A12936" s="1" t="s">
        <v>58</v>
      </c>
      <c r="B12936" s="2" t="str">
        <f>""</f>
        <v/>
      </c>
      <c r="C12936" s="2" t="str">
        <f>""</f>
        <v/>
      </c>
      <c r="D12936" s="2" t="str">
        <f>""</f>
        <v/>
      </c>
      <c r="E12936" s="2" t="str">
        <f>""</f>
        <v/>
      </c>
      <c r="F12936" s="2" t="str">
        <f>""</f>
        <v/>
      </c>
      <c r="G12936" s="2" t="str">
        <f>"Atendimento / Ambulatório / Atendimentos ()"</f>
        <v>Atendimento / Ambulatório / Atendimentos ()</v>
      </c>
    </row>
    <row r="12937" spans="1:7" x14ac:dyDescent="0.3">
      <c r="A12937" s="1" t="s">
        <v>58</v>
      </c>
      <c r="B12937" s="2" t="str">
        <f>""</f>
        <v/>
      </c>
      <c r="C12937" s="2" t="str">
        <f>""</f>
        <v/>
      </c>
      <c r="D12937" s="2" t="str">
        <f>""</f>
        <v/>
      </c>
      <c r="E12937" s="2" t="str">
        <f>""</f>
        <v/>
      </c>
      <c r="F12937" s="2" t="str">
        <f>""</f>
        <v/>
      </c>
      <c r="G12937" s="2" t="str">
        <f>"Atendimento / Ambulatório / Agendamentos ()"</f>
        <v>Atendimento / Ambulatório / Agendamentos ()</v>
      </c>
    </row>
    <row r="12938" spans="1:7" x14ac:dyDescent="0.3">
      <c r="A12938" s="1" t="s">
        <v>58</v>
      </c>
      <c r="B12938" s="2" t="str">
        <f>""</f>
        <v/>
      </c>
      <c r="C12938" s="2" t="str">
        <f>""</f>
        <v/>
      </c>
      <c r="D12938" s="2" t="str">
        <f>""</f>
        <v/>
      </c>
      <c r="E12938" s="2" t="str">
        <f>""</f>
        <v/>
      </c>
      <c r="F12938" s="2" t="str">
        <f>""</f>
        <v/>
      </c>
      <c r="G12938" s="2" t="str">
        <f>"Atendimento / Ambulatório / Tabelas ()"</f>
        <v>Atendimento / Ambulatório / Tabelas ()</v>
      </c>
    </row>
    <row r="12939" spans="1:7" x14ac:dyDescent="0.3">
      <c r="A12939" s="1" t="s">
        <v>58</v>
      </c>
      <c r="B12939" s="2" t="str">
        <f>""</f>
        <v/>
      </c>
      <c r="C12939" s="2" t="str">
        <f>""</f>
        <v/>
      </c>
      <c r="D12939" s="2" t="str">
        <f>""</f>
        <v/>
      </c>
      <c r="E12939" s="2" t="str">
        <f>""</f>
        <v/>
      </c>
      <c r="F12939" s="2" t="str">
        <f>""</f>
        <v/>
      </c>
      <c r="G12939" s="2" t="str">
        <f>"Atendimento / Ambulatório / Consultas ()"</f>
        <v>Atendimento / Ambulatório / Consultas ()</v>
      </c>
    </row>
    <row r="12940" spans="1:7" x14ac:dyDescent="0.3">
      <c r="A12940" s="1" t="s">
        <v>58</v>
      </c>
      <c r="B12940" s="2" t="str">
        <f>""</f>
        <v/>
      </c>
      <c r="C12940" s="2" t="str">
        <f>""</f>
        <v/>
      </c>
      <c r="D12940" s="2" t="str">
        <f>""</f>
        <v/>
      </c>
      <c r="E12940" s="2" t="str">
        <f>""</f>
        <v/>
      </c>
      <c r="F12940" s="2" t="str">
        <f>""</f>
        <v/>
      </c>
      <c r="G12940" s="2" t="str">
        <f>"Atendimento / Ambulatório / Configurações ()"</f>
        <v>Atendimento / Ambulatório / Configurações ()</v>
      </c>
    </row>
    <row r="12941" spans="1:7" x14ac:dyDescent="0.3">
      <c r="A12941" s="1" t="s">
        <v>58</v>
      </c>
      <c r="B12941" s="2" t="str">
        <f>""</f>
        <v/>
      </c>
      <c r="C12941" s="2" t="str">
        <f>""</f>
        <v/>
      </c>
      <c r="D12941" s="2" t="str">
        <f>""</f>
        <v/>
      </c>
      <c r="E12941" s="2" t="str">
        <f>""</f>
        <v/>
      </c>
      <c r="F12941" s="2" t="str">
        <f>""</f>
        <v/>
      </c>
      <c r="G12941" s="2" t="str">
        <f>"Atendimento / Ambulatório / Relatórios ()"</f>
        <v>Atendimento / Ambulatório / Relatórios ()</v>
      </c>
    </row>
    <row r="12942" spans="1:7" x14ac:dyDescent="0.3">
      <c r="A12942" s="1" t="s">
        <v>58</v>
      </c>
      <c r="B12942" s="2" t="str">
        <f>""</f>
        <v/>
      </c>
      <c r="C12942" s="2" t="str">
        <f>""</f>
        <v/>
      </c>
      <c r="D12942" s="2" t="str">
        <f>""</f>
        <v/>
      </c>
      <c r="E12942" s="2" t="str">
        <f>""</f>
        <v/>
      </c>
      <c r="F12942" s="2" t="str">
        <f>""</f>
        <v/>
      </c>
      <c r="G12942" s="2" t="str">
        <f>"Clínica e Assistencial / Controle de Infecção Hospitalar ()"</f>
        <v>Clínica e Assistencial / Controle de Infecção Hospitalar ()</v>
      </c>
    </row>
    <row r="12943" spans="1:7" x14ac:dyDescent="0.3">
      <c r="A12943" s="1" t="s">
        <v>58</v>
      </c>
      <c r="B12943" s="2" t="str">
        <f>""</f>
        <v/>
      </c>
      <c r="C12943" s="2" t="str">
        <f>""</f>
        <v/>
      </c>
      <c r="D12943" s="2" t="str">
        <f>""</f>
        <v/>
      </c>
      <c r="E12943" s="2" t="str">
        <f>""</f>
        <v/>
      </c>
      <c r="F12943" s="2" t="str">
        <f>""</f>
        <v/>
      </c>
      <c r="G12943" s="2" t="str">
        <f>"Clínica e Assistencial / Controle de Infecção Hospitalar / Atendimento ()"</f>
        <v>Clínica e Assistencial / Controle de Infecção Hospitalar / Atendimento ()</v>
      </c>
    </row>
    <row r="12944" spans="1:7" x14ac:dyDescent="0.3">
      <c r="A12944" s="1" t="s">
        <v>58</v>
      </c>
      <c r="B12944" s="2" t="str">
        <f>""</f>
        <v/>
      </c>
      <c r="C12944" s="2" t="str">
        <f>""</f>
        <v/>
      </c>
      <c r="D12944" s="2" t="str">
        <f>""</f>
        <v/>
      </c>
      <c r="E12944" s="2" t="str">
        <f>""</f>
        <v/>
      </c>
      <c r="F12944" s="2" t="str">
        <f>""</f>
        <v/>
      </c>
      <c r="G12944" s="2" t="str">
        <f>"Clínica e Assistencial / Controle de Infecção Hospitalar / Atendimento / Pendências do Atendimento ()"</f>
        <v>Clínica e Assistencial / Controle de Infecção Hospitalar / Atendimento / Pendências do Atendimento ()</v>
      </c>
    </row>
    <row r="12945" spans="1:7" x14ac:dyDescent="0.3">
      <c r="A12945" s="1" t="s">
        <v>58</v>
      </c>
      <c r="B12945" s="2" t="str">
        <f>""</f>
        <v/>
      </c>
      <c r="C12945" s="2" t="str">
        <f>""</f>
        <v/>
      </c>
      <c r="D12945" s="2" t="str">
        <f>""</f>
        <v/>
      </c>
      <c r="E12945" s="2" t="str">
        <f>""</f>
        <v/>
      </c>
      <c r="F12945" s="2" t="str">
        <f>""</f>
        <v/>
      </c>
      <c r="G12945" s="2" t="str">
        <f>"Clínica e Assistencial / Controle de Infecção Hospitalar / Tabelas ()"</f>
        <v>Clínica e Assistencial / Controle de Infecção Hospitalar / Tabelas ()</v>
      </c>
    </row>
    <row r="12946" spans="1:7" x14ac:dyDescent="0.3">
      <c r="A12946" s="1" t="s">
        <v>58</v>
      </c>
      <c r="B12946" s="2" t="str">
        <f>""</f>
        <v/>
      </c>
      <c r="C12946" s="2" t="str">
        <f>""</f>
        <v/>
      </c>
      <c r="D12946" s="2" t="str">
        <f>""</f>
        <v/>
      </c>
      <c r="E12946" s="2" t="str">
        <f>""</f>
        <v/>
      </c>
      <c r="F12946" s="2" t="str">
        <f>""</f>
        <v/>
      </c>
      <c r="G12946" s="2" t="str">
        <f>"Clínica e Assistencial / Controle de Infecção Hospitalar / Tabelas / Antimicrobianos ()"</f>
        <v>Clínica e Assistencial / Controle de Infecção Hospitalar / Tabelas / Antimicrobianos ()</v>
      </c>
    </row>
    <row r="12947" spans="1:7" x14ac:dyDescent="0.3">
      <c r="A12947" s="1" t="s">
        <v>58</v>
      </c>
      <c r="B12947" s="2" t="str">
        <f>""</f>
        <v/>
      </c>
      <c r="C12947" s="2" t="str">
        <f>""</f>
        <v/>
      </c>
      <c r="D12947" s="2" t="str">
        <f>""</f>
        <v/>
      </c>
      <c r="E12947" s="2" t="str">
        <f>""</f>
        <v/>
      </c>
      <c r="F12947" s="2" t="str">
        <f>""</f>
        <v/>
      </c>
      <c r="G12947" s="2" t="str">
        <f>"Clínica e Assistencial / Controle de Infecção Hospitalar / Indicadores ()"</f>
        <v>Clínica e Assistencial / Controle de Infecção Hospitalar / Indicadores ()</v>
      </c>
    </row>
    <row r="12948" spans="1:7" x14ac:dyDescent="0.3">
      <c r="A12948" s="1" t="s">
        <v>58</v>
      </c>
      <c r="B12948" s="2" t="str">
        <f>""</f>
        <v/>
      </c>
      <c r="C12948" s="2" t="str">
        <f>""</f>
        <v/>
      </c>
      <c r="D12948" s="2" t="str">
        <f>""</f>
        <v/>
      </c>
      <c r="E12948" s="2" t="str">
        <f>""</f>
        <v/>
      </c>
      <c r="F12948" s="2" t="str">
        <f>""</f>
        <v/>
      </c>
      <c r="G12948" s="2" t="str">
        <f>"Clínica e Assistencial / Controle de Infecção Hospitalar / Consultas ()"</f>
        <v>Clínica e Assistencial / Controle de Infecção Hospitalar / Consultas ()</v>
      </c>
    </row>
    <row r="12949" spans="1:7" x14ac:dyDescent="0.3">
      <c r="A12949" s="1" t="s">
        <v>58</v>
      </c>
      <c r="B12949" s="2" t="str">
        <f>""</f>
        <v/>
      </c>
      <c r="C12949" s="2" t="str">
        <f>""</f>
        <v/>
      </c>
      <c r="D12949" s="2" t="str">
        <f>""</f>
        <v/>
      </c>
      <c r="E12949" s="2" t="str">
        <f>""</f>
        <v/>
      </c>
      <c r="F12949" s="2" t="str">
        <f>""</f>
        <v/>
      </c>
      <c r="G12949" s="2" t="str">
        <f>"Clínica e Assistencial / Controle de Infecção Hospitalar / Consultas / Exames de Imagem ()"</f>
        <v>Clínica e Assistencial / Controle de Infecção Hospitalar / Consultas / Exames de Imagem ()</v>
      </c>
    </row>
    <row r="12950" spans="1:7" x14ac:dyDescent="0.3">
      <c r="A12950" s="1" t="s">
        <v>58</v>
      </c>
      <c r="B12950" s="2" t="str">
        <f>""</f>
        <v/>
      </c>
      <c r="C12950" s="2" t="str">
        <f>""</f>
        <v/>
      </c>
      <c r="D12950" s="2" t="str">
        <f>""</f>
        <v/>
      </c>
      <c r="E12950" s="2" t="str">
        <f>""</f>
        <v/>
      </c>
      <c r="F12950" s="2" t="str">
        <f>""</f>
        <v/>
      </c>
      <c r="G12950" s="2" t="str">
        <f>"Clínica e Assistencial / Controle de Infecção Hospitalar / Consultas / Exames Laboratoriais ()"</f>
        <v>Clínica e Assistencial / Controle de Infecção Hospitalar / Consultas / Exames Laboratoriais ()</v>
      </c>
    </row>
    <row r="12951" spans="1:7" x14ac:dyDescent="0.3">
      <c r="A12951" s="1" t="s">
        <v>58</v>
      </c>
      <c r="B12951" s="2" t="str">
        <f>""</f>
        <v/>
      </c>
      <c r="C12951" s="2" t="str">
        <f>""</f>
        <v/>
      </c>
      <c r="D12951" s="2" t="str">
        <f>""</f>
        <v/>
      </c>
      <c r="E12951" s="2" t="str">
        <f>""</f>
        <v/>
      </c>
      <c r="F12951" s="2" t="str">
        <f>""</f>
        <v/>
      </c>
      <c r="G12951" s="2" t="str">
        <f>"Clínica e Assistencial / Controle de Infecção Hospitalar / Estoque ()"</f>
        <v>Clínica e Assistencial / Controle de Infecção Hospitalar / Estoque ()</v>
      </c>
    </row>
    <row r="12952" spans="1:7" x14ac:dyDescent="0.3">
      <c r="A12952" s="1" t="s">
        <v>58</v>
      </c>
      <c r="B12952" s="2" t="str">
        <f>""</f>
        <v/>
      </c>
      <c r="C12952" s="2" t="str">
        <f>""</f>
        <v/>
      </c>
      <c r="D12952" s="2" t="str">
        <f>""</f>
        <v/>
      </c>
      <c r="E12952" s="2" t="str">
        <f>""</f>
        <v/>
      </c>
      <c r="F12952" s="2" t="str">
        <f>""</f>
        <v/>
      </c>
      <c r="G12952" s="2" t="str">
        <f>"Clínica e Assistencial / Controle de Infecção Hospitalar / Relatórios ()"</f>
        <v>Clínica e Assistencial / Controle de Infecção Hospitalar / Relatórios ()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 da Informação</dc:creator>
  <cp:lastModifiedBy>Tecnologia da Informação</cp:lastModifiedBy>
  <dcterms:created xsi:type="dcterms:W3CDTF">2025-12-21T17:44:53Z</dcterms:created>
  <dcterms:modified xsi:type="dcterms:W3CDTF">2026-02-21T23:49:30Z</dcterms:modified>
</cp:coreProperties>
</file>